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C:\Users\thni\Documents\BW2\Degradation_Uncertainty\"/>
    </mc:Choice>
  </mc:AlternateContent>
  <bookViews>
    <workbookView xWindow="0" yWindow="0" windowWidth="19200" windowHeight="6885" activeTab="2"/>
  </bookViews>
  <sheets>
    <sheet name="Abbau" sheetId="1" r:id="rId1"/>
    <sheet name="Daten für Diagramme" sheetId="44" r:id="rId2"/>
    <sheet name="PedigreeMatrix" sheetId="48" r:id="rId3"/>
    <sheet name="Uncertainty redistribution" sheetId="47" r:id="rId4"/>
    <sheet name="Auswertung_neu (2)" sheetId="43" state="hidden" r:id="rId5"/>
    <sheet name="Meta-Auswertung" sheetId="19" state="hidden" r:id="rId6"/>
    <sheet name="Charakterisierung" sheetId="31" state="hidden" r:id="rId7"/>
    <sheet name="Fate" sheetId="45" r:id="rId8"/>
    <sheet name="Hilfstabelle" sheetId="46" state="hidden" r:id="rId9"/>
  </sheets>
  <definedNames>
    <definedName name="_xlnm._FilterDatabase" localSheetId="0" hidden="1">Abbau!$N$1:$N$252</definedName>
    <definedName name="_xlnm._FilterDatabase" localSheetId="6" hidden="1">Charakterisierung!$A$1:$L$1500</definedName>
    <definedName name="_xlnm._FilterDatabase" localSheetId="1" hidden="1">'Daten für Diagramme'!$A$4:$Y$246</definedName>
    <definedName name="_xlnm._FilterDatabase" localSheetId="7" hidden="1">Fate!$A$4:$Q$4144</definedName>
    <definedName name="_ftn1" localSheetId="6">Charakterisierung!$A$447</definedName>
    <definedName name="_ftnref1" localSheetId="6">Charakterisierung!$A$444</definedName>
    <definedName name="_Toc17441737" localSheetId="6">Charakterisierung!#REF!</definedName>
  </definedNames>
  <calcPr calcId="162913"/>
  <pivotCaches>
    <pivotCache cacheId="0"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9" i="48" l="1"/>
  <c r="D29" i="48"/>
  <c r="E29" i="48"/>
  <c r="C30" i="48"/>
  <c r="D30" i="48"/>
  <c r="E30" i="48"/>
  <c r="C31" i="48"/>
  <c r="D31" i="48"/>
  <c r="E31" i="48"/>
  <c r="C32" i="48"/>
  <c r="D32" i="48"/>
  <c r="E32" i="48"/>
  <c r="C33" i="48"/>
  <c r="D33" i="48"/>
  <c r="E33" i="48"/>
  <c r="C34" i="48"/>
  <c r="D34" i="48"/>
  <c r="E34" i="48"/>
  <c r="C35" i="48"/>
  <c r="D35" i="48"/>
  <c r="E35" i="48"/>
  <c r="B30" i="48"/>
  <c r="B31" i="48"/>
  <c r="B32" i="48"/>
  <c r="B33" i="48"/>
  <c r="B34" i="48"/>
  <c r="B35" i="48"/>
  <c r="B29" i="48"/>
  <c r="B21" i="48"/>
  <c r="C21" i="48"/>
  <c r="D21" i="48"/>
  <c r="E21" i="48"/>
  <c r="B22" i="48"/>
  <c r="C22" i="48"/>
  <c r="D22" i="48"/>
  <c r="E22" i="48"/>
  <c r="B23" i="48"/>
  <c r="C23" i="48"/>
  <c r="D23" i="48"/>
  <c r="E23" i="48"/>
  <c r="B24" i="48"/>
  <c r="C24" i="48"/>
  <c r="D24" i="48"/>
  <c r="E24" i="48"/>
  <c r="B25" i="48"/>
  <c r="C25" i="48"/>
  <c r="D25" i="48"/>
  <c r="E25" i="48"/>
  <c r="B26" i="48"/>
  <c r="C26" i="48"/>
  <c r="D26" i="48"/>
  <c r="E26" i="48"/>
  <c r="C20" i="48"/>
  <c r="D20" i="48"/>
  <c r="E20" i="48"/>
  <c r="B20" i="48"/>
  <c r="J2" i="48"/>
  <c r="F2" i="48"/>
  <c r="A3945" i="45" l="1"/>
  <c r="A3925" i="45"/>
  <c r="A3885" i="45"/>
  <c r="A3865" i="45"/>
  <c r="A3845" i="45"/>
  <c r="A3825" i="45"/>
  <c r="A3805" i="45"/>
  <c r="M1565" i="45" l="1"/>
  <c r="K2" i="48" l="1"/>
  <c r="G7" i="48"/>
  <c r="G6" i="48"/>
  <c r="G5" i="48"/>
  <c r="Y10" i="44"/>
  <c r="C5" i="48"/>
  <c r="Y6" i="44"/>
  <c r="B7" i="48"/>
  <c r="C6" i="48"/>
  <c r="C4" i="48"/>
  <c r="D4" i="48"/>
  <c r="E4" i="48"/>
  <c r="B4" i="48"/>
  <c r="F4" i="48" s="1"/>
  <c r="B2" i="48"/>
  <c r="C3" i="48"/>
  <c r="D3" i="48"/>
  <c r="E3" i="48"/>
  <c r="Y5" i="44"/>
  <c r="E7" i="48"/>
  <c r="I7" i="48" s="1"/>
  <c r="D7" i="48"/>
  <c r="H7" i="48" s="1"/>
  <c r="C7" i="48"/>
  <c r="F7" i="48"/>
  <c r="C2" i="48"/>
  <c r="G8" i="48"/>
  <c r="G4" i="48"/>
  <c r="G3" i="48"/>
  <c r="G2" i="48"/>
  <c r="F8" i="48"/>
  <c r="F6" i="48"/>
  <c r="F5" i="48"/>
  <c r="F3" i="48"/>
  <c r="H3" i="48"/>
  <c r="I3" i="48"/>
  <c r="H4" i="48"/>
  <c r="I4" i="48"/>
  <c r="H5" i="48"/>
  <c r="I5" i="48"/>
  <c r="H6" i="48"/>
  <c r="I6" i="48"/>
  <c r="H8" i="48"/>
  <c r="I8" i="48"/>
  <c r="H2" i="48"/>
  <c r="I2" i="48"/>
  <c r="E8" i="48"/>
  <c r="E6" i="48"/>
  <c r="E5" i="48"/>
  <c r="D8" i="48"/>
  <c r="D6" i="48"/>
  <c r="D5" i="48"/>
  <c r="C8" i="48"/>
  <c r="B8" i="48"/>
  <c r="E2" i="48"/>
  <c r="D2" i="48"/>
  <c r="M65" i="45" l="1"/>
  <c r="R6" i="44" l="1"/>
  <c r="S6" i="44"/>
  <c r="T6" i="44"/>
  <c r="U6" i="44"/>
  <c r="V6" i="44"/>
  <c r="W6" i="44"/>
  <c r="X6" i="44"/>
  <c r="R7" i="44"/>
  <c r="S7" i="44"/>
  <c r="T7" i="44"/>
  <c r="U7" i="44"/>
  <c r="V7" i="44"/>
  <c r="W7" i="44"/>
  <c r="X7" i="44"/>
  <c r="R8" i="44"/>
  <c r="S8" i="44"/>
  <c r="T8" i="44"/>
  <c r="U8" i="44"/>
  <c r="V8" i="44"/>
  <c r="W8" i="44"/>
  <c r="X8" i="44"/>
  <c r="R9" i="44"/>
  <c r="S9" i="44"/>
  <c r="T9" i="44"/>
  <c r="U9" i="44"/>
  <c r="V9" i="44"/>
  <c r="W9" i="44"/>
  <c r="X9" i="44"/>
  <c r="Y9" i="44" s="1"/>
  <c r="R10" i="44"/>
  <c r="S10" i="44"/>
  <c r="T10" i="44"/>
  <c r="U10" i="44"/>
  <c r="V10" i="44"/>
  <c r="W10" i="44"/>
  <c r="X10" i="44"/>
  <c r="R11" i="44"/>
  <c r="S11" i="44"/>
  <c r="T11" i="44"/>
  <c r="U11" i="44"/>
  <c r="V11" i="44"/>
  <c r="W11" i="44"/>
  <c r="X11" i="44"/>
  <c r="R12" i="44"/>
  <c r="S12" i="44"/>
  <c r="T12" i="44"/>
  <c r="U12" i="44"/>
  <c r="V12" i="44"/>
  <c r="W12" i="44"/>
  <c r="X12" i="44"/>
  <c r="R13" i="44"/>
  <c r="S13" i="44"/>
  <c r="T13" i="44"/>
  <c r="U13" i="44"/>
  <c r="V13" i="44"/>
  <c r="W13" i="44"/>
  <c r="X13" i="44"/>
  <c r="R14" i="44"/>
  <c r="S14" i="44"/>
  <c r="T14" i="44"/>
  <c r="U14" i="44"/>
  <c r="V14" i="44"/>
  <c r="W14" i="44"/>
  <c r="X14" i="44"/>
  <c r="R15" i="44"/>
  <c r="S15" i="44"/>
  <c r="T15" i="44"/>
  <c r="U15" i="44"/>
  <c r="V15" i="44"/>
  <c r="W15" i="44"/>
  <c r="X15" i="44"/>
  <c r="R16" i="44"/>
  <c r="S16" i="44"/>
  <c r="T16" i="44"/>
  <c r="U16" i="44"/>
  <c r="V16" i="44"/>
  <c r="W16" i="44"/>
  <c r="X16" i="44"/>
  <c r="R17" i="44"/>
  <c r="S17" i="44"/>
  <c r="T17" i="44"/>
  <c r="U17" i="44"/>
  <c r="V17" i="44"/>
  <c r="W17" i="44"/>
  <c r="X17" i="44"/>
  <c r="R18" i="44"/>
  <c r="S18" i="44"/>
  <c r="T18" i="44"/>
  <c r="U18" i="44"/>
  <c r="V18" i="44"/>
  <c r="W18" i="44"/>
  <c r="X18" i="44"/>
  <c r="R19" i="44"/>
  <c r="S19" i="44"/>
  <c r="T19" i="44"/>
  <c r="U19" i="44"/>
  <c r="V19" i="44"/>
  <c r="W19" i="44"/>
  <c r="X19" i="44"/>
  <c r="R20" i="44"/>
  <c r="S20" i="44"/>
  <c r="T20" i="44"/>
  <c r="U20" i="44"/>
  <c r="V20" i="44"/>
  <c r="W20" i="44"/>
  <c r="X20" i="44"/>
  <c r="R21" i="44"/>
  <c r="S21" i="44"/>
  <c r="T21" i="44"/>
  <c r="U21" i="44"/>
  <c r="V21" i="44"/>
  <c r="W21" i="44"/>
  <c r="X21" i="44"/>
  <c r="R22" i="44"/>
  <c r="S22" i="44"/>
  <c r="T22" i="44"/>
  <c r="U22" i="44"/>
  <c r="V22" i="44"/>
  <c r="W22" i="44"/>
  <c r="X22" i="44"/>
  <c r="R23" i="44"/>
  <c r="S23" i="44"/>
  <c r="T23" i="44"/>
  <c r="U23" i="44"/>
  <c r="V23" i="44"/>
  <c r="W23" i="44"/>
  <c r="X23" i="44"/>
  <c r="R24" i="44"/>
  <c r="S24" i="44"/>
  <c r="T24" i="44"/>
  <c r="U24" i="44"/>
  <c r="V24" i="44"/>
  <c r="W24" i="44"/>
  <c r="X24" i="44"/>
  <c r="R25" i="44"/>
  <c r="S25" i="44"/>
  <c r="T25" i="44"/>
  <c r="U25" i="44"/>
  <c r="V25" i="44"/>
  <c r="W25" i="44"/>
  <c r="X25" i="44"/>
  <c r="R26" i="44"/>
  <c r="S26" i="44"/>
  <c r="T26" i="44"/>
  <c r="U26" i="44"/>
  <c r="V26" i="44"/>
  <c r="W26" i="44"/>
  <c r="X26" i="44"/>
  <c r="R27" i="44"/>
  <c r="S27" i="44"/>
  <c r="T27" i="44"/>
  <c r="U27" i="44"/>
  <c r="V27" i="44"/>
  <c r="W27" i="44"/>
  <c r="X27" i="44"/>
  <c r="R28" i="44"/>
  <c r="S28" i="44"/>
  <c r="T28" i="44"/>
  <c r="U28" i="44"/>
  <c r="V28" i="44"/>
  <c r="W28" i="44"/>
  <c r="X28" i="44"/>
  <c r="R29" i="44"/>
  <c r="S29" i="44"/>
  <c r="T29" i="44"/>
  <c r="U29" i="44"/>
  <c r="V29" i="44"/>
  <c r="W29" i="44"/>
  <c r="X29" i="44"/>
  <c r="Y29" i="44" s="1"/>
  <c r="R30" i="44"/>
  <c r="S30" i="44"/>
  <c r="T30" i="44"/>
  <c r="U30" i="44"/>
  <c r="V30" i="44"/>
  <c r="W30" i="44"/>
  <c r="X30" i="44"/>
  <c r="R31" i="44"/>
  <c r="S31" i="44"/>
  <c r="T31" i="44"/>
  <c r="U31" i="44"/>
  <c r="V31" i="44"/>
  <c r="W31" i="44"/>
  <c r="X31" i="44"/>
  <c r="R32" i="44"/>
  <c r="S32" i="44"/>
  <c r="T32" i="44"/>
  <c r="U32" i="44"/>
  <c r="V32" i="44"/>
  <c r="W32" i="44"/>
  <c r="X32" i="44"/>
  <c r="R33" i="44"/>
  <c r="S33" i="44"/>
  <c r="T33" i="44"/>
  <c r="U33" i="44"/>
  <c r="V33" i="44"/>
  <c r="W33" i="44"/>
  <c r="X33" i="44"/>
  <c r="Y33" i="44" s="1"/>
  <c r="R34" i="44"/>
  <c r="S34" i="44"/>
  <c r="T34" i="44"/>
  <c r="U34" i="44"/>
  <c r="V34" i="44"/>
  <c r="W34" i="44"/>
  <c r="X34" i="44"/>
  <c r="R35" i="44"/>
  <c r="S35" i="44"/>
  <c r="T35" i="44"/>
  <c r="U35" i="44"/>
  <c r="V35" i="44"/>
  <c r="W35" i="44"/>
  <c r="X35" i="44"/>
  <c r="R36" i="44"/>
  <c r="S36" i="44"/>
  <c r="T36" i="44"/>
  <c r="U36" i="44"/>
  <c r="V36" i="44"/>
  <c r="W36" i="44"/>
  <c r="X36" i="44"/>
  <c r="R37" i="44"/>
  <c r="S37" i="44"/>
  <c r="T37" i="44"/>
  <c r="U37" i="44"/>
  <c r="V37" i="44"/>
  <c r="W37" i="44"/>
  <c r="X37" i="44"/>
  <c r="Y37" i="44" s="1"/>
  <c r="R38" i="44"/>
  <c r="S38" i="44"/>
  <c r="T38" i="44"/>
  <c r="U38" i="44"/>
  <c r="V38" i="44"/>
  <c r="W38" i="44"/>
  <c r="X38" i="44"/>
  <c r="R39" i="44"/>
  <c r="S39" i="44"/>
  <c r="T39" i="44"/>
  <c r="U39" i="44"/>
  <c r="V39" i="44"/>
  <c r="W39" i="44"/>
  <c r="X39" i="44"/>
  <c r="R40" i="44"/>
  <c r="S40" i="44"/>
  <c r="T40" i="44"/>
  <c r="U40" i="44"/>
  <c r="V40" i="44"/>
  <c r="W40" i="44"/>
  <c r="X40" i="44"/>
  <c r="R41" i="44"/>
  <c r="S41" i="44"/>
  <c r="T41" i="44"/>
  <c r="U41" i="44"/>
  <c r="V41" i="44"/>
  <c r="W41" i="44"/>
  <c r="X41" i="44"/>
  <c r="R42" i="44"/>
  <c r="S42" i="44"/>
  <c r="T42" i="44"/>
  <c r="U42" i="44"/>
  <c r="V42" i="44"/>
  <c r="W42" i="44"/>
  <c r="X42" i="44"/>
  <c r="R43" i="44"/>
  <c r="S43" i="44"/>
  <c r="T43" i="44"/>
  <c r="U43" i="44"/>
  <c r="V43" i="44"/>
  <c r="W43" i="44"/>
  <c r="X43" i="44"/>
  <c r="R44" i="44"/>
  <c r="S44" i="44"/>
  <c r="T44" i="44"/>
  <c r="U44" i="44"/>
  <c r="V44" i="44"/>
  <c r="W44" i="44"/>
  <c r="X44" i="44"/>
  <c r="R45" i="44"/>
  <c r="S45" i="44"/>
  <c r="T45" i="44"/>
  <c r="U45" i="44"/>
  <c r="V45" i="44"/>
  <c r="W45" i="44"/>
  <c r="X45" i="44"/>
  <c r="Y45" i="44" s="1"/>
  <c r="R46" i="44"/>
  <c r="S46" i="44"/>
  <c r="T46" i="44"/>
  <c r="U46" i="44"/>
  <c r="V46" i="44"/>
  <c r="W46" i="44"/>
  <c r="X46" i="44"/>
  <c r="R47" i="44"/>
  <c r="S47" i="44"/>
  <c r="T47" i="44"/>
  <c r="U47" i="44"/>
  <c r="V47" i="44"/>
  <c r="W47" i="44"/>
  <c r="X47" i="44"/>
  <c r="R48" i="44"/>
  <c r="S48" i="44"/>
  <c r="T48" i="44"/>
  <c r="U48" i="44"/>
  <c r="V48" i="44"/>
  <c r="W48" i="44"/>
  <c r="X48" i="44"/>
  <c r="R49" i="44"/>
  <c r="S49" i="44"/>
  <c r="T49" i="44"/>
  <c r="U49" i="44"/>
  <c r="V49" i="44"/>
  <c r="W49" i="44"/>
  <c r="X49" i="44"/>
  <c r="R50" i="44"/>
  <c r="S50" i="44"/>
  <c r="T50" i="44"/>
  <c r="U50" i="44"/>
  <c r="V50" i="44"/>
  <c r="W50" i="44"/>
  <c r="X50" i="44"/>
  <c r="R51" i="44"/>
  <c r="S51" i="44"/>
  <c r="T51" i="44"/>
  <c r="U51" i="44"/>
  <c r="V51" i="44"/>
  <c r="W51" i="44"/>
  <c r="X51" i="44"/>
  <c r="R52" i="44"/>
  <c r="S52" i="44"/>
  <c r="U52" i="44"/>
  <c r="V52" i="44"/>
  <c r="W52" i="44"/>
  <c r="X52" i="44"/>
  <c r="R53" i="44"/>
  <c r="S53" i="44"/>
  <c r="T53" i="44"/>
  <c r="U53" i="44"/>
  <c r="V53" i="44"/>
  <c r="W53" i="44"/>
  <c r="X53" i="44"/>
  <c r="Y53" i="44" s="1"/>
  <c r="R54" i="44"/>
  <c r="S54" i="44"/>
  <c r="T54" i="44"/>
  <c r="U54" i="44"/>
  <c r="V54" i="44"/>
  <c r="W54" i="44"/>
  <c r="X54" i="44"/>
  <c r="R55" i="44"/>
  <c r="S55" i="44"/>
  <c r="U55" i="44"/>
  <c r="V55" i="44"/>
  <c r="W55" i="44"/>
  <c r="X55" i="44"/>
  <c r="R56" i="44"/>
  <c r="S56" i="44"/>
  <c r="T56" i="44"/>
  <c r="U56" i="44"/>
  <c r="V56" i="44"/>
  <c r="W56" i="44"/>
  <c r="X56" i="44"/>
  <c r="R57" i="44"/>
  <c r="S57" i="44"/>
  <c r="T57" i="44"/>
  <c r="U57" i="44"/>
  <c r="V57" i="44"/>
  <c r="W57" i="44"/>
  <c r="X57" i="44"/>
  <c r="R58" i="44"/>
  <c r="S58" i="44"/>
  <c r="T58" i="44"/>
  <c r="U58" i="44"/>
  <c r="V58" i="44"/>
  <c r="W58" i="44"/>
  <c r="X58" i="44"/>
  <c r="R59" i="44"/>
  <c r="S59" i="44"/>
  <c r="T59" i="44"/>
  <c r="U59" i="44"/>
  <c r="V59" i="44"/>
  <c r="W59" i="44"/>
  <c r="X59" i="44"/>
  <c r="R60" i="44"/>
  <c r="S60" i="44"/>
  <c r="T60" i="44"/>
  <c r="U60" i="44"/>
  <c r="V60" i="44"/>
  <c r="W60" i="44"/>
  <c r="X60" i="44"/>
  <c r="R61" i="44"/>
  <c r="S61" i="44"/>
  <c r="T61" i="44"/>
  <c r="U61" i="44"/>
  <c r="V61" i="44"/>
  <c r="W61" i="44"/>
  <c r="X61" i="44"/>
  <c r="R62" i="44"/>
  <c r="S62" i="44"/>
  <c r="T62" i="44"/>
  <c r="U62" i="44"/>
  <c r="V62" i="44"/>
  <c r="W62" i="44"/>
  <c r="X62" i="44"/>
  <c r="R63" i="44"/>
  <c r="S63" i="44"/>
  <c r="T63" i="44"/>
  <c r="U63" i="44"/>
  <c r="V63" i="44"/>
  <c r="W63" i="44"/>
  <c r="X63" i="44"/>
  <c r="R64" i="44"/>
  <c r="S64" i="44"/>
  <c r="T64" i="44"/>
  <c r="U64" i="44"/>
  <c r="V64" i="44"/>
  <c r="W64" i="44"/>
  <c r="X64" i="44"/>
  <c r="R65" i="44"/>
  <c r="S65" i="44"/>
  <c r="T65" i="44"/>
  <c r="U65" i="44"/>
  <c r="V65" i="44"/>
  <c r="W65" i="44"/>
  <c r="X65" i="44"/>
  <c r="R66" i="44"/>
  <c r="S66" i="44"/>
  <c r="T66" i="44"/>
  <c r="U66" i="44"/>
  <c r="V66" i="44"/>
  <c r="W66" i="44"/>
  <c r="X66" i="44"/>
  <c r="R67" i="44"/>
  <c r="S67" i="44"/>
  <c r="T67" i="44"/>
  <c r="U67" i="44"/>
  <c r="V67" i="44"/>
  <c r="W67" i="44"/>
  <c r="X67" i="44"/>
  <c r="R68" i="44"/>
  <c r="S68" i="44"/>
  <c r="T68" i="44"/>
  <c r="U68" i="44"/>
  <c r="V68" i="44"/>
  <c r="W68" i="44"/>
  <c r="X68" i="44"/>
  <c r="R69" i="44"/>
  <c r="S69" i="44"/>
  <c r="T69" i="44"/>
  <c r="U69" i="44"/>
  <c r="V69" i="44"/>
  <c r="W69" i="44"/>
  <c r="X69" i="44"/>
  <c r="R70" i="44"/>
  <c r="S70" i="44"/>
  <c r="T70" i="44"/>
  <c r="U70" i="44"/>
  <c r="V70" i="44"/>
  <c r="W70" i="44"/>
  <c r="X70" i="44"/>
  <c r="R71" i="44"/>
  <c r="S71" i="44"/>
  <c r="T71" i="44"/>
  <c r="U71" i="44"/>
  <c r="V71" i="44"/>
  <c r="W71" i="44"/>
  <c r="X71" i="44"/>
  <c r="R72" i="44"/>
  <c r="S72" i="44"/>
  <c r="U72" i="44"/>
  <c r="V72" i="44"/>
  <c r="W72" i="44"/>
  <c r="X72" i="44"/>
  <c r="R73" i="44"/>
  <c r="S73" i="44"/>
  <c r="T73" i="44"/>
  <c r="U73" i="44"/>
  <c r="V73" i="44"/>
  <c r="W73" i="44"/>
  <c r="X73" i="44"/>
  <c r="R74" i="44"/>
  <c r="S74" i="44"/>
  <c r="T74" i="44"/>
  <c r="U74" i="44"/>
  <c r="V74" i="44"/>
  <c r="W74" i="44"/>
  <c r="X74" i="44"/>
  <c r="R75" i="44"/>
  <c r="S75" i="44"/>
  <c r="T75" i="44"/>
  <c r="U75" i="44"/>
  <c r="V75" i="44"/>
  <c r="W75" i="44"/>
  <c r="X75" i="44"/>
  <c r="R76" i="44"/>
  <c r="S76" i="44"/>
  <c r="T76" i="44"/>
  <c r="U76" i="44"/>
  <c r="V76" i="44"/>
  <c r="W76" i="44"/>
  <c r="X76" i="44"/>
  <c r="R77" i="44"/>
  <c r="S77" i="44"/>
  <c r="T77" i="44"/>
  <c r="U77" i="44"/>
  <c r="V77" i="44"/>
  <c r="W77" i="44"/>
  <c r="X77" i="44"/>
  <c r="Y77" i="44" s="1"/>
  <c r="R78" i="44"/>
  <c r="S78" i="44"/>
  <c r="T78" i="44"/>
  <c r="U78" i="44"/>
  <c r="V78" i="44"/>
  <c r="W78" i="44"/>
  <c r="X78" i="44"/>
  <c r="R79" i="44"/>
  <c r="S79" i="44"/>
  <c r="T79" i="44"/>
  <c r="U79" i="44"/>
  <c r="V79" i="44"/>
  <c r="W79" i="44"/>
  <c r="X79" i="44"/>
  <c r="R80" i="44"/>
  <c r="S80" i="44"/>
  <c r="U80" i="44"/>
  <c r="V80" i="44"/>
  <c r="W80" i="44"/>
  <c r="X80" i="44"/>
  <c r="R81" i="44"/>
  <c r="S81" i="44"/>
  <c r="U81" i="44"/>
  <c r="V81" i="44"/>
  <c r="W81" i="44"/>
  <c r="X81" i="44"/>
  <c r="R82" i="44"/>
  <c r="S82" i="44"/>
  <c r="U82" i="44"/>
  <c r="V82" i="44"/>
  <c r="W82" i="44"/>
  <c r="X82" i="44"/>
  <c r="R83" i="44"/>
  <c r="S83" i="44"/>
  <c r="T83" i="44"/>
  <c r="U83" i="44"/>
  <c r="V83" i="44"/>
  <c r="W83" i="44"/>
  <c r="X83" i="44"/>
  <c r="R84" i="44"/>
  <c r="S84" i="44"/>
  <c r="T84" i="44"/>
  <c r="U84" i="44"/>
  <c r="V84" i="44"/>
  <c r="W84" i="44"/>
  <c r="X84" i="44"/>
  <c r="R85" i="44"/>
  <c r="S85" i="44"/>
  <c r="T85" i="44"/>
  <c r="U85" i="44"/>
  <c r="V85" i="44"/>
  <c r="W85" i="44"/>
  <c r="X85" i="44"/>
  <c r="R86" i="44"/>
  <c r="S86" i="44"/>
  <c r="T86" i="44"/>
  <c r="U86" i="44"/>
  <c r="V86" i="44"/>
  <c r="W86" i="44"/>
  <c r="X86" i="44"/>
  <c r="R87" i="44"/>
  <c r="S87" i="44"/>
  <c r="T87" i="44"/>
  <c r="U87" i="44"/>
  <c r="V87" i="44"/>
  <c r="W87" i="44"/>
  <c r="X87" i="44"/>
  <c r="R88" i="44"/>
  <c r="S88" i="44"/>
  <c r="T88" i="44"/>
  <c r="U88" i="44"/>
  <c r="V88" i="44"/>
  <c r="W88" i="44"/>
  <c r="X88" i="44"/>
  <c r="R89" i="44"/>
  <c r="S89" i="44"/>
  <c r="T89" i="44"/>
  <c r="U89" i="44"/>
  <c r="V89" i="44"/>
  <c r="W89" i="44"/>
  <c r="X89" i="44"/>
  <c r="R90" i="44"/>
  <c r="S90" i="44"/>
  <c r="U90" i="44"/>
  <c r="V90" i="44"/>
  <c r="W90" i="44"/>
  <c r="X90" i="44"/>
  <c r="R91" i="44"/>
  <c r="S91" i="44"/>
  <c r="T91" i="44"/>
  <c r="U91" i="44"/>
  <c r="V91" i="44"/>
  <c r="W91" i="44"/>
  <c r="X91" i="44"/>
  <c r="R92" i="44"/>
  <c r="S92" i="44"/>
  <c r="T92" i="44"/>
  <c r="U92" i="44"/>
  <c r="V92" i="44"/>
  <c r="W92" i="44"/>
  <c r="X92" i="44"/>
  <c r="R93" i="44"/>
  <c r="S93" i="44"/>
  <c r="T93" i="44"/>
  <c r="U93" i="44"/>
  <c r="V93" i="44"/>
  <c r="W93" i="44"/>
  <c r="X93" i="44"/>
  <c r="R94" i="44"/>
  <c r="S94" i="44"/>
  <c r="T94" i="44"/>
  <c r="U94" i="44"/>
  <c r="V94" i="44"/>
  <c r="W94" i="44"/>
  <c r="X94" i="44"/>
  <c r="R95" i="44"/>
  <c r="S95" i="44"/>
  <c r="T95" i="44"/>
  <c r="U95" i="44"/>
  <c r="V95" i="44"/>
  <c r="W95" i="44"/>
  <c r="X95" i="44"/>
  <c r="R96" i="44"/>
  <c r="S96" i="44"/>
  <c r="T96" i="44"/>
  <c r="U96" i="44"/>
  <c r="V96" i="44"/>
  <c r="W96" i="44"/>
  <c r="X96" i="44"/>
  <c r="Y96" i="44" s="1"/>
  <c r="R97" i="44"/>
  <c r="S97" i="44"/>
  <c r="T97" i="44"/>
  <c r="U97" i="44"/>
  <c r="V97" i="44"/>
  <c r="W97" i="44"/>
  <c r="X97" i="44"/>
  <c r="R98" i="44"/>
  <c r="S98" i="44"/>
  <c r="T98" i="44"/>
  <c r="U98" i="44"/>
  <c r="V98" i="44"/>
  <c r="W98" i="44"/>
  <c r="X98" i="44"/>
  <c r="R99" i="44"/>
  <c r="S99" i="44"/>
  <c r="T99" i="44"/>
  <c r="U99" i="44"/>
  <c r="V99" i="44"/>
  <c r="W99" i="44"/>
  <c r="X99" i="44"/>
  <c r="R100" i="44"/>
  <c r="S100" i="44"/>
  <c r="T100" i="44"/>
  <c r="U100" i="44"/>
  <c r="V100" i="44"/>
  <c r="W100" i="44"/>
  <c r="X100" i="44"/>
  <c r="R101" i="44"/>
  <c r="S101" i="44"/>
  <c r="U101" i="44"/>
  <c r="V101" i="44"/>
  <c r="W101" i="44"/>
  <c r="X101" i="44"/>
  <c r="R102" i="44"/>
  <c r="S102" i="44"/>
  <c r="U102" i="44"/>
  <c r="V102" i="44"/>
  <c r="W102" i="44"/>
  <c r="X102" i="44"/>
  <c r="R103" i="44"/>
  <c r="S103" i="44"/>
  <c r="U103" i="44"/>
  <c r="V103" i="44"/>
  <c r="W103" i="44"/>
  <c r="X103" i="44"/>
  <c r="R104" i="44"/>
  <c r="S104" i="44"/>
  <c r="T104" i="44"/>
  <c r="U104" i="44"/>
  <c r="V104" i="44"/>
  <c r="W104" i="44"/>
  <c r="X104" i="44"/>
  <c r="R105" i="44"/>
  <c r="S105" i="44"/>
  <c r="T105" i="44"/>
  <c r="U105" i="44"/>
  <c r="V105" i="44"/>
  <c r="W105" i="44"/>
  <c r="X105" i="44"/>
  <c r="R106" i="44"/>
  <c r="S106" i="44"/>
  <c r="T106" i="44"/>
  <c r="U106" i="44"/>
  <c r="V106" i="44"/>
  <c r="W106" i="44"/>
  <c r="X106" i="44"/>
  <c r="R107" i="44"/>
  <c r="S107" i="44"/>
  <c r="T107" i="44"/>
  <c r="U107" i="44"/>
  <c r="V107" i="44"/>
  <c r="W107" i="44"/>
  <c r="X107" i="44"/>
  <c r="R108" i="44"/>
  <c r="S108" i="44"/>
  <c r="T108" i="44"/>
  <c r="U108" i="44"/>
  <c r="V108" i="44"/>
  <c r="W108" i="44"/>
  <c r="X108" i="44"/>
  <c r="R109" i="44"/>
  <c r="S109" i="44"/>
  <c r="T109" i="44"/>
  <c r="U109" i="44"/>
  <c r="V109" i="44"/>
  <c r="W109" i="44"/>
  <c r="X109" i="44"/>
  <c r="R110" i="44"/>
  <c r="S110" i="44"/>
  <c r="T110" i="44"/>
  <c r="U110" i="44"/>
  <c r="V110" i="44"/>
  <c r="W110" i="44"/>
  <c r="X110" i="44"/>
  <c r="R111" i="44"/>
  <c r="S111" i="44"/>
  <c r="T111" i="44"/>
  <c r="U111" i="44"/>
  <c r="V111" i="44"/>
  <c r="W111" i="44"/>
  <c r="X111" i="44"/>
  <c r="R112" i="44"/>
  <c r="S112" i="44"/>
  <c r="U112" i="44"/>
  <c r="V112" i="44"/>
  <c r="W112" i="44"/>
  <c r="X112" i="44"/>
  <c r="R113" i="44"/>
  <c r="S113" i="44"/>
  <c r="U113" i="44"/>
  <c r="V113" i="44"/>
  <c r="W113" i="44"/>
  <c r="X113" i="44"/>
  <c r="R114" i="44"/>
  <c r="S114" i="44"/>
  <c r="U114" i="44"/>
  <c r="V114" i="44"/>
  <c r="W114" i="44"/>
  <c r="X114" i="44"/>
  <c r="R115" i="44"/>
  <c r="S115" i="44"/>
  <c r="T115" i="44"/>
  <c r="U115" i="44"/>
  <c r="V115" i="44"/>
  <c r="W115" i="44"/>
  <c r="X115" i="44"/>
  <c r="R116" i="44"/>
  <c r="S116" i="44"/>
  <c r="T116" i="44"/>
  <c r="U116" i="44"/>
  <c r="V116" i="44"/>
  <c r="W116" i="44"/>
  <c r="X116" i="44"/>
  <c r="R117" i="44"/>
  <c r="S117" i="44"/>
  <c r="T117" i="44"/>
  <c r="U117" i="44"/>
  <c r="V117" i="44"/>
  <c r="W117" i="44"/>
  <c r="X117" i="44"/>
  <c r="Y117" i="44" s="1"/>
  <c r="R118" i="44"/>
  <c r="S118" i="44"/>
  <c r="U118" i="44"/>
  <c r="V118" i="44"/>
  <c r="W118" i="44"/>
  <c r="X118" i="44"/>
  <c r="R119" i="44"/>
  <c r="S119" i="44"/>
  <c r="T119" i="44"/>
  <c r="U119" i="44"/>
  <c r="V119" i="44"/>
  <c r="W119" i="44"/>
  <c r="X119" i="44"/>
  <c r="R120" i="44"/>
  <c r="S120" i="44"/>
  <c r="T120" i="44"/>
  <c r="U120" i="44"/>
  <c r="V120" i="44"/>
  <c r="W120" i="44"/>
  <c r="X120" i="44"/>
  <c r="R121" i="44"/>
  <c r="S121" i="44"/>
  <c r="T121" i="44"/>
  <c r="U121" i="44"/>
  <c r="V121" i="44"/>
  <c r="W121" i="44"/>
  <c r="X121" i="44"/>
  <c r="R122" i="44"/>
  <c r="S122" i="44"/>
  <c r="T122" i="44"/>
  <c r="U122" i="44"/>
  <c r="V122" i="44"/>
  <c r="W122" i="44"/>
  <c r="X122" i="44"/>
  <c r="R123" i="44"/>
  <c r="S123" i="44"/>
  <c r="T123" i="44"/>
  <c r="U123" i="44"/>
  <c r="V123" i="44"/>
  <c r="W123" i="44"/>
  <c r="X123" i="44"/>
  <c r="Y123" i="44" s="1"/>
  <c r="R124" i="44"/>
  <c r="S124" i="44"/>
  <c r="T124" i="44"/>
  <c r="U124" i="44"/>
  <c r="V124" i="44"/>
  <c r="W124" i="44"/>
  <c r="X124" i="44"/>
  <c r="R125" i="44"/>
  <c r="S125" i="44"/>
  <c r="T125" i="44"/>
  <c r="U125" i="44"/>
  <c r="V125" i="44"/>
  <c r="W125" i="44"/>
  <c r="X125" i="44"/>
  <c r="R126" i="44"/>
  <c r="S126" i="44"/>
  <c r="T126" i="44"/>
  <c r="U126" i="44"/>
  <c r="V126" i="44"/>
  <c r="W126" i="44"/>
  <c r="X126" i="44"/>
  <c r="R127" i="44"/>
  <c r="S127" i="44"/>
  <c r="T127" i="44"/>
  <c r="U127" i="44"/>
  <c r="V127" i="44"/>
  <c r="W127" i="44"/>
  <c r="X127" i="44"/>
  <c r="R128" i="44"/>
  <c r="S128" i="44"/>
  <c r="T128" i="44"/>
  <c r="U128" i="44"/>
  <c r="V128" i="44"/>
  <c r="W128" i="44"/>
  <c r="X128" i="44"/>
  <c r="R129" i="44"/>
  <c r="S129" i="44"/>
  <c r="T129" i="44"/>
  <c r="U129" i="44"/>
  <c r="V129" i="44"/>
  <c r="W129" i="44"/>
  <c r="X129" i="44"/>
  <c r="Y129" i="44" s="1"/>
  <c r="R130" i="44"/>
  <c r="S130" i="44"/>
  <c r="T130" i="44"/>
  <c r="U130" i="44"/>
  <c r="V130" i="44"/>
  <c r="W130" i="44"/>
  <c r="X130" i="44"/>
  <c r="R131" i="44"/>
  <c r="S131" i="44"/>
  <c r="T131" i="44"/>
  <c r="U131" i="44"/>
  <c r="V131" i="44"/>
  <c r="W131" i="44"/>
  <c r="X131" i="44"/>
  <c r="R132" i="44"/>
  <c r="S132" i="44"/>
  <c r="T132" i="44"/>
  <c r="U132" i="44"/>
  <c r="V132" i="44"/>
  <c r="W132" i="44"/>
  <c r="X132" i="44"/>
  <c r="R133" i="44"/>
  <c r="S133" i="44"/>
  <c r="T133" i="44"/>
  <c r="U133" i="44"/>
  <c r="V133" i="44"/>
  <c r="W133" i="44"/>
  <c r="X133" i="44"/>
  <c r="R134" i="44"/>
  <c r="S134" i="44"/>
  <c r="T134" i="44"/>
  <c r="U134" i="44"/>
  <c r="V134" i="44"/>
  <c r="W134" i="44"/>
  <c r="X134" i="44"/>
  <c r="R135" i="44"/>
  <c r="S135" i="44"/>
  <c r="T135" i="44"/>
  <c r="U135" i="44"/>
  <c r="V135" i="44"/>
  <c r="W135" i="44"/>
  <c r="X135" i="44"/>
  <c r="R136" i="44"/>
  <c r="S136" i="44"/>
  <c r="T136" i="44"/>
  <c r="U136" i="44"/>
  <c r="V136" i="44"/>
  <c r="W136" i="44"/>
  <c r="X136" i="44"/>
  <c r="R137" i="44"/>
  <c r="S137" i="44"/>
  <c r="T137" i="44"/>
  <c r="U137" i="44"/>
  <c r="V137" i="44"/>
  <c r="W137" i="44"/>
  <c r="X137" i="44"/>
  <c r="Y137" i="44" s="1"/>
  <c r="R138" i="44"/>
  <c r="S138" i="44"/>
  <c r="T138" i="44"/>
  <c r="U138" i="44"/>
  <c r="V138" i="44"/>
  <c r="W138" i="44"/>
  <c r="X138" i="44"/>
  <c r="R139" i="44"/>
  <c r="S139" i="44"/>
  <c r="T139" i="44"/>
  <c r="U139" i="44"/>
  <c r="V139" i="44"/>
  <c r="W139" i="44"/>
  <c r="X139" i="44"/>
  <c r="R140" i="44"/>
  <c r="S140" i="44"/>
  <c r="T140" i="44"/>
  <c r="U140" i="44"/>
  <c r="V140" i="44"/>
  <c r="W140" i="44"/>
  <c r="X140" i="44"/>
  <c r="R141" i="44"/>
  <c r="S141" i="44"/>
  <c r="T141" i="44"/>
  <c r="U141" i="44"/>
  <c r="V141" i="44"/>
  <c r="W141" i="44"/>
  <c r="X141" i="44"/>
  <c r="R142" i="44"/>
  <c r="S142" i="44"/>
  <c r="T142" i="44"/>
  <c r="U142" i="44"/>
  <c r="V142" i="44"/>
  <c r="W142" i="44"/>
  <c r="X142" i="44"/>
  <c r="R143" i="44"/>
  <c r="S143" i="44"/>
  <c r="T143" i="44"/>
  <c r="U143" i="44"/>
  <c r="V143" i="44"/>
  <c r="W143" i="44"/>
  <c r="X143" i="44"/>
  <c r="R144" i="44"/>
  <c r="S144" i="44"/>
  <c r="T144" i="44"/>
  <c r="U144" i="44"/>
  <c r="V144" i="44"/>
  <c r="W144" i="44"/>
  <c r="X144" i="44"/>
  <c r="R145" i="44"/>
  <c r="S145" i="44"/>
  <c r="T145" i="44"/>
  <c r="U145" i="44"/>
  <c r="V145" i="44"/>
  <c r="W145" i="44"/>
  <c r="X145" i="44"/>
  <c r="R146" i="44"/>
  <c r="S146" i="44"/>
  <c r="T146" i="44"/>
  <c r="U146" i="44"/>
  <c r="V146" i="44"/>
  <c r="W146" i="44"/>
  <c r="X146" i="44"/>
  <c r="R147" i="44"/>
  <c r="S147" i="44"/>
  <c r="T147" i="44"/>
  <c r="U147" i="44"/>
  <c r="V147" i="44"/>
  <c r="W147" i="44"/>
  <c r="X147" i="44"/>
  <c r="R148" i="44"/>
  <c r="S148" i="44"/>
  <c r="T148" i="44"/>
  <c r="U148" i="44"/>
  <c r="V148" i="44"/>
  <c r="W148" i="44"/>
  <c r="X148" i="44"/>
  <c r="R149" i="44"/>
  <c r="S149" i="44"/>
  <c r="T149" i="44"/>
  <c r="U149" i="44"/>
  <c r="V149" i="44"/>
  <c r="W149" i="44"/>
  <c r="X149" i="44"/>
  <c r="R150" i="44"/>
  <c r="S150" i="44"/>
  <c r="T150" i="44"/>
  <c r="U150" i="44"/>
  <c r="V150" i="44"/>
  <c r="W150" i="44"/>
  <c r="X150" i="44"/>
  <c r="R151" i="44"/>
  <c r="S151" i="44"/>
  <c r="T151" i="44"/>
  <c r="U151" i="44"/>
  <c r="V151" i="44"/>
  <c r="W151" i="44"/>
  <c r="X151" i="44"/>
  <c r="Y151" i="44" s="1"/>
  <c r="R152" i="44"/>
  <c r="S152" i="44"/>
  <c r="T152" i="44"/>
  <c r="U152" i="44"/>
  <c r="V152" i="44"/>
  <c r="W152" i="44"/>
  <c r="X152" i="44"/>
  <c r="R153" i="44"/>
  <c r="S153" i="44"/>
  <c r="T153" i="44"/>
  <c r="U153" i="44"/>
  <c r="V153" i="44"/>
  <c r="W153" i="44"/>
  <c r="X153" i="44"/>
  <c r="Y153" i="44" s="1"/>
  <c r="R154" i="44"/>
  <c r="S154" i="44"/>
  <c r="T154" i="44"/>
  <c r="U154" i="44"/>
  <c r="V154" i="44"/>
  <c r="W154" i="44"/>
  <c r="X154" i="44"/>
  <c r="R155" i="44"/>
  <c r="S155" i="44"/>
  <c r="T155" i="44"/>
  <c r="U155" i="44"/>
  <c r="V155" i="44"/>
  <c r="W155" i="44"/>
  <c r="X155" i="44"/>
  <c r="Y155" i="44" s="1"/>
  <c r="R156" i="44"/>
  <c r="S156" i="44"/>
  <c r="T156" i="44"/>
  <c r="U156" i="44"/>
  <c r="V156" i="44"/>
  <c r="W156" i="44"/>
  <c r="X156" i="44"/>
  <c r="R157" i="44"/>
  <c r="S157" i="44"/>
  <c r="T157" i="44"/>
  <c r="U157" i="44"/>
  <c r="V157" i="44"/>
  <c r="W157" i="44"/>
  <c r="X157" i="44"/>
  <c r="R158" i="44"/>
  <c r="S158" i="44"/>
  <c r="T158" i="44"/>
  <c r="U158" i="44"/>
  <c r="V158" i="44"/>
  <c r="W158" i="44"/>
  <c r="X158" i="44"/>
  <c r="R159" i="44"/>
  <c r="S159" i="44"/>
  <c r="T159" i="44"/>
  <c r="U159" i="44"/>
  <c r="V159" i="44"/>
  <c r="W159" i="44"/>
  <c r="X159" i="44"/>
  <c r="R160" i="44"/>
  <c r="S160" i="44"/>
  <c r="T160" i="44"/>
  <c r="U160" i="44"/>
  <c r="V160" i="44"/>
  <c r="W160" i="44"/>
  <c r="X160" i="44"/>
  <c r="R161" i="44"/>
  <c r="S161" i="44"/>
  <c r="T161" i="44"/>
  <c r="U161" i="44"/>
  <c r="V161" i="44"/>
  <c r="W161" i="44"/>
  <c r="X161" i="44"/>
  <c r="Y161" i="44" s="1"/>
  <c r="R162" i="44"/>
  <c r="S162" i="44"/>
  <c r="T162" i="44"/>
  <c r="U162" i="44"/>
  <c r="V162" i="44"/>
  <c r="W162" i="44"/>
  <c r="X162" i="44"/>
  <c r="R163" i="44"/>
  <c r="S163" i="44"/>
  <c r="T163" i="44"/>
  <c r="U163" i="44"/>
  <c r="V163" i="44"/>
  <c r="W163" i="44"/>
  <c r="X163" i="44"/>
  <c r="Y163" i="44" s="1"/>
  <c r="R164" i="44"/>
  <c r="S164" i="44"/>
  <c r="T164" i="44"/>
  <c r="U164" i="44"/>
  <c r="V164" i="44"/>
  <c r="W164" i="44"/>
  <c r="X164" i="44"/>
  <c r="R165" i="44"/>
  <c r="S165" i="44"/>
  <c r="T165" i="44"/>
  <c r="U165" i="44"/>
  <c r="V165" i="44"/>
  <c r="W165" i="44"/>
  <c r="X165" i="44"/>
  <c r="Y165" i="44" s="1"/>
  <c r="R166" i="44"/>
  <c r="S166" i="44"/>
  <c r="T166" i="44"/>
  <c r="U166" i="44"/>
  <c r="V166" i="44"/>
  <c r="W166" i="44"/>
  <c r="X166" i="44"/>
  <c r="R167" i="44"/>
  <c r="S167" i="44"/>
  <c r="T167" i="44"/>
  <c r="U167" i="44"/>
  <c r="V167" i="44"/>
  <c r="W167" i="44"/>
  <c r="X167" i="44"/>
  <c r="Y167" i="44" s="1"/>
  <c r="R168" i="44"/>
  <c r="S168" i="44"/>
  <c r="T168" i="44"/>
  <c r="U168" i="44"/>
  <c r="V168" i="44"/>
  <c r="W168" i="44"/>
  <c r="X168" i="44"/>
  <c r="R169" i="44"/>
  <c r="S169" i="44"/>
  <c r="T169" i="44"/>
  <c r="U169" i="44"/>
  <c r="V169" i="44"/>
  <c r="W169" i="44"/>
  <c r="X169" i="44"/>
  <c r="Y169" i="44" s="1"/>
  <c r="R170" i="44"/>
  <c r="S170" i="44"/>
  <c r="T170" i="44"/>
  <c r="U170" i="44"/>
  <c r="V170" i="44"/>
  <c r="W170" i="44"/>
  <c r="X170" i="44"/>
  <c r="R171" i="44"/>
  <c r="S171" i="44"/>
  <c r="T171" i="44"/>
  <c r="U171" i="44"/>
  <c r="V171" i="44"/>
  <c r="W171" i="44"/>
  <c r="X171" i="44"/>
  <c r="R172" i="44"/>
  <c r="S172" i="44"/>
  <c r="T172" i="44"/>
  <c r="U172" i="44"/>
  <c r="V172" i="44"/>
  <c r="W172" i="44"/>
  <c r="X172" i="44"/>
  <c r="R173" i="44"/>
  <c r="S173" i="44"/>
  <c r="T173" i="44"/>
  <c r="U173" i="44"/>
  <c r="V173" i="44"/>
  <c r="W173" i="44"/>
  <c r="X173" i="44"/>
  <c r="Y173" i="44" s="1"/>
  <c r="R174" i="44"/>
  <c r="S174" i="44"/>
  <c r="T174" i="44"/>
  <c r="U174" i="44"/>
  <c r="V174" i="44"/>
  <c r="W174" i="44"/>
  <c r="X174" i="44"/>
  <c r="R176" i="44"/>
  <c r="S176" i="44"/>
  <c r="T176" i="44"/>
  <c r="U176" i="44"/>
  <c r="V176" i="44"/>
  <c r="W176" i="44"/>
  <c r="X176" i="44"/>
  <c r="Y176" i="44" s="1"/>
  <c r="R175" i="44"/>
  <c r="S175" i="44"/>
  <c r="T175" i="44"/>
  <c r="U175" i="44"/>
  <c r="V175" i="44"/>
  <c r="W175" i="44"/>
  <c r="X175" i="44"/>
  <c r="R177" i="44"/>
  <c r="S177" i="44"/>
  <c r="T177" i="44"/>
  <c r="U177" i="44"/>
  <c r="V177" i="44"/>
  <c r="W177" i="44"/>
  <c r="X177" i="44"/>
  <c r="Y177" i="44" s="1"/>
  <c r="R179" i="44"/>
  <c r="S179" i="44"/>
  <c r="T179" i="44"/>
  <c r="U179" i="44"/>
  <c r="V179" i="44"/>
  <c r="W179" i="44"/>
  <c r="X179" i="44"/>
  <c r="R178" i="44"/>
  <c r="S178" i="44"/>
  <c r="T178" i="44"/>
  <c r="U178" i="44"/>
  <c r="V178" i="44"/>
  <c r="W178" i="44"/>
  <c r="X178" i="44"/>
  <c r="Y178" i="44" s="1"/>
  <c r="R182" i="44"/>
  <c r="S182" i="44"/>
  <c r="T182" i="44"/>
  <c r="U182" i="44"/>
  <c r="V182" i="44"/>
  <c r="W182" i="44"/>
  <c r="X182" i="44"/>
  <c r="R180" i="44"/>
  <c r="S180" i="44"/>
  <c r="T180" i="44"/>
  <c r="U180" i="44"/>
  <c r="V180" i="44"/>
  <c r="W180" i="44"/>
  <c r="X180" i="44"/>
  <c r="R181" i="44"/>
  <c r="S181" i="44"/>
  <c r="T181" i="44"/>
  <c r="U181" i="44"/>
  <c r="V181" i="44"/>
  <c r="W181" i="44"/>
  <c r="X181" i="44"/>
  <c r="R183" i="44"/>
  <c r="S183" i="44"/>
  <c r="T183" i="44"/>
  <c r="U183" i="44"/>
  <c r="V183" i="44"/>
  <c r="W183" i="44"/>
  <c r="X183" i="44"/>
  <c r="Y183" i="44" s="1"/>
  <c r="R184" i="44"/>
  <c r="S184" i="44"/>
  <c r="T184" i="44"/>
  <c r="U184" i="44"/>
  <c r="V184" i="44"/>
  <c r="W184" i="44"/>
  <c r="X184" i="44"/>
  <c r="R185" i="44"/>
  <c r="S185" i="44"/>
  <c r="T185" i="44"/>
  <c r="U185" i="44"/>
  <c r="V185" i="44"/>
  <c r="W185" i="44"/>
  <c r="X185" i="44"/>
  <c r="Y185" i="44" s="1"/>
  <c r="R186" i="44"/>
  <c r="S186" i="44"/>
  <c r="T186" i="44"/>
  <c r="U186" i="44"/>
  <c r="V186" i="44"/>
  <c r="W186" i="44"/>
  <c r="X186" i="44"/>
  <c r="R187" i="44"/>
  <c r="S187" i="44"/>
  <c r="T187" i="44"/>
  <c r="U187" i="44"/>
  <c r="V187" i="44"/>
  <c r="W187" i="44"/>
  <c r="X187" i="44"/>
  <c r="R188" i="44"/>
  <c r="S188" i="44"/>
  <c r="T188" i="44"/>
  <c r="U188" i="44"/>
  <c r="V188" i="44"/>
  <c r="W188" i="44"/>
  <c r="X188" i="44"/>
  <c r="R189" i="44"/>
  <c r="S189" i="44"/>
  <c r="T189" i="44"/>
  <c r="U189" i="44"/>
  <c r="V189" i="44"/>
  <c r="W189" i="44"/>
  <c r="X189" i="44"/>
  <c r="Y189" i="44" s="1"/>
  <c r="R190" i="44"/>
  <c r="S190" i="44"/>
  <c r="T190" i="44"/>
  <c r="U190" i="44"/>
  <c r="V190" i="44"/>
  <c r="W190" i="44"/>
  <c r="X190" i="44"/>
  <c r="R191" i="44"/>
  <c r="S191" i="44"/>
  <c r="T191" i="44"/>
  <c r="U191" i="44"/>
  <c r="V191" i="44"/>
  <c r="W191" i="44"/>
  <c r="X191" i="44"/>
  <c r="Y191" i="44" s="1"/>
  <c r="R198" i="44"/>
  <c r="S198" i="44"/>
  <c r="T198" i="44"/>
  <c r="U198" i="44"/>
  <c r="V198" i="44"/>
  <c r="W198" i="44"/>
  <c r="X198" i="44"/>
  <c r="R193" i="44"/>
  <c r="S193" i="44"/>
  <c r="T193" i="44"/>
  <c r="U193" i="44"/>
  <c r="V193" i="44"/>
  <c r="W193" i="44"/>
  <c r="X193" i="44"/>
  <c r="Y193" i="44" s="1"/>
  <c r="R197" i="44"/>
  <c r="S197" i="44"/>
  <c r="T197" i="44"/>
  <c r="U197" i="44"/>
  <c r="V197" i="44"/>
  <c r="W197" i="44"/>
  <c r="X197" i="44"/>
  <c r="R192" i="44"/>
  <c r="S192" i="44"/>
  <c r="T192" i="44"/>
  <c r="U192" i="44"/>
  <c r="V192" i="44"/>
  <c r="W192" i="44"/>
  <c r="X192" i="44"/>
  <c r="Y192" i="44" s="1"/>
  <c r="R194" i="44"/>
  <c r="S194" i="44"/>
  <c r="T194" i="44"/>
  <c r="U194" i="44"/>
  <c r="V194" i="44"/>
  <c r="W194" i="44"/>
  <c r="X194" i="44"/>
  <c r="R199" i="44"/>
  <c r="S199" i="44"/>
  <c r="U199" i="44"/>
  <c r="V199" i="44"/>
  <c r="W199" i="44"/>
  <c r="X199" i="44"/>
  <c r="R195" i="44"/>
  <c r="S195" i="44"/>
  <c r="U195" i="44"/>
  <c r="V195" i="44"/>
  <c r="W195" i="44"/>
  <c r="X195" i="44"/>
  <c r="R196" i="44"/>
  <c r="S196" i="44"/>
  <c r="U196" i="44"/>
  <c r="V196" i="44"/>
  <c r="W196" i="44"/>
  <c r="X196" i="44"/>
  <c r="R200" i="44"/>
  <c r="S200" i="44"/>
  <c r="T200" i="44"/>
  <c r="U200" i="44"/>
  <c r="V200" i="44"/>
  <c r="W200" i="44"/>
  <c r="X200" i="44"/>
  <c r="Y200" i="44" s="1"/>
  <c r="R201" i="44"/>
  <c r="S201" i="44"/>
  <c r="T201" i="44"/>
  <c r="U201" i="44"/>
  <c r="V201" i="44"/>
  <c r="W201" i="44"/>
  <c r="X201" i="44"/>
  <c r="R202" i="44"/>
  <c r="S202" i="44"/>
  <c r="T202" i="44"/>
  <c r="U202" i="44"/>
  <c r="V202" i="44"/>
  <c r="W202" i="44"/>
  <c r="X202" i="44"/>
  <c r="R203" i="44"/>
  <c r="S203" i="44"/>
  <c r="T203" i="44"/>
  <c r="U203" i="44"/>
  <c r="V203" i="44"/>
  <c r="W203" i="44"/>
  <c r="X203" i="44"/>
  <c r="Y203" i="44" s="1"/>
  <c r="R204" i="44"/>
  <c r="S204" i="44"/>
  <c r="T204" i="44"/>
  <c r="U204" i="44"/>
  <c r="V204" i="44"/>
  <c r="W204" i="44"/>
  <c r="X204" i="44"/>
  <c r="R205" i="44"/>
  <c r="S205" i="44"/>
  <c r="T205" i="44"/>
  <c r="U205" i="44"/>
  <c r="V205" i="44"/>
  <c r="W205" i="44"/>
  <c r="X205" i="44"/>
  <c r="R206" i="44"/>
  <c r="S206" i="44"/>
  <c r="T206" i="44"/>
  <c r="U206" i="44"/>
  <c r="V206" i="44"/>
  <c r="W206" i="44"/>
  <c r="X206" i="44"/>
  <c r="Y206" i="44" s="1"/>
  <c r="R210" i="44"/>
  <c r="S210" i="44"/>
  <c r="T210" i="44"/>
  <c r="U210" i="44"/>
  <c r="V210" i="44"/>
  <c r="W210" i="44"/>
  <c r="X210" i="44"/>
  <c r="R208" i="44"/>
  <c r="S208" i="44"/>
  <c r="T208" i="44"/>
  <c r="U208" i="44"/>
  <c r="V208" i="44"/>
  <c r="W208" i="44"/>
  <c r="X208" i="44"/>
  <c r="R209" i="44"/>
  <c r="S209" i="44"/>
  <c r="T209" i="44"/>
  <c r="U209" i="44"/>
  <c r="V209" i="44"/>
  <c r="W209" i="44"/>
  <c r="X209" i="44"/>
  <c r="R207" i="44"/>
  <c r="S207" i="44"/>
  <c r="T207" i="44"/>
  <c r="U207" i="44"/>
  <c r="V207" i="44"/>
  <c r="W207" i="44"/>
  <c r="X207" i="44"/>
  <c r="R211" i="44"/>
  <c r="S211" i="44"/>
  <c r="T211" i="44"/>
  <c r="U211" i="44"/>
  <c r="V211" i="44"/>
  <c r="W211" i="44"/>
  <c r="X211" i="44"/>
  <c r="R212" i="44"/>
  <c r="S212" i="44"/>
  <c r="T212" i="44"/>
  <c r="U212" i="44"/>
  <c r="V212" i="44"/>
  <c r="W212" i="44"/>
  <c r="X212" i="44"/>
  <c r="R213" i="44"/>
  <c r="S213" i="44"/>
  <c r="T213" i="44"/>
  <c r="U213" i="44"/>
  <c r="V213" i="44"/>
  <c r="W213" i="44"/>
  <c r="X213" i="44"/>
  <c r="Y213" i="44" s="1"/>
  <c r="R214" i="44"/>
  <c r="S214" i="44"/>
  <c r="U214" i="44"/>
  <c r="V214" i="44"/>
  <c r="W214" i="44"/>
  <c r="X214" i="44"/>
  <c r="R215" i="44"/>
  <c r="S215" i="44"/>
  <c r="T215" i="44"/>
  <c r="U215" i="44"/>
  <c r="V215" i="44"/>
  <c r="W215" i="44"/>
  <c r="X215" i="44"/>
  <c r="Y215" i="44" s="1"/>
  <c r="R216" i="44"/>
  <c r="S216" i="44"/>
  <c r="T216" i="44"/>
  <c r="U216" i="44"/>
  <c r="V216" i="44"/>
  <c r="W216" i="44"/>
  <c r="X216" i="44"/>
  <c r="R218" i="44"/>
  <c r="S218" i="44"/>
  <c r="T218" i="44"/>
  <c r="U218" i="44"/>
  <c r="V218" i="44"/>
  <c r="W218" i="44"/>
  <c r="X218" i="44"/>
  <c r="Y218" i="44" s="1"/>
  <c r="R219" i="44"/>
  <c r="S219" i="44"/>
  <c r="T219" i="44"/>
  <c r="U219" i="44"/>
  <c r="V219" i="44"/>
  <c r="W219" i="44"/>
  <c r="X219" i="44"/>
  <c r="R217" i="44"/>
  <c r="S217" i="44"/>
  <c r="T217" i="44"/>
  <c r="U217" i="44"/>
  <c r="V217" i="44"/>
  <c r="W217" i="44"/>
  <c r="X217" i="44"/>
  <c r="Y217" i="44" s="1"/>
  <c r="R220" i="44"/>
  <c r="S220" i="44"/>
  <c r="T220" i="44"/>
  <c r="U220" i="44"/>
  <c r="V220" i="44"/>
  <c r="W220" i="44"/>
  <c r="X220" i="44"/>
  <c r="R222" i="44"/>
  <c r="S222" i="44"/>
  <c r="T222" i="44"/>
  <c r="U222" i="44"/>
  <c r="V222" i="44"/>
  <c r="W222" i="44"/>
  <c r="X222" i="44"/>
  <c r="R223" i="44"/>
  <c r="S223" i="44"/>
  <c r="T223" i="44"/>
  <c r="U223" i="44"/>
  <c r="V223" i="44"/>
  <c r="W223" i="44"/>
  <c r="X223" i="44"/>
  <c r="R221" i="44"/>
  <c r="S221" i="44"/>
  <c r="T221" i="44"/>
  <c r="U221" i="44"/>
  <c r="V221" i="44"/>
  <c r="W221" i="44"/>
  <c r="X221" i="44"/>
  <c r="R224" i="44"/>
  <c r="S224" i="44"/>
  <c r="T224" i="44"/>
  <c r="U224" i="44"/>
  <c r="V224" i="44"/>
  <c r="W224" i="44"/>
  <c r="X224" i="44"/>
  <c r="R225" i="44"/>
  <c r="S225" i="44"/>
  <c r="T225" i="44"/>
  <c r="U225" i="44"/>
  <c r="V225" i="44"/>
  <c r="W225" i="44"/>
  <c r="X225" i="44"/>
  <c r="Y225" i="44" s="1"/>
  <c r="R226" i="44"/>
  <c r="S226" i="44"/>
  <c r="T226" i="44"/>
  <c r="U226" i="44"/>
  <c r="V226" i="44"/>
  <c r="W226" i="44"/>
  <c r="X226" i="44"/>
  <c r="R227" i="44"/>
  <c r="S227" i="44"/>
  <c r="T227" i="44"/>
  <c r="U227" i="44"/>
  <c r="V227" i="44"/>
  <c r="W227" i="44"/>
  <c r="X227" i="44"/>
  <c r="Y227" i="44" s="1"/>
  <c r="R228" i="44"/>
  <c r="S228" i="44"/>
  <c r="T228" i="44"/>
  <c r="U228" i="44"/>
  <c r="V228" i="44"/>
  <c r="W228" i="44"/>
  <c r="X228" i="44"/>
  <c r="R229" i="44"/>
  <c r="S229" i="44"/>
  <c r="T229" i="44"/>
  <c r="U229" i="44"/>
  <c r="V229" i="44"/>
  <c r="W229" i="44"/>
  <c r="X229" i="44"/>
  <c r="Y229" i="44" s="1"/>
  <c r="R230" i="44"/>
  <c r="S230" i="44"/>
  <c r="T230" i="44"/>
  <c r="U230" i="44"/>
  <c r="V230" i="44"/>
  <c r="W230" i="44"/>
  <c r="X230" i="44"/>
  <c r="R231" i="44"/>
  <c r="S231" i="44"/>
  <c r="T231" i="44"/>
  <c r="U231" i="44"/>
  <c r="V231" i="44"/>
  <c r="W231" i="44"/>
  <c r="X231" i="44"/>
  <c r="Y231" i="44" s="1"/>
  <c r="R235" i="44"/>
  <c r="S235" i="44"/>
  <c r="T235" i="44"/>
  <c r="U235" i="44"/>
  <c r="V235" i="44"/>
  <c r="W235" i="44"/>
  <c r="X235" i="44"/>
  <c r="R233" i="44"/>
  <c r="S233" i="44"/>
  <c r="T233" i="44"/>
  <c r="U233" i="44"/>
  <c r="V233" i="44"/>
  <c r="W233" i="44"/>
  <c r="X233" i="44"/>
  <c r="R234" i="44"/>
  <c r="S234" i="44"/>
  <c r="T234" i="44"/>
  <c r="U234" i="44"/>
  <c r="V234" i="44"/>
  <c r="W234" i="44"/>
  <c r="X234" i="44"/>
  <c r="R232" i="44"/>
  <c r="S232" i="44"/>
  <c r="T232" i="44"/>
  <c r="U232" i="44"/>
  <c r="V232" i="44"/>
  <c r="W232" i="44"/>
  <c r="X232" i="44"/>
  <c r="R236" i="44"/>
  <c r="S236" i="44"/>
  <c r="T236" i="44"/>
  <c r="U236" i="44"/>
  <c r="V236" i="44"/>
  <c r="W236" i="44"/>
  <c r="X236" i="44"/>
  <c r="R237" i="44"/>
  <c r="S237" i="44"/>
  <c r="T237" i="44"/>
  <c r="U237" i="44"/>
  <c r="V237" i="44"/>
  <c r="W237" i="44"/>
  <c r="X237" i="44"/>
  <c r="Y237" i="44" s="1"/>
  <c r="R238" i="44"/>
  <c r="S238" i="44"/>
  <c r="T238" i="44"/>
  <c r="U238" i="44"/>
  <c r="V238" i="44"/>
  <c r="W238" i="44"/>
  <c r="X238" i="44"/>
  <c r="R239" i="44"/>
  <c r="S239" i="44"/>
  <c r="T239" i="44"/>
  <c r="U239" i="44"/>
  <c r="V239" i="44"/>
  <c r="W239" i="44"/>
  <c r="X239" i="44"/>
  <c r="Y239" i="44" s="1"/>
  <c r="R240" i="44"/>
  <c r="S240" i="44"/>
  <c r="T240" i="44"/>
  <c r="U240" i="44"/>
  <c r="V240" i="44"/>
  <c r="W240" i="44"/>
  <c r="X240" i="44"/>
  <c r="R241" i="44"/>
  <c r="S241" i="44"/>
  <c r="T241" i="44"/>
  <c r="U241" i="44"/>
  <c r="V241" i="44"/>
  <c r="W241" i="44"/>
  <c r="X241" i="44"/>
  <c r="Y241" i="44" s="1"/>
  <c r="R242" i="44"/>
  <c r="S242" i="44"/>
  <c r="T242" i="44"/>
  <c r="U242" i="44"/>
  <c r="V242" i="44"/>
  <c r="W242" i="44"/>
  <c r="X242" i="44"/>
  <c r="R243" i="44"/>
  <c r="S243" i="44"/>
  <c r="T243" i="44"/>
  <c r="U243" i="44"/>
  <c r="V243" i="44"/>
  <c r="W243" i="44"/>
  <c r="X243" i="44"/>
  <c r="Y243" i="44" s="1"/>
  <c r="R244" i="44"/>
  <c r="S244" i="44"/>
  <c r="T244" i="44"/>
  <c r="U244" i="44"/>
  <c r="V244" i="44"/>
  <c r="W244" i="44"/>
  <c r="X244" i="44"/>
  <c r="R246" i="44"/>
  <c r="S246" i="44"/>
  <c r="T246" i="44"/>
  <c r="U246" i="44"/>
  <c r="V246" i="44"/>
  <c r="W246" i="44"/>
  <c r="X246" i="44"/>
  <c r="Y246" i="44" s="1"/>
  <c r="R245" i="44"/>
  <c r="S245" i="44"/>
  <c r="T245" i="44"/>
  <c r="U245" i="44"/>
  <c r="V245" i="44"/>
  <c r="W245" i="44"/>
  <c r="X245" i="44"/>
  <c r="X5" i="44"/>
  <c r="Y8" i="44"/>
  <c r="Y11" i="44"/>
  <c r="Y28" i="44"/>
  <c r="Y30" i="44"/>
  <c r="Y32" i="44"/>
  <c r="Y34" i="44"/>
  <c r="Y36" i="44"/>
  <c r="Y38" i="44"/>
  <c r="Y60" i="44"/>
  <c r="Y70" i="44"/>
  <c r="Y120" i="44"/>
  <c r="Y122" i="44"/>
  <c r="Y136" i="44"/>
  <c r="Y138" i="44"/>
  <c r="Y140" i="44"/>
  <c r="Y150" i="44"/>
  <c r="Y156" i="44"/>
  <c r="Y166" i="44"/>
  <c r="Y168" i="44"/>
  <c r="Y170" i="44"/>
  <c r="Y190" i="44"/>
  <c r="Y220" i="44"/>
  <c r="Y224" i="44"/>
  <c r="Y228" i="44"/>
  <c r="Y230" i="44"/>
  <c r="Y236" i="44"/>
  <c r="Y238" i="44"/>
  <c r="Y240" i="44"/>
  <c r="Y242" i="44"/>
  <c r="Y244" i="44"/>
  <c r="Y149" i="44" l="1"/>
  <c r="Y147" i="44"/>
  <c r="Y143" i="44"/>
  <c r="Y141" i="44"/>
  <c r="Y139" i="44"/>
  <c r="Y135" i="44"/>
  <c r="Y133" i="44"/>
  <c r="Y127" i="44"/>
  <c r="Y125" i="44"/>
  <c r="Y119" i="44"/>
  <c r="Y111" i="44"/>
  <c r="Y109" i="44"/>
  <c r="Y107" i="44"/>
  <c r="Y89" i="44"/>
  <c r="Y87" i="44"/>
  <c r="Y85" i="44"/>
  <c r="Y83" i="44"/>
  <c r="Y71" i="44"/>
  <c r="Y69" i="44"/>
  <c r="Y67" i="44"/>
  <c r="Y65" i="44"/>
  <c r="Y63" i="44"/>
  <c r="Y61" i="44"/>
  <c r="Y59" i="44"/>
  <c r="Y57" i="44"/>
  <c r="Y51" i="44"/>
  <c r="Y49" i="44"/>
  <c r="Y47" i="44"/>
  <c r="Y41" i="44"/>
  <c r="Y39" i="44"/>
  <c r="Y35" i="44"/>
  <c r="Y31" i="44"/>
  <c r="Y25" i="44"/>
  <c r="Y23" i="44"/>
  <c r="Y21" i="44"/>
  <c r="Y19" i="44"/>
  <c r="Y17" i="44"/>
  <c r="Y15" i="44"/>
  <c r="Y13" i="44"/>
  <c r="Y7" i="44"/>
  <c r="Y232" i="44"/>
  <c r="Y171" i="44"/>
  <c r="Y201" i="44"/>
  <c r="Y27" i="44"/>
  <c r="Y43" i="44"/>
  <c r="Y233" i="44"/>
  <c r="Y221" i="44"/>
  <c r="Y222" i="44"/>
  <c r="Y211" i="44"/>
  <c r="Y187" i="44"/>
  <c r="Y180" i="44"/>
  <c r="Y159" i="44"/>
  <c r="Y157" i="44"/>
  <c r="Y145" i="44"/>
  <c r="Y131" i="44"/>
  <c r="Y121" i="44"/>
  <c r="Y105" i="44"/>
  <c r="Y97" i="44"/>
  <c r="Y95" i="44"/>
  <c r="Y79" i="44"/>
  <c r="Y226" i="44"/>
  <c r="Y245" i="44"/>
  <c r="Y234" i="44"/>
  <c r="Y152" i="44"/>
  <c r="Y209" i="44"/>
  <c r="Y210" i="44"/>
  <c r="Y205" i="44"/>
  <c r="Y115" i="44"/>
  <c r="Y99" i="44"/>
  <c r="Y93" i="44"/>
  <c r="Y91" i="44"/>
  <c r="Y75" i="44"/>
  <c r="Y73" i="44"/>
  <c r="Y235" i="44"/>
  <c r="Y223" i="44"/>
  <c r="Y219" i="44"/>
  <c r="Y216" i="44"/>
  <c r="Y194" i="44"/>
  <c r="Y197" i="44"/>
  <c r="Y198" i="44"/>
  <c r="Y188" i="44"/>
  <c r="Y186" i="44"/>
  <c r="Y184" i="44"/>
  <c r="Y181" i="44"/>
  <c r="Y182" i="44"/>
  <c r="Y179" i="44"/>
  <c r="Y175" i="44"/>
  <c r="Y174" i="44"/>
  <c r="Y172" i="44"/>
  <c r="Y158" i="44"/>
  <c r="Y164" i="44"/>
  <c r="Y162" i="44"/>
  <c r="Y160" i="44"/>
  <c r="Y154" i="44"/>
  <c r="Y148" i="44"/>
  <c r="Y212" i="44"/>
  <c r="Y207" i="44"/>
  <c r="Y208" i="44"/>
  <c r="Y204" i="44"/>
  <c r="Y202" i="44"/>
  <c r="Y146" i="44"/>
  <c r="Y144" i="44"/>
  <c r="Y142" i="44"/>
  <c r="Y134" i="44"/>
  <c r="Y132" i="44"/>
  <c r="Y130" i="44"/>
  <c r="Y128" i="44"/>
  <c r="Y126" i="44"/>
  <c r="Y124" i="44"/>
  <c r="Y116" i="44"/>
  <c r="Y104" i="44"/>
  <c r="Y78" i="44"/>
  <c r="Y76" i="44"/>
  <c r="Y68" i="44"/>
  <c r="Y66" i="44"/>
  <c r="Y64" i="44"/>
  <c r="Y58" i="44"/>
  <c r="Y56" i="44"/>
  <c r="Y54" i="44"/>
  <c r="Y50" i="44"/>
  <c r="Y48" i="44"/>
  <c r="Y46" i="44"/>
  <c r="Y44" i="44"/>
  <c r="Y42" i="44"/>
  <c r="Y40" i="44"/>
  <c r="Y26" i="44"/>
  <c r="Y24" i="44"/>
  <c r="Y22" i="44"/>
  <c r="Y14" i="44"/>
  <c r="Y12" i="44"/>
  <c r="Y20" i="44"/>
  <c r="Y18" i="44"/>
  <c r="Y16" i="44"/>
  <c r="Y110" i="44"/>
  <c r="Y108" i="44"/>
  <c r="Y106" i="44"/>
  <c r="Y100" i="44"/>
  <c r="Y98" i="44"/>
  <c r="Y94" i="44"/>
  <c r="Y92" i="44"/>
  <c r="Y88" i="44"/>
  <c r="Y86" i="44"/>
  <c r="Y84" i="44"/>
  <c r="Y74" i="44"/>
  <c r="Y62" i="44"/>
  <c r="R5" i="44"/>
  <c r="M3084" i="45" l="1"/>
  <c r="M3089" i="45"/>
  <c r="M3094" i="45"/>
  <c r="M3099" i="45"/>
  <c r="M3104" i="45"/>
  <c r="M3109" i="45"/>
  <c r="M3114" i="45"/>
  <c r="M3119" i="45"/>
  <c r="M3124" i="45"/>
  <c r="M3125" i="45"/>
  <c r="M3129" i="45"/>
  <c r="M3134" i="45"/>
  <c r="M3139" i="45"/>
  <c r="M3144" i="45"/>
  <c r="M3145" i="45"/>
  <c r="M3149" i="45"/>
  <c r="M3154" i="45"/>
  <c r="M3159" i="45"/>
  <c r="M3164" i="45"/>
  <c r="M3165" i="45"/>
  <c r="M3169" i="45"/>
  <c r="M3174" i="45"/>
  <c r="M3179" i="45"/>
  <c r="M3184" i="45"/>
  <c r="M3185" i="45"/>
  <c r="M3189" i="45"/>
  <c r="M3194" i="45"/>
  <c r="M3199" i="45"/>
  <c r="M3204" i="45"/>
  <c r="M3205" i="45"/>
  <c r="M3209" i="45"/>
  <c r="M3214" i="45"/>
  <c r="M3219" i="45"/>
  <c r="M3224" i="45"/>
  <c r="M3225" i="45"/>
  <c r="M3229" i="45"/>
  <c r="M3234" i="45"/>
  <c r="M3239" i="45"/>
  <c r="M3244" i="45"/>
  <c r="M3249" i="45"/>
  <c r="M3254" i="45"/>
  <c r="M3259" i="45"/>
  <c r="M3264" i="45"/>
  <c r="M3269" i="45"/>
  <c r="M3274" i="45"/>
  <c r="M3279" i="45"/>
  <c r="M3284" i="45"/>
  <c r="M3289" i="45"/>
  <c r="M3294" i="45"/>
  <c r="M3299" i="45"/>
  <c r="M3304" i="45"/>
  <c r="M3305" i="45"/>
  <c r="M3309" i="45"/>
  <c r="M3314" i="45"/>
  <c r="M3319" i="45"/>
  <c r="M3324" i="45"/>
  <c r="M3325" i="45"/>
  <c r="M3329" i="45"/>
  <c r="M3334" i="45"/>
  <c r="M3339" i="45"/>
  <c r="M3344" i="45"/>
  <c r="M3345" i="45"/>
  <c r="M3349" i="45"/>
  <c r="M3354" i="45"/>
  <c r="M3359" i="45"/>
  <c r="M3364" i="45"/>
  <c r="M3365" i="45"/>
  <c r="M3369" i="45"/>
  <c r="M3374" i="45"/>
  <c r="M3379" i="45"/>
  <c r="M3384" i="45"/>
  <c r="M3385" i="45"/>
  <c r="M3389" i="45"/>
  <c r="M3394" i="45"/>
  <c r="M3399" i="45"/>
  <c r="M3404" i="45"/>
  <c r="M3405" i="45"/>
  <c r="M3409" i="45"/>
  <c r="M3414" i="45"/>
  <c r="M3419" i="45"/>
  <c r="M3424" i="45"/>
  <c r="M3429" i="45"/>
  <c r="M3434" i="45"/>
  <c r="M3439" i="45"/>
  <c r="M3444" i="45"/>
  <c r="M3449" i="45"/>
  <c r="M3454" i="45"/>
  <c r="M3459" i="45"/>
  <c r="M3464" i="45"/>
  <c r="M3469" i="45"/>
  <c r="M3474" i="45"/>
  <c r="M3479" i="45"/>
  <c r="M3484" i="45"/>
  <c r="M3485" i="45"/>
  <c r="M3489" i="45"/>
  <c r="M3494" i="45"/>
  <c r="M3499" i="45"/>
  <c r="M3504" i="45"/>
  <c r="M3505" i="45"/>
  <c r="M3509" i="45"/>
  <c r="M3514" i="45"/>
  <c r="M3519" i="45"/>
  <c r="M3524" i="45"/>
  <c r="M3525" i="45"/>
  <c r="M3529" i="45"/>
  <c r="M3534" i="45"/>
  <c r="M3539" i="45"/>
  <c r="M3544" i="45"/>
  <c r="M3545" i="45"/>
  <c r="M3549" i="45"/>
  <c r="M3554" i="45"/>
  <c r="M3559" i="45"/>
  <c r="M3564" i="45"/>
  <c r="M3565" i="45"/>
  <c r="M3569" i="45"/>
  <c r="M3574" i="45"/>
  <c r="M3579" i="45"/>
  <c r="M3584" i="45"/>
  <c r="M3585" i="45"/>
  <c r="M3589" i="45"/>
  <c r="M3594" i="45"/>
  <c r="M3599" i="45"/>
  <c r="M3604" i="45"/>
  <c r="M3609" i="45"/>
  <c r="M3614" i="45"/>
  <c r="M3619" i="45"/>
  <c r="M3624" i="45"/>
  <c r="M3629" i="45"/>
  <c r="M3634" i="45"/>
  <c r="M3639" i="45"/>
  <c r="M3644" i="45"/>
  <c r="M3649" i="45"/>
  <c r="M3654" i="45"/>
  <c r="M3659" i="45"/>
  <c r="M3664" i="45"/>
  <c r="M3665" i="45"/>
  <c r="M3669" i="45"/>
  <c r="M3674" i="45"/>
  <c r="M3679" i="45"/>
  <c r="M3684" i="45"/>
  <c r="M3685" i="45"/>
  <c r="M3689" i="45"/>
  <c r="M3694" i="45"/>
  <c r="M3699" i="45"/>
  <c r="M3704" i="45"/>
  <c r="M3705" i="45"/>
  <c r="M3709" i="45"/>
  <c r="M3714" i="45"/>
  <c r="M3719" i="45"/>
  <c r="M3724" i="45"/>
  <c r="M3725" i="45"/>
  <c r="M3729" i="45"/>
  <c r="M3734" i="45"/>
  <c r="M3739" i="45"/>
  <c r="M3744" i="45"/>
  <c r="M3745" i="45"/>
  <c r="M3749" i="45"/>
  <c r="M3754" i="45"/>
  <c r="M3759" i="45"/>
  <c r="M3764" i="45"/>
  <c r="M3765" i="45"/>
  <c r="M3769" i="45"/>
  <c r="M3774" i="45"/>
  <c r="M3779" i="45"/>
  <c r="M3784" i="45"/>
  <c r="M3789" i="45"/>
  <c r="M3794" i="45"/>
  <c r="M3799" i="45"/>
  <c r="M3804" i="45"/>
  <c r="M3809" i="45"/>
  <c r="M3814" i="45"/>
  <c r="M3819" i="45"/>
  <c r="M3824" i="45"/>
  <c r="M3829" i="45"/>
  <c r="M3834" i="45"/>
  <c r="M3839" i="45"/>
  <c r="M3844" i="45"/>
  <c r="M3845" i="45"/>
  <c r="M3849" i="45"/>
  <c r="M3854" i="45"/>
  <c r="M3859" i="45"/>
  <c r="M3864" i="45"/>
  <c r="M3865" i="45"/>
  <c r="M3869" i="45"/>
  <c r="M3874" i="45"/>
  <c r="M3879" i="45"/>
  <c r="M3884" i="45"/>
  <c r="M3885" i="45"/>
  <c r="M3889" i="45"/>
  <c r="M3894" i="45"/>
  <c r="M3899" i="45"/>
  <c r="M3904" i="45"/>
  <c r="M3905" i="45"/>
  <c r="M3909" i="45"/>
  <c r="M3914" i="45"/>
  <c r="M3919" i="45"/>
  <c r="M3924" i="45"/>
  <c r="M3925" i="45"/>
  <c r="M3929" i="45"/>
  <c r="M3934" i="45"/>
  <c r="M3939" i="45"/>
  <c r="M3944" i="45"/>
  <c r="M3945" i="45"/>
  <c r="M3949" i="45"/>
  <c r="M3954" i="45"/>
  <c r="M3959" i="45"/>
  <c r="M3964" i="45"/>
  <c r="M3969" i="45"/>
  <c r="M3974" i="45"/>
  <c r="M3979" i="45"/>
  <c r="M3984" i="45"/>
  <c r="M3989" i="45"/>
  <c r="M3994" i="45"/>
  <c r="M3999" i="45"/>
  <c r="M4004" i="45"/>
  <c r="M4009" i="45"/>
  <c r="M4014" i="45"/>
  <c r="M4019" i="45"/>
  <c r="M4024" i="45"/>
  <c r="M4025" i="45"/>
  <c r="M4029" i="45"/>
  <c r="M4034" i="45"/>
  <c r="M4039" i="45"/>
  <c r="M4044" i="45"/>
  <c r="M4045" i="45"/>
  <c r="M4049" i="45"/>
  <c r="M4054" i="45"/>
  <c r="M4059" i="45"/>
  <c r="M4064" i="45"/>
  <c r="M4065" i="45"/>
  <c r="M4069" i="45"/>
  <c r="M4074" i="45"/>
  <c r="M4079" i="45"/>
  <c r="M4084" i="45"/>
  <c r="M4085" i="45"/>
  <c r="M4089" i="45"/>
  <c r="M4094" i="45"/>
  <c r="M4099" i="45"/>
  <c r="M4104" i="45"/>
  <c r="M4105" i="45"/>
  <c r="M4109" i="45"/>
  <c r="M4114" i="45"/>
  <c r="M4119" i="45"/>
  <c r="M4124" i="45"/>
  <c r="M4125" i="45"/>
  <c r="M4129" i="45"/>
  <c r="M4134" i="45"/>
  <c r="M4139" i="45"/>
  <c r="M4144" i="45"/>
  <c r="M429" i="45"/>
  <c r="M434" i="45"/>
  <c r="M439" i="45"/>
  <c r="M444" i="45"/>
  <c r="M445" i="45"/>
  <c r="M449" i="45"/>
  <c r="M454" i="45"/>
  <c r="M459" i="45"/>
  <c r="M464" i="45"/>
  <c r="M465" i="45"/>
  <c r="M469" i="45"/>
  <c r="M474" i="45"/>
  <c r="M479" i="45"/>
  <c r="M484" i="45"/>
  <c r="M485" i="45"/>
  <c r="M489" i="45"/>
  <c r="M494" i="45"/>
  <c r="M499" i="45"/>
  <c r="M504" i="45"/>
  <c r="M505" i="45"/>
  <c r="M509" i="45"/>
  <c r="M514" i="45"/>
  <c r="M519" i="45"/>
  <c r="M524" i="45"/>
  <c r="M525" i="45"/>
  <c r="M529" i="45"/>
  <c r="M534" i="45"/>
  <c r="M539" i="45"/>
  <c r="M544" i="45"/>
  <c r="M549" i="45"/>
  <c r="M554" i="45"/>
  <c r="M559" i="45"/>
  <c r="M564" i="45"/>
  <c r="M569" i="45"/>
  <c r="M574" i="45"/>
  <c r="M579" i="45"/>
  <c r="M584" i="45"/>
  <c r="M589" i="45"/>
  <c r="M594" i="45"/>
  <c r="M599" i="45"/>
  <c r="M604" i="45"/>
  <c r="M605" i="45"/>
  <c r="M609" i="45"/>
  <c r="M614" i="45"/>
  <c r="M619" i="45"/>
  <c r="M624" i="45"/>
  <c r="M625" i="45"/>
  <c r="M629" i="45"/>
  <c r="M634" i="45"/>
  <c r="M639" i="45"/>
  <c r="M644" i="45"/>
  <c r="M645" i="45"/>
  <c r="M649" i="45"/>
  <c r="M654" i="45"/>
  <c r="M659" i="45"/>
  <c r="M664" i="45"/>
  <c r="M665" i="45"/>
  <c r="M669" i="45"/>
  <c r="M674" i="45"/>
  <c r="M679" i="45"/>
  <c r="M684" i="45"/>
  <c r="M685" i="45"/>
  <c r="M689" i="45"/>
  <c r="M694" i="45"/>
  <c r="M699" i="45"/>
  <c r="M704" i="45"/>
  <c r="M705" i="45"/>
  <c r="M709" i="45"/>
  <c r="M714" i="45"/>
  <c r="M719" i="45"/>
  <c r="M724" i="45"/>
  <c r="M729" i="45"/>
  <c r="M734" i="45"/>
  <c r="M739" i="45"/>
  <c r="M744" i="45"/>
  <c r="M749" i="45"/>
  <c r="M754" i="45"/>
  <c r="M759" i="45"/>
  <c r="M764" i="45"/>
  <c r="M769" i="45"/>
  <c r="M774" i="45"/>
  <c r="M779" i="45"/>
  <c r="M784" i="45"/>
  <c r="M785" i="45"/>
  <c r="M789" i="45"/>
  <c r="M794" i="45"/>
  <c r="M799" i="45"/>
  <c r="M804" i="45"/>
  <c r="M805" i="45"/>
  <c r="M809" i="45"/>
  <c r="M814" i="45"/>
  <c r="M819" i="45"/>
  <c r="M824" i="45"/>
  <c r="M825" i="45"/>
  <c r="M829" i="45"/>
  <c r="M834" i="45"/>
  <c r="M839" i="45"/>
  <c r="M844" i="45"/>
  <c r="M845" i="45"/>
  <c r="M849" i="45"/>
  <c r="M854" i="45"/>
  <c r="M859" i="45"/>
  <c r="M864" i="45"/>
  <c r="M865" i="45"/>
  <c r="M869" i="45"/>
  <c r="M874" i="45"/>
  <c r="M879" i="45"/>
  <c r="M884" i="45"/>
  <c r="M885" i="45"/>
  <c r="M889" i="45"/>
  <c r="M894" i="45"/>
  <c r="M899" i="45"/>
  <c r="M904" i="45"/>
  <c r="M909" i="45"/>
  <c r="M914" i="45"/>
  <c r="M919" i="45"/>
  <c r="M924" i="45"/>
  <c r="M929" i="45"/>
  <c r="M934" i="45"/>
  <c r="M939" i="45"/>
  <c r="M944" i="45"/>
  <c r="M949" i="45"/>
  <c r="M954" i="45"/>
  <c r="M959" i="45"/>
  <c r="M964" i="45"/>
  <c r="M965" i="45"/>
  <c r="M969" i="45"/>
  <c r="M974" i="45"/>
  <c r="M979" i="45"/>
  <c r="M984" i="45"/>
  <c r="M985" i="45"/>
  <c r="M989" i="45"/>
  <c r="M994" i="45"/>
  <c r="M999" i="45"/>
  <c r="M1004" i="45"/>
  <c r="M1005" i="45"/>
  <c r="M1009" i="45"/>
  <c r="M1014" i="45"/>
  <c r="M1019" i="45"/>
  <c r="M1024" i="45"/>
  <c r="M1025" i="45"/>
  <c r="M1029" i="45"/>
  <c r="M1034" i="45"/>
  <c r="M1039" i="45"/>
  <c r="M1044" i="45"/>
  <c r="M1045" i="45"/>
  <c r="M1049" i="45"/>
  <c r="M1054" i="45"/>
  <c r="M1059" i="45"/>
  <c r="M1064" i="45"/>
  <c r="M1065" i="45"/>
  <c r="M1069" i="45"/>
  <c r="M1074" i="45"/>
  <c r="M1079" i="45"/>
  <c r="M1084" i="45"/>
  <c r="M1089" i="45"/>
  <c r="M1094" i="45"/>
  <c r="M1099" i="45"/>
  <c r="M1104" i="45"/>
  <c r="M1109" i="45"/>
  <c r="M1114" i="45"/>
  <c r="M1119" i="45"/>
  <c r="M1124" i="45"/>
  <c r="M1129" i="45"/>
  <c r="M1134" i="45"/>
  <c r="M1139" i="45"/>
  <c r="M1144" i="45"/>
  <c r="M1145" i="45"/>
  <c r="M1149" i="45"/>
  <c r="M1154" i="45"/>
  <c r="M1159" i="45"/>
  <c r="M1164" i="45"/>
  <c r="M1165" i="45"/>
  <c r="M1169" i="45"/>
  <c r="M1174" i="45"/>
  <c r="M1179" i="45"/>
  <c r="M1184" i="45"/>
  <c r="M1185" i="45"/>
  <c r="M1189" i="45"/>
  <c r="M1194" i="45"/>
  <c r="M1199" i="45"/>
  <c r="M1204" i="45"/>
  <c r="M1205" i="45"/>
  <c r="M1209" i="45"/>
  <c r="M1214" i="45"/>
  <c r="M1219" i="45"/>
  <c r="M1224" i="45"/>
  <c r="M1225" i="45"/>
  <c r="M1229" i="45"/>
  <c r="M1234" i="45"/>
  <c r="M1239" i="45"/>
  <c r="M1244" i="45"/>
  <c r="M1245" i="45"/>
  <c r="M1249" i="45"/>
  <c r="M1254" i="45"/>
  <c r="M1259" i="45"/>
  <c r="M1264" i="45"/>
  <c r="M1269" i="45"/>
  <c r="M1274" i="45"/>
  <c r="M1279" i="45"/>
  <c r="M1284" i="45"/>
  <c r="M1289" i="45"/>
  <c r="M1294" i="45"/>
  <c r="M1299" i="45"/>
  <c r="M1304" i="45"/>
  <c r="M1309" i="45"/>
  <c r="M1314" i="45"/>
  <c r="M1319" i="45"/>
  <c r="M1324" i="45"/>
  <c r="M1325" i="45"/>
  <c r="M1329" i="45"/>
  <c r="M1334" i="45"/>
  <c r="M1339" i="45"/>
  <c r="M1344" i="45"/>
  <c r="M1345" i="45"/>
  <c r="M1349" i="45"/>
  <c r="M1354" i="45"/>
  <c r="M1359" i="45"/>
  <c r="M1364" i="45"/>
  <c r="M1365" i="45"/>
  <c r="M1369" i="45"/>
  <c r="M1374" i="45"/>
  <c r="M1379" i="45"/>
  <c r="M1384" i="45"/>
  <c r="M1385" i="45"/>
  <c r="M1389" i="45"/>
  <c r="M1394" i="45"/>
  <c r="M1399" i="45"/>
  <c r="M1404" i="45"/>
  <c r="M1405" i="45"/>
  <c r="M1409" i="45"/>
  <c r="M1414" i="45"/>
  <c r="M1419" i="45"/>
  <c r="M1424" i="45"/>
  <c r="M1425" i="45"/>
  <c r="M1429" i="45"/>
  <c r="M1434" i="45"/>
  <c r="M1439" i="45"/>
  <c r="M1444" i="45"/>
  <c r="M1449" i="45"/>
  <c r="M1454" i="45"/>
  <c r="M1459" i="45"/>
  <c r="M1464" i="45"/>
  <c r="M1469" i="45"/>
  <c r="M1474" i="45"/>
  <c r="M1479" i="45"/>
  <c r="M1484" i="45"/>
  <c r="M1489" i="45"/>
  <c r="M1494" i="45"/>
  <c r="M1499" i="45"/>
  <c r="M1504" i="45"/>
  <c r="M1505" i="45"/>
  <c r="M1509" i="45"/>
  <c r="M1514" i="45"/>
  <c r="M1519" i="45"/>
  <c r="M1524" i="45"/>
  <c r="M1525" i="45"/>
  <c r="M1529" i="45"/>
  <c r="M1534" i="45"/>
  <c r="M1539" i="45"/>
  <c r="M1544" i="45"/>
  <c r="M1545" i="45"/>
  <c r="M1549" i="45"/>
  <c r="M1554" i="45"/>
  <c r="M1559" i="45"/>
  <c r="M1564" i="45"/>
  <c r="M1569" i="45"/>
  <c r="M1574" i="45"/>
  <c r="M1579" i="45"/>
  <c r="M1584" i="45"/>
  <c r="M1585" i="45"/>
  <c r="M1589" i="45"/>
  <c r="M1594" i="45"/>
  <c r="M1599" i="45"/>
  <c r="M1604" i="45"/>
  <c r="M1605" i="45"/>
  <c r="M1609" i="45"/>
  <c r="M1614" i="45"/>
  <c r="M1619" i="45"/>
  <c r="M1624" i="45"/>
  <c r="M1629" i="45"/>
  <c r="M1634" i="45"/>
  <c r="M1639" i="45"/>
  <c r="M1644" i="45"/>
  <c r="M1649" i="45"/>
  <c r="M1654" i="45"/>
  <c r="M1659" i="45"/>
  <c r="M1664" i="45"/>
  <c r="M1669" i="45"/>
  <c r="M1674" i="45"/>
  <c r="M1679" i="45"/>
  <c r="M1684" i="45"/>
  <c r="M1685" i="45"/>
  <c r="M1689" i="45"/>
  <c r="M1694" i="45"/>
  <c r="M1699" i="45"/>
  <c r="M1704" i="45"/>
  <c r="M1705" i="45"/>
  <c r="M1709" i="45"/>
  <c r="M1714" i="45"/>
  <c r="M1719" i="45"/>
  <c r="M1724" i="45"/>
  <c r="M1725" i="45"/>
  <c r="M1729" i="45"/>
  <c r="M1734" i="45"/>
  <c r="M1739" i="45"/>
  <c r="M1744" i="45"/>
  <c r="M1745" i="45"/>
  <c r="M1749" i="45"/>
  <c r="M1754" i="45"/>
  <c r="M1759" i="45"/>
  <c r="M1764" i="45"/>
  <c r="M1765" i="45"/>
  <c r="M1769" i="45"/>
  <c r="M1774" i="45"/>
  <c r="M1779" i="45"/>
  <c r="M1784" i="45"/>
  <c r="M1785" i="45"/>
  <c r="M1789" i="45"/>
  <c r="M1794" i="45"/>
  <c r="M1799" i="45"/>
  <c r="M1804" i="45"/>
  <c r="M1809" i="45"/>
  <c r="M1814" i="45"/>
  <c r="M1819" i="45"/>
  <c r="M1824" i="45"/>
  <c r="M1829" i="45"/>
  <c r="M1834" i="45"/>
  <c r="M1839" i="45"/>
  <c r="M1844" i="45"/>
  <c r="M1849" i="45"/>
  <c r="M1854" i="45"/>
  <c r="M1859" i="45"/>
  <c r="M1864" i="45"/>
  <c r="M1865" i="45"/>
  <c r="M1869" i="45"/>
  <c r="M1874" i="45"/>
  <c r="M1879" i="45"/>
  <c r="M1884" i="45"/>
  <c r="M1885" i="45"/>
  <c r="M1889" i="45"/>
  <c r="M1894" i="45"/>
  <c r="M1899" i="45"/>
  <c r="M1904" i="45"/>
  <c r="M1905" i="45"/>
  <c r="M1909" i="45"/>
  <c r="M1914" i="45"/>
  <c r="M1919" i="45"/>
  <c r="M1924" i="45"/>
  <c r="M1925" i="45"/>
  <c r="M1929" i="45"/>
  <c r="M1934" i="45"/>
  <c r="M1939" i="45"/>
  <c r="M1944" i="45"/>
  <c r="M1945" i="45"/>
  <c r="M1949" i="45"/>
  <c r="M1954" i="45"/>
  <c r="M1959" i="45"/>
  <c r="M1964" i="45"/>
  <c r="M1965" i="45"/>
  <c r="M1969" i="45"/>
  <c r="M1974" i="45"/>
  <c r="M1979" i="45"/>
  <c r="M1984" i="45"/>
  <c r="M1989" i="45"/>
  <c r="M1994" i="45"/>
  <c r="M1999" i="45"/>
  <c r="M2004" i="45"/>
  <c r="M2009" i="45"/>
  <c r="M2014" i="45"/>
  <c r="M2019" i="45"/>
  <c r="M2024" i="45"/>
  <c r="M2029" i="45"/>
  <c r="M2034" i="45"/>
  <c r="M2039" i="45"/>
  <c r="M2044" i="45"/>
  <c r="M2045" i="45"/>
  <c r="M2049" i="45"/>
  <c r="M2054" i="45"/>
  <c r="M2059" i="45"/>
  <c r="M2064" i="45"/>
  <c r="M2065" i="45"/>
  <c r="M2069" i="45"/>
  <c r="M2074" i="45"/>
  <c r="M2079" i="45"/>
  <c r="M2084" i="45"/>
  <c r="M2085" i="45"/>
  <c r="M2089" i="45"/>
  <c r="M2094" i="45"/>
  <c r="M2099" i="45"/>
  <c r="M2104" i="45"/>
  <c r="M2105" i="45"/>
  <c r="M2109" i="45"/>
  <c r="M2114" i="45"/>
  <c r="M2119" i="45"/>
  <c r="M2124" i="45"/>
  <c r="M2125" i="45"/>
  <c r="M2129" i="45"/>
  <c r="M2134" i="45"/>
  <c r="M2139" i="45"/>
  <c r="M2144" i="45"/>
  <c r="M2145" i="45"/>
  <c r="M2149" i="45"/>
  <c r="M2154" i="45"/>
  <c r="M2159" i="45"/>
  <c r="M2164" i="45"/>
  <c r="M2169" i="45"/>
  <c r="M2174" i="45"/>
  <c r="M2179" i="45"/>
  <c r="M2184" i="45"/>
  <c r="M2189" i="45"/>
  <c r="M2194" i="45"/>
  <c r="M2199" i="45"/>
  <c r="M2204" i="45"/>
  <c r="M2209" i="45"/>
  <c r="M2214" i="45"/>
  <c r="M2219" i="45"/>
  <c r="M2224" i="45"/>
  <c r="M2225" i="45"/>
  <c r="M2229" i="45"/>
  <c r="M2234" i="45"/>
  <c r="M2239" i="45"/>
  <c r="M2244" i="45"/>
  <c r="M2245" i="45"/>
  <c r="M2249" i="45"/>
  <c r="M2254" i="45"/>
  <c r="M2259" i="45"/>
  <c r="M2264" i="45"/>
  <c r="M2265" i="45"/>
  <c r="M2269" i="45"/>
  <c r="M2274" i="45"/>
  <c r="M2279" i="45"/>
  <c r="M2284" i="45"/>
  <c r="M2285" i="45"/>
  <c r="M2289" i="45"/>
  <c r="M2294" i="45"/>
  <c r="M2299" i="45"/>
  <c r="M2304" i="45"/>
  <c r="M2305" i="45"/>
  <c r="M2309" i="45"/>
  <c r="M2314" i="45"/>
  <c r="M2319" i="45"/>
  <c r="M2324" i="45"/>
  <c r="M2325" i="45"/>
  <c r="M2329" i="45"/>
  <c r="M2334" i="45"/>
  <c r="M2339" i="45"/>
  <c r="M2344" i="45"/>
  <c r="M2349" i="45"/>
  <c r="M2354" i="45"/>
  <c r="M2359" i="45"/>
  <c r="M2364" i="45"/>
  <c r="M2369" i="45"/>
  <c r="M2374" i="45"/>
  <c r="M2379" i="45"/>
  <c r="M2384" i="45"/>
  <c r="M2389" i="45"/>
  <c r="M2394" i="45"/>
  <c r="M2399" i="45"/>
  <c r="M2404" i="45"/>
  <c r="M2405" i="45"/>
  <c r="M2409" i="45"/>
  <c r="M2414" i="45"/>
  <c r="M2419" i="45"/>
  <c r="M2424" i="45"/>
  <c r="M2425" i="45"/>
  <c r="M2429" i="45"/>
  <c r="M2434" i="45"/>
  <c r="M2439" i="45"/>
  <c r="M2444" i="45"/>
  <c r="M2445" i="45"/>
  <c r="M2449" i="45"/>
  <c r="M2454" i="45"/>
  <c r="M2459" i="45"/>
  <c r="M2464" i="45"/>
  <c r="M2465" i="45"/>
  <c r="M2469" i="45"/>
  <c r="M2474" i="45"/>
  <c r="M2479" i="45"/>
  <c r="M2484" i="45"/>
  <c r="M2485" i="45"/>
  <c r="M2489" i="45"/>
  <c r="M2494" i="45"/>
  <c r="M2499" i="45"/>
  <c r="M2504" i="45"/>
  <c r="M2505" i="45"/>
  <c r="M2509" i="45"/>
  <c r="M2514" i="45"/>
  <c r="M2519" i="45"/>
  <c r="M2524" i="45"/>
  <c r="M2529" i="45"/>
  <c r="M2534" i="45"/>
  <c r="M2539" i="45"/>
  <c r="M2544" i="45"/>
  <c r="M2549" i="45"/>
  <c r="M2554" i="45"/>
  <c r="M2559" i="45"/>
  <c r="M2564" i="45"/>
  <c r="M2569" i="45"/>
  <c r="M2574" i="45"/>
  <c r="M2579" i="45"/>
  <c r="M2584" i="45"/>
  <c r="M2585" i="45"/>
  <c r="M2589" i="45"/>
  <c r="M2594" i="45"/>
  <c r="M2599" i="45"/>
  <c r="M2604" i="45"/>
  <c r="M2605" i="45"/>
  <c r="M2609" i="45"/>
  <c r="M2614" i="45"/>
  <c r="M2619" i="45"/>
  <c r="M2624" i="45"/>
  <c r="M2625" i="45"/>
  <c r="M2629" i="45"/>
  <c r="M2634" i="45"/>
  <c r="M2639" i="45"/>
  <c r="M2644" i="45"/>
  <c r="M2645" i="45"/>
  <c r="M2649" i="45"/>
  <c r="M2654" i="45"/>
  <c r="M2659" i="45"/>
  <c r="M2664" i="45"/>
  <c r="M2665" i="45"/>
  <c r="M2669" i="45"/>
  <c r="M2674" i="45"/>
  <c r="M2679" i="45"/>
  <c r="M2684" i="45"/>
  <c r="M2685" i="45"/>
  <c r="M2689" i="45"/>
  <c r="M2694" i="45"/>
  <c r="M2699" i="45"/>
  <c r="M2704" i="45"/>
  <c r="M2709" i="45"/>
  <c r="M2714" i="45"/>
  <c r="M2719" i="45"/>
  <c r="M2724" i="45"/>
  <c r="M2729" i="45"/>
  <c r="M2734" i="45"/>
  <c r="M2739" i="45"/>
  <c r="M2744" i="45"/>
  <c r="M2749" i="45"/>
  <c r="M2754" i="45"/>
  <c r="M2759" i="45"/>
  <c r="M2764" i="45"/>
  <c r="M2765" i="45"/>
  <c r="M2769" i="45"/>
  <c r="M2774" i="45"/>
  <c r="M2779" i="45"/>
  <c r="M2784" i="45"/>
  <c r="M2785" i="45"/>
  <c r="M2789" i="45"/>
  <c r="M2794" i="45"/>
  <c r="M2799" i="45"/>
  <c r="M2804" i="45"/>
  <c r="M2805" i="45"/>
  <c r="M2809" i="45"/>
  <c r="M2814" i="45"/>
  <c r="M2819" i="45"/>
  <c r="M2824" i="45"/>
  <c r="M2825" i="45"/>
  <c r="M2829" i="45"/>
  <c r="M2834" i="45"/>
  <c r="M2839" i="45"/>
  <c r="M2844" i="45"/>
  <c r="M2845" i="45"/>
  <c r="M2849" i="45"/>
  <c r="M2854" i="45"/>
  <c r="M2859" i="45"/>
  <c r="M2864" i="45"/>
  <c r="M2865" i="45"/>
  <c r="M2869" i="45"/>
  <c r="M2874" i="45"/>
  <c r="M2879" i="45"/>
  <c r="M2884" i="45"/>
  <c r="M2889" i="45"/>
  <c r="M2894" i="45"/>
  <c r="M2899" i="45"/>
  <c r="M2904" i="45"/>
  <c r="M2909" i="45"/>
  <c r="M2914" i="45"/>
  <c r="M2919" i="45"/>
  <c r="M2924" i="45"/>
  <c r="M2929" i="45"/>
  <c r="M2934" i="45"/>
  <c r="M2939" i="45"/>
  <c r="M2944" i="45"/>
  <c r="M2945" i="45"/>
  <c r="M2949" i="45"/>
  <c r="M2954" i="45"/>
  <c r="M2959" i="45"/>
  <c r="M2964" i="45"/>
  <c r="M2965" i="45"/>
  <c r="M2969" i="45"/>
  <c r="M2974" i="45"/>
  <c r="M2979" i="45"/>
  <c r="M2984" i="45"/>
  <c r="M2985" i="45"/>
  <c r="M2989" i="45"/>
  <c r="M2994" i="45"/>
  <c r="M2999" i="45"/>
  <c r="M3004" i="45"/>
  <c r="M3005" i="45"/>
  <c r="M3009" i="45"/>
  <c r="M3014" i="45"/>
  <c r="M3019" i="45"/>
  <c r="M3024" i="45"/>
  <c r="M3025" i="45"/>
  <c r="M3029" i="45"/>
  <c r="M3034" i="45"/>
  <c r="M3039" i="45"/>
  <c r="M3044" i="45"/>
  <c r="M3045" i="45"/>
  <c r="M3049" i="45"/>
  <c r="M3054" i="45"/>
  <c r="M3059" i="45"/>
  <c r="M3064" i="45"/>
  <c r="M3069" i="45"/>
  <c r="M3074" i="45"/>
  <c r="M3079" i="45"/>
  <c r="M14" i="45"/>
  <c r="M19" i="45"/>
  <c r="M24" i="45"/>
  <c r="M29" i="45"/>
  <c r="M34" i="45"/>
  <c r="M39" i="45"/>
  <c r="M44" i="45"/>
  <c r="M49" i="45"/>
  <c r="M54" i="45"/>
  <c r="M59" i="45"/>
  <c r="M64" i="45"/>
  <c r="M69" i="45"/>
  <c r="M74" i="45"/>
  <c r="M79" i="45"/>
  <c r="M84" i="45"/>
  <c r="M85" i="45"/>
  <c r="M89" i="45"/>
  <c r="M94" i="45"/>
  <c r="M99" i="45"/>
  <c r="M104" i="45"/>
  <c r="M105" i="45"/>
  <c r="M109" i="45"/>
  <c r="M114" i="45"/>
  <c r="M119" i="45"/>
  <c r="M124" i="45"/>
  <c r="M125" i="45"/>
  <c r="M129" i="45"/>
  <c r="M134" i="45"/>
  <c r="M139" i="45"/>
  <c r="M144" i="45"/>
  <c r="M145" i="45"/>
  <c r="M149" i="45"/>
  <c r="M154" i="45"/>
  <c r="M159" i="45"/>
  <c r="M164" i="45"/>
  <c r="M165" i="45"/>
  <c r="M169" i="45"/>
  <c r="M174" i="45"/>
  <c r="M179" i="45"/>
  <c r="M184" i="45"/>
  <c r="M189" i="45"/>
  <c r="M194" i="45"/>
  <c r="M199" i="45"/>
  <c r="M204" i="45"/>
  <c r="M209" i="45"/>
  <c r="M214" i="45"/>
  <c r="M219" i="45"/>
  <c r="M224" i="45"/>
  <c r="M229" i="45"/>
  <c r="M234" i="45"/>
  <c r="M239" i="45"/>
  <c r="M244" i="45"/>
  <c r="M245" i="45"/>
  <c r="M249" i="45"/>
  <c r="M254" i="45"/>
  <c r="M259" i="45"/>
  <c r="M264" i="45"/>
  <c r="M265" i="45"/>
  <c r="M269" i="45"/>
  <c r="M274" i="45"/>
  <c r="M279" i="45"/>
  <c r="M284" i="45"/>
  <c r="M285" i="45"/>
  <c r="M289" i="45"/>
  <c r="M294" i="45"/>
  <c r="M299" i="45"/>
  <c r="M304" i="45"/>
  <c r="M305" i="45"/>
  <c r="M309" i="45"/>
  <c r="M314" i="45"/>
  <c r="M319" i="45"/>
  <c r="M324" i="45"/>
  <c r="M325" i="45"/>
  <c r="M329" i="45"/>
  <c r="M334" i="45"/>
  <c r="M339" i="45"/>
  <c r="M344" i="45"/>
  <c r="M345" i="45"/>
  <c r="M349" i="45"/>
  <c r="M354" i="45"/>
  <c r="M359" i="45"/>
  <c r="M364" i="45"/>
  <c r="M369" i="45"/>
  <c r="M374" i="45"/>
  <c r="M379" i="45"/>
  <c r="M384" i="45"/>
  <c r="M389" i="45"/>
  <c r="M394" i="45"/>
  <c r="M399" i="45"/>
  <c r="M404" i="45"/>
  <c r="M409" i="45"/>
  <c r="M414" i="45"/>
  <c r="M419" i="45"/>
  <c r="M424" i="45"/>
  <c r="M425" i="45"/>
  <c r="M9" i="45"/>
  <c r="M196" i="44" l="1"/>
  <c r="T196" i="44" s="1"/>
  <c r="Y196" i="44" s="1"/>
  <c r="M52" i="44"/>
  <c r="T52" i="44" s="1"/>
  <c r="Y52" i="44" s="1"/>
  <c r="P650" i="1"/>
  <c r="AA650" i="1"/>
  <c r="AC650" i="1"/>
  <c r="AA582" i="1"/>
  <c r="AA581" i="1"/>
  <c r="AA580" i="1"/>
  <c r="AA578" i="1"/>
  <c r="AA577" i="1"/>
  <c r="AA576" i="1"/>
  <c r="AA573" i="1"/>
  <c r="AA572" i="1"/>
  <c r="AA538" i="1"/>
  <c r="AA537" i="1"/>
  <c r="AA536" i="1"/>
  <c r="AA535" i="1"/>
  <c r="AA534" i="1"/>
  <c r="AA533" i="1"/>
  <c r="AA532" i="1"/>
  <c r="AA531" i="1"/>
  <c r="AA530" i="1"/>
  <c r="AA529" i="1"/>
  <c r="AA528" i="1"/>
  <c r="AA527" i="1"/>
  <c r="AA526" i="1"/>
  <c r="AA525" i="1"/>
  <c r="AA524" i="1"/>
  <c r="AA523" i="1"/>
  <c r="AA506" i="1"/>
  <c r="AA491" i="1"/>
  <c r="AA490" i="1"/>
  <c r="AA489" i="1"/>
  <c r="AA485" i="1"/>
  <c r="AA454" i="1"/>
  <c r="AA449" i="1"/>
  <c r="AA448" i="1"/>
  <c r="AA363" i="1"/>
  <c r="AA362" i="1"/>
  <c r="AA361" i="1"/>
  <c r="AA360" i="1"/>
  <c r="AA359" i="1"/>
  <c r="AA358" i="1"/>
  <c r="AA357" i="1"/>
  <c r="AA356" i="1"/>
  <c r="AA355" i="1"/>
  <c r="AA354" i="1"/>
  <c r="AA353" i="1"/>
  <c r="AA352" i="1"/>
  <c r="AA351" i="1"/>
  <c r="AA350" i="1"/>
  <c r="AA349" i="1"/>
  <c r="AA348" i="1"/>
  <c r="AA228" i="1"/>
  <c r="AA226" i="1"/>
  <c r="AA225" i="1"/>
  <c r="AA224" i="1"/>
  <c r="AA223" i="1"/>
  <c r="AA222" i="1"/>
  <c r="AA220" i="1"/>
  <c r="AA219" i="1"/>
  <c r="AA217" i="1"/>
  <c r="AA216" i="1"/>
  <c r="AA187" i="1"/>
  <c r="AA186" i="1"/>
  <c r="AA177" i="1"/>
  <c r="AA176" i="1"/>
  <c r="AA175" i="1"/>
  <c r="AA174" i="1"/>
  <c r="AA170" i="1"/>
  <c r="P649" i="1"/>
  <c r="AA649" i="1"/>
  <c r="AC649" i="1"/>
  <c r="AK649" i="1" s="1"/>
  <c r="P648" i="1"/>
  <c r="AA648" i="1"/>
  <c r="AC648" i="1"/>
  <c r="AK648" i="1" s="1"/>
  <c r="P647" i="1"/>
  <c r="AA647" i="1"/>
  <c r="AC647" i="1"/>
  <c r="AK647" i="1" s="1"/>
  <c r="P646" i="1"/>
  <c r="AA646" i="1"/>
  <c r="AC646" i="1"/>
  <c r="AK646" i="1" s="1"/>
  <c r="P645" i="1"/>
  <c r="AA645" i="1"/>
  <c r="AC645" i="1"/>
  <c r="AK645" i="1" s="1"/>
  <c r="Z35" i="1"/>
  <c r="Z624" i="1"/>
  <c r="Z591" i="1"/>
  <c r="AA591" i="1"/>
  <c r="AK650" i="1" l="1"/>
  <c r="AD650" i="1" s="1"/>
  <c r="AE650" i="1" s="1"/>
  <c r="AF650" i="1"/>
  <c r="AF649" i="1"/>
  <c r="AD649" i="1"/>
  <c r="AE649" i="1" s="1"/>
  <c r="AI649" i="1"/>
  <c r="AG649" i="1"/>
  <c r="AH649" i="1" s="1"/>
  <c r="AF648" i="1"/>
  <c r="AD648" i="1"/>
  <c r="AE648" i="1" s="1"/>
  <c r="AI648" i="1"/>
  <c r="AG648" i="1"/>
  <c r="AH648" i="1" s="1"/>
  <c r="AF647" i="1"/>
  <c r="AD647" i="1"/>
  <c r="AE647" i="1" s="1"/>
  <c r="AI647" i="1"/>
  <c r="AG647" i="1"/>
  <c r="AH647" i="1" s="1"/>
  <c r="AF646" i="1"/>
  <c r="AD646" i="1"/>
  <c r="AE646" i="1" s="1"/>
  <c r="AI646" i="1"/>
  <c r="AG646" i="1"/>
  <c r="AH646" i="1" s="1"/>
  <c r="AF645" i="1"/>
  <c r="AD645" i="1"/>
  <c r="AE645" i="1" s="1"/>
  <c r="AI645" i="1"/>
  <c r="AG645" i="1"/>
  <c r="AH645" i="1" s="1"/>
  <c r="P643" i="1"/>
  <c r="P644" i="1"/>
  <c r="AA643" i="1"/>
  <c r="AA644" i="1"/>
  <c r="AC643" i="1"/>
  <c r="AC644" i="1"/>
  <c r="AK643" i="1"/>
  <c r="AD643" i="1" s="1"/>
  <c r="AK644" i="1"/>
  <c r="AD644" i="1" s="1"/>
  <c r="P642" i="1"/>
  <c r="AA642" i="1"/>
  <c r="AC642" i="1"/>
  <c r="AK642" i="1" s="1"/>
  <c r="P641" i="1"/>
  <c r="AA641" i="1"/>
  <c r="AC641" i="1"/>
  <c r="AK641" i="1" s="1"/>
  <c r="P640" i="1"/>
  <c r="AA640" i="1"/>
  <c r="AC640" i="1"/>
  <c r="AK640" i="1" s="1"/>
  <c r="P639" i="1"/>
  <c r="AA639" i="1"/>
  <c r="AC639" i="1"/>
  <c r="AK639" i="1" s="1"/>
  <c r="M214" i="44"/>
  <c r="T214" i="44" s="1"/>
  <c r="Y214" i="44" s="1"/>
  <c r="P638" i="1"/>
  <c r="AA638" i="1"/>
  <c r="AC638" i="1"/>
  <c r="AK638" i="1" s="1"/>
  <c r="AE638" i="1" s="1"/>
  <c r="P637" i="1"/>
  <c r="AA637" i="1"/>
  <c r="AC637" i="1"/>
  <c r="AK637" i="1" s="1"/>
  <c r="AD637" i="1" s="1"/>
  <c r="M72" i="44"/>
  <c r="T72" i="44" s="1"/>
  <c r="Y72" i="44" s="1"/>
  <c r="M55" i="44"/>
  <c r="T55" i="44" s="1"/>
  <c r="Y55" i="44" s="1"/>
  <c r="P636" i="1"/>
  <c r="AA636" i="1"/>
  <c r="AC636" i="1"/>
  <c r="AK636" i="1" s="1"/>
  <c r="P635" i="1"/>
  <c r="AA635" i="1"/>
  <c r="AC635" i="1"/>
  <c r="P634" i="1"/>
  <c r="AA634" i="1"/>
  <c r="AC634" i="1"/>
  <c r="AK634" i="1" s="1"/>
  <c r="P633" i="1"/>
  <c r="AA633" i="1"/>
  <c r="AC633" i="1"/>
  <c r="AK633" i="1" s="1"/>
  <c r="P632" i="1"/>
  <c r="AA632" i="1"/>
  <c r="AC632" i="1"/>
  <c r="AK632" i="1" s="1"/>
  <c r="AD632" i="1" s="1"/>
  <c r="P631" i="1"/>
  <c r="AA631" i="1"/>
  <c r="AC631" i="1"/>
  <c r="AK631" i="1" s="1"/>
  <c r="AE631" i="1" s="1"/>
  <c r="P630" i="1"/>
  <c r="AA630" i="1"/>
  <c r="AC630" i="1"/>
  <c r="AK630" i="1" s="1"/>
  <c r="AE630" i="1" s="1"/>
  <c r="P629" i="1"/>
  <c r="AA629" i="1"/>
  <c r="AC629" i="1"/>
  <c r="AK629" i="1" s="1"/>
  <c r="P628" i="1"/>
  <c r="AA628" i="1"/>
  <c r="AC628" i="1"/>
  <c r="AK628" i="1" s="1"/>
  <c r="AE628" i="1" s="1"/>
  <c r="AA626" i="1"/>
  <c r="P627" i="1"/>
  <c r="AA627" i="1"/>
  <c r="AC627" i="1"/>
  <c r="AK627" i="1" s="1"/>
  <c r="P626" i="1"/>
  <c r="AC626" i="1"/>
  <c r="AK626" i="1" s="1"/>
  <c r="AE626" i="1" s="1"/>
  <c r="AI650" i="1" l="1"/>
  <c r="AG650" i="1"/>
  <c r="AH650" i="1" s="1"/>
  <c r="AK635" i="1"/>
  <c r="AI644" i="1"/>
  <c r="AG644" i="1"/>
  <c r="AH644" i="1" s="1"/>
  <c r="AF644" i="1"/>
  <c r="AE644" i="1"/>
  <c r="AI643" i="1"/>
  <c r="AG643" i="1"/>
  <c r="AH643" i="1" s="1"/>
  <c r="AF643" i="1"/>
  <c r="AE643" i="1"/>
  <c r="AF642" i="1"/>
  <c r="AD642" i="1"/>
  <c r="AE642" i="1" s="1"/>
  <c r="AI642" i="1"/>
  <c r="AG642" i="1"/>
  <c r="AH642" i="1" s="1"/>
  <c r="AF641" i="1"/>
  <c r="AD641" i="1"/>
  <c r="AE641" i="1" s="1"/>
  <c r="AI641" i="1"/>
  <c r="AG641" i="1"/>
  <c r="AH641" i="1" s="1"/>
  <c r="AF640" i="1"/>
  <c r="AD640" i="1"/>
  <c r="AE640" i="1" s="1"/>
  <c r="AI640" i="1"/>
  <c r="AG640" i="1"/>
  <c r="AH640" i="1" s="1"/>
  <c r="AF639" i="1"/>
  <c r="AD639" i="1"/>
  <c r="AE639" i="1" s="1"/>
  <c r="AI639" i="1"/>
  <c r="AG639" i="1"/>
  <c r="AH639" i="1" s="1"/>
  <c r="AE637" i="1"/>
  <c r="AI637" i="1"/>
  <c r="AH638" i="1"/>
  <c r="AF638" i="1"/>
  <c r="AD638" i="1"/>
  <c r="AG637" i="1"/>
  <c r="AI638" i="1"/>
  <c r="AG638" i="1"/>
  <c r="AH637" i="1"/>
  <c r="AF637" i="1"/>
  <c r="AF636" i="1"/>
  <c r="AD636" i="1"/>
  <c r="AE636" i="1" s="1"/>
  <c r="AI636" i="1"/>
  <c r="AG636" i="1"/>
  <c r="AH636" i="1" s="1"/>
  <c r="AF635" i="1"/>
  <c r="AD635" i="1"/>
  <c r="AE635" i="1" s="1"/>
  <c r="AI635" i="1"/>
  <c r="AG635" i="1"/>
  <c r="AH635" i="1" s="1"/>
  <c r="AF634" i="1"/>
  <c r="AD634" i="1"/>
  <c r="AE634" i="1" s="1"/>
  <c r="AI634" i="1"/>
  <c r="AG634" i="1"/>
  <c r="AH634" i="1" s="1"/>
  <c r="AF633" i="1"/>
  <c r="AD633" i="1"/>
  <c r="AE633" i="1" s="1"/>
  <c r="AI633" i="1"/>
  <c r="AG633" i="1"/>
  <c r="AH633" i="1" s="1"/>
  <c r="AE632" i="1"/>
  <c r="AI632" i="1"/>
  <c r="AG632" i="1"/>
  <c r="AH632" i="1" s="1"/>
  <c r="AF632" i="1"/>
  <c r="AH631" i="1"/>
  <c r="AF631" i="1"/>
  <c r="AD631" i="1"/>
  <c r="AI631" i="1"/>
  <c r="AG631" i="1"/>
  <c r="AH630" i="1"/>
  <c r="AF630" i="1"/>
  <c r="AD630" i="1"/>
  <c r="AI630" i="1"/>
  <c r="AG630" i="1"/>
  <c r="AF629" i="1"/>
  <c r="AD629" i="1"/>
  <c r="AE629" i="1" s="1"/>
  <c r="AI629" i="1"/>
  <c r="AG629" i="1"/>
  <c r="AH629" i="1" s="1"/>
  <c r="AH628" i="1"/>
  <c r="AF628" i="1"/>
  <c r="AD628" i="1"/>
  <c r="AI628" i="1"/>
  <c r="AG628" i="1"/>
  <c r="AF627" i="1"/>
  <c r="AD627" i="1"/>
  <c r="AE627" i="1" s="1"/>
  <c r="AI627" i="1"/>
  <c r="AG627" i="1"/>
  <c r="AH627" i="1" s="1"/>
  <c r="AH626" i="1"/>
  <c r="AF626" i="1"/>
  <c r="AD626" i="1"/>
  <c r="AI626" i="1"/>
  <c r="AG626" i="1"/>
  <c r="M114" i="44"/>
  <c r="T114" i="44" s="1"/>
  <c r="Y114" i="44" s="1"/>
  <c r="M112" i="44"/>
  <c r="T112" i="44" s="1"/>
  <c r="Y112" i="44" s="1"/>
  <c r="M113" i="44"/>
  <c r="T113" i="44" s="1"/>
  <c r="Y113" i="44" s="1"/>
  <c r="M103" i="44"/>
  <c r="T103" i="44" s="1"/>
  <c r="Y103" i="44" s="1"/>
  <c r="M102" i="44"/>
  <c r="T102" i="44" s="1"/>
  <c r="Y102" i="44" s="1"/>
  <c r="M101" i="44"/>
  <c r="T101" i="44" s="1"/>
  <c r="Y101" i="44" s="1"/>
  <c r="M118" i="44"/>
  <c r="T118" i="44" s="1"/>
  <c r="Y118" i="44" s="1"/>
  <c r="M82" i="44"/>
  <c r="T82" i="44" s="1"/>
  <c r="Y82" i="44" s="1"/>
  <c r="M81" i="44"/>
  <c r="T81" i="44" s="1"/>
  <c r="Y81" i="44" s="1"/>
  <c r="M80" i="44"/>
  <c r="T80" i="44" s="1"/>
  <c r="Y80" i="44" s="1"/>
  <c r="M90" i="44"/>
  <c r="T90" i="44" s="1"/>
  <c r="Y90" i="44" s="1"/>
  <c r="P164" i="1"/>
  <c r="P287" i="1"/>
  <c r="P322" i="1"/>
  <c r="P326" i="1"/>
  <c r="AA164" i="1"/>
  <c r="AA287" i="1"/>
  <c r="AA322" i="1"/>
  <c r="AA326" i="1"/>
  <c r="AC164" i="1"/>
  <c r="AC287" i="1"/>
  <c r="AC322" i="1"/>
  <c r="AC326" i="1"/>
  <c r="AK164" i="1"/>
  <c r="AD164" i="1" s="1"/>
  <c r="AK287" i="1"/>
  <c r="AD287" i="1" s="1"/>
  <c r="AK322" i="1"/>
  <c r="AD322" i="1" s="1"/>
  <c r="AK326" i="1"/>
  <c r="AD326" i="1" s="1"/>
  <c r="P163" i="1"/>
  <c r="P286" i="1"/>
  <c r="P311" i="1"/>
  <c r="P325" i="1"/>
  <c r="AA163" i="1"/>
  <c r="AA286" i="1"/>
  <c r="AA311" i="1"/>
  <c r="AA325" i="1"/>
  <c r="AC163" i="1"/>
  <c r="AC286" i="1"/>
  <c r="AC311" i="1"/>
  <c r="AC325" i="1"/>
  <c r="AK163" i="1"/>
  <c r="AD163" i="1" s="1"/>
  <c r="AK286" i="1"/>
  <c r="AD286" i="1" s="1"/>
  <c r="AK311" i="1"/>
  <c r="AD311" i="1" s="1"/>
  <c r="AK325" i="1"/>
  <c r="AD325" i="1" s="1"/>
  <c r="P162" i="1"/>
  <c r="P329" i="1"/>
  <c r="P366" i="1"/>
  <c r="P384" i="1"/>
  <c r="AA162" i="1"/>
  <c r="AA329" i="1"/>
  <c r="AA366" i="1"/>
  <c r="AA384" i="1"/>
  <c r="AC162" i="1"/>
  <c r="AC329" i="1"/>
  <c r="AC366" i="1"/>
  <c r="AC384" i="1"/>
  <c r="AK162" i="1"/>
  <c r="AD162" i="1" s="1"/>
  <c r="AK329" i="1"/>
  <c r="AD329" i="1" s="1"/>
  <c r="AK366" i="1"/>
  <c r="AD366" i="1" s="1"/>
  <c r="AK384" i="1"/>
  <c r="AD384" i="1" s="1"/>
  <c r="P161" i="1"/>
  <c r="P328" i="1"/>
  <c r="P344" i="1"/>
  <c r="P377" i="1"/>
  <c r="AA161" i="1"/>
  <c r="AA328" i="1"/>
  <c r="AA344" i="1"/>
  <c r="AA377" i="1"/>
  <c r="AC161" i="1"/>
  <c r="AC328" i="1"/>
  <c r="AC344" i="1"/>
  <c r="AC377" i="1"/>
  <c r="AK161" i="1"/>
  <c r="AD161" i="1" s="1"/>
  <c r="AK328" i="1"/>
  <c r="AD328" i="1" s="1"/>
  <c r="AK344" i="1"/>
  <c r="AD344" i="1" s="1"/>
  <c r="AK377" i="1"/>
  <c r="AD377" i="1" s="1"/>
  <c r="P143" i="1"/>
  <c r="P285" i="1"/>
  <c r="P310" i="1"/>
  <c r="P324" i="1"/>
  <c r="AA143" i="1"/>
  <c r="AA285" i="1"/>
  <c r="AA310" i="1"/>
  <c r="AA324" i="1"/>
  <c r="AC143" i="1"/>
  <c r="AC285" i="1"/>
  <c r="AC310" i="1"/>
  <c r="AC324" i="1"/>
  <c r="AK143" i="1"/>
  <c r="AD143" i="1" s="1"/>
  <c r="AK285" i="1"/>
  <c r="AD285" i="1" s="1"/>
  <c r="AK310" i="1"/>
  <c r="AD310" i="1" s="1"/>
  <c r="AK324" i="1"/>
  <c r="AD324" i="1" s="1"/>
  <c r="P136" i="1"/>
  <c r="P593" i="1"/>
  <c r="P609" i="1"/>
  <c r="P625" i="1"/>
  <c r="AA136" i="1"/>
  <c r="AA593" i="1"/>
  <c r="AA609" i="1"/>
  <c r="AA625" i="1"/>
  <c r="AC136" i="1"/>
  <c r="AC593" i="1"/>
  <c r="AK593" i="1" s="1"/>
  <c r="AD593" i="1" s="1"/>
  <c r="AC609" i="1"/>
  <c r="AK609" i="1" s="1"/>
  <c r="AD609" i="1" s="1"/>
  <c r="AC625" i="1"/>
  <c r="AK625" i="1" s="1"/>
  <c r="AD625" i="1" s="1"/>
  <c r="AK136" i="1"/>
  <c r="AD136" i="1" s="1"/>
  <c r="P621" i="1"/>
  <c r="P605" i="1"/>
  <c r="P590" i="1"/>
  <c r="P135" i="1"/>
  <c r="P617" i="1"/>
  <c r="P601" i="1"/>
  <c r="P587" i="1"/>
  <c r="P134" i="1"/>
  <c r="P613" i="1"/>
  <c r="P597" i="1"/>
  <c r="P583" i="1"/>
  <c r="P133" i="1"/>
  <c r="AA133" i="1"/>
  <c r="AA583" i="1"/>
  <c r="AA597" i="1"/>
  <c r="AA613" i="1"/>
  <c r="AA134" i="1"/>
  <c r="AA587" i="1"/>
  <c r="AA601" i="1"/>
  <c r="AA617" i="1"/>
  <c r="AA135" i="1"/>
  <c r="AA590" i="1"/>
  <c r="AA605" i="1"/>
  <c r="AA621" i="1"/>
  <c r="AC133" i="1"/>
  <c r="AC583" i="1"/>
  <c r="AC597" i="1"/>
  <c r="AC613" i="1"/>
  <c r="AK613" i="1" s="1"/>
  <c r="AD613" i="1" s="1"/>
  <c r="AC134" i="1"/>
  <c r="AC587" i="1"/>
  <c r="AC601" i="1"/>
  <c r="AC617" i="1"/>
  <c r="AK617" i="1" s="1"/>
  <c r="AD617" i="1" s="1"/>
  <c r="AC135" i="1"/>
  <c r="AC590" i="1"/>
  <c r="AC605" i="1"/>
  <c r="AC621" i="1"/>
  <c r="AK621" i="1" s="1"/>
  <c r="AD621" i="1" s="1"/>
  <c r="P579" i="1"/>
  <c r="P414" i="1"/>
  <c r="P410" i="1"/>
  <c r="P140" i="1"/>
  <c r="P418" i="1"/>
  <c r="P412" i="1"/>
  <c r="P409" i="1"/>
  <c r="P137" i="1"/>
  <c r="AA137" i="1"/>
  <c r="AA409" i="1"/>
  <c r="AA412" i="1"/>
  <c r="AA418" i="1"/>
  <c r="AC137" i="1"/>
  <c r="AC409" i="1"/>
  <c r="AC412" i="1"/>
  <c r="AC418" i="1"/>
  <c r="AK418" i="1" s="1"/>
  <c r="AD418" i="1" s="1"/>
  <c r="AA140" i="1"/>
  <c r="AA410" i="1"/>
  <c r="AA414" i="1"/>
  <c r="AA579" i="1"/>
  <c r="AC140" i="1"/>
  <c r="AC410" i="1"/>
  <c r="AC414" i="1"/>
  <c r="AC579" i="1"/>
  <c r="AK579" i="1" s="1"/>
  <c r="AD579" i="1" s="1"/>
  <c r="P376" i="1"/>
  <c r="AA376" i="1"/>
  <c r="AC376" i="1"/>
  <c r="AK376" i="1" s="1"/>
  <c r="AE376" i="1" s="1"/>
  <c r="P330" i="1"/>
  <c r="AA330" i="1"/>
  <c r="AC330" i="1"/>
  <c r="P327" i="1"/>
  <c r="AA327" i="1"/>
  <c r="AC327" i="1"/>
  <c r="AK327" i="1" s="1"/>
  <c r="P142" i="1"/>
  <c r="AA142" i="1"/>
  <c r="AC142" i="1"/>
  <c r="AK142" i="1" s="1"/>
  <c r="AD142" i="1" s="1"/>
  <c r="P415" i="1"/>
  <c r="AA415" i="1"/>
  <c r="AC415" i="1"/>
  <c r="AK415" i="1" s="1"/>
  <c r="AE415" i="1" s="1"/>
  <c r="P411" i="1"/>
  <c r="AA411" i="1"/>
  <c r="AC411" i="1"/>
  <c r="P385" i="1"/>
  <c r="AA385" i="1"/>
  <c r="AC385" i="1"/>
  <c r="AK385" i="1" s="1"/>
  <c r="P132" i="1"/>
  <c r="AA132" i="1"/>
  <c r="AC132" i="1"/>
  <c r="AK132" i="1" s="1"/>
  <c r="P575" i="1"/>
  <c r="AA575" i="1"/>
  <c r="AC575" i="1"/>
  <c r="AK575" i="1" s="1"/>
  <c r="AE575" i="1" s="1"/>
  <c r="P574" i="1"/>
  <c r="AA574" i="1"/>
  <c r="AC574" i="1"/>
  <c r="AK574" i="1" s="1"/>
  <c r="AE574" i="1" s="1"/>
  <c r="P229" i="1"/>
  <c r="AA229" i="1"/>
  <c r="AC229" i="1"/>
  <c r="AK229" i="1" s="1"/>
  <c r="P170" i="1"/>
  <c r="AC170" i="1"/>
  <c r="P599" i="1"/>
  <c r="AA599" i="1"/>
  <c r="AC599" i="1"/>
  <c r="AK599" i="1" s="1"/>
  <c r="P218" i="1"/>
  <c r="AA218" i="1"/>
  <c r="AC218" i="1"/>
  <c r="AK218" i="1" s="1"/>
  <c r="AK411" i="1" l="1"/>
  <c r="AK330" i="1"/>
  <c r="AF330" i="1" s="1"/>
  <c r="AK590" i="1"/>
  <c r="AD590" i="1" s="1"/>
  <c r="AK587" i="1"/>
  <c r="AD587" i="1" s="1"/>
  <c r="AK583" i="1"/>
  <c r="AD583" i="1" s="1"/>
  <c r="AK133" i="1"/>
  <c r="AD133" i="1" s="1"/>
  <c r="AK597" i="1"/>
  <c r="AD597" i="1" s="1"/>
  <c r="AK134" i="1"/>
  <c r="AD134" i="1" s="1"/>
  <c r="AK601" i="1"/>
  <c r="AD601" i="1" s="1"/>
  <c r="AK135" i="1"/>
  <c r="AD135" i="1" s="1"/>
  <c r="AK605" i="1"/>
  <c r="AD605" i="1" s="1"/>
  <c r="AI326" i="1"/>
  <c r="AI287" i="1"/>
  <c r="AH326" i="1"/>
  <c r="AG326" i="1"/>
  <c r="AG287" i="1"/>
  <c r="AH287" i="1" s="1"/>
  <c r="AF326" i="1"/>
  <c r="AF287" i="1"/>
  <c r="AE326" i="1"/>
  <c r="AE287" i="1"/>
  <c r="AI322" i="1"/>
  <c r="AI164" i="1"/>
  <c r="AG322" i="1"/>
  <c r="AH322" i="1" s="1"/>
  <c r="AG164" i="1"/>
  <c r="AH164" i="1" s="1"/>
  <c r="AF322" i="1"/>
  <c r="AF164" i="1"/>
  <c r="AE322" i="1"/>
  <c r="AE164" i="1"/>
  <c r="AI325" i="1"/>
  <c r="AI286" i="1"/>
  <c r="AH325" i="1"/>
  <c r="AG325" i="1"/>
  <c r="AG286" i="1"/>
  <c r="AH286" i="1" s="1"/>
  <c r="AF325" i="1"/>
  <c r="AF286" i="1"/>
  <c r="AE325" i="1"/>
  <c r="AE286" i="1"/>
  <c r="AI311" i="1"/>
  <c r="AI163" i="1"/>
  <c r="AG311" i="1"/>
  <c r="AH311" i="1" s="1"/>
  <c r="AG163" i="1"/>
  <c r="AH163" i="1" s="1"/>
  <c r="AF311" i="1"/>
  <c r="AF163" i="1"/>
  <c r="AE311" i="1"/>
  <c r="AE163" i="1"/>
  <c r="AI384" i="1"/>
  <c r="AI329" i="1"/>
  <c r="AH384" i="1"/>
  <c r="AG384" i="1"/>
  <c r="AG329" i="1"/>
  <c r="AH329" i="1" s="1"/>
  <c r="AF384" i="1"/>
  <c r="AF329" i="1"/>
  <c r="AE384" i="1"/>
  <c r="AE329" i="1"/>
  <c r="AK410" i="1"/>
  <c r="AD410" i="1" s="1"/>
  <c r="AK409" i="1"/>
  <c r="AD409" i="1" s="1"/>
  <c r="AK137" i="1"/>
  <c r="AD137" i="1" s="1"/>
  <c r="AK412" i="1"/>
  <c r="AD412" i="1" s="1"/>
  <c r="AI366" i="1"/>
  <c r="AI162" i="1"/>
  <c r="AG366" i="1"/>
  <c r="AH366" i="1" s="1"/>
  <c r="AG162" i="1"/>
  <c r="AH162" i="1" s="1"/>
  <c r="AF366" i="1"/>
  <c r="AF162" i="1"/>
  <c r="AE366" i="1"/>
  <c r="AE162" i="1"/>
  <c r="AI377" i="1"/>
  <c r="AI328" i="1"/>
  <c r="AH377" i="1"/>
  <c r="AG377" i="1"/>
  <c r="AG328" i="1"/>
  <c r="AH328" i="1" s="1"/>
  <c r="AF377" i="1"/>
  <c r="AF328" i="1"/>
  <c r="AE377" i="1"/>
  <c r="AE328" i="1"/>
  <c r="AI344" i="1"/>
  <c r="AI161" i="1"/>
  <c r="AG344" i="1"/>
  <c r="AH344" i="1" s="1"/>
  <c r="AG161" i="1"/>
  <c r="AH161" i="1" s="1"/>
  <c r="AF344" i="1"/>
  <c r="AF161" i="1"/>
  <c r="AE344" i="1"/>
  <c r="AE161" i="1"/>
  <c r="AI324" i="1"/>
  <c r="AI285" i="1"/>
  <c r="AH324" i="1"/>
  <c r="AG324" i="1"/>
  <c r="AG285" i="1"/>
  <c r="AH285" i="1" s="1"/>
  <c r="AF324" i="1"/>
  <c r="AF285" i="1"/>
  <c r="AE324" i="1"/>
  <c r="AE285" i="1"/>
  <c r="AI310" i="1"/>
  <c r="AI143" i="1"/>
  <c r="AG310" i="1"/>
  <c r="AH310" i="1" s="1"/>
  <c r="AG143" i="1"/>
  <c r="AH143" i="1" s="1"/>
  <c r="AF310" i="1"/>
  <c r="AF143" i="1"/>
  <c r="AE310" i="1"/>
  <c r="AE143" i="1"/>
  <c r="AK140" i="1"/>
  <c r="AD140" i="1" s="1"/>
  <c r="AK414" i="1"/>
  <c r="AD414" i="1" s="1"/>
  <c r="AI625" i="1"/>
  <c r="AI593" i="1"/>
  <c r="AH625" i="1"/>
  <c r="AG625" i="1"/>
  <c r="AG593" i="1"/>
  <c r="AH593" i="1" s="1"/>
  <c r="AF625" i="1"/>
  <c r="AF593" i="1"/>
  <c r="AE625" i="1"/>
  <c r="AE593" i="1"/>
  <c r="AI609" i="1"/>
  <c r="AI136" i="1"/>
  <c r="AG609" i="1"/>
  <c r="AH609" i="1" s="1"/>
  <c r="AG136" i="1"/>
  <c r="AH136" i="1" s="1"/>
  <c r="AF609" i="1"/>
  <c r="AF136" i="1"/>
  <c r="AE609" i="1"/>
  <c r="AE136" i="1"/>
  <c r="AI621" i="1"/>
  <c r="AI590" i="1"/>
  <c r="AI617" i="1"/>
  <c r="AI613" i="1"/>
  <c r="AH621" i="1"/>
  <c r="AH617" i="1"/>
  <c r="AH613" i="1"/>
  <c r="AG621" i="1"/>
  <c r="AG617" i="1"/>
  <c r="AG613" i="1"/>
  <c r="AF621" i="1"/>
  <c r="AF617" i="1"/>
  <c r="AF613" i="1"/>
  <c r="AE621" i="1"/>
  <c r="AE617" i="1"/>
  <c r="AE613" i="1"/>
  <c r="AI135" i="1"/>
  <c r="AI418" i="1"/>
  <c r="AH418" i="1"/>
  <c r="AG418" i="1"/>
  <c r="AF418" i="1"/>
  <c r="AE418" i="1"/>
  <c r="AI579" i="1"/>
  <c r="AH579" i="1"/>
  <c r="AG579" i="1"/>
  <c r="AF579" i="1"/>
  <c r="AE579" i="1"/>
  <c r="AE142" i="1"/>
  <c r="AI142" i="1"/>
  <c r="AF327" i="1"/>
  <c r="AD327" i="1"/>
  <c r="AE327" i="1" s="1"/>
  <c r="AD330" i="1"/>
  <c r="AE330" i="1" s="1"/>
  <c r="AH376" i="1"/>
  <c r="AF376" i="1"/>
  <c r="AD376" i="1"/>
  <c r="AG142" i="1"/>
  <c r="AH142" i="1" s="1"/>
  <c r="AI327" i="1"/>
  <c r="AG327" i="1"/>
  <c r="AH327" i="1" s="1"/>
  <c r="AG330" i="1"/>
  <c r="AH330" i="1" s="1"/>
  <c r="AI376" i="1"/>
  <c r="AG376" i="1"/>
  <c r="AF142" i="1"/>
  <c r="AH415" i="1"/>
  <c r="AF415" i="1"/>
  <c r="AD415" i="1"/>
  <c r="AI415" i="1"/>
  <c r="AG415" i="1"/>
  <c r="AF411" i="1"/>
  <c r="AD411" i="1"/>
  <c r="AE411" i="1" s="1"/>
  <c r="AI411" i="1"/>
  <c r="AG411" i="1"/>
  <c r="AH411" i="1" s="1"/>
  <c r="AF385" i="1"/>
  <c r="AD385" i="1"/>
  <c r="AE385" i="1" s="1"/>
  <c r="AI385" i="1"/>
  <c r="AG385" i="1"/>
  <c r="AH385" i="1" s="1"/>
  <c r="AF132" i="1"/>
  <c r="AD132" i="1"/>
  <c r="AE132" i="1" s="1"/>
  <c r="AK170" i="1"/>
  <c r="AF170" i="1" s="1"/>
  <c r="AI132" i="1"/>
  <c r="AG132" i="1"/>
  <c r="AH132" i="1" s="1"/>
  <c r="AH574" i="1"/>
  <c r="AF574" i="1"/>
  <c r="AD574" i="1"/>
  <c r="AH575" i="1"/>
  <c r="AF575" i="1"/>
  <c r="AD575" i="1"/>
  <c r="AI574" i="1"/>
  <c r="AG574" i="1"/>
  <c r="AI575" i="1"/>
  <c r="AG575" i="1"/>
  <c r="AF229" i="1"/>
  <c r="AD229" i="1"/>
  <c r="AE229" i="1" s="1"/>
  <c r="AI229" i="1"/>
  <c r="AG229" i="1"/>
  <c r="AH229" i="1" s="1"/>
  <c r="AF599" i="1"/>
  <c r="AD599" i="1"/>
  <c r="AE599" i="1" s="1"/>
  <c r="AI599" i="1"/>
  <c r="AG599" i="1"/>
  <c r="AH599" i="1" s="1"/>
  <c r="AF218" i="1"/>
  <c r="AD218" i="1"/>
  <c r="AE218" i="1" s="1"/>
  <c r="AI218" i="1"/>
  <c r="AG218" i="1"/>
  <c r="AH218" i="1" s="1"/>
  <c r="M195" i="44"/>
  <c r="T195" i="44" s="1"/>
  <c r="Y195" i="44" s="1"/>
  <c r="M199" i="44"/>
  <c r="T199" i="44" s="1"/>
  <c r="Y199" i="44" s="1"/>
  <c r="AI330" i="1" l="1"/>
  <c r="AF414" i="1"/>
  <c r="AG412" i="1"/>
  <c r="AH412" i="1" s="1"/>
  <c r="AF133" i="1"/>
  <c r="AG134" i="1"/>
  <c r="AH134" i="1" s="1"/>
  <c r="AI414" i="1"/>
  <c r="AE412" i="1"/>
  <c r="AE409" i="1"/>
  <c r="AF409" i="1"/>
  <c r="AG409" i="1"/>
  <c r="AH409" i="1" s="1"/>
  <c r="AE134" i="1"/>
  <c r="AF135" i="1"/>
  <c r="AI133" i="1"/>
  <c r="AI583" i="1"/>
  <c r="AE414" i="1"/>
  <c r="AG414" i="1"/>
  <c r="AH414" i="1" s="1"/>
  <c r="AF412" i="1"/>
  <c r="AI412" i="1"/>
  <c r="AI409" i="1"/>
  <c r="AE133" i="1"/>
  <c r="AE135" i="1"/>
  <c r="AF134" i="1"/>
  <c r="AG133" i="1"/>
  <c r="AH133" i="1" s="1"/>
  <c r="AG135" i="1"/>
  <c r="AH135" i="1" s="1"/>
  <c r="AI134" i="1"/>
  <c r="AI587" i="1"/>
  <c r="AE583" i="1"/>
  <c r="AF590" i="1"/>
  <c r="AG583" i="1"/>
  <c r="AH583" i="1" s="1"/>
  <c r="AI410" i="1"/>
  <c r="AE137" i="1"/>
  <c r="AF137" i="1"/>
  <c r="AG137" i="1"/>
  <c r="AH137" i="1" s="1"/>
  <c r="AI137" i="1"/>
  <c r="AE597" i="1"/>
  <c r="AE601" i="1"/>
  <c r="AE605" i="1"/>
  <c r="AF597" i="1"/>
  <c r="AF601" i="1"/>
  <c r="AF605" i="1"/>
  <c r="AG597" i="1"/>
  <c r="AH597" i="1" s="1"/>
  <c r="AG601" i="1"/>
  <c r="AH601" i="1" s="1"/>
  <c r="AG605" i="1"/>
  <c r="AH605" i="1" s="1"/>
  <c r="AI597" i="1"/>
  <c r="AI601" i="1"/>
  <c r="AI605" i="1"/>
  <c r="AE590" i="1"/>
  <c r="AF583" i="1"/>
  <c r="AG590" i="1"/>
  <c r="AH590" i="1" s="1"/>
  <c r="AE587" i="1"/>
  <c r="AF587" i="1"/>
  <c r="AG587" i="1"/>
  <c r="AH587" i="1" s="1"/>
  <c r="AE140" i="1"/>
  <c r="AF140" i="1"/>
  <c r="AG140" i="1"/>
  <c r="AH140" i="1" s="1"/>
  <c r="AI140" i="1"/>
  <c r="AE410" i="1"/>
  <c r="AF410" i="1"/>
  <c r="AG410" i="1"/>
  <c r="AH410" i="1" s="1"/>
  <c r="AG170" i="1"/>
  <c r="AH170" i="1" s="1"/>
  <c r="AD170" i="1"/>
  <c r="AE170" i="1" s="1"/>
  <c r="AI170" i="1"/>
  <c r="W5" i="44" l="1"/>
  <c r="V5" i="44"/>
  <c r="U5" i="44"/>
  <c r="T5" i="44"/>
  <c r="S5" i="44"/>
  <c r="Z284" i="1" l="1"/>
  <c r="P284" i="1"/>
  <c r="AA284" i="1"/>
  <c r="AC284" i="1"/>
  <c r="AK284" i="1" s="1"/>
  <c r="P566" i="1"/>
  <c r="AA566" i="1"/>
  <c r="AC566" i="1"/>
  <c r="AK566" i="1" s="1"/>
  <c r="AE566" i="1" s="1"/>
  <c r="P565" i="1"/>
  <c r="AA565" i="1"/>
  <c r="AC565" i="1"/>
  <c r="AK565" i="1" s="1"/>
  <c r="AE565" i="1" s="1"/>
  <c r="P564" i="1"/>
  <c r="AA564" i="1"/>
  <c r="AC564" i="1"/>
  <c r="AK564" i="1" s="1"/>
  <c r="AE564" i="1" s="1"/>
  <c r="P563" i="1"/>
  <c r="AA563" i="1"/>
  <c r="AC563" i="1"/>
  <c r="AK563" i="1" s="1"/>
  <c r="AE563" i="1" s="1"/>
  <c r="P562" i="1"/>
  <c r="AA562" i="1"/>
  <c r="AC562" i="1"/>
  <c r="AK562" i="1" s="1"/>
  <c r="AE562" i="1" s="1"/>
  <c r="P561" i="1"/>
  <c r="AA561" i="1"/>
  <c r="AC561" i="1"/>
  <c r="AK561" i="1" s="1"/>
  <c r="AE561" i="1" s="1"/>
  <c r="P560" i="1"/>
  <c r="AA560" i="1"/>
  <c r="AC560" i="1"/>
  <c r="AK560" i="1" s="1"/>
  <c r="AE560" i="1" s="1"/>
  <c r="AF284" i="1" l="1"/>
  <c r="AD284" i="1"/>
  <c r="AE284" i="1" s="1"/>
  <c r="AI284" i="1"/>
  <c r="AG284" i="1"/>
  <c r="AH284" i="1" s="1"/>
  <c r="AH566" i="1"/>
  <c r="AF566" i="1"/>
  <c r="AD566" i="1"/>
  <c r="AI566" i="1"/>
  <c r="AG566" i="1"/>
  <c r="AH565" i="1"/>
  <c r="AF565" i="1"/>
  <c r="AD565" i="1"/>
  <c r="AI565" i="1"/>
  <c r="AG565" i="1"/>
  <c r="AH564" i="1"/>
  <c r="AF564" i="1"/>
  <c r="AD564" i="1"/>
  <c r="AI564" i="1"/>
  <c r="AG564" i="1"/>
  <c r="AH563" i="1"/>
  <c r="AF563" i="1"/>
  <c r="AD563" i="1"/>
  <c r="AI563" i="1"/>
  <c r="AG563" i="1"/>
  <c r="AH562" i="1"/>
  <c r="AF562" i="1"/>
  <c r="AD562" i="1"/>
  <c r="AI562" i="1"/>
  <c r="AG562" i="1"/>
  <c r="AH561" i="1"/>
  <c r="AF561" i="1"/>
  <c r="AD561" i="1"/>
  <c r="AI561" i="1"/>
  <c r="AG561" i="1"/>
  <c r="AH560" i="1"/>
  <c r="AF560" i="1"/>
  <c r="AD560" i="1"/>
  <c r="AI560" i="1"/>
  <c r="AG560" i="1"/>
  <c r="P35" i="1" l="1"/>
  <c r="AC35" i="1"/>
  <c r="AA35" i="1"/>
  <c r="P624" i="1"/>
  <c r="AA624" i="1"/>
  <c r="AC624" i="1"/>
  <c r="AK624" i="1" s="1"/>
  <c r="P343" i="1"/>
  <c r="P283" i="1"/>
  <c r="P555" i="1"/>
  <c r="AA555" i="1"/>
  <c r="AA283" i="1"/>
  <c r="AA343" i="1"/>
  <c r="AC555" i="1"/>
  <c r="AK555" i="1" s="1"/>
  <c r="AE555" i="1" s="1"/>
  <c r="AC283" i="1"/>
  <c r="AC343" i="1"/>
  <c r="AK343" i="1" s="1"/>
  <c r="AK283" i="1"/>
  <c r="AD283" i="1" s="1"/>
  <c r="P341" i="1"/>
  <c r="AA341" i="1"/>
  <c r="AC341" i="1"/>
  <c r="AK341" i="1" s="1"/>
  <c r="P282" i="1"/>
  <c r="AA282" i="1"/>
  <c r="AC282" i="1"/>
  <c r="AK282" i="1" s="1"/>
  <c r="P552" i="1"/>
  <c r="AA552" i="1"/>
  <c r="AC552" i="1"/>
  <c r="AK552" i="1" s="1"/>
  <c r="AE552" i="1" s="1"/>
  <c r="G171" i="44"/>
  <c r="H171" i="44" s="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70"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112"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65" i="1"/>
  <c r="AC111" i="1"/>
  <c r="AC166" i="1"/>
  <c r="AC113" i="1"/>
  <c r="AC114" i="1"/>
  <c r="AC167" i="1"/>
  <c r="AC116" i="1"/>
  <c r="AC117" i="1"/>
  <c r="AC118" i="1"/>
  <c r="AC168" i="1"/>
  <c r="AC120" i="1"/>
  <c r="AC121" i="1"/>
  <c r="AC122" i="1"/>
  <c r="AC123" i="1"/>
  <c r="AC124" i="1"/>
  <c r="AC125" i="1"/>
  <c r="AC126" i="1"/>
  <c r="AC127" i="1"/>
  <c r="AC128" i="1"/>
  <c r="AC129" i="1"/>
  <c r="AC171" i="1"/>
  <c r="AC172" i="1"/>
  <c r="AC173" i="1"/>
  <c r="AC174" i="1"/>
  <c r="AC175" i="1"/>
  <c r="AC176" i="1"/>
  <c r="AC177" i="1"/>
  <c r="AC186" i="1"/>
  <c r="AC138" i="1"/>
  <c r="AC139" i="1"/>
  <c r="AC187" i="1"/>
  <c r="AC141" i="1"/>
  <c r="AC216" i="1"/>
  <c r="AC217" i="1"/>
  <c r="AC144" i="1"/>
  <c r="AC145" i="1"/>
  <c r="AC146" i="1"/>
  <c r="AC147" i="1"/>
  <c r="AC148" i="1"/>
  <c r="AC149" i="1"/>
  <c r="AC150" i="1"/>
  <c r="AC151" i="1"/>
  <c r="AC152" i="1"/>
  <c r="AC153" i="1"/>
  <c r="AC154" i="1"/>
  <c r="AC155" i="1"/>
  <c r="AC156" i="1"/>
  <c r="AC157" i="1"/>
  <c r="AC158" i="1"/>
  <c r="AC159" i="1"/>
  <c r="AC160" i="1"/>
  <c r="AC219" i="1"/>
  <c r="AC220" i="1"/>
  <c r="AC222" i="1"/>
  <c r="AC223" i="1"/>
  <c r="AC224" i="1"/>
  <c r="AC225" i="1"/>
  <c r="AC226" i="1"/>
  <c r="AC228" i="1"/>
  <c r="AC169" i="1"/>
  <c r="AC448" i="1"/>
  <c r="AC449" i="1"/>
  <c r="AC454" i="1"/>
  <c r="AC485" i="1"/>
  <c r="AC489" i="1"/>
  <c r="AC490" i="1"/>
  <c r="AC491" i="1"/>
  <c r="AC506" i="1"/>
  <c r="AC178" i="1"/>
  <c r="AC179" i="1"/>
  <c r="AC180" i="1"/>
  <c r="AC181" i="1"/>
  <c r="AC182" i="1"/>
  <c r="AC183" i="1"/>
  <c r="AC184" i="1"/>
  <c r="AC185" i="1"/>
  <c r="AC513" i="1"/>
  <c r="AC516"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517" i="1"/>
  <c r="AC518" i="1"/>
  <c r="AC519" i="1"/>
  <c r="AC520" i="1"/>
  <c r="AC521" i="1"/>
  <c r="AC221" i="1"/>
  <c r="AC531" i="1"/>
  <c r="AC532" i="1"/>
  <c r="AC533" i="1"/>
  <c r="AC534" i="1"/>
  <c r="AC535" i="1"/>
  <c r="AC227" i="1"/>
  <c r="AC536" i="1"/>
  <c r="AC537" i="1"/>
  <c r="AC538" i="1"/>
  <c r="AC231" i="1"/>
  <c r="AC232" i="1"/>
  <c r="AC233" i="1"/>
  <c r="AC234" i="1"/>
  <c r="AC235" i="1"/>
  <c r="AC236" i="1"/>
  <c r="AC237" i="1"/>
  <c r="AC238" i="1"/>
  <c r="AC239" i="1"/>
  <c r="AC240" i="1"/>
  <c r="AC241" i="1"/>
  <c r="AC242" i="1"/>
  <c r="AC243" i="1"/>
  <c r="AC244" i="1"/>
  <c r="AC245" i="1"/>
  <c r="AC246" i="1"/>
  <c r="AC522"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523" i="1"/>
  <c r="AC524" i="1"/>
  <c r="AC525" i="1"/>
  <c r="AC526" i="1"/>
  <c r="AC527" i="1"/>
  <c r="AC528" i="1"/>
  <c r="AC529" i="1"/>
  <c r="AC530" i="1"/>
  <c r="AC288" i="1"/>
  <c r="AC289" i="1"/>
  <c r="AC290" i="1"/>
  <c r="AC291" i="1"/>
  <c r="AC292" i="1"/>
  <c r="AC293" i="1"/>
  <c r="AC294" i="1"/>
  <c r="AC295" i="1"/>
  <c r="AC296" i="1"/>
  <c r="AC297" i="1"/>
  <c r="AC298" i="1"/>
  <c r="AC299" i="1"/>
  <c r="AC300" i="1"/>
  <c r="AC301" i="1"/>
  <c r="AC302" i="1"/>
  <c r="AC303" i="1"/>
  <c r="AC304" i="1"/>
  <c r="AC305" i="1"/>
  <c r="AC306" i="1"/>
  <c r="AC307" i="1"/>
  <c r="AC308" i="1"/>
  <c r="AC309" i="1"/>
  <c r="AC591" i="1"/>
  <c r="AC554" i="1"/>
  <c r="AC312" i="1"/>
  <c r="AC313" i="1"/>
  <c r="AC314" i="1"/>
  <c r="AC315" i="1"/>
  <c r="AC316" i="1"/>
  <c r="AC317" i="1"/>
  <c r="AC318" i="1"/>
  <c r="AC319" i="1"/>
  <c r="AC320" i="1"/>
  <c r="AC321" i="1"/>
  <c r="AC570" i="1"/>
  <c r="AC323" i="1"/>
  <c r="AC571" i="1"/>
  <c r="AC572" i="1"/>
  <c r="AC573" i="1"/>
  <c r="AC576" i="1"/>
  <c r="AC577" i="1"/>
  <c r="AC578" i="1"/>
  <c r="AC580" i="1"/>
  <c r="AC581" i="1"/>
  <c r="AC582" i="1"/>
  <c r="AC333" i="1"/>
  <c r="AC584" i="1"/>
  <c r="AC335" i="1"/>
  <c r="AC336" i="1"/>
  <c r="AC337" i="1"/>
  <c r="AC338" i="1"/>
  <c r="AC339" i="1"/>
  <c r="AC585" i="1"/>
  <c r="AC586" i="1"/>
  <c r="AC342" i="1"/>
  <c r="AC588" i="1"/>
  <c r="AC589" i="1"/>
  <c r="AC345" i="1"/>
  <c r="AC346" i="1"/>
  <c r="AC347" i="1"/>
  <c r="AC348" i="1"/>
  <c r="AC349" i="1"/>
  <c r="AC350" i="1"/>
  <c r="AC351" i="1"/>
  <c r="AC352" i="1"/>
  <c r="AC353" i="1"/>
  <c r="AC354" i="1"/>
  <c r="AC355" i="1"/>
  <c r="AC356" i="1"/>
  <c r="AC357" i="1"/>
  <c r="AC358" i="1"/>
  <c r="AC359" i="1"/>
  <c r="AC360" i="1"/>
  <c r="AC361" i="1"/>
  <c r="AC362" i="1"/>
  <c r="AC363" i="1"/>
  <c r="AC364" i="1"/>
  <c r="AC365" i="1"/>
  <c r="AC592" i="1"/>
  <c r="AC367" i="1"/>
  <c r="AC368" i="1"/>
  <c r="AC369" i="1"/>
  <c r="AC370" i="1"/>
  <c r="AC371" i="1"/>
  <c r="AC372" i="1"/>
  <c r="AC373" i="1"/>
  <c r="AC374" i="1"/>
  <c r="AC375" i="1"/>
  <c r="AC594" i="1"/>
  <c r="AC595" i="1"/>
  <c r="AC378" i="1"/>
  <c r="AC379" i="1"/>
  <c r="AC380" i="1"/>
  <c r="AC381" i="1"/>
  <c r="AC382" i="1"/>
  <c r="AC383" i="1"/>
  <c r="AC596" i="1"/>
  <c r="AC598"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600" i="1"/>
  <c r="AC602" i="1"/>
  <c r="AC603" i="1"/>
  <c r="AC604" i="1"/>
  <c r="AC413" i="1"/>
  <c r="AC606" i="1"/>
  <c r="AC607" i="1"/>
  <c r="AC416" i="1"/>
  <c r="AC417" i="1"/>
  <c r="AC60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610" i="1"/>
  <c r="AC443" i="1"/>
  <c r="AC444" i="1"/>
  <c r="AC445" i="1"/>
  <c r="AC446" i="1"/>
  <c r="AC447" i="1"/>
  <c r="AC611" i="1"/>
  <c r="AC612" i="1"/>
  <c r="AC450" i="1"/>
  <c r="AC451" i="1"/>
  <c r="AC452" i="1"/>
  <c r="AC453" i="1"/>
  <c r="AC61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616" i="1"/>
  <c r="AC486" i="1"/>
  <c r="AC487" i="1"/>
  <c r="AC488" i="1"/>
  <c r="AC618" i="1"/>
  <c r="AC619" i="1"/>
  <c r="AC620" i="1"/>
  <c r="AC492" i="1"/>
  <c r="AC493" i="1"/>
  <c r="AC494" i="1"/>
  <c r="AC495" i="1"/>
  <c r="AC496" i="1"/>
  <c r="AC497" i="1"/>
  <c r="AC498" i="1"/>
  <c r="AC499" i="1"/>
  <c r="AC500" i="1"/>
  <c r="AC501" i="1"/>
  <c r="AC502" i="1"/>
  <c r="AC503" i="1"/>
  <c r="AC504" i="1"/>
  <c r="AC505" i="1"/>
  <c r="AC622" i="1"/>
  <c r="AC507" i="1"/>
  <c r="AC508" i="1"/>
  <c r="AC509" i="1"/>
  <c r="AC510" i="1"/>
  <c r="AC511" i="1"/>
  <c r="AC512" i="1"/>
  <c r="AC623" i="1"/>
  <c r="AC514" i="1"/>
  <c r="AC515" i="1"/>
  <c r="AC115" i="1"/>
  <c r="AC110" i="1"/>
  <c r="AC615" i="1"/>
  <c r="AC442" i="1"/>
  <c r="AC556" i="1"/>
  <c r="AC119" i="1"/>
  <c r="AC557" i="1"/>
  <c r="AC130" i="1"/>
  <c r="AC558" i="1"/>
  <c r="AC131" i="1"/>
  <c r="AC559" i="1"/>
  <c r="AC331" i="1"/>
  <c r="AC332" i="1"/>
  <c r="AC334" i="1"/>
  <c r="AC340" i="1"/>
  <c r="AC230" i="1"/>
  <c r="AC247" i="1"/>
  <c r="AC280" i="1"/>
  <c r="AC281" i="1"/>
  <c r="AC567" i="1"/>
  <c r="AC568" i="1"/>
  <c r="AC569" i="1"/>
  <c r="AC548" i="1"/>
  <c r="AC539" i="1"/>
  <c r="AC540" i="1"/>
  <c r="AC541" i="1"/>
  <c r="AC542" i="1"/>
  <c r="AC543" i="1"/>
  <c r="AC544" i="1"/>
  <c r="AC545" i="1"/>
  <c r="AC546" i="1"/>
  <c r="AC547" i="1"/>
  <c r="AC550" i="1"/>
  <c r="AC549" i="1"/>
  <c r="AC551" i="1"/>
  <c r="AC553" i="1"/>
  <c r="A4026" i="45"/>
  <c r="A3846" i="45"/>
  <c r="A3666" i="45"/>
  <c r="A3486" i="45"/>
  <c r="A3306" i="45"/>
  <c r="A3126" i="45"/>
  <c r="A2946" i="45"/>
  <c r="A2766" i="45"/>
  <c r="A2586" i="45"/>
  <c r="A2406" i="45"/>
  <c r="A2226" i="45"/>
  <c r="A2046" i="45"/>
  <c r="A1866" i="45"/>
  <c r="A1686" i="45"/>
  <c r="A1506" i="45"/>
  <c r="A1326" i="45"/>
  <c r="A1146" i="45"/>
  <c r="A966" i="45"/>
  <c r="AK35" i="1" l="1"/>
  <c r="AF35" i="1" s="1"/>
  <c r="AF624" i="1"/>
  <c r="AD624" i="1"/>
  <c r="AE624" i="1" s="1"/>
  <c r="AI624" i="1"/>
  <c r="AG624" i="1"/>
  <c r="AH624" i="1" s="1"/>
  <c r="AI283" i="1"/>
  <c r="AE283" i="1"/>
  <c r="AG283" i="1"/>
  <c r="AH555" i="1"/>
  <c r="AF343" i="1"/>
  <c r="AF555" i="1"/>
  <c r="AD343" i="1"/>
  <c r="AE343" i="1" s="1"/>
  <c r="AD555" i="1"/>
  <c r="AI343" i="1"/>
  <c r="AI555" i="1"/>
  <c r="AH283" i="1"/>
  <c r="AG343" i="1"/>
  <c r="AH343" i="1" s="1"/>
  <c r="AG555" i="1"/>
  <c r="AF283" i="1"/>
  <c r="AF341" i="1"/>
  <c r="AD341" i="1"/>
  <c r="AE341" i="1" s="1"/>
  <c r="AI341" i="1"/>
  <c r="AG341" i="1"/>
  <c r="AH341" i="1" s="1"/>
  <c r="AF282" i="1"/>
  <c r="AD282" i="1"/>
  <c r="AE282" i="1" s="1"/>
  <c r="AI282" i="1"/>
  <c r="AG282" i="1"/>
  <c r="AH282" i="1" s="1"/>
  <c r="AH552" i="1"/>
  <c r="AF552" i="1"/>
  <c r="AD552" i="1"/>
  <c r="AI552" i="1"/>
  <c r="AG552" i="1"/>
  <c r="F4141" i="45"/>
  <c r="F4142" i="45" s="1"/>
  <c r="F4143" i="45" s="1"/>
  <c r="F4144" i="45" s="1"/>
  <c r="F4136" i="45"/>
  <c r="F4137" i="45" s="1"/>
  <c r="F4138" i="45" s="1"/>
  <c r="F4139" i="45" s="1"/>
  <c r="F4131" i="45"/>
  <c r="F4134" i="45" s="1"/>
  <c r="F4126" i="45"/>
  <c r="F4129" i="45" s="1"/>
  <c r="E4126" i="45"/>
  <c r="D4126" i="45"/>
  <c r="D4129" i="45" s="1"/>
  <c r="D4132" i="45" s="1"/>
  <c r="D4135" i="45" s="1"/>
  <c r="D4138" i="45" s="1"/>
  <c r="D4141" i="45" s="1"/>
  <c r="C4126" i="45"/>
  <c r="C4127" i="45" s="1"/>
  <c r="C4128" i="45" s="1"/>
  <c r="C4129" i="45" s="1"/>
  <c r="C4130" i="45" s="1"/>
  <c r="C4131" i="45" s="1"/>
  <c r="C4132" i="45" s="1"/>
  <c r="C4133" i="45" s="1"/>
  <c r="C4134" i="45" s="1"/>
  <c r="C4135" i="45" s="1"/>
  <c r="C4136" i="45" s="1"/>
  <c r="C4137" i="45" s="1"/>
  <c r="C4138" i="45" s="1"/>
  <c r="C4139" i="45" s="1"/>
  <c r="C4140" i="45" s="1"/>
  <c r="C4141" i="45" s="1"/>
  <c r="C4142" i="45" s="1"/>
  <c r="C4143" i="45" s="1"/>
  <c r="C4144" i="45" s="1"/>
  <c r="B4126" i="45"/>
  <c r="B4129" i="45" s="1"/>
  <c r="B4132" i="45" s="1"/>
  <c r="B4135" i="45" s="1"/>
  <c r="B4138" i="45" s="1"/>
  <c r="B4141" i="45" s="1"/>
  <c r="A4126" i="45"/>
  <c r="G4125" i="45"/>
  <c r="G4126" i="45" s="1"/>
  <c r="G4127" i="45" s="1"/>
  <c r="G4128" i="45" s="1"/>
  <c r="G4129" i="45" s="1"/>
  <c r="F4121" i="45"/>
  <c r="F4122" i="45" s="1"/>
  <c r="F4123" i="45" s="1"/>
  <c r="F4124" i="45" s="1"/>
  <c r="F4116" i="45"/>
  <c r="F4117" i="45" s="1"/>
  <c r="F4118" i="45" s="1"/>
  <c r="F4119" i="45" s="1"/>
  <c r="F4111" i="45"/>
  <c r="F4114" i="45" s="1"/>
  <c r="F4106" i="45"/>
  <c r="F4109" i="45" s="1"/>
  <c r="E4106" i="45"/>
  <c r="D4106" i="45"/>
  <c r="D4109" i="45" s="1"/>
  <c r="D4112" i="45" s="1"/>
  <c r="D4115" i="45" s="1"/>
  <c r="D4118" i="45" s="1"/>
  <c r="D4121" i="45" s="1"/>
  <c r="C4106" i="45"/>
  <c r="C4107" i="45" s="1"/>
  <c r="C4108" i="45" s="1"/>
  <c r="C4109" i="45" s="1"/>
  <c r="C4110" i="45" s="1"/>
  <c r="C4111" i="45" s="1"/>
  <c r="C4112" i="45" s="1"/>
  <c r="C4113" i="45" s="1"/>
  <c r="C4114" i="45" s="1"/>
  <c r="C4115" i="45" s="1"/>
  <c r="C4116" i="45" s="1"/>
  <c r="C4117" i="45" s="1"/>
  <c r="C4118" i="45" s="1"/>
  <c r="C4119" i="45" s="1"/>
  <c r="C4120" i="45" s="1"/>
  <c r="C4121" i="45" s="1"/>
  <c r="C4122" i="45" s="1"/>
  <c r="C4123" i="45" s="1"/>
  <c r="C4124" i="45" s="1"/>
  <c r="B4106" i="45"/>
  <c r="B4109" i="45" s="1"/>
  <c r="B4112" i="45" s="1"/>
  <c r="B4115" i="45" s="1"/>
  <c r="B4118" i="45" s="1"/>
  <c r="B4121" i="45" s="1"/>
  <c r="A4106" i="45"/>
  <c r="A4109" i="45" s="1"/>
  <c r="A4112" i="45" s="1"/>
  <c r="A4115" i="45" s="1"/>
  <c r="G4105" i="45"/>
  <c r="G4106" i="45" s="1"/>
  <c r="G4107" i="45" s="1"/>
  <c r="G4108" i="45" s="1"/>
  <c r="G4109" i="45" s="1"/>
  <c r="F4101" i="45"/>
  <c r="F4102" i="45" s="1"/>
  <c r="F4103" i="45" s="1"/>
  <c r="F4104" i="45" s="1"/>
  <c r="F4096" i="45"/>
  <c r="F4097" i="45" s="1"/>
  <c r="F4098" i="45" s="1"/>
  <c r="F4099" i="45" s="1"/>
  <c r="F4091" i="45"/>
  <c r="F4094" i="45" s="1"/>
  <c r="F4086" i="45"/>
  <c r="F4089" i="45" s="1"/>
  <c r="E4086" i="45"/>
  <c r="D4086" i="45"/>
  <c r="D4087" i="45" s="1"/>
  <c r="D4090" i="45" s="1"/>
  <c r="D4093" i="45" s="1"/>
  <c r="D4096" i="45" s="1"/>
  <c r="D4099" i="45" s="1"/>
  <c r="C4086" i="45"/>
  <c r="C4087" i="45" s="1"/>
  <c r="C4088" i="45" s="1"/>
  <c r="C4089" i="45" s="1"/>
  <c r="C4090" i="45" s="1"/>
  <c r="C4091" i="45" s="1"/>
  <c r="C4092" i="45" s="1"/>
  <c r="C4093" i="45" s="1"/>
  <c r="C4094" i="45" s="1"/>
  <c r="C4095" i="45" s="1"/>
  <c r="C4096" i="45" s="1"/>
  <c r="C4097" i="45" s="1"/>
  <c r="C4098" i="45" s="1"/>
  <c r="C4099" i="45" s="1"/>
  <c r="C4100" i="45" s="1"/>
  <c r="C4101" i="45" s="1"/>
  <c r="C4102" i="45" s="1"/>
  <c r="C4103" i="45" s="1"/>
  <c r="C4104" i="45" s="1"/>
  <c r="B4086" i="45"/>
  <c r="B4089" i="45" s="1"/>
  <c r="B4092" i="45" s="1"/>
  <c r="B4095" i="45" s="1"/>
  <c r="B4098" i="45" s="1"/>
  <c r="B4101" i="45" s="1"/>
  <c r="A4086" i="45"/>
  <c r="A4089" i="45" s="1"/>
  <c r="A4092" i="45" s="1"/>
  <c r="A4095" i="45" s="1"/>
  <c r="G4085" i="45"/>
  <c r="G4086" i="45" s="1"/>
  <c r="G4087" i="45" s="1"/>
  <c r="G4088" i="45" s="1"/>
  <c r="G4089" i="45" s="1"/>
  <c r="F4081" i="45"/>
  <c r="F4082" i="45" s="1"/>
  <c r="F4083" i="45" s="1"/>
  <c r="F4084" i="45" s="1"/>
  <c r="F4076" i="45"/>
  <c r="F4077" i="45" s="1"/>
  <c r="F4078" i="45" s="1"/>
  <c r="F4079" i="45" s="1"/>
  <c r="F4071" i="45"/>
  <c r="F4074" i="45" s="1"/>
  <c r="F4066" i="45"/>
  <c r="F4069" i="45" s="1"/>
  <c r="E4066" i="45"/>
  <c r="D4066" i="45"/>
  <c r="D4067" i="45" s="1"/>
  <c r="D4070" i="45" s="1"/>
  <c r="D4073" i="45" s="1"/>
  <c r="D4076" i="45" s="1"/>
  <c r="D4079" i="45" s="1"/>
  <c r="C4066" i="45"/>
  <c r="C4067" i="45" s="1"/>
  <c r="C4068" i="45" s="1"/>
  <c r="C4069" i="45" s="1"/>
  <c r="C4070" i="45" s="1"/>
  <c r="C4071" i="45" s="1"/>
  <c r="C4072" i="45" s="1"/>
  <c r="C4073" i="45" s="1"/>
  <c r="C4074" i="45" s="1"/>
  <c r="C4075" i="45" s="1"/>
  <c r="C4076" i="45" s="1"/>
  <c r="C4077" i="45" s="1"/>
  <c r="C4078" i="45" s="1"/>
  <c r="C4079" i="45" s="1"/>
  <c r="C4080" i="45" s="1"/>
  <c r="C4081" i="45" s="1"/>
  <c r="C4082" i="45" s="1"/>
  <c r="C4083" i="45" s="1"/>
  <c r="C4084" i="45" s="1"/>
  <c r="B4066" i="45"/>
  <c r="B4069" i="45" s="1"/>
  <c r="B4072" i="45" s="1"/>
  <c r="B4075" i="45" s="1"/>
  <c r="B4078" i="45" s="1"/>
  <c r="B4081" i="45" s="1"/>
  <c r="A4066" i="45"/>
  <c r="A4069" i="45" s="1"/>
  <c r="A4072" i="45" s="1"/>
  <c r="A4075" i="45" s="1"/>
  <c r="A4078" i="45" s="1"/>
  <c r="A4081" i="45" s="1"/>
  <c r="G4065" i="45"/>
  <c r="G4066" i="45" s="1"/>
  <c r="G4067" i="45" s="1"/>
  <c r="G4068" i="45" s="1"/>
  <c r="G4069" i="45" s="1"/>
  <c r="F4061" i="45"/>
  <c r="F4062" i="45" s="1"/>
  <c r="F4063" i="45" s="1"/>
  <c r="F4064" i="45" s="1"/>
  <c r="F4056" i="45"/>
  <c r="F4057" i="45" s="1"/>
  <c r="F4058" i="45" s="1"/>
  <c r="F4059" i="45" s="1"/>
  <c r="F4051" i="45"/>
  <c r="F4054" i="45" s="1"/>
  <c r="F4046" i="45"/>
  <c r="F4049" i="45" s="1"/>
  <c r="E4046" i="45"/>
  <c r="D4046" i="45"/>
  <c r="D4049" i="45" s="1"/>
  <c r="D4052" i="45" s="1"/>
  <c r="D4055" i="45" s="1"/>
  <c r="D4058" i="45" s="1"/>
  <c r="D4061" i="45" s="1"/>
  <c r="C4046" i="45"/>
  <c r="C4047" i="45" s="1"/>
  <c r="C4048" i="45" s="1"/>
  <c r="C4049" i="45" s="1"/>
  <c r="C4050" i="45" s="1"/>
  <c r="C4051" i="45" s="1"/>
  <c r="C4052" i="45" s="1"/>
  <c r="C4053" i="45" s="1"/>
  <c r="C4054" i="45" s="1"/>
  <c r="C4055" i="45" s="1"/>
  <c r="C4056" i="45" s="1"/>
  <c r="C4057" i="45" s="1"/>
  <c r="C4058" i="45" s="1"/>
  <c r="C4059" i="45" s="1"/>
  <c r="C4060" i="45" s="1"/>
  <c r="C4061" i="45" s="1"/>
  <c r="C4062" i="45" s="1"/>
  <c r="C4063" i="45" s="1"/>
  <c r="C4064" i="45" s="1"/>
  <c r="B4046" i="45"/>
  <c r="B4049" i="45" s="1"/>
  <c r="B4052" i="45" s="1"/>
  <c r="B4055" i="45" s="1"/>
  <c r="B4058" i="45" s="1"/>
  <c r="B4061" i="45" s="1"/>
  <c r="A4046" i="45"/>
  <c r="A4049" i="45" s="1"/>
  <c r="A4052" i="45" s="1"/>
  <c r="A4055" i="45" s="1"/>
  <c r="G4045" i="45"/>
  <c r="G4046" i="45" s="1"/>
  <c r="G4047" i="45" s="1"/>
  <c r="G4048" i="45" s="1"/>
  <c r="G4049" i="45" s="1"/>
  <c r="F4041" i="45"/>
  <c r="F4042" i="45" s="1"/>
  <c r="F4043" i="45" s="1"/>
  <c r="F4044" i="45" s="1"/>
  <c r="F4036" i="45"/>
  <c r="F4037" i="45" s="1"/>
  <c r="F4038" i="45" s="1"/>
  <c r="F4039" i="45" s="1"/>
  <c r="F4031" i="45"/>
  <c r="F4034" i="45" s="1"/>
  <c r="A4029" i="45"/>
  <c r="A4032" i="45" s="1"/>
  <c r="A4035" i="45" s="1"/>
  <c r="A4038" i="45" s="1"/>
  <c r="A4041" i="45" s="1"/>
  <c r="A4027" i="45"/>
  <c r="A4030" i="45" s="1"/>
  <c r="A4033" i="45" s="1"/>
  <c r="A4036" i="45" s="1"/>
  <c r="A4039" i="45" s="1"/>
  <c r="F4026" i="45"/>
  <c r="F4029" i="45" s="1"/>
  <c r="E4026" i="45"/>
  <c r="D4026" i="45"/>
  <c r="D4027" i="45" s="1"/>
  <c r="C4026" i="45"/>
  <c r="C4027" i="45" s="1"/>
  <c r="C4028" i="45" s="1"/>
  <c r="C4029" i="45" s="1"/>
  <c r="C4030" i="45" s="1"/>
  <c r="C4031" i="45" s="1"/>
  <c r="C4032" i="45" s="1"/>
  <c r="C4033" i="45" s="1"/>
  <c r="C4034" i="45" s="1"/>
  <c r="C4035" i="45" s="1"/>
  <c r="C4036" i="45" s="1"/>
  <c r="C4037" i="45" s="1"/>
  <c r="C4038" i="45" s="1"/>
  <c r="C4039" i="45" s="1"/>
  <c r="C4040" i="45" s="1"/>
  <c r="C4041" i="45" s="1"/>
  <c r="C4042" i="45" s="1"/>
  <c r="C4043" i="45" s="1"/>
  <c r="C4044" i="45" s="1"/>
  <c r="B4026" i="45"/>
  <c r="B4029" i="45" s="1"/>
  <c r="B4032" i="45" s="1"/>
  <c r="B4035" i="45" s="1"/>
  <c r="B4038" i="45" s="1"/>
  <c r="B4041" i="45" s="1"/>
  <c r="G4025" i="45"/>
  <c r="G4026" i="45" s="1"/>
  <c r="G4027" i="45" s="1"/>
  <c r="G4028" i="45" s="1"/>
  <c r="G4029" i="45" s="1"/>
  <c r="F4021" i="45"/>
  <c r="F4022" i="45" s="1"/>
  <c r="F4023" i="45" s="1"/>
  <c r="F4024" i="45" s="1"/>
  <c r="F4016" i="45"/>
  <c r="F4017" i="45" s="1"/>
  <c r="F4018" i="45" s="1"/>
  <c r="F4019" i="45" s="1"/>
  <c r="F4011" i="45"/>
  <c r="F4014" i="45" s="1"/>
  <c r="F4006" i="45"/>
  <c r="F4009" i="45" s="1"/>
  <c r="E4006" i="45"/>
  <c r="D4006" i="45"/>
  <c r="D4009" i="45" s="1"/>
  <c r="D4012" i="45" s="1"/>
  <c r="D4015" i="45" s="1"/>
  <c r="D4018" i="45" s="1"/>
  <c r="D4021" i="45" s="1"/>
  <c r="B4006" i="45"/>
  <c r="B4009" i="45" s="1"/>
  <c r="B4012" i="45" s="1"/>
  <c r="B4015" i="45" s="1"/>
  <c r="B4018" i="45" s="1"/>
  <c r="B4021" i="45" s="1"/>
  <c r="A4006" i="45"/>
  <c r="A4009" i="45" s="1"/>
  <c r="A4012" i="45" s="1"/>
  <c r="A4015" i="45" s="1"/>
  <c r="G4005" i="45"/>
  <c r="G4006" i="45" s="1"/>
  <c r="G4007" i="45" s="1"/>
  <c r="G4008" i="45" s="1"/>
  <c r="G4009" i="45" s="1"/>
  <c r="C4005" i="45"/>
  <c r="M4005" i="45" s="1"/>
  <c r="F4001" i="45"/>
  <c r="F4002" i="45" s="1"/>
  <c r="F4003" i="45" s="1"/>
  <c r="F4004" i="45" s="1"/>
  <c r="F3996" i="45"/>
  <c r="F3997" i="45" s="1"/>
  <c r="F3998" i="45" s="1"/>
  <c r="F3999" i="45" s="1"/>
  <c r="F3991" i="45"/>
  <c r="F3994" i="45" s="1"/>
  <c r="F3986" i="45"/>
  <c r="F3989" i="45" s="1"/>
  <c r="E3986" i="45"/>
  <c r="D3986" i="45"/>
  <c r="D3989" i="45" s="1"/>
  <c r="D3992" i="45" s="1"/>
  <c r="D3995" i="45" s="1"/>
  <c r="D3998" i="45" s="1"/>
  <c r="D4001" i="45" s="1"/>
  <c r="B3986" i="45"/>
  <c r="B3989" i="45" s="1"/>
  <c r="B3992" i="45" s="1"/>
  <c r="B3995" i="45" s="1"/>
  <c r="B3998" i="45" s="1"/>
  <c r="B4001" i="45" s="1"/>
  <c r="A3986" i="45"/>
  <c r="A3989" i="45" s="1"/>
  <c r="A3992" i="45" s="1"/>
  <c r="A3995" i="45" s="1"/>
  <c r="G3985" i="45"/>
  <c r="G3986" i="45" s="1"/>
  <c r="G3987" i="45" s="1"/>
  <c r="G3988" i="45" s="1"/>
  <c r="G3989" i="45" s="1"/>
  <c r="C3985" i="45"/>
  <c r="M3985" i="45" s="1"/>
  <c r="F3981" i="45"/>
  <c r="F3982" i="45" s="1"/>
  <c r="F3983" i="45" s="1"/>
  <c r="F3984" i="45" s="1"/>
  <c r="F3976" i="45"/>
  <c r="F3977" i="45" s="1"/>
  <c r="F3978" i="45" s="1"/>
  <c r="F3979" i="45" s="1"/>
  <c r="F3971" i="45"/>
  <c r="F3974" i="45" s="1"/>
  <c r="F3966" i="45"/>
  <c r="F3969" i="45" s="1"/>
  <c r="E3966" i="45"/>
  <c r="D3966" i="45"/>
  <c r="D3969" i="45" s="1"/>
  <c r="D3972" i="45" s="1"/>
  <c r="D3975" i="45" s="1"/>
  <c r="D3978" i="45" s="1"/>
  <c r="D3981" i="45" s="1"/>
  <c r="B3966" i="45"/>
  <c r="B3969" i="45" s="1"/>
  <c r="B3972" i="45" s="1"/>
  <c r="B3975" i="45" s="1"/>
  <c r="B3978" i="45" s="1"/>
  <c r="B3981" i="45" s="1"/>
  <c r="A3966" i="45"/>
  <c r="A3969" i="45" s="1"/>
  <c r="A3972" i="45" s="1"/>
  <c r="A3975" i="45" s="1"/>
  <c r="G3965" i="45"/>
  <c r="G3966" i="45" s="1"/>
  <c r="G3967" i="45" s="1"/>
  <c r="G3968" i="45" s="1"/>
  <c r="G3969" i="45" s="1"/>
  <c r="C3965" i="45"/>
  <c r="M3965" i="45" s="1"/>
  <c r="M4026" i="45" l="1"/>
  <c r="M4046" i="45"/>
  <c r="M4066" i="45"/>
  <c r="M4086" i="45"/>
  <c r="M4106" i="45"/>
  <c r="M4126" i="45"/>
  <c r="C3966" i="45"/>
  <c r="C3967" i="45" s="1"/>
  <c r="C3968" i="45" s="1"/>
  <c r="C3969" i="45" s="1"/>
  <c r="C3970" i="45" s="1"/>
  <c r="C3971" i="45" s="1"/>
  <c r="C3972" i="45" s="1"/>
  <c r="C3973" i="45" s="1"/>
  <c r="C3974" i="45" s="1"/>
  <c r="C3975" i="45" s="1"/>
  <c r="C3976" i="45" s="1"/>
  <c r="C3977" i="45" s="1"/>
  <c r="C3978" i="45" s="1"/>
  <c r="C3979" i="45" s="1"/>
  <c r="C3980" i="45" s="1"/>
  <c r="C3981" i="45" s="1"/>
  <c r="C3982" i="45" s="1"/>
  <c r="C3983" i="45" s="1"/>
  <c r="C3984" i="45" s="1"/>
  <c r="C3986" i="45"/>
  <c r="C3987" i="45" s="1"/>
  <c r="C3988" i="45" s="1"/>
  <c r="C3989" i="45" s="1"/>
  <c r="C3990" i="45" s="1"/>
  <c r="C3991" i="45" s="1"/>
  <c r="C3992" i="45" s="1"/>
  <c r="C3993" i="45" s="1"/>
  <c r="C3994" i="45" s="1"/>
  <c r="C3995" i="45" s="1"/>
  <c r="C3996" i="45" s="1"/>
  <c r="C3997" i="45" s="1"/>
  <c r="C3998" i="45" s="1"/>
  <c r="C3999" i="45" s="1"/>
  <c r="C4000" i="45" s="1"/>
  <c r="C4001" i="45" s="1"/>
  <c r="C4002" i="45" s="1"/>
  <c r="C4003" i="45" s="1"/>
  <c r="C4004" i="45" s="1"/>
  <c r="C4006" i="45"/>
  <c r="C4007" i="45" s="1"/>
  <c r="C4008" i="45" s="1"/>
  <c r="C4009" i="45" s="1"/>
  <c r="C4010" i="45" s="1"/>
  <c r="C4011" i="45" s="1"/>
  <c r="C4012" i="45" s="1"/>
  <c r="C4013" i="45" s="1"/>
  <c r="C4014" i="45" s="1"/>
  <c r="C4015" i="45" s="1"/>
  <c r="C4016" i="45" s="1"/>
  <c r="C4017" i="45" s="1"/>
  <c r="C4018" i="45" s="1"/>
  <c r="C4019" i="45" s="1"/>
  <c r="C4020" i="45" s="1"/>
  <c r="C4021" i="45" s="1"/>
  <c r="C4022" i="45" s="1"/>
  <c r="C4023" i="45" s="1"/>
  <c r="C4024" i="45" s="1"/>
  <c r="E4029" i="45"/>
  <c r="E4032" i="45" s="1"/>
  <c r="M4032" i="45" s="1"/>
  <c r="E4049" i="45"/>
  <c r="E4052" i="45" s="1"/>
  <c r="M4052" i="45" s="1"/>
  <c r="E4069" i="45"/>
  <c r="E4072" i="45" s="1"/>
  <c r="M4072" i="45" s="1"/>
  <c r="E4089" i="45"/>
  <c r="E4092" i="45" s="1"/>
  <c r="M4092" i="45" s="1"/>
  <c r="E4109" i="45"/>
  <c r="E4112" i="45" s="1"/>
  <c r="M4112" i="45" s="1"/>
  <c r="AG35" i="1"/>
  <c r="AH35" i="1" s="1"/>
  <c r="AD35" i="1"/>
  <c r="AE35" i="1" s="1"/>
  <c r="AI35" i="1"/>
  <c r="D4069" i="45"/>
  <c r="D4072" i="45" s="1"/>
  <c r="D4075" i="45" s="1"/>
  <c r="D4078" i="45" s="1"/>
  <c r="D4081" i="45" s="1"/>
  <c r="D4089" i="45"/>
  <c r="D4092" i="45" s="1"/>
  <c r="D4095" i="45" s="1"/>
  <c r="D4098" i="45" s="1"/>
  <c r="D4101" i="45" s="1"/>
  <c r="A4107" i="45"/>
  <c r="A4110" i="45" s="1"/>
  <c r="A4113" i="45" s="1"/>
  <c r="A4116" i="45" s="1"/>
  <c r="A4119" i="45" s="1"/>
  <c r="F4027" i="45"/>
  <c r="F4028" i="45" s="1"/>
  <c r="D4029" i="45"/>
  <c r="D4032" i="45" s="1"/>
  <c r="D4035" i="45" s="1"/>
  <c r="D4038" i="45" s="1"/>
  <c r="D4041" i="45" s="1"/>
  <c r="E4047" i="45"/>
  <c r="M4047" i="45" s="1"/>
  <c r="B4027" i="45"/>
  <c r="B4030" i="45" s="1"/>
  <c r="B4033" i="45" s="1"/>
  <c r="B4036" i="45" s="1"/>
  <c r="B4039" i="45" s="1"/>
  <c r="B4042" i="45" s="1"/>
  <c r="A4047" i="45"/>
  <c r="A4050" i="45" s="1"/>
  <c r="A4053" i="45" s="1"/>
  <c r="A4056" i="45" s="1"/>
  <c r="A4059" i="45" s="1"/>
  <c r="E4107" i="45"/>
  <c r="M4107" i="45" s="1"/>
  <c r="G3995" i="45"/>
  <c r="G3996" i="45" s="1"/>
  <c r="G3997" i="45" s="1"/>
  <c r="G3998" i="45" s="1"/>
  <c r="G3999" i="45" s="1"/>
  <c r="A3998" i="45"/>
  <c r="A4001" i="45" s="1"/>
  <c r="D4028" i="45"/>
  <c r="D4031" i="45" s="1"/>
  <c r="D4034" i="45" s="1"/>
  <c r="D4037" i="45" s="1"/>
  <c r="D4040" i="45" s="1"/>
  <c r="D4043" i="45" s="1"/>
  <c r="D4030" i="45"/>
  <c r="D4033" i="45" s="1"/>
  <c r="D4036" i="45" s="1"/>
  <c r="D4039" i="45" s="1"/>
  <c r="G4115" i="45"/>
  <c r="G4116" i="45" s="1"/>
  <c r="G4117" i="45" s="1"/>
  <c r="G4118" i="45" s="1"/>
  <c r="G4119" i="45" s="1"/>
  <c r="A4118" i="45"/>
  <c r="A4121" i="45" s="1"/>
  <c r="G3975" i="45"/>
  <c r="G3976" i="45" s="1"/>
  <c r="G3977" i="45" s="1"/>
  <c r="G3978" i="45" s="1"/>
  <c r="G3979" i="45" s="1"/>
  <c r="A3978" i="45"/>
  <c r="A3981" i="45" s="1"/>
  <c r="A4018" i="45"/>
  <c r="A4021" i="45" s="1"/>
  <c r="G4015" i="45"/>
  <c r="G4016" i="45" s="1"/>
  <c r="G4017" i="45" s="1"/>
  <c r="G4018" i="45" s="1"/>
  <c r="G4019" i="45" s="1"/>
  <c r="G4055" i="45"/>
  <c r="G4056" i="45" s="1"/>
  <c r="G4057" i="45" s="1"/>
  <c r="G4058" i="45" s="1"/>
  <c r="G4059" i="45" s="1"/>
  <c r="A4058" i="45"/>
  <c r="A4061" i="45" s="1"/>
  <c r="D4084" i="45"/>
  <c r="D4082" i="45"/>
  <c r="D4104" i="45"/>
  <c r="D4102" i="45"/>
  <c r="A3967" i="45"/>
  <c r="E3967" i="45"/>
  <c r="E3969" i="45"/>
  <c r="E3972" i="45" s="1"/>
  <c r="A3987" i="45"/>
  <c r="E3987" i="45"/>
  <c r="E3989" i="45"/>
  <c r="E3992" i="45" s="1"/>
  <c r="A4007" i="45"/>
  <c r="E4007" i="45"/>
  <c r="E4009" i="45"/>
  <c r="E4012" i="45" s="1"/>
  <c r="M4012" i="45" s="1"/>
  <c r="D4068" i="45"/>
  <c r="D4071" i="45" s="1"/>
  <c r="D4074" i="45" s="1"/>
  <c r="D4077" i="45" s="1"/>
  <c r="D4080" i="45" s="1"/>
  <c r="D4083" i="45" s="1"/>
  <c r="D4088" i="45"/>
  <c r="D4091" i="45" s="1"/>
  <c r="D4094" i="45" s="1"/>
  <c r="D4097" i="45" s="1"/>
  <c r="D4100" i="45" s="1"/>
  <c r="D4103" i="45" s="1"/>
  <c r="E4115" i="45"/>
  <c r="M4115" i="45" s="1"/>
  <c r="B3967" i="45"/>
  <c r="D3967" i="45"/>
  <c r="F3967" i="45"/>
  <c r="F3968" i="45" s="1"/>
  <c r="F3972" i="45"/>
  <c r="F3973" i="45" s="1"/>
  <c r="B3987" i="45"/>
  <c r="D3987" i="45"/>
  <c r="F3987" i="45"/>
  <c r="F3988" i="45" s="1"/>
  <c r="F3992" i="45"/>
  <c r="F3993" i="45" s="1"/>
  <c r="B4007" i="45"/>
  <c r="D4007" i="45"/>
  <c r="F4007" i="45"/>
  <c r="F4008" i="45" s="1"/>
  <c r="F4012" i="45"/>
  <c r="F4013" i="45" s="1"/>
  <c r="A4044" i="45"/>
  <c r="A4042" i="45"/>
  <c r="F4032" i="45"/>
  <c r="F4033" i="45" s="1"/>
  <c r="B4067" i="45"/>
  <c r="F4067" i="45"/>
  <c r="F4068" i="45" s="1"/>
  <c r="F4072" i="45"/>
  <c r="F4073" i="45" s="1"/>
  <c r="A4098" i="45"/>
  <c r="A4101" i="45" s="1"/>
  <c r="E4027" i="45"/>
  <c r="M4027" i="45" s="1"/>
  <c r="A4028" i="45"/>
  <c r="A4031" i="45" s="1"/>
  <c r="A4034" i="45" s="1"/>
  <c r="A4037" i="45" s="1"/>
  <c r="A4040" i="45" s="1"/>
  <c r="B4047" i="45"/>
  <c r="D4047" i="45"/>
  <c r="F4047" i="45"/>
  <c r="F4048" i="45" s="1"/>
  <c r="F4052" i="45"/>
  <c r="F4053" i="45" s="1"/>
  <c r="A4067" i="45"/>
  <c r="E4067" i="45"/>
  <c r="M4067" i="45" s="1"/>
  <c r="B4087" i="45"/>
  <c r="F4087" i="45"/>
  <c r="F4088" i="45" s="1"/>
  <c r="F4092" i="45"/>
  <c r="F4093" i="45" s="1"/>
  <c r="A4129" i="45"/>
  <c r="A4132" i="45" s="1"/>
  <c r="A4135" i="45" s="1"/>
  <c r="A4127" i="45"/>
  <c r="E4129" i="45"/>
  <c r="E4132" i="45" s="1"/>
  <c r="M4132" i="45" s="1"/>
  <c r="E4127" i="45"/>
  <c r="M4127" i="45" s="1"/>
  <c r="A4087" i="45"/>
  <c r="E4087" i="45"/>
  <c r="M4087" i="45" s="1"/>
  <c r="B4107" i="45"/>
  <c r="D4107" i="45"/>
  <c r="F4107" i="45"/>
  <c r="F4108" i="45" s="1"/>
  <c r="F4112" i="45"/>
  <c r="F4113" i="45" s="1"/>
  <c r="B4127" i="45"/>
  <c r="D4127" i="45"/>
  <c r="F4127" i="45"/>
  <c r="F4128" i="45" s="1"/>
  <c r="F4132" i="45"/>
  <c r="F4133" i="45" s="1"/>
  <c r="F3961" i="45"/>
  <c r="F3962" i="45" s="1"/>
  <c r="F3963" i="45" s="1"/>
  <c r="F3964" i="45" s="1"/>
  <c r="F3956" i="45"/>
  <c r="F3957" i="45" s="1"/>
  <c r="F3958" i="45" s="1"/>
  <c r="F3959" i="45" s="1"/>
  <c r="F3951" i="45"/>
  <c r="F3954" i="45" s="1"/>
  <c r="F3946" i="45"/>
  <c r="F3949" i="45" s="1"/>
  <c r="E3946" i="45"/>
  <c r="D3946" i="45"/>
  <c r="D3949" i="45" s="1"/>
  <c r="D3952" i="45" s="1"/>
  <c r="D3955" i="45" s="1"/>
  <c r="D3958" i="45" s="1"/>
  <c r="D3961" i="45" s="1"/>
  <c r="C3946" i="45"/>
  <c r="C3947" i="45" s="1"/>
  <c r="C3948" i="45" s="1"/>
  <c r="C3949" i="45" s="1"/>
  <c r="C3950" i="45" s="1"/>
  <c r="C3951" i="45" s="1"/>
  <c r="C3952" i="45" s="1"/>
  <c r="C3953" i="45" s="1"/>
  <c r="C3954" i="45" s="1"/>
  <c r="C3955" i="45" s="1"/>
  <c r="C3956" i="45" s="1"/>
  <c r="C3957" i="45" s="1"/>
  <c r="C3958" i="45" s="1"/>
  <c r="C3959" i="45" s="1"/>
  <c r="C3960" i="45" s="1"/>
  <c r="C3961" i="45" s="1"/>
  <c r="C3962" i="45" s="1"/>
  <c r="C3963" i="45" s="1"/>
  <c r="C3964" i="45" s="1"/>
  <c r="B3946" i="45"/>
  <c r="B3949" i="45" s="1"/>
  <c r="B3952" i="45" s="1"/>
  <c r="B3955" i="45" s="1"/>
  <c r="B3958" i="45" s="1"/>
  <c r="B3961" i="45" s="1"/>
  <c r="A3946" i="45"/>
  <c r="A3949" i="45" s="1"/>
  <c r="A3952" i="45" s="1"/>
  <c r="A3955" i="45" s="1"/>
  <c r="G3945" i="45"/>
  <c r="G3946" i="45" s="1"/>
  <c r="G3947" i="45" s="1"/>
  <c r="G3948" i="45" s="1"/>
  <c r="G3949" i="45" s="1"/>
  <c r="F3941" i="45"/>
  <c r="F3942" i="45" s="1"/>
  <c r="F3943" i="45" s="1"/>
  <c r="F3944" i="45" s="1"/>
  <c r="F3936" i="45"/>
  <c r="F3937" i="45" s="1"/>
  <c r="F3938" i="45" s="1"/>
  <c r="F3939" i="45" s="1"/>
  <c r="F3931" i="45"/>
  <c r="F3934" i="45" s="1"/>
  <c r="F3926" i="45"/>
  <c r="F3929" i="45" s="1"/>
  <c r="E3926" i="45"/>
  <c r="D3926" i="45"/>
  <c r="D3929" i="45" s="1"/>
  <c r="D3932" i="45" s="1"/>
  <c r="D3935" i="45" s="1"/>
  <c r="D3938" i="45" s="1"/>
  <c r="D3941" i="45" s="1"/>
  <c r="C3926" i="45"/>
  <c r="C3927" i="45" s="1"/>
  <c r="C3928" i="45" s="1"/>
  <c r="C3929" i="45" s="1"/>
  <c r="C3930" i="45" s="1"/>
  <c r="C3931" i="45" s="1"/>
  <c r="C3932" i="45" s="1"/>
  <c r="C3933" i="45" s="1"/>
  <c r="C3934" i="45" s="1"/>
  <c r="C3935" i="45" s="1"/>
  <c r="C3936" i="45" s="1"/>
  <c r="C3937" i="45" s="1"/>
  <c r="C3938" i="45" s="1"/>
  <c r="C3939" i="45" s="1"/>
  <c r="C3940" i="45" s="1"/>
  <c r="C3941" i="45" s="1"/>
  <c r="C3942" i="45" s="1"/>
  <c r="C3943" i="45" s="1"/>
  <c r="C3944" i="45" s="1"/>
  <c r="B3926" i="45"/>
  <c r="B3929" i="45" s="1"/>
  <c r="B3932" i="45" s="1"/>
  <c r="B3935" i="45" s="1"/>
  <c r="B3938" i="45" s="1"/>
  <c r="B3941" i="45" s="1"/>
  <c r="A3926" i="45"/>
  <c r="A3929" i="45" s="1"/>
  <c r="A3932" i="45" s="1"/>
  <c r="A3935" i="45" s="1"/>
  <c r="G3925" i="45"/>
  <c r="G3926" i="45" s="1"/>
  <c r="G3927" i="45" s="1"/>
  <c r="G3928" i="45" s="1"/>
  <c r="G3929" i="45" s="1"/>
  <c r="F3921" i="45"/>
  <c r="F3922" i="45" s="1"/>
  <c r="F3923" i="45" s="1"/>
  <c r="F3924" i="45" s="1"/>
  <c r="F3916" i="45"/>
  <c r="F3917" i="45" s="1"/>
  <c r="F3918" i="45" s="1"/>
  <c r="F3919" i="45" s="1"/>
  <c r="F3911" i="45"/>
  <c r="F3914" i="45" s="1"/>
  <c r="F3906" i="45"/>
  <c r="F3909" i="45" s="1"/>
  <c r="E3906" i="45"/>
  <c r="D3906" i="45"/>
  <c r="D3909" i="45" s="1"/>
  <c r="D3912" i="45" s="1"/>
  <c r="D3915" i="45" s="1"/>
  <c r="D3918" i="45" s="1"/>
  <c r="D3921" i="45" s="1"/>
  <c r="C3906" i="45"/>
  <c r="C3907" i="45" s="1"/>
  <c r="C3908" i="45" s="1"/>
  <c r="C3909" i="45" s="1"/>
  <c r="C3910" i="45" s="1"/>
  <c r="C3911" i="45" s="1"/>
  <c r="C3912" i="45" s="1"/>
  <c r="C3913" i="45" s="1"/>
  <c r="C3914" i="45" s="1"/>
  <c r="C3915" i="45" s="1"/>
  <c r="C3916" i="45" s="1"/>
  <c r="C3917" i="45" s="1"/>
  <c r="C3918" i="45" s="1"/>
  <c r="C3919" i="45" s="1"/>
  <c r="C3920" i="45" s="1"/>
  <c r="C3921" i="45" s="1"/>
  <c r="C3922" i="45" s="1"/>
  <c r="C3923" i="45" s="1"/>
  <c r="C3924" i="45" s="1"/>
  <c r="B3906" i="45"/>
  <c r="B3909" i="45" s="1"/>
  <c r="B3912" i="45" s="1"/>
  <c r="B3915" i="45" s="1"/>
  <c r="B3918" i="45" s="1"/>
  <c r="B3921" i="45" s="1"/>
  <c r="A3906" i="45"/>
  <c r="A3909" i="45" s="1"/>
  <c r="A3912" i="45" s="1"/>
  <c r="A3915" i="45" s="1"/>
  <c r="G3905" i="45"/>
  <c r="G3906" i="45" s="1"/>
  <c r="G3907" i="45" s="1"/>
  <c r="G3908" i="45" s="1"/>
  <c r="G3909" i="45" s="1"/>
  <c r="F3901" i="45"/>
  <c r="F3902" i="45" s="1"/>
  <c r="F3903" i="45" s="1"/>
  <c r="F3904" i="45" s="1"/>
  <c r="F3896" i="45"/>
  <c r="F3897" i="45" s="1"/>
  <c r="F3898" i="45" s="1"/>
  <c r="F3899" i="45" s="1"/>
  <c r="F3891" i="45"/>
  <c r="F3894" i="45" s="1"/>
  <c r="F3886" i="45"/>
  <c r="F3889" i="45" s="1"/>
  <c r="E3886" i="45"/>
  <c r="D3886" i="45"/>
  <c r="D3889" i="45" s="1"/>
  <c r="D3892" i="45" s="1"/>
  <c r="D3895" i="45" s="1"/>
  <c r="D3898" i="45" s="1"/>
  <c r="D3901" i="45" s="1"/>
  <c r="C3886" i="45"/>
  <c r="C3887" i="45" s="1"/>
  <c r="C3888" i="45" s="1"/>
  <c r="C3889" i="45" s="1"/>
  <c r="C3890" i="45" s="1"/>
  <c r="C3891" i="45" s="1"/>
  <c r="C3892" i="45" s="1"/>
  <c r="C3893" i="45" s="1"/>
  <c r="C3894" i="45" s="1"/>
  <c r="C3895" i="45" s="1"/>
  <c r="C3896" i="45" s="1"/>
  <c r="C3897" i="45" s="1"/>
  <c r="C3898" i="45" s="1"/>
  <c r="C3899" i="45" s="1"/>
  <c r="C3900" i="45" s="1"/>
  <c r="C3901" i="45" s="1"/>
  <c r="C3902" i="45" s="1"/>
  <c r="C3903" i="45" s="1"/>
  <c r="C3904" i="45" s="1"/>
  <c r="B3886" i="45"/>
  <c r="B3889" i="45" s="1"/>
  <c r="B3892" i="45" s="1"/>
  <c r="B3895" i="45" s="1"/>
  <c r="B3898" i="45" s="1"/>
  <c r="B3901" i="45" s="1"/>
  <c r="A3886" i="45"/>
  <c r="A3889" i="45" s="1"/>
  <c r="A3892" i="45" s="1"/>
  <c r="A3895" i="45" s="1"/>
  <c r="G3885" i="45"/>
  <c r="G3886" i="45" s="1"/>
  <c r="G3887" i="45" s="1"/>
  <c r="G3888" i="45" s="1"/>
  <c r="G3889" i="45" s="1"/>
  <c r="F3881" i="45"/>
  <c r="F3882" i="45" s="1"/>
  <c r="F3883" i="45" s="1"/>
  <c r="F3884" i="45" s="1"/>
  <c r="F3876" i="45"/>
  <c r="F3877" i="45" s="1"/>
  <c r="F3878" i="45" s="1"/>
  <c r="F3879" i="45" s="1"/>
  <c r="F3871" i="45"/>
  <c r="F3874" i="45" s="1"/>
  <c r="F3866" i="45"/>
  <c r="F3869" i="45" s="1"/>
  <c r="E3866" i="45"/>
  <c r="D3866" i="45"/>
  <c r="D3869" i="45" s="1"/>
  <c r="D3872" i="45" s="1"/>
  <c r="D3875" i="45" s="1"/>
  <c r="D3878" i="45" s="1"/>
  <c r="D3881" i="45" s="1"/>
  <c r="C3866" i="45"/>
  <c r="C3867" i="45" s="1"/>
  <c r="C3868" i="45" s="1"/>
  <c r="C3869" i="45" s="1"/>
  <c r="C3870" i="45" s="1"/>
  <c r="C3871" i="45" s="1"/>
  <c r="C3872" i="45" s="1"/>
  <c r="C3873" i="45" s="1"/>
  <c r="C3874" i="45" s="1"/>
  <c r="C3875" i="45" s="1"/>
  <c r="C3876" i="45" s="1"/>
  <c r="C3877" i="45" s="1"/>
  <c r="C3878" i="45" s="1"/>
  <c r="C3879" i="45" s="1"/>
  <c r="C3880" i="45" s="1"/>
  <c r="C3881" i="45" s="1"/>
  <c r="C3882" i="45" s="1"/>
  <c r="C3883" i="45" s="1"/>
  <c r="C3884" i="45" s="1"/>
  <c r="B3866" i="45"/>
  <c r="B3869" i="45" s="1"/>
  <c r="B3872" i="45" s="1"/>
  <c r="B3875" i="45" s="1"/>
  <c r="B3878" i="45" s="1"/>
  <c r="B3881" i="45" s="1"/>
  <c r="A3866" i="45"/>
  <c r="A3869" i="45" s="1"/>
  <c r="A3872" i="45" s="1"/>
  <c r="A3875" i="45" s="1"/>
  <c r="G3865" i="45"/>
  <c r="G3866" i="45" s="1"/>
  <c r="G3867" i="45" s="1"/>
  <c r="G3868" i="45" s="1"/>
  <c r="G3869" i="45" s="1"/>
  <c r="F3861" i="45"/>
  <c r="F3862" i="45" s="1"/>
  <c r="F3863" i="45" s="1"/>
  <c r="F3864" i="45" s="1"/>
  <c r="F3856" i="45"/>
  <c r="F3857" i="45" s="1"/>
  <c r="F3858" i="45" s="1"/>
  <c r="F3859" i="45" s="1"/>
  <c r="F3851" i="45"/>
  <c r="A3849" i="45"/>
  <c r="A3852" i="45" s="1"/>
  <c r="A3855" i="45" s="1"/>
  <c r="A3847" i="45"/>
  <c r="A3850" i="45" s="1"/>
  <c r="A3853" i="45" s="1"/>
  <c r="A3856" i="45" s="1"/>
  <c r="A3859" i="45" s="1"/>
  <c r="F3846" i="45"/>
  <c r="F3849" i="45" s="1"/>
  <c r="E3846" i="45"/>
  <c r="D3846" i="45"/>
  <c r="D3847" i="45" s="1"/>
  <c r="C3846" i="45"/>
  <c r="C3847" i="45" s="1"/>
  <c r="C3848" i="45" s="1"/>
  <c r="C3849" i="45" s="1"/>
  <c r="C3850" i="45" s="1"/>
  <c r="C3851" i="45" s="1"/>
  <c r="C3852" i="45" s="1"/>
  <c r="C3853" i="45" s="1"/>
  <c r="C3854" i="45" s="1"/>
  <c r="C3855" i="45" s="1"/>
  <c r="C3856" i="45" s="1"/>
  <c r="C3857" i="45" s="1"/>
  <c r="C3858" i="45" s="1"/>
  <c r="C3859" i="45" s="1"/>
  <c r="C3860" i="45" s="1"/>
  <c r="C3861" i="45" s="1"/>
  <c r="C3862" i="45" s="1"/>
  <c r="C3863" i="45" s="1"/>
  <c r="C3864" i="45" s="1"/>
  <c r="B3846" i="45"/>
  <c r="B3849" i="45" s="1"/>
  <c r="B3852" i="45" s="1"/>
  <c r="B3855" i="45" s="1"/>
  <c r="B3858" i="45" s="1"/>
  <c r="B3861" i="45" s="1"/>
  <c r="G3845" i="45"/>
  <c r="G3846" i="45" s="1"/>
  <c r="G3847" i="45" s="1"/>
  <c r="G3848" i="45" s="1"/>
  <c r="G3849" i="45" s="1"/>
  <c r="F3841" i="45"/>
  <c r="F3842" i="45" s="1"/>
  <c r="F3843" i="45" s="1"/>
  <c r="F3844" i="45" s="1"/>
  <c r="F3836" i="45"/>
  <c r="F3837" i="45" s="1"/>
  <c r="F3838" i="45" s="1"/>
  <c r="F3839" i="45" s="1"/>
  <c r="F3831" i="45"/>
  <c r="F3834" i="45" s="1"/>
  <c r="F3826" i="45"/>
  <c r="F3829" i="45" s="1"/>
  <c r="E3826" i="45"/>
  <c r="D3826" i="45"/>
  <c r="D3829" i="45" s="1"/>
  <c r="D3832" i="45" s="1"/>
  <c r="D3835" i="45" s="1"/>
  <c r="D3838" i="45" s="1"/>
  <c r="D3841" i="45" s="1"/>
  <c r="B3826" i="45"/>
  <c r="B3829" i="45" s="1"/>
  <c r="B3832" i="45" s="1"/>
  <c r="B3835" i="45" s="1"/>
  <c r="B3838" i="45" s="1"/>
  <c r="B3841" i="45" s="1"/>
  <c r="A3826" i="45"/>
  <c r="A3829" i="45" s="1"/>
  <c r="A3832" i="45" s="1"/>
  <c r="A3835" i="45" s="1"/>
  <c r="G3825" i="45"/>
  <c r="G3826" i="45" s="1"/>
  <c r="G3827" i="45" s="1"/>
  <c r="G3828" i="45" s="1"/>
  <c r="G3829" i="45" s="1"/>
  <c r="C3825" i="45"/>
  <c r="M3825" i="45" s="1"/>
  <c r="F3821" i="45"/>
  <c r="F3822" i="45" s="1"/>
  <c r="F3823" i="45" s="1"/>
  <c r="F3824" i="45" s="1"/>
  <c r="F3816" i="45"/>
  <c r="F3817" i="45" s="1"/>
  <c r="F3818" i="45" s="1"/>
  <c r="F3819" i="45" s="1"/>
  <c r="F3811" i="45"/>
  <c r="F3814" i="45" s="1"/>
  <c r="F3806" i="45"/>
  <c r="F3809" i="45" s="1"/>
  <c r="E3806" i="45"/>
  <c r="D3806" i="45"/>
  <c r="D3809" i="45" s="1"/>
  <c r="D3812" i="45" s="1"/>
  <c r="D3815" i="45" s="1"/>
  <c r="D3818" i="45" s="1"/>
  <c r="D3821" i="45" s="1"/>
  <c r="B3806" i="45"/>
  <c r="B3809" i="45" s="1"/>
  <c r="B3812" i="45" s="1"/>
  <c r="B3815" i="45" s="1"/>
  <c r="B3818" i="45" s="1"/>
  <c r="B3821" i="45" s="1"/>
  <c r="A3806" i="45"/>
  <c r="A3809" i="45" s="1"/>
  <c r="A3812" i="45" s="1"/>
  <c r="A3815" i="45" s="1"/>
  <c r="G3805" i="45"/>
  <c r="G3806" i="45" s="1"/>
  <c r="G3807" i="45" s="1"/>
  <c r="G3808" i="45" s="1"/>
  <c r="G3809" i="45" s="1"/>
  <c r="C3805" i="45"/>
  <c r="M3805" i="45" s="1"/>
  <c r="F3801" i="45"/>
  <c r="F3802" i="45" s="1"/>
  <c r="F3803" i="45" s="1"/>
  <c r="F3804" i="45" s="1"/>
  <c r="F3796" i="45"/>
  <c r="F3797" i="45" s="1"/>
  <c r="F3798" i="45" s="1"/>
  <c r="F3799" i="45" s="1"/>
  <c r="F3791" i="45"/>
  <c r="F3794" i="45" s="1"/>
  <c r="F3786" i="45"/>
  <c r="F3789" i="45" s="1"/>
  <c r="E3786" i="45"/>
  <c r="D3786" i="45"/>
  <c r="D3789" i="45" s="1"/>
  <c r="D3792" i="45" s="1"/>
  <c r="D3795" i="45" s="1"/>
  <c r="D3798" i="45" s="1"/>
  <c r="D3801" i="45" s="1"/>
  <c r="B3786" i="45"/>
  <c r="B3789" i="45" s="1"/>
  <c r="B3792" i="45" s="1"/>
  <c r="B3795" i="45" s="1"/>
  <c r="B3798" i="45" s="1"/>
  <c r="B3801" i="45" s="1"/>
  <c r="A3786" i="45"/>
  <c r="A3789" i="45" s="1"/>
  <c r="A3792" i="45" s="1"/>
  <c r="A3795" i="45" s="1"/>
  <c r="G3785" i="45"/>
  <c r="G3786" i="45" s="1"/>
  <c r="G3787" i="45" s="1"/>
  <c r="G3788" i="45" s="1"/>
  <c r="G3789" i="45" s="1"/>
  <c r="C3785" i="45"/>
  <c r="M3785" i="45" s="1"/>
  <c r="F3781" i="45"/>
  <c r="F3782" i="45" s="1"/>
  <c r="F3783" i="45" s="1"/>
  <c r="F3784" i="45" s="1"/>
  <c r="F3776" i="45"/>
  <c r="F3777" i="45" s="1"/>
  <c r="F3778" i="45" s="1"/>
  <c r="F3779" i="45" s="1"/>
  <c r="F3771" i="45"/>
  <c r="F3774" i="45" s="1"/>
  <c r="F3766" i="45"/>
  <c r="F3769" i="45" s="1"/>
  <c r="E3766" i="45"/>
  <c r="D3766" i="45"/>
  <c r="D3769" i="45" s="1"/>
  <c r="D3772" i="45" s="1"/>
  <c r="D3775" i="45" s="1"/>
  <c r="D3778" i="45" s="1"/>
  <c r="D3781" i="45" s="1"/>
  <c r="C3766" i="45"/>
  <c r="C3767" i="45" s="1"/>
  <c r="C3768" i="45" s="1"/>
  <c r="C3769" i="45" s="1"/>
  <c r="C3770" i="45" s="1"/>
  <c r="C3771" i="45" s="1"/>
  <c r="C3772" i="45" s="1"/>
  <c r="C3773" i="45" s="1"/>
  <c r="C3774" i="45" s="1"/>
  <c r="C3775" i="45" s="1"/>
  <c r="C3776" i="45" s="1"/>
  <c r="C3777" i="45" s="1"/>
  <c r="C3778" i="45" s="1"/>
  <c r="C3779" i="45" s="1"/>
  <c r="C3780" i="45" s="1"/>
  <c r="C3781" i="45" s="1"/>
  <c r="C3782" i="45" s="1"/>
  <c r="C3783" i="45" s="1"/>
  <c r="C3784" i="45" s="1"/>
  <c r="B3766" i="45"/>
  <c r="B3769" i="45" s="1"/>
  <c r="B3772" i="45" s="1"/>
  <c r="B3775" i="45" s="1"/>
  <c r="B3778" i="45" s="1"/>
  <c r="B3781" i="45" s="1"/>
  <c r="A3766" i="45"/>
  <c r="A3769" i="45" s="1"/>
  <c r="A3772" i="45" s="1"/>
  <c r="A3775" i="45" s="1"/>
  <c r="G3765" i="45"/>
  <c r="G3766" i="45" s="1"/>
  <c r="G3767" i="45" s="1"/>
  <c r="G3768" i="45" s="1"/>
  <c r="G3769" i="45" s="1"/>
  <c r="F3761" i="45"/>
  <c r="F3762" i="45" s="1"/>
  <c r="F3763" i="45" s="1"/>
  <c r="F3764" i="45" s="1"/>
  <c r="F3756" i="45"/>
  <c r="F3757" i="45" s="1"/>
  <c r="F3758" i="45" s="1"/>
  <c r="F3759" i="45" s="1"/>
  <c r="F3751" i="45"/>
  <c r="F3754" i="45" s="1"/>
  <c r="F3746" i="45"/>
  <c r="F3749" i="45" s="1"/>
  <c r="E3746" i="45"/>
  <c r="D3746" i="45"/>
  <c r="D3749" i="45" s="1"/>
  <c r="D3752" i="45" s="1"/>
  <c r="D3755" i="45" s="1"/>
  <c r="D3758" i="45" s="1"/>
  <c r="D3761" i="45" s="1"/>
  <c r="C3746" i="45"/>
  <c r="C3747" i="45" s="1"/>
  <c r="C3748" i="45" s="1"/>
  <c r="C3749" i="45" s="1"/>
  <c r="C3750" i="45" s="1"/>
  <c r="C3751" i="45" s="1"/>
  <c r="C3752" i="45" s="1"/>
  <c r="C3753" i="45" s="1"/>
  <c r="C3754" i="45" s="1"/>
  <c r="C3755" i="45" s="1"/>
  <c r="C3756" i="45" s="1"/>
  <c r="C3757" i="45" s="1"/>
  <c r="C3758" i="45" s="1"/>
  <c r="C3759" i="45" s="1"/>
  <c r="C3760" i="45" s="1"/>
  <c r="C3761" i="45" s="1"/>
  <c r="C3762" i="45" s="1"/>
  <c r="C3763" i="45" s="1"/>
  <c r="C3764" i="45" s="1"/>
  <c r="B3746" i="45"/>
  <c r="B3749" i="45" s="1"/>
  <c r="B3752" i="45" s="1"/>
  <c r="B3755" i="45" s="1"/>
  <c r="B3758" i="45" s="1"/>
  <c r="B3761" i="45" s="1"/>
  <c r="A3746" i="45"/>
  <c r="A3749" i="45" s="1"/>
  <c r="A3752" i="45" s="1"/>
  <c r="A3755" i="45" s="1"/>
  <c r="G3745" i="45"/>
  <c r="G3746" i="45" s="1"/>
  <c r="G3747" i="45" s="1"/>
  <c r="G3748" i="45" s="1"/>
  <c r="G3749" i="45" s="1"/>
  <c r="F3741" i="45"/>
  <c r="F3742" i="45" s="1"/>
  <c r="F3743" i="45" s="1"/>
  <c r="F3744" i="45" s="1"/>
  <c r="F3736" i="45"/>
  <c r="F3737" i="45" s="1"/>
  <c r="F3738" i="45" s="1"/>
  <c r="F3739" i="45" s="1"/>
  <c r="F3731" i="45"/>
  <c r="F3734" i="45" s="1"/>
  <c r="F3726" i="45"/>
  <c r="F3729" i="45" s="1"/>
  <c r="E3726" i="45"/>
  <c r="D3726" i="45"/>
  <c r="D3729" i="45" s="1"/>
  <c r="D3732" i="45" s="1"/>
  <c r="D3735" i="45" s="1"/>
  <c r="D3738" i="45" s="1"/>
  <c r="D3741" i="45" s="1"/>
  <c r="C3726" i="45"/>
  <c r="C3727" i="45" s="1"/>
  <c r="C3728" i="45" s="1"/>
  <c r="C3729" i="45" s="1"/>
  <c r="C3730" i="45" s="1"/>
  <c r="C3731" i="45" s="1"/>
  <c r="C3732" i="45" s="1"/>
  <c r="C3733" i="45" s="1"/>
  <c r="C3734" i="45" s="1"/>
  <c r="C3735" i="45" s="1"/>
  <c r="C3736" i="45" s="1"/>
  <c r="C3737" i="45" s="1"/>
  <c r="C3738" i="45" s="1"/>
  <c r="C3739" i="45" s="1"/>
  <c r="C3740" i="45" s="1"/>
  <c r="C3741" i="45" s="1"/>
  <c r="C3742" i="45" s="1"/>
  <c r="C3743" i="45" s="1"/>
  <c r="C3744" i="45" s="1"/>
  <c r="B3726" i="45"/>
  <c r="B3729" i="45" s="1"/>
  <c r="B3732" i="45" s="1"/>
  <c r="B3735" i="45" s="1"/>
  <c r="B3738" i="45" s="1"/>
  <c r="B3741" i="45" s="1"/>
  <c r="A3726" i="45"/>
  <c r="A3729" i="45" s="1"/>
  <c r="A3732" i="45" s="1"/>
  <c r="A3735" i="45" s="1"/>
  <c r="G3725" i="45"/>
  <c r="G3726" i="45" s="1"/>
  <c r="G3727" i="45" s="1"/>
  <c r="G3728" i="45" s="1"/>
  <c r="G3729" i="45" s="1"/>
  <c r="F3721" i="45"/>
  <c r="F3722" i="45" s="1"/>
  <c r="F3723" i="45" s="1"/>
  <c r="F3724" i="45" s="1"/>
  <c r="F3716" i="45"/>
  <c r="F3717" i="45" s="1"/>
  <c r="F3718" i="45" s="1"/>
  <c r="F3719" i="45" s="1"/>
  <c r="F3711" i="45"/>
  <c r="F3714" i="45" s="1"/>
  <c r="F3706" i="45"/>
  <c r="F3709" i="45" s="1"/>
  <c r="E3706" i="45"/>
  <c r="D3706" i="45"/>
  <c r="D3709" i="45" s="1"/>
  <c r="D3712" i="45" s="1"/>
  <c r="D3715" i="45" s="1"/>
  <c r="D3718" i="45" s="1"/>
  <c r="D3721" i="45" s="1"/>
  <c r="C3706" i="45"/>
  <c r="C3707" i="45" s="1"/>
  <c r="C3708" i="45" s="1"/>
  <c r="C3709" i="45" s="1"/>
  <c r="C3710" i="45" s="1"/>
  <c r="C3711" i="45" s="1"/>
  <c r="C3712" i="45" s="1"/>
  <c r="C3713" i="45" s="1"/>
  <c r="C3714" i="45" s="1"/>
  <c r="C3715" i="45" s="1"/>
  <c r="C3716" i="45" s="1"/>
  <c r="C3717" i="45" s="1"/>
  <c r="C3718" i="45" s="1"/>
  <c r="C3719" i="45" s="1"/>
  <c r="C3720" i="45" s="1"/>
  <c r="C3721" i="45" s="1"/>
  <c r="C3722" i="45" s="1"/>
  <c r="C3723" i="45" s="1"/>
  <c r="C3724" i="45" s="1"/>
  <c r="B3706" i="45"/>
  <c r="B3709" i="45" s="1"/>
  <c r="B3712" i="45" s="1"/>
  <c r="B3715" i="45" s="1"/>
  <c r="B3718" i="45" s="1"/>
  <c r="B3721" i="45" s="1"/>
  <c r="A3706" i="45"/>
  <c r="A3709" i="45" s="1"/>
  <c r="A3712" i="45" s="1"/>
  <c r="A3715" i="45" s="1"/>
  <c r="G3705" i="45"/>
  <c r="G3706" i="45" s="1"/>
  <c r="G3707" i="45" s="1"/>
  <c r="G3708" i="45" s="1"/>
  <c r="G3709" i="45" s="1"/>
  <c r="F3701" i="45"/>
  <c r="F3702" i="45" s="1"/>
  <c r="F3703" i="45" s="1"/>
  <c r="F3704" i="45" s="1"/>
  <c r="F3696" i="45"/>
  <c r="F3697" i="45" s="1"/>
  <c r="F3698" i="45" s="1"/>
  <c r="F3699" i="45" s="1"/>
  <c r="F3691" i="45"/>
  <c r="F3694" i="45" s="1"/>
  <c r="F3686" i="45"/>
  <c r="F3689" i="45" s="1"/>
  <c r="E3686" i="45"/>
  <c r="D3686" i="45"/>
  <c r="D3689" i="45" s="1"/>
  <c r="D3692" i="45" s="1"/>
  <c r="D3695" i="45" s="1"/>
  <c r="D3698" i="45" s="1"/>
  <c r="D3701" i="45" s="1"/>
  <c r="C3686" i="45"/>
  <c r="C3687" i="45" s="1"/>
  <c r="C3688" i="45" s="1"/>
  <c r="C3689" i="45" s="1"/>
  <c r="C3690" i="45" s="1"/>
  <c r="C3691" i="45" s="1"/>
  <c r="C3692" i="45" s="1"/>
  <c r="C3693" i="45" s="1"/>
  <c r="C3694" i="45" s="1"/>
  <c r="C3695" i="45" s="1"/>
  <c r="C3696" i="45" s="1"/>
  <c r="C3697" i="45" s="1"/>
  <c r="C3698" i="45" s="1"/>
  <c r="C3699" i="45" s="1"/>
  <c r="C3700" i="45" s="1"/>
  <c r="C3701" i="45" s="1"/>
  <c r="C3702" i="45" s="1"/>
  <c r="C3703" i="45" s="1"/>
  <c r="C3704" i="45" s="1"/>
  <c r="B3686" i="45"/>
  <c r="B3689" i="45" s="1"/>
  <c r="B3692" i="45" s="1"/>
  <c r="B3695" i="45" s="1"/>
  <c r="B3698" i="45" s="1"/>
  <c r="B3701" i="45" s="1"/>
  <c r="A3686" i="45"/>
  <c r="A3689" i="45" s="1"/>
  <c r="A3692" i="45" s="1"/>
  <c r="A3695" i="45" s="1"/>
  <c r="G3685" i="45"/>
  <c r="G3686" i="45" s="1"/>
  <c r="G3687" i="45" s="1"/>
  <c r="G3688" i="45" s="1"/>
  <c r="G3689" i="45" s="1"/>
  <c r="F3681" i="45"/>
  <c r="F3682" i="45" s="1"/>
  <c r="F3683" i="45" s="1"/>
  <c r="F3684" i="45" s="1"/>
  <c r="F3676" i="45"/>
  <c r="F3677" i="45" s="1"/>
  <c r="F3678" i="45" s="1"/>
  <c r="F3679" i="45" s="1"/>
  <c r="F3671" i="45"/>
  <c r="F3674" i="45" s="1"/>
  <c r="A3669" i="45"/>
  <c r="A3672" i="45" s="1"/>
  <c r="A3675" i="45" s="1"/>
  <c r="A3667" i="45"/>
  <c r="A3670" i="45" s="1"/>
  <c r="F3666" i="45"/>
  <c r="F3669" i="45" s="1"/>
  <c r="E3666" i="45"/>
  <c r="D3666" i="45"/>
  <c r="D3669" i="45" s="1"/>
  <c r="D3672" i="45" s="1"/>
  <c r="D3675" i="45" s="1"/>
  <c r="D3678" i="45" s="1"/>
  <c r="D3681" i="45" s="1"/>
  <c r="C3666" i="45"/>
  <c r="C3667" i="45" s="1"/>
  <c r="C3668" i="45" s="1"/>
  <c r="C3669" i="45" s="1"/>
  <c r="C3670" i="45" s="1"/>
  <c r="C3671" i="45" s="1"/>
  <c r="C3672" i="45" s="1"/>
  <c r="C3673" i="45" s="1"/>
  <c r="C3674" i="45" s="1"/>
  <c r="C3675" i="45" s="1"/>
  <c r="C3676" i="45" s="1"/>
  <c r="C3677" i="45" s="1"/>
  <c r="C3678" i="45" s="1"/>
  <c r="C3679" i="45" s="1"/>
  <c r="C3680" i="45" s="1"/>
  <c r="C3681" i="45" s="1"/>
  <c r="C3682" i="45" s="1"/>
  <c r="C3683" i="45" s="1"/>
  <c r="C3684" i="45" s="1"/>
  <c r="B3666" i="45"/>
  <c r="B3669" i="45" s="1"/>
  <c r="B3672" i="45" s="1"/>
  <c r="B3675" i="45" s="1"/>
  <c r="B3678" i="45" s="1"/>
  <c r="B3681" i="45" s="1"/>
  <c r="G3665" i="45"/>
  <c r="G3666" i="45" s="1"/>
  <c r="G3667" i="45" s="1"/>
  <c r="G3668" i="45" s="1"/>
  <c r="G3669" i="45" s="1"/>
  <c r="F3661" i="45"/>
  <c r="F3662" i="45" s="1"/>
  <c r="F3663" i="45" s="1"/>
  <c r="F3664" i="45" s="1"/>
  <c r="F3656" i="45"/>
  <c r="F3657" i="45" s="1"/>
  <c r="F3658" i="45" s="1"/>
  <c r="F3659" i="45" s="1"/>
  <c r="F3651" i="45"/>
  <c r="F3654" i="45" s="1"/>
  <c r="F3646" i="45"/>
  <c r="F3649" i="45" s="1"/>
  <c r="E3646" i="45"/>
  <c r="D3646" i="45"/>
  <c r="D3649" i="45" s="1"/>
  <c r="D3652" i="45" s="1"/>
  <c r="D3655" i="45" s="1"/>
  <c r="D3658" i="45" s="1"/>
  <c r="D3661" i="45" s="1"/>
  <c r="B3646" i="45"/>
  <c r="B3649" i="45" s="1"/>
  <c r="B3652" i="45" s="1"/>
  <c r="B3655" i="45" s="1"/>
  <c r="B3658" i="45" s="1"/>
  <c r="B3661" i="45" s="1"/>
  <c r="A3646" i="45"/>
  <c r="A3649" i="45" s="1"/>
  <c r="A3652" i="45" s="1"/>
  <c r="A3655" i="45" s="1"/>
  <c r="A3658" i="45" s="1"/>
  <c r="A3661" i="45" s="1"/>
  <c r="G3645" i="45"/>
  <c r="G3646" i="45" s="1"/>
  <c r="G3647" i="45" s="1"/>
  <c r="G3648" i="45" s="1"/>
  <c r="G3649" i="45" s="1"/>
  <c r="C3645" i="45"/>
  <c r="M3645" i="45" s="1"/>
  <c r="F3641" i="45"/>
  <c r="F3642" i="45" s="1"/>
  <c r="F3643" i="45" s="1"/>
  <c r="F3644" i="45" s="1"/>
  <c r="F3636" i="45"/>
  <c r="F3637" i="45" s="1"/>
  <c r="F3638" i="45" s="1"/>
  <c r="F3639" i="45" s="1"/>
  <c r="F3631" i="45"/>
  <c r="F3634" i="45" s="1"/>
  <c r="F3626" i="45"/>
  <c r="E3626" i="45"/>
  <c r="D3626" i="45"/>
  <c r="B3626" i="45"/>
  <c r="A3626" i="45"/>
  <c r="A3629" i="45" s="1"/>
  <c r="A3632" i="45" s="1"/>
  <c r="A3635" i="45" s="1"/>
  <c r="G3625" i="45"/>
  <c r="G3626" i="45" s="1"/>
  <c r="G3627" i="45" s="1"/>
  <c r="G3628" i="45" s="1"/>
  <c r="G3629" i="45" s="1"/>
  <c r="C3625" i="45"/>
  <c r="M3625" i="45" s="1"/>
  <c r="F3621" i="45"/>
  <c r="F3622" i="45" s="1"/>
  <c r="F3623" i="45" s="1"/>
  <c r="F3624" i="45" s="1"/>
  <c r="F3616" i="45"/>
  <c r="F3617" i="45" s="1"/>
  <c r="F3618" i="45" s="1"/>
  <c r="F3619" i="45" s="1"/>
  <c r="F3611" i="45"/>
  <c r="F3614" i="45" s="1"/>
  <c r="F3606" i="45"/>
  <c r="F3609" i="45" s="1"/>
  <c r="E3606" i="45"/>
  <c r="D3606" i="45"/>
  <c r="D3609" i="45" s="1"/>
  <c r="D3612" i="45" s="1"/>
  <c r="D3615" i="45" s="1"/>
  <c r="D3618" i="45" s="1"/>
  <c r="D3621" i="45" s="1"/>
  <c r="B3606" i="45"/>
  <c r="B3609" i="45" s="1"/>
  <c r="B3612" i="45" s="1"/>
  <c r="B3615" i="45" s="1"/>
  <c r="B3618" i="45" s="1"/>
  <c r="B3621" i="45" s="1"/>
  <c r="A3606" i="45"/>
  <c r="A3609" i="45" s="1"/>
  <c r="A3612" i="45" s="1"/>
  <c r="A3615" i="45" s="1"/>
  <c r="A3618" i="45" s="1"/>
  <c r="A3621" i="45" s="1"/>
  <c r="G3605" i="45"/>
  <c r="G3606" i="45" s="1"/>
  <c r="G3607" i="45" s="1"/>
  <c r="G3608" i="45" s="1"/>
  <c r="G3609" i="45" s="1"/>
  <c r="C3605" i="45"/>
  <c r="M3605" i="45" s="1"/>
  <c r="F3601" i="45"/>
  <c r="F3602" i="45" s="1"/>
  <c r="F3603" i="45" s="1"/>
  <c r="F3604" i="45" s="1"/>
  <c r="F3596" i="45"/>
  <c r="F3597" i="45" s="1"/>
  <c r="F3598" i="45" s="1"/>
  <c r="F3599" i="45" s="1"/>
  <c r="F3591" i="45"/>
  <c r="F3594" i="45" s="1"/>
  <c r="F3586" i="45"/>
  <c r="F3589" i="45" s="1"/>
  <c r="E3586" i="45"/>
  <c r="D3586" i="45"/>
  <c r="D3589" i="45" s="1"/>
  <c r="D3592" i="45" s="1"/>
  <c r="D3595" i="45" s="1"/>
  <c r="D3598" i="45" s="1"/>
  <c r="D3601" i="45" s="1"/>
  <c r="C3586" i="45"/>
  <c r="C3587" i="45" s="1"/>
  <c r="C3588" i="45" s="1"/>
  <c r="C3589" i="45" s="1"/>
  <c r="C3590" i="45" s="1"/>
  <c r="C3591" i="45" s="1"/>
  <c r="C3592" i="45" s="1"/>
  <c r="C3593" i="45" s="1"/>
  <c r="C3594" i="45" s="1"/>
  <c r="C3595" i="45" s="1"/>
  <c r="C3596" i="45" s="1"/>
  <c r="C3597" i="45" s="1"/>
  <c r="C3598" i="45" s="1"/>
  <c r="C3599" i="45" s="1"/>
  <c r="C3600" i="45" s="1"/>
  <c r="C3601" i="45" s="1"/>
  <c r="C3602" i="45" s="1"/>
  <c r="C3603" i="45" s="1"/>
  <c r="C3604" i="45" s="1"/>
  <c r="B3586" i="45"/>
  <c r="B3589" i="45" s="1"/>
  <c r="B3592" i="45" s="1"/>
  <c r="B3595" i="45" s="1"/>
  <c r="B3598" i="45" s="1"/>
  <c r="B3601" i="45" s="1"/>
  <c r="A3586" i="45"/>
  <c r="A3589" i="45" s="1"/>
  <c r="A3592" i="45" s="1"/>
  <c r="A3595" i="45" s="1"/>
  <c r="A3598" i="45" s="1"/>
  <c r="A3601" i="45" s="1"/>
  <c r="G3585" i="45"/>
  <c r="G3586" i="45" s="1"/>
  <c r="G3587" i="45" s="1"/>
  <c r="G3588" i="45" s="1"/>
  <c r="G3589" i="45" s="1"/>
  <c r="F3581" i="45"/>
  <c r="F3582" i="45" s="1"/>
  <c r="F3583" i="45" s="1"/>
  <c r="F3584" i="45" s="1"/>
  <c r="F3576" i="45"/>
  <c r="F3577" i="45" s="1"/>
  <c r="F3578" i="45" s="1"/>
  <c r="F3579" i="45" s="1"/>
  <c r="F3571" i="45"/>
  <c r="F3574" i="45" s="1"/>
  <c r="F3566" i="45"/>
  <c r="F3569" i="45" s="1"/>
  <c r="E3566" i="45"/>
  <c r="D3566" i="45"/>
  <c r="D3569" i="45" s="1"/>
  <c r="D3572" i="45" s="1"/>
  <c r="D3575" i="45" s="1"/>
  <c r="D3578" i="45" s="1"/>
  <c r="D3581" i="45" s="1"/>
  <c r="C3566" i="45"/>
  <c r="C3567" i="45" s="1"/>
  <c r="C3568" i="45" s="1"/>
  <c r="C3569" i="45" s="1"/>
  <c r="C3570" i="45" s="1"/>
  <c r="C3571" i="45" s="1"/>
  <c r="C3572" i="45" s="1"/>
  <c r="C3573" i="45" s="1"/>
  <c r="C3574" i="45" s="1"/>
  <c r="C3575" i="45" s="1"/>
  <c r="C3576" i="45" s="1"/>
  <c r="C3577" i="45" s="1"/>
  <c r="C3578" i="45" s="1"/>
  <c r="C3579" i="45" s="1"/>
  <c r="C3580" i="45" s="1"/>
  <c r="C3581" i="45" s="1"/>
  <c r="C3582" i="45" s="1"/>
  <c r="C3583" i="45" s="1"/>
  <c r="C3584" i="45" s="1"/>
  <c r="B3566" i="45"/>
  <c r="B3569" i="45" s="1"/>
  <c r="B3572" i="45" s="1"/>
  <c r="B3575" i="45" s="1"/>
  <c r="B3578" i="45" s="1"/>
  <c r="B3581" i="45" s="1"/>
  <c r="A3566" i="45"/>
  <c r="A3569" i="45" s="1"/>
  <c r="A3572" i="45" s="1"/>
  <c r="A3575" i="45" s="1"/>
  <c r="G3565" i="45"/>
  <c r="G3566" i="45" s="1"/>
  <c r="G3567" i="45" s="1"/>
  <c r="G3568" i="45" s="1"/>
  <c r="G3569" i="45" s="1"/>
  <c r="F3561" i="45"/>
  <c r="F3562" i="45" s="1"/>
  <c r="F3563" i="45" s="1"/>
  <c r="F3564" i="45" s="1"/>
  <c r="F3556" i="45"/>
  <c r="F3557" i="45" s="1"/>
  <c r="F3558" i="45" s="1"/>
  <c r="F3559" i="45" s="1"/>
  <c r="F3551" i="45"/>
  <c r="F3554" i="45" s="1"/>
  <c r="F3546" i="45"/>
  <c r="F3549" i="45" s="1"/>
  <c r="E3546" i="45"/>
  <c r="D3546" i="45"/>
  <c r="D3549" i="45" s="1"/>
  <c r="D3552" i="45" s="1"/>
  <c r="D3555" i="45" s="1"/>
  <c r="D3558" i="45" s="1"/>
  <c r="D3561" i="45" s="1"/>
  <c r="C3546" i="45"/>
  <c r="C3547" i="45" s="1"/>
  <c r="C3548" i="45" s="1"/>
  <c r="C3549" i="45" s="1"/>
  <c r="C3550" i="45" s="1"/>
  <c r="C3551" i="45" s="1"/>
  <c r="C3552" i="45" s="1"/>
  <c r="C3553" i="45" s="1"/>
  <c r="C3554" i="45" s="1"/>
  <c r="C3555" i="45" s="1"/>
  <c r="C3556" i="45" s="1"/>
  <c r="C3557" i="45" s="1"/>
  <c r="C3558" i="45" s="1"/>
  <c r="C3559" i="45" s="1"/>
  <c r="C3560" i="45" s="1"/>
  <c r="C3561" i="45" s="1"/>
  <c r="C3562" i="45" s="1"/>
  <c r="C3563" i="45" s="1"/>
  <c r="C3564" i="45" s="1"/>
  <c r="B3546" i="45"/>
  <c r="B3549" i="45" s="1"/>
  <c r="B3552" i="45" s="1"/>
  <c r="B3555" i="45" s="1"/>
  <c r="B3558" i="45" s="1"/>
  <c r="B3561" i="45" s="1"/>
  <c r="A3546" i="45"/>
  <c r="A3549" i="45" s="1"/>
  <c r="A3552" i="45" s="1"/>
  <c r="A3555" i="45" s="1"/>
  <c r="G3545" i="45"/>
  <c r="G3546" i="45" s="1"/>
  <c r="G3547" i="45" s="1"/>
  <c r="G3548" i="45" s="1"/>
  <c r="G3549" i="45" s="1"/>
  <c r="F3541" i="45"/>
  <c r="F3542" i="45" s="1"/>
  <c r="F3543" i="45" s="1"/>
  <c r="F3544" i="45" s="1"/>
  <c r="F3536" i="45"/>
  <c r="F3537" i="45" s="1"/>
  <c r="F3538" i="45" s="1"/>
  <c r="F3539" i="45" s="1"/>
  <c r="F3531" i="45"/>
  <c r="F3534" i="45" s="1"/>
  <c r="F3526" i="45"/>
  <c r="F3529" i="45" s="1"/>
  <c r="E3526" i="45"/>
  <c r="D3526" i="45"/>
  <c r="D3529" i="45" s="1"/>
  <c r="D3532" i="45" s="1"/>
  <c r="D3535" i="45" s="1"/>
  <c r="D3538" i="45" s="1"/>
  <c r="D3541" i="45" s="1"/>
  <c r="C3526" i="45"/>
  <c r="C3527" i="45" s="1"/>
  <c r="C3528" i="45" s="1"/>
  <c r="C3529" i="45" s="1"/>
  <c r="C3530" i="45" s="1"/>
  <c r="C3531" i="45" s="1"/>
  <c r="C3532" i="45" s="1"/>
  <c r="C3533" i="45" s="1"/>
  <c r="C3534" i="45" s="1"/>
  <c r="C3535" i="45" s="1"/>
  <c r="C3536" i="45" s="1"/>
  <c r="C3537" i="45" s="1"/>
  <c r="C3538" i="45" s="1"/>
  <c r="C3539" i="45" s="1"/>
  <c r="C3540" i="45" s="1"/>
  <c r="C3541" i="45" s="1"/>
  <c r="C3542" i="45" s="1"/>
  <c r="C3543" i="45" s="1"/>
  <c r="C3544" i="45" s="1"/>
  <c r="B3526" i="45"/>
  <c r="B3529" i="45" s="1"/>
  <c r="B3532" i="45" s="1"/>
  <c r="B3535" i="45" s="1"/>
  <c r="B3538" i="45" s="1"/>
  <c r="B3541" i="45" s="1"/>
  <c r="A3526" i="45"/>
  <c r="A3529" i="45" s="1"/>
  <c r="A3532" i="45" s="1"/>
  <c r="A3535" i="45" s="1"/>
  <c r="G3525" i="45"/>
  <c r="G3526" i="45" s="1"/>
  <c r="G3527" i="45" s="1"/>
  <c r="G3528" i="45" s="1"/>
  <c r="G3529" i="45" s="1"/>
  <c r="F3521" i="45"/>
  <c r="F3522" i="45" s="1"/>
  <c r="F3523" i="45" s="1"/>
  <c r="F3524" i="45" s="1"/>
  <c r="F3516" i="45"/>
  <c r="F3517" i="45" s="1"/>
  <c r="F3518" i="45" s="1"/>
  <c r="F3519" i="45" s="1"/>
  <c r="F3511" i="45"/>
  <c r="F3514" i="45" s="1"/>
  <c r="F3506" i="45"/>
  <c r="F3509" i="45" s="1"/>
  <c r="E3506" i="45"/>
  <c r="D3506" i="45"/>
  <c r="D3509" i="45" s="1"/>
  <c r="D3512" i="45" s="1"/>
  <c r="D3515" i="45" s="1"/>
  <c r="D3518" i="45" s="1"/>
  <c r="D3521" i="45" s="1"/>
  <c r="C3506" i="45"/>
  <c r="C3507" i="45" s="1"/>
  <c r="C3508" i="45" s="1"/>
  <c r="C3509" i="45" s="1"/>
  <c r="C3510" i="45" s="1"/>
  <c r="C3511" i="45" s="1"/>
  <c r="C3512" i="45" s="1"/>
  <c r="C3513" i="45" s="1"/>
  <c r="C3514" i="45" s="1"/>
  <c r="C3515" i="45" s="1"/>
  <c r="C3516" i="45" s="1"/>
  <c r="C3517" i="45" s="1"/>
  <c r="C3518" i="45" s="1"/>
  <c r="C3519" i="45" s="1"/>
  <c r="C3520" i="45" s="1"/>
  <c r="C3521" i="45" s="1"/>
  <c r="C3522" i="45" s="1"/>
  <c r="C3523" i="45" s="1"/>
  <c r="C3524" i="45" s="1"/>
  <c r="B3506" i="45"/>
  <c r="B3509" i="45" s="1"/>
  <c r="B3512" i="45" s="1"/>
  <c r="B3515" i="45" s="1"/>
  <c r="B3518" i="45" s="1"/>
  <c r="B3521" i="45" s="1"/>
  <c r="A3506" i="45"/>
  <c r="A3509" i="45" s="1"/>
  <c r="A3512" i="45" s="1"/>
  <c r="A3515" i="45" s="1"/>
  <c r="G3505" i="45"/>
  <c r="G3506" i="45" s="1"/>
  <c r="G3507" i="45" s="1"/>
  <c r="G3508" i="45" s="1"/>
  <c r="G3509" i="45" s="1"/>
  <c r="F3501" i="45"/>
  <c r="F3502" i="45" s="1"/>
  <c r="F3503" i="45" s="1"/>
  <c r="F3504" i="45" s="1"/>
  <c r="F3496" i="45"/>
  <c r="F3497" i="45" s="1"/>
  <c r="F3498" i="45" s="1"/>
  <c r="F3499" i="45" s="1"/>
  <c r="F3491" i="45"/>
  <c r="F3494" i="45" s="1"/>
  <c r="A3489" i="45"/>
  <c r="A3492" i="45" s="1"/>
  <c r="A3495" i="45" s="1"/>
  <c r="A3487" i="45"/>
  <c r="A3490" i="45" s="1"/>
  <c r="F3486" i="45"/>
  <c r="F3489" i="45" s="1"/>
  <c r="E3486" i="45"/>
  <c r="D3486" i="45"/>
  <c r="D3489" i="45" s="1"/>
  <c r="D3492" i="45" s="1"/>
  <c r="D3495" i="45" s="1"/>
  <c r="D3498" i="45" s="1"/>
  <c r="D3501" i="45" s="1"/>
  <c r="C3486" i="45"/>
  <c r="C3487" i="45" s="1"/>
  <c r="C3488" i="45" s="1"/>
  <c r="C3489" i="45" s="1"/>
  <c r="C3490" i="45" s="1"/>
  <c r="C3491" i="45" s="1"/>
  <c r="C3492" i="45" s="1"/>
  <c r="C3493" i="45" s="1"/>
  <c r="C3494" i="45" s="1"/>
  <c r="C3495" i="45" s="1"/>
  <c r="C3496" i="45" s="1"/>
  <c r="C3497" i="45" s="1"/>
  <c r="C3498" i="45" s="1"/>
  <c r="C3499" i="45" s="1"/>
  <c r="C3500" i="45" s="1"/>
  <c r="C3501" i="45" s="1"/>
  <c r="C3502" i="45" s="1"/>
  <c r="C3503" i="45" s="1"/>
  <c r="C3504" i="45" s="1"/>
  <c r="B3486" i="45"/>
  <c r="B3489" i="45" s="1"/>
  <c r="B3492" i="45" s="1"/>
  <c r="B3495" i="45" s="1"/>
  <c r="B3498" i="45" s="1"/>
  <c r="B3501" i="45" s="1"/>
  <c r="G3485" i="45"/>
  <c r="G3486" i="45" s="1"/>
  <c r="G3487" i="45" s="1"/>
  <c r="G3488" i="45" s="1"/>
  <c r="G3489" i="45" s="1"/>
  <c r="F3481" i="45"/>
  <c r="F3482" i="45" s="1"/>
  <c r="F3483" i="45" s="1"/>
  <c r="F3484" i="45" s="1"/>
  <c r="F3476" i="45"/>
  <c r="F3477" i="45" s="1"/>
  <c r="F3478" i="45" s="1"/>
  <c r="F3479" i="45" s="1"/>
  <c r="F3471" i="45"/>
  <c r="F3474" i="45" s="1"/>
  <c r="F3466" i="45"/>
  <c r="F3469" i="45" s="1"/>
  <c r="E3466" i="45"/>
  <c r="D3466" i="45"/>
  <c r="D3469" i="45" s="1"/>
  <c r="D3472" i="45" s="1"/>
  <c r="D3475" i="45" s="1"/>
  <c r="D3478" i="45" s="1"/>
  <c r="D3481" i="45" s="1"/>
  <c r="B3466" i="45"/>
  <c r="B3469" i="45" s="1"/>
  <c r="B3472" i="45" s="1"/>
  <c r="B3475" i="45" s="1"/>
  <c r="B3478" i="45" s="1"/>
  <c r="B3481" i="45" s="1"/>
  <c r="A3466" i="45"/>
  <c r="A3469" i="45" s="1"/>
  <c r="A3472" i="45" s="1"/>
  <c r="A3475" i="45" s="1"/>
  <c r="G3465" i="45"/>
  <c r="G3466" i="45" s="1"/>
  <c r="G3467" i="45" s="1"/>
  <c r="G3468" i="45" s="1"/>
  <c r="G3469" i="45" s="1"/>
  <c r="C3465" i="45"/>
  <c r="M3465" i="45" s="1"/>
  <c r="F3461" i="45"/>
  <c r="F3462" i="45" s="1"/>
  <c r="F3463" i="45" s="1"/>
  <c r="F3464" i="45" s="1"/>
  <c r="F3456" i="45"/>
  <c r="F3457" i="45" s="1"/>
  <c r="F3458" i="45" s="1"/>
  <c r="F3459" i="45" s="1"/>
  <c r="F3451" i="45"/>
  <c r="F3454" i="45" s="1"/>
  <c r="F3446" i="45"/>
  <c r="F3449" i="45" s="1"/>
  <c r="E3446" i="45"/>
  <c r="D3446" i="45"/>
  <c r="D3449" i="45" s="1"/>
  <c r="D3452" i="45" s="1"/>
  <c r="D3455" i="45" s="1"/>
  <c r="D3458" i="45" s="1"/>
  <c r="D3461" i="45" s="1"/>
  <c r="B3446" i="45"/>
  <c r="B3449" i="45" s="1"/>
  <c r="B3452" i="45" s="1"/>
  <c r="B3455" i="45" s="1"/>
  <c r="B3458" i="45" s="1"/>
  <c r="B3461" i="45" s="1"/>
  <c r="A3446" i="45"/>
  <c r="A3449" i="45" s="1"/>
  <c r="A3452" i="45" s="1"/>
  <c r="A3455" i="45" s="1"/>
  <c r="G3445" i="45"/>
  <c r="G3446" i="45" s="1"/>
  <c r="G3447" i="45" s="1"/>
  <c r="G3448" i="45" s="1"/>
  <c r="G3449" i="45" s="1"/>
  <c r="C3445" i="45"/>
  <c r="M3445" i="45" s="1"/>
  <c r="F3441" i="45"/>
  <c r="F3442" i="45" s="1"/>
  <c r="F3443" i="45" s="1"/>
  <c r="F3444" i="45" s="1"/>
  <c r="F3436" i="45"/>
  <c r="F3437" i="45" s="1"/>
  <c r="F3438" i="45" s="1"/>
  <c r="F3439" i="45" s="1"/>
  <c r="F3431" i="45"/>
  <c r="F3434" i="45" s="1"/>
  <c r="F3426" i="45"/>
  <c r="F3429" i="45" s="1"/>
  <c r="E3426" i="45"/>
  <c r="D3426" i="45"/>
  <c r="D3429" i="45" s="1"/>
  <c r="D3432" i="45" s="1"/>
  <c r="D3435" i="45" s="1"/>
  <c r="D3438" i="45" s="1"/>
  <c r="D3441" i="45" s="1"/>
  <c r="B3426" i="45"/>
  <c r="B3429" i="45" s="1"/>
  <c r="B3432" i="45" s="1"/>
  <c r="B3435" i="45" s="1"/>
  <c r="B3438" i="45" s="1"/>
  <c r="B3441" i="45" s="1"/>
  <c r="A3426" i="45"/>
  <c r="A3429" i="45" s="1"/>
  <c r="A3432" i="45" s="1"/>
  <c r="A3435" i="45" s="1"/>
  <c r="G3425" i="45"/>
  <c r="G3426" i="45" s="1"/>
  <c r="G3427" i="45" s="1"/>
  <c r="G3428" i="45" s="1"/>
  <c r="G3429" i="45" s="1"/>
  <c r="C3425" i="45"/>
  <c r="M3425" i="45" s="1"/>
  <c r="F3421" i="45"/>
  <c r="F3422" i="45" s="1"/>
  <c r="F3423" i="45" s="1"/>
  <c r="F3424" i="45" s="1"/>
  <c r="F3416" i="45"/>
  <c r="F3417" i="45" s="1"/>
  <c r="F3418" i="45" s="1"/>
  <c r="F3419" i="45" s="1"/>
  <c r="F3411" i="45"/>
  <c r="F3414" i="45" s="1"/>
  <c r="F3406" i="45"/>
  <c r="E3406" i="45"/>
  <c r="D3406" i="45"/>
  <c r="C3406" i="45"/>
  <c r="C3407" i="45" s="1"/>
  <c r="C3408" i="45" s="1"/>
  <c r="C3409" i="45" s="1"/>
  <c r="C3410" i="45" s="1"/>
  <c r="C3411" i="45" s="1"/>
  <c r="C3412" i="45" s="1"/>
  <c r="C3413" i="45" s="1"/>
  <c r="C3414" i="45" s="1"/>
  <c r="C3415" i="45" s="1"/>
  <c r="C3416" i="45" s="1"/>
  <c r="C3417" i="45" s="1"/>
  <c r="C3418" i="45" s="1"/>
  <c r="C3419" i="45" s="1"/>
  <c r="C3420" i="45" s="1"/>
  <c r="C3421" i="45" s="1"/>
  <c r="C3422" i="45" s="1"/>
  <c r="C3423" i="45" s="1"/>
  <c r="C3424" i="45" s="1"/>
  <c r="B3406" i="45"/>
  <c r="A3406" i="45"/>
  <c r="A3409" i="45" s="1"/>
  <c r="A3412" i="45" s="1"/>
  <c r="A3415" i="45" s="1"/>
  <c r="G3405" i="45"/>
  <c r="G3406" i="45" s="1"/>
  <c r="G3407" i="45" s="1"/>
  <c r="G3408" i="45" s="1"/>
  <c r="G3409" i="45" s="1"/>
  <c r="F3401" i="45"/>
  <c r="F3402" i="45" s="1"/>
  <c r="F3403" i="45" s="1"/>
  <c r="F3404" i="45" s="1"/>
  <c r="F3396" i="45"/>
  <c r="F3397" i="45" s="1"/>
  <c r="F3398" i="45" s="1"/>
  <c r="F3399" i="45" s="1"/>
  <c r="F3391" i="45"/>
  <c r="F3392" i="45" s="1"/>
  <c r="F3393" i="45" s="1"/>
  <c r="F3386" i="45"/>
  <c r="E3386" i="45"/>
  <c r="D3386" i="45"/>
  <c r="C3386" i="45"/>
  <c r="C3387" i="45" s="1"/>
  <c r="C3388" i="45" s="1"/>
  <c r="C3389" i="45" s="1"/>
  <c r="C3390" i="45" s="1"/>
  <c r="C3391" i="45" s="1"/>
  <c r="C3392" i="45" s="1"/>
  <c r="C3393" i="45" s="1"/>
  <c r="C3394" i="45" s="1"/>
  <c r="C3395" i="45" s="1"/>
  <c r="C3396" i="45" s="1"/>
  <c r="C3397" i="45" s="1"/>
  <c r="C3398" i="45" s="1"/>
  <c r="C3399" i="45" s="1"/>
  <c r="C3400" i="45" s="1"/>
  <c r="C3401" i="45" s="1"/>
  <c r="C3402" i="45" s="1"/>
  <c r="C3403" i="45" s="1"/>
  <c r="C3404" i="45" s="1"/>
  <c r="B3386" i="45"/>
  <c r="A3386" i="45"/>
  <c r="A3389" i="45" s="1"/>
  <c r="A3392" i="45" s="1"/>
  <c r="A3395" i="45" s="1"/>
  <c r="G3385" i="45"/>
  <c r="G3386" i="45" s="1"/>
  <c r="G3387" i="45" s="1"/>
  <c r="G3388" i="45" s="1"/>
  <c r="G3389" i="45" s="1"/>
  <c r="F3381" i="45"/>
  <c r="F3382" i="45" s="1"/>
  <c r="F3383" i="45" s="1"/>
  <c r="F3384" i="45" s="1"/>
  <c r="F3376" i="45"/>
  <c r="F3377" i="45" s="1"/>
  <c r="F3378" i="45" s="1"/>
  <c r="F3379" i="45" s="1"/>
  <c r="F3371" i="45"/>
  <c r="F3374" i="45" s="1"/>
  <c r="F3366" i="45"/>
  <c r="F3369" i="45" s="1"/>
  <c r="E3366" i="45"/>
  <c r="D3366" i="45"/>
  <c r="D3369" i="45" s="1"/>
  <c r="D3372" i="45" s="1"/>
  <c r="D3375" i="45" s="1"/>
  <c r="D3378" i="45" s="1"/>
  <c r="D3381" i="45" s="1"/>
  <c r="C3366" i="45"/>
  <c r="C3367" i="45" s="1"/>
  <c r="C3368" i="45" s="1"/>
  <c r="C3369" i="45" s="1"/>
  <c r="C3370" i="45" s="1"/>
  <c r="C3371" i="45" s="1"/>
  <c r="C3372" i="45" s="1"/>
  <c r="C3373" i="45" s="1"/>
  <c r="C3374" i="45" s="1"/>
  <c r="C3375" i="45" s="1"/>
  <c r="C3376" i="45" s="1"/>
  <c r="C3377" i="45" s="1"/>
  <c r="C3378" i="45" s="1"/>
  <c r="C3379" i="45" s="1"/>
  <c r="C3380" i="45" s="1"/>
  <c r="C3381" i="45" s="1"/>
  <c r="C3382" i="45" s="1"/>
  <c r="C3383" i="45" s="1"/>
  <c r="C3384" i="45" s="1"/>
  <c r="B3366" i="45"/>
  <c r="B3369" i="45" s="1"/>
  <c r="B3372" i="45" s="1"/>
  <c r="B3375" i="45" s="1"/>
  <c r="B3378" i="45" s="1"/>
  <c r="B3381" i="45" s="1"/>
  <c r="A3366" i="45"/>
  <c r="A3369" i="45" s="1"/>
  <c r="A3372" i="45" s="1"/>
  <c r="A3375" i="45" s="1"/>
  <c r="G3365" i="45"/>
  <c r="G3366" i="45" s="1"/>
  <c r="G3367" i="45" s="1"/>
  <c r="G3368" i="45" s="1"/>
  <c r="G3369" i="45" s="1"/>
  <c r="F3361" i="45"/>
  <c r="F3362" i="45" s="1"/>
  <c r="F3363" i="45" s="1"/>
  <c r="F3364" i="45" s="1"/>
  <c r="F3356" i="45"/>
  <c r="F3357" i="45" s="1"/>
  <c r="F3358" i="45" s="1"/>
  <c r="F3359" i="45" s="1"/>
  <c r="F3351" i="45"/>
  <c r="F3354" i="45" s="1"/>
  <c r="F3346" i="45"/>
  <c r="F3347" i="45" s="1"/>
  <c r="F3348" i="45" s="1"/>
  <c r="E3346" i="45"/>
  <c r="D3346" i="45"/>
  <c r="D3349" i="45" s="1"/>
  <c r="D3352" i="45" s="1"/>
  <c r="D3355" i="45" s="1"/>
  <c r="D3358" i="45" s="1"/>
  <c r="D3361" i="45" s="1"/>
  <c r="C3346" i="45"/>
  <c r="C3347" i="45" s="1"/>
  <c r="C3348" i="45" s="1"/>
  <c r="C3349" i="45" s="1"/>
  <c r="C3350" i="45" s="1"/>
  <c r="C3351" i="45" s="1"/>
  <c r="C3352" i="45" s="1"/>
  <c r="C3353" i="45" s="1"/>
  <c r="C3354" i="45" s="1"/>
  <c r="C3355" i="45" s="1"/>
  <c r="C3356" i="45" s="1"/>
  <c r="C3357" i="45" s="1"/>
  <c r="C3358" i="45" s="1"/>
  <c r="C3359" i="45" s="1"/>
  <c r="C3360" i="45" s="1"/>
  <c r="C3361" i="45" s="1"/>
  <c r="C3362" i="45" s="1"/>
  <c r="C3363" i="45" s="1"/>
  <c r="C3364" i="45" s="1"/>
  <c r="B3346" i="45"/>
  <c r="B3347" i="45" s="1"/>
  <c r="B3350" i="45" s="1"/>
  <c r="B3353" i="45" s="1"/>
  <c r="B3356" i="45" s="1"/>
  <c r="B3359" i="45" s="1"/>
  <c r="A3346" i="45"/>
  <c r="G3345" i="45"/>
  <c r="G3346" i="45" s="1"/>
  <c r="G3347" i="45" s="1"/>
  <c r="G3348" i="45" s="1"/>
  <c r="G3349" i="45" s="1"/>
  <c r="F3341" i="45"/>
  <c r="F3342" i="45" s="1"/>
  <c r="F3343" i="45" s="1"/>
  <c r="F3344" i="45" s="1"/>
  <c r="F3336" i="45"/>
  <c r="F3337" i="45" s="1"/>
  <c r="F3338" i="45" s="1"/>
  <c r="F3339" i="45" s="1"/>
  <c r="F3331" i="45"/>
  <c r="F3334" i="45" s="1"/>
  <c r="F3326" i="45"/>
  <c r="F3329" i="45" s="1"/>
  <c r="E3326" i="45"/>
  <c r="D3326" i="45"/>
  <c r="D3327" i="45" s="1"/>
  <c r="D3330" i="45" s="1"/>
  <c r="D3333" i="45" s="1"/>
  <c r="D3336" i="45" s="1"/>
  <c r="D3339" i="45" s="1"/>
  <c r="C3326" i="45"/>
  <c r="C3327" i="45" s="1"/>
  <c r="C3328" i="45" s="1"/>
  <c r="C3329" i="45" s="1"/>
  <c r="C3330" i="45" s="1"/>
  <c r="C3331" i="45" s="1"/>
  <c r="C3332" i="45" s="1"/>
  <c r="C3333" i="45" s="1"/>
  <c r="C3334" i="45" s="1"/>
  <c r="C3335" i="45" s="1"/>
  <c r="C3336" i="45" s="1"/>
  <c r="C3337" i="45" s="1"/>
  <c r="C3338" i="45" s="1"/>
  <c r="C3339" i="45" s="1"/>
  <c r="C3340" i="45" s="1"/>
  <c r="C3341" i="45" s="1"/>
  <c r="C3342" i="45" s="1"/>
  <c r="C3343" i="45" s="1"/>
  <c r="C3344" i="45" s="1"/>
  <c r="B3326" i="45"/>
  <c r="B3329" i="45" s="1"/>
  <c r="B3332" i="45" s="1"/>
  <c r="B3335" i="45" s="1"/>
  <c r="B3338" i="45" s="1"/>
  <c r="B3341" i="45" s="1"/>
  <c r="A3326" i="45"/>
  <c r="A3329" i="45" s="1"/>
  <c r="A3332" i="45" s="1"/>
  <c r="A3335" i="45" s="1"/>
  <c r="G3325" i="45"/>
  <c r="G3326" i="45" s="1"/>
  <c r="G3327" i="45" s="1"/>
  <c r="G3328" i="45" s="1"/>
  <c r="G3329" i="45" s="1"/>
  <c r="F3321" i="45"/>
  <c r="F3322" i="45" s="1"/>
  <c r="F3323" i="45" s="1"/>
  <c r="F3324" i="45" s="1"/>
  <c r="F3316" i="45"/>
  <c r="F3317" i="45" s="1"/>
  <c r="F3318" i="45" s="1"/>
  <c r="F3319" i="45" s="1"/>
  <c r="F3311" i="45"/>
  <c r="F3314" i="45" s="1"/>
  <c r="A3309" i="45"/>
  <c r="A3312" i="45" s="1"/>
  <c r="A3315" i="45" s="1"/>
  <c r="A3307" i="45"/>
  <c r="A3310" i="45" s="1"/>
  <c r="F3306" i="45"/>
  <c r="F3309" i="45" s="1"/>
  <c r="E3306" i="45"/>
  <c r="D3306" i="45"/>
  <c r="D3309" i="45" s="1"/>
  <c r="D3312" i="45" s="1"/>
  <c r="D3315" i="45" s="1"/>
  <c r="D3318" i="45" s="1"/>
  <c r="D3321" i="45" s="1"/>
  <c r="C3306" i="45"/>
  <c r="C3307" i="45" s="1"/>
  <c r="C3308" i="45" s="1"/>
  <c r="C3309" i="45" s="1"/>
  <c r="C3310" i="45" s="1"/>
  <c r="C3311" i="45" s="1"/>
  <c r="C3312" i="45" s="1"/>
  <c r="C3313" i="45" s="1"/>
  <c r="C3314" i="45" s="1"/>
  <c r="C3315" i="45" s="1"/>
  <c r="C3316" i="45" s="1"/>
  <c r="C3317" i="45" s="1"/>
  <c r="C3318" i="45" s="1"/>
  <c r="C3319" i="45" s="1"/>
  <c r="C3320" i="45" s="1"/>
  <c r="C3321" i="45" s="1"/>
  <c r="C3322" i="45" s="1"/>
  <c r="C3323" i="45" s="1"/>
  <c r="C3324" i="45" s="1"/>
  <c r="B3306" i="45"/>
  <c r="G3305" i="45"/>
  <c r="G3306" i="45" s="1"/>
  <c r="G3307" i="45" s="1"/>
  <c r="G3308" i="45" s="1"/>
  <c r="G3309" i="45" s="1"/>
  <c r="F3301" i="45"/>
  <c r="F3302" i="45" s="1"/>
  <c r="F3303" i="45" s="1"/>
  <c r="F3304" i="45" s="1"/>
  <c r="F3296" i="45"/>
  <c r="F3297" i="45" s="1"/>
  <c r="F3298" i="45" s="1"/>
  <c r="F3299" i="45" s="1"/>
  <c r="F3291" i="45"/>
  <c r="F3294" i="45" s="1"/>
  <c r="F3286" i="45"/>
  <c r="F3289" i="45" s="1"/>
  <c r="E3286" i="45"/>
  <c r="D3286" i="45"/>
  <c r="D3287" i="45" s="1"/>
  <c r="D3290" i="45" s="1"/>
  <c r="D3293" i="45" s="1"/>
  <c r="D3296" i="45" s="1"/>
  <c r="D3299" i="45" s="1"/>
  <c r="B3286" i="45"/>
  <c r="B3289" i="45" s="1"/>
  <c r="B3292" i="45" s="1"/>
  <c r="B3295" i="45" s="1"/>
  <c r="B3298" i="45" s="1"/>
  <c r="B3301" i="45" s="1"/>
  <c r="A3286" i="45"/>
  <c r="A3289" i="45" s="1"/>
  <c r="A3292" i="45" s="1"/>
  <c r="A3295" i="45" s="1"/>
  <c r="G3285" i="45"/>
  <c r="G3286" i="45" s="1"/>
  <c r="G3287" i="45" s="1"/>
  <c r="G3288" i="45" s="1"/>
  <c r="G3289" i="45" s="1"/>
  <c r="C3285" i="45"/>
  <c r="M3285" i="45" s="1"/>
  <c r="F3281" i="45"/>
  <c r="F3282" i="45" s="1"/>
  <c r="F3283" i="45" s="1"/>
  <c r="F3284" i="45" s="1"/>
  <c r="F3276" i="45"/>
  <c r="F3277" i="45" s="1"/>
  <c r="F3278" i="45" s="1"/>
  <c r="F3279" i="45" s="1"/>
  <c r="F3271" i="45"/>
  <c r="F3274" i="45" s="1"/>
  <c r="F3266" i="45"/>
  <c r="F3269" i="45" s="1"/>
  <c r="E3266" i="45"/>
  <c r="D3266" i="45"/>
  <c r="D3267" i="45" s="1"/>
  <c r="D3270" i="45" s="1"/>
  <c r="D3273" i="45" s="1"/>
  <c r="D3276" i="45" s="1"/>
  <c r="D3279" i="45" s="1"/>
  <c r="B3266" i="45"/>
  <c r="B3269" i="45" s="1"/>
  <c r="B3272" i="45" s="1"/>
  <c r="B3275" i="45" s="1"/>
  <c r="B3278" i="45" s="1"/>
  <c r="B3281" i="45" s="1"/>
  <c r="A3266" i="45"/>
  <c r="A3269" i="45" s="1"/>
  <c r="A3272" i="45" s="1"/>
  <c r="A3275" i="45" s="1"/>
  <c r="G3265" i="45"/>
  <c r="G3266" i="45" s="1"/>
  <c r="G3267" i="45" s="1"/>
  <c r="G3268" i="45" s="1"/>
  <c r="G3269" i="45" s="1"/>
  <c r="C3265" i="45"/>
  <c r="M3265" i="45" s="1"/>
  <c r="F3261" i="45"/>
  <c r="F3262" i="45" s="1"/>
  <c r="F3263" i="45" s="1"/>
  <c r="F3264" i="45" s="1"/>
  <c r="F3256" i="45"/>
  <c r="F3257" i="45" s="1"/>
  <c r="F3258" i="45" s="1"/>
  <c r="F3259" i="45" s="1"/>
  <c r="F3251" i="45"/>
  <c r="F3254" i="45" s="1"/>
  <c r="F3246" i="45"/>
  <c r="F3249" i="45" s="1"/>
  <c r="E3246" i="45"/>
  <c r="D3246" i="45"/>
  <c r="D3247" i="45" s="1"/>
  <c r="D3250" i="45" s="1"/>
  <c r="D3253" i="45" s="1"/>
  <c r="D3256" i="45" s="1"/>
  <c r="D3259" i="45" s="1"/>
  <c r="B3246" i="45"/>
  <c r="B3249" i="45" s="1"/>
  <c r="B3252" i="45" s="1"/>
  <c r="B3255" i="45" s="1"/>
  <c r="B3258" i="45" s="1"/>
  <c r="B3261" i="45" s="1"/>
  <c r="A3246" i="45"/>
  <c r="A3249" i="45" s="1"/>
  <c r="A3252" i="45" s="1"/>
  <c r="A3255" i="45" s="1"/>
  <c r="G3245" i="45"/>
  <c r="G3246" i="45" s="1"/>
  <c r="G3247" i="45" s="1"/>
  <c r="G3248" i="45" s="1"/>
  <c r="G3249" i="45" s="1"/>
  <c r="C3245" i="45"/>
  <c r="M3245" i="45" s="1"/>
  <c r="F3241" i="45"/>
  <c r="F3242" i="45" s="1"/>
  <c r="F3243" i="45" s="1"/>
  <c r="F3244" i="45" s="1"/>
  <c r="F3236" i="45"/>
  <c r="F3237" i="45" s="1"/>
  <c r="F3238" i="45" s="1"/>
  <c r="F3239" i="45" s="1"/>
  <c r="F3231" i="45"/>
  <c r="F3234" i="45" s="1"/>
  <c r="F3226" i="45"/>
  <c r="E3226" i="45"/>
  <c r="D3226" i="45"/>
  <c r="C3226" i="45"/>
  <c r="C3227" i="45" s="1"/>
  <c r="C3228" i="45" s="1"/>
  <c r="C3229" i="45" s="1"/>
  <c r="C3230" i="45" s="1"/>
  <c r="C3231" i="45" s="1"/>
  <c r="C3232" i="45" s="1"/>
  <c r="B3226" i="45"/>
  <c r="A3226" i="45"/>
  <c r="A3227" i="45" s="1"/>
  <c r="G3225" i="45"/>
  <c r="G3226" i="45" s="1"/>
  <c r="G3227" i="45" s="1"/>
  <c r="G3228" i="45" s="1"/>
  <c r="G3229" i="45" s="1"/>
  <c r="F3221" i="45"/>
  <c r="F3222" i="45" s="1"/>
  <c r="F3223" i="45" s="1"/>
  <c r="F3224" i="45" s="1"/>
  <c r="F3216" i="45"/>
  <c r="F3217" i="45" s="1"/>
  <c r="F3218" i="45" s="1"/>
  <c r="F3219" i="45" s="1"/>
  <c r="F3211" i="45"/>
  <c r="F3206" i="45"/>
  <c r="F3209" i="45" s="1"/>
  <c r="E3206" i="45"/>
  <c r="D3206" i="45"/>
  <c r="D3207" i="45" s="1"/>
  <c r="D3210" i="45" s="1"/>
  <c r="D3213" i="45" s="1"/>
  <c r="D3216" i="45" s="1"/>
  <c r="D3219" i="45" s="1"/>
  <c r="C3206" i="45"/>
  <c r="C3207" i="45" s="1"/>
  <c r="C3208" i="45" s="1"/>
  <c r="C3209" i="45" s="1"/>
  <c r="C3210" i="45" s="1"/>
  <c r="C3211" i="45" s="1"/>
  <c r="C3212" i="45" s="1"/>
  <c r="C3213" i="45" s="1"/>
  <c r="C3214" i="45" s="1"/>
  <c r="C3215" i="45" s="1"/>
  <c r="C3216" i="45" s="1"/>
  <c r="C3217" i="45" s="1"/>
  <c r="C3218" i="45" s="1"/>
  <c r="C3219" i="45" s="1"/>
  <c r="C3220" i="45" s="1"/>
  <c r="C3221" i="45" s="1"/>
  <c r="C3222" i="45" s="1"/>
  <c r="C3223" i="45" s="1"/>
  <c r="C3224" i="45" s="1"/>
  <c r="B3206" i="45"/>
  <c r="B3209" i="45" s="1"/>
  <c r="B3212" i="45" s="1"/>
  <c r="B3215" i="45" s="1"/>
  <c r="B3218" i="45" s="1"/>
  <c r="B3221" i="45" s="1"/>
  <c r="A3206" i="45"/>
  <c r="A3209" i="45" s="1"/>
  <c r="A3212" i="45" s="1"/>
  <c r="A3215" i="45" s="1"/>
  <c r="G3205" i="45"/>
  <c r="G3206" i="45" s="1"/>
  <c r="G3207" i="45" s="1"/>
  <c r="G3208" i="45" s="1"/>
  <c r="G3209" i="45" s="1"/>
  <c r="F3201" i="45"/>
  <c r="F3202" i="45" s="1"/>
  <c r="F3203" i="45" s="1"/>
  <c r="F3204" i="45" s="1"/>
  <c r="F3196" i="45"/>
  <c r="F3197" i="45" s="1"/>
  <c r="F3198" i="45" s="1"/>
  <c r="F3199" i="45" s="1"/>
  <c r="F3191" i="45"/>
  <c r="F3194" i="45" s="1"/>
  <c r="F3186" i="45"/>
  <c r="E3186" i="45"/>
  <c r="D3186" i="45"/>
  <c r="C3186" i="45"/>
  <c r="C3187" i="45" s="1"/>
  <c r="C3188" i="45" s="1"/>
  <c r="C3189" i="45" s="1"/>
  <c r="C3190" i="45" s="1"/>
  <c r="C3191" i="45" s="1"/>
  <c r="C3192" i="45" s="1"/>
  <c r="C3193" i="45" s="1"/>
  <c r="C3194" i="45" s="1"/>
  <c r="C3195" i="45" s="1"/>
  <c r="C3196" i="45" s="1"/>
  <c r="C3197" i="45" s="1"/>
  <c r="C3198" i="45" s="1"/>
  <c r="C3199" i="45" s="1"/>
  <c r="C3200" i="45" s="1"/>
  <c r="C3201" i="45" s="1"/>
  <c r="C3202" i="45" s="1"/>
  <c r="C3203" i="45" s="1"/>
  <c r="C3204" i="45" s="1"/>
  <c r="B3186" i="45"/>
  <c r="A3186" i="45"/>
  <c r="A3189" i="45" s="1"/>
  <c r="A3192" i="45" s="1"/>
  <c r="A3195" i="45" s="1"/>
  <c r="G3185" i="45"/>
  <c r="G3186" i="45" s="1"/>
  <c r="G3187" i="45" s="1"/>
  <c r="G3188" i="45" s="1"/>
  <c r="G3189" i="45" s="1"/>
  <c r="F3181" i="45"/>
  <c r="F3182" i="45" s="1"/>
  <c r="F3183" i="45" s="1"/>
  <c r="F3184" i="45" s="1"/>
  <c r="F3176" i="45"/>
  <c r="F3177" i="45" s="1"/>
  <c r="F3178" i="45" s="1"/>
  <c r="F3179" i="45" s="1"/>
  <c r="F3171" i="45"/>
  <c r="F3174" i="45" s="1"/>
  <c r="F3166" i="45"/>
  <c r="F3169" i="45" s="1"/>
  <c r="E3166" i="45"/>
  <c r="D3166" i="45"/>
  <c r="D3169" i="45" s="1"/>
  <c r="D3172" i="45" s="1"/>
  <c r="D3175" i="45" s="1"/>
  <c r="D3178" i="45" s="1"/>
  <c r="D3181" i="45" s="1"/>
  <c r="C3166" i="45"/>
  <c r="C3167" i="45" s="1"/>
  <c r="C3168" i="45" s="1"/>
  <c r="C3169" i="45" s="1"/>
  <c r="C3170" i="45" s="1"/>
  <c r="C3171" i="45" s="1"/>
  <c r="C3172" i="45" s="1"/>
  <c r="C3173" i="45" s="1"/>
  <c r="C3174" i="45" s="1"/>
  <c r="C3175" i="45" s="1"/>
  <c r="C3176" i="45" s="1"/>
  <c r="C3177" i="45" s="1"/>
  <c r="C3178" i="45" s="1"/>
  <c r="C3179" i="45" s="1"/>
  <c r="C3180" i="45" s="1"/>
  <c r="C3181" i="45" s="1"/>
  <c r="C3182" i="45" s="1"/>
  <c r="C3183" i="45" s="1"/>
  <c r="C3184" i="45" s="1"/>
  <c r="B3166" i="45"/>
  <c r="B3169" i="45" s="1"/>
  <c r="B3172" i="45" s="1"/>
  <c r="B3175" i="45" s="1"/>
  <c r="B3178" i="45" s="1"/>
  <c r="B3181" i="45" s="1"/>
  <c r="A3166" i="45"/>
  <c r="A3169" i="45" s="1"/>
  <c r="A3172" i="45" s="1"/>
  <c r="A3175" i="45" s="1"/>
  <c r="G3165" i="45"/>
  <c r="G3166" i="45" s="1"/>
  <c r="G3167" i="45" s="1"/>
  <c r="G3168" i="45" s="1"/>
  <c r="G3169" i="45" s="1"/>
  <c r="F3161" i="45"/>
  <c r="F3162" i="45" s="1"/>
  <c r="F3163" i="45" s="1"/>
  <c r="F3164" i="45" s="1"/>
  <c r="F3156" i="45"/>
  <c r="F3157" i="45" s="1"/>
  <c r="F3158" i="45" s="1"/>
  <c r="F3159" i="45" s="1"/>
  <c r="F3151" i="45"/>
  <c r="F3154" i="45" s="1"/>
  <c r="F3146" i="45"/>
  <c r="F3147" i="45" s="1"/>
  <c r="F3148" i="45" s="1"/>
  <c r="E3146" i="45"/>
  <c r="D3146" i="45"/>
  <c r="D3149" i="45" s="1"/>
  <c r="D3152" i="45" s="1"/>
  <c r="D3155" i="45" s="1"/>
  <c r="D3158" i="45" s="1"/>
  <c r="D3161" i="45" s="1"/>
  <c r="C3146" i="45"/>
  <c r="C3147" i="45" s="1"/>
  <c r="C3148" i="45" s="1"/>
  <c r="C3149" i="45" s="1"/>
  <c r="C3150" i="45" s="1"/>
  <c r="C3151" i="45" s="1"/>
  <c r="C3152" i="45" s="1"/>
  <c r="C3153" i="45" s="1"/>
  <c r="C3154" i="45" s="1"/>
  <c r="C3155" i="45" s="1"/>
  <c r="C3156" i="45" s="1"/>
  <c r="C3157" i="45" s="1"/>
  <c r="C3158" i="45" s="1"/>
  <c r="C3159" i="45" s="1"/>
  <c r="C3160" i="45" s="1"/>
  <c r="C3161" i="45" s="1"/>
  <c r="C3162" i="45" s="1"/>
  <c r="C3163" i="45" s="1"/>
  <c r="C3164" i="45" s="1"/>
  <c r="B3146" i="45"/>
  <c r="B3147" i="45" s="1"/>
  <c r="B3150" i="45" s="1"/>
  <c r="B3153" i="45" s="1"/>
  <c r="B3156" i="45" s="1"/>
  <c r="B3159" i="45" s="1"/>
  <c r="A3146" i="45"/>
  <c r="A3149" i="45" s="1"/>
  <c r="A3152" i="45" s="1"/>
  <c r="A3155" i="45" s="1"/>
  <c r="G3145" i="45"/>
  <c r="G3146" i="45" s="1"/>
  <c r="G3147" i="45" s="1"/>
  <c r="G3148" i="45" s="1"/>
  <c r="G3149" i="45" s="1"/>
  <c r="F3141" i="45"/>
  <c r="F3142" i="45" s="1"/>
  <c r="F3143" i="45" s="1"/>
  <c r="F3144" i="45" s="1"/>
  <c r="F3136" i="45"/>
  <c r="F3137" i="45" s="1"/>
  <c r="F3138" i="45" s="1"/>
  <c r="F3139" i="45" s="1"/>
  <c r="F3131" i="45"/>
  <c r="F3132" i="45" s="1"/>
  <c r="F3133" i="45" s="1"/>
  <c r="A3129" i="45"/>
  <c r="A3132" i="45" s="1"/>
  <c r="A3135" i="45" s="1"/>
  <c r="A3127" i="45"/>
  <c r="F3126" i="45"/>
  <c r="E3126" i="45"/>
  <c r="D3126" i="45"/>
  <c r="C3126" i="45"/>
  <c r="C3127" i="45" s="1"/>
  <c r="C3128" i="45" s="1"/>
  <c r="C3129" i="45" s="1"/>
  <c r="C3130" i="45" s="1"/>
  <c r="C3131" i="45" s="1"/>
  <c r="C3132" i="45" s="1"/>
  <c r="C3133" i="45" s="1"/>
  <c r="C3134" i="45" s="1"/>
  <c r="C3135" i="45" s="1"/>
  <c r="C3136" i="45" s="1"/>
  <c r="C3137" i="45" s="1"/>
  <c r="C3138" i="45" s="1"/>
  <c r="C3139" i="45" s="1"/>
  <c r="C3140" i="45" s="1"/>
  <c r="C3141" i="45" s="1"/>
  <c r="C3142" i="45" s="1"/>
  <c r="C3143" i="45" s="1"/>
  <c r="C3144" i="45" s="1"/>
  <c r="B3126" i="45"/>
  <c r="G3125" i="45"/>
  <c r="G3126" i="45" s="1"/>
  <c r="G3127" i="45" s="1"/>
  <c r="G3128" i="45" s="1"/>
  <c r="G3129" i="45" s="1"/>
  <c r="F3121" i="45"/>
  <c r="F3122" i="45" s="1"/>
  <c r="F3123" i="45" s="1"/>
  <c r="F3124" i="45" s="1"/>
  <c r="F3116" i="45"/>
  <c r="F3117" i="45" s="1"/>
  <c r="F3118" i="45" s="1"/>
  <c r="F3119" i="45" s="1"/>
  <c r="F3111" i="45"/>
  <c r="F3114" i="45" s="1"/>
  <c r="F3106" i="45"/>
  <c r="F3107" i="45" s="1"/>
  <c r="F3108" i="45" s="1"/>
  <c r="E3106" i="45"/>
  <c r="D3106" i="45"/>
  <c r="D3109" i="45" s="1"/>
  <c r="D3112" i="45" s="1"/>
  <c r="D3115" i="45" s="1"/>
  <c r="D3118" i="45" s="1"/>
  <c r="D3121" i="45" s="1"/>
  <c r="B3106" i="45"/>
  <c r="B3107" i="45" s="1"/>
  <c r="B3110" i="45" s="1"/>
  <c r="B3113" i="45" s="1"/>
  <c r="B3116" i="45" s="1"/>
  <c r="B3119" i="45" s="1"/>
  <c r="A3106" i="45"/>
  <c r="A3109" i="45" s="1"/>
  <c r="A3112" i="45" s="1"/>
  <c r="A3115" i="45" s="1"/>
  <c r="G3105" i="45"/>
  <c r="G3106" i="45" s="1"/>
  <c r="G3107" i="45" s="1"/>
  <c r="G3108" i="45" s="1"/>
  <c r="G3109" i="45" s="1"/>
  <c r="C3105" i="45"/>
  <c r="M3105" i="45" s="1"/>
  <c r="F3101" i="45"/>
  <c r="F3102" i="45" s="1"/>
  <c r="F3103" i="45" s="1"/>
  <c r="F3104" i="45" s="1"/>
  <c r="F3096" i="45"/>
  <c r="F3097" i="45" s="1"/>
  <c r="F3098" i="45" s="1"/>
  <c r="F3099" i="45" s="1"/>
  <c r="F3091" i="45"/>
  <c r="F3094" i="45" s="1"/>
  <c r="F3086" i="45"/>
  <c r="F3087" i="45" s="1"/>
  <c r="F3088" i="45" s="1"/>
  <c r="E3086" i="45"/>
  <c r="D3086" i="45"/>
  <c r="D3089" i="45" s="1"/>
  <c r="D3092" i="45" s="1"/>
  <c r="D3095" i="45" s="1"/>
  <c r="D3098" i="45" s="1"/>
  <c r="D3101" i="45" s="1"/>
  <c r="B3086" i="45"/>
  <c r="B3087" i="45" s="1"/>
  <c r="B3090" i="45" s="1"/>
  <c r="B3093" i="45" s="1"/>
  <c r="B3096" i="45" s="1"/>
  <c r="B3099" i="45" s="1"/>
  <c r="A3086" i="45"/>
  <c r="A3089" i="45" s="1"/>
  <c r="A3092" i="45" s="1"/>
  <c r="A3095" i="45" s="1"/>
  <c r="G3085" i="45"/>
  <c r="G3086" i="45" s="1"/>
  <c r="G3087" i="45" s="1"/>
  <c r="G3088" i="45" s="1"/>
  <c r="G3089" i="45" s="1"/>
  <c r="C3085" i="45"/>
  <c r="M3085" i="45" s="1"/>
  <c r="F3081" i="45"/>
  <c r="F3082" i="45" s="1"/>
  <c r="F3083" i="45" s="1"/>
  <c r="F3084" i="45" s="1"/>
  <c r="F3076" i="45"/>
  <c r="F3077" i="45" s="1"/>
  <c r="F3078" i="45" s="1"/>
  <c r="F3079" i="45" s="1"/>
  <c r="F3071" i="45"/>
  <c r="F3074" i="45" s="1"/>
  <c r="F3066" i="45"/>
  <c r="F3067" i="45" s="1"/>
  <c r="F3068" i="45" s="1"/>
  <c r="E3066" i="45"/>
  <c r="D3066" i="45"/>
  <c r="D3069" i="45" s="1"/>
  <c r="D3072" i="45" s="1"/>
  <c r="D3075" i="45" s="1"/>
  <c r="D3078" i="45" s="1"/>
  <c r="D3081" i="45" s="1"/>
  <c r="B3066" i="45"/>
  <c r="B3067" i="45" s="1"/>
  <c r="B3070" i="45" s="1"/>
  <c r="B3073" i="45" s="1"/>
  <c r="B3076" i="45" s="1"/>
  <c r="B3079" i="45" s="1"/>
  <c r="A3066" i="45"/>
  <c r="A3069" i="45" s="1"/>
  <c r="A3072" i="45" s="1"/>
  <c r="A3075" i="45" s="1"/>
  <c r="G3065" i="45"/>
  <c r="G3066" i="45" s="1"/>
  <c r="G3067" i="45" s="1"/>
  <c r="G3068" i="45" s="1"/>
  <c r="G3069" i="45" s="1"/>
  <c r="C3065" i="45"/>
  <c r="M3065" i="45" s="1"/>
  <c r="Z553" i="1"/>
  <c r="P553" i="1"/>
  <c r="AK553" i="1" s="1"/>
  <c r="AD553" i="1" s="1"/>
  <c r="AA553" i="1"/>
  <c r="F3061" i="45"/>
  <c r="F3062" i="45" s="1"/>
  <c r="F3063" i="45" s="1"/>
  <c r="F3064" i="45" s="1"/>
  <c r="F3056" i="45"/>
  <c r="F3057" i="45" s="1"/>
  <c r="F3058" i="45" s="1"/>
  <c r="F3059" i="45" s="1"/>
  <c r="F3051" i="45"/>
  <c r="F3054" i="45" s="1"/>
  <c r="F3046" i="45"/>
  <c r="E3046" i="45"/>
  <c r="D3046" i="45"/>
  <c r="C3046" i="45"/>
  <c r="C3047" i="45" s="1"/>
  <c r="C3048" i="45" s="1"/>
  <c r="C3049" i="45" s="1"/>
  <c r="C3050" i="45" s="1"/>
  <c r="C3051" i="45" s="1"/>
  <c r="C3052" i="45" s="1"/>
  <c r="B3046" i="45"/>
  <c r="A3046" i="45"/>
  <c r="A3049" i="45" s="1"/>
  <c r="A3052" i="45" s="1"/>
  <c r="A3055" i="45" s="1"/>
  <c r="G3045" i="45"/>
  <c r="G3046" i="45" s="1"/>
  <c r="G3047" i="45" s="1"/>
  <c r="G3048" i="45" s="1"/>
  <c r="G3049" i="45" s="1"/>
  <c r="F3041" i="45"/>
  <c r="F3042" i="45" s="1"/>
  <c r="F3043" i="45" s="1"/>
  <c r="F3044" i="45" s="1"/>
  <c r="F3036" i="45"/>
  <c r="F3037" i="45" s="1"/>
  <c r="F3038" i="45" s="1"/>
  <c r="F3039" i="45" s="1"/>
  <c r="F3031" i="45"/>
  <c r="F3026" i="45"/>
  <c r="F3029" i="45" s="1"/>
  <c r="E3026" i="45"/>
  <c r="D3026" i="45"/>
  <c r="D3027" i="45" s="1"/>
  <c r="D3030" i="45" s="1"/>
  <c r="D3033" i="45" s="1"/>
  <c r="D3036" i="45" s="1"/>
  <c r="D3039" i="45" s="1"/>
  <c r="C3026" i="45"/>
  <c r="C3027" i="45" s="1"/>
  <c r="C3028" i="45" s="1"/>
  <c r="C3029" i="45" s="1"/>
  <c r="C3030" i="45" s="1"/>
  <c r="C3031" i="45" s="1"/>
  <c r="C3032" i="45" s="1"/>
  <c r="C3033" i="45" s="1"/>
  <c r="C3034" i="45" s="1"/>
  <c r="C3035" i="45" s="1"/>
  <c r="C3036" i="45" s="1"/>
  <c r="C3037" i="45" s="1"/>
  <c r="C3038" i="45" s="1"/>
  <c r="C3039" i="45" s="1"/>
  <c r="C3040" i="45" s="1"/>
  <c r="C3041" i="45" s="1"/>
  <c r="C3042" i="45" s="1"/>
  <c r="C3043" i="45" s="1"/>
  <c r="C3044" i="45" s="1"/>
  <c r="B3026" i="45"/>
  <c r="B3029" i="45" s="1"/>
  <c r="B3032" i="45" s="1"/>
  <c r="B3035" i="45" s="1"/>
  <c r="B3038" i="45" s="1"/>
  <c r="B3041" i="45" s="1"/>
  <c r="A3026" i="45"/>
  <c r="A3029" i="45" s="1"/>
  <c r="A3032" i="45" s="1"/>
  <c r="A3035" i="45" s="1"/>
  <c r="G3025" i="45"/>
  <c r="G3026" i="45" s="1"/>
  <c r="G3027" i="45" s="1"/>
  <c r="G3028" i="45" s="1"/>
  <c r="G3029" i="45" s="1"/>
  <c r="F3021" i="45"/>
  <c r="F3022" i="45" s="1"/>
  <c r="F3023" i="45" s="1"/>
  <c r="F3024" i="45" s="1"/>
  <c r="F3016" i="45"/>
  <c r="F3017" i="45" s="1"/>
  <c r="F3018" i="45" s="1"/>
  <c r="F3019" i="45" s="1"/>
  <c r="F3011" i="45"/>
  <c r="F3014" i="45" s="1"/>
  <c r="F3006" i="45"/>
  <c r="F3009" i="45" s="1"/>
  <c r="E3006" i="45"/>
  <c r="D3006" i="45"/>
  <c r="D3009" i="45" s="1"/>
  <c r="D3012" i="45" s="1"/>
  <c r="D3015" i="45" s="1"/>
  <c r="D3018" i="45" s="1"/>
  <c r="D3021" i="45" s="1"/>
  <c r="C3006" i="45"/>
  <c r="C3007" i="45" s="1"/>
  <c r="C3008" i="45" s="1"/>
  <c r="C3009" i="45" s="1"/>
  <c r="C3010" i="45" s="1"/>
  <c r="C3011" i="45" s="1"/>
  <c r="C3012" i="45" s="1"/>
  <c r="C3013" i="45" s="1"/>
  <c r="C3014" i="45" s="1"/>
  <c r="C3015" i="45" s="1"/>
  <c r="C3016" i="45" s="1"/>
  <c r="C3017" i="45" s="1"/>
  <c r="C3018" i="45" s="1"/>
  <c r="C3019" i="45" s="1"/>
  <c r="C3020" i="45" s="1"/>
  <c r="C3021" i="45" s="1"/>
  <c r="C3022" i="45" s="1"/>
  <c r="C3023" i="45" s="1"/>
  <c r="C3024" i="45" s="1"/>
  <c r="B3006" i="45"/>
  <c r="B3009" i="45" s="1"/>
  <c r="B3012" i="45" s="1"/>
  <c r="B3015" i="45" s="1"/>
  <c r="B3018" i="45" s="1"/>
  <c r="B3021" i="45" s="1"/>
  <c r="A3006" i="45"/>
  <c r="A3009" i="45" s="1"/>
  <c r="A3012" i="45" s="1"/>
  <c r="A3015" i="45" s="1"/>
  <c r="G3005" i="45"/>
  <c r="G3006" i="45" s="1"/>
  <c r="G3007" i="45" s="1"/>
  <c r="G3008" i="45" s="1"/>
  <c r="G3009" i="45" s="1"/>
  <c r="F3001" i="45"/>
  <c r="F3002" i="45" s="1"/>
  <c r="F3003" i="45" s="1"/>
  <c r="F3004" i="45" s="1"/>
  <c r="F2996" i="45"/>
  <c r="F2997" i="45" s="1"/>
  <c r="F2998" i="45" s="1"/>
  <c r="F2999" i="45" s="1"/>
  <c r="F2991" i="45"/>
  <c r="F2986" i="45"/>
  <c r="F2989" i="45" s="1"/>
  <c r="E2986" i="45"/>
  <c r="D2986" i="45"/>
  <c r="D2989" i="45" s="1"/>
  <c r="D2992" i="45" s="1"/>
  <c r="D2995" i="45" s="1"/>
  <c r="D2998" i="45" s="1"/>
  <c r="D3001" i="45" s="1"/>
  <c r="C2986" i="45"/>
  <c r="C2987" i="45" s="1"/>
  <c r="C2988" i="45" s="1"/>
  <c r="C2989" i="45" s="1"/>
  <c r="C2990" i="45" s="1"/>
  <c r="C2991" i="45" s="1"/>
  <c r="C2992" i="45" s="1"/>
  <c r="C2993" i="45" s="1"/>
  <c r="C2994" i="45" s="1"/>
  <c r="C2995" i="45" s="1"/>
  <c r="C2996" i="45" s="1"/>
  <c r="C2997" i="45" s="1"/>
  <c r="C2998" i="45" s="1"/>
  <c r="C2999" i="45" s="1"/>
  <c r="C3000" i="45" s="1"/>
  <c r="C3001" i="45" s="1"/>
  <c r="C3002" i="45" s="1"/>
  <c r="C3003" i="45" s="1"/>
  <c r="C3004" i="45" s="1"/>
  <c r="B2986" i="45"/>
  <c r="B2989" i="45" s="1"/>
  <c r="B2992" i="45" s="1"/>
  <c r="B2995" i="45" s="1"/>
  <c r="B2998" i="45" s="1"/>
  <c r="B3001" i="45" s="1"/>
  <c r="A2986" i="45"/>
  <c r="A2989" i="45" s="1"/>
  <c r="A2992" i="45" s="1"/>
  <c r="A2995" i="45" s="1"/>
  <c r="G2985" i="45"/>
  <c r="G2986" i="45" s="1"/>
  <c r="G2987" i="45" s="1"/>
  <c r="G2988" i="45" s="1"/>
  <c r="G2989" i="45" s="1"/>
  <c r="F2981" i="45"/>
  <c r="F2982" i="45" s="1"/>
  <c r="F2983" i="45" s="1"/>
  <c r="F2984" i="45" s="1"/>
  <c r="F2976" i="45"/>
  <c r="F2977" i="45" s="1"/>
  <c r="F2978" i="45" s="1"/>
  <c r="F2979" i="45" s="1"/>
  <c r="F2971" i="45"/>
  <c r="F2974" i="45" s="1"/>
  <c r="F2966" i="45"/>
  <c r="F2969" i="45" s="1"/>
  <c r="E2966" i="45"/>
  <c r="D2966" i="45"/>
  <c r="D2969" i="45" s="1"/>
  <c r="D2972" i="45" s="1"/>
  <c r="D2975" i="45" s="1"/>
  <c r="D2978" i="45" s="1"/>
  <c r="D2981" i="45" s="1"/>
  <c r="C2966" i="45"/>
  <c r="C2967" i="45" s="1"/>
  <c r="C2968" i="45" s="1"/>
  <c r="C2969" i="45" s="1"/>
  <c r="C2970" i="45" s="1"/>
  <c r="C2971" i="45" s="1"/>
  <c r="C2972" i="45" s="1"/>
  <c r="C2973" i="45" s="1"/>
  <c r="C2974" i="45" s="1"/>
  <c r="C2975" i="45" s="1"/>
  <c r="C2976" i="45" s="1"/>
  <c r="C2977" i="45" s="1"/>
  <c r="C2978" i="45" s="1"/>
  <c r="C2979" i="45" s="1"/>
  <c r="C2980" i="45" s="1"/>
  <c r="C2981" i="45" s="1"/>
  <c r="C2982" i="45" s="1"/>
  <c r="C2983" i="45" s="1"/>
  <c r="C2984" i="45" s="1"/>
  <c r="B2966" i="45"/>
  <c r="B2969" i="45" s="1"/>
  <c r="B2972" i="45" s="1"/>
  <c r="B2975" i="45" s="1"/>
  <c r="B2978" i="45" s="1"/>
  <c r="B2981" i="45" s="1"/>
  <c r="A2966" i="45"/>
  <c r="A2969" i="45" s="1"/>
  <c r="A2972" i="45" s="1"/>
  <c r="A2975" i="45" s="1"/>
  <c r="G2965" i="45"/>
  <c r="G2966" i="45" s="1"/>
  <c r="G2967" i="45" s="1"/>
  <c r="G2968" i="45" s="1"/>
  <c r="G2969" i="45" s="1"/>
  <c r="F2961" i="45"/>
  <c r="F2962" i="45" s="1"/>
  <c r="F2963" i="45" s="1"/>
  <c r="F2964" i="45" s="1"/>
  <c r="F2956" i="45"/>
  <c r="F2957" i="45" s="1"/>
  <c r="F2958" i="45" s="1"/>
  <c r="F2959" i="45" s="1"/>
  <c r="F2951" i="45"/>
  <c r="F2954" i="45" s="1"/>
  <c r="A2949" i="45"/>
  <c r="A2952" i="45" s="1"/>
  <c r="A2955" i="45" s="1"/>
  <c r="A2947" i="45"/>
  <c r="F2946" i="45"/>
  <c r="E2946" i="45"/>
  <c r="D2946" i="45"/>
  <c r="C2946" i="45"/>
  <c r="C2947" i="45" s="1"/>
  <c r="C2948" i="45" s="1"/>
  <c r="C2949" i="45" s="1"/>
  <c r="C2950" i="45" s="1"/>
  <c r="C2951" i="45" s="1"/>
  <c r="C2952" i="45" s="1"/>
  <c r="C2953" i="45" s="1"/>
  <c r="C2954" i="45" s="1"/>
  <c r="C2955" i="45" s="1"/>
  <c r="C2956" i="45" s="1"/>
  <c r="C2957" i="45" s="1"/>
  <c r="C2958" i="45" s="1"/>
  <c r="C2959" i="45" s="1"/>
  <c r="C2960" i="45" s="1"/>
  <c r="C2961" i="45" s="1"/>
  <c r="C2962" i="45" s="1"/>
  <c r="C2963" i="45" s="1"/>
  <c r="C2964" i="45" s="1"/>
  <c r="B2946" i="45"/>
  <c r="G2945" i="45"/>
  <c r="G2946" i="45" s="1"/>
  <c r="G2947" i="45" s="1"/>
  <c r="G2948" i="45" s="1"/>
  <c r="G2949" i="45" s="1"/>
  <c r="F2941" i="45"/>
  <c r="F2942" i="45" s="1"/>
  <c r="F2943" i="45" s="1"/>
  <c r="F2944" i="45" s="1"/>
  <c r="F2936" i="45"/>
  <c r="F2937" i="45" s="1"/>
  <c r="F2938" i="45" s="1"/>
  <c r="F2939" i="45" s="1"/>
  <c r="F2931" i="45"/>
  <c r="F2934" i="45" s="1"/>
  <c r="F2926" i="45"/>
  <c r="F2929" i="45" s="1"/>
  <c r="E2926" i="45"/>
  <c r="D2926" i="45"/>
  <c r="D2929" i="45" s="1"/>
  <c r="D2932" i="45" s="1"/>
  <c r="D2935" i="45" s="1"/>
  <c r="D2938" i="45" s="1"/>
  <c r="D2941" i="45" s="1"/>
  <c r="B2926" i="45"/>
  <c r="B2929" i="45" s="1"/>
  <c r="B2932" i="45" s="1"/>
  <c r="B2935" i="45" s="1"/>
  <c r="B2938" i="45" s="1"/>
  <c r="B2941" i="45" s="1"/>
  <c r="A2926" i="45"/>
  <c r="A2927" i="45" s="1"/>
  <c r="A2930" i="45" s="1"/>
  <c r="G2925" i="45"/>
  <c r="G2926" i="45" s="1"/>
  <c r="G2927" i="45" s="1"/>
  <c r="G2928" i="45" s="1"/>
  <c r="G2929" i="45" s="1"/>
  <c r="C2925" i="45"/>
  <c r="M2925" i="45" s="1"/>
  <c r="F2921" i="45"/>
  <c r="F2922" i="45" s="1"/>
  <c r="F2923" i="45" s="1"/>
  <c r="F2924" i="45" s="1"/>
  <c r="F2916" i="45"/>
  <c r="F2917" i="45" s="1"/>
  <c r="F2918" i="45" s="1"/>
  <c r="F2919" i="45" s="1"/>
  <c r="F2911" i="45"/>
  <c r="F2914" i="45" s="1"/>
  <c r="F2906" i="45"/>
  <c r="F2909" i="45" s="1"/>
  <c r="E2906" i="45"/>
  <c r="D2906" i="45"/>
  <c r="D2909" i="45" s="1"/>
  <c r="D2912" i="45" s="1"/>
  <c r="D2915" i="45" s="1"/>
  <c r="D2918" i="45" s="1"/>
  <c r="D2921" i="45" s="1"/>
  <c r="B2906" i="45"/>
  <c r="B2909" i="45" s="1"/>
  <c r="B2912" i="45" s="1"/>
  <c r="B2915" i="45" s="1"/>
  <c r="B2918" i="45" s="1"/>
  <c r="B2921" i="45" s="1"/>
  <c r="A2906" i="45"/>
  <c r="A2909" i="45" s="1"/>
  <c r="A2912" i="45" s="1"/>
  <c r="A2915" i="45" s="1"/>
  <c r="G2905" i="45"/>
  <c r="G2906" i="45" s="1"/>
  <c r="G2907" i="45" s="1"/>
  <c r="G2908" i="45" s="1"/>
  <c r="G2909" i="45" s="1"/>
  <c r="C2905" i="45"/>
  <c r="M2905" i="45" s="1"/>
  <c r="F2901" i="45"/>
  <c r="F2902" i="45" s="1"/>
  <c r="F2903" i="45" s="1"/>
  <c r="F2904" i="45" s="1"/>
  <c r="F2896" i="45"/>
  <c r="F2897" i="45" s="1"/>
  <c r="F2898" i="45" s="1"/>
  <c r="F2899" i="45" s="1"/>
  <c r="F2891" i="45"/>
  <c r="F2894" i="45" s="1"/>
  <c r="F2886" i="45"/>
  <c r="F2889" i="45" s="1"/>
  <c r="E2886" i="45"/>
  <c r="D2886" i="45"/>
  <c r="D2889" i="45" s="1"/>
  <c r="D2892" i="45" s="1"/>
  <c r="D2895" i="45" s="1"/>
  <c r="D2898" i="45" s="1"/>
  <c r="D2901" i="45" s="1"/>
  <c r="B2886" i="45"/>
  <c r="B2889" i="45" s="1"/>
  <c r="B2892" i="45" s="1"/>
  <c r="B2895" i="45" s="1"/>
  <c r="B2898" i="45" s="1"/>
  <c r="B2901" i="45" s="1"/>
  <c r="A2886" i="45"/>
  <c r="A2887" i="45" s="1"/>
  <c r="A2890" i="45" s="1"/>
  <c r="G2885" i="45"/>
  <c r="G2886" i="45" s="1"/>
  <c r="G2887" i="45" s="1"/>
  <c r="G2888" i="45" s="1"/>
  <c r="G2889" i="45" s="1"/>
  <c r="C2885" i="45"/>
  <c r="M2885" i="45" s="1"/>
  <c r="F2881" i="45"/>
  <c r="F2882" i="45" s="1"/>
  <c r="F2883" i="45" s="1"/>
  <c r="F2884" i="45" s="1"/>
  <c r="F2876" i="45"/>
  <c r="F2877" i="45" s="1"/>
  <c r="F2878" i="45" s="1"/>
  <c r="F2879" i="45" s="1"/>
  <c r="F2871" i="45"/>
  <c r="F2874" i="45" s="1"/>
  <c r="F2866" i="45"/>
  <c r="E2866" i="45"/>
  <c r="D2866" i="45"/>
  <c r="C2866" i="45"/>
  <c r="C2867" i="45" s="1"/>
  <c r="C2868" i="45" s="1"/>
  <c r="C2869" i="45" s="1"/>
  <c r="C2870" i="45" s="1"/>
  <c r="C2871" i="45" s="1"/>
  <c r="C2872" i="45" s="1"/>
  <c r="B2866" i="45"/>
  <c r="A2866" i="45"/>
  <c r="A2869" i="45" s="1"/>
  <c r="A2872" i="45" s="1"/>
  <c r="A2875" i="45" s="1"/>
  <c r="G2865" i="45"/>
  <c r="G2866" i="45" s="1"/>
  <c r="G2867" i="45" s="1"/>
  <c r="G2868" i="45" s="1"/>
  <c r="G2869" i="45" s="1"/>
  <c r="F2861" i="45"/>
  <c r="F2862" i="45" s="1"/>
  <c r="F2863" i="45" s="1"/>
  <c r="F2864" i="45" s="1"/>
  <c r="F2856" i="45"/>
  <c r="F2857" i="45" s="1"/>
  <c r="F2858" i="45" s="1"/>
  <c r="F2859" i="45" s="1"/>
  <c r="F2851" i="45"/>
  <c r="F2846" i="45"/>
  <c r="F2849" i="45" s="1"/>
  <c r="E2846" i="45"/>
  <c r="D2846" i="45"/>
  <c r="D2849" i="45" s="1"/>
  <c r="D2852" i="45" s="1"/>
  <c r="D2855" i="45" s="1"/>
  <c r="D2858" i="45" s="1"/>
  <c r="D2861" i="45" s="1"/>
  <c r="C2846" i="45"/>
  <c r="C2847" i="45" s="1"/>
  <c r="C2848" i="45" s="1"/>
  <c r="C2849" i="45" s="1"/>
  <c r="C2850" i="45" s="1"/>
  <c r="C2851" i="45" s="1"/>
  <c r="C2852" i="45" s="1"/>
  <c r="C2853" i="45" s="1"/>
  <c r="C2854" i="45" s="1"/>
  <c r="C2855" i="45" s="1"/>
  <c r="C2856" i="45" s="1"/>
  <c r="C2857" i="45" s="1"/>
  <c r="C2858" i="45" s="1"/>
  <c r="C2859" i="45" s="1"/>
  <c r="C2860" i="45" s="1"/>
  <c r="C2861" i="45" s="1"/>
  <c r="C2862" i="45" s="1"/>
  <c r="C2863" i="45" s="1"/>
  <c r="C2864" i="45" s="1"/>
  <c r="B2846" i="45"/>
  <c r="B2849" i="45" s="1"/>
  <c r="B2852" i="45" s="1"/>
  <c r="B2855" i="45" s="1"/>
  <c r="B2858" i="45" s="1"/>
  <c r="B2861" i="45" s="1"/>
  <c r="A2846" i="45"/>
  <c r="A2849" i="45" s="1"/>
  <c r="A2852" i="45" s="1"/>
  <c r="A2855" i="45" s="1"/>
  <c r="G2845" i="45"/>
  <c r="G2846" i="45" s="1"/>
  <c r="G2847" i="45" s="1"/>
  <c r="G2848" i="45" s="1"/>
  <c r="G2849" i="45" s="1"/>
  <c r="F2841" i="45"/>
  <c r="F2842" i="45" s="1"/>
  <c r="F2843" i="45" s="1"/>
  <c r="F2844" i="45" s="1"/>
  <c r="F2836" i="45"/>
  <c r="F2837" i="45" s="1"/>
  <c r="F2838" i="45" s="1"/>
  <c r="F2839" i="45" s="1"/>
  <c r="F2831" i="45"/>
  <c r="F2834" i="45" s="1"/>
  <c r="F2826" i="45"/>
  <c r="F2829" i="45" s="1"/>
  <c r="E2826" i="45"/>
  <c r="D2826" i="45"/>
  <c r="D2827" i="45" s="1"/>
  <c r="D2830" i="45" s="1"/>
  <c r="D2833" i="45" s="1"/>
  <c r="D2836" i="45" s="1"/>
  <c r="D2839" i="45" s="1"/>
  <c r="C2826" i="45"/>
  <c r="C2827" i="45" s="1"/>
  <c r="C2828" i="45" s="1"/>
  <c r="C2829" i="45" s="1"/>
  <c r="C2830" i="45" s="1"/>
  <c r="C2831" i="45" s="1"/>
  <c r="C2832" i="45" s="1"/>
  <c r="C2833" i="45" s="1"/>
  <c r="C2834" i="45" s="1"/>
  <c r="C2835" i="45" s="1"/>
  <c r="C2836" i="45" s="1"/>
  <c r="C2837" i="45" s="1"/>
  <c r="C2838" i="45" s="1"/>
  <c r="C2839" i="45" s="1"/>
  <c r="C2840" i="45" s="1"/>
  <c r="C2841" i="45" s="1"/>
  <c r="C2842" i="45" s="1"/>
  <c r="C2843" i="45" s="1"/>
  <c r="C2844" i="45" s="1"/>
  <c r="B2826" i="45"/>
  <c r="B2829" i="45" s="1"/>
  <c r="B2832" i="45" s="1"/>
  <c r="B2835" i="45" s="1"/>
  <c r="B2838" i="45" s="1"/>
  <c r="B2841" i="45" s="1"/>
  <c r="A2826" i="45"/>
  <c r="A2829" i="45" s="1"/>
  <c r="A2832" i="45" s="1"/>
  <c r="A2835" i="45" s="1"/>
  <c r="G2825" i="45"/>
  <c r="G2826" i="45" s="1"/>
  <c r="G2827" i="45" s="1"/>
  <c r="G2828" i="45" s="1"/>
  <c r="G2829" i="45" s="1"/>
  <c r="F2821" i="45"/>
  <c r="F2822" i="45" s="1"/>
  <c r="F2823" i="45" s="1"/>
  <c r="F2824" i="45" s="1"/>
  <c r="F2816" i="45"/>
  <c r="F2817" i="45" s="1"/>
  <c r="F2818" i="45" s="1"/>
  <c r="F2819" i="45" s="1"/>
  <c r="F2811" i="45"/>
  <c r="F2814" i="45" s="1"/>
  <c r="F2806" i="45"/>
  <c r="F2809" i="45" s="1"/>
  <c r="E2806" i="45"/>
  <c r="D2806" i="45"/>
  <c r="D2807" i="45" s="1"/>
  <c r="D2810" i="45" s="1"/>
  <c r="D2813" i="45" s="1"/>
  <c r="D2816" i="45" s="1"/>
  <c r="D2819" i="45" s="1"/>
  <c r="C2806" i="45"/>
  <c r="C2807" i="45" s="1"/>
  <c r="C2808" i="45" s="1"/>
  <c r="C2809" i="45" s="1"/>
  <c r="C2810" i="45" s="1"/>
  <c r="C2811" i="45" s="1"/>
  <c r="C2812" i="45" s="1"/>
  <c r="C2813" i="45" s="1"/>
  <c r="C2814" i="45" s="1"/>
  <c r="C2815" i="45" s="1"/>
  <c r="C2816" i="45" s="1"/>
  <c r="C2817" i="45" s="1"/>
  <c r="C2818" i="45" s="1"/>
  <c r="C2819" i="45" s="1"/>
  <c r="C2820" i="45" s="1"/>
  <c r="C2821" i="45" s="1"/>
  <c r="C2822" i="45" s="1"/>
  <c r="C2823" i="45" s="1"/>
  <c r="C2824" i="45" s="1"/>
  <c r="B2806" i="45"/>
  <c r="B2809" i="45" s="1"/>
  <c r="B2812" i="45" s="1"/>
  <c r="B2815" i="45" s="1"/>
  <c r="B2818" i="45" s="1"/>
  <c r="B2821" i="45" s="1"/>
  <c r="A2806" i="45"/>
  <c r="A2809" i="45" s="1"/>
  <c r="A2812" i="45" s="1"/>
  <c r="A2815" i="45" s="1"/>
  <c r="G2805" i="45"/>
  <c r="G2806" i="45" s="1"/>
  <c r="G2807" i="45" s="1"/>
  <c r="G2808" i="45" s="1"/>
  <c r="G2809" i="45" s="1"/>
  <c r="F2801" i="45"/>
  <c r="F2802" i="45" s="1"/>
  <c r="F2803" i="45" s="1"/>
  <c r="F2804" i="45" s="1"/>
  <c r="F2796" i="45"/>
  <c r="F2797" i="45" s="1"/>
  <c r="F2798" i="45" s="1"/>
  <c r="F2799" i="45" s="1"/>
  <c r="F2791" i="45"/>
  <c r="F2794" i="45" s="1"/>
  <c r="F2786" i="45"/>
  <c r="F2789" i="45" s="1"/>
  <c r="E2786" i="45"/>
  <c r="D2786" i="45"/>
  <c r="D2789" i="45" s="1"/>
  <c r="D2792" i="45" s="1"/>
  <c r="D2795" i="45" s="1"/>
  <c r="D2798" i="45" s="1"/>
  <c r="D2801" i="45" s="1"/>
  <c r="C2786" i="45"/>
  <c r="C2787" i="45" s="1"/>
  <c r="C2788" i="45" s="1"/>
  <c r="C2789" i="45" s="1"/>
  <c r="C2790" i="45" s="1"/>
  <c r="C2791" i="45" s="1"/>
  <c r="C2792" i="45" s="1"/>
  <c r="C2793" i="45" s="1"/>
  <c r="C2794" i="45" s="1"/>
  <c r="C2795" i="45" s="1"/>
  <c r="C2796" i="45" s="1"/>
  <c r="C2797" i="45" s="1"/>
  <c r="C2798" i="45" s="1"/>
  <c r="C2799" i="45" s="1"/>
  <c r="C2800" i="45" s="1"/>
  <c r="C2801" i="45" s="1"/>
  <c r="C2802" i="45" s="1"/>
  <c r="C2803" i="45" s="1"/>
  <c r="C2804" i="45" s="1"/>
  <c r="B2786" i="45"/>
  <c r="B2789" i="45" s="1"/>
  <c r="B2792" i="45" s="1"/>
  <c r="B2795" i="45" s="1"/>
  <c r="B2798" i="45" s="1"/>
  <c r="B2801" i="45" s="1"/>
  <c r="A2786" i="45"/>
  <c r="A2789" i="45" s="1"/>
  <c r="A2792" i="45" s="1"/>
  <c r="A2795" i="45" s="1"/>
  <c r="G2785" i="45"/>
  <c r="G2786" i="45" s="1"/>
  <c r="G2787" i="45" s="1"/>
  <c r="G2788" i="45" s="1"/>
  <c r="G2789" i="45" s="1"/>
  <c r="F2781" i="45"/>
  <c r="F2782" i="45" s="1"/>
  <c r="F2783" i="45" s="1"/>
  <c r="F2784" i="45" s="1"/>
  <c r="F2776" i="45"/>
  <c r="F2777" i="45" s="1"/>
  <c r="F2778" i="45" s="1"/>
  <c r="F2779" i="45" s="1"/>
  <c r="F2771" i="45"/>
  <c r="F2774" i="45" s="1"/>
  <c r="A2769" i="45"/>
  <c r="A2772" i="45" s="1"/>
  <c r="A2775" i="45" s="1"/>
  <c r="A2767" i="45"/>
  <c r="A2770" i="45" s="1"/>
  <c r="F2766" i="45"/>
  <c r="F2769" i="45" s="1"/>
  <c r="E2766" i="45"/>
  <c r="D2766" i="45"/>
  <c r="D2769" i="45" s="1"/>
  <c r="D2772" i="45" s="1"/>
  <c r="D2775" i="45" s="1"/>
  <c r="D2778" i="45" s="1"/>
  <c r="D2781" i="45" s="1"/>
  <c r="C2766" i="45"/>
  <c r="C2767" i="45" s="1"/>
  <c r="C2768" i="45" s="1"/>
  <c r="C2769" i="45" s="1"/>
  <c r="C2770" i="45" s="1"/>
  <c r="C2771" i="45" s="1"/>
  <c r="C2772" i="45" s="1"/>
  <c r="C2773" i="45" s="1"/>
  <c r="C2774" i="45" s="1"/>
  <c r="C2775" i="45" s="1"/>
  <c r="C2776" i="45" s="1"/>
  <c r="C2777" i="45" s="1"/>
  <c r="C2778" i="45" s="1"/>
  <c r="C2779" i="45" s="1"/>
  <c r="C2780" i="45" s="1"/>
  <c r="C2781" i="45" s="1"/>
  <c r="C2782" i="45" s="1"/>
  <c r="C2783" i="45" s="1"/>
  <c r="C2784" i="45" s="1"/>
  <c r="B2766" i="45"/>
  <c r="B2769" i="45" s="1"/>
  <c r="B2772" i="45" s="1"/>
  <c r="B2775" i="45" s="1"/>
  <c r="B2778" i="45" s="1"/>
  <c r="B2781" i="45" s="1"/>
  <c r="G2765" i="45"/>
  <c r="G2766" i="45" s="1"/>
  <c r="G2767" i="45" s="1"/>
  <c r="G2768" i="45" s="1"/>
  <c r="G2769" i="45" s="1"/>
  <c r="F2761" i="45"/>
  <c r="F2762" i="45" s="1"/>
  <c r="F2763" i="45" s="1"/>
  <c r="F2764" i="45" s="1"/>
  <c r="F2756" i="45"/>
  <c r="F2757" i="45" s="1"/>
  <c r="F2758" i="45" s="1"/>
  <c r="F2759" i="45" s="1"/>
  <c r="F2751" i="45"/>
  <c r="F2754" i="45" s="1"/>
  <c r="F2746" i="45"/>
  <c r="F2749" i="45" s="1"/>
  <c r="E2746" i="45"/>
  <c r="D2746" i="45"/>
  <c r="D2749" i="45" s="1"/>
  <c r="D2752" i="45" s="1"/>
  <c r="D2755" i="45" s="1"/>
  <c r="D2758" i="45" s="1"/>
  <c r="D2761" i="45" s="1"/>
  <c r="B2746" i="45"/>
  <c r="B2749" i="45" s="1"/>
  <c r="B2752" i="45" s="1"/>
  <c r="B2755" i="45" s="1"/>
  <c r="B2758" i="45" s="1"/>
  <c r="B2761" i="45" s="1"/>
  <c r="A2746" i="45"/>
  <c r="A2749" i="45" s="1"/>
  <c r="A2752" i="45" s="1"/>
  <c r="A2755" i="45" s="1"/>
  <c r="G2745" i="45"/>
  <c r="G2746" i="45" s="1"/>
  <c r="G2747" i="45" s="1"/>
  <c r="G2748" i="45" s="1"/>
  <c r="G2749" i="45" s="1"/>
  <c r="C2745" i="45"/>
  <c r="M2745" i="45" s="1"/>
  <c r="F2741" i="45"/>
  <c r="F2742" i="45" s="1"/>
  <c r="F2743" i="45" s="1"/>
  <c r="F2744" i="45" s="1"/>
  <c r="F2736" i="45"/>
  <c r="F2737" i="45" s="1"/>
  <c r="F2738" i="45" s="1"/>
  <c r="F2739" i="45" s="1"/>
  <c r="F2731" i="45"/>
  <c r="F2734" i="45" s="1"/>
  <c r="F2726" i="45"/>
  <c r="F2729" i="45" s="1"/>
  <c r="E2726" i="45"/>
  <c r="D2726" i="45"/>
  <c r="D2729" i="45" s="1"/>
  <c r="D2732" i="45" s="1"/>
  <c r="D2735" i="45" s="1"/>
  <c r="D2738" i="45" s="1"/>
  <c r="D2741" i="45" s="1"/>
  <c r="B2726" i="45"/>
  <c r="B2729" i="45" s="1"/>
  <c r="B2732" i="45" s="1"/>
  <c r="B2735" i="45" s="1"/>
  <c r="B2738" i="45" s="1"/>
  <c r="B2741" i="45" s="1"/>
  <c r="A2726" i="45"/>
  <c r="G2725" i="45"/>
  <c r="G2726" i="45" s="1"/>
  <c r="G2727" i="45" s="1"/>
  <c r="G2728" i="45" s="1"/>
  <c r="G2729" i="45" s="1"/>
  <c r="C2725" i="45"/>
  <c r="M2725" i="45" s="1"/>
  <c r="F2721" i="45"/>
  <c r="F2722" i="45" s="1"/>
  <c r="F2723" i="45" s="1"/>
  <c r="F2724" i="45" s="1"/>
  <c r="F2716" i="45"/>
  <c r="F2717" i="45" s="1"/>
  <c r="F2718" i="45" s="1"/>
  <c r="F2719" i="45" s="1"/>
  <c r="F2711" i="45"/>
  <c r="F2712" i="45" s="1"/>
  <c r="F2713" i="45" s="1"/>
  <c r="F2706" i="45"/>
  <c r="F2709" i="45" s="1"/>
  <c r="E2706" i="45"/>
  <c r="D2706" i="45"/>
  <c r="D2709" i="45" s="1"/>
  <c r="D2712" i="45" s="1"/>
  <c r="D2715" i="45" s="1"/>
  <c r="D2718" i="45" s="1"/>
  <c r="D2721" i="45" s="1"/>
  <c r="B2706" i="45"/>
  <c r="B2709" i="45" s="1"/>
  <c r="B2712" i="45" s="1"/>
  <c r="B2715" i="45" s="1"/>
  <c r="B2718" i="45" s="1"/>
  <c r="B2721" i="45" s="1"/>
  <c r="A2706" i="45"/>
  <c r="A2709" i="45" s="1"/>
  <c r="A2712" i="45" s="1"/>
  <c r="A2715" i="45" s="1"/>
  <c r="G2705" i="45"/>
  <c r="G2706" i="45" s="1"/>
  <c r="G2707" i="45" s="1"/>
  <c r="G2708" i="45" s="1"/>
  <c r="G2709" i="45" s="1"/>
  <c r="C2705" i="45"/>
  <c r="M2705" i="45" s="1"/>
  <c r="F2701" i="45"/>
  <c r="F2702" i="45" s="1"/>
  <c r="F2703" i="45" s="1"/>
  <c r="F2704" i="45" s="1"/>
  <c r="F2696" i="45"/>
  <c r="F2697" i="45" s="1"/>
  <c r="F2698" i="45" s="1"/>
  <c r="F2699" i="45" s="1"/>
  <c r="F2691" i="45"/>
  <c r="F2692" i="45" s="1"/>
  <c r="F2693" i="45" s="1"/>
  <c r="F2686" i="45"/>
  <c r="E2686" i="45"/>
  <c r="D2686" i="45"/>
  <c r="C2686" i="45"/>
  <c r="C2687" i="45" s="1"/>
  <c r="C2688" i="45" s="1"/>
  <c r="C2689" i="45" s="1"/>
  <c r="C2690" i="45" s="1"/>
  <c r="C2691" i="45" s="1"/>
  <c r="C2692" i="45" s="1"/>
  <c r="C2693" i="45" s="1"/>
  <c r="C2694" i="45" s="1"/>
  <c r="C2695" i="45" s="1"/>
  <c r="C2696" i="45" s="1"/>
  <c r="C2697" i="45" s="1"/>
  <c r="C2698" i="45" s="1"/>
  <c r="C2699" i="45" s="1"/>
  <c r="C2700" i="45" s="1"/>
  <c r="C2701" i="45" s="1"/>
  <c r="C2702" i="45" s="1"/>
  <c r="C2703" i="45" s="1"/>
  <c r="C2704" i="45" s="1"/>
  <c r="B2686" i="45"/>
  <c r="A2686" i="45"/>
  <c r="A2689" i="45" s="1"/>
  <c r="A2692" i="45" s="1"/>
  <c r="A2695" i="45" s="1"/>
  <c r="G2685" i="45"/>
  <c r="G2686" i="45" s="1"/>
  <c r="G2687" i="45" s="1"/>
  <c r="G2688" i="45" s="1"/>
  <c r="G2689" i="45" s="1"/>
  <c r="F2681" i="45"/>
  <c r="F2682" i="45" s="1"/>
  <c r="F2683" i="45" s="1"/>
  <c r="F2684" i="45" s="1"/>
  <c r="F2676" i="45"/>
  <c r="F2677" i="45" s="1"/>
  <c r="F2678" i="45" s="1"/>
  <c r="F2679" i="45" s="1"/>
  <c r="F2671" i="45"/>
  <c r="F2672" i="45" s="1"/>
  <c r="F2673" i="45" s="1"/>
  <c r="F2666" i="45"/>
  <c r="E2666" i="45"/>
  <c r="D2666" i="45"/>
  <c r="C2666" i="45"/>
  <c r="C2667" i="45" s="1"/>
  <c r="C2668" i="45" s="1"/>
  <c r="C2669" i="45" s="1"/>
  <c r="C2670" i="45" s="1"/>
  <c r="C2671" i="45" s="1"/>
  <c r="C2672" i="45" s="1"/>
  <c r="B2666" i="45"/>
  <c r="A2666" i="45"/>
  <c r="A2669" i="45" s="1"/>
  <c r="A2672" i="45" s="1"/>
  <c r="A2675" i="45" s="1"/>
  <c r="G2665" i="45"/>
  <c r="G2666" i="45" s="1"/>
  <c r="G2667" i="45" s="1"/>
  <c r="G2668" i="45" s="1"/>
  <c r="G2669" i="45" s="1"/>
  <c r="F2661" i="45"/>
  <c r="F2662" i="45" s="1"/>
  <c r="F2663" i="45" s="1"/>
  <c r="F2664" i="45" s="1"/>
  <c r="F2656" i="45"/>
  <c r="F2657" i="45" s="1"/>
  <c r="F2658" i="45" s="1"/>
  <c r="F2659" i="45" s="1"/>
  <c r="F2651" i="45"/>
  <c r="F2646" i="45"/>
  <c r="F2649" i="45" s="1"/>
  <c r="E2646" i="45"/>
  <c r="D2646" i="45"/>
  <c r="D2649" i="45" s="1"/>
  <c r="D2652" i="45" s="1"/>
  <c r="D2655" i="45" s="1"/>
  <c r="D2658" i="45" s="1"/>
  <c r="D2661" i="45" s="1"/>
  <c r="C2646" i="45"/>
  <c r="C2647" i="45" s="1"/>
  <c r="C2648" i="45" s="1"/>
  <c r="C2649" i="45" s="1"/>
  <c r="C2650" i="45" s="1"/>
  <c r="C2651" i="45" s="1"/>
  <c r="C2652" i="45" s="1"/>
  <c r="C2653" i="45" s="1"/>
  <c r="C2654" i="45" s="1"/>
  <c r="C2655" i="45" s="1"/>
  <c r="C2656" i="45" s="1"/>
  <c r="C2657" i="45" s="1"/>
  <c r="C2658" i="45" s="1"/>
  <c r="C2659" i="45" s="1"/>
  <c r="C2660" i="45" s="1"/>
  <c r="C2661" i="45" s="1"/>
  <c r="C2662" i="45" s="1"/>
  <c r="C2663" i="45" s="1"/>
  <c r="C2664" i="45" s="1"/>
  <c r="B2646" i="45"/>
  <c r="B2649" i="45" s="1"/>
  <c r="B2652" i="45" s="1"/>
  <c r="B2655" i="45" s="1"/>
  <c r="B2658" i="45" s="1"/>
  <c r="B2661" i="45" s="1"/>
  <c r="A2646" i="45"/>
  <c r="G2645" i="45"/>
  <c r="G2646" i="45" s="1"/>
  <c r="G2647" i="45" s="1"/>
  <c r="G2648" i="45" s="1"/>
  <c r="G2649" i="45" s="1"/>
  <c r="F2641" i="45"/>
  <c r="F2642" i="45" s="1"/>
  <c r="F2643" i="45" s="1"/>
  <c r="F2644" i="45" s="1"/>
  <c r="F2636" i="45"/>
  <c r="F2637" i="45" s="1"/>
  <c r="F2638" i="45" s="1"/>
  <c r="F2639" i="45" s="1"/>
  <c r="F2631" i="45"/>
  <c r="F2632" i="45" s="1"/>
  <c r="F2633" i="45" s="1"/>
  <c r="F2626" i="45"/>
  <c r="E2626" i="45"/>
  <c r="D2626" i="45"/>
  <c r="C2626" i="45"/>
  <c r="C2627" i="45" s="1"/>
  <c r="C2628" i="45" s="1"/>
  <c r="C2629" i="45" s="1"/>
  <c r="C2630" i="45" s="1"/>
  <c r="C2631" i="45" s="1"/>
  <c r="C2632" i="45" s="1"/>
  <c r="C2633" i="45" s="1"/>
  <c r="C2634" i="45" s="1"/>
  <c r="C2635" i="45" s="1"/>
  <c r="C2636" i="45" s="1"/>
  <c r="C2637" i="45" s="1"/>
  <c r="C2638" i="45" s="1"/>
  <c r="C2639" i="45" s="1"/>
  <c r="C2640" i="45" s="1"/>
  <c r="C2641" i="45" s="1"/>
  <c r="C2642" i="45" s="1"/>
  <c r="C2643" i="45" s="1"/>
  <c r="C2644" i="45" s="1"/>
  <c r="B2626" i="45"/>
  <c r="A2626" i="45"/>
  <c r="A2629" i="45" s="1"/>
  <c r="A2632" i="45" s="1"/>
  <c r="A2635" i="45" s="1"/>
  <c r="G2625" i="45"/>
  <c r="G2626" i="45" s="1"/>
  <c r="G2627" i="45" s="1"/>
  <c r="G2628" i="45" s="1"/>
  <c r="G2629" i="45" s="1"/>
  <c r="F2621" i="45"/>
  <c r="F2622" i="45" s="1"/>
  <c r="F2623" i="45" s="1"/>
  <c r="F2624" i="45" s="1"/>
  <c r="F2616" i="45"/>
  <c r="F2617" i="45" s="1"/>
  <c r="F2618" i="45" s="1"/>
  <c r="F2619" i="45" s="1"/>
  <c r="F2611" i="45"/>
  <c r="F2606" i="45"/>
  <c r="F2609" i="45" s="1"/>
  <c r="E2606" i="45"/>
  <c r="D2606" i="45"/>
  <c r="D2609" i="45" s="1"/>
  <c r="D2612" i="45" s="1"/>
  <c r="D2615" i="45" s="1"/>
  <c r="D2618" i="45" s="1"/>
  <c r="D2621" i="45" s="1"/>
  <c r="C2606" i="45"/>
  <c r="C2607" i="45" s="1"/>
  <c r="C2608" i="45" s="1"/>
  <c r="C2609" i="45" s="1"/>
  <c r="C2610" i="45" s="1"/>
  <c r="C2611" i="45" s="1"/>
  <c r="C2612" i="45" s="1"/>
  <c r="C2613" i="45" s="1"/>
  <c r="C2614" i="45" s="1"/>
  <c r="C2615" i="45" s="1"/>
  <c r="C2616" i="45" s="1"/>
  <c r="C2617" i="45" s="1"/>
  <c r="C2618" i="45" s="1"/>
  <c r="C2619" i="45" s="1"/>
  <c r="C2620" i="45" s="1"/>
  <c r="C2621" i="45" s="1"/>
  <c r="C2622" i="45" s="1"/>
  <c r="C2623" i="45" s="1"/>
  <c r="C2624" i="45" s="1"/>
  <c r="B2606" i="45"/>
  <c r="B2609" i="45" s="1"/>
  <c r="B2612" i="45" s="1"/>
  <c r="B2615" i="45" s="1"/>
  <c r="B2618" i="45" s="1"/>
  <c r="B2621" i="45" s="1"/>
  <c r="A2606" i="45"/>
  <c r="G2605" i="45"/>
  <c r="G2606" i="45" s="1"/>
  <c r="G2607" i="45" s="1"/>
  <c r="G2608" i="45" s="1"/>
  <c r="G2609" i="45" s="1"/>
  <c r="F2601" i="45"/>
  <c r="F2602" i="45" s="1"/>
  <c r="F2603" i="45" s="1"/>
  <c r="F2604" i="45" s="1"/>
  <c r="F2596" i="45"/>
  <c r="F2597" i="45" s="1"/>
  <c r="F2598" i="45" s="1"/>
  <c r="F2599" i="45" s="1"/>
  <c r="F2591" i="45"/>
  <c r="F2592" i="45" s="1"/>
  <c r="F2593" i="45" s="1"/>
  <c r="A2589" i="45"/>
  <c r="A2592" i="45" s="1"/>
  <c r="A2595" i="45" s="1"/>
  <c r="A2587" i="45"/>
  <c r="F2586" i="45"/>
  <c r="E2586" i="45"/>
  <c r="D2586" i="45"/>
  <c r="C2586" i="45"/>
  <c r="C2587" i="45" s="1"/>
  <c r="C2588" i="45" s="1"/>
  <c r="C2589" i="45" s="1"/>
  <c r="C2590" i="45" s="1"/>
  <c r="C2591" i="45" s="1"/>
  <c r="C2592" i="45" s="1"/>
  <c r="C2593" i="45" s="1"/>
  <c r="C2594" i="45" s="1"/>
  <c r="C2595" i="45" s="1"/>
  <c r="C2596" i="45" s="1"/>
  <c r="C2597" i="45" s="1"/>
  <c r="C2598" i="45" s="1"/>
  <c r="C2599" i="45" s="1"/>
  <c r="C2600" i="45" s="1"/>
  <c r="C2601" i="45" s="1"/>
  <c r="C2602" i="45" s="1"/>
  <c r="C2603" i="45" s="1"/>
  <c r="C2604" i="45" s="1"/>
  <c r="B2586" i="45"/>
  <c r="G2585" i="45"/>
  <c r="G2586" i="45" s="1"/>
  <c r="G2587" i="45" s="1"/>
  <c r="G2588" i="45" s="1"/>
  <c r="G2589" i="45" s="1"/>
  <c r="F2581" i="45"/>
  <c r="F2582" i="45" s="1"/>
  <c r="F2583" i="45" s="1"/>
  <c r="F2584" i="45" s="1"/>
  <c r="F2576" i="45"/>
  <c r="F2577" i="45" s="1"/>
  <c r="F2578" i="45" s="1"/>
  <c r="F2579" i="45" s="1"/>
  <c r="F2571" i="45"/>
  <c r="F2574" i="45" s="1"/>
  <c r="F2566" i="45"/>
  <c r="E2566" i="45"/>
  <c r="D2566" i="45"/>
  <c r="B2566" i="45"/>
  <c r="A2566" i="45"/>
  <c r="A2569" i="45" s="1"/>
  <c r="A2572" i="45" s="1"/>
  <c r="A2575" i="45" s="1"/>
  <c r="G2565" i="45"/>
  <c r="G2566" i="45" s="1"/>
  <c r="G2567" i="45" s="1"/>
  <c r="G2568" i="45" s="1"/>
  <c r="G2569" i="45" s="1"/>
  <c r="C2565" i="45"/>
  <c r="M2565" i="45" s="1"/>
  <c r="F2561" i="45"/>
  <c r="F2562" i="45" s="1"/>
  <c r="F2563" i="45" s="1"/>
  <c r="F2564" i="45" s="1"/>
  <c r="F2556" i="45"/>
  <c r="F2557" i="45" s="1"/>
  <c r="F2558" i="45" s="1"/>
  <c r="F2559" i="45" s="1"/>
  <c r="F2551" i="45"/>
  <c r="F2554" i="45" s="1"/>
  <c r="F2546" i="45"/>
  <c r="F2549" i="45" s="1"/>
  <c r="E2546" i="45"/>
  <c r="D2546" i="45"/>
  <c r="D2549" i="45" s="1"/>
  <c r="D2552" i="45" s="1"/>
  <c r="D2555" i="45" s="1"/>
  <c r="D2558" i="45" s="1"/>
  <c r="D2561" i="45" s="1"/>
  <c r="B2546" i="45"/>
  <c r="B2549" i="45" s="1"/>
  <c r="B2552" i="45" s="1"/>
  <c r="B2555" i="45" s="1"/>
  <c r="B2558" i="45" s="1"/>
  <c r="B2561" i="45" s="1"/>
  <c r="A2546" i="45"/>
  <c r="A2549" i="45" s="1"/>
  <c r="A2552" i="45" s="1"/>
  <c r="A2555" i="45" s="1"/>
  <c r="G2545" i="45"/>
  <c r="G2546" i="45" s="1"/>
  <c r="G2547" i="45" s="1"/>
  <c r="G2548" i="45" s="1"/>
  <c r="G2549" i="45" s="1"/>
  <c r="C2545" i="45"/>
  <c r="M2545" i="45" s="1"/>
  <c r="F2541" i="45"/>
  <c r="F2542" i="45" s="1"/>
  <c r="F2543" i="45" s="1"/>
  <c r="F2544" i="45" s="1"/>
  <c r="F2536" i="45"/>
  <c r="F2537" i="45" s="1"/>
  <c r="F2538" i="45" s="1"/>
  <c r="F2539" i="45" s="1"/>
  <c r="F2531" i="45"/>
  <c r="F2532" i="45" s="1"/>
  <c r="F2533" i="45" s="1"/>
  <c r="F2526" i="45"/>
  <c r="F2529" i="45" s="1"/>
  <c r="E2526" i="45"/>
  <c r="D2526" i="45"/>
  <c r="D2529" i="45" s="1"/>
  <c r="D2532" i="45" s="1"/>
  <c r="D2535" i="45" s="1"/>
  <c r="D2538" i="45" s="1"/>
  <c r="D2541" i="45" s="1"/>
  <c r="B2526" i="45"/>
  <c r="B2529" i="45" s="1"/>
  <c r="B2532" i="45" s="1"/>
  <c r="B2535" i="45" s="1"/>
  <c r="B2538" i="45" s="1"/>
  <c r="B2541" i="45" s="1"/>
  <c r="A2526" i="45"/>
  <c r="A2529" i="45" s="1"/>
  <c r="A2532" i="45" s="1"/>
  <c r="A2535" i="45" s="1"/>
  <c r="G2525" i="45"/>
  <c r="G2526" i="45" s="1"/>
  <c r="G2527" i="45" s="1"/>
  <c r="G2528" i="45" s="1"/>
  <c r="G2529" i="45" s="1"/>
  <c r="C2525" i="45"/>
  <c r="M2525" i="45" s="1"/>
  <c r="F2521" i="45"/>
  <c r="F2522" i="45" s="1"/>
  <c r="F2523" i="45" s="1"/>
  <c r="F2524" i="45" s="1"/>
  <c r="F2516" i="45"/>
  <c r="F2517" i="45" s="1"/>
  <c r="F2518" i="45" s="1"/>
  <c r="F2519" i="45" s="1"/>
  <c r="F2511" i="45"/>
  <c r="F2514" i="45" s="1"/>
  <c r="F2506" i="45"/>
  <c r="E2506" i="45"/>
  <c r="D2506" i="45"/>
  <c r="C2506" i="45"/>
  <c r="C2507" i="45" s="1"/>
  <c r="C2508" i="45" s="1"/>
  <c r="C2509" i="45" s="1"/>
  <c r="C2510" i="45" s="1"/>
  <c r="C2511" i="45" s="1"/>
  <c r="C2512" i="45" s="1"/>
  <c r="C2513" i="45" s="1"/>
  <c r="C2514" i="45" s="1"/>
  <c r="C2515" i="45" s="1"/>
  <c r="C2516" i="45" s="1"/>
  <c r="C2517" i="45" s="1"/>
  <c r="C2518" i="45" s="1"/>
  <c r="C2519" i="45" s="1"/>
  <c r="C2520" i="45" s="1"/>
  <c r="C2521" i="45" s="1"/>
  <c r="C2522" i="45" s="1"/>
  <c r="C2523" i="45" s="1"/>
  <c r="C2524" i="45" s="1"/>
  <c r="B2506" i="45"/>
  <c r="A2506" i="45"/>
  <c r="A2509" i="45" s="1"/>
  <c r="A2512" i="45" s="1"/>
  <c r="A2515" i="45" s="1"/>
  <c r="G2505" i="45"/>
  <c r="G2506" i="45" s="1"/>
  <c r="G2507" i="45" s="1"/>
  <c r="G2508" i="45" s="1"/>
  <c r="G2509" i="45" s="1"/>
  <c r="F2501" i="45"/>
  <c r="F2502" i="45" s="1"/>
  <c r="F2503" i="45" s="1"/>
  <c r="F2504" i="45" s="1"/>
  <c r="F2496" i="45"/>
  <c r="F2497" i="45" s="1"/>
  <c r="F2498" i="45" s="1"/>
  <c r="F2499" i="45" s="1"/>
  <c r="F2491" i="45"/>
  <c r="F2494" i="45" s="1"/>
  <c r="F2486" i="45"/>
  <c r="E2486" i="45"/>
  <c r="D2486" i="45"/>
  <c r="C2486" i="45"/>
  <c r="C2487" i="45" s="1"/>
  <c r="C2488" i="45" s="1"/>
  <c r="C2489" i="45" s="1"/>
  <c r="C2490" i="45" s="1"/>
  <c r="C2491" i="45" s="1"/>
  <c r="C2492" i="45" s="1"/>
  <c r="C2493" i="45" s="1"/>
  <c r="C2494" i="45" s="1"/>
  <c r="C2495" i="45" s="1"/>
  <c r="C2496" i="45" s="1"/>
  <c r="C2497" i="45" s="1"/>
  <c r="C2498" i="45" s="1"/>
  <c r="C2499" i="45" s="1"/>
  <c r="C2500" i="45" s="1"/>
  <c r="C2501" i="45" s="1"/>
  <c r="C2502" i="45" s="1"/>
  <c r="C2503" i="45" s="1"/>
  <c r="C2504" i="45" s="1"/>
  <c r="B2486" i="45"/>
  <c r="A2486" i="45"/>
  <c r="A2489" i="45" s="1"/>
  <c r="A2492" i="45" s="1"/>
  <c r="A2495" i="45" s="1"/>
  <c r="G2485" i="45"/>
  <c r="G2486" i="45" s="1"/>
  <c r="G2487" i="45" s="1"/>
  <c r="G2488" i="45" s="1"/>
  <c r="G2489" i="45" s="1"/>
  <c r="F2481" i="45"/>
  <c r="F2482" i="45" s="1"/>
  <c r="F2483" i="45" s="1"/>
  <c r="F2484" i="45" s="1"/>
  <c r="F2476" i="45"/>
  <c r="F2477" i="45" s="1"/>
  <c r="F2478" i="45" s="1"/>
  <c r="F2479" i="45" s="1"/>
  <c r="F2471" i="45"/>
  <c r="F2466" i="45"/>
  <c r="E2466" i="45"/>
  <c r="D2466" i="45"/>
  <c r="C2466" i="45"/>
  <c r="C2467" i="45" s="1"/>
  <c r="C2468" i="45" s="1"/>
  <c r="C2469" i="45" s="1"/>
  <c r="C2470" i="45" s="1"/>
  <c r="C2471" i="45" s="1"/>
  <c r="C2472" i="45" s="1"/>
  <c r="C2473" i="45" s="1"/>
  <c r="C2474" i="45" s="1"/>
  <c r="C2475" i="45" s="1"/>
  <c r="C2476" i="45" s="1"/>
  <c r="C2477" i="45" s="1"/>
  <c r="C2478" i="45" s="1"/>
  <c r="C2479" i="45" s="1"/>
  <c r="C2480" i="45" s="1"/>
  <c r="C2481" i="45" s="1"/>
  <c r="C2482" i="45" s="1"/>
  <c r="C2483" i="45" s="1"/>
  <c r="C2484" i="45" s="1"/>
  <c r="B2466" i="45"/>
  <c r="A2466" i="45"/>
  <c r="A2467" i="45" s="1"/>
  <c r="G2465" i="45"/>
  <c r="G2466" i="45" s="1"/>
  <c r="G2467" i="45" s="1"/>
  <c r="G2468" i="45" s="1"/>
  <c r="G2469" i="45" s="1"/>
  <c r="F2461" i="45"/>
  <c r="F2462" i="45" s="1"/>
  <c r="F2463" i="45" s="1"/>
  <c r="F2464" i="45" s="1"/>
  <c r="F2456" i="45"/>
  <c r="F2457" i="45" s="1"/>
  <c r="F2458" i="45" s="1"/>
  <c r="F2459" i="45" s="1"/>
  <c r="F2451" i="45"/>
  <c r="F2454" i="45" s="1"/>
  <c r="F2446" i="45"/>
  <c r="F2447" i="45" s="1"/>
  <c r="F2448" i="45" s="1"/>
  <c r="E2446" i="45"/>
  <c r="D2446" i="45"/>
  <c r="D2449" i="45" s="1"/>
  <c r="D2452" i="45" s="1"/>
  <c r="D2455" i="45" s="1"/>
  <c r="D2458" i="45" s="1"/>
  <c r="D2461" i="45" s="1"/>
  <c r="C2446" i="45"/>
  <c r="C2447" i="45" s="1"/>
  <c r="C2448" i="45" s="1"/>
  <c r="C2449" i="45" s="1"/>
  <c r="C2450" i="45" s="1"/>
  <c r="C2451" i="45" s="1"/>
  <c r="C2452" i="45" s="1"/>
  <c r="C2453" i="45" s="1"/>
  <c r="C2454" i="45" s="1"/>
  <c r="C2455" i="45" s="1"/>
  <c r="C2456" i="45" s="1"/>
  <c r="C2457" i="45" s="1"/>
  <c r="C2458" i="45" s="1"/>
  <c r="C2459" i="45" s="1"/>
  <c r="C2460" i="45" s="1"/>
  <c r="C2461" i="45" s="1"/>
  <c r="C2462" i="45" s="1"/>
  <c r="C2463" i="45" s="1"/>
  <c r="C2464" i="45" s="1"/>
  <c r="B2446" i="45"/>
  <c r="B2447" i="45" s="1"/>
  <c r="B2450" i="45" s="1"/>
  <c r="B2453" i="45" s="1"/>
  <c r="B2456" i="45" s="1"/>
  <c r="B2459" i="45" s="1"/>
  <c r="A2446" i="45"/>
  <c r="A2449" i="45" s="1"/>
  <c r="A2452" i="45" s="1"/>
  <c r="A2455" i="45" s="1"/>
  <c r="G2445" i="45"/>
  <c r="G2446" i="45" s="1"/>
  <c r="G2447" i="45" s="1"/>
  <c r="G2448" i="45" s="1"/>
  <c r="G2449" i="45" s="1"/>
  <c r="F2441" i="45"/>
  <c r="F2442" i="45" s="1"/>
  <c r="F2443" i="45" s="1"/>
  <c r="F2444" i="45" s="1"/>
  <c r="F2436" i="45"/>
  <c r="F2437" i="45" s="1"/>
  <c r="F2438" i="45" s="1"/>
  <c r="F2439" i="45" s="1"/>
  <c r="F2431" i="45"/>
  <c r="F2432" i="45" s="1"/>
  <c r="F2433" i="45" s="1"/>
  <c r="F2426" i="45"/>
  <c r="F2429" i="45" s="1"/>
  <c r="E2426" i="45"/>
  <c r="D2426" i="45"/>
  <c r="D2429" i="45" s="1"/>
  <c r="D2432" i="45" s="1"/>
  <c r="D2435" i="45" s="1"/>
  <c r="D2438" i="45" s="1"/>
  <c r="D2441" i="45" s="1"/>
  <c r="C2426" i="45"/>
  <c r="C2427" i="45" s="1"/>
  <c r="C2428" i="45" s="1"/>
  <c r="C2429" i="45" s="1"/>
  <c r="C2430" i="45" s="1"/>
  <c r="C2431" i="45" s="1"/>
  <c r="C2432" i="45" s="1"/>
  <c r="C2433" i="45" s="1"/>
  <c r="C2434" i="45" s="1"/>
  <c r="C2435" i="45" s="1"/>
  <c r="C2436" i="45" s="1"/>
  <c r="C2437" i="45" s="1"/>
  <c r="C2438" i="45" s="1"/>
  <c r="C2439" i="45" s="1"/>
  <c r="C2440" i="45" s="1"/>
  <c r="C2441" i="45" s="1"/>
  <c r="C2442" i="45" s="1"/>
  <c r="C2443" i="45" s="1"/>
  <c r="C2444" i="45" s="1"/>
  <c r="B2426" i="45"/>
  <c r="B2429" i="45" s="1"/>
  <c r="B2432" i="45" s="1"/>
  <c r="B2435" i="45" s="1"/>
  <c r="B2438" i="45" s="1"/>
  <c r="B2441" i="45" s="1"/>
  <c r="A2426" i="45"/>
  <c r="G2425" i="45"/>
  <c r="G2426" i="45" s="1"/>
  <c r="G2427" i="45" s="1"/>
  <c r="G2428" i="45" s="1"/>
  <c r="G2429" i="45" s="1"/>
  <c r="F2421" i="45"/>
  <c r="F2422" i="45" s="1"/>
  <c r="F2423" i="45" s="1"/>
  <c r="F2424" i="45" s="1"/>
  <c r="F2416" i="45"/>
  <c r="F2417" i="45" s="1"/>
  <c r="F2418" i="45" s="1"/>
  <c r="F2419" i="45" s="1"/>
  <c r="F2411" i="45"/>
  <c r="F2414" i="45" s="1"/>
  <c r="A2409" i="45"/>
  <c r="A2412" i="45" s="1"/>
  <c r="A2415" i="45" s="1"/>
  <c r="A2407" i="45"/>
  <c r="A2410" i="45" s="1"/>
  <c r="F2406" i="45"/>
  <c r="F2409" i="45" s="1"/>
  <c r="E2406" i="45"/>
  <c r="D2406" i="45"/>
  <c r="D2409" i="45" s="1"/>
  <c r="D2412" i="45" s="1"/>
  <c r="D2415" i="45" s="1"/>
  <c r="D2418" i="45" s="1"/>
  <c r="D2421" i="45" s="1"/>
  <c r="C2406" i="45"/>
  <c r="C2407" i="45" s="1"/>
  <c r="C2408" i="45" s="1"/>
  <c r="C2409" i="45" s="1"/>
  <c r="C2410" i="45" s="1"/>
  <c r="C2411" i="45" s="1"/>
  <c r="C2412" i="45" s="1"/>
  <c r="C2413" i="45" s="1"/>
  <c r="C2414" i="45" s="1"/>
  <c r="C2415" i="45" s="1"/>
  <c r="C2416" i="45" s="1"/>
  <c r="C2417" i="45" s="1"/>
  <c r="C2418" i="45" s="1"/>
  <c r="C2419" i="45" s="1"/>
  <c r="C2420" i="45" s="1"/>
  <c r="C2421" i="45" s="1"/>
  <c r="C2422" i="45" s="1"/>
  <c r="C2423" i="45" s="1"/>
  <c r="C2424" i="45" s="1"/>
  <c r="B2406" i="45"/>
  <c r="B2409" i="45" s="1"/>
  <c r="B2412" i="45" s="1"/>
  <c r="B2415" i="45" s="1"/>
  <c r="B2418" i="45" s="1"/>
  <c r="B2421" i="45" s="1"/>
  <c r="G2405" i="45"/>
  <c r="G2406" i="45" s="1"/>
  <c r="G2407" i="45" s="1"/>
  <c r="G2408" i="45" s="1"/>
  <c r="G2409" i="45" s="1"/>
  <c r="F2401" i="45"/>
  <c r="F2402" i="45" s="1"/>
  <c r="F2403" i="45" s="1"/>
  <c r="F2404" i="45" s="1"/>
  <c r="F2396" i="45"/>
  <c r="F2397" i="45" s="1"/>
  <c r="F2398" i="45" s="1"/>
  <c r="F2399" i="45" s="1"/>
  <c r="F2391" i="45"/>
  <c r="F2394" i="45" s="1"/>
  <c r="F2386" i="45"/>
  <c r="F2389" i="45" s="1"/>
  <c r="E2386" i="45"/>
  <c r="D2386" i="45"/>
  <c r="D2389" i="45" s="1"/>
  <c r="D2392" i="45" s="1"/>
  <c r="D2395" i="45" s="1"/>
  <c r="D2398" i="45" s="1"/>
  <c r="D2401" i="45" s="1"/>
  <c r="B2386" i="45"/>
  <c r="B2389" i="45" s="1"/>
  <c r="B2392" i="45" s="1"/>
  <c r="B2395" i="45" s="1"/>
  <c r="B2398" i="45" s="1"/>
  <c r="B2401" i="45" s="1"/>
  <c r="A2386" i="45"/>
  <c r="A2389" i="45" s="1"/>
  <c r="A2392" i="45" s="1"/>
  <c r="A2395" i="45" s="1"/>
  <c r="G2385" i="45"/>
  <c r="G2386" i="45" s="1"/>
  <c r="G2387" i="45" s="1"/>
  <c r="G2388" i="45" s="1"/>
  <c r="G2389" i="45" s="1"/>
  <c r="C2385" i="45"/>
  <c r="M2385" i="45" s="1"/>
  <c r="F2381" i="45"/>
  <c r="F2382" i="45" s="1"/>
  <c r="F2383" i="45" s="1"/>
  <c r="F2384" i="45" s="1"/>
  <c r="F2376" i="45"/>
  <c r="F2377" i="45" s="1"/>
  <c r="F2378" i="45" s="1"/>
  <c r="F2379" i="45" s="1"/>
  <c r="F2371" i="45"/>
  <c r="F2372" i="45" s="1"/>
  <c r="F2373" i="45" s="1"/>
  <c r="F2366" i="45"/>
  <c r="F2369" i="45" s="1"/>
  <c r="E2366" i="45"/>
  <c r="D2366" i="45"/>
  <c r="D2369" i="45" s="1"/>
  <c r="D2372" i="45" s="1"/>
  <c r="D2375" i="45" s="1"/>
  <c r="D2378" i="45" s="1"/>
  <c r="D2381" i="45" s="1"/>
  <c r="B2366" i="45"/>
  <c r="B2369" i="45" s="1"/>
  <c r="B2372" i="45" s="1"/>
  <c r="B2375" i="45" s="1"/>
  <c r="B2378" i="45" s="1"/>
  <c r="B2381" i="45" s="1"/>
  <c r="A2366" i="45"/>
  <c r="A2367" i="45" s="1"/>
  <c r="A2370" i="45" s="1"/>
  <c r="G2365" i="45"/>
  <c r="G2366" i="45" s="1"/>
  <c r="G2367" i="45" s="1"/>
  <c r="G2368" i="45" s="1"/>
  <c r="G2369" i="45" s="1"/>
  <c r="C2365" i="45"/>
  <c r="M2365" i="45" s="1"/>
  <c r="F2361" i="45"/>
  <c r="F2362" i="45" s="1"/>
  <c r="F2363" i="45" s="1"/>
  <c r="F2364" i="45" s="1"/>
  <c r="F2356" i="45"/>
  <c r="F2357" i="45" s="1"/>
  <c r="F2358" i="45" s="1"/>
  <c r="F2359" i="45" s="1"/>
  <c r="F2351" i="45"/>
  <c r="F2354" i="45" s="1"/>
  <c r="F2346" i="45"/>
  <c r="F2349" i="45" s="1"/>
  <c r="E2346" i="45"/>
  <c r="D2346" i="45"/>
  <c r="D2349" i="45" s="1"/>
  <c r="D2352" i="45" s="1"/>
  <c r="D2355" i="45" s="1"/>
  <c r="D2358" i="45" s="1"/>
  <c r="D2361" i="45" s="1"/>
  <c r="B2346" i="45"/>
  <c r="B2349" i="45" s="1"/>
  <c r="B2352" i="45" s="1"/>
  <c r="B2355" i="45" s="1"/>
  <c r="B2358" i="45" s="1"/>
  <c r="B2361" i="45" s="1"/>
  <c r="A2346" i="45"/>
  <c r="A2349" i="45" s="1"/>
  <c r="A2352" i="45" s="1"/>
  <c r="A2355" i="45" s="1"/>
  <c r="G2345" i="45"/>
  <c r="G2346" i="45" s="1"/>
  <c r="G2347" i="45" s="1"/>
  <c r="G2348" i="45" s="1"/>
  <c r="G2349" i="45" s="1"/>
  <c r="C2345" i="45"/>
  <c r="M2345" i="45" s="1"/>
  <c r="F2341" i="45"/>
  <c r="F2342" i="45" s="1"/>
  <c r="F2343" i="45" s="1"/>
  <c r="F2344" i="45" s="1"/>
  <c r="F2336" i="45"/>
  <c r="F2337" i="45" s="1"/>
  <c r="F2338" i="45" s="1"/>
  <c r="F2339" i="45" s="1"/>
  <c r="F2331" i="45"/>
  <c r="F2334" i="45" s="1"/>
  <c r="F2326" i="45"/>
  <c r="E2326" i="45"/>
  <c r="D2326" i="45"/>
  <c r="C2326" i="45"/>
  <c r="C2327" i="45" s="1"/>
  <c r="C2328" i="45" s="1"/>
  <c r="C2329" i="45" s="1"/>
  <c r="C2330" i="45" s="1"/>
  <c r="C2331" i="45" s="1"/>
  <c r="C2332" i="45" s="1"/>
  <c r="B2326" i="45"/>
  <c r="A2326" i="45"/>
  <c r="A2327" i="45" s="1"/>
  <c r="G2325" i="45"/>
  <c r="G2326" i="45" s="1"/>
  <c r="G2327" i="45" s="1"/>
  <c r="G2328" i="45" s="1"/>
  <c r="G2329" i="45" s="1"/>
  <c r="F2321" i="45"/>
  <c r="F2322" i="45" s="1"/>
  <c r="F2323" i="45" s="1"/>
  <c r="F2324" i="45" s="1"/>
  <c r="F2316" i="45"/>
  <c r="F2317" i="45" s="1"/>
  <c r="F2318" i="45" s="1"/>
  <c r="F2319" i="45" s="1"/>
  <c r="F2311" i="45"/>
  <c r="F2306" i="45"/>
  <c r="F2309" i="45" s="1"/>
  <c r="E2306" i="45"/>
  <c r="D2306" i="45"/>
  <c r="D2309" i="45" s="1"/>
  <c r="D2312" i="45" s="1"/>
  <c r="D2315" i="45" s="1"/>
  <c r="D2318" i="45" s="1"/>
  <c r="D2321" i="45" s="1"/>
  <c r="C2306" i="45"/>
  <c r="C2307" i="45" s="1"/>
  <c r="C2308" i="45" s="1"/>
  <c r="C2309" i="45" s="1"/>
  <c r="C2310" i="45" s="1"/>
  <c r="C2311" i="45" s="1"/>
  <c r="C2312" i="45" s="1"/>
  <c r="C2313" i="45" s="1"/>
  <c r="C2314" i="45" s="1"/>
  <c r="C2315" i="45" s="1"/>
  <c r="C2316" i="45" s="1"/>
  <c r="C2317" i="45" s="1"/>
  <c r="C2318" i="45" s="1"/>
  <c r="C2319" i="45" s="1"/>
  <c r="C2320" i="45" s="1"/>
  <c r="C2321" i="45" s="1"/>
  <c r="C2322" i="45" s="1"/>
  <c r="C2323" i="45" s="1"/>
  <c r="C2324" i="45" s="1"/>
  <c r="B2306" i="45"/>
  <c r="B2309" i="45" s="1"/>
  <c r="B2312" i="45" s="1"/>
  <c r="B2315" i="45" s="1"/>
  <c r="B2318" i="45" s="1"/>
  <c r="B2321" i="45" s="1"/>
  <c r="A2306" i="45"/>
  <c r="A2309" i="45" s="1"/>
  <c r="A2312" i="45" s="1"/>
  <c r="A2315" i="45" s="1"/>
  <c r="G2305" i="45"/>
  <c r="G2306" i="45" s="1"/>
  <c r="G2307" i="45" s="1"/>
  <c r="G2308" i="45" s="1"/>
  <c r="G2309" i="45" s="1"/>
  <c r="F2301" i="45"/>
  <c r="F2302" i="45" s="1"/>
  <c r="F2303" i="45" s="1"/>
  <c r="F2304" i="45" s="1"/>
  <c r="F2296" i="45"/>
  <c r="F2297" i="45" s="1"/>
  <c r="F2298" i="45" s="1"/>
  <c r="F2299" i="45" s="1"/>
  <c r="F2291" i="45"/>
  <c r="F2294" i="45" s="1"/>
  <c r="F2286" i="45"/>
  <c r="F2289" i="45" s="1"/>
  <c r="E2286" i="45"/>
  <c r="D2286" i="45"/>
  <c r="D2289" i="45" s="1"/>
  <c r="D2292" i="45" s="1"/>
  <c r="D2295" i="45" s="1"/>
  <c r="D2298" i="45" s="1"/>
  <c r="D2301" i="45" s="1"/>
  <c r="C2286" i="45"/>
  <c r="C2287" i="45" s="1"/>
  <c r="C2288" i="45" s="1"/>
  <c r="C2289" i="45" s="1"/>
  <c r="C2290" i="45" s="1"/>
  <c r="C2291" i="45" s="1"/>
  <c r="C2292" i="45" s="1"/>
  <c r="C2293" i="45" s="1"/>
  <c r="C2294" i="45" s="1"/>
  <c r="C2295" i="45" s="1"/>
  <c r="C2296" i="45" s="1"/>
  <c r="C2297" i="45" s="1"/>
  <c r="C2298" i="45" s="1"/>
  <c r="C2299" i="45" s="1"/>
  <c r="C2300" i="45" s="1"/>
  <c r="C2301" i="45" s="1"/>
  <c r="C2302" i="45" s="1"/>
  <c r="C2303" i="45" s="1"/>
  <c r="C2304" i="45" s="1"/>
  <c r="B2286" i="45"/>
  <c r="B2289" i="45" s="1"/>
  <c r="B2292" i="45" s="1"/>
  <c r="B2295" i="45" s="1"/>
  <c r="B2298" i="45" s="1"/>
  <c r="B2301" i="45" s="1"/>
  <c r="A2286" i="45"/>
  <c r="A2289" i="45" s="1"/>
  <c r="A2292" i="45" s="1"/>
  <c r="A2295" i="45" s="1"/>
  <c r="G2285" i="45"/>
  <c r="G2286" i="45" s="1"/>
  <c r="G2287" i="45" s="1"/>
  <c r="G2288" i="45" s="1"/>
  <c r="G2289" i="45" s="1"/>
  <c r="F2281" i="45"/>
  <c r="F2282" i="45" s="1"/>
  <c r="F2283" i="45" s="1"/>
  <c r="F2284" i="45" s="1"/>
  <c r="F2276" i="45"/>
  <c r="F2277" i="45" s="1"/>
  <c r="F2278" i="45" s="1"/>
  <c r="F2279" i="45" s="1"/>
  <c r="F2271" i="45"/>
  <c r="F2274" i="45" s="1"/>
  <c r="F2266" i="45"/>
  <c r="F2269" i="45" s="1"/>
  <c r="E2266" i="45"/>
  <c r="D2266" i="45"/>
  <c r="D2267" i="45" s="1"/>
  <c r="D2270" i="45" s="1"/>
  <c r="D2273" i="45" s="1"/>
  <c r="D2276" i="45" s="1"/>
  <c r="D2279" i="45" s="1"/>
  <c r="C2266" i="45"/>
  <c r="C2267" i="45" s="1"/>
  <c r="C2268" i="45" s="1"/>
  <c r="C2269" i="45" s="1"/>
  <c r="C2270" i="45" s="1"/>
  <c r="C2271" i="45" s="1"/>
  <c r="C2272" i="45" s="1"/>
  <c r="C2273" i="45" s="1"/>
  <c r="C2274" i="45" s="1"/>
  <c r="C2275" i="45" s="1"/>
  <c r="C2276" i="45" s="1"/>
  <c r="C2277" i="45" s="1"/>
  <c r="C2278" i="45" s="1"/>
  <c r="C2279" i="45" s="1"/>
  <c r="C2280" i="45" s="1"/>
  <c r="C2281" i="45" s="1"/>
  <c r="C2282" i="45" s="1"/>
  <c r="C2283" i="45" s="1"/>
  <c r="C2284" i="45" s="1"/>
  <c r="B2266" i="45"/>
  <c r="B2269" i="45" s="1"/>
  <c r="B2272" i="45" s="1"/>
  <c r="B2275" i="45" s="1"/>
  <c r="B2278" i="45" s="1"/>
  <c r="B2281" i="45" s="1"/>
  <c r="A2266" i="45"/>
  <c r="A2269" i="45" s="1"/>
  <c r="A2272" i="45" s="1"/>
  <c r="A2275" i="45" s="1"/>
  <c r="G2265" i="45"/>
  <c r="G2266" i="45" s="1"/>
  <c r="G2267" i="45" s="1"/>
  <c r="G2268" i="45" s="1"/>
  <c r="G2269" i="45" s="1"/>
  <c r="F2261" i="45"/>
  <c r="F2262" i="45" s="1"/>
  <c r="F2263" i="45" s="1"/>
  <c r="F2264" i="45" s="1"/>
  <c r="F2256" i="45"/>
  <c r="F2257" i="45" s="1"/>
  <c r="F2258" i="45" s="1"/>
  <c r="F2259" i="45" s="1"/>
  <c r="F2251" i="45"/>
  <c r="F2254" i="45" s="1"/>
  <c r="F2246" i="45"/>
  <c r="F2249" i="45" s="1"/>
  <c r="E2246" i="45"/>
  <c r="D2246" i="45"/>
  <c r="D2249" i="45" s="1"/>
  <c r="D2252" i="45" s="1"/>
  <c r="D2255" i="45" s="1"/>
  <c r="D2258" i="45" s="1"/>
  <c r="D2261" i="45" s="1"/>
  <c r="C2246" i="45"/>
  <c r="C2247" i="45" s="1"/>
  <c r="C2248" i="45" s="1"/>
  <c r="C2249" i="45" s="1"/>
  <c r="C2250" i="45" s="1"/>
  <c r="C2251" i="45" s="1"/>
  <c r="C2252" i="45" s="1"/>
  <c r="C2253" i="45" s="1"/>
  <c r="C2254" i="45" s="1"/>
  <c r="C2255" i="45" s="1"/>
  <c r="C2256" i="45" s="1"/>
  <c r="C2257" i="45" s="1"/>
  <c r="C2258" i="45" s="1"/>
  <c r="C2259" i="45" s="1"/>
  <c r="C2260" i="45" s="1"/>
  <c r="C2261" i="45" s="1"/>
  <c r="C2262" i="45" s="1"/>
  <c r="C2263" i="45" s="1"/>
  <c r="C2264" i="45" s="1"/>
  <c r="B2246" i="45"/>
  <c r="B2249" i="45" s="1"/>
  <c r="B2252" i="45" s="1"/>
  <c r="B2255" i="45" s="1"/>
  <c r="B2258" i="45" s="1"/>
  <c r="B2261" i="45" s="1"/>
  <c r="A2246" i="45"/>
  <c r="A2249" i="45" s="1"/>
  <c r="A2252" i="45" s="1"/>
  <c r="A2255" i="45" s="1"/>
  <c r="G2245" i="45"/>
  <c r="G2246" i="45" s="1"/>
  <c r="G2247" i="45" s="1"/>
  <c r="G2248" i="45" s="1"/>
  <c r="G2249" i="45" s="1"/>
  <c r="F2241" i="45"/>
  <c r="F2242" i="45" s="1"/>
  <c r="F2243" i="45" s="1"/>
  <c r="F2244" i="45" s="1"/>
  <c r="F2236" i="45"/>
  <c r="F2237" i="45" s="1"/>
  <c r="F2238" i="45" s="1"/>
  <c r="F2239" i="45" s="1"/>
  <c r="F2231" i="45"/>
  <c r="F2234" i="45" s="1"/>
  <c r="A2229" i="45"/>
  <c r="A2232" i="45" s="1"/>
  <c r="A2235" i="45" s="1"/>
  <c r="A2227" i="45"/>
  <c r="A2228" i="45" s="1"/>
  <c r="A2231" i="45" s="1"/>
  <c r="A2234" i="45" s="1"/>
  <c r="A2237" i="45" s="1"/>
  <c r="A2240" i="45" s="1"/>
  <c r="F2226" i="45"/>
  <c r="F2227" i="45" s="1"/>
  <c r="F2228" i="45" s="1"/>
  <c r="E2226" i="45"/>
  <c r="D2226" i="45"/>
  <c r="D2229" i="45" s="1"/>
  <c r="D2232" i="45" s="1"/>
  <c r="D2235" i="45" s="1"/>
  <c r="D2238" i="45" s="1"/>
  <c r="D2241" i="45" s="1"/>
  <c r="C2226" i="45"/>
  <c r="C2227" i="45" s="1"/>
  <c r="C2228" i="45" s="1"/>
  <c r="C2229" i="45" s="1"/>
  <c r="C2230" i="45" s="1"/>
  <c r="C2231" i="45" s="1"/>
  <c r="C2232" i="45" s="1"/>
  <c r="C2233" i="45" s="1"/>
  <c r="C2234" i="45" s="1"/>
  <c r="C2235" i="45" s="1"/>
  <c r="C2236" i="45" s="1"/>
  <c r="C2237" i="45" s="1"/>
  <c r="C2238" i="45" s="1"/>
  <c r="C2239" i="45" s="1"/>
  <c r="C2240" i="45" s="1"/>
  <c r="C2241" i="45" s="1"/>
  <c r="C2242" i="45" s="1"/>
  <c r="C2243" i="45" s="1"/>
  <c r="C2244" i="45" s="1"/>
  <c r="B2226" i="45"/>
  <c r="B2227" i="45" s="1"/>
  <c r="B2230" i="45" s="1"/>
  <c r="B2233" i="45" s="1"/>
  <c r="B2236" i="45" s="1"/>
  <c r="B2239" i="45" s="1"/>
  <c r="G2225" i="45"/>
  <c r="G2226" i="45" s="1"/>
  <c r="G2227" i="45" s="1"/>
  <c r="G2228" i="45" s="1"/>
  <c r="G2229" i="45" s="1"/>
  <c r="F2221" i="45"/>
  <c r="F2222" i="45" s="1"/>
  <c r="F2223" i="45" s="1"/>
  <c r="F2224" i="45" s="1"/>
  <c r="F2216" i="45"/>
  <c r="F2217" i="45" s="1"/>
  <c r="F2218" i="45" s="1"/>
  <c r="F2219" i="45" s="1"/>
  <c r="F2211" i="45"/>
  <c r="F2214" i="45" s="1"/>
  <c r="F2206" i="45"/>
  <c r="F2207" i="45" s="1"/>
  <c r="F2208" i="45" s="1"/>
  <c r="E2206" i="45"/>
  <c r="D2206" i="45"/>
  <c r="D2209" i="45" s="1"/>
  <c r="D2212" i="45" s="1"/>
  <c r="D2215" i="45" s="1"/>
  <c r="D2218" i="45" s="1"/>
  <c r="D2221" i="45" s="1"/>
  <c r="B2206" i="45"/>
  <c r="B2207" i="45" s="1"/>
  <c r="B2210" i="45" s="1"/>
  <c r="B2213" i="45" s="1"/>
  <c r="B2216" i="45" s="1"/>
  <c r="B2219" i="45" s="1"/>
  <c r="A2206" i="45"/>
  <c r="A2209" i="45" s="1"/>
  <c r="A2212" i="45" s="1"/>
  <c r="A2215" i="45" s="1"/>
  <c r="G2205" i="45"/>
  <c r="G2206" i="45" s="1"/>
  <c r="G2207" i="45" s="1"/>
  <c r="G2208" i="45" s="1"/>
  <c r="G2209" i="45" s="1"/>
  <c r="C2205" i="45"/>
  <c r="M2205" i="45" s="1"/>
  <c r="F2201" i="45"/>
  <c r="F2202" i="45" s="1"/>
  <c r="F2203" i="45" s="1"/>
  <c r="F2204" i="45" s="1"/>
  <c r="F2196" i="45"/>
  <c r="F2197" i="45" s="1"/>
  <c r="F2198" i="45" s="1"/>
  <c r="F2199" i="45" s="1"/>
  <c r="F2191" i="45"/>
  <c r="F2194" i="45" s="1"/>
  <c r="F2186" i="45"/>
  <c r="F2187" i="45" s="1"/>
  <c r="F2188" i="45" s="1"/>
  <c r="E2186" i="45"/>
  <c r="D2186" i="45"/>
  <c r="D2189" i="45" s="1"/>
  <c r="D2192" i="45" s="1"/>
  <c r="D2195" i="45" s="1"/>
  <c r="D2198" i="45" s="1"/>
  <c r="D2201" i="45" s="1"/>
  <c r="B2186" i="45"/>
  <c r="B2187" i="45" s="1"/>
  <c r="B2190" i="45" s="1"/>
  <c r="B2193" i="45" s="1"/>
  <c r="B2196" i="45" s="1"/>
  <c r="B2199" i="45" s="1"/>
  <c r="A2186" i="45"/>
  <c r="A2189" i="45" s="1"/>
  <c r="A2192" i="45" s="1"/>
  <c r="A2195" i="45" s="1"/>
  <c r="G2185" i="45"/>
  <c r="G2186" i="45" s="1"/>
  <c r="G2187" i="45" s="1"/>
  <c r="G2188" i="45" s="1"/>
  <c r="G2189" i="45" s="1"/>
  <c r="C2185" i="45"/>
  <c r="M2185" i="45" s="1"/>
  <c r="F2181" i="45"/>
  <c r="F2182" i="45" s="1"/>
  <c r="F2183" i="45" s="1"/>
  <c r="F2184" i="45" s="1"/>
  <c r="F2176" i="45"/>
  <c r="F2177" i="45" s="1"/>
  <c r="F2178" i="45" s="1"/>
  <c r="F2179" i="45" s="1"/>
  <c r="F2171" i="45"/>
  <c r="F2174" i="45" s="1"/>
  <c r="F2166" i="45"/>
  <c r="F2167" i="45" s="1"/>
  <c r="F2168" i="45" s="1"/>
  <c r="E2166" i="45"/>
  <c r="D2166" i="45"/>
  <c r="D2169" i="45" s="1"/>
  <c r="D2172" i="45" s="1"/>
  <c r="D2175" i="45" s="1"/>
  <c r="D2178" i="45" s="1"/>
  <c r="D2181" i="45" s="1"/>
  <c r="B2166" i="45"/>
  <c r="B2167" i="45" s="1"/>
  <c r="B2170" i="45" s="1"/>
  <c r="B2173" i="45" s="1"/>
  <c r="B2176" i="45" s="1"/>
  <c r="B2179" i="45" s="1"/>
  <c r="A2166" i="45"/>
  <c r="A2169" i="45" s="1"/>
  <c r="A2172" i="45" s="1"/>
  <c r="A2175" i="45" s="1"/>
  <c r="G2165" i="45"/>
  <c r="G2166" i="45" s="1"/>
  <c r="G2167" i="45" s="1"/>
  <c r="G2168" i="45" s="1"/>
  <c r="G2169" i="45" s="1"/>
  <c r="C2165" i="45"/>
  <c r="M2165" i="45" s="1"/>
  <c r="F2161" i="45"/>
  <c r="F2162" i="45" s="1"/>
  <c r="F2163" i="45" s="1"/>
  <c r="F2164" i="45" s="1"/>
  <c r="F2156" i="45"/>
  <c r="F2157" i="45" s="1"/>
  <c r="F2158" i="45" s="1"/>
  <c r="F2159" i="45" s="1"/>
  <c r="F2151" i="45"/>
  <c r="F2152" i="45" s="1"/>
  <c r="F2153" i="45" s="1"/>
  <c r="F2146" i="45"/>
  <c r="E2146" i="45"/>
  <c r="D2146" i="45"/>
  <c r="C2146" i="45"/>
  <c r="C2147" i="45" s="1"/>
  <c r="C2148" i="45" s="1"/>
  <c r="C2149" i="45" s="1"/>
  <c r="C2150" i="45" s="1"/>
  <c r="C2151" i="45" s="1"/>
  <c r="C2152" i="45" s="1"/>
  <c r="C2153" i="45" s="1"/>
  <c r="C2154" i="45" s="1"/>
  <c r="C2155" i="45" s="1"/>
  <c r="C2156" i="45" s="1"/>
  <c r="C2157" i="45" s="1"/>
  <c r="C2158" i="45" s="1"/>
  <c r="C2159" i="45" s="1"/>
  <c r="C2160" i="45" s="1"/>
  <c r="C2161" i="45" s="1"/>
  <c r="C2162" i="45" s="1"/>
  <c r="C2163" i="45" s="1"/>
  <c r="C2164" i="45" s="1"/>
  <c r="B2146" i="45"/>
  <c r="A2146" i="45"/>
  <c r="A2149" i="45" s="1"/>
  <c r="A2152" i="45" s="1"/>
  <c r="A2155" i="45" s="1"/>
  <c r="G2145" i="45"/>
  <c r="G2146" i="45" s="1"/>
  <c r="G2147" i="45" s="1"/>
  <c r="G2148" i="45" s="1"/>
  <c r="G2149" i="45" s="1"/>
  <c r="F2141" i="45"/>
  <c r="F2142" i="45" s="1"/>
  <c r="F2143" i="45" s="1"/>
  <c r="F2144" i="45" s="1"/>
  <c r="F2136" i="45"/>
  <c r="F2137" i="45" s="1"/>
  <c r="F2138" i="45" s="1"/>
  <c r="F2139" i="45" s="1"/>
  <c r="F2131" i="45"/>
  <c r="F2134" i="45" s="1"/>
  <c r="F2126" i="45"/>
  <c r="E2126" i="45"/>
  <c r="D2126" i="45"/>
  <c r="C2126" i="45"/>
  <c r="C2127" i="45" s="1"/>
  <c r="C2128" i="45" s="1"/>
  <c r="C2129" i="45" s="1"/>
  <c r="C2130" i="45" s="1"/>
  <c r="C2131" i="45" s="1"/>
  <c r="C2132" i="45" s="1"/>
  <c r="C2133" i="45" s="1"/>
  <c r="C2134" i="45" s="1"/>
  <c r="C2135" i="45" s="1"/>
  <c r="C2136" i="45" s="1"/>
  <c r="C2137" i="45" s="1"/>
  <c r="C2138" i="45" s="1"/>
  <c r="C2139" i="45" s="1"/>
  <c r="C2140" i="45" s="1"/>
  <c r="C2141" i="45" s="1"/>
  <c r="C2142" i="45" s="1"/>
  <c r="C2143" i="45" s="1"/>
  <c r="C2144" i="45" s="1"/>
  <c r="B2126" i="45"/>
  <c r="A2126" i="45"/>
  <c r="G2125" i="45"/>
  <c r="G2126" i="45" s="1"/>
  <c r="G2127" i="45" s="1"/>
  <c r="G2128" i="45" s="1"/>
  <c r="G2129" i="45" s="1"/>
  <c r="F2121" i="45"/>
  <c r="F2122" i="45" s="1"/>
  <c r="F2123" i="45" s="1"/>
  <c r="F2124" i="45" s="1"/>
  <c r="F2116" i="45"/>
  <c r="F2117" i="45" s="1"/>
  <c r="F2118" i="45" s="1"/>
  <c r="F2119" i="45" s="1"/>
  <c r="F2111" i="45"/>
  <c r="F2106" i="45"/>
  <c r="E2106" i="45"/>
  <c r="D2106" i="45"/>
  <c r="C2106" i="45"/>
  <c r="C2107" i="45" s="1"/>
  <c r="C2108" i="45" s="1"/>
  <c r="C2109" i="45" s="1"/>
  <c r="C2110" i="45" s="1"/>
  <c r="C2111" i="45" s="1"/>
  <c r="C2112" i="45" s="1"/>
  <c r="C2113" i="45" s="1"/>
  <c r="C2114" i="45" s="1"/>
  <c r="C2115" i="45" s="1"/>
  <c r="C2116" i="45" s="1"/>
  <c r="C2117" i="45" s="1"/>
  <c r="C2118" i="45" s="1"/>
  <c r="C2119" i="45" s="1"/>
  <c r="C2120" i="45" s="1"/>
  <c r="C2121" i="45" s="1"/>
  <c r="C2122" i="45" s="1"/>
  <c r="C2123" i="45" s="1"/>
  <c r="C2124" i="45" s="1"/>
  <c r="B2106" i="45"/>
  <c r="A2106" i="45"/>
  <c r="G2105" i="45"/>
  <c r="G2106" i="45" s="1"/>
  <c r="G2107" i="45" s="1"/>
  <c r="G2108" i="45" s="1"/>
  <c r="G2109" i="45" s="1"/>
  <c r="F2101" i="45"/>
  <c r="F2102" i="45" s="1"/>
  <c r="F2103" i="45" s="1"/>
  <c r="F2104" i="45" s="1"/>
  <c r="F2096" i="45"/>
  <c r="F2097" i="45" s="1"/>
  <c r="F2098" i="45" s="1"/>
  <c r="F2099" i="45" s="1"/>
  <c r="F2091" i="45"/>
  <c r="F2086" i="45"/>
  <c r="E2086" i="45"/>
  <c r="D2086" i="45"/>
  <c r="D2089" i="45" s="1"/>
  <c r="D2092" i="45" s="1"/>
  <c r="D2095" i="45" s="1"/>
  <c r="D2098" i="45" s="1"/>
  <c r="D2101" i="45" s="1"/>
  <c r="C2086" i="45"/>
  <c r="C2087" i="45" s="1"/>
  <c r="C2088" i="45" s="1"/>
  <c r="C2089" i="45" s="1"/>
  <c r="C2090" i="45" s="1"/>
  <c r="C2091" i="45" s="1"/>
  <c r="C2092" i="45" s="1"/>
  <c r="C2093" i="45" s="1"/>
  <c r="C2094" i="45" s="1"/>
  <c r="C2095" i="45" s="1"/>
  <c r="C2096" i="45" s="1"/>
  <c r="C2097" i="45" s="1"/>
  <c r="C2098" i="45" s="1"/>
  <c r="C2099" i="45" s="1"/>
  <c r="C2100" i="45" s="1"/>
  <c r="C2101" i="45" s="1"/>
  <c r="C2102" i="45" s="1"/>
  <c r="C2103" i="45" s="1"/>
  <c r="C2104" i="45" s="1"/>
  <c r="B2086" i="45"/>
  <c r="A2086" i="45"/>
  <c r="G2085" i="45"/>
  <c r="G2086" i="45" s="1"/>
  <c r="G2087" i="45" s="1"/>
  <c r="G2088" i="45" s="1"/>
  <c r="G2089" i="45" s="1"/>
  <c r="F2081" i="45"/>
  <c r="F2082" i="45" s="1"/>
  <c r="F2083" i="45" s="1"/>
  <c r="F2084" i="45" s="1"/>
  <c r="F2076" i="45"/>
  <c r="F2077" i="45" s="1"/>
  <c r="F2078" i="45" s="1"/>
  <c r="F2079" i="45" s="1"/>
  <c r="F2071" i="45"/>
  <c r="F2074" i="45" s="1"/>
  <c r="F2066" i="45"/>
  <c r="E2066" i="45"/>
  <c r="D2066" i="45"/>
  <c r="C2066" i="45"/>
  <c r="C2067" i="45" s="1"/>
  <c r="C2068" i="45" s="1"/>
  <c r="C2069" i="45" s="1"/>
  <c r="C2070" i="45" s="1"/>
  <c r="C2071" i="45" s="1"/>
  <c r="C2072" i="45" s="1"/>
  <c r="C2073" i="45" s="1"/>
  <c r="C2074" i="45" s="1"/>
  <c r="C2075" i="45" s="1"/>
  <c r="C2076" i="45" s="1"/>
  <c r="C2077" i="45" s="1"/>
  <c r="C2078" i="45" s="1"/>
  <c r="C2079" i="45" s="1"/>
  <c r="C2080" i="45" s="1"/>
  <c r="C2081" i="45" s="1"/>
  <c r="C2082" i="45" s="1"/>
  <c r="C2083" i="45" s="1"/>
  <c r="C2084" i="45" s="1"/>
  <c r="B2066" i="45"/>
  <c r="A2066" i="45"/>
  <c r="G2065" i="45"/>
  <c r="G2066" i="45" s="1"/>
  <c r="G2067" i="45" s="1"/>
  <c r="G2068" i="45" s="1"/>
  <c r="G2069" i="45" s="1"/>
  <c r="F2061" i="45"/>
  <c r="F2062" i="45" s="1"/>
  <c r="F2063" i="45" s="1"/>
  <c r="F2064" i="45" s="1"/>
  <c r="F2056" i="45"/>
  <c r="F2057" i="45" s="1"/>
  <c r="F2058" i="45" s="1"/>
  <c r="F2059" i="45" s="1"/>
  <c r="F2051" i="45"/>
  <c r="A2049" i="45"/>
  <c r="A2052" i="45" s="1"/>
  <c r="A2055" i="45" s="1"/>
  <c r="A2058" i="45" s="1"/>
  <c r="A2061" i="45" s="1"/>
  <c r="A2047" i="45"/>
  <c r="A2048" i="45" s="1"/>
  <c r="A2051" i="45" s="1"/>
  <c r="A2054" i="45" s="1"/>
  <c r="A2057" i="45" s="1"/>
  <c r="A2060" i="45" s="1"/>
  <c r="F2046" i="45"/>
  <c r="F2047" i="45" s="1"/>
  <c r="F2048" i="45" s="1"/>
  <c r="E2046" i="45"/>
  <c r="D2046" i="45"/>
  <c r="D2049" i="45" s="1"/>
  <c r="D2052" i="45" s="1"/>
  <c r="D2055" i="45" s="1"/>
  <c r="D2058" i="45" s="1"/>
  <c r="D2061" i="45" s="1"/>
  <c r="C2046" i="45"/>
  <c r="C2047" i="45" s="1"/>
  <c r="C2048" i="45" s="1"/>
  <c r="C2049" i="45" s="1"/>
  <c r="C2050" i="45" s="1"/>
  <c r="C2051" i="45" s="1"/>
  <c r="C2052" i="45" s="1"/>
  <c r="C2053" i="45" s="1"/>
  <c r="C2054" i="45" s="1"/>
  <c r="C2055" i="45" s="1"/>
  <c r="C2056" i="45" s="1"/>
  <c r="C2057" i="45" s="1"/>
  <c r="C2058" i="45" s="1"/>
  <c r="C2059" i="45" s="1"/>
  <c r="C2060" i="45" s="1"/>
  <c r="C2061" i="45" s="1"/>
  <c r="C2062" i="45" s="1"/>
  <c r="C2063" i="45" s="1"/>
  <c r="C2064" i="45" s="1"/>
  <c r="B2046" i="45"/>
  <c r="B2047" i="45" s="1"/>
  <c r="G2045" i="45"/>
  <c r="G2046" i="45" s="1"/>
  <c r="G2047" i="45" s="1"/>
  <c r="G2048" i="45" s="1"/>
  <c r="G2049" i="45" s="1"/>
  <c r="F2041" i="45"/>
  <c r="F2042" i="45" s="1"/>
  <c r="F2043" i="45" s="1"/>
  <c r="F2044" i="45" s="1"/>
  <c r="F2036" i="45"/>
  <c r="F2037" i="45" s="1"/>
  <c r="F2038" i="45" s="1"/>
  <c r="F2039" i="45" s="1"/>
  <c r="F2031" i="45"/>
  <c r="F2034" i="45" s="1"/>
  <c r="F2026" i="45"/>
  <c r="F2029" i="45" s="1"/>
  <c r="E2026" i="45"/>
  <c r="D2026" i="45"/>
  <c r="D2029" i="45" s="1"/>
  <c r="D2032" i="45" s="1"/>
  <c r="D2035" i="45" s="1"/>
  <c r="D2038" i="45" s="1"/>
  <c r="D2041" i="45" s="1"/>
  <c r="B2026" i="45"/>
  <c r="B2029" i="45" s="1"/>
  <c r="B2032" i="45" s="1"/>
  <c r="B2035" i="45" s="1"/>
  <c r="B2038" i="45" s="1"/>
  <c r="B2041" i="45" s="1"/>
  <c r="A2026" i="45"/>
  <c r="G2025" i="45"/>
  <c r="G2026" i="45" s="1"/>
  <c r="G2027" i="45" s="1"/>
  <c r="G2028" i="45" s="1"/>
  <c r="G2029" i="45" s="1"/>
  <c r="C2025" i="45"/>
  <c r="M2025" i="45" s="1"/>
  <c r="F2021" i="45"/>
  <c r="F2022" i="45" s="1"/>
  <c r="F2023" i="45" s="1"/>
  <c r="F2024" i="45" s="1"/>
  <c r="F2016" i="45"/>
  <c r="F2017" i="45" s="1"/>
  <c r="F2018" i="45" s="1"/>
  <c r="F2019" i="45" s="1"/>
  <c r="F2011" i="45"/>
  <c r="F2012" i="45" s="1"/>
  <c r="F2013" i="45" s="1"/>
  <c r="F2006" i="45"/>
  <c r="E2006" i="45"/>
  <c r="D2006" i="45"/>
  <c r="B2006" i="45"/>
  <c r="A2006" i="45"/>
  <c r="A2009" i="45" s="1"/>
  <c r="A2012" i="45" s="1"/>
  <c r="A2015" i="45" s="1"/>
  <c r="G2005" i="45"/>
  <c r="G2006" i="45" s="1"/>
  <c r="G2007" i="45" s="1"/>
  <c r="G2008" i="45" s="1"/>
  <c r="G2009" i="45" s="1"/>
  <c r="C2005" i="45"/>
  <c r="M2005" i="45" s="1"/>
  <c r="F2001" i="45"/>
  <c r="F2002" i="45" s="1"/>
  <c r="F2003" i="45" s="1"/>
  <c r="F2004" i="45" s="1"/>
  <c r="F1996" i="45"/>
  <c r="F1997" i="45" s="1"/>
  <c r="F1998" i="45" s="1"/>
  <c r="F1999" i="45" s="1"/>
  <c r="F1991" i="45"/>
  <c r="F1992" i="45" s="1"/>
  <c r="F1993" i="45" s="1"/>
  <c r="F1986" i="45"/>
  <c r="E1986" i="45"/>
  <c r="D1986" i="45"/>
  <c r="B1986" i="45"/>
  <c r="A1986" i="45"/>
  <c r="A1987" i="45" s="1"/>
  <c r="G1985" i="45"/>
  <c r="G1986" i="45" s="1"/>
  <c r="G1987" i="45" s="1"/>
  <c r="G1988" i="45" s="1"/>
  <c r="G1989" i="45" s="1"/>
  <c r="C1985" i="45"/>
  <c r="M1985" i="45" s="1"/>
  <c r="F1981" i="45"/>
  <c r="F1982" i="45" s="1"/>
  <c r="F1983" i="45" s="1"/>
  <c r="F1984" i="45" s="1"/>
  <c r="F1976" i="45"/>
  <c r="F1977" i="45" s="1"/>
  <c r="F1978" i="45" s="1"/>
  <c r="F1979" i="45" s="1"/>
  <c r="F1971" i="45"/>
  <c r="F1974" i="45" s="1"/>
  <c r="F1966" i="45"/>
  <c r="E1966" i="45"/>
  <c r="D1966" i="45"/>
  <c r="C1966" i="45"/>
  <c r="C1967" i="45" s="1"/>
  <c r="C1968" i="45" s="1"/>
  <c r="C1969" i="45" s="1"/>
  <c r="C1970" i="45" s="1"/>
  <c r="C1971" i="45" s="1"/>
  <c r="C1972" i="45" s="1"/>
  <c r="C1973" i="45" s="1"/>
  <c r="C1974" i="45" s="1"/>
  <c r="C1975" i="45" s="1"/>
  <c r="C1976" i="45" s="1"/>
  <c r="C1977" i="45" s="1"/>
  <c r="C1978" i="45" s="1"/>
  <c r="C1979" i="45" s="1"/>
  <c r="C1980" i="45" s="1"/>
  <c r="C1981" i="45" s="1"/>
  <c r="C1982" i="45" s="1"/>
  <c r="C1983" i="45" s="1"/>
  <c r="C1984" i="45" s="1"/>
  <c r="B1966" i="45"/>
  <c r="A1966" i="45"/>
  <c r="G1965" i="45"/>
  <c r="G1966" i="45" s="1"/>
  <c r="G1967" i="45" s="1"/>
  <c r="G1968" i="45" s="1"/>
  <c r="G1969" i="45" s="1"/>
  <c r="F1961" i="45"/>
  <c r="F1962" i="45" s="1"/>
  <c r="F1963" i="45" s="1"/>
  <c r="F1964" i="45" s="1"/>
  <c r="F1956" i="45"/>
  <c r="F1957" i="45" s="1"/>
  <c r="F1958" i="45" s="1"/>
  <c r="F1959" i="45" s="1"/>
  <c r="F1951" i="45"/>
  <c r="F1954" i="45" s="1"/>
  <c r="F1946" i="45"/>
  <c r="E1946" i="45"/>
  <c r="D1946" i="45"/>
  <c r="C1946" i="45"/>
  <c r="C1947" i="45" s="1"/>
  <c r="C1948" i="45" s="1"/>
  <c r="C1949" i="45" s="1"/>
  <c r="C1950" i="45" s="1"/>
  <c r="C1951" i="45" s="1"/>
  <c r="C1952" i="45" s="1"/>
  <c r="C1953" i="45" s="1"/>
  <c r="C1954" i="45" s="1"/>
  <c r="C1955" i="45" s="1"/>
  <c r="C1956" i="45" s="1"/>
  <c r="C1957" i="45" s="1"/>
  <c r="C1958" i="45" s="1"/>
  <c r="C1959" i="45" s="1"/>
  <c r="C1960" i="45" s="1"/>
  <c r="C1961" i="45" s="1"/>
  <c r="C1962" i="45" s="1"/>
  <c r="C1963" i="45" s="1"/>
  <c r="C1964" i="45" s="1"/>
  <c r="B1946" i="45"/>
  <c r="A1946" i="45"/>
  <c r="G1945" i="45"/>
  <c r="G1946" i="45" s="1"/>
  <c r="G1947" i="45" s="1"/>
  <c r="G1948" i="45" s="1"/>
  <c r="G1949" i="45" s="1"/>
  <c r="F1941" i="45"/>
  <c r="F1942" i="45" s="1"/>
  <c r="F1943" i="45" s="1"/>
  <c r="F1944" i="45" s="1"/>
  <c r="F1936" i="45"/>
  <c r="F1937" i="45" s="1"/>
  <c r="F1938" i="45" s="1"/>
  <c r="F1939" i="45" s="1"/>
  <c r="F1931" i="45"/>
  <c r="F1926" i="45"/>
  <c r="E1926" i="45"/>
  <c r="D1926" i="45"/>
  <c r="C1926" i="45"/>
  <c r="C1927" i="45" s="1"/>
  <c r="C1928" i="45" s="1"/>
  <c r="C1929" i="45" s="1"/>
  <c r="C1930" i="45" s="1"/>
  <c r="C1931" i="45" s="1"/>
  <c r="C1932" i="45" s="1"/>
  <c r="C1933" i="45" s="1"/>
  <c r="C1934" i="45" s="1"/>
  <c r="C1935" i="45" s="1"/>
  <c r="C1936" i="45" s="1"/>
  <c r="C1937" i="45" s="1"/>
  <c r="C1938" i="45" s="1"/>
  <c r="C1939" i="45" s="1"/>
  <c r="C1940" i="45" s="1"/>
  <c r="C1941" i="45" s="1"/>
  <c r="C1942" i="45" s="1"/>
  <c r="C1943" i="45" s="1"/>
  <c r="C1944" i="45" s="1"/>
  <c r="B1926" i="45"/>
  <c r="A1926" i="45"/>
  <c r="G1925" i="45"/>
  <c r="G1926" i="45" s="1"/>
  <c r="G1927" i="45" s="1"/>
  <c r="G1928" i="45" s="1"/>
  <c r="G1929" i="45" s="1"/>
  <c r="F1921" i="45"/>
  <c r="F1922" i="45" s="1"/>
  <c r="F1923" i="45" s="1"/>
  <c r="F1924" i="45" s="1"/>
  <c r="F1916" i="45"/>
  <c r="F1917" i="45" s="1"/>
  <c r="F1918" i="45" s="1"/>
  <c r="F1919" i="45" s="1"/>
  <c r="F1911" i="45"/>
  <c r="F1906" i="45"/>
  <c r="E1906" i="45"/>
  <c r="D1906" i="45"/>
  <c r="D1909" i="45" s="1"/>
  <c r="D1912" i="45" s="1"/>
  <c r="D1915" i="45" s="1"/>
  <c r="D1918" i="45" s="1"/>
  <c r="D1921" i="45" s="1"/>
  <c r="C1906" i="45"/>
  <c r="C1907" i="45" s="1"/>
  <c r="C1908" i="45" s="1"/>
  <c r="C1909" i="45" s="1"/>
  <c r="C1910" i="45" s="1"/>
  <c r="C1911" i="45" s="1"/>
  <c r="C1912" i="45" s="1"/>
  <c r="C1913" i="45" s="1"/>
  <c r="C1914" i="45" s="1"/>
  <c r="C1915" i="45" s="1"/>
  <c r="C1916" i="45" s="1"/>
  <c r="C1917" i="45" s="1"/>
  <c r="C1918" i="45" s="1"/>
  <c r="C1919" i="45" s="1"/>
  <c r="C1920" i="45" s="1"/>
  <c r="C1921" i="45" s="1"/>
  <c r="C1922" i="45" s="1"/>
  <c r="C1923" i="45" s="1"/>
  <c r="C1924" i="45" s="1"/>
  <c r="B1906" i="45"/>
  <c r="A1906" i="45"/>
  <c r="G1905" i="45"/>
  <c r="G1906" i="45" s="1"/>
  <c r="G1907" i="45" s="1"/>
  <c r="G1908" i="45" s="1"/>
  <c r="G1909" i="45" s="1"/>
  <c r="F1901" i="45"/>
  <c r="F1902" i="45" s="1"/>
  <c r="F1903" i="45" s="1"/>
  <c r="F1904" i="45" s="1"/>
  <c r="F1896" i="45"/>
  <c r="F1897" i="45" s="1"/>
  <c r="F1898" i="45" s="1"/>
  <c r="F1899" i="45" s="1"/>
  <c r="F1891" i="45"/>
  <c r="F1894" i="45" s="1"/>
  <c r="F1886" i="45"/>
  <c r="E1886" i="45"/>
  <c r="D1886" i="45"/>
  <c r="C1886" i="45"/>
  <c r="C1887" i="45" s="1"/>
  <c r="C1888" i="45" s="1"/>
  <c r="C1889" i="45" s="1"/>
  <c r="C1890" i="45" s="1"/>
  <c r="C1891" i="45" s="1"/>
  <c r="C1892" i="45" s="1"/>
  <c r="C1893" i="45" s="1"/>
  <c r="C1894" i="45" s="1"/>
  <c r="C1895" i="45" s="1"/>
  <c r="C1896" i="45" s="1"/>
  <c r="C1897" i="45" s="1"/>
  <c r="C1898" i="45" s="1"/>
  <c r="C1899" i="45" s="1"/>
  <c r="C1900" i="45" s="1"/>
  <c r="C1901" i="45" s="1"/>
  <c r="C1902" i="45" s="1"/>
  <c r="C1903" i="45" s="1"/>
  <c r="C1904" i="45" s="1"/>
  <c r="B1886" i="45"/>
  <c r="A1886" i="45"/>
  <c r="A1889" i="45" s="1"/>
  <c r="A1892" i="45" s="1"/>
  <c r="A1895" i="45" s="1"/>
  <c r="G1885" i="45"/>
  <c r="G1886" i="45" s="1"/>
  <c r="G1887" i="45" s="1"/>
  <c r="G1888" i="45" s="1"/>
  <c r="G1889" i="45" s="1"/>
  <c r="F1881" i="45"/>
  <c r="F1882" i="45" s="1"/>
  <c r="F1883" i="45" s="1"/>
  <c r="F1884" i="45" s="1"/>
  <c r="F1876" i="45"/>
  <c r="F1877" i="45" s="1"/>
  <c r="F1878" i="45" s="1"/>
  <c r="F1879" i="45" s="1"/>
  <c r="F1871" i="45"/>
  <c r="A1869" i="45"/>
  <c r="A1872" i="45" s="1"/>
  <c r="A1875" i="45" s="1"/>
  <c r="A1878" i="45" s="1"/>
  <c r="A1881" i="45" s="1"/>
  <c r="A1867" i="45"/>
  <c r="A1868" i="45" s="1"/>
  <c r="A1871" i="45" s="1"/>
  <c r="A1874" i="45" s="1"/>
  <c r="A1877" i="45" s="1"/>
  <c r="A1880" i="45" s="1"/>
  <c r="F1866" i="45"/>
  <c r="F1869" i="45" s="1"/>
  <c r="E1866" i="45"/>
  <c r="D1866" i="45"/>
  <c r="D1869" i="45" s="1"/>
  <c r="D1872" i="45" s="1"/>
  <c r="D1875" i="45" s="1"/>
  <c r="D1878" i="45" s="1"/>
  <c r="D1881" i="45" s="1"/>
  <c r="C1866" i="45"/>
  <c r="C1867" i="45" s="1"/>
  <c r="C1868" i="45" s="1"/>
  <c r="C1869" i="45" s="1"/>
  <c r="C1870" i="45" s="1"/>
  <c r="C1871" i="45" s="1"/>
  <c r="C1872" i="45" s="1"/>
  <c r="C1873" i="45" s="1"/>
  <c r="C1874" i="45" s="1"/>
  <c r="C1875" i="45" s="1"/>
  <c r="C1876" i="45" s="1"/>
  <c r="C1877" i="45" s="1"/>
  <c r="C1878" i="45" s="1"/>
  <c r="C1879" i="45" s="1"/>
  <c r="C1880" i="45" s="1"/>
  <c r="C1881" i="45" s="1"/>
  <c r="C1882" i="45" s="1"/>
  <c r="C1883" i="45" s="1"/>
  <c r="C1884" i="45" s="1"/>
  <c r="B1866" i="45"/>
  <c r="B1869" i="45" s="1"/>
  <c r="B1872" i="45" s="1"/>
  <c r="B1875" i="45" s="1"/>
  <c r="G1865" i="45"/>
  <c r="G1866" i="45" s="1"/>
  <c r="G1867" i="45" s="1"/>
  <c r="G1868" i="45" s="1"/>
  <c r="G1869" i="45" s="1"/>
  <c r="F1861" i="45"/>
  <c r="F1862" i="45" s="1"/>
  <c r="F1863" i="45" s="1"/>
  <c r="F1864" i="45" s="1"/>
  <c r="F1856" i="45"/>
  <c r="F1857" i="45" s="1"/>
  <c r="F1858" i="45" s="1"/>
  <c r="F1859" i="45" s="1"/>
  <c r="F1851" i="45"/>
  <c r="F1854" i="45" s="1"/>
  <c r="F1846" i="45"/>
  <c r="F1849" i="45" s="1"/>
  <c r="E1846" i="45"/>
  <c r="D1846" i="45"/>
  <c r="D1847" i="45" s="1"/>
  <c r="B1846" i="45"/>
  <c r="B1849" i="45" s="1"/>
  <c r="B1852" i="45" s="1"/>
  <c r="B1855" i="45" s="1"/>
  <c r="B1858" i="45" s="1"/>
  <c r="B1861" i="45" s="1"/>
  <c r="A1846" i="45"/>
  <c r="G1845" i="45"/>
  <c r="G1846" i="45" s="1"/>
  <c r="G1847" i="45" s="1"/>
  <c r="G1848" i="45" s="1"/>
  <c r="G1849" i="45" s="1"/>
  <c r="C1845" i="45"/>
  <c r="M1845" i="45" s="1"/>
  <c r="F1841" i="45"/>
  <c r="F1842" i="45" s="1"/>
  <c r="F1843" i="45" s="1"/>
  <c r="F1844" i="45" s="1"/>
  <c r="F1836" i="45"/>
  <c r="F1837" i="45" s="1"/>
  <c r="F1838" i="45" s="1"/>
  <c r="F1839" i="45" s="1"/>
  <c r="F1831" i="45"/>
  <c r="F1826" i="45"/>
  <c r="F1829" i="45" s="1"/>
  <c r="E1826" i="45"/>
  <c r="D1826" i="45"/>
  <c r="D1829" i="45" s="1"/>
  <c r="D1832" i="45" s="1"/>
  <c r="D1835" i="45" s="1"/>
  <c r="D1838" i="45" s="1"/>
  <c r="D1841" i="45" s="1"/>
  <c r="B1826" i="45"/>
  <c r="B1829" i="45" s="1"/>
  <c r="B1832" i="45" s="1"/>
  <c r="B1835" i="45" s="1"/>
  <c r="B1838" i="45" s="1"/>
  <c r="B1841" i="45" s="1"/>
  <c r="A1826" i="45"/>
  <c r="G1825" i="45"/>
  <c r="G1826" i="45" s="1"/>
  <c r="G1827" i="45" s="1"/>
  <c r="G1828" i="45" s="1"/>
  <c r="G1829" i="45" s="1"/>
  <c r="C1825" i="45"/>
  <c r="M1825" i="45" s="1"/>
  <c r="F1821" i="45"/>
  <c r="F1822" i="45" s="1"/>
  <c r="F1823" i="45" s="1"/>
  <c r="F1824" i="45" s="1"/>
  <c r="F1816" i="45"/>
  <c r="F1817" i="45" s="1"/>
  <c r="F1818" i="45" s="1"/>
  <c r="F1819" i="45" s="1"/>
  <c r="F1811" i="45"/>
  <c r="F1814" i="45" s="1"/>
  <c r="F1806" i="45"/>
  <c r="F1809" i="45" s="1"/>
  <c r="E1806" i="45"/>
  <c r="D1806" i="45"/>
  <c r="D1807" i="45" s="1"/>
  <c r="D1810" i="45" s="1"/>
  <c r="D1813" i="45" s="1"/>
  <c r="D1816" i="45" s="1"/>
  <c r="D1819" i="45" s="1"/>
  <c r="B1806" i="45"/>
  <c r="B1809" i="45" s="1"/>
  <c r="B1812" i="45" s="1"/>
  <c r="B1815" i="45" s="1"/>
  <c r="B1818" i="45" s="1"/>
  <c r="B1821" i="45" s="1"/>
  <c r="A1806" i="45"/>
  <c r="A1809" i="45" s="1"/>
  <c r="A1812" i="45" s="1"/>
  <c r="A1815" i="45" s="1"/>
  <c r="G1805" i="45"/>
  <c r="G1806" i="45" s="1"/>
  <c r="G1807" i="45" s="1"/>
  <c r="G1808" i="45" s="1"/>
  <c r="G1809" i="45" s="1"/>
  <c r="C1805" i="45"/>
  <c r="M1805" i="45" s="1"/>
  <c r="F1801" i="45"/>
  <c r="F1802" i="45" s="1"/>
  <c r="F1803" i="45" s="1"/>
  <c r="F1804" i="45" s="1"/>
  <c r="F1796" i="45"/>
  <c r="F1797" i="45" s="1"/>
  <c r="F1798" i="45" s="1"/>
  <c r="F1799" i="45" s="1"/>
  <c r="F1791" i="45"/>
  <c r="F1792" i="45" s="1"/>
  <c r="F1793" i="45" s="1"/>
  <c r="F1786" i="45"/>
  <c r="E1786" i="45"/>
  <c r="D1786" i="45"/>
  <c r="C1786" i="45"/>
  <c r="C1787" i="45" s="1"/>
  <c r="C1788" i="45" s="1"/>
  <c r="C1789" i="45" s="1"/>
  <c r="C1790" i="45" s="1"/>
  <c r="C1791" i="45" s="1"/>
  <c r="C1792" i="45" s="1"/>
  <c r="C1793" i="45" s="1"/>
  <c r="C1794" i="45" s="1"/>
  <c r="C1795" i="45" s="1"/>
  <c r="C1796" i="45" s="1"/>
  <c r="C1797" i="45" s="1"/>
  <c r="C1798" i="45" s="1"/>
  <c r="C1799" i="45" s="1"/>
  <c r="C1800" i="45" s="1"/>
  <c r="C1801" i="45" s="1"/>
  <c r="C1802" i="45" s="1"/>
  <c r="C1803" i="45" s="1"/>
  <c r="C1804" i="45" s="1"/>
  <c r="B1786" i="45"/>
  <c r="A1786" i="45"/>
  <c r="A1787" i="45" s="1"/>
  <c r="G1785" i="45"/>
  <c r="G1786" i="45" s="1"/>
  <c r="G1787" i="45" s="1"/>
  <c r="G1788" i="45" s="1"/>
  <c r="G1789" i="45" s="1"/>
  <c r="F1781" i="45"/>
  <c r="F1782" i="45" s="1"/>
  <c r="F1783" i="45" s="1"/>
  <c r="F1784" i="45" s="1"/>
  <c r="F1776" i="45"/>
  <c r="F1777" i="45" s="1"/>
  <c r="F1778" i="45" s="1"/>
  <c r="F1779" i="45" s="1"/>
  <c r="F1771" i="45"/>
  <c r="F1774" i="45" s="1"/>
  <c r="F1766" i="45"/>
  <c r="E1766" i="45"/>
  <c r="D1766" i="45"/>
  <c r="C1766" i="45"/>
  <c r="C1767" i="45" s="1"/>
  <c r="C1768" i="45" s="1"/>
  <c r="C1769" i="45" s="1"/>
  <c r="C1770" i="45" s="1"/>
  <c r="C1771" i="45" s="1"/>
  <c r="C1772" i="45" s="1"/>
  <c r="C1773" i="45" s="1"/>
  <c r="C1774" i="45" s="1"/>
  <c r="C1775" i="45" s="1"/>
  <c r="C1776" i="45" s="1"/>
  <c r="C1777" i="45" s="1"/>
  <c r="C1778" i="45" s="1"/>
  <c r="C1779" i="45" s="1"/>
  <c r="C1780" i="45" s="1"/>
  <c r="C1781" i="45" s="1"/>
  <c r="C1782" i="45" s="1"/>
  <c r="C1783" i="45" s="1"/>
  <c r="C1784" i="45" s="1"/>
  <c r="B1766" i="45"/>
  <c r="A1766" i="45"/>
  <c r="A1767" i="45" s="1"/>
  <c r="G1765" i="45"/>
  <c r="G1766" i="45" s="1"/>
  <c r="G1767" i="45" s="1"/>
  <c r="G1768" i="45" s="1"/>
  <c r="G1769" i="45" s="1"/>
  <c r="F1761" i="45"/>
  <c r="F1762" i="45" s="1"/>
  <c r="F1763" i="45" s="1"/>
  <c r="F1764" i="45" s="1"/>
  <c r="F1756" i="45"/>
  <c r="F1757" i="45" s="1"/>
  <c r="F1758" i="45" s="1"/>
  <c r="F1759" i="45" s="1"/>
  <c r="F1751" i="45"/>
  <c r="F1752" i="45" s="1"/>
  <c r="F1753" i="45" s="1"/>
  <c r="F1746" i="45"/>
  <c r="F1749" i="45" s="1"/>
  <c r="E1746" i="45"/>
  <c r="D1746" i="45"/>
  <c r="D1749" i="45" s="1"/>
  <c r="D1752" i="45" s="1"/>
  <c r="D1755" i="45" s="1"/>
  <c r="D1758" i="45" s="1"/>
  <c r="D1761" i="45" s="1"/>
  <c r="C1746" i="45"/>
  <c r="C1747" i="45" s="1"/>
  <c r="C1748" i="45" s="1"/>
  <c r="C1749" i="45" s="1"/>
  <c r="C1750" i="45" s="1"/>
  <c r="C1751" i="45" s="1"/>
  <c r="C1752" i="45" s="1"/>
  <c r="C1753" i="45" s="1"/>
  <c r="C1754" i="45" s="1"/>
  <c r="C1755" i="45" s="1"/>
  <c r="C1756" i="45" s="1"/>
  <c r="C1757" i="45" s="1"/>
  <c r="C1758" i="45" s="1"/>
  <c r="C1759" i="45" s="1"/>
  <c r="C1760" i="45" s="1"/>
  <c r="C1761" i="45" s="1"/>
  <c r="C1762" i="45" s="1"/>
  <c r="C1763" i="45" s="1"/>
  <c r="C1764" i="45" s="1"/>
  <c r="B1746" i="45"/>
  <c r="B1749" i="45" s="1"/>
  <c r="B1752" i="45" s="1"/>
  <c r="B1755" i="45" s="1"/>
  <c r="B1758" i="45" s="1"/>
  <c r="B1761" i="45" s="1"/>
  <c r="A1746" i="45"/>
  <c r="A1747" i="45" s="1"/>
  <c r="A1750" i="45" s="1"/>
  <c r="G1745" i="45"/>
  <c r="G1746" i="45" s="1"/>
  <c r="G1747" i="45" s="1"/>
  <c r="G1748" i="45" s="1"/>
  <c r="G1749" i="45" s="1"/>
  <c r="F1741" i="45"/>
  <c r="F1742" i="45" s="1"/>
  <c r="F1743" i="45" s="1"/>
  <c r="F1744" i="45" s="1"/>
  <c r="F1736" i="45"/>
  <c r="F1737" i="45" s="1"/>
  <c r="F1738" i="45" s="1"/>
  <c r="F1739" i="45" s="1"/>
  <c r="F1731" i="45"/>
  <c r="F1734" i="45" s="1"/>
  <c r="F1726" i="45"/>
  <c r="F1729" i="45" s="1"/>
  <c r="E1726" i="45"/>
  <c r="D1726" i="45"/>
  <c r="D1729" i="45" s="1"/>
  <c r="D1732" i="45" s="1"/>
  <c r="D1735" i="45" s="1"/>
  <c r="D1738" i="45" s="1"/>
  <c r="D1741" i="45" s="1"/>
  <c r="C1726" i="45"/>
  <c r="C1727" i="45" s="1"/>
  <c r="C1728" i="45" s="1"/>
  <c r="C1729" i="45" s="1"/>
  <c r="C1730" i="45" s="1"/>
  <c r="C1731" i="45" s="1"/>
  <c r="C1732" i="45" s="1"/>
  <c r="C1733" i="45" s="1"/>
  <c r="C1734" i="45" s="1"/>
  <c r="C1735" i="45" s="1"/>
  <c r="C1736" i="45" s="1"/>
  <c r="C1737" i="45" s="1"/>
  <c r="C1738" i="45" s="1"/>
  <c r="C1739" i="45" s="1"/>
  <c r="C1740" i="45" s="1"/>
  <c r="C1741" i="45" s="1"/>
  <c r="C1742" i="45" s="1"/>
  <c r="C1743" i="45" s="1"/>
  <c r="C1744" i="45" s="1"/>
  <c r="B1726" i="45"/>
  <c r="B1729" i="45" s="1"/>
  <c r="B1732" i="45" s="1"/>
  <c r="B1735" i="45" s="1"/>
  <c r="B1738" i="45" s="1"/>
  <c r="B1741" i="45" s="1"/>
  <c r="A1726" i="45"/>
  <c r="G1725" i="45"/>
  <c r="G1726" i="45" s="1"/>
  <c r="G1727" i="45" s="1"/>
  <c r="G1728" i="45" s="1"/>
  <c r="G1729" i="45" s="1"/>
  <c r="F1721" i="45"/>
  <c r="F1722" i="45" s="1"/>
  <c r="F1723" i="45" s="1"/>
  <c r="F1724" i="45" s="1"/>
  <c r="F1716" i="45"/>
  <c r="F1717" i="45" s="1"/>
  <c r="F1718" i="45" s="1"/>
  <c r="F1719" i="45" s="1"/>
  <c r="F1711" i="45"/>
  <c r="F1712" i="45" s="1"/>
  <c r="F1713" i="45" s="1"/>
  <c r="F1706" i="45"/>
  <c r="F1709" i="45" s="1"/>
  <c r="E1706" i="45"/>
  <c r="D1706" i="45"/>
  <c r="D1709" i="45" s="1"/>
  <c r="D1712" i="45" s="1"/>
  <c r="D1715" i="45" s="1"/>
  <c r="D1718" i="45" s="1"/>
  <c r="D1721" i="45" s="1"/>
  <c r="C1706" i="45"/>
  <c r="C1707" i="45" s="1"/>
  <c r="C1708" i="45" s="1"/>
  <c r="C1709" i="45" s="1"/>
  <c r="C1710" i="45" s="1"/>
  <c r="C1711" i="45" s="1"/>
  <c r="C1712" i="45" s="1"/>
  <c r="C1713" i="45" s="1"/>
  <c r="C1714" i="45" s="1"/>
  <c r="C1715" i="45" s="1"/>
  <c r="C1716" i="45" s="1"/>
  <c r="C1717" i="45" s="1"/>
  <c r="C1718" i="45" s="1"/>
  <c r="C1719" i="45" s="1"/>
  <c r="C1720" i="45" s="1"/>
  <c r="C1721" i="45" s="1"/>
  <c r="C1722" i="45" s="1"/>
  <c r="C1723" i="45" s="1"/>
  <c r="C1724" i="45" s="1"/>
  <c r="B1706" i="45"/>
  <c r="B1709" i="45" s="1"/>
  <c r="B1712" i="45" s="1"/>
  <c r="B1715" i="45" s="1"/>
  <c r="B1718" i="45" s="1"/>
  <c r="B1721" i="45" s="1"/>
  <c r="A1706" i="45"/>
  <c r="A1707" i="45" s="1"/>
  <c r="A1710" i="45" s="1"/>
  <c r="G1705" i="45"/>
  <c r="G1706" i="45" s="1"/>
  <c r="G1707" i="45" s="1"/>
  <c r="G1708" i="45" s="1"/>
  <c r="G1709" i="45" s="1"/>
  <c r="F1701" i="45"/>
  <c r="F1702" i="45" s="1"/>
  <c r="F1703" i="45" s="1"/>
  <c r="F1704" i="45" s="1"/>
  <c r="F1696" i="45"/>
  <c r="F1697" i="45" s="1"/>
  <c r="F1698" i="45" s="1"/>
  <c r="F1699" i="45" s="1"/>
  <c r="F1691" i="45"/>
  <c r="F1694" i="45" s="1"/>
  <c r="A1689" i="45"/>
  <c r="A1692" i="45" s="1"/>
  <c r="A1695" i="45" s="1"/>
  <c r="A1687" i="45"/>
  <c r="A1690" i="45" s="1"/>
  <c r="A1693" i="45" s="1"/>
  <c r="A1696" i="45" s="1"/>
  <c r="A1699" i="45" s="1"/>
  <c r="F1686" i="45"/>
  <c r="F1689" i="45" s="1"/>
  <c r="E1686" i="45"/>
  <c r="D1686" i="45"/>
  <c r="D1687" i="45" s="1"/>
  <c r="C1686" i="45"/>
  <c r="C1687" i="45" s="1"/>
  <c r="C1688" i="45" s="1"/>
  <c r="C1689" i="45" s="1"/>
  <c r="C1690" i="45" s="1"/>
  <c r="C1691" i="45" s="1"/>
  <c r="C1692" i="45" s="1"/>
  <c r="C1693" i="45" s="1"/>
  <c r="C1694" i="45" s="1"/>
  <c r="C1695" i="45" s="1"/>
  <c r="C1696" i="45" s="1"/>
  <c r="C1697" i="45" s="1"/>
  <c r="C1698" i="45" s="1"/>
  <c r="C1699" i="45" s="1"/>
  <c r="C1700" i="45" s="1"/>
  <c r="C1701" i="45" s="1"/>
  <c r="C1702" i="45" s="1"/>
  <c r="C1703" i="45" s="1"/>
  <c r="C1704" i="45" s="1"/>
  <c r="B1686" i="45"/>
  <c r="B1689" i="45" s="1"/>
  <c r="B1692" i="45" s="1"/>
  <c r="B1695" i="45" s="1"/>
  <c r="B1698" i="45" s="1"/>
  <c r="B1701" i="45" s="1"/>
  <c r="G1685" i="45"/>
  <c r="G1686" i="45" s="1"/>
  <c r="G1687" i="45" s="1"/>
  <c r="G1688" i="45" s="1"/>
  <c r="G1689" i="45" s="1"/>
  <c r="F1681" i="45"/>
  <c r="F1682" i="45" s="1"/>
  <c r="F1683" i="45" s="1"/>
  <c r="F1684" i="45" s="1"/>
  <c r="F1676" i="45"/>
  <c r="F1677" i="45" s="1"/>
  <c r="F1678" i="45" s="1"/>
  <c r="F1679" i="45" s="1"/>
  <c r="F1671" i="45"/>
  <c r="F1674" i="45" s="1"/>
  <c r="F1666" i="45"/>
  <c r="F1667" i="45" s="1"/>
  <c r="F1668" i="45" s="1"/>
  <c r="E1666" i="45"/>
  <c r="D1666" i="45"/>
  <c r="D1669" i="45" s="1"/>
  <c r="D1672" i="45" s="1"/>
  <c r="D1675" i="45" s="1"/>
  <c r="D1678" i="45" s="1"/>
  <c r="D1681" i="45" s="1"/>
  <c r="B1666" i="45"/>
  <c r="B1667" i="45" s="1"/>
  <c r="B1670" i="45" s="1"/>
  <c r="B1673" i="45" s="1"/>
  <c r="B1676" i="45" s="1"/>
  <c r="B1679" i="45" s="1"/>
  <c r="A1666" i="45"/>
  <c r="A1669" i="45" s="1"/>
  <c r="A1672" i="45" s="1"/>
  <c r="A1675" i="45" s="1"/>
  <c r="G1665" i="45"/>
  <c r="G1666" i="45" s="1"/>
  <c r="G1667" i="45" s="1"/>
  <c r="G1668" i="45" s="1"/>
  <c r="G1669" i="45" s="1"/>
  <c r="C1665" i="45"/>
  <c r="M1665" i="45" s="1"/>
  <c r="F1661" i="45"/>
  <c r="F1662" i="45" s="1"/>
  <c r="F1663" i="45" s="1"/>
  <c r="F1664" i="45" s="1"/>
  <c r="F1656" i="45"/>
  <c r="F1657" i="45" s="1"/>
  <c r="F1658" i="45" s="1"/>
  <c r="F1659" i="45" s="1"/>
  <c r="F1651" i="45"/>
  <c r="F1654" i="45" s="1"/>
  <c r="F1646" i="45"/>
  <c r="F1649" i="45" s="1"/>
  <c r="E1646" i="45"/>
  <c r="D1646" i="45"/>
  <c r="D1647" i="45" s="1"/>
  <c r="D1650" i="45" s="1"/>
  <c r="D1653" i="45" s="1"/>
  <c r="D1656" i="45" s="1"/>
  <c r="D1659" i="45" s="1"/>
  <c r="B1646" i="45"/>
  <c r="B1649" i="45" s="1"/>
  <c r="B1652" i="45" s="1"/>
  <c r="B1655" i="45" s="1"/>
  <c r="B1658" i="45" s="1"/>
  <c r="B1661" i="45" s="1"/>
  <c r="A1646" i="45"/>
  <c r="A1649" i="45" s="1"/>
  <c r="A1652" i="45" s="1"/>
  <c r="A1655" i="45" s="1"/>
  <c r="G1645" i="45"/>
  <c r="G1646" i="45" s="1"/>
  <c r="G1647" i="45" s="1"/>
  <c r="G1648" i="45" s="1"/>
  <c r="G1649" i="45" s="1"/>
  <c r="C1645" i="45"/>
  <c r="M1645" i="45" s="1"/>
  <c r="F1641" i="45"/>
  <c r="F1642" i="45" s="1"/>
  <c r="F1643" i="45" s="1"/>
  <c r="F1644" i="45" s="1"/>
  <c r="F1636" i="45"/>
  <c r="F1637" i="45" s="1"/>
  <c r="F1638" i="45" s="1"/>
  <c r="F1639" i="45" s="1"/>
  <c r="F1631" i="45"/>
  <c r="F1634" i="45" s="1"/>
  <c r="F1626" i="45"/>
  <c r="F1629" i="45" s="1"/>
  <c r="E1626" i="45"/>
  <c r="D1626" i="45"/>
  <c r="D1627" i="45" s="1"/>
  <c r="D1630" i="45" s="1"/>
  <c r="D1633" i="45" s="1"/>
  <c r="D1636" i="45" s="1"/>
  <c r="D1639" i="45" s="1"/>
  <c r="B1626" i="45"/>
  <c r="B1629" i="45" s="1"/>
  <c r="B1632" i="45" s="1"/>
  <c r="B1635" i="45" s="1"/>
  <c r="B1638" i="45" s="1"/>
  <c r="B1641" i="45" s="1"/>
  <c r="A1626" i="45"/>
  <c r="A1629" i="45" s="1"/>
  <c r="A1632" i="45" s="1"/>
  <c r="A1635" i="45" s="1"/>
  <c r="G1625" i="45"/>
  <c r="G1626" i="45" s="1"/>
  <c r="G1627" i="45" s="1"/>
  <c r="G1628" i="45" s="1"/>
  <c r="G1629" i="45" s="1"/>
  <c r="C1625" i="45"/>
  <c r="M1625" i="45" s="1"/>
  <c r="F1621" i="45"/>
  <c r="F1622" i="45" s="1"/>
  <c r="F1623" i="45" s="1"/>
  <c r="F1624" i="45" s="1"/>
  <c r="F1616" i="45"/>
  <c r="F1617" i="45" s="1"/>
  <c r="F1618" i="45" s="1"/>
  <c r="F1619" i="45" s="1"/>
  <c r="F1611" i="45"/>
  <c r="F1612" i="45" s="1"/>
  <c r="F1613" i="45" s="1"/>
  <c r="F1606" i="45"/>
  <c r="E1606" i="45"/>
  <c r="D1606" i="45"/>
  <c r="C1606" i="45"/>
  <c r="C1607" i="45" s="1"/>
  <c r="C1608" i="45" s="1"/>
  <c r="C1609" i="45" s="1"/>
  <c r="C1610" i="45" s="1"/>
  <c r="C1611" i="45" s="1"/>
  <c r="C1612" i="45" s="1"/>
  <c r="C1613" i="45" s="1"/>
  <c r="C1614" i="45" s="1"/>
  <c r="C1615" i="45" s="1"/>
  <c r="C1616" i="45" s="1"/>
  <c r="C1617" i="45" s="1"/>
  <c r="C1618" i="45" s="1"/>
  <c r="C1619" i="45" s="1"/>
  <c r="C1620" i="45" s="1"/>
  <c r="C1621" i="45" s="1"/>
  <c r="C1622" i="45" s="1"/>
  <c r="C1623" i="45" s="1"/>
  <c r="C1624" i="45" s="1"/>
  <c r="B1606" i="45"/>
  <c r="A1606" i="45"/>
  <c r="A1609" i="45" s="1"/>
  <c r="A1612" i="45" s="1"/>
  <c r="A1615" i="45" s="1"/>
  <c r="G1605" i="45"/>
  <c r="G1606" i="45" s="1"/>
  <c r="G1607" i="45" s="1"/>
  <c r="G1608" i="45" s="1"/>
  <c r="G1609" i="45" s="1"/>
  <c r="F1601" i="45"/>
  <c r="F1602" i="45" s="1"/>
  <c r="F1603" i="45" s="1"/>
  <c r="F1604" i="45" s="1"/>
  <c r="F1596" i="45"/>
  <c r="F1597" i="45" s="1"/>
  <c r="F1598" i="45" s="1"/>
  <c r="F1599" i="45" s="1"/>
  <c r="F1591" i="45"/>
  <c r="F1594" i="45" s="1"/>
  <c r="F1586" i="45"/>
  <c r="E1586" i="45"/>
  <c r="D1586" i="45"/>
  <c r="C1586" i="45"/>
  <c r="C1587" i="45" s="1"/>
  <c r="C1588" i="45" s="1"/>
  <c r="C1589" i="45" s="1"/>
  <c r="C1590" i="45" s="1"/>
  <c r="C1591" i="45" s="1"/>
  <c r="C1592" i="45" s="1"/>
  <c r="C1593" i="45" s="1"/>
  <c r="C1594" i="45" s="1"/>
  <c r="C1595" i="45" s="1"/>
  <c r="C1596" i="45" s="1"/>
  <c r="C1597" i="45" s="1"/>
  <c r="C1598" i="45" s="1"/>
  <c r="C1599" i="45" s="1"/>
  <c r="C1600" i="45" s="1"/>
  <c r="C1601" i="45" s="1"/>
  <c r="C1602" i="45" s="1"/>
  <c r="C1603" i="45" s="1"/>
  <c r="C1604" i="45" s="1"/>
  <c r="B1586" i="45"/>
  <c r="A1586" i="45"/>
  <c r="G1585" i="45"/>
  <c r="G1586" i="45" s="1"/>
  <c r="G1587" i="45" s="1"/>
  <c r="G1588" i="45" s="1"/>
  <c r="G1589" i="45" s="1"/>
  <c r="F1581" i="45"/>
  <c r="F1582" i="45" s="1"/>
  <c r="F1583" i="45" s="1"/>
  <c r="F1584" i="45" s="1"/>
  <c r="F1576" i="45"/>
  <c r="F1577" i="45" s="1"/>
  <c r="F1578" i="45" s="1"/>
  <c r="F1579" i="45" s="1"/>
  <c r="F1571" i="45"/>
  <c r="F1566" i="45"/>
  <c r="E1566" i="45"/>
  <c r="D1566" i="45"/>
  <c r="C1566" i="45"/>
  <c r="C1567" i="45" s="1"/>
  <c r="C1568" i="45" s="1"/>
  <c r="C1569" i="45" s="1"/>
  <c r="C1570" i="45" s="1"/>
  <c r="C1571" i="45" s="1"/>
  <c r="C1572" i="45" s="1"/>
  <c r="C1573" i="45" s="1"/>
  <c r="C1574" i="45" s="1"/>
  <c r="C1575" i="45" s="1"/>
  <c r="C1576" i="45" s="1"/>
  <c r="C1577" i="45" s="1"/>
  <c r="C1578" i="45" s="1"/>
  <c r="C1579" i="45" s="1"/>
  <c r="C1580" i="45" s="1"/>
  <c r="C1581" i="45" s="1"/>
  <c r="C1582" i="45" s="1"/>
  <c r="C1583" i="45" s="1"/>
  <c r="C1584" i="45" s="1"/>
  <c r="B1566" i="45"/>
  <c r="A1566" i="45"/>
  <c r="G1565" i="45"/>
  <c r="G1566" i="45" s="1"/>
  <c r="G1567" i="45" s="1"/>
  <c r="G1568" i="45" s="1"/>
  <c r="G1569" i="45" s="1"/>
  <c r="F1561" i="45"/>
  <c r="F1562" i="45" s="1"/>
  <c r="F1563" i="45" s="1"/>
  <c r="F1564" i="45" s="1"/>
  <c r="F1556" i="45"/>
  <c r="F1557" i="45" s="1"/>
  <c r="F1558" i="45" s="1"/>
  <c r="F1559" i="45" s="1"/>
  <c r="F1551" i="45"/>
  <c r="F1546" i="45"/>
  <c r="E1546" i="45"/>
  <c r="D1546" i="45"/>
  <c r="D1549" i="45" s="1"/>
  <c r="D1552" i="45" s="1"/>
  <c r="D1555" i="45" s="1"/>
  <c r="D1558" i="45" s="1"/>
  <c r="D1561" i="45" s="1"/>
  <c r="C1546" i="45"/>
  <c r="C1547" i="45" s="1"/>
  <c r="C1548" i="45" s="1"/>
  <c r="C1549" i="45" s="1"/>
  <c r="C1550" i="45" s="1"/>
  <c r="C1551" i="45" s="1"/>
  <c r="C1552" i="45" s="1"/>
  <c r="C1553" i="45" s="1"/>
  <c r="C1554" i="45" s="1"/>
  <c r="C1555" i="45" s="1"/>
  <c r="C1556" i="45" s="1"/>
  <c r="C1557" i="45" s="1"/>
  <c r="C1558" i="45" s="1"/>
  <c r="C1559" i="45" s="1"/>
  <c r="C1560" i="45" s="1"/>
  <c r="C1561" i="45" s="1"/>
  <c r="C1562" i="45" s="1"/>
  <c r="C1563" i="45" s="1"/>
  <c r="C1564" i="45" s="1"/>
  <c r="B1546" i="45"/>
  <c r="A1546" i="45"/>
  <c r="G1545" i="45"/>
  <c r="G1546" i="45" s="1"/>
  <c r="G1547" i="45" s="1"/>
  <c r="G1548" i="45" s="1"/>
  <c r="G1549" i="45" s="1"/>
  <c r="F1541" i="45"/>
  <c r="F1542" i="45" s="1"/>
  <c r="F1543" i="45" s="1"/>
  <c r="F1544" i="45" s="1"/>
  <c r="F1536" i="45"/>
  <c r="F1537" i="45" s="1"/>
  <c r="F1538" i="45" s="1"/>
  <c r="F1539" i="45" s="1"/>
  <c r="F1531" i="45"/>
  <c r="F1534" i="45" s="1"/>
  <c r="F1526" i="45"/>
  <c r="E1526" i="45"/>
  <c r="D1526" i="45"/>
  <c r="C1526" i="45"/>
  <c r="C1527" i="45" s="1"/>
  <c r="C1528" i="45" s="1"/>
  <c r="C1529" i="45" s="1"/>
  <c r="C1530" i="45" s="1"/>
  <c r="C1531" i="45" s="1"/>
  <c r="C1532" i="45" s="1"/>
  <c r="C1533" i="45" s="1"/>
  <c r="C1534" i="45" s="1"/>
  <c r="C1535" i="45" s="1"/>
  <c r="C1536" i="45" s="1"/>
  <c r="C1537" i="45" s="1"/>
  <c r="C1538" i="45" s="1"/>
  <c r="C1539" i="45" s="1"/>
  <c r="C1540" i="45" s="1"/>
  <c r="C1541" i="45" s="1"/>
  <c r="C1542" i="45" s="1"/>
  <c r="C1543" i="45" s="1"/>
  <c r="C1544" i="45" s="1"/>
  <c r="B1526" i="45"/>
  <c r="A1526" i="45"/>
  <c r="G1525" i="45"/>
  <c r="G1526" i="45" s="1"/>
  <c r="G1527" i="45" s="1"/>
  <c r="G1528" i="45" s="1"/>
  <c r="G1529" i="45" s="1"/>
  <c r="F1521" i="45"/>
  <c r="F1522" i="45" s="1"/>
  <c r="F1523" i="45" s="1"/>
  <c r="F1524" i="45" s="1"/>
  <c r="F1516" i="45"/>
  <c r="F1517" i="45" s="1"/>
  <c r="F1518" i="45" s="1"/>
  <c r="F1519" i="45" s="1"/>
  <c r="F1511" i="45"/>
  <c r="A1509" i="45"/>
  <c r="A1512" i="45" s="1"/>
  <c r="A1515" i="45" s="1"/>
  <c r="A1518" i="45" s="1"/>
  <c r="A1521" i="45" s="1"/>
  <c r="A1507" i="45"/>
  <c r="A1510" i="45" s="1"/>
  <c r="F1506" i="45"/>
  <c r="F1509" i="45" s="1"/>
  <c r="E1506" i="45"/>
  <c r="D1506" i="45"/>
  <c r="D1507" i="45" s="1"/>
  <c r="C1506" i="45"/>
  <c r="C1507" i="45" s="1"/>
  <c r="C1508" i="45" s="1"/>
  <c r="C1509" i="45" s="1"/>
  <c r="C1510" i="45" s="1"/>
  <c r="C1511" i="45" s="1"/>
  <c r="C1512" i="45" s="1"/>
  <c r="C1513" i="45" s="1"/>
  <c r="C1514" i="45" s="1"/>
  <c r="C1515" i="45" s="1"/>
  <c r="C1516" i="45" s="1"/>
  <c r="C1517" i="45" s="1"/>
  <c r="C1518" i="45" s="1"/>
  <c r="C1519" i="45" s="1"/>
  <c r="C1520" i="45" s="1"/>
  <c r="C1521" i="45" s="1"/>
  <c r="C1522" i="45" s="1"/>
  <c r="C1523" i="45" s="1"/>
  <c r="C1524" i="45" s="1"/>
  <c r="B1506" i="45"/>
  <c r="B1509" i="45" s="1"/>
  <c r="B1512" i="45" s="1"/>
  <c r="B1515" i="45" s="1"/>
  <c r="B1518" i="45" s="1"/>
  <c r="B1521" i="45" s="1"/>
  <c r="G1505" i="45"/>
  <c r="G1506" i="45" s="1"/>
  <c r="G1507" i="45" s="1"/>
  <c r="G1508" i="45" s="1"/>
  <c r="G1509" i="45" s="1"/>
  <c r="F1501" i="45"/>
  <c r="F1502" i="45" s="1"/>
  <c r="F1503" i="45" s="1"/>
  <c r="F1504" i="45" s="1"/>
  <c r="F1496" i="45"/>
  <c r="F1497" i="45" s="1"/>
  <c r="F1498" i="45" s="1"/>
  <c r="F1499" i="45" s="1"/>
  <c r="F1491" i="45"/>
  <c r="F1494" i="45" s="1"/>
  <c r="F1486" i="45"/>
  <c r="E1486" i="45"/>
  <c r="D1486" i="45"/>
  <c r="B1486" i="45"/>
  <c r="A1486" i="45"/>
  <c r="G1485" i="45"/>
  <c r="G1486" i="45" s="1"/>
  <c r="G1487" i="45" s="1"/>
  <c r="G1488" i="45" s="1"/>
  <c r="G1489" i="45" s="1"/>
  <c r="C1485" i="45"/>
  <c r="M1485" i="45" s="1"/>
  <c r="F1481" i="45"/>
  <c r="F1482" i="45" s="1"/>
  <c r="F1483" i="45" s="1"/>
  <c r="F1484" i="45" s="1"/>
  <c r="F1476" i="45"/>
  <c r="F1477" i="45" s="1"/>
  <c r="F1478" i="45" s="1"/>
  <c r="F1479" i="45" s="1"/>
  <c r="F1471" i="45"/>
  <c r="F1474" i="45" s="1"/>
  <c r="F1466" i="45"/>
  <c r="E1466" i="45"/>
  <c r="D1466" i="45"/>
  <c r="B1466" i="45"/>
  <c r="A1466" i="45"/>
  <c r="A1469" i="45" s="1"/>
  <c r="A1472" i="45" s="1"/>
  <c r="A1475" i="45" s="1"/>
  <c r="G1465" i="45"/>
  <c r="G1466" i="45" s="1"/>
  <c r="G1467" i="45" s="1"/>
  <c r="G1468" i="45" s="1"/>
  <c r="G1469" i="45" s="1"/>
  <c r="C1465" i="45"/>
  <c r="M1465" i="45" s="1"/>
  <c r="F1461" i="45"/>
  <c r="F1462" i="45" s="1"/>
  <c r="F1463" i="45" s="1"/>
  <c r="F1464" i="45" s="1"/>
  <c r="F1456" i="45"/>
  <c r="F1457" i="45" s="1"/>
  <c r="F1458" i="45" s="1"/>
  <c r="F1459" i="45" s="1"/>
  <c r="F1451" i="45"/>
  <c r="F1454" i="45" s="1"/>
  <c r="F1446" i="45"/>
  <c r="E1446" i="45"/>
  <c r="D1446" i="45"/>
  <c r="B1446" i="45"/>
  <c r="A1446" i="45"/>
  <c r="G1445" i="45"/>
  <c r="G1446" i="45" s="1"/>
  <c r="G1447" i="45" s="1"/>
  <c r="G1448" i="45" s="1"/>
  <c r="G1449" i="45" s="1"/>
  <c r="C1445" i="45"/>
  <c r="M1445" i="45" s="1"/>
  <c r="F1441" i="45"/>
  <c r="F1442" i="45" s="1"/>
  <c r="F1443" i="45" s="1"/>
  <c r="F1444" i="45" s="1"/>
  <c r="F1436" i="45"/>
  <c r="F1437" i="45" s="1"/>
  <c r="F1438" i="45" s="1"/>
  <c r="F1439" i="45" s="1"/>
  <c r="F1431" i="45"/>
  <c r="F1432" i="45" s="1"/>
  <c r="F1433" i="45" s="1"/>
  <c r="F1426" i="45"/>
  <c r="E1426" i="45"/>
  <c r="D1426" i="45"/>
  <c r="C1426" i="45"/>
  <c r="C1427" i="45" s="1"/>
  <c r="C1428" i="45" s="1"/>
  <c r="C1429" i="45" s="1"/>
  <c r="C1430" i="45" s="1"/>
  <c r="C1431" i="45" s="1"/>
  <c r="C1432" i="45" s="1"/>
  <c r="C1433" i="45" s="1"/>
  <c r="C1434" i="45" s="1"/>
  <c r="C1435" i="45" s="1"/>
  <c r="C1436" i="45" s="1"/>
  <c r="C1437" i="45" s="1"/>
  <c r="C1438" i="45" s="1"/>
  <c r="C1439" i="45" s="1"/>
  <c r="C1440" i="45" s="1"/>
  <c r="C1441" i="45" s="1"/>
  <c r="C1442" i="45" s="1"/>
  <c r="C1443" i="45" s="1"/>
  <c r="C1444" i="45" s="1"/>
  <c r="B1426" i="45"/>
  <c r="A1426" i="45"/>
  <c r="A1429" i="45" s="1"/>
  <c r="A1432" i="45" s="1"/>
  <c r="A1435" i="45" s="1"/>
  <c r="G1425" i="45"/>
  <c r="G1426" i="45" s="1"/>
  <c r="G1427" i="45" s="1"/>
  <c r="G1428" i="45" s="1"/>
  <c r="G1429" i="45" s="1"/>
  <c r="F1421" i="45"/>
  <c r="F1422" i="45" s="1"/>
  <c r="F1423" i="45" s="1"/>
  <c r="F1424" i="45" s="1"/>
  <c r="F1416" i="45"/>
  <c r="F1417" i="45" s="1"/>
  <c r="F1418" i="45" s="1"/>
  <c r="F1419" i="45" s="1"/>
  <c r="F1411" i="45"/>
  <c r="F1414" i="45" s="1"/>
  <c r="F1406" i="45"/>
  <c r="E1406" i="45"/>
  <c r="D1406" i="45"/>
  <c r="C1406" i="45"/>
  <c r="C1407" i="45" s="1"/>
  <c r="C1408" i="45" s="1"/>
  <c r="C1409" i="45" s="1"/>
  <c r="C1410" i="45" s="1"/>
  <c r="C1411" i="45" s="1"/>
  <c r="C1412" i="45" s="1"/>
  <c r="C1413" i="45" s="1"/>
  <c r="C1414" i="45" s="1"/>
  <c r="C1415" i="45" s="1"/>
  <c r="C1416" i="45" s="1"/>
  <c r="C1417" i="45" s="1"/>
  <c r="C1418" i="45" s="1"/>
  <c r="C1419" i="45" s="1"/>
  <c r="C1420" i="45" s="1"/>
  <c r="C1421" i="45" s="1"/>
  <c r="C1422" i="45" s="1"/>
  <c r="C1423" i="45" s="1"/>
  <c r="C1424" i="45" s="1"/>
  <c r="B1406" i="45"/>
  <c r="A1406" i="45"/>
  <c r="G1405" i="45"/>
  <c r="G1406" i="45" s="1"/>
  <c r="G1407" i="45" s="1"/>
  <c r="G1408" i="45" s="1"/>
  <c r="G1409" i="45" s="1"/>
  <c r="F1401" i="45"/>
  <c r="F1402" i="45" s="1"/>
  <c r="F1403" i="45" s="1"/>
  <c r="F1404" i="45" s="1"/>
  <c r="F1396" i="45"/>
  <c r="F1397" i="45" s="1"/>
  <c r="F1398" i="45" s="1"/>
  <c r="F1399" i="45" s="1"/>
  <c r="F1391" i="45"/>
  <c r="F1386" i="45"/>
  <c r="E1386" i="45"/>
  <c r="D1386" i="45"/>
  <c r="C1386" i="45"/>
  <c r="C1387" i="45" s="1"/>
  <c r="C1388" i="45" s="1"/>
  <c r="C1389" i="45" s="1"/>
  <c r="C1390" i="45" s="1"/>
  <c r="C1391" i="45" s="1"/>
  <c r="C1392" i="45" s="1"/>
  <c r="C1393" i="45" s="1"/>
  <c r="C1394" i="45" s="1"/>
  <c r="C1395" i="45" s="1"/>
  <c r="C1396" i="45" s="1"/>
  <c r="C1397" i="45" s="1"/>
  <c r="C1398" i="45" s="1"/>
  <c r="C1399" i="45" s="1"/>
  <c r="C1400" i="45" s="1"/>
  <c r="C1401" i="45" s="1"/>
  <c r="C1402" i="45" s="1"/>
  <c r="C1403" i="45" s="1"/>
  <c r="C1404" i="45" s="1"/>
  <c r="B1386" i="45"/>
  <c r="A1386" i="45"/>
  <c r="G1385" i="45"/>
  <c r="G1386" i="45" s="1"/>
  <c r="G1387" i="45" s="1"/>
  <c r="G1388" i="45" s="1"/>
  <c r="G1389" i="45" s="1"/>
  <c r="F1381" i="45"/>
  <c r="F1382" i="45" s="1"/>
  <c r="F1383" i="45" s="1"/>
  <c r="F1384" i="45" s="1"/>
  <c r="F1376" i="45"/>
  <c r="F1377" i="45" s="1"/>
  <c r="F1378" i="45" s="1"/>
  <c r="F1379" i="45" s="1"/>
  <c r="F1371" i="45"/>
  <c r="F1366" i="45"/>
  <c r="E1366" i="45"/>
  <c r="D1366" i="45"/>
  <c r="D1369" i="45" s="1"/>
  <c r="D1372" i="45" s="1"/>
  <c r="D1375" i="45" s="1"/>
  <c r="D1378" i="45" s="1"/>
  <c r="D1381" i="45" s="1"/>
  <c r="C1366" i="45"/>
  <c r="C1367" i="45" s="1"/>
  <c r="C1368" i="45" s="1"/>
  <c r="C1369" i="45" s="1"/>
  <c r="C1370" i="45" s="1"/>
  <c r="C1371" i="45" s="1"/>
  <c r="C1372" i="45" s="1"/>
  <c r="C1373" i="45" s="1"/>
  <c r="C1374" i="45" s="1"/>
  <c r="C1375" i="45" s="1"/>
  <c r="C1376" i="45" s="1"/>
  <c r="C1377" i="45" s="1"/>
  <c r="C1378" i="45" s="1"/>
  <c r="C1379" i="45" s="1"/>
  <c r="C1380" i="45" s="1"/>
  <c r="C1381" i="45" s="1"/>
  <c r="C1382" i="45" s="1"/>
  <c r="C1383" i="45" s="1"/>
  <c r="C1384" i="45" s="1"/>
  <c r="B1366" i="45"/>
  <c r="A1366" i="45"/>
  <c r="G1365" i="45"/>
  <c r="G1366" i="45" s="1"/>
  <c r="G1367" i="45" s="1"/>
  <c r="G1368" i="45" s="1"/>
  <c r="G1369" i="45" s="1"/>
  <c r="F1361" i="45"/>
  <c r="F1362" i="45" s="1"/>
  <c r="F1363" i="45" s="1"/>
  <c r="F1364" i="45" s="1"/>
  <c r="F1356" i="45"/>
  <c r="F1357" i="45" s="1"/>
  <c r="F1358" i="45" s="1"/>
  <c r="F1359" i="45" s="1"/>
  <c r="F1351" i="45"/>
  <c r="F1354" i="45" s="1"/>
  <c r="F1346" i="45"/>
  <c r="E1346" i="45"/>
  <c r="D1346" i="45"/>
  <c r="C1346" i="45"/>
  <c r="C1347" i="45" s="1"/>
  <c r="C1348" i="45" s="1"/>
  <c r="C1349" i="45" s="1"/>
  <c r="C1350" i="45" s="1"/>
  <c r="C1351" i="45" s="1"/>
  <c r="C1352" i="45" s="1"/>
  <c r="C1353" i="45" s="1"/>
  <c r="C1354" i="45" s="1"/>
  <c r="C1355" i="45" s="1"/>
  <c r="C1356" i="45" s="1"/>
  <c r="C1357" i="45" s="1"/>
  <c r="C1358" i="45" s="1"/>
  <c r="C1359" i="45" s="1"/>
  <c r="C1360" i="45" s="1"/>
  <c r="C1361" i="45" s="1"/>
  <c r="C1362" i="45" s="1"/>
  <c r="C1363" i="45" s="1"/>
  <c r="C1364" i="45" s="1"/>
  <c r="B1346" i="45"/>
  <c r="A1346" i="45"/>
  <c r="A1349" i="45" s="1"/>
  <c r="A1352" i="45" s="1"/>
  <c r="A1355" i="45" s="1"/>
  <c r="G1345" i="45"/>
  <c r="G1346" i="45" s="1"/>
  <c r="G1347" i="45" s="1"/>
  <c r="G1348" i="45" s="1"/>
  <c r="G1349" i="45" s="1"/>
  <c r="F1341" i="45"/>
  <c r="F1342" i="45" s="1"/>
  <c r="F1343" i="45" s="1"/>
  <c r="F1344" i="45" s="1"/>
  <c r="F1336" i="45"/>
  <c r="F1337" i="45" s="1"/>
  <c r="F1338" i="45" s="1"/>
  <c r="F1339" i="45" s="1"/>
  <c r="F1331" i="45"/>
  <c r="A1329" i="45"/>
  <c r="A1332" i="45" s="1"/>
  <c r="A1335" i="45" s="1"/>
  <c r="A1338" i="45" s="1"/>
  <c r="A1341" i="45" s="1"/>
  <c r="A1327" i="45"/>
  <c r="A1330" i="45" s="1"/>
  <c r="F1326" i="45"/>
  <c r="F1329" i="45" s="1"/>
  <c r="E1326" i="45"/>
  <c r="D1326" i="45"/>
  <c r="D1327" i="45" s="1"/>
  <c r="C1326" i="45"/>
  <c r="C1327" i="45" s="1"/>
  <c r="C1328" i="45" s="1"/>
  <c r="C1329" i="45" s="1"/>
  <c r="C1330" i="45" s="1"/>
  <c r="C1331" i="45" s="1"/>
  <c r="C1332" i="45" s="1"/>
  <c r="C1333" i="45" s="1"/>
  <c r="C1334" i="45" s="1"/>
  <c r="C1335" i="45" s="1"/>
  <c r="C1336" i="45" s="1"/>
  <c r="C1337" i="45" s="1"/>
  <c r="C1338" i="45" s="1"/>
  <c r="C1339" i="45" s="1"/>
  <c r="C1340" i="45" s="1"/>
  <c r="C1341" i="45" s="1"/>
  <c r="C1342" i="45" s="1"/>
  <c r="C1343" i="45" s="1"/>
  <c r="C1344" i="45" s="1"/>
  <c r="B1326" i="45"/>
  <c r="B1329" i="45" s="1"/>
  <c r="B1332" i="45" s="1"/>
  <c r="B1335" i="45" s="1"/>
  <c r="G1325" i="45"/>
  <c r="G1326" i="45" s="1"/>
  <c r="G1327" i="45" s="1"/>
  <c r="G1328" i="45" s="1"/>
  <c r="G1329" i="45" s="1"/>
  <c r="F1321" i="45"/>
  <c r="F1322" i="45" s="1"/>
  <c r="F1323" i="45" s="1"/>
  <c r="F1324" i="45" s="1"/>
  <c r="F1316" i="45"/>
  <c r="F1317" i="45" s="1"/>
  <c r="F1318" i="45" s="1"/>
  <c r="F1319" i="45" s="1"/>
  <c r="F1311" i="45"/>
  <c r="F1312" i="45" s="1"/>
  <c r="F1313" i="45" s="1"/>
  <c r="F1306" i="45"/>
  <c r="F1309" i="45" s="1"/>
  <c r="E1306" i="45"/>
  <c r="D1306" i="45"/>
  <c r="D1309" i="45" s="1"/>
  <c r="D1312" i="45" s="1"/>
  <c r="D1315" i="45" s="1"/>
  <c r="D1318" i="45" s="1"/>
  <c r="D1321" i="45" s="1"/>
  <c r="B1306" i="45"/>
  <c r="B1309" i="45" s="1"/>
  <c r="B1312" i="45" s="1"/>
  <c r="B1315" i="45" s="1"/>
  <c r="B1318" i="45" s="1"/>
  <c r="B1321" i="45" s="1"/>
  <c r="A1306" i="45"/>
  <c r="A1307" i="45" s="1"/>
  <c r="A1310" i="45" s="1"/>
  <c r="G1305" i="45"/>
  <c r="G1306" i="45" s="1"/>
  <c r="G1307" i="45" s="1"/>
  <c r="G1308" i="45" s="1"/>
  <c r="G1309" i="45" s="1"/>
  <c r="C1305" i="45"/>
  <c r="M1305" i="45" s="1"/>
  <c r="F1301" i="45"/>
  <c r="F1302" i="45" s="1"/>
  <c r="F1303" i="45" s="1"/>
  <c r="F1304" i="45" s="1"/>
  <c r="F1296" i="45"/>
  <c r="F1297" i="45" s="1"/>
  <c r="F1298" i="45" s="1"/>
  <c r="F1299" i="45" s="1"/>
  <c r="F1291" i="45"/>
  <c r="F1294" i="45" s="1"/>
  <c r="F1286" i="45"/>
  <c r="E1286" i="45"/>
  <c r="D1286" i="45"/>
  <c r="B1286" i="45"/>
  <c r="A1286" i="45"/>
  <c r="A1289" i="45" s="1"/>
  <c r="A1292" i="45" s="1"/>
  <c r="A1295" i="45" s="1"/>
  <c r="G1285" i="45"/>
  <c r="G1286" i="45" s="1"/>
  <c r="G1287" i="45" s="1"/>
  <c r="G1288" i="45" s="1"/>
  <c r="G1289" i="45" s="1"/>
  <c r="C1285" i="45"/>
  <c r="M1285" i="45" s="1"/>
  <c r="F1281" i="45"/>
  <c r="F1282" i="45" s="1"/>
  <c r="F1283" i="45" s="1"/>
  <c r="F1284" i="45" s="1"/>
  <c r="F1276" i="45"/>
  <c r="F1277" i="45" s="1"/>
  <c r="F1278" i="45" s="1"/>
  <c r="F1279" i="45" s="1"/>
  <c r="F1271" i="45"/>
  <c r="F1274" i="45" s="1"/>
  <c r="F1266" i="45"/>
  <c r="E1266" i="45"/>
  <c r="D1266" i="45"/>
  <c r="B1266" i="45"/>
  <c r="A1266" i="45"/>
  <c r="A1269" i="45" s="1"/>
  <c r="A1272" i="45" s="1"/>
  <c r="A1275" i="45" s="1"/>
  <c r="G1265" i="45"/>
  <c r="G1266" i="45" s="1"/>
  <c r="G1267" i="45" s="1"/>
  <c r="G1268" i="45" s="1"/>
  <c r="G1269" i="45" s="1"/>
  <c r="C1265" i="45"/>
  <c r="M1265" i="45" s="1"/>
  <c r="M1566" i="45" l="1"/>
  <c r="M3972" i="45"/>
  <c r="M3987" i="45"/>
  <c r="A4108" i="45"/>
  <c r="A4111" i="45" s="1"/>
  <c r="A4114" i="45" s="1"/>
  <c r="A4117" i="45" s="1"/>
  <c r="A4120" i="45" s="1"/>
  <c r="A4123" i="45" s="1"/>
  <c r="M4007" i="45"/>
  <c r="M3992" i="45"/>
  <c r="M3967" i="45"/>
  <c r="B4044" i="45"/>
  <c r="M1506" i="45"/>
  <c r="M1526" i="45"/>
  <c r="M1546" i="45"/>
  <c r="M1586" i="45"/>
  <c r="M1606" i="45"/>
  <c r="M1866" i="45"/>
  <c r="M1886" i="45"/>
  <c r="M1906" i="45"/>
  <c r="M1926" i="45"/>
  <c r="M1946" i="45"/>
  <c r="M1966" i="45"/>
  <c r="M2226" i="45"/>
  <c r="M2246" i="45"/>
  <c r="M2266" i="45"/>
  <c r="M2286" i="45"/>
  <c r="M2306" i="45"/>
  <c r="M2326" i="45"/>
  <c r="M2586" i="45"/>
  <c r="M2606" i="45"/>
  <c r="M2626" i="45"/>
  <c r="M2646" i="45"/>
  <c r="M2666" i="45"/>
  <c r="M2686" i="45"/>
  <c r="M2946" i="45"/>
  <c r="M2966" i="45"/>
  <c r="M2986" i="45"/>
  <c r="M3006" i="45"/>
  <c r="M3026" i="45"/>
  <c r="M3046" i="45"/>
  <c r="M3126" i="45"/>
  <c r="M3146" i="45"/>
  <c r="M3166" i="45"/>
  <c r="M3186" i="45"/>
  <c r="M3206" i="45"/>
  <c r="M3226" i="45"/>
  <c r="M3486" i="45"/>
  <c r="M3506" i="45"/>
  <c r="M3526" i="45"/>
  <c r="M3546" i="45"/>
  <c r="M3566" i="45"/>
  <c r="M3586" i="45"/>
  <c r="M3846" i="45"/>
  <c r="M3866" i="45"/>
  <c r="M3886" i="45"/>
  <c r="M3906" i="45"/>
  <c r="M3926" i="45"/>
  <c r="M3946" i="45"/>
  <c r="M3986" i="45"/>
  <c r="M1326" i="45"/>
  <c r="M1346" i="45"/>
  <c r="M1366" i="45"/>
  <c r="M1386" i="45"/>
  <c r="M1406" i="45"/>
  <c r="M1426" i="45"/>
  <c r="M1686" i="45"/>
  <c r="M1706" i="45"/>
  <c r="M1726" i="45"/>
  <c r="M1746" i="45"/>
  <c r="M1766" i="45"/>
  <c r="M1786" i="45"/>
  <c r="M2046" i="45"/>
  <c r="M2066" i="45"/>
  <c r="M2086" i="45"/>
  <c r="M2106" i="45"/>
  <c r="M2126" i="45"/>
  <c r="M2146" i="45"/>
  <c r="M2406" i="45"/>
  <c r="M2426" i="45"/>
  <c r="M2446" i="45"/>
  <c r="M2466" i="45"/>
  <c r="M2486" i="45"/>
  <c r="M2506" i="45"/>
  <c r="M2766" i="45"/>
  <c r="M2786" i="45"/>
  <c r="M2806" i="45"/>
  <c r="M2826" i="45"/>
  <c r="M2846" i="45"/>
  <c r="M2866" i="45"/>
  <c r="M3306" i="45"/>
  <c r="M3326" i="45"/>
  <c r="M3346" i="45"/>
  <c r="M3366" i="45"/>
  <c r="M3386" i="45"/>
  <c r="M3406" i="45"/>
  <c r="M3666" i="45"/>
  <c r="M3686" i="45"/>
  <c r="M3706" i="45"/>
  <c r="M3726" i="45"/>
  <c r="M3746" i="45"/>
  <c r="M3766" i="45"/>
  <c r="M4006" i="45"/>
  <c r="M3966" i="45"/>
  <c r="E4055" i="45"/>
  <c r="M4055" i="45" s="1"/>
  <c r="G4095" i="45"/>
  <c r="G4096" i="45" s="1"/>
  <c r="G4097" i="45" s="1"/>
  <c r="G4098" i="45" s="1"/>
  <c r="G4099" i="45" s="1"/>
  <c r="G4035" i="45"/>
  <c r="G4036" i="45" s="1"/>
  <c r="G4037" i="45" s="1"/>
  <c r="G4038" i="45" s="1"/>
  <c r="G4039" i="45" s="1"/>
  <c r="C1266" i="45"/>
  <c r="C1267" i="45" s="1"/>
  <c r="C1268" i="45" s="1"/>
  <c r="C1269" i="45" s="1"/>
  <c r="C1270" i="45" s="1"/>
  <c r="C1271" i="45" s="1"/>
  <c r="C1272" i="45" s="1"/>
  <c r="C1273" i="45" s="1"/>
  <c r="C1274" i="45" s="1"/>
  <c r="C1275" i="45" s="1"/>
  <c r="C1276" i="45" s="1"/>
  <c r="C1277" i="45" s="1"/>
  <c r="C1278" i="45" s="1"/>
  <c r="C1279" i="45" s="1"/>
  <c r="C1280" i="45" s="1"/>
  <c r="C1281" i="45" s="1"/>
  <c r="C1282" i="45" s="1"/>
  <c r="C1283" i="45" s="1"/>
  <c r="C1284" i="45" s="1"/>
  <c r="E1407" i="45"/>
  <c r="M1407" i="45" s="1"/>
  <c r="E1267" i="45"/>
  <c r="E1289" i="45"/>
  <c r="E1292" i="45" s="1"/>
  <c r="E1309" i="45"/>
  <c r="E1312" i="45" s="1"/>
  <c r="E2229" i="45"/>
  <c r="E2232" i="45" s="1"/>
  <c r="M2232" i="45" s="1"/>
  <c r="E2249" i="45"/>
  <c r="E2252" i="45" s="1"/>
  <c r="M2252" i="45" s="1"/>
  <c r="E2269" i="45"/>
  <c r="E2272" i="45" s="1"/>
  <c r="M2272" i="45" s="1"/>
  <c r="E2289" i="45"/>
  <c r="E2292" i="45" s="1"/>
  <c r="M2292" i="45" s="1"/>
  <c r="E2309" i="45"/>
  <c r="E2312" i="45" s="1"/>
  <c r="M2312" i="45" s="1"/>
  <c r="E2327" i="45"/>
  <c r="M2327" i="45" s="1"/>
  <c r="E2347" i="45"/>
  <c r="E2369" i="45"/>
  <c r="E2372" i="45" s="1"/>
  <c r="E2389" i="45"/>
  <c r="E2392" i="45" s="1"/>
  <c r="E2729" i="45"/>
  <c r="E2732" i="45" s="1"/>
  <c r="E2749" i="45"/>
  <c r="E2752" i="45" s="1"/>
  <c r="E3129" i="45"/>
  <c r="E3132" i="45" s="1"/>
  <c r="M3132" i="45" s="1"/>
  <c r="E3149" i="45"/>
  <c r="E3152" i="45" s="1"/>
  <c r="M3152" i="45" s="1"/>
  <c r="E3229" i="45"/>
  <c r="E3232" i="45" s="1"/>
  <c r="M3232" i="45" s="1"/>
  <c r="C3426" i="45"/>
  <c r="C3427" i="45" s="1"/>
  <c r="C3428" i="45" s="1"/>
  <c r="C3429" i="45" s="1"/>
  <c r="C3430" i="45" s="1"/>
  <c r="C3431" i="45" s="1"/>
  <c r="C3432" i="45" s="1"/>
  <c r="C3433" i="45" s="1"/>
  <c r="C3434" i="45" s="1"/>
  <c r="C3435" i="45" s="1"/>
  <c r="C3436" i="45" s="1"/>
  <c r="C3437" i="45" s="1"/>
  <c r="C3438" i="45" s="1"/>
  <c r="C3439" i="45" s="1"/>
  <c r="C3440" i="45" s="1"/>
  <c r="C3441" i="45" s="1"/>
  <c r="C3442" i="45" s="1"/>
  <c r="C3443" i="45" s="1"/>
  <c r="C3444" i="45" s="1"/>
  <c r="C3446" i="45"/>
  <c r="C3447" i="45" s="1"/>
  <c r="C3448" i="45" s="1"/>
  <c r="C3449" i="45" s="1"/>
  <c r="C3450" i="45" s="1"/>
  <c r="C3451" i="45" s="1"/>
  <c r="C3452" i="45" s="1"/>
  <c r="C3453" i="45" s="1"/>
  <c r="C3454" i="45" s="1"/>
  <c r="C3455" i="45" s="1"/>
  <c r="C3456" i="45" s="1"/>
  <c r="C3457" i="45" s="1"/>
  <c r="C3458" i="45" s="1"/>
  <c r="C3459" i="45" s="1"/>
  <c r="C3460" i="45" s="1"/>
  <c r="C3461" i="45" s="1"/>
  <c r="C3462" i="45" s="1"/>
  <c r="C3463" i="45" s="1"/>
  <c r="C3464" i="45" s="1"/>
  <c r="C3466" i="45"/>
  <c r="C3467" i="45" s="1"/>
  <c r="C3468" i="45" s="1"/>
  <c r="C3469" i="45" s="1"/>
  <c r="C3470" i="45" s="1"/>
  <c r="C3471" i="45" s="1"/>
  <c r="C3472" i="45" s="1"/>
  <c r="C3473" i="45" s="1"/>
  <c r="C3474" i="45" s="1"/>
  <c r="C3475" i="45" s="1"/>
  <c r="C3476" i="45" s="1"/>
  <c r="C3477" i="45" s="1"/>
  <c r="C3478" i="45" s="1"/>
  <c r="C3479" i="45" s="1"/>
  <c r="C3480" i="45" s="1"/>
  <c r="C3481" i="45" s="1"/>
  <c r="C3482" i="45" s="1"/>
  <c r="C3483" i="45" s="1"/>
  <c r="C3484" i="45" s="1"/>
  <c r="E3529" i="45"/>
  <c r="E3532" i="45" s="1"/>
  <c r="M3532" i="45" s="1"/>
  <c r="E3569" i="45"/>
  <c r="E3572" i="45" s="1"/>
  <c r="M3572" i="45" s="1"/>
  <c r="E3589" i="45"/>
  <c r="E3592" i="45" s="1"/>
  <c r="M3592" i="45" s="1"/>
  <c r="E3609" i="45"/>
  <c r="E3612" i="45" s="1"/>
  <c r="E3629" i="45"/>
  <c r="E3632" i="45" s="1"/>
  <c r="E3649" i="45"/>
  <c r="E3652" i="45" s="1"/>
  <c r="C3786" i="45"/>
  <c r="C3806" i="45"/>
  <c r="C3826" i="45"/>
  <c r="E3849" i="45"/>
  <c r="E3852" i="45" s="1"/>
  <c r="M3852" i="45" s="1"/>
  <c r="E3869" i="45"/>
  <c r="E3872" i="45" s="1"/>
  <c r="M3872" i="45" s="1"/>
  <c r="E3889" i="45"/>
  <c r="E3892" i="45" s="1"/>
  <c r="M3892" i="45" s="1"/>
  <c r="E3909" i="45"/>
  <c r="E3912" i="45" s="1"/>
  <c r="M3912" i="45" s="1"/>
  <c r="E3929" i="45"/>
  <c r="E3932" i="45" s="1"/>
  <c r="M3932" i="45" s="1"/>
  <c r="E3949" i="45"/>
  <c r="E3952" i="45" s="1"/>
  <c r="M3952" i="45" s="1"/>
  <c r="E4110" i="45"/>
  <c r="M4110" i="45" s="1"/>
  <c r="E4095" i="45"/>
  <c r="M4095" i="45" s="1"/>
  <c r="E4075" i="45"/>
  <c r="M4075" i="45" s="1"/>
  <c r="E4035" i="45"/>
  <c r="M4035" i="45" s="1"/>
  <c r="C1286" i="45"/>
  <c r="C1287" i="45" s="1"/>
  <c r="C1288" i="45" s="1"/>
  <c r="C1289" i="45" s="1"/>
  <c r="C1290" i="45" s="1"/>
  <c r="C1291" i="45" s="1"/>
  <c r="C1292" i="45" s="1"/>
  <c r="C1293" i="45" s="1"/>
  <c r="C1294" i="45" s="1"/>
  <c r="C1295" i="45" s="1"/>
  <c r="C1296" i="45" s="1"/>
  <c r="C1297" i="45" s="1"/>
  <c r="C1298" i="45" s="1"/>
  <c r="C1299" i="45" s="1"/>
  <c r="C1300" i="45" s="1"/>
  <c r="C1301" i="45" s="1"/>
  <c r="C1302" i="45" s="1"/>
  <c r="C1303" i="45" s="1"/>
  <c r="C1304" i="45" s="1"/>
  <c r="C1306" i="45"/>
  <c r="E1349" i="45"/>
  <c r="E1352" i="45" s="1"/>
  <c r="M1352" i="45" s="1"/>
  <c r="E1387" i="45"/>
  <c r="M1387" i="45" s="1"/>
  <c r="E1429" i="45"/>
  <c r="E1432" i="45" s="1"/>
  <c r="M1432" i="45" s="1"/>
  <c r="E2169" i="45"/>
  <c r="E2172" i="45" s="1"/>
  <c r="E2189" i="45"/>
  <c r="E2192" i="45" s="1"/>
  <c r="E2209" i="45"/>
  <c r="E2212" i="45" s="1"/>
  <c r="E2787" i="45"/>
  <c r="M2787" i="45" s="1"/>
  <c r="E2809" i="45"/>
  <c r="E2812" i="45" s="1"/>
  <c r="M2812" i="45" s="1"/>
  <c r="E2829" i="45"/>
  <c r="E2832" i="45" s="1"/>
  <c r="M2832" i="45" s="1"/>
  <c r="E2847" i="45"/>
  <c r="M2847" i="45" s="1"/>
  <c r="E2869" i="45"/>
  <c r="E2872" i="45" s="1"/>
  <c r="M2872" i="45" s="1"/>
  <c r="E2889" i="45"/>
  <c r="E2892" i="45" s="1"/>
  <c r="E3069" i="45"/>
  <c r="E3072" i="45" s="1"/>
  <c r="E3089" i="45"/>
  <c r="E3092" i="45" s="1"/>
  <c r="E3109" i="45"/>
  <c r="E3112" i="45" s="1"/>
  <c r="E3309" i="45"/>
  <c r="E3312" i="45" s="1"/>
  <c r="M3312" i="45" s="1"/>
  <c r="E3367" i="45"/>
  <c r="M3367" i="45" s="1"/>
  <c r="E3387" i="45"/>
  <c r="M3387" i="45" s="1"/>
  <c r="E3409" i="45"/>
  <c r="E3412" i="45" s="1"/>
  <c r="M3412" i="45" s="1"/>
  <c r="C3606" i="45"/>
  <c r="C3607" i="45" s="1"/>
  <c r="C3608" i="45" s="1"/>
  <c r="C3609" i="45" s="1"/>
  <c r="C3610" i="45" s="1"/>
  <c r="C3611" i="45" s="1"/>
  <c r="C3612" i="45" s="1"/>
  <c r="C3613" i="45" s="1"/>
  <c r="C3614" i="45" s="1"/>
  <c r="C3615" i="45" s="1"/>
  <c r="C3616" i="45" s="1"/>
  <c r="C3617" i="45" s="1"/>
  <c r="C3618" i="45" s="1"/>
  <c r="C3619" i="45" s="1"/>
  <c r="C3620" i="45" s="1"/>
  <c r="C3621" i="45" s="1"/>
  <c r="C3622" i="45" s="1"/>
  <c r="C3623" i="45" s="1"/>
  <c r="C3624" i="45" s="1"/>
  <c r="C3626" i="45"/>
  <c r="M3626" i="45" s="1"/>
  <c r="E3669" i="45"/>
  <c r="E3672" i="45" s="1"/>
  <c r="M3672" i="45" s="1"/>
  <c r="E3709" i="45"/>
  <c r="E3712" i="45" s="1"/>
  <c r="M3712" i="45" s="1"/>
  <c r="E3729" i="45"/>
  <c r="E3732" i="45" s="1"/>
  <c r="M3732" i="45" s="1"/>
  <c r="E3767" i="45"/>
  <c r="M3767" i="45" s="1"/>
  <c r="E3789" i="45"/>
  <c r="E3792" i="45" s="1"/>
  <c r="E3809" i="45"/>
  <c r="E3812" i="45" s="1"/>
  <c r="E3829" i="45"/>
  <c r="E3832" i="45" s="1"/>
  <c r="E4050" i="45"/>
  <c r="M4050" i="45" s="1"/>
  <c r="G4075" i="45"/>
  <c r="G4076" i="45" s="1"/>
  <c r="G4077" i="45" s="1"/>
  <c r="G4078" i="45" s="1"/>
  <c r="G4079" i="45" s="1"/>
  <c r="B4028" i="45"/>
  <c r="B4031" i="45" s="1"/>
  <c r="B4034" i="45" s="1"/>
  <c r="B4037" i="45" s="1"/>
  <c r="B4040" i="45" s="1"/>
  <c r="B4043" i="45" s="1"/>
  <c r="E4048" i="45"/>
  <c r="E4108" i="45"/>
  <c r="M4108" i="45" s="1"/>
  <c r="P4105" i="45" s="1"/>
  <c r="G4030" i="45"/>
  <c r="G4031" i="45" s="1"/>
  <c r="G4032" i="45" s="1"/>
  <c r="G4033" i="45" s="1"/>
  <c r="G4034" i="45" s="1"/>
  <c r="A4048" i="45"/>
  <c r="A4051" i="45" s="1"/>
  <c r="A4054" i="45" s="1"/>
  <c r="A4057" i="45" s="1"/>
  <c r="A4060" i="45" s="1"/>
  <c r="D4130" i="45"/>
  <c r="D4133" i="45" s="1"/>
  <c r="D4136" i="45" s="1"/>
  <c r="D4139" i="45" s="1"/>
  <c r="D4128" i="45"/>
  <c r="D4131" i="45" s="1"/>
  <c r="D4134" i="45" s="1"/>
  <c r="D4137" i="45" s="1"/>
  <c r="D4140" i="45" s="1"/>
  <c r="D4143" i="45" s="1"/>
  <c r="B4110" i="45"/>
  <c r="B4108" i="45"/>
  <c r="B4111" i="45" s="1"/>
  <c r="B4114" i="45" s="1"/>
  <c r="B4117" i="45" s="1"/>
  <c r="B4120" i="45" s="1"/>
  <c r="B4123" i="45" s="1"/>
  <c r="A4090" i="45"/>
  <c r="A4088" i="45"/>
  <c r="A4091" i="45" s="1"/>
  <c r="A4094" i="45" s="1"/>
  <c r="A4097" i="45" s="1"/>
  <c r="A4100" i="45" s="1"/>
  <c r="E4135" i="45"/>
  <c r="M4135" i="45" s="1"/>
  <c r="A4128" i="45"/>
  <c r="A4131" i="45" s="1"/>
  <c r="A4134" i="45" s="1"/>
  <c r="A4137" i="45" s="1"/>
  <c r="A4140" i="45" s="1"/>
  <c r="A4130" i="45"/>
  <c r="E4070" i="45"/>
  <c r="M4070" i="45" s="1"/>
  <c r="E4068" i="45"/>
  <c r="D4050" i="45"/>
  <c r="D4053" i="45" s="1"/>
  <c r="D4056" i="45" s="1"/>
  <c r="D4059" i="45" s="1"/>
  <c r="D4048" i="45"/>
  <c r="D4051" i="45" s="1"/>
  <c r="D4054" i="45" s="1"/>
  <c r="D4057" i="45" s="1"/>
  <c r="D4060" i="45" s="1"/>
  <c r="D4063" i="45" s="1"/>
  <c r="A4043" i="45"/>
  <c r="A4124" i="45"/>
  <c r="A4122" i="45"/>
  <c r="B4070" i="45"/>
  <c r="B4073" i="45" s="1"/>
  <c r="B4076" i="45" s="1"/>
  <c r="B4079" i="45" s="1"/>
  <c r="B4068" i="45"/>
  <c r="B4071" i="45" s="1"/>
  <c r="B4074" i="45" s="1"/>
  <c r="B4077" i="45" s="1"/>
  <c r="B4080" i="45" s="1"/>
  <c r="B4083" i="45" s="1"/>
  <c r="D4010" i="45"/>
  <c r="D4013" i="45" s="1"/>
  <c r="D4016" i="45" s="1"/>
  <c r="D4019" i="45" s="1"/>
  <c r="D4008" i="45"/>
  <c r="D4011" i="45" s="1"/>
  <c r="D4014" i="45" s="1"/>
  <c r="D4017" i="45" s="1"/>
  <c r="D4020" i="45" s="1"/>
  <c r="D4023" i="45" s="1"/>
  <c r="D3990" i="45"/>
  <c r="D3993" i="45" s="1"/>
  <c r="D3996" i="45" s="1"/>
  <c r="D3999" i="45" s="1"/>
  <c r="D3988" i="45"/>
  <c r="D3991" i="45" s="1"/>
  <c r="D3994" i="45" s="1"/>
  <c r="D3997" i="45" s="1"/>
  <c r="D4000" i="45" s="1"/>
  <c r="D4003" i="45" s="1"/>
  <c r="D3970" i="45"/>
  <c r="D3973" i="45" s="1"/>
  <c r="D3976" i="45" s="1"/>
  <c r="D3979" i="45" s="1"/>
  <c r="D3968" i="45"/>
  <c r="D3971" i="45" s="1"/>
  <c r="D3974" i="45" s="1"/>
  <c r="D3977" i="45" s="1"/>
  <c r="D3980" i="45" s="1"/>
  <c r="D3983" i="45" s="1"/>
  <c r="E4118" i="45"/>
  <c r="M4118" i="45" s="1"/>
  <c r="E4010" i="45"/>
  <c r="M4010" i="45" s="1"/>
  <c r="E4008" i="45"/>
  <c r="M4008" i="45" s="1"/>
  <c r="E3990" i="45"/>
  <c r="M3990" i="45" s="1"/>
  <c r="E3988" i="45"/>
  <c r="M3988" i="45" s="1"/>
  <c r="E3970" i="45"/>
  <c r="M3970" i="45" s="1"/>
  <c r="E3968" i="45"/>
  <c r="M3968" i="45" s="1"/>
  <c r="D4044" i="45"/>
  <c r="D4042" i="45"/>
  <c r="B4130" i="45"/>
  <c r="B4133" i="45" s="1"/>
  <c r="B4136" i="45" s="1"/>
  <c r="B4139" i="45" s="1"/>
  <c r="B4128" i="45"/>
  <c r="B4131" i="45" s="1"/>
  <c r="B4134" i="45" s="1"/>
  <c r="B4137" i="45" s="1"/>
  <c r="B4140" i="45" s="1"/>
  <c r="B4143" i="45" s="1"/>
  <c r="D4110" i="45"/>
  <c r="D4113" i="45" s="1"/>
  <c r="D4116" i="45" s="1"/>
  <c r="D4119" i="45" s="1"/>
  <c r="D4108" i="45"/>
  <c r="D4111" i="45" s="1"/>
  <c r="D4114" i="45" s="1"/>
  <c r="D4117" i="45" s="1"/>
  <c r="D4120" i="45" s="1"/>
  <c r="D4123" i="45" s="1"/>
  <c r="E4090" i="45"/>
  <c r="M4090" i="45" s="1"/>
  <c r="E4088" i="45"/>
  <c r="E4128" i="45"/>
  <c r="E4130" i="45"/>
  <c r="M4130" i="45" s="1"/>
  <c r="G4135" i="45"/>
  <c r="G4136" i="45" s="1"/>
  <c r="G4137" i="45" s="1"/>
  <c r="G4138" i="45" s="1"/>
  <c r="G4139" i="45" s="1"/>
  <c r="A4138" i="45"/>
  <c r="A4141" i="45" s="1"/>
  <c r="B4090" i="45"/>
  <c r="B4093" i="45" s="1"/>
  <c r="B4096" i="45" s="1"/>
  <c r="B4099" i="45" s="1"/>
  <c r="B4088" i="45"/>
  <c r="B4091" i="45" s="1"/>
  <c r="B4094" i="45" s="1"/>
  <c r="B4097" i="45" s="1"/>
  <c r="B4100" i="45" s="1"/>
  <c r="B4103" i="45" s="1"/>
  <c r="A4070" i="45"/>
  <c r="A4068" i="45"/>
  <c r="A4071" i="45" s="1"/>
  <c r="A4074" i="45" s="1"/>
  <c r="A4077" i="45" s="1"/>
  <c r="A4080" i="45" s="1"/>
  <c r="B4050" i="45"/>
  <c r="B4048" i="45"/>
  <c r="B4051" i="45" s="1"/>
  <c r="B4054" i="45" s="1"/>
  <c r="B4057" i="45" s="1"/>
  <c r="B4060" i="45" s="1"/>
  <c r="B4063" i="45" s="1"/>
  <c r="E4030" i="45"/>
  <c r="M4030" i="45" s="1"/>
  <c r="E4028" i="45"/>
  <c r="B4010" i="45"/>
  <c r="B4013" i="45" s="1"/>
  <c r="B4016" i="45" s="1"/>
  <c r="B4019" i="45" s="1"/>
  <c r="B4008" i="45"/>
  <c r="B4011" i="45" s="1"/>
  <c r="B4014" i="45" s="1"/>
  <c r="B4017" i="45" s="1"/>
  <c r="B4020" i="45" s="1"/>
  <c r="B4023" i="45" s="1"/>
  <c r="B3990" i="45"/>
  <c r="B3993" i="45" s="1"/>
  <c r="B3996" i="45" s="1"/>
  <c r="B3999" i="45" s="1"/>
  <c r="B3988" i="45"/>
  <c r="B3991" i="45" s="1"/>
  <c r="B3994" i="45" s="1"/>
  <c r="B3997" i="45" s="1"/>
  <c r="B4000" i="45" s="1"/>
  <c r="B4003" i="45" s="1"/>
  <c r="B3970" i="45"/>
  <c r="B3973" i="45" s="1"/>
  <c r="B3976" i="45" s="1"/>
  <c r="B3979" i="45" s="1"/>
  <c r="B3968" i="45"/>
  <c r="B3971" i="45" s="1"/>
  <c r="B3974" i="45" s="1"/>
  <c r="B3977" i="45" s="1"/>
  <c r="B3980" i="45" s="1"/>
  <c r="B3983" i="45" s="1"/>
  <c r="E4015" i="45"/>
  <c r="M4015" i="45" s="1"/>
  <c r="A4010" i="45"/>
  <c r="A4008" i="45"/>
  <c r="A4011" i="45" s="1"/>
  <c r="A4014" i="45" s="1"/>
  <c r="A4017" i="45" s="1"/>
  <c r="A4020" i="45" s="1"/>
  <c r="E3995" i="45"/>
  <c r="M3995" i="45" s="1"/>
  <c r="A3990" i="45"/>
  <c r="A3988" i="45"/>
  <c r="A3991" i="45" s="1"/>
  <c r="A3994" i="45" s="1"/>
  <c r="A3997" i="45" s="1"/>
  <c r="A4000" i="45" s="1"/>
  <c r="E3975" i="45"/>
  <c r="M3975" i="45" s="1"/>
  <c r="A3970" i="45"/>
  <c r="A3968" i="45"/>
  <c r="A3971" i="45" s="1"/>
  <c r="A3974" i="45" s="1"/>
  <c r="A3977" i="45" s="1"/>
  <c r="A3980" i="45" s="1"/>
  <c r="A4064" i="45"/>
  <c r="A4062" i="45"/>
  <c r="B3847" i="45"/>
  <c r="B3848" i="45" s="1"/>
  <c r="B3851" i="45" s="1"/>
  <c r="B3854" i="45" s="1"/>
  <c r="B3857" i="45" s="1"/>
  <c r="B3860" i="45" s="1"/>
  <c r="B3863" i="45" s="1"/>
  <c r="E3947" i="45"/>
  <c r="M3947" i="45" s="1"/>
  <c r="D3607" i="45"/>
  <c r="D3610" i="45" s="1"/>
  <c r="D3613" i="45" s="1"/>
  <c r="D3616" i="45" s="1"/>
  <c r="D3619" i="45" s="1"/>
  <c r="D3624" i="45" s="1"/>
  <c r="F3847" i="45"/>
  <c r="F3848" i="45" s="1"/>
  <c r="D3849" i="45"/>
  <c r="D3852" i="45" s="1"/>
  <c r="D3855" i="45" s="1"/>
  <c r="D3858" i="45" s="1"/>
  <c r="D3861" i="45" s="1"/>
  <c r="A3947" i="45"/>
  <c r="A3948" i="45" s="1"/>
  <c r="A3951" i="45" s="1"/>
  <c r="A3954" i="45" s="1"/>
  <c r="A3957" i="45" s="1"/>
  <c r="A3960" i="45" s="1"/>
  <c r="A3963" i="45" s="1"/>
  <c r="G3795" i="45"/>
  <c r="G3796" i="45" s="1"/>
  <c r="G3797" i="45" s="1"/>
  <c r="G3798" i="45" s="1"/>
  <c r="G3799" i="45" s="1"/>
  <c r="A3798" i="45"/>
  <c r="A3801" i="45" s="1"/>
  <c r="G3815" i="45"/>
  <c r="G3816" i="45" s="1"/>
  <c r="G3817" i="45" s="1"/>
  <c r="G3818" i="45" s="1"/>
  <c r="G3819" i="45" s="1"/>
  <c r="A3818" i="45"/>
  <c r="A3821" i="45" s="1"/>
  <c r="G3835" i="45"/>
  <c r="G3836" i="45" s="1"/>
  <c r="G3837" i="45" s="1"/>
  <c r="G3838" i="45" s="1"/>
  <c r="G3839" i="45" s="1"/>
  <c r="A3838" i="45"/>
  <c r="A3841" i="45" s="1"/>
  <c r="D3850" i="45"/>
  <c r="D3853" i="45" s="1"/>
  <c r="D3856" i="45" s="1"/>
  <c r="D3859" i="45" s="1"/>
  <c r="D3848" i="45"/>
  <c r="D3851" i="45" s="1"/>
  <c r="D3854" i="45" s="1"/>
  <c r="D3857" i="45" s="1"/>
  <c r="D3860" i="45" s="1"/>
  <c r="D3863" i="45" s="1"/>
  <c r="A3787" i="45"/>
  <c r="E3787" i="45"/>
  <c r="A3807" i="45"/>
  <c r="E3807" i="45"/>
  <c r="A3827" i="45"/>
  <c r="E3827" i="45"/>
  <c r="A3864" i="45"/>
  <c r="A3862" i="45"/>
  <c r="F3854" i="45"/>
  <c r="F3852" i="45"/>
  <c r="F3853" i="45" s="1"/>
  <c r="G3895" i="45"/>
  <c r="G3896" i="45" s="1"/>
  <c r="G3897" i="45" s="1"/>
  <c r="G3898" i="45" s="1"/>
  <c r="G3899" i="45" s="1"/>
  <c r="A3898" i="45"/>
  <c r="A3901" i="45" s="1"/>
  <c r="B3787" i="45"/>
  <c r="D3787" i="45"/>
  <c r="F3787" i="45"/>
  <c r="F3788" i="45" s="1"/>
  <c r="F3792" i="45"/>
  <c r="F3793" i="45" s="1"/>
  <c r="B3807" i="45"/>
  <c r="D3807" i="45"/>
  <c r="F3807" i="45"/>
  <c r="F3808" i="45" s="1"/>
  <c r="F3812" i="45"/>
  <c r="F3813" i="45" s="1"/>
  <c r="B3827" i="45"/>
  <c r="D3827" i="45"/>
  <c r="F3827" i="45"/>
  <c r="F3828" i="45" s="1"/>
  <c r="F3832" i="45"/>
  <c r="F3833" i="45" s="1"/>
  <c r="A3858" i="45"/>
  <c r="A3861" i="45" s="1"/>
  <c r="A3878" i="45"/>
  <c r="A3881" i="45" s="1"/>
  <c r="G3875" i="45"/>
  <c r="G3876" i="45" s="1"/>
  <c r="G3877" i="45" s="1"/>
  <c r="G3878" i="45" s="1"/>
  <c r="G3879" i="45" s="1"/>
  <c r="E3847" i="45"/>
  <c r="M3847" i="45" s="1"/>
  <c r="A3848" i="45"/>
  <c r="A3851" i="45" s="1"/>
  <c r="A3854" i="45" s="1"/>
  <c r="A3857" i="45" s="1"/>
  <c r="A3860" i="45" s="1"/>
  <c r="B3867" i="45"/>
  <c r="D3867" i="45"/>
  <c r="F3867" i="45"/>
  <c r="F3868" i="45" s="1"/>
  <c r="F3872" i="45"/>
  <c r="F3873" i="45" s="1"/>
  <c r="A3887" i="45"/>
  <c r="E3887" i="45"/>
  <c r="M3887" i="45" s="1"/>
  <c r="G3915" i="45"/>
  <c r="G3916" i="45" s="1"/>
  <c r="G3917" i="45" s="1"/>
  <c r="G3918" i="45" s="1"/>
  <c r="G3919" i="45" s="1"/>
  <c r="A3918" i="45"/>
  <c r="A3921" i="45" s="1"/>
  <c r="D3907" i="45"/>
  <c r="A3938" i="45"/>
  <c r="A3941" i="45" s="1"/>
  <c r="G3935" i="45"/>
  <c r="G3936" i="45" s="1"/>
  <c r="G3937" i="45" s="1"/>
  <c r="G3938" i="45" s="1"/>
  <c r="G3939" i="45" s="1"/>
  <c r="A3867" i="45"/>
  <c r="E3867" i="45"/>
  <c r="M3867" i="45" s="1"/>
  <c r="B3887" i="45"/>
  <c r="D3887" i="45"/>
  <c r="F3887" i="45"/>
  <c r="F3888" i="45" s="1"/>
  <c r="B3907" i="45"/>
  <c r="F3907" i="45"/>
  <c r="F3908" i="45" s="1"/>
  <c r="F3892" i="45"/>
  <c r="F3893" i="45" s="1"/>
  <c r="A3907" i="45"/>
  <c r="E3907" i="45"/>
  <c r="M3907" i="45" s="1"/>
  <c r="B3927" i="45"/>
  <c r="D3927" i="45"/>
  <c r="F3927" i="45"/>
  <c r="F3928" i="45" s="1"/>
  <c r="F3932" i="45"/>
  <c r="F3933" i="45" s="1"/>
  <c r="F3912" i="45"/>
  <c r="F3913" i="45" s="1"/>
  <c r="A3927" i="45"/>
  <c r="E3927" i="45"/>
  <c r="M3927" i="45" s="1"/>
  <c r="G3955" i="45"/>
  <c r="G3956" i="45" s="1"/>
  <c r="G3957" i="45" s="1"/>
  <c r="G3958" i="45" s="1"/>
  <c r="G3959" i="45" s="1"/>
  <c r="A3958" i="45"/>
  <c r="A3961" i="45" s="1"/>
  <c r="B3947" i="45"/>
  <c r="D3947" i="45"/>
  <c r="F3947" i="45"/>
  <c r="F3948" i="45" s="1"/>
  <c r="F3952" i="45"/>
  <c r="F3953" i="45" s="1"/>
  <c r="B3647" i="45"/>
  <c r="B3650" i="45" s="1"/>
  <c r="B3653" i="45" s="1"/>
  <c r="B3656" i="45" s="1"/>
  <c r="B3659" i="45" s="1"/>
  <c r="B3664" i="45" s="1"/>
  <c r="G3435" i="45"/>
  <c r="G3436" i="45" s="1"/>
  <c r="G3437" i="45" s="1"/>
  <c r="G3438" i="45" s="1"/>
  <c r="G3439" i="45" s="1"/>
  <c r="A3438" i="45"/>
  <c r="A3441" i="45" s="1"/>
  <c r="G3475" i="45"/>
  <c r="G3476" i="45" s="1"/>
  <c r="G3477" i="45" s="1"/>
  <c r="G3478" i="45" s="1"/>
  <c r="G3479" i="45" s="1"/>
  <c r="A3478" i="45"/>
  <c r="A3481" i="45" s="1"/>
  <c r="A3493" i="45"/>
  <c r="A3496" i="45" s="1"/>
  <c r="A3499" i="45" s="1"/>
  <c r="G3455" i="45"/>
  <c r="G3456" i="45" s="1"/>
  <c r="G3457" i="45" s="1"/>
  <c r="G3458" i="45" s="1"/>
  <c r="G3459" i="45" s="1"/>
  <c r="A3458" i="45"/>
  <c r="A3461" i="45" s="1"/>
  <c r="A3498" i="45"/>
  <c r="A3501" i="45" s="1"/>
  <c r="G3495" i="45"/>
  <c r="G3496" i="45" s="1"/>
  <c r="G3497" i="45" s="1"/>
  <c r="G3498" i="45" s="1"/>
  <c r="G3499" i="45" s="1"/>
  <c r="A3427" i="45"/>
  <c r="E3427" i="45"/>
  <c r="E3429" i="45"/>
  <c r="E3432" i="45" s="1"/>
  <c r="A3447" i="45"/>
  <c r="E3447" i="45"/>
  <c r="E3449" i="45"/>
  <c r="E3452" i="45" s="1"/>
  <c r="A3467" i="45"/>
  <c r="E3467" i="45"/>
  <c r="E3469" i="45"/>
  <c r="E3472" i="45" s="1"/>
  <c r="E3487" i="45"/>
  <c r="M3487" i="45" s="1"/>
  <c r="A3488" i="45"/>
  <c r="A3491" i="45" s="1"/>
  <c r="A3494" i="45" s="1"/>
  <c r="A3497" i="45" s="1"/>
  <c r="A3500" i="45" s="1"/>
  <c r="E3489" i="45"/>
  <c r="E3492" i="45" s="1"/>
  <c r="M3492" i="45" s="1"/>
  <c r="A3538" i="45"/>
  <c r="A3541" i="45" s="1"/>
  <c r="G3535" i="45"/>
  <c r="G3536" i="45" s="1"/>
  <c r="G3537" i="45" s="1"/>
  <c r="G3538" i="45" s="1"/>
  <c r="G3539" i="45" s="1"/>
  <c r="G3555" i="45"/>
  <c r="G3556" i="45" s="1"/>
  <c r="G3557" i="45" s="1"/>
  <c r="G3558" i="45" s="1"/>
  <c r="G3559" i="45" s="1"/>
  <c r="A3558" i="45"/>
  <c r="A3561" i="45" s="1"/>
  <c r="B3427" i="45"/>
  <c r="D3427" i="45"/>
  <c r="F3427" i="45"/>
  <c r="F3428" i="45" s="1"/>
  <c r="F3432" i="45"/>
  <c r="F3433" i="45" s="1"/>
  <c r="B3447" i="45"/>
  <c r="D3447" i="45"/>
  <c r="F3447" i="45"/>
  <c r="F3448" i="45" s="1"/>
  <c r="F3452" i="45"/>
  <c r="F3453" i="45" s="1"/>
  <c r="B3467" i="45"/>
  <c r="D3467" i="45"/>
  <c r="F3467" i="45"/>
  <c r="F3468" i="45" s="1"/>
  <c r="F3472" i="45"/>
  <c r="F3473" i="45" s="1"/>
  <c r="B3487" i="45"/>
  <c r="D3487" i="45"/>
  <c r="F3487" i="45"/>
  <c r="F3488" i="45" s="1"/>
  <c r="F3492" i="45"/>
  <c r="F3493" i="45" s="1"/>
  <c r="G3515" i="45"/>
  <c r="G3516" i="45" s="1"/>
  <c r="G3517" i="45" s="1"/>
  <c r="G3518" i="45" s="1"/>
  <c r="G3519" i="45" s="1"/>
  <c r="A3518" i="45"/>
  <c r="A3521" i="45" s="1"/>
  <c r="G3575" i="45"/>
  <c r="G3576" i="45" s="1"/>
  <c r="G3577" i="45" s="1"/>
  <c r="G3578" i="45" s="1"/>
  <c r="G3579" i="45" s="1"/>
  <c r="A3578" i="45"/>
  <c r="A3581" i="45" s="1"/>
  <c r="A3507" i="45"/>
  <c r="E3507" i="45"/>
  <c r="M3507" i="45" s="1"/>
  <c r="E3509" i="45"/>
  <c r="E3512" i="45" s="1"/>
  <c r="M3512" i="45" s="1"/>
  <c r="B3527" i="45"/>
  <c r="D3527" i="45"/>
  <c r="F3527" i="45"/>
  <c r="F3528" i="45" s="1"/>
  <c r="F3532" i="45"/>
  <c r="F3533" i="45" s="1"/>
  <c r="A3547" i="45"/>
  <c r="E3547" i="45"/>
  <c r="M3547" i="45" s="1"/>
  <c r="E3549" i="45"/>
  <c r="E3552" i="45" s="1"/>
  <c r="M3552" i="45" s="1"/>
  <c r="A3567" i="45"/>
  <c r="E3567" i="45"/>
  <c r="M3567" i="45" s="1"/>
  <c r="D3587" i="45"/>
  <c r="B3607" i="45"/>
  <c r="F3607" i="45"/>
  <c r="F3608" i="45" s="1"/>
  <c r="F3612" i="45"/>
  <c r="F3613" i="45" s="1"/>
  <c r="G3615" i="45"/>
  <c r="G3616" i="45" s="1"/>
  <c r="G3617" i="45" s="1"/>
  <c r="G3618" i="45" s="1"/>
  <c r="G3619" i="45" s="1"/>
  <c r="B3629" i="45"/>
  <c r="B3632" i="45" s="1"/>
  <c r="B3635" i="45" s="1"/>
  <c r="B3638" i="45" s="1"/>
  <c r="B3641" i="45" s="1"/>
  <c r="B3627" i="45"/>
  <c r="B3507" i="45"/>
  <c r="D3507" i="45"/>
  <c r="F3507" i="45"/>
  <c r="F3508" i="45" s="1"/>
  <c r="F3512" i="45"/>
  <c r="F3513" i="45" s="1"/>
  <c r="A3527" i="45"/>
  <c r="E3527" i="45"/>
  <c r="M3527" i="45" s="1"/>
  <c r="B3547" i="45"/>
  <c r="D3547" i="45"/>
  <c r="F3547" i="45"/>
  <c r="F3548" i="45" s="1"/>
  <c r="F3552" i="45"/>
  <c r="F3553" i="45" s="1"/>
  <c r="B3587" i="45"/>
  <c r="F3587" i="45"/>
  <c r="F3588" i="45" s="1"/>
  <c r="F3592" i="45"/>
  <c r="F3593" i="45" s="1"/>
  <c r="G3595" i="45"/>
  <c r="G3596" i="45" s="1"/>
  <c r="G3597" i="45" s="1"/>
  <c r="G3598" i="45" s="1"/>
  <c r="G3599" i="45" s="1"/>
  <c r="A3638" i="45"/>
  <c r="A3641" i="45" s="1"/>
  <c r="D3629" i="45"/>
  <c r="D3632" i="45" s="1"/>
  <c r="D3635" i="45" s="1"/>
  <c r="D3638" i="45" s="1"/>
  <c r="D3641" i="45" s="1"/>
  <c r="D3627" i="45"/>
  <c r="F3629" i="45"/>
  <c r="F3627" i="45"/>
  <c r="F3628" i="45" s="1"/>
  <c r="F3632" i="45"/>
  <c r="F3633" i="45" s="1"/>
  <c r="F3647" i="45"/>
  <c r="F3648" i="45" s="1"/>
  <c r="F3652" i="45"/>
  <c r="F3653" i="45" s="1"/>
  <c r="G3655" i="45"/>
  <c r="G3656" i="45" s="1"/>
  <c r="G3657" i="45" s="1"/>
  <c r="G3658" i="45" s="1"/>
  <c r="G3659" i="45" s="1"/>
  <c r="A3678" i="45"/>
  <c r="A3681" i="45" s="1"/>
  <c r="G3675" i="45"/>
  <c r="G3676" i="45" s="1"/>
  <c r="G3677" i="45" s="1"/>
  <c r="G3678" i="45" s="1"/>
  <c r="G3679" i="45" s="1"/>
  <c r="G3695" i="45"/>
  <c r="G3696" i="45" s="1"/>
  <c r="G3697" i="45" s="1"/>
  <c r="G3698" i="45" s="1"/>
  <c r="G3699" i="45" s="1"/>
  <c r="A3698" i="45"/>
  <c r="A3701" i="45" s="1"/>
  <c r="G3715" i="45"/>
  <c r="G3716" i="45" s="1"/>
  <c r="G3717" i="45" s="1"/>
  <c r="G3718" i="45" s="1"/>
  <c r="G3719" i="45" s="1"/>
  <c r="A3718" i="45"/>
  <c r="A3721" i="45" s="1"/>
  <c r="B3567" i="45"/>
  <c r="D3567" i="45"/>
  <c r="F3567" i="45"/>
  <c r="F3568" i="45" s="1"/>
  <c r="F3572" i="45"/>
  <c r="F3573" i="45" s="1"/>
  <c r="A3587" i="45"/>
  <c r="E3587" i="45"/>
  <c r="M3587" i="45" s="1"/>
  <c r="A3607" i="45"/>
  <c r="E3607" i="45"/>
  <c r="A3627" i="45"/>
  <c r="E3627" i="45"/>
  <c r="C3646" i="45"/>
  <c r="M3646" i="45" s="1"/>
  <c r="D3647" i="45"/>
  <c r="A3673" i="45"/>
  <c r="A3676" i="45" s="1"/>
  <c r="A3679" i="45" s="1"/>
  <c r="B3667" i="45"/>
  <c r="D3667" i="45"/>
  <c r="F3667" i="45"/>
  <c r="F3668" i="45" s="1"/>
  <c r="F3672" i="45"/>
  <c r="F3673" i="45" s="1"/>
  <c r="A3687" i="45"/>
  <c r="E3687" i="45"/>
  <c r="M3687" i="45" s="1"/>
  <c r="E3689" i="45"/>
  <c r="E3692" i="45" s="1"/>
  <c r="M3692" i="45" s="1"/>
  <c r="B3707" i="45"/>
  <c r="D3707" i="45"/>
  <c r="F3707" i="45"/>
  <c r="F3708" i="45" s="1"/>
  <c r="A3738" i="45"/>
  <c r="A3741" i="45" s="1"/>
  <c r="G3735" i="45"/>
  <c r="G3736" i="45" s="1"/>
  <c r="G3737" i="45" s="1"/>
  <c r="G3738" i="45" s="1"/>
  <c r="G3739" i="45" s="1"/>
  <c r="A3758" i="45"/>
  <c r="A3761" i="45" s="1"/>
  <c r="G3755" i="45"/>
  <c r="G3756" i="45" s="1"/>
  <c r="G3757" i="45" s="1"/>
  <c r="G3758" i="45" s="1"/>
  <c r="G3759" i="45" s="1"/>
  <c r="A3647" i="45"/>
  <c r="E3647" i="45"/>
  <c r="E3667" i="45"/>
  <c r="M3667" i="45" s="1"/>
  <c r="A3668" i="45"/>
  <c r="A3671" i="45" s="1"/>
  <c r="A3674" i="45" s="1"/>
  <c r="A3677" i="45" s="1"/>
  <c r="A3680" i="45" s="1"/>
  <c r="B3687" i="45"/>
  <c r="D3687" i="45"/>
  <c r="F3687" i="45"/>
  <c r="F3688" i="45" s="1"/>
  <c r="F3692" i="45"/>
  <c r="F3693" i="45" s="1"/>
  <c r="A3707" i="45"/>
  <c r="E3707" i="45"/>
  <c r="M3707" i="45" s="1"/>
  <c r="B3727" i="45"/>
  <c r="D3727" i="45"/>
  <c r="F3727" i="45"/>
  <c r="F3728" i="45" s="1"/>
  <c r="F3732" i="45"/>
  <c r="F3733" i="45" s="1"/>
  <c r="A3747" i="45"/>
  <c r="E3747" i="45"/>
  <c r="M3747" i="45" s="1"/>
  <c r="E3749" i="45"/>
  <c r="E3752" i="45" s="1"/>
  <c r="M3752" i="45" s="1"/>
  <c r="F3712" i="45"/>
  <c r="F3713" i="45" s="1"/>
  <c r="A3727" i="45"/>
  <c r="E3727" i="45"/>
  <c r="M3727" i="45" s="1"/>
  <c r="B3747" i="45"/>
  <c r="D3747" i="45"/>
  <c r="F3747" i="45"/>
  <c r="F3748" i="45" s="1"/>
  <c r="F3752" i="45"/>
  <c r="F3753" i="45" s="1"/>
  <c r="G3775" i="45"/>
  <c r="G3776" i="45" s="1"/>
  <c r="G3777" i="45" s="1"/>
  <c r="G3778" i="45" s="1"/>
  <c r="G3779" i="45" s="1"/>
  <c r="A3778" i="45"/>
  <c r="A3781" i="45" s="1"/>
  <c r="A3767" i="45"/>
  <c r="E3769" i="45"/>
  <c r="E3772" i="45" s="1"/>
  <c r="M3772" i="45" s="1"/>
  <c r="B3767" i="45"/>
  <c r="D3767" i="45"/>
  <c r="F3767" i="45"/>
  <c r="F3768" i="45" s="1"/>
  <c r="F3772" i="45"/>
  <c r="F3773" i="45" s="1"/>
  <c r="A3229" i="45"/>
  <c r="A3232" i="45" s="1"/>
  <c r="A3235" i="45" s="1"/>
  <c r="A3238" i="45" s="1"/>
  <c r="A3241" i="45" s="1"/>
  <c r="F3192" i="45"/>
  <c r="F3193" i="45" s="1"/>
  <c r="E3307" i="45"/>
  <c r="M3307" i="45" s="1"/>
  <c r="F3312" i="45"/>
  <c r="F3313" i="45" s="1"/>
  <c r="D3347" i="45"/>
  <c r="D3350" i="45" s="1"/>
  <c r="D3353" i="45" s="1"/>
  <c r="D3356" i="45" s="1"/>
  <c r="D3359" i="45" s="1"/>
  <c r="D3362" i="45" s="1"/>
  <c r="F3372" i="45"/>
  <c r="F3373" i="45" s="1"/>
  <c r="F3412" i="45"/>
  <c r="F3413" i="45" s="1"/>
  <c r="B3069" i="45"/>
  <c r="B3072" i="45" s="1"/>
  <c r="B3075" i="45" s="1"/>
  <c r="B3078" i="45" s="1"/>
  <c r="B3081" i="45" s="1"/>
  <c r="F3089" i="45"/>
  <c r="F3207" i="45"/>
  <c r="F3208" i="45" s="1"/>
  <c r="F3247" i="45"/>
  <c r="F3248" i="45" s="1"/>
  <c r="F3267" i="45"/>
  <c r="F3268" i="45" s="1"/>
  <c r="F3287" i="45"/>
  <c r="F3288" i="45" s="1"/>
  <c r="F3327" i="45"/>
  <c r="F3328" i="45" s="1"/>
  <c r="D3087" i="45"/>
  <c r="D3090" i="45" s="1"/>
  <c r="D3093" i="45" s="1"/>
  <c r="D3096" i="45" s="1"/>
  <c r="D3099" i="45" s="1"/>
  <c r="D3102" i="45" s="1"/>
  <c r="B3109" i="45"/>
  <c r="B3112" i="45" s="1"/>
  <c r="B3115" i="45" s="1"/>
  <c r="B3118" i="45" s="1"/>
  <c r="B3121" i="45" s="1"/>
  <c r="F3172" i="45"/>
  <c r="F3173" i="45" s="1"/>
  <c r="B3207" i="45"/>
  <c r="B3210" i="45" s="1"/>
  <c r="B3213" i="45" s="1"/>
  <c r="B3216" i="45" s="1"/>
  <c r="B3219" i="45" s="1"/>
  <c r="B3224" i="45" s="1"/>
  <c r="D3209" i="45"/>
  <c r="D3212" i="45" s="1"/>
  <c r="D3215" i="45" s="1"/>
  <c r="D3218" i="45" s="1"/>
  <c r="D3221" i="45" s="1"/>
  <c r="F3232" i="45"/>
  <c r="F3233" i="45" s="1"/>
  <c r="B3247" i="45"/>
  <c r="B3250" i="45" s="1"/>
  <c r="B3253" i="45" s="1"/>
  <c r="B3256" i="45" s="1"/>
  <c r="B3259" i="45" s="1"/>
  <c r="B3264" i="45" s="1"/>
  <c r="D3249" i="45"/>
  <c r="D3252" i="45" s="1"/>
  <c r="D3255" i="45" s="1"/>
  <c r="D3258" i="45" s="1"/>
  <c r="D3261" i="45" s="1"/>
  <c r="B3267" i="45"/>
  <c r="B3270" i="45" s="1"/>
  <c r="B3273" i="45" s="1"/>
  <c r="B3276" i="45" s="1"/>
  <c r="B3279" i="45" s="1"/>
  <c r="B3282" i="45" s="1"/>
  <c r="D3269" i="45"/>
  <c r="D3272" i="45" s="1"/>
  <c r="D3275" i="45" s="1"/>
  <c r="D3278" i="45" s="1"/>
  <c r="D3281" i="45" s="1"/>
  <c r="B3287" i="45"/>
  <c r="B3290" i="45" s="1"/>
  <c r="B3293" i="45" s="1"/>
  <c r="B3296" i="45" s="1"/>
  <c r="B3299" i="45" s="1"/>
  <c r="B3302" i="45" s="1"/>
  <c r="D3289" i="45"/>
  <c r="D3292" i="45" s="1"/>
  <c r="D3295" i="45" s="1"/>
  <c r="D3298" i="45" s="1"/>
  <c r="D3301" i="45" s="1"/>
  <c r="B3327" i="45"/>
  <c r="B3330" i="45" s="1"/>
  <c r="B3333" i="45" s="1"/>
  <c r="B3336" i="45" s="1"/>
  <c r="B3339" i="45" s="1"/>
  <c r="B3342" i="45" s="1"/>
  <c r="D3329" i="45"/>
  <c r="D3332" i="45" s="1"/>
  <c r="D3335" i="45" s="1"/>
  <c r="D3338" i="45" s="1"/>
  <c r="D3341" i="45" s="1"/>
  <c r="F3349" i="45"/>
  <c r="E1447" i="45"/>
  <c r="E1469" i="45"/>
  <c r="E1472" i="45" s="1"/>
  <c r="E1487" i="45"/>
  <c r="E1709" i="45"/>
  <c r="E1712" i="45" s="1"/>
  <c r="M1712" i="45" s="1"/>
  <c r="E1749" i="45"/>
  <c r="E1752" i="45" s="1"/>
  <c r="M1752" i="45" s="1"/>
  <c r="E1767" i="45"/>
  <c r="M1767" i="45" s="1"/>
  <c r="E1789" i="45"/>
  <c r="E1792" i="45" s="1"/>
  <c r="M1792" i="45" s="1"/>
  <c r="E1809" i="45"/>
  <c r="E1812" i="45" s="1"/>
  <c r="E1815" i="45" s="1"/>
  <c r="C1986" i="45"/>
  <c r="C1987" i="45" s="1"/>
  <c r="C1988" i="45" s="1"/>
  <c r="C1989" i="45" s="1"/>
  <c r="C1990" i="45" s="1"/>
  <c r="C1991" i="45" s="1"/>
  <c r="C1992" i="45" s="1"/>
  <c r="C1993" i="45" s="1"/>
  <c r="C1994" i="45" s="1"/>
  <c r="C1995" i="45" s="1"/>
  <c r="C1996" i="45" s="1"/>
  <c r="C1997" i="45" s="1"/>
  <c r="C1998" i="45" s="1"/>
  <c r="C1999" i="45" s="1"/>
  <c r="C2000" i="45" s="1"/>
  <c r="C2001" i="45" s="1"/>
  <c r="C2002" i="45" s="1"/>
  <c r="C2003" i="45" s="1"/>
  <c r="C2004" i="45" s="1"/>
  <c r="C2006" i="45"/>
  <c r="C2007" i="45" s="1"/>
  <c r="C2008" i="45" s="1"/>
  <c r="C2009" i="45" s="1"/>
  <c r="C2010" i="45" s="1"/>
  <c r="C2011" i="45" s="1"/>
  <c r="C2012" i="45" s="1"/>
  <c r="C2013" i="45" s="1"/>
  <c r="C2014" i="45" s="1"/>
  <c r="C2015" i="45" s="1"/>
  <c r="C2016" i="45" s="1"/>
  <c r="C2017" i="45" s="1"/>
  <c r="C2018" i="45" s="1"/>
  <c r="C2019" i="45" s="1"/>
  <c r="C2020" i="45" s="1"/>
  <c r="C2021" i="45" s="1"/>
  <c r="C2022" i="45" s="1"/>
  <c r="C2023" i="45" s="1"/>
  <c r="C2024" i="45" s="1"/>
  <c r="C2026" i="45"/>
  <c r="E2067" i="45"/>
  <c r="M2067" i="45" s="1"/>
  <c r="E2107" i="45"/>
  <c r="M2107" i="45" s="1"/>
  <c r="E2127" i="45"/>
  <c r="M2127" i="45" s="1"/>
  <c r="E2149" i="45"/>
  <c r="E2152" i="45" s="1"/>
  <c r="M2152" i="45" s="1"/>
  <c r="C1446" i="45"/>
  <c r="C1447" i="45" s="1"/>
  <c r="C1448" i="45" s="1"/>
  <c r="C1449" i="45" s="1"/>
  <c r="C1450" i="45" s="1"/>
  <c r="C1451" i="45" s="1"/>
  <c r="C1452" i="45" s="1"/>
  <c r="C1453" i="45" s="1"/>
  <c r="C1454" i="45" s="1"/>
  <c r="C1455" i="45" s="1"/>
  <c r="C1456" i="45" s="1"/>
  <c r="C1457" i="45" s="1"/>
  <c r="C1458" i="45" s="1"/>
  <c r="C1459" i="45" s="1"/>
  <c r="C1460" i="45" s="1"/>
  <c r="C1461" i="45" s="1"/>
  <c r="C1462" i="45" s="1"/>
  <c r="C1463" i="45" s="1"/>
  <c r="C1464" i="45" s="1"/>
  <c r="C1466" i="45"/>
  <c r="C1467" i="45" s="1"/>
  <c r="C1468" i="45" s="1"/>
  <c r="C1469" i="45" s="1"/>
  <c r="C1470" i="45" s="1"/>
  <c r="C1471" i="45" s="1"/>
  <c r="C1472" i="45" s="1"/>
  <c r="C1473" i="45" s="1"/>
  <c r="C1474" i="45" s="1"/>
  <c r="C1475" i="45" s="1"/>
  <c r="C1476" i="45" s="1"/>
  <c r="C1477" i="45" s="1"/>
  <c r="C1478" i="45" s="1"/>
  <c r="C1479" i="45" s="1"/>
  <c r="C1480" i="45" s="1"/>
  <c r="C1481" i="45" s="1"/>
  <c r="C1482" i="45" s="1"/>
  <c r="C1483" i="45" s="1"/>
  <c r="C1484" i="45" s="1"/>
  <c r="C1486" i="45"/>
  <c r="C1487" i="45" s="1"/>
  <c r="C1488" i="45" s="1"/>
  <c r="C1489" i="45" s="1"/>
  <c r="C1490" i="45" s="1"/>
  <c r="C1491" i="45" s="1"/>
  <c r="C1492" i="45" s="1"/>
  <c r="C1493" i="45" s="1"/>
  <c r="C1494" i="45" s="1"/>
  <c r="C1495" i="45" s="1"/>
  <c r="C1496" i="45" s="1"/>
  <c r="C1497" i="45" s="1"/>
  <c r="C1498" i="45" s="1"/>
  <c r="C1499" i="45" s="1"/>
  <c r="C1500" i="45" s="1"/>
  <c r="C1501" i="45" s="1"/>
  <c r="C1502" i="45" s="1"/>
  <c r="C1503" i="45" s="1"/>
  <c r="C1504" i="45" s="1"/>
  <c r="E1527" i="45"/>
  <c r="M1527" i="45" s="1"/>
  <c r="E1567" i="45"/>
  <c r="M1567" i="45" s="1"/>
  <c r="E1587" i="45"/>
  <c r="E1609" i="45"/>
  <c r="E1612" i="45" s="1"/>
  <c r="M1612" i="45" s="1"/>
  <c r="E1629" i="45"/>
  <c r="E1632" i="45" s="1"/>
  <c r="E1649" i="45"/>
  <c r="E1652" i="45" s="1"/>
  <c r="E1669" i="45"/>
  <c r="E1672" i="45" s="1"/>
  <c r="E1869" i="45"/>
  <c r="E1872" i="45" s="1"/>
  <c r="M1872" i="45" s="1"/>
  <c r="E1887" i="45"/>
  <c r="M1887" i="45" s="1"/>
  <c r="E1927" i="45"/>
  <c r="M1927" i="45" s="1"/>
  <c r="E1947" i="45"/>
  <c r="E1967" i="45"/>
  <c r="M1967" i="45" s="1"/>
  <c r="E2029" i="45"/>
  <c r="E2032" i="45" s="1"/>
  <c r="E2035" i="45" s="1"/>
  <c r="E2449" i="45"/>
  <c r="E2452" i="45" s="1"/>
  <c r="M2452" i="45" s="1"/>
  <c r="E2467" i="45"/>
  <c r="M2467" i="45" s="1"/>
  <c r="E2487" i="45"/>
  <c r="M2487" i="45" s="1"/>
  <c r="E2507" i="45"/>
  <c r="M2507" i="45" s="1"/>
  <c r="E2529" i="45"/>
  <c r="E2532" i="45" s="1"/>
  <c r="E2549" i="45"/>
  <c r="E2552" i="45" s="1"/>
  <c r="E2569" i="45"/>
  <c r="E2572" i="45" s="1"/>
  <c r="C2566" i="45"/>
  <c r="C2567" i="45" s="1"/>
  <c r="C2568" i="45" s="1"/>
  <c r="C2569" i="45" s="1"/>
  <c r="C2570" i="45" s="1"/>
  <c r="C2571" i="45" s="1"/>
  <c r="C2572" i="45" s="1"/>
  <c r="C2573" i="45" s="1"/>
  <c r="C2574" i="45" s="1"/>
  <c r="C2575" i="45" s="1"/>
  <c r="C2576" i="45" s="1"/>
  <c r="C2577" i="45" s="1"/>
  <c r="C2578" i="45" s="1"/>
  <c r="C2579" i="45" s="1"/>
  <c r="C2580" i="45" s="1"/>
  <c r="C2581" i="45" s="1"/>
  <c r="C2582" i="45" s="1"/>
  <c r="C2583" i="45" s="1"/>
  <c r="C2584" i="45" s="1"/>
  <c r="E2589" i="45"/>
  <c r="E2592" i="45" s="1"/>
  <c r="M2592" i="45" s="1"/>
  <c r="E2629" i="45"/>
  <c r="E2632" i="45" s="1"/>
  <c r="M2632" i="45" s="1"/>
  <c r="E2669" i="45"/>
  <c r="E2672" i="45" s="1"/>
  <c r="M2672" i="45" s="1"/>
  <c r="E2689" i="45"/>
  <c r="E2692" i="45" s="1"/>
  <c r="M2692" i="45" s="1"/>
  <c r="B3149" i="45"/>
  <c r="B3152" i="45" s="1"/>
  <c r="B3155" i="45" s="1"/>
  <c r="B3158" i="45" s="1"/>
  <c r="B3161" i="45" s="1"/>
  <c r="A3167" i="45"/>
  <c r="A3170" i="45" s="1"/>
  <c r="A3173" i="45" s="1"/>
  <c r="A3176" i="45" s="1"/>
  <c r="A3179" i="45" s="1"/>
  <c r="E3169" i="45"/>
  <c r="E3172" i="45" s="1"/>
  <c r="M3172" i="45" s="1"/>
  <c r="A3187" i="45"/>
  <c r="A3190" i="45" s="1"/>
  <c r="A3193" i="45" s="1"/>
  <c r="A3196" i="45" s="1"/>
  <c r="A3199" i="45" s="1"/>
  <c r="E3189" i="45"/>
  <c r="E3192" i="45" s="1"/>
  <c r="M3192" i="45" s="1"/>
  <c r="C3266" i="45"/>
  <c r="C3267" i="45" s="1"/>
  <c r="C3268" i="45" s="1"/>
  <c r="C3269" i="45" s="1"/>
  <c r="C3270" i="45" s="1"/>
  <c r="C3271" i="45" s="1"/>
  <c r="C3272" i="45" s="1"/>
  <c r="C3273" i="45" s="1"/>
  <c r="C3274" i="45" s="1"/>
  <c r="C3275" i="45" s="1"/>
  <c r="C3276" i="45" s="1"/>
  <c r="C3277" i="45" s="1"/>
  <c r="C3278" i="45" s="1"/>
  <c r="C3279" i="45" s="1"/>
  <c r="C3280" i="45" s="1"/>
  <c r="C3281" i="45" s="1"/>
  <c r="C3282" i="45" s="1"/>
  <c r="C3283" i="45" s="1"/>
  <c r="C3284" i="45" s="1"/>
  <c r="E3269" i="45"/>
  <c r="E3272" i="45" s="1"/>
  <c r="E2969" i="45"/>
  <c r="E2972" i="45" s="1"/>
  <c r="M2972" i="45" s="1"/>
  <c r="E2989" i="45"/>
  <c r="E2992" i="45" s="1"/>
  <c r="M2992" i="45" s="1"/>
  <c r="E3029" i="45"/>
  <c r="E3032" i="45" s="1"/>
  <c r="M3032" i="45" s="1"/>
  <c r="E3049" i="45"/>
  <c r="E3052" i="45" s="1"/>
  <c r="M3052" i="45" s="1"/>
  <c r="D3067" i="45"/>
  <c r="D3070" i="45" s="1"/>
  <c r="D3073" i="45" s="1"/>
  <c r="D3076" i="45" s="1"/>
  <c r="D3079" i="45" s="1"/>
  <c r="D3084" i="45" s="1"/>
  <c r="F3069" i="45"/>
  <c r="B3089" i="45"/>
  <c r="B3092" i="45" s="1"/>
  <c r="B3095" i="45" s="1"/>
  <c r="B3098" i="45" s="1"/>
  <c r="B3101" i="45" s="1"/>
  <c r="D3107" i="45"/>
  <c r="D3110" i="45" s="1"/>
  <c r="D3113" i="45" s="1"/>
  <c r="D3116" i="45" s="1"/>
  <c r="D3119" i="45" s="1"/>
  <c r="D3124" i="45" s="1"/>
  <c r="F3109" i="45"/>
  <c r="F3134" i="45"/>
  <c r="D3147" i="45"/>
  <c r="D3150" i="45" s="1"/>
  <c r="D3153" i="45" s="1"/>
  <c r="D3156" i="45" s="1"/>
  <c r="D3159" i="45" s="1"/>
  <c r="D3164" i="45" s="1"/>
  <c r="F3149" i="45"/>
  <c r="E3167" i="45"/>
  <c r="M3167" i="45" s="1"/>
  <c r="E3187" i="45"/>
  <c r="M3187" i="45" s="1"/>
  <c r="E3209" i="45"/>
  <c r="E3212" i="45" s="1"/>
  <c r="M3212" i="45" s="1"/>
  <c r="C3246" i="45"/>
  <c r="C3247" i="45" s="1"/>
  <c r="C3248" i="45" s="1"/>
  <c r="C3249" i="45" s="1"/>
  <c r="C3250" i="45" s="1"/>
  <c r="C3251" i="45" s="1"/>
  <c r="C3252" i="45" s="1"/>
  <c r="C3253" i="45" s="1"/>
  <c r="C3254" i="45" s="1"/>
  <c r="C3255" i="45" s="1"/>
  <c r="C3256" i="45" s="1"/>
  <c r="C3257" i="45" s="1"/>
  <c r="C3258" i="45" s="1"/>
  <c r="C3259" i="45" s="1"/>
  <c r="C3260" i="45" s="1"/>
  <c r="C3261" i="45" s="1"/>
  <c r="C3262" i="45" s="1"/>
  <c r="C3263" i="45" s="1"/>
  <c r="C3264" i="45" s="1"/>
  <c r="E3249" i="45"/>
  <c r="E3252" i="45" s="1"/>
  <c r="C3286" i="45"/>
  <c r="C3287" i="45" s="1"/>
  <c r="C3288" i="45" s="1"/>
  <c r="C3289" i="45" s="1"/>
  <c r="C3290" i="45" s="1"/>
  <c r="C3291" i="45" s="1"/>
  <c r="C3292" i="45" s="1"/>
  <c r="C3293" i="45" s="1"/>
  <c r="C3294" i="45" s="1"/>
  <c r="C3295" i="45" s="1"/>
  <c r="C3296" i="45" s="1"/>
  <c r="C3297" i="45" s="1"/>
  <c r="C3298" i="45" s="1"/>
  <c r="C3299" i="45" s="1"/>
  <c r="C3300" i="45" s="1"/>
  <c r="C3301" i="45" s="1"/>
  <c r="C3302" i="45" s="1"/>
  <c r="C3303" i="45" s="1"/>
  <c r="C3304" i="45" s="1"/>
  <c r="E3289" i="45"/>
  <c r="E3292" i="45" s="1"/>
  <c r="E3329" i="45"/>
  <c r="E3332" i="45" s="1"/>
  <c r="M3332" i="45" s="1"/>
  <c r="B3349" i="45"/>
  <c r="B3352" i="45" s="1"/>
  <c r="B3355" i="45" s="1"/>
  <c r="B3358" i="45" s="1"/>
  <c r="B3361" i="45" s="1"/>
  <c r="A3367" i="45"/>
  <c r="A3370" i="45" s="1"/>
  <c r="A3373" i="45" s="1"/>
  <c r="A3376" i="45" s="1"/>
  <c r="A3379" i="45" s="1"/>
  <c r="E3369" i="45"/>
  <c r="E3372" i="45" s="1"/>
  <c r="M3372" i="45" s="1"/>
  <c r="E3389" i="45"/>
  <c r="E3392" i="45" s="1"/>
  <c r="M3392" i="45" s="1"/>
  <c r="A3387" i="45"/>
  <c r="A3388" i="45" s="1"/>
  <c r="A3391" i="45" s="1"/>
  <c r="A3394" i="45" s="1"/>
  <c r="A3397" i="45" s="1"/>
  <c r="A3400" i="45" s="1"/>
  <c r="F3394" i="45"/>
  <c r="E2907" i="45"/>
  <c r="E2929" i="45"/>
  <c r="E2932" i="45" s="1"/>
  <c r="C3066" i="45"/>
  <c r="C3067" i="45" s="1"/>
  <c r="C3068" i="45" s="1"/>
  <c r="C3069" i="45" s="1"/>
  <c r="C3070" i="45" s="1"/>
  <c r="C3071" i="45" s="1"/>
  <c r="C3072" i="45" s="1"/>
  <c r="C3073" i="45" s="1"/>
  <c r="C3074" i="45" s="1"/>
  <c r="C3075" i="45" s="1"/>
  <c r="C3076" i="45" s="1"/>
  <c r="C3077" i="45" s="1"/>
  <c r="C3078" i="45" s="1"/>
  <c r="C3079" i="45" s="1"/>
  <c r="C3080" i="45" s="1"/>
  <c r="C3081" i="45" s="1"/>
  <c r="C3082" i="45" s="1"/>
  <c r="C3083" i="45" s="1"/>
  <c r="C3084" i="45" s="1"/>
  <c r="C3086" i="45"/>
  <c r="C3087" i="45" s="1"/>
  <c r="C3088" i="45" s="1"/>
  <c r="C3089" i="45" s="1"/>
  <c r="C3090" i="45" s="1"/>
  <c r="C3091" i="45" s="1"/>
  <c r="C3092" i="45" s="1"/>
  <c r="C3093" i="45" s="1"/>
  <c r="C3094" i="45" s="1"/>
  <c r="C3095" i="45" s="1"/>
  <c r="C3096" i="45" s="1"/>
  <c r="C3097" i="45" s="1"/>
  <c r="C3098" i="45" s="1"/>
  <c r="C3099" i="45" s="1"/>
  <c r="C3100" i="45" s="1"/>
  <c r="C3101" i="45" s="1"/>
  <c r="C3102" i="45" s="1"/>
  <c r="C3103" i="45" s="1"/>
  <c r="C3104" i="45" s="1"/>
  <c r="C3106" i="45"/>
  <c r="C3107" i="45" s="1"/>
  <c r="C3108" i="45" s="1"/>
  <c r="C3109" i="45" s="1"/>
  <c r="C3110" i="45" s="1"/>
  <c r="C3111" i="45" s="1"/>
  <c r="C3112" i="45" s="1"/>
  <c r="C3113" i="45" s="1"/>
  <c r="C3114" i="45" s="1"/>
  <c r="C3115" i="45" s="1"/>
  <c r="C3116" i="45" s="1"/>
  <c r="C3117" i="45" s="1"/>
  <c r="C3118" i="45" s="1"/>
  <c r="C3119" i="45" s="1"/>
  <c r="C3120" i="45" s="1"/>
  <c r="C3121" i="45" s="1"/>
  <c r="C3122" i="45" s="1"/>
  <c r="C3123" i="45" s="1"/>
  <c r="C3124" i="45" s="1"/>
  <c r="E3127" i="45"/>
  <c r="M3127" i="45" s="1"/>
  <c r="E3227" i="45"/>
  <c r="M3227" i="45" s="1"/>
  <c r="E3349" i="45"/>
  <c r="E3352" i="45" s="1"/>
  <c r="M3352" i="45" s="1"/>
  <c r="A3407" i="45"/>
  <c r="A3408" i="45" s="1"/>
  <c r="A3411" i="45" s="1"/>
  <c r="A3414" i="45" s="1"/>
  <c r="A3417" i="45" s="1"/>
  <c r="A3420" i="45" s="1"/>
  <c r="E3407" i="45"/>
  <c r="M3407" i="45" s="1"/>
  <c r="A3258" i="45"/>
  <c r="A3261" i="45" s="1"/>
  <c r="A3278" i="45"/>
  <c r="A3281" i="45" s="1"/>
  <c r="A3298" i="45"/>
  <c r="A3301" i="45" s="1"/>
  <c r="D3264" i="45"/>
  <c r="D3262" i="45"/>
  <c r="D3284" i="45"/>
  <c r="D3282" i="45"/>
  <c r="D3302" i="45"/>
  <c r="D3304" i="45"/>
  <c r="A3247" i="45"/>
  <c r="E3247" i="45"/>
  <c r="D3248" i="45"/>
  <c r="D3251" i="45" s="1"/>
  <c r="D3254" i="45" s="1"/>
  <c r="D3257" i="45" s="1"/>
  <c r="D3260" i="45" s="1"/>
  <c r="D3263" i="45" s="1"/>
  <c r="F3252" i="45"/>
  <c r="F3253" i="45" s="1"/>
  <c r="A3267" i="45"/>
  <c r="E3267" i="45"/>
  <c r="M3267" i="45" s="1"/>
  <c r="D3268" i="45"/>
  <c r="D3271" i="45" s="1"/>
  <c r="D3274" i="45" s="1"/>
  <c r="D3277" i="45" s="1"/>
  <c r="D3280" i="45" s="1"/>
  <c r="D3283" i="45" s="1"/>
  <c r="F3272" i="45"/>
  <c r="F3273" i="45" s="1"/>
  <c r="A3287" i="45"/>
  <c r="E3287" i="45"/>
  <c r="D3288" i="45"/>
  <c r="D3291" i="45" s="1"/>
  <c r="D3294" i="45" s="1"/>
  <c r="D3297" i="45" s="1"/>
  <c r="D3300" i="45" s="1"/>
  <c r="D3303" i="45" s="1"/>
  <c r="F3292" i="45"/>
  <c r="F3293" i="45" s="1"/>
  <c r="B3309" i="45"/>
  <c r="B3312" i="45" s="1"/>
  <c r="B3315" i="45" s="1"/>
  <c r="B3318" i="45" s="1"/>
  <c r="B3321" i="45" s="1"/>
  <c r="B3307" i="45"/>
  <c r="A3313" i="45"/>
  <c r="A3316" i="45" s="1"/>
  <c r="A3319" i="45" s="1"/>
  <c r="A3338" i="45"/>
  <c r="A3341" i="45" s="1"/>
  <c r="A3318" i="45"/>
  <c r="A3321" i="45" s="1"/>
  <c r="D3344" i="45"/>
  <c r="D3342" i="45"/>
  <c r="D3307" i="45"/>
  <c r="F3307" i="45"/>
  <c r="F3308" i="45" s="1"/>
  <c r="A3308" i="45"/>
  <c r="A3311" i="45" s="1"/>
  <c r="A3314" i="45" s="1"/>
  <c r="A3317" i="45" s="1"/>
  <c r="A3320" i="45" s="1"/>
  <c r="A3327" i="45"/>
  <c r="E3327" i="45"/>
  <c r="M3327" i="45" s="1"/>
  <c r="D3328" i="45"/>
  <c r="D3331" i="45" s="1"/>
  <c r="D3334" i="45" s="1"/>
  <c r="D3337" i="45" s="1"/>
  <c r="D3340" i="45" s="1"/>
  <c r="D3343" i="45" s="1"/>
  <c r="F3332" i="45"/>
  <c r="F3333" i="45" s="1"/>
  <c r="A3349" i="45"/>
  <c r="A3352" i="45" s="1"/>
  <c r="A3355" i="45" s="1"/>
  <c r="A3347" i="45"/>
  <c r="B3364" i="45"/>
  <c r="B3362" i="45"/>
  <c r="A3378" i="45"/>
  <c r="A3381" i="45" s="1"/>
  <c r="G3375" i="45"/>
  <c r="G3376" i="45" s="1"/>
  <c r="G3377" i="45" s="1"/>
  <c r="G3378" i="45" s="1"/>
  <c r="G3379" i="45" s="1"/>
  <c r="E3347" i="45"/>
  <c r="M3347" i="45" s="1"/>
  <c r="B3348" i="45"/>
  <c r="B3351" i="45" s="1"/>
  <c r="B3354" i="45" s="1"/>
  <c r="B3357" i="45" s="1"/>
  <c r="B3360" i="45" s="1"/>
  <c r="B3363" i="45" s="1"/>
  <c r="F3352" i="45"/>
  <c r="F3353" i="45" s="1"/>
  <c r="B3367" i="45"/>
  <c r="D3367" i="45"/>
  <c r="F3367" i="45"/>
  <c r="F3368" i="45" s="1"/>
  <c r="B3389" i="45"/>
  <c r="B3392" i="45" s="1"/>
  <c r="B3395" i="45" s="1"/>
  <c r="B3398" i="45" s="1"/>
  <c r="B3401" i="45" s="1"/>
  <c r="B3387" i="45"/>
  <c r="D3389" i="45"/>
  <c r="D3392" i="45" s="1"/>
  <c r="D3395" i="45" s="1"/>
  <c r="D3398" i="45" s="1"/>
  <c r="D3401" i="45" s="1"/>
  <c r="D3387" i="45"/>
  <c r="F3389" i="45"/>
  <c r="F3387" i="45"/>
  <c r="F3388" i="45" s="1"/>
  <c r="A3398" i="45"/>
  <c r="A3401" i="45" s="1"/>
  <c r="A3418" i="45"/>
  <c r="A3421" i="45" s="1"/>
  <c r="B3409" i="45"/>
  <c r="B3412" i="45" s="1"/>
  <c r="B3415" i="45" s="1"/>
  <c r="B3418" i="45" s="1"/>
  <c r="B3421" i="45" s="1"/>
  <c r="B3407" i="45"/>
  <c r="D3409" i="45"/>
  <c r="D3412" i="45" s="1"/>
  <c r="D3415" i="45" s="1"/>
  <c r="D3418" i="45" s="1"/>
  <c r="D3421" i="45" s="1"/>
  <c r="D3407" i="45"/>
  <c r="F3409" i="45"/>
  <c r="F3407" i="45"/>
  <c r="F3408" i="45" s="1"/>
  <c r="A3078" i="45"/>
  <c r="A3081" i="45" s="1"/>
  <c r="B3084" i="45"/>
  <c r="B3082" i="45"/>
  <c r="A3098" i="45"/>
  <c r="A3101" i="45" s="1"/>
  <c r="B3104" i="45"/>
  <c r="B3102" i="45"/>
  <c r="A3118" i="45"/>
  <c r="A3121" i="45" s="1"/>
  <c r="B3124" i="45"/>
  <c r="B3122" i="45"/>
  <c r="A3067" i="45"/>
  <c r="E3067" i="45"/>
  <c r="B3068" i="45"/>
  <c r="B3071" i="45" s="1"/>
  <c r="B3074" i="45" s="1"/>
  <c r="B3077" i="45" s="1"/>
  <c r="B3080" i="45" s="1"/>
  <c r="B3083" i="45" s="1"/>
  <c r="F3072" i="45"/>
  <c r="F3073" i="45" s="1"/>
  <c r="A3087" i="45"/>
  <c r="E3087" i="45"/>
  <c r="B3088" i="45"/>
  <c r="B3091" i="45" s="1"/>
  <c r="B3094" i="45" s="1"/>
  <c r="B3097" i="45" s="1"/>
  <c r="B3100" i="45" s="1"/>
  <c r="B3103" i="45" s="1"/>
  <c r="F3092" i="45"/>
  <c r="F3093" i="45" s="1"/>
  <c r="A3107" i="45"/>
  <c r="E3107" i="45"/>
  <c r="B3108" i="45"/>
  <c r="B3111" i="45" s="1"/>
  <c r="B3114" i="45" s="1"/>
  <c r="B3117" i="45" s="1"/>
  <c r="B3120" i="45" s="1"/>
  <c r="B3123" i="45" s="1"/>
  <c r="F3112" i="45"/>
  <c r="F3113" i="45" s="1"/>
  <c r="B3129" i="45"/>
  <c r="B3132" i="45" s="1"/>
  <c r="B3135" i="45" s="1"/>
  <c r="B3138" i="45" s="1"/>
  <c r="B3141" i="45" s="1"/>
  <c r="B3127" i="45"/>
  <c r="D3129" i="45"/>
  <c r="D3132" i="45" s="1"/>
  <c r="D3135" i="45" s="1"/>
  <c r="D3138" i="45" s="1"/>
  <c r="D3141" i="45" s="1"/>
  <c r="D3127" i="45"/>
  <c r="F3129" i="45"/>
  <c r="F3127" i="45"/>
  <c r="F3128" i="45" s="1"/>
  <c r="A3130" i="45"/>
  <c r="A3128" i="45"/>
  <c r="A3131" i="45" s="1"/>
  <c r="A3134" i="45" s="1"/>
  <c r="A3137" i="45" s="1"/>
  <c r="A3140" i="45" s="1"/>
  <c r="A3138" i="45"/>
  <c r="A3141" i="45" s="1"/>
  <c r="A3158" i="45"/>
  <c r="A3161" i="45" s="1"/>
  <c r="B3164" i="45"/>
  <c r="B3162" i="45"/>
  <c r="A3178" i="45"/>
  <c r="A3181" i="45" s="1"/>
  <c r="G3175" i="45"/>
  <c r="G3176" i="45" s="1"/>
  <c r="G3177" i="45" s="1"/>
  <c r="G3178" i="45" s="1"/>
  <c r="G3179" i="45" s="1"/>
  <c r="A3147" i="45"/>
  <c r="E3147" i="45"/>
  <c r="M3147" i="45" s="1"/>
  <c r="B3148" i="45"/>
  <c r="B3151" i="45" s="1"/>
  <c r="B3154" i="45" s="1"/>
  <c r="B3157" i="45" s="1"/>
  <c r="B3160" i="45" s="1"/>
  <c r="B3163" i="45" s="1"/>
  <c r="F3152" i="45"/>
  <c r="F3153" i="45" s="1"/>
  <c r="B3167" i="45"/>
  <c r="D3167" i="45"/>
  <c r="F3167" i="45"/>
  <c r="F3168" i="45" s="1"/>
  <c r="B3189" i="45"/>
  <c r="B3192" i="45" s="1"/>
  <c r="B3195" i="45" s="1"/>
  <c r="B3198" i="45" s="1"/>
  <c r="B3201" i="45" s="1"/>
  <c r="B3187" i="45"/>
  <c r="D3189" i="45"/>
  <c r="D3192" i="45" s="1"/>
  <c r="D3195" i="45" s="1"/>
  <c r="D3198" i="45" s="1"/>
  <c r="D3201" i="45" s="1"/>
  <c r="D3187" i="45"/>
  <c r="F3189" i="45"/>
  <c r="F3187" i="45"/>
  <c r="F3188" i="45" s="1"/>
  <c r="A3218" i="45"/>
  <c r="A3221" i="45" s="1"/>
  <c r="A3198" i="45"/>
  <c r="A3201" i="45" s="1"/>
  <c r="D3224" i="45"/>
  <c r="D3222" i="45"/>
  <c r="A3207" i="45"/>
  <c r="E3207" i="45"/>
  <c r="M3207" i="45" s="1"/>
  <c r="D3208" i="45"/>
  <c r="D3211" i="45" s="1"/>
  <c r="D3214" i="45" s="1"/>
  <c r="D3217" i="45" s="1"/>
  <c r="D3220" i="45" s="1"/>
  <c r="D3223" i="45" s="1"/>
  <c r="F3214" i="45"/>
  <c r="F3212" i="45"/>
  <c r="F3213" i="45" s="1"/>
  <c r="C3233" i="45"/>
  <c r="C3234" i="45" s="1"/>
  <c r="C3235" i="45" s="1"/>
  <c r="C3236" i="45" s="1"/>
  <c r="C3237" i="45" s="1"/>
  <c r="C3238" i="45" s="1"/>
  <c r="C3239" i="45" s="1"/>
  <c r="C3240" i="45" s="1"/>
  <c r="C3241" i="45" s="1"/>
  <c r="C3242" i="45" s="1"/>
  <c r="C3243" i="45" s="1"/>
  <c r="C3244" i="45" s="1"/>
  <c r="B3229" i="45"/>
  <c r="B3232" i="45" s="1"/>
  <c r="B3235" i="45" s="1"/>
  <c r="B3238" i="45" s="1"/>
  <c r="B3241" i="45" s="1"/>
  <c r="B3227" i="45"/>
  <c r="D3229" i="45"/>
  <c r="D3232" i="45" s="1"/>
  <c r="D3235" i="45" s="1"/>
  <c r="D3238" i="45" s="1"/>
  <c r="D3241" i="45" s="1"/>
  <c r="D3227" i="45"/>
  <c r="F3229" i="45"/>
  <c r="F3227" i="45"/>
  <c r="F3228" i="45" s="1"/>
  <c r="A3230" i="45"/>
  <c r="A3228" i="45"/>
  <c r="A3231" i="45" s="1"/>
  <c r="A3234" i="45" s="1"/>
  <c r="A3237" i="45" s="1"/>
  <c r="A3240" i="45" s="1"/>
  <c r="AG553" i="1"/>
  <c r="AH553" i="1" s="1"/>
  <c r="AI553" i="1"/>
  <c r="AE553" i="1"/>
  <c r="AF553" i="1"/>
  <c r="E2867" i="45"/>
  <c r="M2867" i="45" s="1"/>
  <c r="E3047" i="45"/>
  <c r="M3047" i="45" s="1"/>
  <c r="E2909" i="45"/>
  <c r="E2912" i="45" s="1"/>
  <c r="F2912" i="45"/>
  <c r="F2913" i="45" s="1"/>
  <c r="A2747" i="45"/>
  <c r="A2750" i="45" s="1"/>
  <c r="A2753" i="45" s="1"/>
  <c r="A2756" i="45" s="1"/>
  <c r="A2759" i="45" s="1"/>
  <c r="A2707" i="45"/>
  <c r="A2710" i="45" s="1"/>
  <c r="A2713" i="45" s="1"/>
  <c r="A2716" i="45" s="1"/>
  <c r="A2719" i="45" s="1"/>
  <c r="E2547" i="45"/>
  <c r="E2567" i="45"/>
  <c r="F2607" i="45"/>
  <c r="F2608" i="45" s="1"/>
  <c r="F2647" i="45"/>
  <c r="F2648" i="45" s="1"/>
  <c r="E2667" i="45"/>
  <c r="M2667" i="45" s="1"/>
  <c r="E2727" i="45"/>
  <c r="F2807" i="45"/>
  <c r="F2808" i="45" s="1"/>
  <c r="A2889" i="45"/>
  <c r="A2892" i="45" s="1"/>
  <c r="A2895" i="45" s="1"/>
  <c r="A2898" i="45" s="1"/>
  <c r="A2901" i="45" s="1"/>
  <c r="A2929" i="45"/>
  <c r="A2932" i="45" s="1"/>
  <c r="A2935" i="45" s="1"/>
  <c r="A2938" i="45" s="1"/>
  <c r="A2941" i="45" s="1"/>
  <c r="F2967" i="45"/>
  <c r="F2968" i="45" s="1"/>
  <c r="F2492" i="45"/>
  <c r="F2493" i="45" s="1"/>
  <c r="A2527" i="45"/>
  <c r="A2530" i="45" s="1"/>
  <c r="A2533" i="45" s="1"/>
  <c r="A2536" i="45" s="1"/>
  <c r="A2539" i="45" s="1"/>
  <c r="F2552" i="45"/>
  <c r="F2553" i="45" s="1"/>
  <c r="F2572" i="45"/>
  <c r="F2573" i="45" s="1"/>
  <c r="B2607" i="45"/>
  <c r="B2610" i="45" s="1"/>
  <c r="B2613" i="45" s="1"/>
  <c r="B2616" i="45" s="1"/>
  <c r="B2619" i="45" s="1"/>
  <c r="E2627" i="45"/>
  <c r="M2627" i="45" s="1"/>
  <c r="B2647" i="45"/>
  <c r="B2650" i="45" s="1"/>
  <c r="B2653" i="45" s="1"/>
  <c r="B2656" i="45" s="1"/>
  <c r="B2659" i="45" s="1"/>
  <c r="E2687" i="45"/>
  <c r="M2687" i="45" s="1"/>
  <c r="F2732" i="45"/>
  <c r="F2733" i="45" s="1"/>
  <c r="A2787" i="45"/>
  <c r="A2790" i="45" s="1"/>
  <c r="A2793" i="45" s="1"/>
  <c r="A2796" i="45" s="1"/>
  <c r="A2799" i="45" s="1"/>
  <c r="E2789" i="45"/>
  <c r="E2792" i="45" s="1"/>
  <c r="M2792" i="45" s="1"/>
  <c r="F2792" i="45"/>
  <c r="F2793" i="45" s="1"/>
  <c r="B2807" i="45"/>
  <c r="B2810" i="45" s="1"/>
  <c r="B2813" i="45" s="1"/>
  <c r="B2816" i="45" s="1"/>
  <c r="B2819" i="45" s="1"/>
  <c r="B2824" i="45" s="1"/>
  <c r="D2809" i="45"/>
  <c r="D2812" i="45" s="1"/>
  <c r="D2815" i="45" s="1"/>
  <c r="D2818" i="45" s="1"/>
  <c r="D2821" i="45" s="1"/>
  <c r="A2847" i="45"/>
  <c r="A2850" i="45" s="1"/>
  <c r="A2853" i="45" s="1"/>
  <c r="A2856" i="45" s="1"/>
  <c r="A2859" i="45" s="1"/>
  <c r="E2849" i="45"/>
  <c r="E2852" i="45" s="1"/>
  <c r="M2852" i="45" s="1"/>
  <c r="A2867" i="45"/>
  <c r="A2868" i="45" s="1"/>
  <c r="A2871" i="45" s="1"/>
  <c r="A2874" i="45" s="1"/>
  <c r="A2877" i="45" s="1"/>
  <c r="A2880" i="45" s="1"/>
  <c r="B2967" i="45"/>
  <c r="B2970" i="45" s="1"/>
  <c r="B2973" i="45" s="1"/>
  <c r="B2976" i="45" s="1"/>
  <c r="B2979" i="45" s="1"/>
  <c r="B2982" i="45" s="1"/>
  <c r="A3047" i="45"/>
  <c r="A3048" i="45" s="1"/>
  <c r="A3051" i="45" s="1"/>
  <c r="A3054" i="45" s="1"/>
  <c r="A3057" i="45" s="1"/>
  <c r="A3060" i="45" s="1"/>
  <c r="A2627" i="45"/>
  <c r="A2630" i="45" s="1"/>
  <c r="A2667" i="45"/>
  <c r="A2670" i="45" s="1"/>
  <c r="A2687" i="45"/>
  <c r="A2688" i="45" s="1"/>
  <c r="A2691" i="45" s="1"/>
  <c r="A2694" i="45" s="1"/>
  <c r="A2697" i="45" s="1"/>
  <c r="A2700" i="45" s="1"/>
  <c r="E2469" i="45"/>
  <c r="E2472" i="45" s="1"/>
  <c r="M2472" i="45" s="1"/>
  <c r="E2349" i="45"/>
  <c r="E2352" i="45" s="1"/>
  <c r="E2387" i="45"/>
  <c r="F2427" i="45"/>
  <c r="F2428" i="45" s="1"/>
  <c r="F2534" i="45"/>
  <c r="F2594" i="45"/>
  <c r="F2634" i="45"/>
  <c r="F2674" i="45"/>
  <c r="F2694" i="45"/>
  <c r="F2252" i="45"/>
  <c r="F2253" i="45" s="1"/>
  <c r="B2267" i="45"/>
  <c r="B2270" i="45" s="1"/>
  <c r="B2273" i="45" s="1"/>
  <c r="B2276" i="45" s="1"/>
  <c r="B2279" i="45" s="1"/>
  <c r="B2282" i="45" s="1"/>
  <c r="F2352" i="45"/>
  <c r="F2353" i="45" s="1"/>
  <c r="F2392" i="45"/>
  <c r="F2393" i="45" s="1"/>
  <c r="E2407" i="45"/>
  <c r="M2407" i="45" s="1"/>
  <c r="E2409" i="45"/>
  <c r="E2412" i="45" s="1"/>
  <c r="M2412" i="45" s="1"/>
  <c r="F2412" i="45"/>
  <c r="F2413" i="45" s="1"/>
  <c r="B2427" i="45"/>
  <c r="B2428" i="45" s="1"/>
  <c r="B2431" i="45" s="1"/>
  <c r="B2434" i="45" s="1"/>
  <c r="B2437" i="45" s="1"/>
  <c r="B2440" i="45" s="1"/>
  <c r="B2443" i="45" s="1"/>
  <c r="F2512" i="45"/>
  <c r="F2513" i="45" s="1"/>
  <c r="E2527" i="45"/>
  <c r="A2547" i="45"/>
  <c r="A2550" i="45" s="1"/>
  <c r="A2553" i="45" s="1"/>
  <c r="A2556" i="45" s="1"/>
  <c r="A2559" i="45" s="1"/>
  <c r="A2567" i="45"/>
  <c r="A2568" i="45" s="1"/>
  <c r="A2571" i="45" s="1"/>
  <c r="A2574" i="45" s="1"/>
  <c r="A2577" i="45" s="1"/>
  <c r="A2580" i="45" s="1"/>
  <c r="E2587" i="45"/>
  <c r="M2587" i="45" s="1"/>
  <c r="D2607" i="45"/>
  <c r="D2608" i="45" s="1"/>
  <c r="D2611" i="45" s="1"/>
  <c r="D2614" i="45" s="1"/>
  <c r="D2617" i="45" s="1"/>
  <c r="D2620" i="45" s="1"/>
  <c r="D2623" i="45" s="1"/>
  <c r="D2647" i="45"/>
  <c r="D2648" i="45" s="1"/>
  <c r="D2651" i="45" s="1"/>
  <c r="D2654" i="45" s="1"/>
  <c r="D2657" i="45" s="1"/>
  <c r="D2660" i="45" s="1"/>
  <c r="D2663" i="45" s="1"/>
  <c r="E2709" i="45"/>
  <c r="E2712" i="45" s="1"/>
  <c r="E2707" i="45"/>
  <c r="F2714" i="45"/>
  <c r="A2729" i="45"/>
  <c r="A2732" i="45" s="1"/>
  <c r="A2735" i="45" s="1"/>
  <c r="G2735" i="45" s="1"/>
  <c r="G2736" i="45" s="1"/>
  <c r="G2737" i="45" s="1"/>
  <c r="G2738" i="45" s="1"/>
  <c r="G2739" i="45" s="1"/>
  <c r="A2727" i="45"/>
  <c r="A2730" i="45" s="1"/>
  <c r="A2733" i="45" s="1"/>
  <c r="A2736" i="45" s="1"/>
  <c r="A2739" i="45" s="1"/>
  <c r="E2747" i="45"/>
  <c r="F2752" i="45"/>
  <c r="F2753" i="45" s="1"/>
  <c r="E2767" i="45"/>
  <c r="M2767" i="45" s="1"/>
  <c r="E2769" i="45"/>
  <c r="E2772" i="45" s="1"/>
  <c r="M2772" i="45" s="1"/>
  <c r="F2772" i="45"/>
  <c r="F2773" i="45" s="1"/>
  <c r="B2827" i="45"/>
  <c r="B2830" i="45" s="1"/>
  <c r="B2833" i="45" s="1"/>
  <c r="B2836" i="45" s="1"/>
  <c r="B2839" i="45" s="1"/>
  <c r="B2844" i="45" s="1"/>
  <c r="F2827" i="45"/>
  <c r="F2828" i="45" s="1"/>
  <c r="D2829" i="45"/>
  <c r="D2832" i="45" s="1"/>
  <c r="D2835" i="45" s="1"/>
  <c r="D2838" i="45" s="1"/>
  <c r="D2841" i="45" s="1"/>
  <c r="F2872" i="45"/>
  <c r="F2873" i="45" s="1"/>
  <c r="E2887" i="45"/>
  <c r="F2892" i="45"/>
  <c r="F2893" i="45" s="1"/>
  <c r="A2907" i="45"/>
  <c r="A2910" i="45" s="1"/>
  <c r="A2913" i="45" s="1"/>
  <c r="A2916" i="45" s="1"/>
  <c r="A2919" i="45" s="1"/>
  <c r="E2927" i="45"/>
  <c r="F2932" i="45"/>
  <c r="F2933" i="45" s="1"/>
  <c r="E2947" i="45"/>
  <c r="M2947" i="45" s="1"/>
  <c r="E2949" i="45"/>
  <c r="E2952" i="45" s="1"/>
  <c r="M2952" i="45" s="1"/>
  <c r="F2952" i="45"/>
  <c r="F2953" i="45" s="1"/>
  <c r="D2967" i="45"/>
  <c r="D2970" i="45" s="1"/>
  <c r="D2973" i="45" s="1"/>
  <c r="D2976" i="45" s="1"/>
  <c r="D2979" i="45" s="1"/>
  <c r="D2982" i="45" s="1"/>
  <c r="A3007" i="45"/>
  <c r="A3010" i="45" s="1"/>
  <c r="A3013" i="45" s="1"/>
  <c r="A3016" i="45" s="1"/>
  <c r="A3019" i="45" s="1"/>
  <c r="E3007" i="45"/>
  <c r="M3007" i="45" s="1"/>
  <c r="E3009" i="45"/>
  <c r="E3012" i="45" s="1"/>
  <c r="M3012" i="45" s="1"/>
  <c r="F3012" i="45"/>
  <c r="F3013" i="45" s="1"/>
  <c r="B3027" i="45"/>
  <c r="B3030" i="45" s="1"/>
  <c r="B3033" i="45" s="1"/>
  <c r="B3036" i="45" s="1"/>
  <c r="B3039" i="45" s="1"/>
  <c r="B3044" i="45" s="1"/>
  <c r="F3027" i="45"/>
  <c r="F3028" i="45" s="1"/>
  <c r="D3029" i="45"/>
  <c r="D3032" i="45" s="1"/>
  <c r="D3035" i="45" s="1"/>
  <c r="D3038" i="45" s="1"/>
  <c r="D3041" i="45" s="1"/>
  <c r="F3052" i="45"/>
  <c r="F3053" i="45" s="1"/>
  <c r="A2369" i="45"/>
  <c r="A2372" i="45" s="1"/>
  <c r="A2375" i="45" s="1"/>
  <c r="G2375" i="45" s="1"/>
  <c r="G2376" i="45" s="1"/>
  <c r="G2377" i="45" s="1"/>
  <c r="G2378" i="45" s="1"/>
  <c r="G2379" i="45" s="1"/>
  <c r="A2918" i="45"/>
  <c r="A2921" i="45" s="1"/>
  <c r="G2915" i="45"/>
  <c r="G2916" i="45" s="1"/>
  <c r="G2917" i="45" s="1"/>
  <c r="G2918" i="45" s="1"/>
  <c r="G2919" i="45" s="1"/>
  <c r="A2893" i="45"/>
  <c r="A2896" i="45" s="1"/>
  <c r="A2899" i="45" s="1"/>
  <c r="A2933" i="45"/>
  <c r="A2936" i="45" s="1"/>
  <c r="A2939" i="45" s="1"/>
  <c r="C2886" i="45"/>
  <c r="B2887" i="45"/>
  <c r="D2887" i="45"/>
  <c r="F2887" i="45"/>
  <c r="F2888" i="45" s="1"/>
  <c r="A2888" i="45"/>
  <c r="A2891" i="45" s="1"/>
  <c r="A2894" i="45" s="1"/>
  <c r="A2897" i="45" s="1"/>
  <c r="A2900" i="45" s="1"/>
  <c r="C2906" i="45"/>
  <c r="M2906" i="45" s="1"/>
  <c r="B2907" i="45"/>
  <c r="D2907" i="45"/>
  <c r="F2907" i="45"/>
  <c r="F2908" i="45" s="1"/>
  <c r="C2926" i="45"/>
  <c r="B2927" i="45"/>
  <c r="D2927" i="45"/>
  <c r="F2927" i="45"/>
  <c r="F2928" i="45" s="1"/>
  <c r="A2928" i="45"/>
  <c r="A2931" i="45" s="1"/>
  <c r="A2934" i="45" s="1"/>
  <c r="A2937" i="45" s="1"/>
  <c r="A2940" i="45" s="1"/>
  <c r="B2949" i="45"/>
  <c r="B2952" i="45" s="1"/>
  <c r="B2955" i="45" s="1"/>
  <c r="B2958" i="45" s="1"/>
  <c r="B2961" i="45" s="1"/>
  <c r="B2947" i="45"/>
  <c r="D2949" i="45"/>
  <c r="D2952" i="45" s="1"/>
  <c r="D2955" i="45" s="1"/>
  <c r="D2958" i="45" s="1"/>
  <c r="D2961" i="45" s="1"/>
  <c r="D2947" i="45"/>
  <c r="F2949" i="45"/>
  <c r="F2947" i="45"/>
  <c r="F2948" i="45" s="1"/>
  <c r="A2950" i="45"/>
  <c r="A2948" i="45"/>
  <c r="A2951" i="45" s="1"/>
  <c r="A2954" i="45" s="1"/>
  <c r="A2957" i="45" s="1"/>
  <c r="A2960" i="45" s="1"/>
  <c r="A2958" i="45"/>
  <c r="A2961" i="45" s="1"/>
  <c r="A2978" i="45"/>
  <c r="A2981" i="45" s="1"/>
  <c r="G2975" i="45"/>
  <c r="G2976" i="45" s="1"/>
  <c r="G2977" i="45" s="1"/>
  <c r="G2978" i="45" s="1"/>
  <c r="G2979" i="45" s="1"/>
  <c r="A2998" i="45"/>
  <c r="A3001" i="45" s="1"/>
  <c r="G2995" i="45"/>
  <c r="G2996" i="45" s="1"/>
  <c r="G2997" i="45" s="1"/>
  <c r="G2998" i="45" s="1"/>
  <c r="G2999" i="45" s="1"/>
  <c r="A2967" i="45"/>
  <c r="E2967" i="45"/>
  <c r="M2967" i="45" s="1"/>
  <c r="F2972" i="45"/>
  <c r="F2973" i="45" s="1"/>
  <c r="B2987" i="45"/>
  <c r="D2987" i="45"/>
  <c r="F2987" i="45"/>
  <c r="F2988" i="45" s="1"/>
  <c r="F2994" i="45"/>
  <c r="F2992" i="45"/>
  <c r="F2993" i="45" s="1"/>
  <c r="A3038" i="45"/>
  <c r="A3041" i="45" s="1"/>
  <c r="A2987" i="45"/>
  <c r="E2987" i="45"/>
  <c r="M2987" i="45" s="1"/>
  <c r="A3018" i="45"/>
  <c r="A3021" i="45" s="1"/>
  <c r="G3015" i="45"/>
  <c r="G3016" i="45" s="1"/>
  <c r="G3017" i="45" s="1"/>
  <c r="G3018" i="45" s="1"/>
  <c r="G3019" i="45" s="1"/>
  <c r="D3044" i="45"/>
  <c r="D3042" i="45"/>
  <c r="B3007" i="45"/>
  <c r="D3007" i="45"/>
  <c r="F3007" i="45"/>
  <c r="F3008" i="45" s="1"/>
  <c r="A3027" i="45"/>
  <c r="E3027" i="45"/>
  <c r="M3027" i="45" s="1"/>
  <c r="D3028" i="45"/>
  <c r="D3031" i="45" s="1"/>
  <c r="D3034" i="45" s="1"/>
  <c r="D3037" i="45" s="1"/>
  <c r="D3040" i="45" s="1"/>
  <c r="D3043" i="45" s="1"/>
  <c r="F3034" i="45"/>
  <c r="F3032" i="45"/>
  <c r="F3033" i="45" s="1"/>
  <c r="C3053" i="45"/>
  <c r="C3054" i="45" s="1"/>
  <c r="C3055" i="45" s="1"/>
  <c r="C3056" i="45" s="1"/>
  <c r="C3057" i="45" s="1"/>
  <c r="C3058" i="45" s="1"/>
  <c r="C3059" i="45" s="1"/>
  <c r="C3060" i="45" s="1"/>
  <c r="C3061" i="45" s="1"/>
  <c r="C3062" i="45" s="1"/>
  <c r="C3063" i="45" s="1"/>
  <c r="C3064" i="45" s="1"/>
  <c r="B3049" i="45"/>
  <c r="B3052" i="45" s="1"/>
  <c r="B3055" i="45" s="1"/>
  <c r="B3058" i="45" s="1"/>
  <c r="B3061" i="45" s="1"/>
  <c r="B3047" i="45"/>
  <c r="D3049" i="45"/>
  <c r="D3052" i="45" s="1"/>
  <c r="D3055" i="45" s="1"/>
  <c r="D3058" i="45" s="1"/>
  <c r="D3061" i="45" s="1"/>
  <c r="D3047" i="45"/>
  <c r="F3049" i="45"/>
  <c r="F3047" i="45"/>
  <c r="F3048" i="45" s="1"/>
  <c r="A3058" i="45"/>
  <c r="A3061" i="45" s="1"/>
  <c r="A2773" i="45"/>
  <c r="A2776" i="45" s="1"/>
  <c r="A2779" i="45" s="1"/>
  <c r="A2718" i="45"/>
  <c r="A2721" i="45" s="1"/>
  <c r="G2715" i="45"/>
  <c r="G2716" i="45" s="1"/>
  <c r="G2717" i="45" s="1"/>
  <c r="G2718" i="45" s="1"/>
  <c r="G2719" i="45" s="1"/>
  <c r="A2758" i="45"/>
  <c r="A2761" i="45" s="1"/>
  <c r="G2755" i="45"/>
  <c r="G2756" i="45" s="1"/>
  <c r="G2757" i="45" s="1"/>
  <c r="G2758" i="45" s="1"/>
  <c r="G2759" i="45" s="1"/>
  <c r="A2778" i="45"/>
  <c r="A2781" i="45" s="1"/>
  <c r="G2775" i="45"/>
  <c r="G2776" i="45" s="1"/>
  <c r="G2777" i="45" s="1"/>
  <c r="G2778" i="45" s="1"/>
  <c r="G2779" i="45" s="1"/>
  <c r="C2706" i="45"/>
  <c r="B2707" i="45"/>
  <c r="D2707" i="45"/>
  <c r="F2707" i="45"/>
  <c r="F2708" i="45" s="1"/>
  <c r="C2726" i="45"/>
  <c r="B2727" i="45"/>
  <c r="D2727" i="45"/>
  <c r="F2727" i="45"/>
  <c r="F2728" i="45" s="1"/>
  <c r="C2746" i="45"/>
  <c r="B2747" i="45"/>
  <c r="D2747" i="45"/>
  <c r="F2747" i="45"/>
  <c r="F2748" i="45" s="1"/>
  <c r="B2767" i="45"/>
  <c r="D2767" i="45"/>
  <c r="F2767" i="45"/>
  <c r="F2768" i="45" s="1"/>
  <c r="A2768" i="45"/>
  <c r="A2771" i="45" s="1"/>
  <c r="A2774" i="45" s="1"/>
  <c r="A2777" i="45" s="1"/>
  <c r="A2780" i="45" s="1"/>
  <c r="A2798" i="45"/>
  <c r="A2801" i="45" s="1"/>
  <c r="G2795" i="45"/>
  <c r="G2796" i="45" s="1"/>
  <c r="G2797" i="45" s="1"/>
  <c r="G2798" i="45" s="1"/>
  <c r="G2799" i="45" s="1"/>
  <c r="D2824" i="45"/>
  <c r="D2822" i="45"/>
  <c r="A2818" i="45"/>
  <c r="A2821" i="45" s="1"/>
  <c r="A2838" i="45"/>
  <c r="A2841" i="45" s="1"/>
  <c r="A2858" i="45"/>
  <c r="A2861" i="45" s="1"/>
  <c r="G2855" i="45"/>
  <c r="G2856" i="45" s="1"/>
  <c r="G2857" i="45" s="1"/>
  <c r="G2858" i="45" s="1"/>
  <c r="G2859" i="45" s="1"/>
  <c r="B2787" i="45"/>
  <c r="D2787" i="45"/>
  <c r="F2787" i="45"/>
  <c r="F2788" i="45" s="1"/>
  <c r="A2807" i="45"/>
  <c r="E2807" i="45"/>
  <c r="M2807" i="45" s="1"/>
  <c r="D2808" i="45"/>
  <c r="D2811" i="45" s="1"/>
  <c r="D2814" i="45" s="1"/>
  <c r="D2817" i="45" s="1"/>
  <c r="D2820" i="45" s="1"/>
  <c r="D2823" i="45" s="1"/>
  <c r="F2812" i="45"/>
  <c r="F2813" i="45" s="1"/>
  <c r="D2844" i="45"/>
  <c r="D2842" i="45"/>
  <c r="A2827" i="45"/>
  <c r="E2827" i="45"/>
  <c r="M2827" i="45" s="1"/>
  <c r="D2828" i="45"/>
  <c r="D2831" i="45" s="1"/>
  <c r="D2834" i="45" s="1"/>
  <c r="D2837" i="45" s="1"/>
  <c r="D2840" i="45" s="1"/>
  <c r="D2843" i="45" s="1"/>
  <c r="F2832" i="45"/>
  <c r="F2833" i="45" s="1"/>
  <c r="B2847" i="45"/>
  <c r="D2847" i="45"/>
  <c r="F2847" i="45"/>
  <c r="F2848" i="45" s="1"/>
  <c r="F2854" i="45"/>
  <c r="F2852" i="45"/>
  <c r="F2853" i="45" s="1"/>
  <c r="C2873" i="45"/>
  <c r="C2874" i="45" s="1"/>
  <c r="C2875" i="45" s="1"/>
  <c r="C2876" i="45" s="1"/>
  <c r="C2877" i="45" s="1"/>
  <c r="C2878" i="45" s="1"/>
  <c r="C2879" i="45" s="1"/>
  <c r="C2880" i="45" s="1"/>
  <c r="C2881" i="45" s="1"/>
  <c r="C2882" i="45" s="1"/>
  <c r="C2883" i="45" s="1"/>
  <c r="C2884" i="45" s="1"/>
  <c r="B2869" i="45"/>
  <c r="B2872" i="45" s="1"/>
  <c r="B2875" i="45" s="1"/>
  <c r="B2878" i="45" s="1"/>
  <c r="B2881" i="45" s="1"/>
  <c r="B2867" i="45"/>
  <c r="D2869" i="45"/>
  <c r="D2872" i="45" s="1"/>
  <c r="D2875" i="45" s="1"/>
  <c r="D2878" i="45" s="1"/>
  <c r="D2881" i="45" s="1"/>
  <c r="D2867" i="45"/>
  <c r="F2869" i="45"/>
  <c r="F2867" i="45"/>
  <c r="F2868" i="45" s="1"/>
  <c r="A2878" i="45"/>
  <c r="A2881" i="45" s="1"/>
  <c r="A2558" i="45"/>
  <c r="A2561" i="45" s="1"/>
  <c r="G2555" i="45"/>
  <c r="G2556" i="45" s="1"/>
  <c r="G2557" i="45" s="1"/>
  <c r="G2558" i="45" s="1"/>
  <c r="G2559" i="45" s="1"/>
  <c r="A2538" i="45"/>
  <c r="A2541" i="45" s="1"/>
  <c r="G2535" i="45"/>
  <c r="G2536" i="45" s="1"/>
  <c r="G2537" i="45" s="1"/>
  <c r="G2538" i="45" s="1"/>
  <c r="G2539" i="45" s="1"/>
  <c r="C2526" i="45"/>
  <c r="B2527" i="45"/>
  <c r="D2527" i="45"/>
  <c r="F2527" i="45"/>
  <c r="F2528" i="45" s="1"/>
  <c r="C2546" i="45"/>
  <c r="B2547" i="45"/>
  <c r="D2547" i="45"/>
  <c r="F2547" i="45"/>
  <c r="F2548" i="45" s="1"/>
  <c r="B2569" i="45"/>
  <c r="B2572" i="45" s="1"/>
  <c r="B2575" i="45" s="1"/>
  <c r="B2578" i="45" s="1"/>
  <c r="B2581" i="45" s="1"/>
  <c r="B2567" i="45"/>
  <c r="D2569" i="45"/>
  <c r="D2572" i="45" s="1"/>
  <c r="D2575" i="45" s="1"/>
  <c r="D2578" i="45" s="1"/>
  <c r="D2581" i="45" s="1"/>
  <c r="D2567" i="45"/>
  <c r="F2569" i="45"/>
  <c r="F2567" i="45"/>
  <c r="F2568" i="45" s="1"/>
  <c r="A2578" i="45"/>
  <c r="A2581" i="45" s="1"/>
  <c r="A2598" i="45"/>
  <c r="A2601" i="45" s="1"/>
  <c r="B2589" i="45"/>
  <c r="B2592" i="45" s="1"/>
  <c r="B2595" i="45" s="1"/>
  <c r="B2598" i="45" s="1"/>
  <c r="B2601" i="45" s="1"/>
  <c r="B2587" i="45"/>
  <c r="D2589" i="45"/>
  <c r="D2592" i="45" s="1"/>
  <c r="D2595" i="45" s="1"/>
  <c r="D2598" i="45" s="1"/>
  <c r="D2601" i="45" s="1"/>
  <c r="D2587" i="45"/>
  <c r="F2589" i="45"/>
  <c r="F2587" i="45"/>
  <c r="F2588" i="45" s="1"/>
  <c r="A2590" i="45"/>
  <c r="A2588" i="45"/>
  <c r="A2591" i="45" s="1"/>
  <c r="A2594" i="45" s="1"/>
  <c r="A2597" i="45" s="1"/>
  <c r="A2600" i="45" s="1"/>
  <c r="A2609" i="45"/>
  <c r="A2612" i="45" s="1"/>
  <c r="A2615" i="45" s="1"/>
  <c r="A2607" i="45"/>
  <c r="E2609" i="45"/>
  <c r="E2612" i="45" s="1"/>
  <c r="M2612" i="45" s="1"/>
  <c r="E2607" i="45"/>
  <c r="M2607" i="45" s="1"/>
  <c r="F2614" i="45"/>
  <c r="F2612" i="45"/>
  <c r="F2613" i="45" s="1"/>
  <c r="A2638" i="45"/>
  <c r="A2641" i="45" s="1"/>
  <c r="B2629" i="45"/>
  <c r="B2632" i="45" s="1"/>
  <c r="B2635" i="45" s="1"/>
  <c r="B2638" i="45" s="1"/>
  <c r="B2641" i="45" s="1"/>
  <c r="B2627" i="45"/>
  <c r="D2629" i="45"/>
  <c r="D2632" i="45" s="1"/>
  <c r="D2635" i="45" s="1"/>
  <c r="D2638" i="45" s="1"/>
  <c r="D2641" i="45" s="1"/>
  <c r="D2627" i="45"/>
  <c r="F2629" i="45"/>
  <c r="F2627" i="45"/>
  <c r="F2628" i="45" s="1"/>
  <c r="A2649" i="45"/>
  <c r="A2652" i="45" s="1"/>
  <c r="A2655" i="45" s="1"/>
  <c r="A2647" i="45"/>
  <c r="E2649" i="45"/>
  <c r="E2652" i="45" s="1"/>
  <c r="M2652" i="45" s="1"/>
  <c r="E2647" i="45"/>
  <c r="M2647" i="45" s="1"/>
  <c r="F2654" i="45"/>
  <c r="F2652" i="45"/>
  <c r="F2653" i="45" s="1"/>
  <c r="B2669" i="45"/>
  <c r="B2672" i="45" s="1"/>
  <c r="B2675" i="45" s="1"/>
  <c r="B2678" i="45" s="1"/>
  <c r="B2681" i="45" s="1"/>
  <c r="B2667" i="45"/>
  <c r="D2669" i="45"/>
  <c r="D2672" i="45" s="1"/>
  <c r="D2675" i="45" s="1"/>
  <c r="D2678" i="45" s="1"/>
  <c r="D2681" i="45" s="1"/>
  <c r="D2667" i="45"/>
  <c r="F2669" i="45"/>
  <c r="F2667" i="45"/>
  <c r="F2668" i="45" s="1"/>
  <c r="C2673" i="45"/>
  <c r="C2674" i="45" s="1"/>
  <c r="C2675" i="45" s="1"/>
  <c r="C2676" i="45" s="1"/>
  <c r="C2677" i="45" s="1"/>
  <c r="C2678" i="45" s="1"/>
  <c r="C2679" i="45" s="1"/>
  <c r="C2680" i="45" s="1"/>
  <c r="C2681" i="45" s="1"/>
  <c r="C2682" i="45" s="1"/>
  <c r="C2683" i="45" s="1"/>
  <c r="C2684" i="45" s="1"/>
  <c r="A2678" i="45"/>
  <c r="A2681" i="45" s="1"/>
  <c r="A2698" i="45"/>
  <c r="A2701" i="45" s="1"/>
  <c r="B2689" i="45"/>
  <c r="B2692" i="45" s="1"/>
  <c r="B2695" i="45" s="1"/>
  <c r="B2698" i="45" s="1"/>
  <c r="B2701" i="45" s="1"/>
  <c r="B2687" i="45"/>
  <c r="D2689" i="45"/>
  <c r="D2692" i="45" s="1"/>
  <c r="D2695" i="45" s="1"/>
  <c r="D2698" i="45" s="1"/>
  <c r="D2701" i="45" s="1"/>
  <c r="D2687" i="45"/>
  <c r="F2689" i="45"/>
  <c r="F2687" i="45"/>
  <c r="F2688" i="45" s="1"/>
  <c r="D2269" i="45"/>
  <c r="D2272" i="45" s="1"/>
  <c r="D2275" i="45" s="1"/>
  <c r="D2278" i="45" s="1"/>
  <c r="D2281" i="45" s="1"/>
  <c r="F2374" i="45"/>
  <c r="F2434" i="45"/>
  <c r="D2447" i="45"/>
  <c r="D2450" i="45" s="1"/>
  <c r="D2453" i="45" s="1"/>
  <c r="D2456" i="45" s="1"/>
  <c r="D2459" i="45" s="1"/>
  <c r="D2462" i="45" s="1"/>
  <c r="B2449" i="45"/>
  <c r="B2452" i="45" s="1"/>
  <c r="B2455" i="45" s="1"/>
  <c r="B2458" i="45" s="1"/>
  <c r="B2461" i="45" s="1"/>
  <c r="F2449" i="45"/>
  <c r="E2489" i="45"/>
  <c r="E2492" i="45" s="1"/>
  <c r="M2492" i="45" s="1"/>
  <c r="E2509" i="45"/>
  <c r="E2512" i="45" s="1"/>
  <c r="M2512" i="45" s="1"/>
  <c r="F2132" i="45"/>
  <c r="F2133" i="45" s="1"/>
  <c r="E2247" i="45"/>
  <c r="M2247" i="45" s="1"/>
  <c r="F2267" i="45"/>
  <c r="F2268" i="45" s="1"/>
  <c r="F2332" i="45"/>
  <c r="F2333" i="45" s="1"/>
  <c r="A2347" i="45"/>
  <c r="A2350" i="45" s="1"/>
  <c r="A2353" i="45" s="1"/>
  <c r="A2356" i="45" s="1"/>
  <c r="A2359" i="45" s="1"/>
  <c r="E2367" i="45"/>
  <c r="A2387" i="45"/>
  <c r="A2390" i="45" s="1"/>
  <c r="A2393" i="45" s="1"/>
  <c r="A2396" i="45" s="1"/>
  <c r="A2399" i="45" s="1"/>
  <c r="D2427" i="45"/>
  <c r="D2430" i="45" s="1"/>
  <c r="D2433" i="45" s="1"/>
  <c r="D2436" i="45" s="1"/>
  <c r="D2439" i="45" s="1"/>
  <c r="A2469" i="45"/>
  <c r="A2472" i="45" s="1"/>
  <c r="A2475" i="45" s="1"/>
  <c r="A2478" i="45" s="1"/>
  <c r="A2481" i="45" s="1"/>
  <c r="A2487" i="45"/>
  <c r="A2488" i="45" s="1"/>
  <c r="A2491" i="45" s="1"/>
  <c r="A2494" i="45" s="1"/>
  <c r="A2497" i="45" s="1"/>
  <c r="A2500" i="45" s="1"/>
  <c r="A2507" i="45"/>
  <c r="A2508" i="45" s="1"/>
  <c r="A2511" i="45" s="1"/>
  <c r="A2514" i="45" s="1"/>
  <c r="A2517" i="45" s="1"/>
  <c r="A2520" i="45" s="1"/>
  <c r="A2247" i="45"/>
  <c r="A2250" i="45" s="1"/>
  <c r="A2253" i="45" s="1"/>
  <c r="A2256" i="45" s="1"/>
  <c r="A2259" i="45" s="1"/>
  <c r="A2373" i="45"/>
  <c r="A2376" i="45" s="1"/>
  <c r="A2379" i="45" s="1"/>
  <c r="A2413" i="45"/>
  <c r="A2416" i="45" s="1"/>
  <c r="A2419" i="45" s="1"/>
  <c r="A2358" i="45"/>
  <c r="A2361" i="45" s="1"/>
  <c r="G2355" i="45"/>
  <c r="G2356" i="45" s="1"/>
  <c r="G2357" i="45" s="1"/>
  <c r="G2358" i="45" s="1"/>
  <c r="G2359" i="45" s="1"/>
  <c r="A2398" i="45"/>
  <c r="A2401" i="45" s="1"/>
  <c r="G2395" i="45"/>
  <c r="G2396" i="45" s="1"/>
  <c r="G2397" i="45" s="1"/>
  <c r="G2398" i="45" s="1"/>
  <c r="G2399" i="45" s="1"/>
  <c r="A2418" i="45"/>
  <c r="A2421" i="45" s="1"/>
  <c r="G2415" i="45"/>
  <c r="G2416" i="45" s="1"/>
  <c r="G2417" i="45" s="1"/>
  <c r="G2418" i="45" s="1"/>
  <c r="G2419" i="45" s="1"/>
  <c r="C2346" i="45"/>
  <c r="B2347" i="45"/>
  <c r="D2347" i="45"/>
  <c r="F2347" i="45"/>
  <c r="F2348" i="45" s="1"/>
  <c r="C2366" i="45"/>
  <c r="B2367" i="45"/>
  <c r="D2367" i="45"/>
  <c r="F2367" i="45"/>
  <c r="F2368" i="45" s="1"/>
  <c r="A2368" i="45"/>
  <c r="A2371" i="45" s="1"/>
  <c r="A2374" i="45" s="1"/>
  <c r="A2377" i="45" s="1"/>
  <c r="A2380" i="45" s="1"/>
  <c r="C2386" i="45"/>
  <c r="B2387" i="45"/>
  <c r="D2387" i="45"/>
  <c r="F2387" i="45"/>
  <c r="F2388" i="45" s="1"/>
  <c r="B2407" i="45"/>
  <c r="D2407" i="45"/>
  <c r="F2407" i="45"/>
  <c r="F2408" i="45" s="1"/>
  <c r="A2408" i="45"/>
  <c r="A2411" i="45" s="1"/>
  <c r="A2414" i="45" s="1"/>
  <c r="A2417" i="45" s="1"/>
  <c r="A2420" i="45" s="1"/>
  <c r="A2429" i="45"/>
  <c r="A2432" i="45" s="1"/>
  <c r="A2435" i="45" s="1"/>
  <c r="A2427" i="45"/>
  <c r="E2429" i="45"/>
  <c r="E2432" i="45" s="1"/>
  <c r="M2432" i="45" s="1"/>
  <c r="E2427" i="45"/>
  <c r="M2427" i="45" s="1"/>
  <c r="A2458" i="45"/>
  <c r="A2461" i="45" s="1"/>
  <c r="B2464" i="45"/>
  <c r="B2462" i="45"/>
  <c r="A2470" i="45"/>
  <c r="A2468" i="45"/>
  <c r="A2471" i="45" s="1"/>
  <c r="A2474" i="45" s="1"/>
  <c r="A2477" i="45" s="1"/>
  <c r="A2480" i="45" s="1"/>
  <c r="A2447" i="45"/>
  <c r="E2447" i="45"/>
  <c r="M2447" i="45" s="1"/>
  <c r="B2448" i="45"/>
  <c r="B2451" i="45" s="1"/>
  <c r="B2454" i="45" s="1"/>
  <c r="B2457" i="45" s="1"/>
  <c r="B2460" i="45" s="1"/>
  <c r="B2463" i="45" s="1"/>
  <c r="F2452" i="45"/>
  <c r="F2453" i="45" s="1"/>
  <c r="B2469" i="45"/>
  <c r="B2472" i="45" s="1"/>
  <c r="B2475" i="45" s="1"/>
  <c r="B2478" i="45" s="1"/>
  <c r="B2481" i="45" s="1"/>
  <c r="B2467" i="45"/>
  <c r="D2469" i="45"/>
  <c r="D2472" i="45" s="1"/>
  <c r="D2475" i="45" s="1"/>
  <c r="D2478" i="45" s="1"/>
  <c r="D2481" i="45" s="1"/>
  <c r="D2467" i="45"/>
  <c r="F2469" i="45"/>
  <c r="F2467" i="45"/>
  <c r="F2468" i="45" s="1"/>
  <c r="A2498" i="45"/>
  <c r="A2501" i="45" s="1"/>
  <c r="F2474" i="45"/>
  <c r="F2472" i="45"/>
  <c r="F2473" i="45" s="1"/>
  <c r="B2489" i="45"/>
  <c r="B2492" i="45" s="1"/>
  <c r="B2495" i="45" s="1"/>
  <c r="B2498" i="45" s="1"/>
  <c r="B2501" i="45" s="1"/>
  <c r="B2487" i="45"/>
  <c r="D2489" i="45"/>
  <c r="D2492" i="45" s="1"/>
  <c r="D2495" i="45" s="1"/>
  <c r="D2498" i="45" s="1"/>
  <c r="D2501" i="45" s="1"/>
  <c r="D2487" i="45"/>
  <c r="F2489" i="45"/>
  <c r="F2487" i="45"/>
  <c r="F2488" i="45" s="1"/>
  <c r="A2518" i="45"/>
  <c r="A2521" i="45" s="1"/>
  <c r="B2509" i="45"/>
  <c r="B2512" i="45" s="1"/>
  <c r="B2515" i="45" s="1"/>
  <c r="B2518" i="45" s="1"/>
  <c r="B2521" i="45" s="1"/>
  <c r="B2507" i="45"/>
  <c r="D2509" i="45"/>
  <c r="D2512" i="45" s="1"/>
  <c r="D2515" i="45" s="1"/>
  <c r="D2518" i="45" s="1"/>
  <c r="D2521" i="45" s="1"/>
  <c r="D2507" i="45"/>
  <c r="F2509" i="45"/>
  <c r="F2507" i="45"/>
  <c r="F2508" i="45" s="1"/>
  <c r="D2167" i="45"/>
  <c r="D2170" i="45" s="1"/>
  <c r="D2173" i="45" s="1"/>
  <c r="D2176" i="45" s="1"/>
  <c r="D2179" i="45" s="1"/>
  <c r="D2182" i="45" s="1"/>
  <c r="B2169" i="45"/>
  <c r="B2172" i="45" s="1"/>
  <c r="B2175" i="45" s="1"/>
  <c r="B2178" i="45" s="1"/>
  <c r="B2181" i="45" s="1"/>
  <c r="F2169" i="45"/>
  <c r="D2187" i="45"/>
  <c r="D2190" i="45" s="1"/>
  <c r="D2193" i="45" s="1"/>
  <c r="D2196" i="45" s="1"/>
  <c r="D2199" i="45" s="1"/>
  <c r="D2202" i="45" s="1"/>
  <c r="B2189" i="45"/>
  <c r="B2192" i="45" s="1"/>
  <c r="B2195" i="45" s="1"/>
  <c r="B2198" i="45" s="1"/>
  <c r="B2201" i="45" s="1"/>
  <c r="F2189" i="45"/>
  <c r="B2209" i="45"/>
  <c r="B2212" i="45" s="1"/>
  <c r="B2215" i="45" s="1"/>
  <c r="B2218" i="45" s="1"/>
  <c r="B2221" i="45" s="1"/>
  <c r="D2227" i="45"/>
  <c r="D2230" i="45" s="1"/>
  <c r="D2233" i="45" s="1"/>
  <c r="D2236" i="45" s="1"/>
  <c r="D2239" i="45" s="1"/>
  <c r="D2244" i="45" s="1"/>
  <c r="A2230" i="45"/>
  <c r="A2233" i="45" s="1"/>
  <c r="A2236" i="45" s="1"/>
  <c r="A2239" i="45" s="1"/>
  <c r="A2242" i="45" s="1"/>
  <c r="A2329" i="45"/>
  <c r="A2332" i="45" s="1"/>
  <c r="A2335" i="45" s="1"/>
  <c r="A2338" i="45" s="1"/>
  <c r="A2341" i="45" s="1"/>
  <c r="E2329" i="45"/>
  <c r="E2332" i="45" s="1"/>
  <c r="M2332" i="45" s="1"/>
  <c r="D2207" i="45"/>
  <c r="D2210" i="45" s="1"/>
  <c r="D2213" i="45" s="1"/>
  <c r="D2216" i="45" s="1"/>
  <c r="D2219" i="45" s="1"/>
  <c r="D2222" i="45" s="1"/>
  <c r="F2209" i="45"/>
  <c r="B2229" i="45"/>
  <c r="B2232" i="45" s="1"/>
  <c r="B2235" i="45" s="1"/>
  <c r="B2238" i="45" s="1"/>
  <c r="B2241" i="45" s="1"/>
  <c r="F2229" i="45"/>
  <c r="F1892" i="45"/>
  <c r="F1893" i="45" s="1"/>
  <c r="D1907" i="45"/>
  <c r="D1910" i="45" s="1"/>
  <c r="D1913" i="45" s="1"/>
  <c r="D1916" i="45" s="1"/>
  <c r="D1919" i="45" s="1"/>
  <c r="B2049" i="45"/>
  <c r="B2052" i="45" s="1"/>
  <c r="B2055" i="45" s="1"/>
  <c r="B2058" i="45" s="1"/>
  <c r="B2061" i="45" s="1"/>
  <c r="E2069" i="45"/>
  <c r="E2072" i="45" s="1"/>
  <c r="M2072" i="45" s="1"/>
  <c r="F2072" i="45"/>
  <c r="F2073" i="45" s="1"/>
  <c r="E2147" i="45"/>
  <c r="M2147" i="45" s="1"/>
  <c r="C2166" i="45"/>
  <c r="C2167" i="45" s="1"/>
  <c r="C2168" i="45" s="1"/>
  <c r="C2169" i="45" s="1"/>
  <c r="C2170" i="45" s="1"/>
  <c r="C2171" i="45" s="1"/>
  <c r="C2172" i="45" s="1"/>
  <c r="C2173" i="45" s="1"/>
  <c r="C2174" i="45" s="1"/>
  <c r="C2175" i="45" s="1"/>
  <c r="C2176" i="45" s="1"/>
  <c r="C2177" i="45" s="1"/>
  <c r="C2178" i="45" s="1"/>
  <c r="C2179" i="45" s="1"/>
  <c r="C2180" i="45" s="1"/>
  <c r="C2181" i="45" s="1"/>
  <c r="C2182" i="45" s="1"/>
  <c r="C2183" i="45" s="1"/>
  <c r="C2184" i="45" s="1"/>
  <c r="C2186" i="45"/>
  <c r="C2187" i="45" s="1"/>
  <c r="C2188" i="45" s="1"/>
  <c r="C2189" i="45" s="1"/>
  <c r="C2190" i="45" s="1"/>
  <c r="C2191" i="45" s="1"/>
  <c r="C2192" i="45" s="1"/>
  <c r="C2193" i="45" s="1"/>
  <c r="C2194" i="45" s="1"/>
  <c r="C2195" i="45" s="1"/>
  <c r="C2196" i="45" s="1"/>
  <c r="C2197" i="45" s="1"/>
  <c r="C2198" i="45" s="1"/>
  <c r="C2199" i="45" s="1"/>
  <c r="C2200" i="45" s="1"/>
  <c r="C2201" i="45" s="1"/>
  <c r="C2202" i="45" s="1"/>
  <c r="C2203" i="45" s="1"/>
  <c r="C2204" i="45" s="1"/>
  <c r="C2206" i="45"/>
  <c r="C2207" i="45" s="1"/>
  <c r="C2208" i="45" s="1"/>
  <c r="C2209" i="45" s="1"/>
  <c r="C2210" i="45" s="1"/>
  <c r="C2211" i="45" s="1"/>
  <c r="C2212" i="45" s="1"/>
  <c r="C2213" i="45" s="1"/>
  <c r="C2214" i="45" s="1"/>
  <c r="C2215" i="45" s="1"/>
  <c r="C2216" i="45" s="1"/>
  <c r="C2217" i="45" s="1"/>
  <c r="C2218" i="45" s="1"/>
  <c r="C2219" i="45" s="1"/>
  <c r="C2220" i="45" s="1"/>
  <c r="C2221" i="45" s="1"/>
  <c r="C2222" i="45" s="1"/>
  <c r="C2223" i="45" s="1"/>
  <c r="C2224" i="45" s="1"/>
  <c r="A2007" i="45"/>
  <c r="A2010" i="45" s="1"/>
  <c r="A2178" i="45"/>
  <c r="A2181" i="45" s="1"/>
  <c r="B2184" i="45"/>
  <c r="B2182" i="45"/>
  <c r="A2198" i="45"/>
  <c r="A2201" i="45" s="1"/>
  <c r="B2204" i="45"/>
  <c r="B2202" i="45"/>
  <c r="A2218" i="45"/>
  <c r="A2221" i="45" s="1"/>
  <c r="B2224" i="45"/>
  <c r="B2222" i="45"/>
  <c r="A2167" i="45"/>
  <c r="E2167" i="45"/>
  <c r="B2168" i="45"/>
  <c r="B2171" i="45" s="1"/>
  <c r="B2174" i="45" s="1"/>
  <c r="B2177" i="45" s="1"/>
  <c r="B2180" i="45" s="1"/>
  <c r="B2183" i="45" s="1"/>
  <c r="F2172" i="45"/>
  <c r="F2173" i="45" s="1"/>
  <c r="A2187" i="45"/>
  <c r="E2187" i="45"/>
  <c r="B2188" i="45"/>
  <c r="B2191" i="45" s="1"/>
  <c r="B2194" i="45" s="1"/>
  <c r="B2197" i="45" s="1"/>
  <c r="B2200" i="45" s="1"/>
  <c r="B2203" i="45" s="1"/>
  <c r="F2192" i="45"/>
  <c r="F2193" i="45" s="1"/>
  <c r="A2207" i="45"/>
  <c r="E2207" i="45"/>
  <c r="B2208" i="45"/>
  <c r="B2211" i="45" s="1"/>
  <c r="B2214" i="45" s="1"/>
  <c r="B2217" i="45" s="1"/>
  <c r="B2220" i="45" s="1"/>
  <c r="B2223" i="45" s="1"/>
  <c r="F2212" i="45"/>
  <c r="F2213" i="45" s="1"/>
  <c r="A2243" i="45"/>
  <c r="A2238" i="45"/>
  <c r="A2241" i="45" s="1"/>
  <c r="A2278" i="45"/>
  <c r="A2281" i="45" s="1"/>
  <c r="B2244" i="45"/>
  <c r="B2242" i="45"/>
  <c r="A2258" i="45"/>
  <c r="A2261" i="45" s="1"/>
  <c r="G2255" i="45"/>
  <c r="G2256" i="45" s="1"/>
  <c r="G2257" i="45" s="1"/>
  <c r="G2258" i="45" s="1"/>
  <c r="G2259" i="45" s="1"/>
  <c r="D2284" i="45"/>
  <c r="D2282" i="45"/>
  <c r="E2227" i="45"/>
  <c r="M2227" i="45" s="1"/>
  <c r="B2228" i="45"/>
  <c r="B2231" i="45" s="1"/>
  <c r="B2234" i="45" s="1"/>
  <c r="B2237" i="45" s="1"/>
  <c r="B2240" i="45" s="1"/>
  <c r="B2243" i="45" s="1"/>
  <c r="F2232" i="45"/>
  <c r="F2233" i="45" s="1"/>
  <c r="B2247" i="45"/>
  <c r="D2247" i="45"/>
  <c r="F2247" i="45"/>
  <c r="F2248" i="45" s="1"/>
  <c r="A2267" i="45"/>
  <c r="E2267" i="45"/>
  <c r="M2267" i="45" s="1"/>
  <c r="D2268" i="45"/>
  <c r="D2271" i="45" s="1"/>
  <c r="D2274" i="45" s="1"/>
  <c r="D2277" i="45" s="1"/>
  <c r="D2280" i="45" s="1"/>
  <c r="D2283" i="45" s="1"/>
  <c r="A2318" i="45"/>
  <c r="A2321" i="45" s="1"/>
  <c r="G2315" i="45"/>
  <c r="G2316" i="45" s="1"/>
  <c r="G2317" i="45" s="1"/>
  <c r="G2318" i="45" s="1"/>
  <c r="G2319" i="45" s="1"/>
  <c r="F2272" i="45"/>
  <c r="F2273" i="45" s="1"/>
  <c r="A2298" i="45"/>
  <c r="A2301" i="45" s="1"/>
  <c r="G2295" i="45"/>
  <c r="G2296" i="45" s="1"/>
  <c r="G2297" i="45" s="1"/>
  <c r="G2298" i="45" s="1"/>
  <c r="G2299" i="45" s="1"/>
  <c r="A2287" i="45"/>
  <c r="E2287" i="45"/>
  <c r="M2287" i="45" s="1"/>
  <c r="F2292" i="45"/>
  <c r="F2293" i="45" s="1"/>
  <c r="B2307" i="45"/>
  <c r="D2307" i="45"/>
  <c r="F2307" i="45"/>
  <c r="F2308" i="45" s="1"/>
  <c r="F2314" i="45"/>
  <c r="F2312" i="45"/>
  <c r="F2313" i="45" s="1"/>
  <c r="B2287" i="45"/>
  <c r="D2287" i="45"/>
  <c r="F2287" i="45"/>
  <c r="F2288" i="45" s="1"/>
  <c r="A2307" i="45"/>
  <c r="E2307" i="45"/>
  <c r="M2307" i="45" s="1"/>
  <c r="C2333" i="45"/>
  <c r="C2334" i="45" s="1"/>
  <c r="C2335" i="45" s="1"/>
  <c r="C2336" i="45" s="1"/>
  <c r="C2337" i="45" s="1"/>
  <c r="C2338" i="45" s="1"/>
  <c r="C2339" i="45" s="1"/>
  <c r="C2340" i="45" s="1"/>
  <c r="C2341" i="45" s="1"/>
  <c r="C2342" i="45" s="1"/>
  <c r="C2343" i="45" s="1"/>
  <c r="C2344" i="45" s="1"/>
  <c r="B2329" i="45"/>
  <c r="B2332" i="45" s="1"/>
  <c r="B2335" i="45" s="1"/>
  <c r="B2338" i="45" s="1"/>
  <c r="B2341" i="45" s="1"/>
  <c r="B2327" i="45"/>
  <c r="D2329" i="45"/>
  <c r="D2332" i="45" s="1"/>
  <c r="D2335" i="45" s="1"/>
  <c r="D2338" i="45" s="1"/>
  <c r="D2341" i="45" s="1"/>
  <c r="D2327" i="45"/>
  <c r="F2329" i="45"/>
  <c r="F2327" i="45"/>
  <c r="F2328" i="45" s="1"/>
  <c r="A2330" i="45"/>
  <c r="A2328" i="45"/>
  <c r="A2331" i="45" s="1"/>
  <c r="A2334" i="45" s="1"/>
  <c r="A2337" i="45" s="1"/>
  <c r="A2340" i="45" s="1"/>
  <c r="F1867" i="45"/>
  <c r="F1868" i="45" s="1"/>
  <c r="E1969" i="45"/>
  <c r="E1972" i="45" s="1"/>
  <c r="M1972" i="45" s="1"/>
  <c r="F1972" i="45"/>
  <c r="F1973" i="45" s="1"/>
  <c r="E2027" i="45"/>
  <c r="B1827" i="45"/>
  <c r="B1828" i="45" s="1"/>
  <c r="B1831" i="45" s="1"/>
  <c r="B1834" i="45" s="1"/>
  <c r="B1837" i="45" s="1"/>
  <c r="B1840" i="45" s="1"/>
  <c r="B1843" i="45" s="1"/>
  <c r="A1870" i="45"/>
  <c r="A1873" i="45" s="1"/>
  <c r="A1876" i="45" s="1"/>
  <c r="A1879" i="45" s="1"/>
  <c r="A1989" i="45"/>
  <c r="A1992" i="45" s="1"/>
  <c r="A1995" i="45" s="1"/>
  <c r="A1998" i="45" s="1"/>
  <c r="A2001" i="45" s="1"/>
  <c r="F1434" i="45"/>
  <c r="D1629" i="45"/>
  <c r="D1632" i="45" s="1"/>
  <c r="D1635" i="45" s="1"/>
  <c r="D1638" i="45" s="1"/>
  <c r="D1641" i="45" s="1"/>
  <c r="B1687" i="45"/>
  <c r="B1688" i="45" s="1"/>
  <c r="B1691" i="45" s="1"/>
  <c r="B1694" i="45" s="1"/>
  <c r="B1697" i="45" s="1"/>
  <c r="B1700" i="45" s="1"/>
  <c r="B1703" i="45" s="1"/>
  <c r="F1827" i="45"/>
  <c r="F1828" i="45" s="1"/>
  <c r="B1867" i="45"/>
  <c r="B1868" i="45" s="1"/>
  <c r="B1871" i="45" s="1"/>
  <c r="B1874" i="45" s="1"/>
  <c r="B1877" i="45" s="1"/>
  <c r="B1880" i="45" s="1"/>
  <c r="B1883" i="45" s="1"/>
  <c r="F1952" i="45"/>
  <c r="F1953" i="45" s="1"/>
  <c r="F1994" i="45"/>
  <c r="F2032" i="45"/>
  <c r="F2033" i="45" s="1"/>
  <c r="D2087" i="45"/>
  <c r="D2088" i="45" s="1"/>
  <c r="D2091" i="45" s="1"/>
  <c r="D2094" i="45" s="1"/>
  <c r="D2097" i="45" s="1"/>
  <c r="D2100" i="45" s="1"/>
  <c r="D2103" i="45" s="1"/>
  <c r="A2147" i="45"/>
  <c r="A2150" i="45" s="1"/>
  <c r="F1772" i="45"/>
  <c r="F1773" i="45" s="1"/>
  <c r="F1627" i="45"/>
  <c r="F1628" i="45" s="1"/>
  <c r="B1647" i="45"/>
  <c r="B1650" i="45" s="1"/>
  <c r="B1653" i="45" s="1"/>
  <c r="B1656" i="45" s="1"/>
  <c r="B1659" i="45" s="1"/>
  <c r="B1664" i="45" s="1"/>
  <c r="D1649" i="45"/>
  <c r="D1652" i="45" s="1"/>
  <c r="D1655" i="45" s="1"/>
  <c r="D1658" i="45" s="1"/>
  <c r="D1661" i="45" s="1"/>
  <c r="F1687" i="45"/>
  <c r="F1688" i="45" s="1"/>
  <c r="D1689" i="45"/>
  <c r="D1692" i="45" s="1"/>
  <c r="D1695" i="45" s="1"/>
  <c r="D1698" i="45" s="1"/>
  <c r="D1701" i="45" s="1"/>
  <c r="C1806" i="45"/>
  <c r="C1807" i="45" s="1"/>
  <c r="C1808" i="45" s="1"/>
  <c r="C1809" i="45" s="1"/>
  <c r="C1810" i="45" s="1"/>
  <c r="C1811" i="45" s="1"/>
  <c r="C1812" i="45" s="1"/>
  <c r="C1813" i="45" s="1"/>
  <c r="C1814" i="45" s="1"/>
  <c r="C1815" i="45" s="1"/>
  <c r="C1816" i="45" s="1"/>
  <c r="C1817" i="45" s="1"/>
  <c r="C1818" i="45" s="1"/>
  <c r="C1819" i="45" s="1"/>
  <c r="C1820" i="45" s="1"/>
  <c r="C1821" i="45" s="1"/>
  <c r="C1822" i="45" s="1"/>
  <c r="C1823" i="45" s="1"/>
  <c r="C1824" i="45" s="1"/>
  <c r="B1807" i="45"/>
  <c r="B1810" i="45" s="1"/>
  <c r="B1813" i="45" s="1"/>
  <c r="B1816" i="45" s="1"/>
  <c r="B1819" i="45" s="1"/>
  <c r="B1824" i="45" s="1"/>
  <c r="F1807" i="45"/>
  <c r="F1808" i="45" s="1"/>
  <c r="D1809" i="45"/>
  <c r="D1812" i="45" s="1"/>
  <c r="D1815" i="45" s="1"/>
  <c r="D1818" i="45" s="1"/>
  <c r="D1821" i="45" s="1"/>
  <c r="D1827" i="45"/>
  <c r="D1828" i="45" s="1"/>
  <c r="D1831" i="45" s="1"/>
  <c r="D1834" i="45" s="1"/>
  <c r="D1837" i="45" s="1"/>
  <c r="D1840" i="45" s="1"/>
  <c r="D1843" i="45" s="1"/>
  <c r="C1846" i="45"/>
  <c r="C1847" i="45" s="1"/>
  <c r="C1848" i="45" s="1"/>
  <c r="C1849" i="45" s="1"/>
  <c r="C1850" i="45" s="1"/>
  <c r="C1851" i="45" s="1"/>
  <c r="C1852" i="45" s="1"/>
  <c r="C1853" i="45" s="1"/>
  <c r="C1854" i="45" s="1"/>
  <c r="C1855" i="45" s="1"/>
  <c r="C1856" i="45" s="1"/>
  <c r="C1857" i="45" s="1"/>
  <c r="C1858" i="45" s="1"/>
  <c r="C1859" i="45" s="1"/>
  <c r="C1860" i="45" s="1"/>
  <c r="C1861" i="45" s="1"/>
  <c r="C1862" i="45" s="1"/>
  <c r="C1863" i="45" s="1"/>
  <c r="C1864" i="45" s="1"/>
  <c r="B1847" i="45"/>
  <c r="B1850" i="45" s="1"/>
  <c r="B1853" i="45" s="1"/>
  <c r="B1856" i="45" s="1"/>
  <c r="B1859" i="45" s="1"/>
  <c r="F1847" i="45"/>
  <c r="F1848" i="45" s="1"/>
  <c r="D1849" i="45"/>
  <c r="D1852" i="45" s="1"/>
  <c r="D1855" i="45" s="1"/>
  <c r="D1858" i="45" s="1"/>
  <c r="D1861" i="45" s="1"/>
  <c r="D1867" i="45"/>
  <c r="D1870" i="45" s="1"/>
  <c r="D1873" i="45" s="1"/>
  <c r="D1876" i="45" s="1"/>
  <c r="D1879" i="45" s="1"/>
  <c r="A1887" i="45"/>
  <c r="A1890" i="45" s="1"/>
  <c r="B1909" i="45"/>
  <c r="B1912" i="45" s="1"/>
  <c r="B1915" i="45" s="1"/>
  <c r="B1918" i="45" s="1"/>
  <c r="B1921" i="45" s="1"/>
  <c r="B1907" i="45"/>
  <c r="B1910" i="45" s="1"/>
  <c r="B1913" i="45" s="1"/>
  <c r="B1916" i="45" s="1"/>
  <c r="B1919" i="45" s="1"/>
  <c r="F1909" i="45"/>
  <c r="F1907" i="45"/>
  <c r="F1908" i="45" s="1"/>
  <c r="E1929" i="45"/>
  <c r="E1932" i="45" s="1"/>
  <c r="M1932" i="45" s="1"/>
  <c r="E1949" i="45"/>
  <c r="E1952" i="45" s="1"/>
  <c r="M1952" i="45" s="1"/>
  <c r="A1969" i="45"/>
  <c r="A1972" i="45" s="1"/>
  <c r="A1975" i="45" s="1"/>
  <c r="A1978" i="45" s="1"/>
  <c r="A1981" i="45" s="1"/>
  <c r="A1967" i="45"/>
  <c r="A1970" i="45" s="1"/>
  <c r="E1989" i="45"/>
  <c r="E1992" i="45" s="1"/>
  <c r="E1987" i="45"/>
  <c r="E2009" i="45"/>
  <c r="E2012" i="45" s="1"/>
  <c r="E2007" i="45"/>
  <c r="F2014" i="45"/>
  <c r="A2029" i="45"/>
  <c r="A2032" i="45" s="1"/>
  <c r="A2035" i="45" s="1"/>
  <c r="A2038" i="45" s="1"/>
  <c r="A2041" i="45" s="1"/>
  <c r="A2027" i="45"/>
  <c r="A2030" i="45" s="1"/>
  <c r="A2033" i="45" s="1"/>
  <c r="A2036" i="45" s="1"/>
  <c r="A2039" i="45" s="1"/>
  <c r="D2047" i="45"/>
  <c r="D2048" i="45" s="1"/>
  <c r="D2051" i="45" s="1"/>
  <c r="D2054" i="45" s="1"/>
  <c r="D2057" i="45" s="1"/>
  <c r="D2060" i="45" s="1"/>
  <c r="D2063" i="45" s="1"/>
  <c r="F2049" i="45"/>
  <c r="A2050" i="45"/>
  <c r="A2053" i="45" s="1"/>
  <c r="A2056" i="45" s="1"/>
  <c r="A2059" i="45" s="1"/>
  <c r="A2069" i="45"/>
  <c r="A2072" i="45" s="1"/>
  <c r="A2075" i="45" s="1"/>
  <c r="A2078" i="45" s="1"/>
  <c r="A2081" i="45" s="1"/>
  <c r="A2067" i="45"/>
  <c r="A2070" i="45" s="1"/>
  <c r="B2089" i="45"/>
  <c r="B2092" i="45" s="1"/>
  <c r="B2095" i="45" s="1"/>
  <c r="B2098" i="45" s="1"/>
  <c r="B2101" i="45" s="1"/>
  <c r="B2087" i="45"/>
  <c r="B2088" i="45" s="1"/>
  <c r="B2091" i="45" s="1"/>
  <c r="B2094" i="45" s="1"/>
  <c r="B2097" i="45" s="1"/>
  <c r="B2100" i="45" s="1"/>
  <c r="B2103" i="45" s="1"/>
  <c r="F2089" i="45"/>
  <c r="F2087" i="45"/>
  <c r="F2088" i="45" s="1"/>
  <c r="E2109" i="45"/>
  <c r="E2112" i="45" s="1"/>
  <c r="M2112" i="45" s="1"/>
  <c r="E2129" i="45"/>
  <c r="E2132" i="45" s="1"/>
  <c r="M2132" i="45" s="1"/>
  <c r="F2154" i="45"/>
  <c r="B1627" i="45"/>
  <c r="B1630" i="45" s="1"/>
  <c r="B1633" i="45" s="1"/>
  <c r="B1636" i="45" s="1"/>
  <c r="B1639" i="45" s="1"/>
  <c r="B1642" i="45" s="1"/>
  <c r="F1647" i="45"/>
  <c r="F1648" i="45" s="1"/>
  <c r="B1669" i="45"/>
  <c r="B1672" i="45" s="1"/>
  <c r="B1675" i="45" s="1"/>
  <c r="B1678" i="45" s="1"/>
  <c r="B1681" i="45" s="1"/>
  <c r="C1826" i="45"/>
  <c r="C1827" i="45" s="1"/>
  <c r="C1828" i="45" s="1"/>
  <c r="C1829" i="45" s="1"/>
  <c r="C1830" i="45" s="1"/>
  <c r="C1831" i="45" s="1"/>
  <c r="C1832" i="45" s="1"/>
  <c r="C1833" i="45" s="1"/>
  <c r="C1834" i="45" s="1"/>
  <c r="C1835" i="45" s="1"/>
  <c r="C1836" i="45" s="1"/>
  <c r="C1837" i="45" s="1"/>
  <c r="C1838" i="45" s="1"/>
  <c r="C1839" i="45" s="1"/>
  <c r="C1840" i="45" s="1"/>
  <c r="C1841" i="45" s="1"/>
  <c r="C1842" i="45" s="1"/>
  <c r="C1843" i="45" s="1"/>
  <c r="C1844" i="45" s="1"/>
  <c r="E1889" i="45"/>
  <c r="E1892" i="45" s="1"/>
  <c r="M1892" i="45" s="1"/>
  <c r="A1929" i="45"/>
  <c r="A1932" i="45" s="1"/>
  <c r="A1935" i="45" s="1"/>
  <c r="A1938" i="45" s="1"/>
  <c r="A1941" i="45" s="1"/>
  <c r="A1927" i="45"/>
  <c r="A1928" i="45" s="1"/>
  <c r="A1931" i="45" s="1"/>
  <c r="A1934" i="45" s="1"/>
  <c r="A1937" i="45" s="1"/>
  <c r="A1940" i="45" s="1"/>
  <c r="A1949" i="45"/>
  <c r="A1952" i="45" s="1"/>
  <c r="A1955" i="45" s="1"/>
  <c r="A1958" i="45" s="1"/>
  <c r="A1961" i="45" s="1"/>
  <c r="A1947" i="45"/>
  <c r="A1948" i="45" s="1"/>
  <c r="A1951" i="45" s="1"/>
  <c r="A1954" i="45" s="1"/>
  <c r="A1957" i="45" s="1"/>
  <c r="A1960" i="45" s="1"/>
  <c r="A2109" i="45"/>
  <c r="A2112" i="45" s="1"/>
  <c r="A2115" i="45" s="1"/>
  <c r="A2118" i="45" s="1"/>
  <c r="A2121" i="45" s="1"/>
  <c r="A2107" i="45"/>
  <c r="A2108" i="45" s="1"/>
  <c r="A2111" i="45" s="1"/>
  <c r="A2114" i="45" s="1"/>
  <c r="A2117" i="45" s="1"/>
  <c r="A2120" i="45" s="1"/>
  <c r="A2129" i="45"/>
  <c r="A2132" i="45" s="1"/>
  <c r="A2135" i="45" s="1"/>
  <c r="A2138" i="45" s="1"/>
  <c r="A2141" i="45" s="1"/>
  <c r="A2127" i="45"/>
  <c r="A2130" i="45" s="1"/>
  <c r="B1989" i="45"/>
  <c r="B1992" i="45" s="1"/>
  <c r="B1995" i="45" s="1"/>
  <c r="B1998" i="45" s="1"/>
  <c r="B2001" i="45" s="1"/>
  <c r="B1987" i="45"/>
  <c r="D2009" i="45"/>
  <c r="D2012" i="45" s="1"/>
  <c r="D2015" i="45" s="1"/>
  <c r="D2018" i="45" s="1"/>
  <c r="D2021" i="45" s="1"/>
  <c r="D2007" i="45"/>
  <c r="F2009" i="45"/>
  <c r="F2007" i="45"/>
  <c r="F2008" i="45" s="1"/>
  <c r="A2018" i="45"/>
  <c r="A2021" i="45" s="1"/>
  <c r="A2063" i="45"/>
  <c r="D1989" i="45"/>
  <c r="D1992" i="45" s="1"/>
  <c r="D1995" i="45" s="1"/>
  <c r="D1998" i="45" s="1"/>
  <c r="D2001" i="45" s="1"/>
  <c r="D1987" i="45"/>
  <c r="F1989" i="45"/>
  <c r="F1987" i="45"/>
  <c r="F1988" i="45" s="1"/>
  <c r="A1990" i="45"/>
  <c r="A1988" i="45"/>
  <c r="A1991" i="45" s="1"/>
  <c r="A1994" i="45" s="1"/>
  <c r="A1997" i="45" s="1"/>
  <c r="A2000" i="45" s="1"/>
  <c r="B2009" i="45"/>
  <c r="B2012" i="45" s="1"/>
  <c r="B2015" i="45" s="1"/>
  <c r="B2018" i="45" s="1"/>
  <c r="B2021" i="45" s="1"/>
  <c r="B2007" i="45"/>
  <c r="B2050" i="45"/>
  <c r="B2053" i="45" s="1"/>
  <c r="B2056" i="45" s="1"/>
  <c r="B2059" i="45" s="1"/>
  <c r="B2048" i="45"/>
  <c r="B2051" i="45" s="1"/>
  <c r="B2054" i="45" s="1"/>
  <c r="B2057" i="45" s="1"/>
  <c r="B2060" i="45" s="1"/>
  <c r="B2063" i="45" s="1"/>
  <c r="A2158" i="45"/>
  <c r="A2161" i="45" s="1"/>
  <c r="B2027" i="45"/>
  <c r="D2027" i="45"/>
  <c r="F2027" i="45"/>
  <c r="F2028" i="45" s="1"/>
  <c r="E2049" i="45"/>
  <c r="E2052" i="45" s="1"/>
  <c r="M2052" i="45" s="1"/>
  <c r="E2047" i="45"/>
  <c r="M2047" i="45" s="1"/>
  <c r="F2054" i="45"/>
  <c r="F2052" i="45"/>
  <c r="F2053" i="45" s="1"/>
  <c r="B2069" i="45"/>
  <c r="B2072" i="45" s="1"/>
  <c r="B2075" i="45" s="1"/>
  <c r="B2078" i="45" s="1"/>
  <c r="B2081" i="45" s="1"/>
  <c r="B2067" i="45"/>
  <c r="D2069" i="45"/>
  <c r="D2072" i="45" s="1"/>
  <c r="D2075" i="45" s="1"/>
  <c r="D2078" i="45" s="1"/>
  <c r="D2081" i="45" s="1"/>
  <c r="D2067" i="45"/>
  <c r="F2069" i="45"/>
  <c r="F2067" i="45"/>
  <c r="F2068" i="45" s="1"/>
  <c r="A2089" i="45"/>
  <c r="A2092" i="45" s="1"/>
  <c r="A2095" i="45" s="1"/>
  <c r="A2087" i="45"/>
  <c r="E2089" i="45"/>
  <c r="E2092" i="45" s="1"/>
  <c r="M2092" i="45" s="1"/>
  <c r="E2087" i="45"/>
  <c r="M2087" i="45" s="1"/>
  <c r="F2094" i="45"/>
  <c r="F2092" i="45"/>
  <c r="F2093" i="45" s="1"/>
  <c r="B2109" i="45"/>
  <c r="B2112" i="45" s="1"/>
  <c r="B2115" i="45" s="1"/>
  <c r="B2118" i="45" s="1"/>
  <c r="B2121" i="45" s="1"/>
  <c r="B2107" i="45"/>
  <c r="D2109" i="45"/>
  <c r="D2112" i="45" s="1"/>
  <c r="D2115" i="45" s="1"/>
  <c r="D2118" i="45" s="1"/>
  <c r="D2121" i="45" s="1"/>
  <c r="D2107" i="45"/>
  <c r="F2109" i="45"/>
  <c r="F2107" i="45"/>
  <c r="F2108" i="45" s="1"/>
  <c r="F2114" i="45"/>
  <c r="F2112" i="45"/>
  <c r="F2113" i="45" s="1"/>
  <c r="B2129" i="45"/>
  <c r="B2132" i="45" s="1"/>
  <c r="B2135" i="45" s="1"/>
  <c r="B2138" i="45" s="1"/>
  <c r="B2141" i="45" s="1"/>
  <c r="B2127" i="45"/>
  <c r="D2129" i="45"/>
  <c r="D2132" i="45" s="1"/>
  <c r="D2135" i="45" s="1"/>
  <c r="D2138" i="45" s="1"/>
  <c r="D2141" i="45" s="1"/>
  <c r="D2127" i="45"/>
  <c r="F2129" i="45"/>
  <c r="F2127" i="45"/>
  <c r="F2128" i="45" s="1"/>
  <c r="B2149" i="45"/>
  <c r="B2152" i="45" s="1"/>
  <c r="B2155" i="45" s="1"/>
  <c r="B2158" i="45" s="1"/>
  <c r="B2161" i="45" s="1"/>
  <c r="B2147" i="45"/>
  <c r="D2149" i="45"/>
  <c r="D2152" i="45" s="1"/>
  <c r="D2155" i="45" s="1"/>
  <c r="D2158" i="45" s="1"/>
  <c r="D2161" i="45" s="1"/>
  <c r="D2147" i="45"/>
  <c r="F2149" i="45"/>
  <c r="F2147" i="45"/>
  <c r="F2148" i="45" s="1"/>
  <c r="A1818" i="45"/>
  <c r="A1821" i="45" s="1"/>
  <c r="D1824" i="45"/>
  <c r="D1822" i="45"/>
  <c r="A1807" i="45"/>
  <c r="E1807" i="45"/>
  <c r="D1808" i="45"/>
  <c r="D1811" i="45" s="1"/>
  <c r="D1814" i="45" s="1"/>
  <c r="D1817" i="45" s="1"/>
  <c r="D1820" i="45" s="1"/>
  <c r="D1823" i="45" s="1"/>
  <c r="F1812" i="45"/>
  <c r="F1813" i="45" s="1"/>
  <c r="A1829" i="45"/>
  <c r="A1832" i="45" s="1"/>
  <c r="A1835" i="45" s="1"/>
  <c r="A1827" i="45"/>
  <c r="E1829" i="45"/>
  <c r="E1832" i="45" s="1"/>
  <c r="E1827" i="45"/>
  <c r="F1834" i="45"/>
  <c r="F1832" i="45"/>
  <c r="F1833" i="45" s="1"/>
  <c r="D1850" i="45"/>
  <c r="D1853" i="45" s="1"/>
  <c r="D1856" i="45" s="1"/>
  <c r="D1859" i="45" s="1"/>
  <c r="D1848" i="45"/>
  <c r="D1851" i="45" s="1"/>
  <c r="D1854" i="45" s="1"/>
  <c r="D1857" i="45" s="1"/>
  <c r="D1860" i="45" s="1"/>
  <c r="D1863" i="45" s="1"/>
  <c r="A1883" i="45"/>
  <c r="B1878" i="45"/>
  <c r="B1881" i="45" s="1"/>
  <c r="G1875" i="45"/>
  <c r="G1876" i="45" s="1"/>
  <c r="G1877" i="45" s="1"/>
  <c r="G1878" i="45" s="1"/>
  <c r="G1879" i="45" s="1"/>
  <c r="A1898" i="45"/>
  <c r="A1901" i="45" s="1"/>
  <c r="A1849" i="45"/>
  <c r="A1852" i="45" s="1"/>
  <c r="A1855" i="45" s="1"/>
  <c r="A1847" i="45"/>
  <c r="E1849" i="45"/>
  <c r="E1852" i="45" s="1"/>
  <c r="E1847" i="45"/>
  <c r="F1852" i="45"/>
  <c r="F1853" i="45" s="1"/>
  <c r="E1867" i="45"/>
  <c r="M1867" i="45" s="1"/>
  <c r="F1874" i="45"/>
  <c r="F1872" i="45"/>
  <c r="F1873" i="45" s="1"/>
  <c r="B1889" i="45"/>
  <c r="B1892" i="45" s="1"/>
  <c r="B1895" i="45" s="1"/>
  <c r="B1898" i="45" s="1"/>
  <c r="B1901" i="45" s="1"/>
  <c r="B1887" i="45"/>
  <c r="D1889" i="45"/>
  <c r="D1892" i="45" s="1"/>
  <c r="D1895" i="45" s="1"/>
  <c r="D1898" i="45" s="1"/>
  <c r="D1901" i="45" s="1"/>
  <c r="D1887" i="45"/>
  <c r="F1889" i="45"/>
  <c r="F1887" i="45"/>
  <c r="F1888" i="45" s="1"/>
  <c r="A1909" i="45"/>
  <c r="A1912" i="45" s="1"/>
  <c r="A1915" i="45" s="1"/>
  <c r="A1907" i="45"/>
  <c r="E1909" i="45"/>
  <c r="E1912" i="45" s="1"/>
  <c r="M1912" i="45" s="1"/>
  <c r="E1907" i="45"/>
  <c r="M1907" i="45" s="1"/>
  <c r="F1914" i="45"/>
  <c r="F1912" i="45"/>
  <c r="F1913" i="45" s="1"/>
  <c r="B1929" i="45"/>
  <c r="B1932" i="45" s="1"/>
  <c r="B1935" i="45" s="1"/>
  <c r="B1938" i="45" s="1"/>
  <c r="B1941" i="45" s="1"/>
  <c r="B1927" i="45"/>
  <c r="D1929" i="45"/>
  <c r="D1932" i="45" s="1"/>
  <c r="D1935" i="45" s="1"/>
  <c r="D1938" i="45" s="1"/>
  <c r="D1941" i="45" s="1"/>
  <c r="D1927" i="45"/>
  <c r="F1929" i="45"/>
  <c r="F1927" i="45"/>
  <c r="F1928" i="45" s="1"/>
  <c r="F1934" i="45"/>
  <c r="F1932" i="45"/>
  <c r="F1933" i="45" s="1"/>
  <c r="B1949" i="45"/>
  <c r="B1952" i="45" s="1"/>
  <c r="B1955" i="45" s="1"/>
  <c r="B1958" i="45" s="1"/>
  <c r="B1961" i="45" s="1"/>
  <c r="B1947" i="45"/>
  <c r="D1949" i="45"/>
  <c r="D1952" i="45" s="1"/>
  <c r="D1955" i="45" s="1"/>
  <c r="D1958" i="45" s="1"/>
  <c r="D1961" i="45" s="1"/>
  <c r="D1947" i="45"/>
  <c r="F1949" i="45"/>
  <c r="F1947" i="45"/>
  <c r="F1948" i="45" s="1"/>
  <c r="B1969" i="45"/>
  <c r="B1972" i="45" s="1"/>
  <c r="B1975" i="45" s="1"/>
  <c r="B1978" i="45" s="1"/>
  <c r="B1981" i="45" s="1"/>
  <c r="B1967" i="45"/>
  <c r="D1969" i="45"/>
  <c r="D1972" i="45" s="1"/>
  <c r="D1975" i="45" s="1"/>
  <c r="D1978" i="45" s="1"/>
  <c r="D1981" i="45" s="1"/>
  <c r="D1967" i="45"/>
  <c r="F1969" i="45"/>
  <c r="F1967" i="45"/>
  <c r="F1968" i="45" s="1"/>
  <c r="C1626" i="45"/>
  <c r="C1627" i="45" s="1"/>
  <c r="C1628" i="45" s="1"/>
  <c r="C1629" i="45" s="1"/>
  <c r="C1630" i="45" s="1"/>
  <c r="C1631" i="45" s="1"/>
  <c r="C1632" i="45" s="1"/>
  <c r="C1633" i="45" s="1"/>
  <c r="C1634" i="45" s="1"/>
  <c r="C1635" i="45" s="1"/>
  <c r="C1636" i="45" s="1"/>
  <c r="C1637" i="45" s="1"/>
  <c r="C1638" i="45" s="1"/>
  <c r="C1639" i="45" s="1"/>
  <c r="C1640" i="45" s="1"/>
  <c r="C1641" i="45" s="1"/>
  <c r="C1642" i="45" s="1"/>
  <c r="C1643" i="45" s="1"/>
  <c r="C1644" i="45" s="1"/>
  <c r="C1646" i="45"/>
  <c r="C1647" i="45" s="1"/>
  <c r="C1648" i="45" s="1"/>
  <c r="C1649" i="45" s="1"/>
  <c r="C1650" i="45" s="1"/>
  <c r="C1651" i="45" s="1"/>
  <c r="C1652" i="45" s="1"/>
  <c r="C1653" i="45" s="1"/>
  <c r="C1654" i="45" s="1"/>
  <c r="C1655" i="45" s="1"/>
  <c r="C1656" i="45" s="1"/>
  <c r="C1657" i="45" s="1"/>
  <c r="C1658" i="45" s="1"/>
  <c r="C1659" i="45" s="1"/>
  <c r="C1660" i="45" s="1"/>
  <c r="C1661" i="45" s="1"/>
  <c r="C1662" i="45" s="1"/>
  <c r="C1663" i="45" s="1"/>
  <c r="C1664" i="45" s="1"/>
  <c r="D1667" i="45"/>
  <c r="D1670" i="45" s="1"/>
  <c r="D1673" i="45" s="1"/>
  <c r="D1676" i="45" s="1"/>
  <c r="D1679" i="45" s="1"/>
  <c r="D1682" i="45" s="1"/>
  <c r="F1669" i="45"/>
  <c r="A1709" i="45"/>
  <c r="A1712" i="45" s="1"/>
  <c r="A1715" i="45" s="1"/>
  <c r="A1718" i="45" s="1"/>
  <c r="A1721" i="45" s="1"/>
  <c r="F1714" i="45"/>
  <c r="D1727" i="45"/>
  <c r="D1728" i="45" s="1"/>
  <c r="D1731" i="45" s="1"/>
  <c r="D1734" i="45" s="1"/>
  <c r="D1737" i="45" s="1"/>
  <c r="D1740" i="45" s="1"/>
  <c r="D1743" i="45" s="1"/>
  <c r="A1749" i="45"/>
  <c r="A1752" i="45" s="1"/>
  <c r="A1755" i="45" s="1"/>
  <c r="A1758" i="45" s="1"/>
  <c r="A1761" i="45" s="1"/>
  <c r="F1754" i="45"/>
  <c r="A1769" i="45"/>
  <c r="A1772" i="45" s="1"/>
  <c r="A1775" i="45" s="1"/>
  <c r="A1778" i="45" s="1"/>
  <c r="A1781" i="45" s="1"/>
  <c r="E1769" i="45"/>
  <c r="E1772" i="45" s="1"/>
  <c r="M1772" i="45" s="1"/>
  <c r="A1789" i="45"/>
  <c r="A1792" i="45" s="1"/>
  <c r="A1795" i="45" s="1"/>
  <c r="A1798" i="45" s="1"/>
  <c r="A1801" i="45" s="1"/>
  <c r="F1794" i="45"/>
  <c r="F1614" i="45"/>
  <c r="A1688" i="45"/>
  <c r="A1691" i="45" s="1"/>
  <c r="A1694" i="45" s="1"/>
  <c r="A1697" i="45" s="1"/>
  <c r="A1700" i="45" s="1"/>
  <c r="A1703" i="45" s="1"/>
  <c r="E1707" i="45"/>
  <c r="M1707" i="45" s="1"/>
  <c r="B1727" i="45"/>
  <c r="B1728" i="45" s="1"/>
  <c r="B1731" i="45" s="1"/>
  <c r="B1734" i="45" s="1"/>
  <c r="B1737" i="45" s="1"/>
  <c r="B1740" i="45" s="1"/>
  <c r="B1743" i="45" s="1"/>
  <c r="F1727" i="45"/>
  <c r="F1728" i="45" s="1"/>
  <c r="E1747" i="45"/>
  <c r="M1747" i="45" s="1"/>
  <c r="E1787" i="45"/>
  <c r="M1787" i="45" s="1"/>
  <c r="F1592" i="45"/>
  <c r="F1593" i="45" s="1"/>
  <c r="E1589" i="45"/>
  <c r="E1592" i="45" s="1"/>
  <c r="M1592" i="45" s="1"/>
  <c r="E1449" i="45"/>
  <c r="E1452" i="45" s="1"/>
  <c r="F1452" i="45"/>
  <c r="F1453" i="45" s="1"/>
  <c r="E1489" i="45"/>
  <c r="E1492" i="45" s="1"/>
  <c r="F1492" i="45"/>
  <c r="F1493" i="45" s="1"/>
  <c r="E1569" i="45"/>
  <c r="E1572" i="45" s="1"/>
  <c r="M1572" i="45" s="1"/>
  <c r="E1607" i="45"/>
  <c r="M1607" i="45" s="1"/>
  <c r="A1638" i="45"/>
  <c r="A1641" i="45" s="1"/>
  <c r="A1658" i="45"/>
  <c r="A1661" i="45" s="1"/>
  <c r="A1678" i="45"/>
  <c r="A1681" i="45" s="1"/>
  <c r="D1644" i="45"/>
  <c r="D1642" i="45"/>
  <c r="D1664" i="45"/>
  <c r="D1662" i="45"/>
  <c r="B1684" i="45"/>
  <c r="B1682" i="45"/>
  <c r="C1666" i="45"/>
  <c r="C1667" i="45" s="1"/>
  <c r="C1668" i="45" s="1"/>
  <c r="C1669" i="45" s="1"/>
  <c r="C1670" i="45" s="1"/>
  <c r="C1671" i="45" s="1"/>
  <c r="C1672" i="45" s="1"/>
  <c r="C1673" i="45" s="1"/>
  <c r="C1674" i="45" s="1"/>
  <c r="C1675" i="45" s="1"/>
  <c r="C1676" i="45" s="1"/>
  <c r="C1677" i="45" s="1"/>
  <c r="C1678" i="45" s="1"/>
  <c r="C1679" i="45" s="1"/>
  <c r="C1680" i="45" s="1"/>
  <c r="C1681" i="45" s="1"/>
  <c r="C1682" i="45" s="1"/>
  <c r="C1683" i="45" s="1"/>
  <c r="C1684" i="45" s="1"/>
  <c r="E1689" i="45"/>
  <c r="E1692" i="45" s="1"/>
  <c r="M1692" i="45" s="1"/>
  <c r="E1687" i="45"/>
  <c r="M1687" i="45" s="1"/>
  <c r="D1690" i="45"/>
  <c r="D1693" i="45" s="1"/>
  <c r="D1696" i="45" s="1"/>
  <c r="D1699" i="45" s="1"/>
  <c r="D1688" i="45"/>
  <c r="D1691" i="45" s="1"/>
  <c r="D1694" i="45" s="1"/>
  <c r="D1697" i="45" s="1"/>
  <c r="D1700" i="45" s="1"/>
  <c r="D1703" i="45" s="1"/>
  <c r="A1627" i="45"/>
  <c r="E1627" i="45"/>
  <c r="D1628" i="45"/>
  <c r="D1631" i="45" s="1"/>
  <c r="D1634" i="45" s="1"/>
  <c r="D1637" i="45" s="1"/>
  <c r="D1640" i="45" s="1"/>
  <c r="D1643" i="45" s="1"/>
  <c r="F1632" i="45"/>
  <c r="F1633" i="45" s="1"/>
  <c r="A1647" i="45"/>
  <c r="E1647" i="45"/>
  <c r="D1648" i="45"/>
  <c r="D1651" i="45" s="1"/>
  <c r="D1654" i="45" s="1"/>
  <c r="D1657" i="45" s="1"/>
  <c r="D1660" i="45" s="1"/>
  <c r="D1663" i="45" s="1"/>
  <c r="F1652" i="45"/>
  <c r="F1653" i="45" s="1"/>
  <c r="A1667" i="45"/>
  <c r="E1667" i="45"/>
  <c r="B1668" i="45"/>
  <c r="B1671" i="45" s="1"/>
  <c r="B1674" i="45" s="1"/>
  <c r="B1677" i="45" s="1"/>
  <c r="B1680" i="45" s="1"/>
  <c r="B1683" i="45" s="1"/>
  <c r="F1672" i="45"/>
  <c r="F1673" i="45" s="1"/>
  <c r="A1704" i="45"/>
  <c r="A1702" i="45"/>
  <c r="A1698" i="45"/>
  <c r="A1701" i="45" s="1"/>
  <c r="A1713" i="45"/>
  <c r="A1716" i="45" s="1"/>
  <c r="A1719" i="45" s="1"/>
  <c r="F1692" i="45"/>
  <c r="F1693" i="45" s="1"/>
  <c r="B1707" i="45"/>
  <c r="D1707" i="45"/>
  <c r="F1707" i="45"/>
  <c r="F1708" i="45" s="1"/>
  <c r="A1708" i="45"/>
  <c r="A1711" i="45" s="1"/>
  <c r="A1714" i="45" s="1"/>
  <c r="A1717" i="45" s="1"/>
  <c r="A1720" i="45" s="1"/>
  <c r="A1729" i="45"/>
  <c r="A1732" i="45" s="1"/>
  <c r="A1735" i="45" s="1"/>
  <c r="A1727" i="45"/>
  <c r="E1729" i="45"/>
  <c r="E1732" i="45" s="1"/>
  <c r="M1732" i="45" s="1"/>
  <c r="E1727" i="45"/>
  <c r="M1727" i="45" s="1"/>
  <c r="A1753" i="45"/>
  <c r="A1756" i="45" s="1"/>
  <c r="A1759" i="45" s="1"/>
  <c r="B1769" i="45"/>
  <c r="B1772" i="45" s="1"/>
  <c r="B1775" i="45" s="1"/>
  <c r="B1778" i="45" s="1"/>
  <c r="B1781" i="45" s="1"/>
  <c r="B1767" i="45"/>
  <c r="D1769" i="45"/>
  <c r="D1772" i="45" s="1"/>
  <c r="D1775" i="45" s="1"/>
  <c r="D1778" i="45" s="1"/>
  <c r="D1781" i="45" s="1"/>
  <c r="D1767" i="45"/>
  <c r="F1769" i="45"/>
  <c r="F1767" i="45"/>
  <c r="F1768" i="45" s="1"/>
  <c r="A1770" i="45"/>
  <c r="A1768" i="45"/>
  <c r="A1771" i="45" s="1"/>
  <c r="A1774" i="45" s="1"/>
  <c r="A1777" i="45" s="1"/>
  <c r="A1780" i="45" s="1"/>
  <c r="F1732" i="45"/>
  <c r="F1733" i="45" s="1"/>
  <c r="B1747" i="45"/>
  <c r="D1747" i="45"/>
  <c r="F1747" i="45"/>
  <c r="F1748" i="45" s="1"/>
  <c r="A1748" i="45"/>
  <c r="A1751" i="45" s="1"/>
  <c r="A1754" i="45" s="1"/>
  <c r="A1757" i="45" s="1"/>
  <c r="A1760" i="45" s="1"/>
  <c r="B1789" i="45"/>
  <c r="B1792" i="45" s="1"/>
  <c r="B1795" i="45" s="1"/>
  <c r="B1798" i="45" s="1"/>
  <c r="B1801" i="45" s="1"/>
  <c r="B1787" i="45"/>
  <c r="D1789" i="45"/>
  <c r="D1792" i="45" s="1"/>
  <c r="D1795" i="45" s="1"/>
  <c r="D1798" i="45" s="1"/>
  <c r="D1801" i="45" s="1"/>
  <c r="D1787" i="45"/>
  <c r="F1789" i="45"/>
  <c r="F1787" i="45"/>
  <c r="F1788" i="45" s="1"/>
  <c r="A1790" i="45"/>
  <c r="A1788" i="45"/>
  <c r="A1791" i="45" s="1"/>
  <c r="A1794" i="45" s="1"/>
  <c r="A1797" i="45" s="1"/>
  <c r="A1800" i="45" s="1"/>
  <c r="E1389" i="45"/>
  <c r="E1392" i="45" s="1"/>
  <c r="M1392" i="45" s="1"/>
  <c r="E1467" i="45"/>
  <c r="F1507" i="45"/>
  <c r="F1508" i="45" s="1"/>
  <c r="D1509" i="45"/>
  <c r="D1512" i="45" s="1"/>
  <c r="D1515" i="45" s="1"/>
  <c r="D1518" i="45" s="1"/>
  <c r="D1521" i="45" s="1"/>
  <c r="F1272" i="45"/>
  <c r="F1273" i="45" s="1"/>
  <c r="F1292" i="45"/>
  <c r="F1293" i="45" s="1"/>
  <c r="B1327" i="45"/>
  <c r="B1330" i="45" s="1"/>
  <c r="B1333" i="45" s="1"/>
  <c r="B1336" i="45" s="1"/>
  <c r="B1339" i="45" s="1"/>
  <c r="E1409" i="45"/>
  <c r="E1412" i="45" s="1"/>
  <c r="M1412" i="45" s="1"/>
  <c r="F1412" i="45"/>
  <c r="F1413" i="45" s="1"/>
  <c r="F1472" i="45"/>
  <c r="F1473" i="45" s="1"/>
  <c r="B1507" i="45"/>
  <c r="B1510" i="45" s="1"/>
  <c r="B1513" i="45" s="1"/>
  <c r="B1516" i="45" s="1"/>
  <c r="B1519" i="45" s="1"/>
  <c r="F1532" i="45"/>
  <c r="F1533" i="45" s="1"/>
  <c r="A1607" i="45"/>
  <c r="A1610" i="45" s="1"/>
  <c r="E1347" i="45"/>
  <c r="M1347" i="45" s="1"/>
  <c r="E1269" i="45"/>
  <c r="E1272" i="45" s="1"/>
  <c r="F1327" i="45"/>
  <c r="F1328" i="45" s="1"/>
  <c r="D1329" i="45"/>
  <c r="D1332" i="45" s="1"/>
  <c r="D1335" i="45" s="1"/>
  <c r="D1338" i="45" s="1"/>
  <c r="D1341" i="45" s="1"/>
  <c r="E1427" i="45"/>
  <c r="M1427" i="45" s="1"/>
  <c r="A1309" i="45"/>
  <c r="A1312" i="45" s="1"/>
  <c r="A1315" i="45" s="1"/>
  <c r="A1318" i="45" s="1"/>
  <c r="A1321" i="45" s="1"/>
  <c r="A1347" i="45"/>
  <c r="A1348" i="45" s="1"/>
  <c r="A1351" i="45" s="1"/>
  <c r="A1354" i="45" s="1"/>
  <c r="A1357" i="45" s="1"/>
  <c r="A1360" i="45" s="1"/>
  <c r="A1427" i="45"/>
  <c r="A1428" i="45" s="1"/>
  <c r="A1431" i="45" s="1"/>
  <c r="A1434" i="45" s="1"/>
  <c r="A1437" i="45" s="1"/>
  <c r="A1440" i="45" s="1"/>
  <c r="E1287" i="45"/>
  <c r="F1314" i="45"/>
  <c r="B1369" i="45"/>
  <c r="B1372" i="45" s="1"/>
  <c r="B1375" i="45" s="1"/>
  <c r="B1378" i="45" s="1"/>
  <c r="B1381" i="45" s="1"/>
  <c r="B1367" i="45"/>
  <c r="B1370" i="45" s="1"/>
  <c r="B1373" i="45" s="1"/>
  <c r="B1376" i="45" s="1"/>
  <c r="B1379" i="45" s="1"/>
  <c r="F1369" i="45"/>
  <c r="F1367" i="45"/>
  <c r="F1368" i="45" s="1"/>
  <c r="A1449" i="45"/>
  <c r="A1452" i="45" s="1"/>
  <c r="A1455" i="45" s="1"/>
  <c r="A1458" i="45" s="1"/>
  <c r="A1461" i="45" s="1"/>
  <c r="A1447" i="45"/>
  <c r="A1448" i="45" s="1"/>
  <c r="A1451" i="45" s="1"/>
  <c r="A1454" i="45" s="1"/>
  <c r="A1457" i="45" s="1"/>
  <c r="A1460" i="45" s="1"/>
  <c r="A1489" i="45"/>
  <c r="A1492" i="45" s="1"/>
  <c r="A1495" i="45" s="1"/>
  <c r="A1498" i="45" s="1"/>
  <c r="A1501" i="45" s="1"/>
  <c r="A1487" i="45"/>
  <c r="A1490" i="45" s="1"/>
  <c r="A1529" i="45"/>
  <c r="A1532" i="45" s="1"/>
  <c r="A1535" i="45" s="1"/>
  <c r="A1538" i="45" s="1"/>
  <c r="A1541" i="45" s="1"/>
  <c r="A1527" i="45"/>
  <c r="A1528" i="45" s="1"/>
  <c r="A1531" i="45" s="1"/>
  <c r="A1534" i="45" s="1"/>
  <c r="A1537" i="45" s="1"/>
  <c r="A1540" i="45" s="1"/>
  <c r="B1549" i="45"/>
  <c r="B1552" i="45" s="1"/>
  <c r="B1555" i="45" s="1"/>
  <c r="B1558" i="45" s="1"/>
  <c r="B1561" i="45" s="1"/>
  <c r="B1547" i="45"/>
  <c r="B1550" i="45" s="1"/>
  <c r="B1553" i="45" s="1"/>
  <c r="B1556" i="45" s="1"/>
  <c r="B1559" i="45" s="1"/>
  <c r="F1549" i="45"/>
  <c r="F1547" i="45"/>
  <c r="F1548" i="45" s="1"/>
  <c r="A1287" i="45"/>
  <c r="A1290" i="45" s="1"/>
  <c r="E1307" i="45"/>
  <c r="A1328" i="45"/>
  <c r="A1331" i="45" s="1"/>
  <c r="A1334" i="45" s="1"/>
  <c r="A1337" i="45" s="1"/>
  <c r="A1340" i="45" s="1"/>
  <c r="A1343" i="45" s="1"/>
  <c r="F1352" i="45"/>
  <c r="F1353" i="45" s="1"/>
  <c r="D1367" i="45"/>
  <c r="D1368" i="45" s="1"/>
  <c r="D1371" i="45" s="1"/>
  <c r="D1374" i="45" s="1"/>
  <c r="D1377" i="45" s="1"/>
  <c r="D1380" i="45" s="1"/>
  <c r="D1383" i="45" s="1"/>
  <c r="A1389" i="45"/>
  <c r="A1392" i="45" s="1"/>
  <c r="A1395" i="45" s="1"/>
  <c r="A1398" i="45" s="1"/>
  <c r="A1401" i="45" s="1"/>
  <c r="A1387" i="45"/>
  <c r="A1388" i="45" s="1"/>
  <c r="A1391" i="45" s="1"/>
  <c r="A1394" i="45" s="1"/>
  <c r="A1397" i="45" s="1"/>
  <c r="A1400" i="45" s="1"/>
  <c r="A1409" i="45"/>
  <c r="A1412" i="45" s="1"/>
  <c r="A1415" i="45" s="1"/>
  <c r="A1418" i="45" s="1"/>
  <c r="A1421" i="45" s="1"/>
  <c r="A1407" i="45"/>
  <c r="A1408" i="45" s="1"/>
  <c r="A1411" i="45" s="1"/>
  <c r="A1414" i="45" s="1"/>
  <c r="A1417" i="45" s="1"/>
  <c r="A1420" i="45" s="1"/>
  <c r="A1467" i="45"/>
  <c r="A1468" i="45" s="1"/>
  <c r="A1471" i="45" s="1"/>
  <c r="A1474" i="45" s="1"/>
  <c r="A1477" i="45" s="1"/>
  <c r="A1480" i="45" s="1"/>
  <c r="E1529" i="45"/>
  <c r="E1532" i="45" s="1"/>
  <c r="M1532" i="45" s="1"/>
  <c r="D1547" i="45"/>
  <c r="D1548" i="45" s="1"/>
  <c r="D1551" i="45" s="1"/>
  <c r="D1554" i="45" s="1"/>
  <c r="D1557" i="45" s="1"/>
  <c r="D1560" i="45" s="1"/>
  <c r="D1563" i="45" s="1"/>
  <c r="A1569" i="45"/>
  <c r="A1572" i="45" s="1"/>
  <c r="A1575" i="45" s="1"/>
  <c r="A1578" i="45" s="1"/>
  <c r="A1581" i="45" s="1"/>
  <c r="A1567" i="45"/>
  <c r="A1570" i="45" s="1"/>
  <c r="A1589" i="45"/>
  <c r="A1592" i="45" s="1"/>
  <c r="A1595" i="45" s="1"/>
  <c r="A1598" i="45" s="1"/>
  <c r="A1601" i="45" s="1"/>
  <c r="A1587" i="45"/>
  <c r="A1588" i="45" s="1"/>
  <c r="A1591" i="45" s="1"/>
  <c r="A1594" i="45" s="1"/>
  <c r="A1597" i="45" s="1"/>
  <c r="A1600" i="45" s="1"/>
  <c r="A1508" i="45"/>
  <c r="A1511" i="45" s="1"/>
  <c r="A1514" i="45" s="1"/>
  <c r="A1517" i="45" s="1"/>
  <c r="A1520" i="45" s="1"/>
  <c r="A1523" i="45" s="1"/>
  <c r="A1267" i="45"/>
  <c r="A1268" i="45" s="1"/>
  <c r="A1271" i="45" s="1"/>
  <c r="A1274" i="45" s="1"/>
  <c r="A1277" i="45" s="1"/>
  <c r="A1280" i="45" s="1"/>
  <c r="A1478" i="45"/>
  <c r="A1481" i="45" s="1"/>
  <c r="F1449" i="45"/>
  <c r="F1447" i="45"/>
  <c r="F1448" i="45" s="1"/>
  <c r="B1449" i="45"/>
  <c r="B1452" i="45" s="1"/>
  <c r="B1455" i="45" s="1"/>
  <c r="B1458" i="45" s="1"/>
  <c r="B1461" i="45" s="1"/>
  <c r="B1447" i="45"/>
  <c r="D1469" i="45"/>
  <c r="D1472" i="45" s="1"/>
  <c r="D1475" i="45" s="1"/>
  <c r="D1478" i="45" s="1"/>
  <c r="D1481" i="45" s="1"/>
  <c r="D1467" i="45"/>
  <c r="F1469" i="45"/>
  <c r="F1467" i="45"/>
  <c r="F1468" i="45" s="1"/>
  <c r="B1489" i="45"/>
  <c r="B1492" i="45" s="1"/>
  <c r="B1495" i="45" s="1"/>
  <c r="B1498" i="45" s="1"/>
  <c r="B1501" i="45" s="1"/>
  <c r="B1487" i="45"/>
  <c r="A1513" i="45"/>
  <c r="A1516" i="45" s="1"/>
  <c r="A1519" i="45" s="1"/>
  <c r="D1449" i="45"/>
  <c r="D1452" i="45" s="1"/>
  <c r="D1455" i="45" s="1"/>
  <c r="D1458" i="45" s="1"/>
  <c r="D1461" i="45" s="1"/>
  <c r="D1447" i="45"/>
  <c r="B1469" i="45"/>
  <c r="B1472" i="45" s="1"/>
  <c r="B1475" i="45" s="1"/>
  <c r="B1478" i="45" s="1"/>
  <c r="B1481" i="45" s="1"/>
  <c r="B1467" i="45"/>
  <c r="D1489" i="45"/>
  <c r="D1492" i="45" s="1"/>
  <c r="D1495" i="45" s="1"/>
  <c r="D1498" i="45" s="1"/>
  <c r="D1501" i="45" s="1"/>
  <c r="D1487" i="45"/>
  <c r="F1489" i="45"/>
  <c r="F1487" i="45"/>
  <c r="F1488" i="45" s="1"/>
  <c r="A1618" i="45"/>
  <c r="A1621" i="45" s="1"/>
  <c r="E1509" i="45"/>
  <c r="E1512" i="45" s="1"/>
  <c r="M1512" i="45" s="1"/>
  <c r="E1507" i="45"/>
  <c r="M1507" i="45" s="1"/>
  <c r="D1510" i="45"/>
  <c r="D1513" i="45" s="1"/>
  <c r="D1516" i="45" s="1"/>
  <c r="D1519" i="45" s="1"/>
  <c r="D1508" i="45"/>
  <c r="D1511" i="45" s="1"/>
  <c r="D1514" i="45" s="1"/>
  <c r="D1517" i="45" s="1"/>
  <c r="D1520" i="45" s="1"/>
  <c r="D1523" i="45" s="1"/>
  <c r="F1514" i="45"/>
  <c r="F1512" i="45"/>
  <c r="F1513" i="45" s="1"/>
  <c r="B1529" i="45"/>
  <c r="B1532" i="45" s="1"/>
  <c r="B1535" i="45" s="1"/>
  <c r="B1538" i="45" s="1"/>
  <c r="B1541" i="45" s="1"/>
  <c r="B1527" i="45"/>
  <c r="D1529" i="45"/>
  <c r="D1532" i="45" s="1"/>
  <c r="D1535" i="45" s="1"/>
  <c r="D1538" i="45" s="1"/>
  <c r="D1541" i="45" s="1"/>
  <c r="D1527" i="45"/>
  <c r="F1529" i="45"/>
  <c r="F1527" i="45"/>
  <c r="F1528" i="45" s="1"/>
  <c r="A1549" i="45"/>
  <c r="A1552" i="45" s="1"/>
  <c r="A1555" i="45" s="1"/>
  <c r="A1547" i="45"/>
  <c r="E1549" i="45"/>
  <c r="E1552" i="45" s="1"/>
  <c r="M1552" i="45" s="1"/>
  <c r="E1547" i="45"/>
  <c r="M1547" i="45" s="1"/>
  <c r="F1554" i="45"/>
  <c r="F1552" i="45"/>
  <c r="F1553" i="45" s="1"/>
  <c r="B1569" i="45"/>
  <c r="B1572" i="45" s="1"/>
  <c r="B1575" i="45" s="1"/>
  <c r="B1578" i="45" s="1"/>
  <c r="B1581" i="45" s="1"/>
  <c r="B1567" i="45"/>
  <c r="D1569" i="45"/>
  <c r="D1572" i="45" s="1"/>
  <c r="D1575" i="45" s="1"/>
  <c r="D1578" i="45" s="1"/>
  <c r="D1581" i="45" s="1"/>
  <c r="D1567" i="45"/>
  <c r="F1569" i="45"/>
  <c r="F1567" i="45"/>
  <c r="F1568" i="45" s="1"/>
  <c r="F1574" i="45"/>
  <c r="F1572" i="45"/>
  <c r="F1573" i="45" s="1"/>
  <c r="B1589" i="45"/>
  <c r="B1592" i="45" s="1"/>
  <c r="B1595" i="45" s="1"/>
  <c r="B1598" i="45" s="1"/>
  <c r="B1601" i="45" s="1"/>
  <c r="B1587" i="45"/>
  <c r="D1589" i="45"/>
  <c r="D1592" i="45" s="1"/>
  <c r="D1595" i="45" s="1"/>
  <c r="D1598" i="45" s="1"/>
  <c r="D1601" i="45" s="1"/>
  <c r="D1587" i="45"/>
  <c r="F1589" i="45"/>
  <c r="F1587" i="45"/>
  <c r="F1588" i="45" s="1"/>
  <c r="B1609" i="45"/>
  <c r="B1612" i="45" s="1"/>
  <c r="B1615" i="45" s="1"/>
  <c r="B1618" i="45" s="1"/>
  <c r="B1621" i="45" s="1"/>
  <c r="B1607" i="45"/>
  <c r="D1609" i="45"/>
  <c r="D1612" i="45" s="1"/>
  <c r="D1615" i="45" s="1"/>
  <c r="D1618" i="45" s="1"/>
  <c r="D1621" i="45" s="1"/>
  <c r="D1607" i="45"/>
  <c r="F1609" i="45"/>
  <c r="F1607" i="45"/>
  <c r="F1608" i="45" s="1"/>
  <c r="D1269" i="45"/>
  <c r="D1272" i="45" s="1"/>
  <c r="D1275" i="45" s="1"/>
  <c r="D1278" i="45" s="1"/>
  <c r="D1281" i="45" s="1"/>
  <c r="D1267" i="45"/>
  <c r="A1278" i="45"/>
  <c r="A1281" i="45" s="1"/>
  <c r="B1269" i="45"/>
  <c r="B1272" i="45" s="1"/>
  <c r="B1275" i="45" s="1"/>
  <c r="B1278" i="45" s="1"/>
  <c r="B1281" i="45" s="1"/>
  <c r="B1267" i="45"/>
  <c r="D1289" i="45"/>
  <c r="D1292" i="45" s="1"/>
  <c r="D1295" i="45" s="1"/>
  <c r="D1298" i="45" s="1"/>
  <c r="D1301" i="45" s="1"/>
  <c r="D1287" i="45"/>
  <c r="F1289" i="45"/>
  <c r="F1287" i="45"/>
  <c r="F1288" i="45" s="1"/>
  <c r="A1298" i="45"/>
  <c r="A1301" i="45" s="1"/>
  <c r="B1338" i="45"/>
  <c r="B1341" i="45" s="1"/>
  <c r="F1269" i="45"/>
  <c r="F1267" i="45"/>
  <c r="F1268" i="45" s="1"/>
  <c r="B1289" i="45"/>
  <c r="B1292" i="45" s="1"/>
  <c r="B1295" i="45" s="1"/>
  <c r="B1298" i="45" s="1"/>
  <c r="B1301" i="45" s="1"/>
  <c r="B1287" i="45"/>
  <c r="A1313" i="45"/>
  <c r="A1316" i="45" s="1"/>
  <c r="A1319" i="45" s="1"/>
  <c r="A1358" i="45"/>
  <c r="A1361" i="45" s="1"/>
  <c r="A1333" i="45"/>
  <c r="A1336" i="45" s="1"/>
  <c r="A1339" i="45" s="1"/>
  <c r="A1438" i="45"/>
  <c r="A1441" i="45" s="1"/>
  <c r="B1307" i="45"/>
  <c r="D1307" i="45"/>
  <c r="F1307" i="45"/>
  <c r="F1308" i="45" s="1"/>
  <c r="A1308" i="45"/>
  <c r="A1311" i="45" s="1"/>
  <c r="A1314" i="45" s="1"/>
  <c r="A1317" i="45" s="1"/>
  <c r="A1320" i="45" s="1"/>
  <c r="E1329" i="45"/>
  <c r="E1332" i="45" s="1"/>
  <c r="M1332" i="45" s="1"/>
  <c r="E1327" i="45"/>
  <c r="M1327" i="45" s="1"/>
  <c r="D1330" i="45"/>
  <c r="D1333" i="45" s="1"/>
  <c r="D1336" i="45" s="1"/>
  <c r="D1339" i="45" s="1"/>
  <c r="D1328" i="45"/>
  <c r="D1331" i="45" s="1"/>
  <c r="D1334" i="45" s="1"/>
  <c r="D1337" i="45" s="1"/>
  <c r="D1340" i="45" s="1"/>
  <c r="D1343" i="45" s="1"/>
  <c r="F1334" i="45"/>
  <c r="F1332" i="45"/>
  <c r="F1333" i="45" s="1"/>
  <c r="B1349" i="45"/>
  <c r="B1352" i="45" s="1"/>
  <c r="B1355" i="45" s="1"/>
  <c r="B1358" i="45" s="1"/>
  <c r="B1361" i="45" s="1"/>
  <c r="B1347" i="45"/>
  <c r="D1349" i="45"/>
  <c r="D1352" i="45" s="1"/>
  <c r="D1355" i="45" s="1"/>
  <c r="D1358" i="45" s="1"/>
  <c r="D1361" i="45" s="1"/>
  <c r="D1347" i="45"/>
  <c r="F1349" i="45"/>
  <c r="F1347" i="45"/>
  <c r="F1348" i="45" s="1"/>
  <c r="A1369" i="45"/>
  <c r="A1372" i="45" s="1"/>
  <c r="A1375" i="45" s="1"/>
  <c r="A1367" i="45"/>
  <c r="E1369" i="45"/>
  <c r="E1372" i="45" s="1"/>
  <c r="M1372" i="45" s="1"/>
  <c r="E1367" i="45"/>
  <c r="M1367" i="45" s="1"/>
  <c r="F1374" i="45"/>
  <c r="F1372" i="45"/>
  <c r="F1373" i="45" s="1"/>
  <c r="B1389" i="45"/>
  <c r="B1392" i="45" s="1"/>
  <c r="B1395" i="45" s="1"/>
  <c r="B1398" i="45" s="1"/>
  <c r="B1401" i="45" s="1"/>
  <c r="B1387" i="45"/>
  <c r="D1389" i="45"/>
  <c r="D1392" i="45" s="1"/>
  <c r="D1395" i="45" s="1"/>
  <c r="D1398" i="45" s="1"/>
  <c r="D1401" i="45" s="1"/>
  <c r="D1387" i="45"/>
  <c r="F1389" i="45"/>
  <c r="F1387" i="45"/>
  <c r="F1388" i="45" s="1"/>
  <c r="F1394" i="45"/>
  <c r="F1392" i="45"/>
  <c r="F1393" i="45" s="1"/>
  <c r="B1409" i="45"/>
  <c r="B1412" i="45" s="1"/>
  <c r="B1415" i="45" s="1"/>
  <c r="B1418" i="45" s="1"/>
  <c r="B1421" i="45" s="1"/>
  <c r="B1407" i="45"/>
  <c r="D1409" i="45"/>
  <c r="D1412" i="45" s="1"/>
  <c r="D1415" i="45" s="1"/>
  <c r="D1418" i="45" s="1"/>
  <c r="D1421" i="45" s="1"/>
  <c r="D1407" i="45"/>
  <c r="F1409" i="45"/>
  <c r="F1407" i="45"/>
  <c r="F1408" i="45" s="1"/>
  <c r="B1429" i="45"/>
  <c r="B1432" i="45" s="1"/>
  <c r="B1435" i="45" s="1"/>
  <c r="B1438" i="45" s="1"/>
  <c r="B1441" i="45" s="1"/>
  <c r="B1427" i="45"/>
  <c r="D1429" i="45"/>
  <c r="D1432" i="45" s="1"/>
  <c r="D1435" i="45" s="1"/>
  <c r="D1438" i="45" s="1"/>
  <c r="D1441" i="45" s="1"/>
  <c r="D1427" i="45"/>
  <c r="F1429" i="45"/>
  <c r="F1427" i="45"/>
  <c r="F1428" i="45" s="1"/>
  <c r="M1446" i="45" l="1"/>
  <c r="E2108" i="45"/>
  <c r="M2108" i="45" s="1"/>
  <c r="M3087" i="45"/>
  <c r="M2007" i="45"/>
  <c r="M1987" i="45"/>
  <c r="E2328" i="45"/>
  <c r="M2328" i="45" s="1"/>
  <c r="Q2325" i="45" s="1"/>
  <c r="M1852" i="45"/>
  <c r="M1807" i="45"/>
  <c r="M1815" i="45"/>
  <c r="D2224" i="45"/>
  <c r="M1832" i="45"/>
  <c r="M2207" i="45"/>
  <c r="M2167" i="45"/>
  <c r="M1272" i="45"/>
  <c r="M1667" i="45"/>
  <c r="M1647" i="45"/>
  <c r="E3135" i="45"/>
  <c r="M3135" i="45" s="1"/>
  <c r="E2295" i="45"/>
  <c r="M2295" i="45" s="1"/>
  <c r="G2175" i="45"/>
  <c r="G2176" i="45" s="1"/>
  <c r="G2177" i="45" s="1"/>
  <c r="G2178" i="45" s="1"/>
  <c r="G2179" i="45" s="1"/>
  <c r="M1267" i="45"/>
  <c r="E1408" i="45"/>
  <c r="M1408" i="45" s="1"/>
  <c r="Q1405" i="45" s="1"/>
  <c r="M1287" i="45"/>
  <c r="Q3965" i="45"/>
  <c r="Q2105" i="45"/>
  <c r="Q3985" i="45"/>
  <c r="Q4005" i="45"/>
  <c r="Q4105" i="45"/>
  <c r="M1847" i="45"/>
  <c r="M1827" i="45"/>
  <c r="M2567" i="45"/>
  <c r="M3107" i="45"/>
  <c r="M3067" i="45"/>
  <c r="M3467" i="45"/>
  <c r="M3427" i="45"/>
  <c r="E4058" i="45"/>
  <c r="M4058" i="45" s="1"/>
  <c r="P3965" i="45"/>
  <c r="P2105" i="45"/>
  <c r="P3985" i="45"/>
  <c r="M1492" i="45"/>
  <c r="M1452" i="45"/>
  <c r="M2012" i="45"/>
  <c r="M3287" i="45"/>
  <c r="M3247" i="45"/>
  <c r="M3292" i="45"/>
  <c r="M3252" i="45"/>
  <c r="M3472" i="45"/>
  <c r="M3447" i="45"/>
  <c r="M3432" i="45"/>
  <c r="P4005" i="45"/>
  <c r="M1467" i="45"/>
  <c r="M1992" i="45"/>
  <c r="E3390" i="45"/>
  <c r="M3390" i="45" s="1"/>
  <c r="M3607" i="45"/>
  <c r="M3452" i="45"/>
  <c r="E3915" i="45"/>
  <c r="M3915" i="45" s="1"/>
  <c r="M1627" i="45"/>
  <c r="M1487" i="45"/>
  <c r="M1447" i="45"/>
  <c r="M2187" i="45"/>
  <c r="M3272" i="45"/>
  <c r="M2572" i="45"/>
  <c r="M1652" i="45"/>
  <c r="M1812" i="45"/>
  <c r="M1472" i="45"/>
  <c r="M4128" i="45"/>
  <c r="Q4125" i="45" s="1"/>
  <c r="E3115" i="45"/>
  <c r="M3115" i="45" s="1"/>
  <c r="M3112" i="45"/>
  <c r="M3072" i="45"/>
  <c r="E2195" i="45"/>
  <c r="M2195" i="45" s="1"/>
  <c r="M2192" i="45"/>
  <c r="M3612" i="45"/>
  <c r="M1292" i="45"/>
  <c r="M3826" i="45"/>
  <c r="M3786" i="45"/>
  <c r="M3446" i="45"/>
  <c r="M3106" i="45"/>
  <c r="M3066" i="45"/>
  <c r="M2566" i="45"/>
  <c r="M2526" i="45"/>
  <c r="M2186" i="45"/>
  <c r="M1846" i="45"/>
  <c r="M1806" i="45"/>
  <c r="M1466" i="45"/>
  <c r="M3286" i="45"/>
  <c r="M3246" i="45"/>
  <c r="M2726" i="45"/>
  <c r="M2386" i="45"/>
  <c r="M2346" i="45"/>
  <c r="M2006" i="45"/>
  <c r="M1666" i="45"/>
  <c r="M1626" i="45"/>
  <c r="M1286" i="45"/>
  <c r="E1950" i="45"/>
  <c r="M1950" i="45" s="1"/>
  <c r="M1947" i="45"/>
  <c r="E1675" i="45"/>
  <c r="M1675" i="45" s="1"/>
  <c r="M1672" i="45"/>
  <c r="M1632" i="45"/>
  <c r="E1590" i="45"/>
  <c r="M1590" i="45" s="1"/>
  <c r="M1587" i="45"/>
  <c r="M4028" i="45"/>
  <c r="Q4025" i="45" s="1"/>
  <c r="M4088" i="45"/>
  <c r="Q4085" i="45" s="1"/>
  <c r="M4068" i="45"/>
  <c r="Q4065" i="45" s="1"/>
  <c r="M4048" i="45"/>
  <c r="Q4045" i="45" s="1"/>
  <c r="M3092" i="45"/>
  <c r="M2212" i="45"/>
  <c r="M2172" i="45"/>
  <c r="M3806" i="45"/>
  <c r="M3466" i="45"/>
  <c r="M3426" i="45"/>
  <c r="M3086" i="45"/>
  <c r="M2926" i="45"/>
  <c r="M2886" i="45"/>
  <c r="M2546" i="45"/>
  <c r="M2206" i="45"/>
  <c r="M2166" i="45"/>
  <c r="M1826" i="45"/>
  <c r="M1486" i="45"/>
  <c r="M3606" i="45"/>
  <c r="M3266" i="45"/>
  <c r="M2746" i="45"/>
  <c r="M2706" i="45"/>
  <c r="M2366" i="45"/>
  <c r="M2026" i="45"/>
  <c r="M1986" i="45"/>
  <c r="M1646" i="45"/>
  <c r="M1306" i="45"/>
  <c r="M1266" i="45"/>
  <c r="D2168" i="45"/>
  <c r="D2171" i="45" s="1"/>
  <c r="D2174" i="45" s="1"/>
  <c r="D2177" i="45" s="1"/>
  <c r="D2180" i="45" s="1"/>
  <c r="D2183" i="45" s="1"/>
  <c r="E1755" i="45"/>
  <c r="M1755" i="45" s="1"/>
  <c r="E2315" i="45"/>
  <c r="M2315" i="45" s="1"/>
  <c r="E2235" i="45"/>
  <c r="M2235" i="45" s="1"/>
  <c r="E3155" i="45"/>
  <c r="M3155" i="45" s="1"/>
  <c r="E3575" i="45"/>
  <c r="M3575" i="45" s="1"/>
  <c r="E3935" i="45"/>
  <c r="M3935" i="45" s="1"/>
  <c r="E3895" i="45"/>
  <c r="M3895" i="45" s="1"/>
  <c r="E2995" i="45"/>
  <c r="M2995" i="45" s="1"/>
  <c r="E3175" i="45"/>
  <c r="M3175" i="45" s="1"/>
  <c r="E2535" i="45"/>
  <c r="E2538" i="45" s="1"/>
  <c r="E2488" i="45"/>
  <c r="M2488" i="45" s="1"/>
  <c r="N2485" i="45" s="1"/>
  <c r="E2455" i="45"/>
  <c r="M2455" i="45" s="1"/>
  <c r="E1968" i="45"/>
  <c r="M1968" i="45" s="1"/>
  <c r="P1965" i="45" s="1"/>
  <c r="E1928" i="45"/>
  <c r="M1928" i="45" s="1"/>
  <c r="P1925" i="45" s="1"/>
  <c r="E1615" i="45"/>
  <c r="M1615" i="45" s="1"/>
  <c r="E1570" i="45"/>
  <c r="M1570" i="45" s="1"/>
  <c r="E2068" i="45"/>
  <c r="M2068" i="45" s="1"/>
  <c r="P2065" i="45" s="1"/>
  <c r="E1770" i="45"/>
  <c r="M1770" i="45" s="1"/>
  <c r="E3308" i="45"/>
  <c r="M3308" i="45" s="1"/>
  <c r="P3305" i="45" s="1"/>
  <c r="E3835" i="45"/>
  <c r="E3838" i="45" s="1"/>
  <c r="E3795" i="45"/>
  <c r="E3798" i="45" s="1"/>
  <c r="E3735" i="45"/>
  <c r="M3735" i="45" s="1"/>
  <c r="E3675" i="45"/>
  <c r="M3675" i="45" s="1"/>
  <c r="E3388" i="45"/>
  <c r="M3388" i="45" s="1"/>
  <c r="P3385" i="45" s="1"/>
  <c r="E3315" i="45"/>
  <c r="M3315" i="45" s="1"/>
  <c r="E3095" i="45"/>
  <c r="M3095" i="45" s="1"/>
  <c r="E2895" i="45"/>
  <c r="E2848" i="45"/>
  <c r="M2848" i="45" s="1"/>
  <c r="N2845" i="45" s="1"/>
  <c r="E2815" i="45"/>
  <c r="M2815" i="45" s="1"/>
  <c r="E2215" i="45"/>
  <c r="M2215" i="45" s="1"/>
  <c r="E2175" i="45"/>
  <c r="M2175" i="45" s="1"/>
  <c r="E1390" i="45"/>
  <c r="M1390" i="45" s="1"/>
  <c r="E3955" i="45"/>
  <c r="M3955" i="45" s="1"/>
  <c r="E3875" i="45"/>
  <c r="M3875" i="45" s="1"/>
  <c r="E3635" i="45"/>
  <c r="E3535" i="45"/>
  <c r="M3535" i="45" s="1"/>
  <c r="E3235" i="45"/>
  <c r="M3235" i="45" s="1"/>
  <c r="E2735" i="45"/>
  <c r="E2738" i="45" s="1"/>
  <c r="E2375" i="45"/>
  <c r="E2378" i="45" s="1"/>
  <c r="E2330" i="45"/>
  <c r="M2330" i="45" s="1"/>
  <c r="E2255" i="45"/>
  <c r="M2255" i="45" s="1"/>
  <c r="E1315" i="45"/>
  <c r="E1318" i="45" s="1"/>
  <c r="E1270" i="45"/>
  <c r="M1270" i="45" s="1"/>
  <c r="N3985" i="45"/>
  <c r="E2570" i="45"/>
  <c r="M2570" i="45" s="1"/>
  <c r="E2635" i="45"/>
  <c r="M2635" i="45" s="1"/>
  <c r="E2510" i="45"/>
  <c r="M2510" i="45" s="1"/>
  <c r="E2470" i="45"/>
  <c r="M2470" i="45" s="1"/>
  <c r="E1948" i="45"/>
  <c r="M1948" i="45" s="1"/>
  <c r="E1635" i="45"/>
  <c r="M1635" i="45" s="1"/>
  <c r="E1588" i="45"/>
  <c r="M1588" i="45" s="1"/>
  <c r="E1528" i="45"/>
  <c r="E1531" i="45" s="1"/>
  <c r="M1531" i="45" s="1"/>
  <c r="E1490" i="45"/>
  <c r="M1490" i="45" s="1"/>
  <c r="E1448" i="45"/>
  <c r="M1448" i="45" s="1"/>
  <c r="E4111" i="45"/>
  <c r="M4111" i="45" s="1"/>
  <c r="N4105" i="45"/>
  <c r="E4053" i="45"/>
  <c r="M4053" i="45" s="1"/>
  <c r="E3815" i="45"/>
  <c r="E3818" i="45" s="1"/>
  <c r="E3768" i="45"/>
  <c r="M3768" i="45" s="1"/>
  <c r="P3765" i="45" s="1"/>
  <c r="E3715" i="45"/>
  <c r="M3715" i="45" s="1"/>
  <c r="E3415" i="45"/>
  <c r="M3415" i="45" s="1"/>
  <c r="E3370" i="45"/>
  <c r="M3370" i="45" s="1"/>
  <c r="E3075" i="45"/>
  <c r="M3075" i="45" s="1"/>
  <c r="E2835" i="45"/>
  <c r="M2835" i="45" s="1"/>
  <c r="E2788" i="45"/>
  <c r="E2791" i="45" s="1"/>
  <c r="M2791" i="45" s="1"/>
  <c r="E1435" i="45"/>
  <c r="M1435" i="45" s="1"/>
  <c r="E4113" i="45"/>
  <c r="M4113" i="45" s="1"/>
  <c r="E3855" i="45"/>
  <c r="M3855" i="45" s="1"/>
  <c r="E2755" i="45"/>
  <c r="E2758" i="45" s="1"/>
  <c r="E2395" i="45"/>
  <c r="E2398" i="45" s="1"/>
  <c r="E2348" i="45"/>
  <c r="E2351" i="45" s="1"/>
  <c r="E2275" i="45"/>
  <c r="M2275" i="45" s="1"/>
  <c r="E1295" i="45"/>
  <c r="M1295" i="45" s="1"/>
  <c r="E1410" i="45"/>
  <c r="M1410" i="45" s="1"/>
  <c r="N3965" i="45"/>
  <c r="N4005" i="45"/>
  <c r="N2105" i="45"/>
  <c r="E2508" i="45"/>
  <c r="E2511" i="45" s="1"/>
  <c r="M2511" i="45" s="1"/>
  <c r="A3188" i="45"/>
  <c r="A3191" i="45" s="1"/>
  <c r="A3194" i="45" s="1"/>
  <c r="A3197" i="45" s="1"/>
  <c r="A3200" i="45" s="1"/>
  <c r="A3203" i="45" s="1"/>
  <c r="E1388" i="45"/>
  <c r="M1388" i="45" s="1"/>
  <c r="P1385" i="45" s="1"/>
  <c r="C1307" i="45"/>
  <c r="C1308" i="45" s="1"/>
  <c r="C1309" i="45" s="1"/>
  <c r="C1310" i="45" s="1"/>
  <c r="C1311" i="45" s="1"/>
  <c r="C1312" i="45" s="1"/>
  <c r="C1313" i="45" s="1"/>
  <c r="C1314" i="45" s="1"/>
  <c r="C1315" i="45" s="1"/>
  <c r="C1316" i="45" s="1"/>
  <c r="C1317" i="45" s="1"/>
  <c r="C1318" i="45" s="1"/>
  <c r="C1319" i="45" s="1"/>
  <c r="C1320" i="45" s="1"/>
  <c r="C1321" i="45" s="1"/>
  <c r="C1322" i="45" s="1"/>
  <c r="C1323" i="45" s="1"/>
  <c r="C1324" i="45" s="1"/>
  <c r="E1268" i="45"/>
  <c r="M1268" i="45" s="1"/>
  <c r="E1930" i="45"/>
  <c r="M1930" i="45" s="1"/>
  <c r="E3368" i="45"/>
  <c r="M3368" i="45" s="1"/>
  <c r="P3365" i="45" s="1"/>
  <c r="D3622" i="45"/>
  <c r="B3662" i="45"/>
  <c r="E2468" i="45"/>
  <c r="M2468" i="45" s="1"/>
  <c r="P2465" i="45" s="1"/>
  <c r="G3115" i="45"/>
  <c r="G3116" i="45" s="1"/>
  <c r="G3117" i="45" s="1"/>
  <c r="G3118" i="45" s="1"/>
  <c r="G3119" i="45" s="1"/>
  <c r="D3608" i="45"/>
  <c r="D3611" i="45" s="1"/>
  <c r="D3614" i="45" s="1"/>
  <c r="D3617" i="45" s="1"/>
  <c r="D3620" i="45" s="1"/>
  <c r="D3623" i="45" s="1"/>
  <c r="C3807" i="45"/>
  <c r="C3808" i="45" s="1"/>
  <c r="C3809" i="45" s="1"/>
  <c r="C3810" i="45" s="1"/>
  <c r="C3811" i="45" s="1"/>
  <c r="C3812" i="45" s="1"/>
  <c r="C3813" i="45" s="1"/>
  <c r="C3814" i="45" s="1"/>
  <c r="C3815" i="45" s="1"/>
  <c r="C3816" i="45" s="1"/>
  <c r="C3817" i="45" s="1"/>
  <c r="C3818" i="45" s="1"/>
  <c r="C3819" i="45" s="1"/>
  <c r="C3820" i="45" s="1"/>
  <c r="C3821" i="45" s="1"/>
  <c r="C3822" i="45" s="1"/>
  <c r="C3823" i="45" s="1"/>
  <c r="C3824" i="45" s="1"/>
  <c r="E1568" i="45"/>
  <c r="M1568" i="45" s="1"/>
  <c r="P1565" i="45" s="1"/>
  <c r="E1768" i="45"/>
  <c r="M1768" i="45" s="1"/>
  <c r="P1765" i="45" s="1"/>
  <c r="E1970" i="45"/>
  <c r="M1970" i="45" s="1"/>
  <c r="B1830" i="45"/>
  <c r="B1833" i="45" s="1"/>
  <c r="B1836" i="45" s="1"/>
  <c r="B1839" i="45" s="1"/>
  <c r="B1844" i="45" s="1"/>
  <c r="E2070" i="45"/>
  <c r="M2070" i="45" s="1"/>
  <c r="D3088" i="45"/>
  <c r="D3091" i="45" s="1"/>
  <c r="D3094" i="45" s="1"/>
  <c r="D3097" i="45" s="1"/>
  <c r="D3100" i="45" s="1"/>
  <c r="D3103" i="45" s="1"/>
  <c r="C3627" i="45"/>
  <c r="C3628" i="45" s="1"/>
  <c r="C3629" i="45" s="1"/>
  <c r="C3630" i="45" s="1"/>
  <c r="C3631" i="45" s="1"/>
  <c r="C3632" i="45" s="1"/>
  <c r="C3633" i="45" s="1"/>
  <c r="C3634" i="45" s="1"/>
  <c r="C3635" i="45" s="1"/>
  <c r="C3636" i="45" s="1"/>
  <c r="C3637" i="45" s="1"/>
  <c r="C3638" i="45" s="1"/>
  <c r="C3639" i="45" s="1"/>
  <c r="C3640" i="45" s="1"/>
  <c r="C3641" i="45" s="1"/>
  <c r="C3642" i="45" s="1"/>
  <c r="C3643" i="45" s="1"/>
  <c r="C3644" i="45" s="1"/>
  <c r="C3827" i="45"/>
  <c r="C3828" i="45" s="1"/>
  <c r="C3829" i="45" s="1"/>
  <c r="C3830" i="45" s="1"/>
  <c r="C3831" i="45" s="1"/>
  <c r="C3832" i="45" s="1"/>
  <c r="C3833" i="45" s="1"/>
  <c r="C3834" i="45" s="1"/>
  <c r="C3835" i="45" s="1"/>
  <c r="C3836" i="45" s="1"/>
  <c r="C3837" i="45" s="1"/>
  <c r="C3838" i="45" s="1"/>
  <c r="C3839" i="45" s="1"/>
  <c r="C3840" i="45" s="1"/>
  <c r="C3841" i="45" s="1"/>
  <c r="C3842" i="45" s="1"/>
  <c r="C3843" i="45" s="1"/>
  <c r="C3844" i="45" s="1"/>
  <c r="C3787" i="45"/>
  <c r="C3788" i="45" s="1"/>
  <c r="C3789" i="45" s="1"/>
  <c r="C3790" i="45" s="1"/>
  <c r="C3791" i="45" s="1"/>
  <c r="C3792" i="45" s="1"/>
  <c r="C3793" i="45" s="1"/>
  <c r="C3794" i="45" s="1"/>
  <c r="C3795" i="45" s="1"/>
  <c r="C3796" i="45" s="1"/>
  <c r="C3797" i="45" s="1"/>
  <c r="C3798" i="45" s="1"/>
  <c r="C3799" i="45" s="1"/>
  <c r="C3800" i="45" s="1"/>
  <c r="C3801" i="45" s="1"/>
  <c r="C3802" i="45" s="1"/>
  <c r="C3803" i="45" s="1"/>
  <c r="C3804" i="45" s="1"/>
  <c r="E2490" i="45"/>
  <c r="M2490" i="45" s="1"/>
  <c r="A2788" i="45"/>
  <c r="A2791" i="45" s="1"/>
  <c r="A2794" i="45" s="1"/>
  <c r="A2797" i="45" s="1"/>
  <c r="A2800" i="45" s="1"/>
  <c r="A2803" i="45" s="1"/>
  <c r="D3104" i="45"/>
  <c r="D3364" i="45"/>
  <c r="B3648" i="45"/>
  <c r="B3651" i="45" s="1"/>
  <c r="B3654" i="45" s="1"/>
  <c r="B3657" i="45" s="1"/>
  <c r="B3660" i="45" s="1"/>
  <c r="B3663" i="45" s="1"/>
  <c r="A3950" i="45"/>
  <c r="A3953" i="45" s="1"/>
  <c r="A3956" i="45" s="1"/>
  <c r="A3959" i="45" s="1"/>
  <c r="A3964" i="45" s="1"/>
  <c r="B3850" i="45"/>
  <c r="B3853" i="45" s="1"/>
  <c r="B3856" i="45" s="1"/>
  <c r="B3859" i="45" s="1"/>
  <c r="B3862" i="45" s="1"/>
  <c r="G3215" i="45"/>
  <c r="G3216" i="45" s="1"/>
  <c r="G3217" i="45" s="1"/>
  <c r="G3218" i="45" s="1"/>
  <c r="G3219" i="45" s="1"/>
  <c r="B3248" i="45"/>
  <c r="B3251" i="45" s="1"/>
  <c r="B3254" i="45" s="1"/>
  <c r="B3257" i="45" s="1"/>
  <c r="B3260" i="45" s="1"/>
  <c r="B3263" i="45" s="1"/>
  <c r="G4040" i="45"/>
  <c r="G4041" i="45" s="1"/>
  <c r="G4042" i="45" s="1"/>
  <c r="G4043" i="45" s="1"/>
  <c r="G4044" i="45" s="1"/>
  <c r="E1470" i="45"/>
  <c r="M1470" i="45" s="1"/>
  <c r="E1790" i="45"/>
  <c r="M1790" i="45" s="1"/>
  <c r="E2148" i="45"/>
  <c r="E2151" i="45" s="1"/>
  <c r="M2151" i="45" s="1"/>
  <c r="E2368" i="45"/>
  <c r="E2248" i="45"/>
  <c r="E2251" i="45" s="1"/>
  <c r="M2251" i="45" s="1"/>
  <c r="E3008" i="45"/>
  <c r="M3008" i="45" s="1"/>
  <c r="P3005" i="45" s="1"/>
  <c r="E2888" i="45"/>
  <c r="E2891" i="45" s="1"/>
  <c r="E2715" i="45"/>
  <c r="E2528" i="45"/>
  <c r="E2388" i="45"/>
  <c r="E2391" i="45" s="1"/>
  <c r="E2668" i="45"/>
  <c r="E2671" i="45" s="1"/>
  <c r="M2671" i="45" s="1"/>
  <c r="E2548" i="45"/>
  <c r="E2915" i="45"/>
  <c r="E2908" i="45"/>
  <c r="E3168" i="45"/>
  <c r="E3171" i="45" s="1"/>
  <c r="M3171" i="45" s="1"/>
  <c r="E3275" i="45"/>
  <c r="M3275" i="45" s="1"/>
  <c r="E1655" i="45"/>
  <c r="M1655" i="45" s="1"/>
  <c r="E3950" i="45"/>
  <c r="M3950" i="45" s="1"/>
  <c r="E2875" i="45"/>
  <c r="M2875" i="45" s="1"/>
  <c r="E2850" i="45"/>
  <c r="M2850" i="45" s="1"/>
  <c r="E2790" i="45"/>
  <c r="M2790" i="45" s="1"/>
  <c r="E4078" i="45"/>
  <c r="M4078" i="45" s="1"/>
  <c r="E2350" i="45"/>
  <c r="E2008" i="45"/>
  <c r="M2008" i="45" s="1"/>
  <c r="E1990" i="45"/>
  <c r="M1990" i="45" s="1"/>
  <c r="E2028" i="45"/>
  <c r="E2928" i="45"/>
  <c r="E2768" i="45"/>
  <c r="M2768" i="45" s="1"/>
  <c r="P2765" i="45" s="1"/>
  <c r="E2748" i="45"/>
  <c r="E2751" i="45" s="1"/>
  <c r="E2708" i="45"/>
  <c r="E2711" i="45" s="1"/>
  <c r="E2588" i="45"/>
  <c r="M2588" i="45" s="1"/>
  <c r="P2585" i="45" s="1"/>
  <c r="E2408" i="45"/>
  <c r="M2408" i="45" s="1"/>
  <c r="P2405" i="45" s="1"/>
  <c r="E2355" i="45"/>
  <c r="E2690" i="45"/>
  <c r="M2690" i="45" s="1"/>
  <c r="E2628" i="45"/>
  <c r="E2631" i="45" s="1"/>
  <c r="M2631" i="45" s="1"/>
  <c r="E2728" i="45"/>
  <c r="E2568" i="45"/>
  <c r="M2568" i="45" s="1"/>
  <c r="A3410" i="45"/>
  <c r="A3413" i="45" s="1"/>
  <c r="A3416" i="45" s="1"/>
  <c r="A3419" i="45" s="1"/>
  <c r="E3395" i="45"/>
  <c r="M3395" i="45" s="1"/>
  <c r="B3288" i="45"/>
  <c r="B3291" i="45" s="1"/>
  <c r="B3294" i="45" s="1"/>
  <c r="B3297" i="45" s="1"/>
  <c r="B3300" i="45" s="1"/>
  <c r="B3303" i="45" s="1"/>
  <c r="B3304" i="45"/>
  <c r="B3284" i="45"/>
  <c r="B3262" i="45"/>
  <c r="E2935" i="45"/>
  <c r="E3295" i="45"/>
  <c r="M3295" i="45" s="1"/>
  <c r="E3255" i="45"/>
  <c r="M3255" i="45" s="1"/>
  <c r="E3188" i="45"/>
  <c r="E3191" i="45" s="1"/>
  <c r="M3191" i="45" s="1"/>
  <c r="E2555" i="45"/>
  <c r="E1488" i="45"/>
  <c r="M1488" i="45" s="1"/>
  <c r="E1450" i="45"/>
  <c r="M1450" i="45" s="1"/>
  <c r="E3770" i="45"/>
  <c r="M3770" i="45" s="1"/>
  <c r="E1355" i="45"/>
  <c r="M1355" i="45" s="1"/>
  <c r="E4038" i="45"/>
  <c r="M4038" i="45" s="1"/>
  <c r="E4098" i="45"/>
  <c r="M4098" i="45" s="1"/>
  <c r="E3655" i="45"/>
  <c r="E3615" i="45"/>
  <c r="M3615" i="45" s="1"/>
  <c r="E3595" i="45"/>
  <c r="M3595" i="45" s="1"/>
  <c r="E1715" i="45"/>
  <c r="M1715" i="45" s="1"/>
  <c r="E1888" i="45"/>
  <c r="E2128" i="45"/>
  <c r="M2128" i="45" s="1"/>
  <c r="P2125" i="45" s="1"/>
  <c r="C2027" i="45"/>
  <c r="C2028" i="45" s="1"/>
  <c r="C2029" i="45" s="1"/>
  <c r="C2030" i="45" s="1"/>
  <c r="C2031" i="45" s="1"/>
  <c r="C2032" i="45" s="1"/>
  <c r="C2033" i="45" s="1"/>
  <c r="C2034" i="45" s="1"/>
  <c r="C2035" i="45" s="1"/>
  <c r="C2036" i="45" s="1"/>
  <c r="C2037" i="45" s="1"/>
  <c r="C2038" i="45" s="1"/>
  <c r="C2039" i="45" s="1"/>
  <c r="C2040" i="45" s="1"/>
  <c r="C2041" i="45" s="1"/>
  <c r="C2042" i="45" s="1"/>
  <c r="C2043" i="45" s="1"/>
  <c r="C2044" i="45" s="1"/>
  <c r="E3035" i="45"/>
  <c r="M3035" i="45" s="1"/>
  <c r="A1590" i="45"/>
  <c r="A1593" i="45" s="1"/>
  <c r="A1596" i="45" s="1"/>
  <c r="A1599" i="45" s="1"/>
  <c r="A1568" i="45"/>
  <c r="A1571" i="45" s="1"/>
  <c r="A1574" i="45" s="1"/>
  <c r="A1577" i="45" s="1"/>
  <c r="A1580" i="45" s="1"/>
  <c r="A1583" i="45" s="1"/>
  <c r="A1470" i="45"/>
  <c r="A1473" i="45" s="1"/>
  <c r="A1476" i="45" s="1"/>
  <c r="A1479" i="45" s="1"/>
  <c r="B2984" i="45"/>
  <c r="E1348" i="45"/>
  <c r="D1868" i="45"/>
  <c r="D1871" i="45" s="1"/>
  <c r="D1874" i="45" s="1"/>
  <c r="D1877" i="45" s="1"/>
  <c r="D1880" i="45" s="1"/>
  <c r="D1883" i="45" s="1"/>
  <c r="A2510" i="45"/>
  <c r="A2513" i="45" s="1"/>
  <c r="A2516" i="45" s="1"/>
  <c r="A2519" i="45" s="1"/>
  <c r="A2378" i="45"/>
  <c r="A2381" i="45" s="1"/>
  <c r="D2650" i="45"/>
  <c r="D2653" i="45" s="1"/>
  <c r="D2656" i="45" s="1"/>
  <c r="D2659" i="45" s="1"/>
  <c r="D2664" i="45" s="1"/>
  <c r="E3050" i="45"/>
  <c r="M3050" i="45" s="1"/>
  <c r="G2895" i="45"/>
  <c r="G2896" i="45" s="1"/>
  <c r="G2897" i="45" s="1"/>
  <c r="G2898" i="45" s="1"/>
  <c r="G2899" i="45" s="1"/>
  <c r="E1530" i="45"/>
  <c r="M1530" i="45" s="1"/>
  <c r="E1890" i="45"/>
  <c r="M1890" i="45" s="1"/>
  <c r="E1875" i="45"/>
  <c r="M1875" i="45" s="1"/>
  <c r="E2155" i="45"/>
  <c r="M2155" i="45" s="1"/>
  <c r="E2130" i="45"/>
  <c r="M2130" i="45" s="1"/>
  <c r="E2110" i="45"/>
  <c r="M2110" i="45" s="1"/>
  <c r="B2648" i="45"/>
  <c r="B2651" i="45" s="1"/>
  <c r="B2654" i="45" s="1"/>
  <c r="B2657" i="45" s="1"/>
  <c r="B2660" i="45" s="1"/>
  <c r="B2663" i="45" s="1"/>
  <c r="B3222" i="45"/>
  <c r="E2415" i="45"/>
  <c r="M2415" i="45" s="1"/>
  <c r="B2430" i="45"/>
  <c r="B2433" i="45" s="1"/>
  <c r="B2436" i="45" s="1"/>
  <c r="B2439" i="45" s="1"/>
  <c r="B2444" i="45" s="1"/>
  <c r="D2610" i="45"/>
  <c r="D2613" i="45" s="1"/>
  <c r="D2616" i="45" s="1"/>
  <c r="D2619" i="45" s="1"/>
  <c r="D2624" i="45" s="1"/>
  <c r="B2608" i="45"/>
  <c r="B2611" i="45" s="1"/>
  <c r="B2614" i="45" s="1"/>
  <c r="B2617" i="45" s="1"/>
  <c r="B2620" i="45" s="1"/>
  <c r="B2623" i="45" s="1"/>
  <c r="B3208" i="45"/>
  <c r="B3211" i="45" s="1"/>
  <c r="B3214" i="45" s="1"/>
  <c r="B3217" i="45" s="1"/>
  <c r="B3220" i="45" s="1"/>
  <c r="B3223" i="45" s="1"/>
  <c r="G3155" i="45"/>
  <c r="G3156" i="45" s="1"/>
  <c r="G3157" i="45" s="1"/>
  <c r="G3158" i="45" s="1"/>
  <c r="G3159" i="45" s="1"/>
  <c r="G3075" i="45"/>
  <c r="G3076" i="45" s="1"/>
  <c r="G3077" i="45" s="1"/>
  <c r="G3078" i="45" s="1"/>
  <c r="G3079" i="45" s="1"/>
  <c r="D3082" i="45"/>
  <c r="G1655" i="45"/>
  <c r="G1656" i="45" s="1"/>
  <c r="G1657" i="45" s="1"/>
  <c r="G1658" i="45" s="1"/>
  <c r="G1659" i="45" s="1"/>
  <c r="A2690" i="45"/>
  <c r="A2693" i="45" s="1"/>
  <c r="A2696" i="45" s="1"/>
  <c r="A2699" i="45" s="1"/>
  <c r="A2628" i="45"/>
  <c r="A2631" i="45" s="1"/>
  <c r="A2634" i="45" s="1"/>
  <c r="A2637" i="45" s="1"/>
  <c r="A2640" i="45" s="1"/>
  <c r="A2643" i="45" s="1"/>
  <c r="E2855" i="45"/>
  <c r="M2855" i="45" s="1"/>
  <c r="G2815" i="45"/>
  <c r="G2816" i="45" s="1"/>
  <c r="G2817" i="45" s="1"/>
  <c r="G2818" i="45" s="1"/>
  <c r="G2819" i="45" s="1"/>
  <c r="A2738" i="45"/>
  <c r="A2741" i="45" s="1"/>
  <c r="E3048" i="45"/>
  <c r="M3048" i="45" s="1"/>
  <c r="P3045" i="45" s="1"/>
  <c r="B3028" i="45"/>
  <c r="B3031" i="45" s="1"/>
  <c r="B3034" i="45" s="1"/>
  <c r="B3037" i="45" s="1"/>
  <c r="B3040" i="45" s="1"/>
  <c r="B3043" i="45" s="1"/>
  <c r="B2968" i="45"/>
  <c r="B2971" i="45" s="1"/>
  <c r="B2974" i="45" s="1"/>
  <c r="B2977" i="45" s="1"/>
  <c r="B2980" i="45" s="1"/>
  <c r="B2983" i="45" s="1"/>
  <c r="D3068" i="45"/>
  <c r="D3071" i="45" s="1"/>
  <c r="D3074" i="45" s="1"/>
  <c r="D3077" i="45" s="1"/>
  <c r="D3080" i="45" s="1"/>
  <c r="D3083" i="45" s="1"/>
  <c r="G3095" i="45"/>
  <c r="G3096" i="45" s="1"/>
  <c r="G3097" i="45" s="1"/>
  <c r="G3098" i="45" s="1"/>
  <c r="G3099" i="45" s="1"/>
  <c r="E3408" i="45"/>
  <c r="B3344" i="45"/>
  <c r="E3310" i="45"/>
  <c r="M3310" i="45" s="1"/>
  <c r="B1368" i="45"/>
  <c r="B1371" i="45" s="1"/>
  <c r="B1374" i="45" s="1"/>
  <c r="B1377" i="45" s="1"/>
  <c r="B1380" i="45" s="1"/>
  <c r="B1383" i="45" s="1"/>
  <c r="E1595" i="45"/>
  <c r="M1595" i="45" s="1"/>
  <c r="A3168" i="45"/>
  <c r="A3171" i="45" s="1"/>
  <c r="A3174" i="45" s="1"/>
  <c r="A3177" i="45" s="1"/>
  <c r="A3180" i="45" s="1"/>
  <c r="A3183" i="45" s="1"/>
  <c r="E3128" i="45"/>
  <c r="M3128" i="45" s="1"/>
  <c r="P3125" i="45" s="1"/>
  <c r="D3122" i="45"/>
  <c r="G3275" i="45"/>
  <c r="G3276" i="45" s="1"/>
  <c r="G3277" i="45" s="1"/>
  <c r="G3278" i="45" s="1"/>
  <c r="G3279" i="45" s="1"/>
  <c r="E1608" i="45"/>
  <c r="B1690" i="45"/>
  <c r="B1693" i="45" s="1"/>
  <c r="B1696" i="45" s="1"/>
  <c r="B1699" i="45" s="1"/>
  <c r="B1702" i="45" s="1"/>
  <c r="E3948" i="45"/>
  <c r="G2055" i="45"/>
  <c r="G2056" i="45" s="1"/>
  <c r="G2057" i="45" s="1"/>
  <c r="G2058" i="45" s="1"/>
  <c r="G2059" i="45" s="1"/>
  <c r="B3042" i="45"/>
  <c r="E2950" i="45"/>
  <c r="M2950" i="45" s="1"/>
  <c r="E4051" i="45"/>
  <c r="M4051" i="45" s="1"/>
  <c r="A3390" i="45"/>
  <c r="A3393" i="45" s="1"/>
  <c r="A3396" i="45" s="1"/>
  <c r="A3399" i="45" s="1"/>
  <c r="A3368" i="45"/>
  <c r="A3371" i="45" s="1"/>
  <c r="A3374" i="45" s="1"/>
  <c r="A3377" i="45" s="1"/>
  <c r="A3380" i="45" s="1"/>
  <c r="A3383" i="45" s="1"/>
  <c r="G4060" i="45"/>
  <c r="G4061" i="45" s="1"/>
  <c r="G4062" i="45" s="1"/>
  <c r="G4063" i="45" s="1"/>
  <c r="G4064" i="45" s="1"/>
  <c r="D1730" i="45"/>
  <c r="D1733" i="45" s="1"/>
  <c r="D1736" i="45" s="1"/>
  <c r="D1739" i="45" s="1"/>
  <c r="D1742" i="45" s="1"/>
  <c r="G1695" i="45"/>
  <c r="G1696" i="45" s="1"/>
  <c r="G1697" i="45" s="1"/>
  <c r="G1698" i="45" s="1"/>
  <c r="G1699" i="45" s="1"/>
  <c r="G1635" i="45"/>
  <c r="G1636" i="45" s="1"/>
  <c r="G1637" i="45" s="1"/>
  <c r="G1638" i="45" s="1"/>
  <c r="G1639" i="45" s="1"/>
  <c r="E1935" i="45"/>
  <c r="M1935" i="45" s="1"/>
  <c r="D1908" i="45"/>
  <c r="D1911" i="45" s="1"/>
  <c r="D1914" i="45" s="1"/>
  <c r="D1917" i="45" s="1"/>
  <c r="D1920" i="45" s="1"/>
  <c r="D1923" i="45" s="1"/>
  <c r="B1822" i="45"/>
  <c r="A2148" i="45"/>
  <c r="A2151" i="45" s="1"/>
  <c r="A2154" i="45" s="1"/>
  <c r="A2157" i="45" s="1"/>
  <c r="A2160" i="45" s="1"/>
  <c r="A2163" i="45" s="1"/>
  <c r="E2015" i="45"/>
  <c r="M2015" i="45" s="1"/>
  <c r="B2268" i="45"/>
  <c r="B2271" i="45" s="1"/>
  <c r="B2274" i="45" s="1"/>
  <c r="B2277" i="45" s="1"/>
  <c r="B2280" i="45" s="1"/>
  <c r="B2283" i="45" s="1"/>
  <c r="B2284" i="45"/>
  <c r="A2490" i="45"/>
  <c r="A2493" i="45" s="1"/>
  <c r="A2496" i="45" s="1"/>
  <c r="A2499" i="45" s="1"/>
  <c r="E2475" i="45"/>
  <c r="M2475" i="45" s="1"/>
  <c r="D2448" i="45"/>
  <c r="D2451" i="45" s="1"/>
  <c r="D2454" i="45" s="1"/>
  <c r="D2457" i="45" s="1"/>
  <c r="D2460" i="45" s="1"/>
  <c r="D2463" i="45" s="1"/>
  <c r="D2464" i="45"/>
  <c r="A2668" i="45"/>
  <c r="A2671" i="45" s="1"/>
  <c r="A2674" i="45" s="1"/>
  <c r="A2677" i="45" s="1"/>
  <c r="A2680" i="45" s="1"/>
  <c r="A2683" i="45" s="1"/>
  <c r="E3228" i="45"/>
  <c r="M3228" i="45" s="1"/>
  <c r="P3225" i="45" s="1"/>
  <c r="E3215" i="45"/>
  <c r="M3215" i="45" s="1"/>
  <c r="D3162" i="45"/>
  <c r="G3855" i="45"/>
  <c r="G3856" i="45" s="1"/>
  <c r="G3857" i="45" s="1"/>
  <c r="G3858" i="45" s="1"/>
  <c r="G3859" i="45" s="1"/>
  <c r="A4063" i="45"/>
  <c r="G1715" i="45"/>
  <c r="G1716" i="45" s="1"/>
  <c r="G1717" i="45" s="1"/>
  <c r="G1718" i="45" s="1"/>
  <c r="G1719" i="45" s="1"/>
  <c r="E1975" i="45"/>
  <c r="M1975" i="45" s="1"/>
  <c r="A1888" i="45"/>
  <c r="A1891" i="45" s="1"/>
  <c r="A1894" i="45" s="1"/>
  <c r="A1897" i="45" s="1"/>
  <c r="A1900" i="45" s="1"/>
  <c r="A1903" i="45" s="1"/>
  <c r="B1870" i="45"/>
  <c r="B1873" i="45" s="1"/>
  <c r="B1876" i="45" s="1"/>
  <c r="B1879" i="45" s="1"/>
  <c r="B1882" i="45" s="1"/>
  <c r="B1848" i="45"/>
  <c r="B1851" i="45" s="1"/>
  <c r="B1854" i="45" s="1"/>
  <c r="B1857" i="45" s="1"/>
  <c r="B1860" i="45" s="1"/>
  <c r="B1863" i="45" s="1"/>
  <c r="A2570" i="45"/>
  <c r="A2573" i="45" s="1"/>
  <c r="A2576" i="45" s="1"/>
  <c r="A2579" i="45" s="1"/>
  <c r="E2870" i="45"/>
  <c r="M2870" i="45" s="1"/>
  <c r="B2808" i="45"/>
  <c r="B2811" i="45" s="1"/>
  <c r="B2814" i="45" s="1"/>
  <c r="B2817" i="45" s="1"/>
  <c r="B2820" i="45" s="1"/>
  <c r="B2823" i="45" s="1"/>
  <c r="B2842" i="45"/>
  <c r="A3050" i="45"/>
  <c r="A3053" i="45" s="1"/>
  <c r="A3056" i="45" s="1"/>
  <c r="A3059" i="45" s="1"/>
  <c r="E2975" i="45"/>
  <c r="M2975" i="45" s="1"/>
  <c r="D2984" i="45"/>
  <c r="E3230" i="45"/>
  <c r="M3230" i="45" s="1"/>
  <c r="E3195" i="45"/>
  <c r="M3195" i="45" s="1"/>
  <c r="D3148" i="45"/>
  <c r="D3151" i="45" s="1"/>
  <c r="D3154" i="45" s="1"/>
  <c r="D3157" i="45" s="1"/>
  <c r="D3160" i="45" s="1"/>
  <c r="D3163" i="45" s="1"/>
  <c r="E3130" i="45"/>
  <c r="M3130" i="45" s="1"/>
  <c r="D3108" i="45"/>
  <c r="D3111" i="45" s="1"/>
  <c r="D3114" i="45" s="1"/>
  <c r="D3117" i="45" s="1"/>
  <c r="D3120" i="45" s="1"/>
  <c r="D3123" i="45" s="1"/>
  <c r="E3375" i="45"/>
  <c r="M3375" i="45" s="1"/>
  <c r="G3335" i="45"/>
  <c r="G3336" i="45" s="1"/>
  <c r="G3337" i="45" s="1"/>
  <c r="G3338" i="45" s="1"/>
  <c r="G3339" i="45" s="1"/>
  <c r="G3295" i="45"/>
  <c r="G3296" i="45" s="1"/>
  <c r="G3297" i="45" s="1"/>
  <c r="G3298" i="45" s="1"/>
  <c r="G3299" i="45" s="1"/>
  <c r="G3255" i="45"/>
  <c r="G3256" i="45" s="1"/>
  <c r="G3257" i="45" s="1"/>
  <c r="G3258" i="45" s="1"/>
  <c r="G3259" i="45" s="1"/>
  <c r="B1808" i="45"/>
  <c r="B1811" i="45" s="1"/>
  <c r="B1814" i="45" s="1"/>
  <c r="B1817" i="45" s="1"/>
  <c r="B1820" i="45" s="1"/>
  <c r="B1823" i="45" s="1"/>
  <c r="G1815" i="45"/>
  <c r="G1816" i="45" s="1"/>
  <c r="G1817" i="45" s="1"/>
  <c r="G1818" i="45" s="1"/>
  <c r="G1819" i="45" s="1"/>
  <c r="A2028" i="45"/>
  <c r="A2031" i="45" s="1"/>
  <c r="A2034" i="45" s="1"/>
  <c r="A2037" i="45" s="1"/>
  <c r="A2040" i="45" s="1"/>
  <c r="A2043" i="45" s="1"/>
  <c r="G3970" i="45"/>
  <c r="G3971" i="45" s="1"/>
  <c r="G3972" i="45" s="1"/>
  <c r="G3973" i="45" s="1"/>
  <c r="G3974" i="45" s="1"/>
  <c r="A3973" i="45"/>
  <c r="A3976" i="45" s="1"/>
  <c r="A3979" i="45" s="1"/>
  <c r="G3990" i="45"/>
  <c r="G3991" i="45" s="1"/>
  <c r="G3992" i="45" s="1"/>
  <c r="G3993" i="45" s="1"/>
  <c r="G3994" i="45" s="1"/>
  <c r="A3993" i="45"/>
  <c r="A3996" i="45" s="1"/>
  <c r="A3999" i="45" s="1"/>
  <c r="G4010" i="45"/>
  <c r="G4011" i="45" s="1"/>
  <c r="G4012" i="45" s="1"/>
  <c r="G4013" i="45" s="1"/>
  <c r="G4014" i="45" s="1"/>
  <c r="A4013" i="45"/>
  <c r="A4016" i="45" s="1"/>
  <c r="A4019" i="45" s="1"/>
  <c r="E4018" i="45"/>
  <c r="M4018" i="45" s="1"/>
  <c r="B3984" i="45"/>
  <c r="B3982" i="45"/>
  <c r="B4004" i="45"/>
  <c r="B4002" i="45"/>
  <c r="B4024" i="45"/>
  <c r="B4022" i="45"/>
  <c r="E4033" i="45"/>
  <c r="M4033" i="45" s="1"/>
  <c r="B4053" i="45"/>
  <c r="B4056" i="45" s="1"/>
  <c r="B4059" i="45" s="1"/>
  <c r="G4050" i="45"/>
  <c r="G4051" i="45" s="1"/>
  <c r="G4052" i="45" s="1"/>
  <c r="G4053" i="45" s="1"/>
  <c r="G4054" i="45" s="1"/>
  <c r="A4073" i="45"/>
  <c r="A4076" i="45" s="1"/>
  <c r="A4079" i="45" s="1"/>
  <c r="G4070" i="45"/>
  <c r="G4071" i="45" s="1"/>
  <c r="G4072" i="45" s="1"/>
  <c r="G4073" i="45" s="1"/>
  <c r="G4074" i="45" s="1"/>
  <c r="B4104" i="45"/>
  <c r="B4102" i="45"/>
  <c r="E4131" i="45"/>
  <c r="M4131" i="45" s="1"/>
  <c r="E4093" i="45"/>
  <c r="M4093" i="45" s="1"/>
  <c r="D4124" i="45"/>
  <c r="D4122" i="45"/>
  <c r="B4144" i="45"/>
  <c r="B4142" i="45"/>
  <c r="E3971" i="45"/>
  <c r="M3971" i="45" s="1"/>
  <c r="E3991" i="45"/>
  <c r="M3991" i="45" s="1"/>
  <c r="E4011" i="45"/>
  <c r="M4011" i="45" s="1"/>
  <c r="E4121" i="45"/>
  <c r="M4121" i="45" s="1"/>
  <c r="D3984" i="45"/>
  <c r="D3982" i="45"/>
  <c r="D4004" i="45"/>
  <c r="D4002" i="45"/>
  <c r="D4024" i="45"/>
  <c r="D4022" i="45"/>
  <c r="B4084" i="45"/>
  <c r="B4082" i="45"/>
  <c r="D4064" i="45"/>
  <c r="D4062" i="45"/>
  <c r="E4071" i="45"/>
  <c r="M4071" i="45" s="1"/>
  <c r="G4130" i="45"/>
  <c r="G4131" i="45" s="1"/>
  <c r="G4132" i="45" s="1"/>
  <c r="G4133" i="45" s="1"/>
  <c r="G4134" i="45" s="1"/>
  <c r="A4133" i="45"/>
  <c r="A4136" i="45" s="1"/>
  <c r="A4139" i="45" s="1"/>
  <c r="E4138" i="45"/>
  <c r="M4138" i="45" s="1"/>
  <c r="A4103" i="45"/>
  <c r="G4100" i="45"/>
  <c r="G4101" i="45" s="1"/>
  <c r="G4102" i="45" s="1"/>
  <c r="G4103" i="45" s="1"/>
  <c r="G4104" i="45" s="1"/>
  <c r="G3980" i="45"/>
  <c r="G3981" i="45" s="1"/>
  <c r="G3982" i="45" s="1"/>
  <c r="G3983" i="45" s="1"/>
  <c r="G3984" i="45" s="1"/>
  <c r="A3983" i="45"/>
  <c r="E3978" i="45"/>
  <c r="M3978" i="45" s="1"/>
  <c r="G4000" i="45"/>
  <c r="G4001" i="45" s="1"/>
  <c r="G4002" i="45" s="1"/>
  <c r="G4003" i="45" s="1"/>
  <c r="G4004" i="45" s="1"/>
  <c r="A4003" i="45"/>
  <c r="E3998" i="45"/>
  <c r="M3998" i="45" s="1"/>
  <c r="A4023" i="45"/>
  <c r="G4020" i="45"/>
  <c r="G4021" i="45" s="1"/>
  <c r="G4022" i="45" s="1"/>
  <c r="G4023" i="45" s="1"/>
  <c r="G4024" i="45" s="1"/>
  <c r="E4031" i="45"/>
  <c r="M4031" i="45" s="1"/>
  <c r="A4083" i="45"/>
  <c r="G4080" i="45"/>
  <c r="G4081" i="45" s="1"/>
  <c r="G4082" i="45" s="1"/>
  <c r="G4083" i="45" s="1"/>
  <c r="G4084" i="45" s="1"/>
  <c r="E4133" i="45"/>
  <c r="M4133" i="45" s="1"/>
  <c r="E4091" i="45"/>
  <c r="M4091" i="45" s="1"/>
  <c r="E3973" i="45"/>
  <c r="M3973" i="45" s="1"/>
  <c r="E3993" i="45"/>
  <c r="M3993" i="45" s="1"/>
  <c r="E4013" i="45"/>
  <c r="M4013" i="45" s="1"/>
  <c r="G4120" i="45"/>
  <c r="G4121" i="45" s="1"/>
  <c r="G4122" i="45" s="1"/>
  <c r="G4123" i="45" s="1"/>
  <c r="G4124" i="45" s="1"/>
  <c r="E4073" i="45"/>
  <c r="M4073" i="45" s="1"/>
  <c r="G4140" i="45"/>
  <c r="G4141" i="45" s="1"/>
  <c r="G4142" i="45" s="1"/>
  <c r="G4143" i="45" s="1"/>
  <c r="G4144" i="45" s="1"/>
  <c r="A4143" i="45"/>
  <c r="A4093" i="45"/>
  <c r="A4096" i="45" s="1"/>
  <c r="A4099" i="45" s="1"/>
  <c r="G4090" i="45"/>
  <c r="G4091" i="45" s="1"/>
  <c r="G4092" i="45" s="1"/>
  <c r="G4093" i="45" s="1"/>
  <c r="G4094" i="45" s="1"/>
  <c r="B4113" i="45"/>
  <c r="B4116" i="45" s="1"/>
  <c r="B4119" i="45" s="1"/>
  <c r="G4110" i="45"/>
  <c r="G4111" i="45" s="1"/>
  <c r="G4112" i="45" s="1"/>
  <c r="G4113" i="45" s="1"/>
  <c r="G4114" i="45" s="1"/>
  <c r="D4144" i="45"/>
  <c r="D4142" i="45"/>
  <c r="G2455" i="45"/>
  <c r="G2456" i="45" s="1"/>
  <c r="G2457" i="45" s="1"/>
  <c r="G2458" i="45" s="1"/>
  <c r="G2459" i="45" s="1"/>
  <c r="G2935" i="45"/>
  <c r="G2936" i="45" s="1"/>
  <c r="G2937" i="45" s="1"/>
  <c r="G2938" i="45" s="1"/>
  <c r="G2939" i="45" s="1"/>
  <c r="E3355" i="45"/>
  <c r="M3355" i="45" s="1"/>
  <c r="E3335" i="45"/>
  <c r="M3335" i="45" s="1"/>
  <c r="E2115" i="45"/>
  <c r="M2115" i="45" s="1"/>
  <c r="D2228" i="45"/>
  <c r="D2231" i="45" s="1"/>
  <c r="D2234" i="45" s="1"/>
  <c r="D2237" i="45" s="1"/>
  <c r="D2240" i="45" s="1"/>
  <c r="D2243" i="45" s="1"/>
  <c r="E3410" i="45"/>
  <c r="M3410" i="45" s="1"/>
  <c r="D3348" i="45"/>
  <c r="D3351" i="45" s="1"/>
  <c r="D3354" i="45" s="1"/>
  <c r="D3357" i="45" s="1"/>
  <c r="D3360" i="45" s="1"/>
  <c r="D3363" i="45" s="1"/>
  <c r="B3328" i="45"/>
  <c r="B3331" i="45" s="1"/>
  <c r="B3334" i="45" s="1"/>
  <c r="B3337" i="45" s="1"/>
  <c r="B3340" i="45" s="1"/>
  <c r="B3343" i="45" s="1"/>
  <c r="B3268" i="45"/>
  <c r="B3271" i="45" s="1"/>
  <c r="B3274" i="45" s="1"/>
  <c r="B3277" i="45" s="1"/>
  <c r="B3280" i="45" s="1"/>
  <c r="B3283" i="45" s="1"/>
  <c r="B1628" i="45"/>
  <c r="B1631" i="45" s="1"/>
  <c r="B1634" i="45" s="1"/>
  <c r="B1637" i="45" s="1"/>
  <c r="B1640" i="45" s="1"/>
  <c r="B1643" i="45" s="1"/>
  <c r="G1675" i="45"/>
  <c r="G1676" i="45" s="1"/>
  <c r="G1677" i="45" s="1"/>
  <c r="G1678" i="45" s="1"/>
  <c r="G1679" i="45" s="1"/>
  <c r="B1662" i="45"/>
  <c r="B1644" i="45"/>
  <c r="A1968" i="45"/>
  <c r="A1971" i="45" s="1"/>
  <c r="A1974" i="45" s="1"/>
  <c r="A1977" i="45" s="1"/>
  <c r="A1980" i="45" s="1"/>
  <c r="A1983" i="45" s="1"/>
  <c r="A1950" i="45"/>
  <c r="A1953" i="45" s="1"/>
  <c r="A1956" i="45" s="1"/>
  <c r="A1959" i="45" s="1"/>
  <c r="E2135" i="45"/>
  <c r="M2135" i="45" s="1"/>
  <c r="G3235" i="45"/>
  <c r="G3236" i="45" s="1"/>
  <c r="G3237" i="45" s="1"/>
  <c r="G3238" i="45" s="1"/>
  <c r="G3239" i="45" s="1"/>
  <c r="G3395" i="45"/>
  <c r="G3396" i="45" s="1"/>
  <c r="G3397" i="45" s="1"/>
  <c r="G3398" i="45" s="1"/>
  <c r="G3399" i="45" s="1"/>
  <c r="D3950" i="45"/>
  <c r="D3953" i="45" s="1"/>
  <c r="D3956" i="45" s="1"/>
  <c r="D3959" i="45" s="1"/>
  <c r="D3948" i="45"/>
  <c r="D3951" i="45" s="1"/>
  <c r="D3954" i="45" s="1"/>
  <c r="D3957" i="45" s="1"/>
  <c r="D3960" i="45" s="1"/>
  <c r="D3963" i="45" s="1"/>
  <c r="A3930" i="45"/>
  <c r="A3928" i="45"/>
  <c r="A3931" i="45" s="1"/>
  <c r="A3934" i="45" s="1"/>
  <c r="A3937" i="45" s="1"/>
  <c r="A3940" i="45" s="1"/>
  <c r="D3930" i="45"/>
  <c r="D3933" i="45" s="1"/>
  <c r="D3936" i="45" s="1"/>
  <c r="D3939" i="45" s="1"/>
  <c r="D3928" i="45"/>
  <c r="D3931" i="45" s="1"/>
  <c r="D3934" i="45" s="1"/>
  <c r="D3937" i="45" s="1"/>
  <c r="D3940" i="45" s="1"/>
  <c r="D3943" i="45" s="1"/>
  <c r="A3910" i="45"/>
  <c r="A3908" i="45"/>
  <c r="A3911" i="45" s="1"/>
  <c r="A3914" i="45" s="1"/>
  <c r="A3917" i="45" s="1"/>
  <c r="A3920" i="45" s="1"/>
  <c r="B3910" i="45"/>
  <c r="B3913" i="45" s="1"/>
  <c r="B3916" i="45" s="1"/>
  <c r="B3919" i="45" s="1"/>
  <c r="B3908" i="45"/>
  <c r="B3911" i="45" s="1"/>
  <c r="B3914" i="45" s="1"/>
  <c r="B3917" i="45" s="1"/>
  <c r="B3920" i="45" s="1"/>
  <c r="B3923" i="45" s="1"/>
  <c r="D3890" i="45"/>
  <c r="D3893" i="45" s="1"/>
  <c r="D3896" i="45" s="1"/>
  <c r="D3899" i="45" s="1"/>
  <c r="D3888" i="45"/>
  <c r="D3891" i="45" s="1"/>
  <c r="D3894" i="45" s="1"/>
  <c r="D3897" i="45" s="1"/>
  <c r="D3900" i="45" s="1"/>
  <c r="D3903" i="45" s="1"/>
  <c r="E3870" i="45"/>
  <c r="M3870" i="45" s="1"/>
  <c r="E3868" i="45"/>
  <c r="D3910" i="45"/>
  <c r="D3913" i="45" s="1"/>
  <c r="D3916" i="45" s="1"/>
  <c r="D3919" i="45" s="1"/>
  <c r="D3908" i="45"/>
  <c r="D3911" i="45" s="1"/>
  <c r="D3914" i="45" s="1"/>
  <c r="D3917" i="45" s="1"/>
  <c r="D3920" i="45" s="1"/>
  <c r="D3923" i="45" s="1"/>
  <c r="A3890" i="45"/>
  <c r="A3888" i="45"/>
  <c r="A3891" i="45" s="1"/>
  <c r="A3894" i="45" s="1"/>
  <c r="A3897" i="45" s="1"/>
  <c r="A3900" i="45" s="1"/>
  <c r="B3870" i="45"/>
  <c r="B3873" i="45" s="1"/>
  <c r="B3876" i="45" s="1"/>
  <c r="B3879" i="45" s="1"/>
  <c r="B3868" i="45"/>
  <c r="B3871" i="45" s="1"/>
  <c r="B3874" i="45" s="1"/>
  <c r="B3877" i="45" s="1"/>
  <c r="B3880" i="45" s="1"/>
  <c r="B3883" i="45" s="1"/>
  <c r="G3860" i="45"/>
  <c r="G3861" i="45" s="1"/>
  <c r="G3862" i="45" s="1"/>
  <c r="G3863" i="45" s="1"/>
  <c r="G3864" i="45" s="1"/>
  <c r="A3863" i="45"/>
  <c r="B3830" i="45"/>
  <c r="B3833" i="45" s="1"/>
  <c r="B3836" i="45" s="1"/>
  <c r="B3839" i="45" s="1"/>
  <c r="B3828" i="45"/>
  <c r="B3831" i="45" s="1"/>
  <c r="B3834" i="45" s="1"/>
  <c r="B3837" i="45" s="1"/>
  <c r="B3840" i="45" s="1"/>
  <c r="B3843" i="45" s="1"/>
  <c r="B3810" i="45"/>
  <c r="B3813" i="45" s="1"/>
  <c r="B3816" i="45" s="1"/>
  <c r="B3819" i="45" s="1"/>
  <c r="B3808" i="45"/>
  <c r="B3811" i="45" s="1"/>
  <c r="B3814" i="45" s="1"/>
  <c r="B3817" i="45" s="1"/>
  <c r="B3820" i="45" s="1"/>
  <c r="B3823" i="45" s="1"/>
  <c r="B3790" i="45"/>
  <c r="B3793" i="45" s="1"/>
  <c r="B3796" i="45" s="1"/>
  <c r="B3799" i="45" s="1"/>
  <c r="B3788" i="45"/>
  <c r="B3791" i="45" s="1"/>
  <c r="B3794" i="45" s="1"/>
  <c r="B3797" i="45" s="1"/>
  <c r="B3800" i="45" s="1"/>
  <c r="B3803" i="45" s="1"/>
  <c r="A3830" i="45"/>
  <c r="A3828" i="45"/>
  <c r="A3831" i="45" s="1"/>
  <c r="A3834" i="45" s="1"/>
  <c r="A3837" i="45" s="1"/>
  <c r="A3840" i="45" s="1"/>
  <c r="E3810" i="45"/>
  <c r="E3808" i="45"/>
  <c r="A3790" i="45"/>
  <c r="A3788" i="45"/>
  <c r="A3791" i="45" s="1"/>
  <c r="A3794" i="45" s="1"/>
  <c r="A3797" i="45" s="1"/>
  <c r="A3800" i="45" s="1"/>
  <c r="B3950" i="45"/>
  <c r="B3953" i="45" s="1"/>
  <c r="B3956" i="45" s="1"/>
  <c r="B3959" i="45" s="1"/>
  <c r="B3948" i="45"/>
  <c r="B3951" i="45" s="1"/>
  <c r="B3954" i="45" s="1"/>
  <c r="B3957" i="45" s="1"/>
  <c r="B3960" i="45" s="1"/>
  <c r="E3930" i="45"/>
  <c r="M3930" i="45" s="1"/>
  <c r="E3928" i="45"/>
  <c r="B3930" i="45"/>
  <c r="B3933" i="45" s="1"/>
  <c r="B3936" i="45" s="1"/>
  <c r="B3939" i="45" s="1"/>
  <c r="B3928" i="45"/>
  <c r="B3931" i="45" s="1"/>
  <c r="B3934" i="45" s="1"/>
  <c r="B3937" i="45" s="1"/>
  <c r="B3940" i="45" s="1"/>
  <c r="B3943" i="45" s="1"/>
  <c r="E3910" i="45"/>
  <c r="M3910" i="45" s="1"/>
  <c r="E3908" i="45"/>
  <c r="B3890" i="45"/>
  <c r="B3893" i="45" s="1"/>
  <c r="B3896" i="45" s="1"/>
  <c r="B3899" i="45" s="1"/>
  <c r="B3888" i="45"/>
  <c r="B3891" i="45" s="1"/>
  <c r="B3894" i="45" s="1"/>
  <c r="B3897" i="45" s="1"/>
  <c r="B3900" i="45" s="1"/>
  <c r="B3903" i="45" s="1"/>
  <c r="A3870" i="45"/>
  <c r="A3868" i="45"/>
  <c r="A3871" i="45" s="1"/>
  <c r="A3874" i="45" s="1"/>
  <c r="A3877" i="45" s="1"/>
  <c r="A3880" i="45" s="1"/>
  <c r="E3890" i="45"/>
  <c r="M3890" i="45" s="1"/>
  <c r="E3888" i="45"/>
  <c r="D3870" i="45"/>
  <c r="D3873" i="45" s="1"/>
  <c r="D3876" i="45" s="1"/>
  <c r="D3879" i="45" s="1"/>
  <c r="D3868" i="45"/>
  <c r="D3871" i="45" s="1"/>
  <c r="D3874" i="45" s="1"/>
  <c r="D3877" i="45" s="1"/>
  <c r="D3880" i="45" s="1"/>
  <c r="D3883" i="45" s="1"/>
  <c r="E3850" i="45"/>
  <c r="M3850" i="45" s="1"/>
  <c r="E3848" i="45"/>
  <c r="D3830" i="45"/>
  <c r="D3833" i="45" s="1"/>
  <c r="D3836" i="45" s="1"/>
  <c r="D3839" i="45" s="1"/>
  <c r="D3828" i="45"/>
  <c r="D3831" i="45" s="1"/>
  <c r="D3834" i="45" s="1"/>
  <c r="D3837" i="45" s="1"/>
  <c r="D3840" i="45" s="1"/>
  <c r="D3843" i="45" s="1"/>
  <c r="D3810" i="45"/>
  <c r="D3813" i="45" s="1"/>
  <c r="D3816" i="45" s="1"/>
  <c r="D3819" i="45" s="1"/>
  <c r="D3808" i="45"/>
  <c r="D3811" i="45" s="1"/>
  <c r="D3814" i="45" s="1"/>
  <c r="D3817" i="45" s="1"/>
  <c r="D3820" i="45" s="1"/>
  <c r="D3823" i="45" s="1"/>
  <c r="D3790" i="45"/>
  <c r="D3793" i="45" s="1"/>
  <c r="D3796" i="45" s="1"/>
  <c r="D3799" i="45" s="1"/>
  <c r="D3788" i="45"/>
  <c r="D3791" i="45" s="1"/>
  <c r="D3794" i="45" s="1"/>
  <c r="D3797" i="45" s="1"/>
  <c r="D3800" i="45" s="1"/>
  <c r="D3803" i="45" s="1"/>
  <c r="E3830" i="45"/>
  <c r="E3828" i="45"/>
  <c r="A3810" i="45"/>
  <c r="A3808" i="45"/>
  <c r="A3811" i="45" s="1"/>
  <c r="A3814" i="45" s="1"/>
  <c r="A3817" i="45" s="1"/>
  <c r="A3820" i="45" s="1"/>
  <c r="E3790" i="45"/>
  <c r="E3788" i="45"/>
  <c r="D3864" i="45"/>
  <c r="D3862" i="45"/>
  <c r="G3035" i="45"/>
  <c r="G3036" i="45" s="1"/>
  <c r="G3037" i="45" s="1"/>
  <c r="G3038" i="45" s="1"/>
  <c r="G3039" i="45" s="1"/>
  <c r="E3015" i="45"/>
  <c r="M3015" i="45" s="1"/>
  <c r="E2948" i="45"/>
  <c r="B3770" i="45"/>
  <c r="B3773" i="45" s="1"/>
  <c r="B3776" i="45" s="1"/>
  <c r="B3779" i="45" s="1"/>
  <c r="B3768" i="45"/>
  <c r="B3771" i="45" s="1"/>
  <c r="B3774" i="45" s="1"/>
  <c r="B3777" i="45" s="1"/>
  <c r="B3780" i="45" s="1"/>
  <c r="B3783" i="45" s="1"/>
  <c r="A3768" i="45"/>
  <c r="A3771" i="45" s="1"/>
  <c r="A3774" i="45" s="1"/>
  <c r="A3777" i="45" s="1"/>
  <c r="A3780" i="45" s="1"/>
  <c r="A3770" i="45"/>
  <c r="B3750" i="45"/>
  <c r="B3753" i="45" s="1"/>
  <c r="B3756" i="45" s="1"/>
  <c r="B3759" i="45" s="1"/>
  <c r="B3748" i="45"/>
  <c r="B3751" i="45" s="1"/>
  <c r="B3754" i="45" s="1"/>
  <c r="B3757" i="45" s="1"/>
  <c r="B3760" i="45" s="1"/>
  <c r="B3763" i="45" s="1"/>
  <c r="A3730" i="45"/>
  <c r="A3728" i="45"/>
  <c r="A3731" i="45" s="1"/>
  <c r="A3734" i="45" s="1"/>
  <c r="A3737" i="45" s="1"/>
  <c r="A3740" i="45" s="1"/>
  <c r="E3755" i="45"/>
  <c r="M3755" i="45" s="1"/>
  <c r="A3750" i="45"/>
  <c r="A3748" i="45"/>
  <c r="A3751" i="45" s="1"/>
  <c r="A3754" i="45" s="1"/>
  <c r="A3757" i="45" s="1"/>
  <c r="A3760" i="45" s="1"/>
  <c r="B3730" i="45"/>
  <c r="B3733" i="45" s="1"/>
  <c r="B3736" i="45" s="1"/>
  <c r="B3739" i="45" s="1"/>
  <c r="B3728" i="45"/>
  <c r="B3731" i="45" s="1"/>
  <c r="B3734" i="45" s="1"/>
  <c r="B3737" i="45" s="1"/>
  <c r="B3740" i="45" s="1"/>
  <c r="B3743" i="45" s="1"/>
  <c r="E3708" i="45"/>
  <c r="E3710" i="45"/>
  <c r="M3710" i="45" s="1"/>
  <c r="D3690" i="45"/>
  <c r="D3693" i="45" s="1"/>
  <c r="D3696" i="45" s="1"/>
  <c r="D3699" i="45" s="1"/>
  <c r="D3688" i="45"/>
  <c r="D3691" i="45" s="1"/>
  <c r="D3694" i="45" s="1"/>
  <c r="D3697" i="45" s="1"/>
  <c r="D3700" i="45" s="1"/>
  <c r="D3703" i="45" s="1"/>
  <c r="A3683" i="45"/>
  <c r="E3650" i="45"/>
  <c r="E3648" i="45"/>
  <c r="B3710" i="45"/>
  <c r="B3713" i="45" s="1"/>
  <c r="B3716" i="45" s="1"/>
  <c r="B3719" i="45" s="1"/>
  <c r="B3708" i="45"/>
  <c r="B3711" i="45" s="1"/>
  <c r="B3714" i="45" s="1"/>
  <c r="B3717" i="45" s="1"/>
  <c r="B3720" i="45" s="1"/>
  <c r="B3723" i="45" s="1"/>
  <c r="E3690" i="45"/>
  <c r="M3690" i="45" s="1"/>
  <c r="E3688" i="45"/>
  <c r="D3670" i="45"/>
  <c r="D3673" i="45" s="1"/>
  <c r="D3676" i="45" s="1"/>
  <c r="D3679" i="45" s="1"/>
  <c r="D3668" i="45"/>
  <c r="D3671" i="45" s="1"/>
  <c r="D3674" i="45" s="1"/>
  <c r="D3677" i="45" s="1"/>
  <c r="D3680" i="45" s="1"/>
  <c r="D3683" i="45" s="1"/>
  <c r="A3684" i="45"/>
  <c r="A3682" i="45"/>
  <c r="D3650" i="45"/>
  <c r="D3653" i="45" s="1"/>
  <c r="D3656" i="45" s="1"/>
  <c r="D3659" i="45" s="1"/>
  <c r="D3648" i="45"/>
  <c r="D3651" i="45" s="1"/>
  <c r="D3654" i="45" s="1"/>
  <c r="D3657" i="45" s="1"/>
  <c r="D3660" i="45" s="1"/>
  <c r="D3663" i="45" s="1"/>
  <c r="C3647" i="45"/>
  <c r="C3648" i="45" s="1"/>
  <c r="C3649" i="45" s="1"/>
  <c r="C3650" i="45" s="1"/>
  <c r="C3651" i="45" s="1"/>
  <c r="C3652" i="45" s="1"/>
  <c r="A3630" i="45"/>
  <c r="A3628" i="45"/>
  <c r="A3631" i="45" s="1"/>
  <c r="A3634" i="45" s="1"/>
  <c r="A3637" i="45" s="1"/>
  <c r="A3640" i="45" s="1"/>
  <c r="E3610" i="45"/>
  <c r="M3610" i="45" s="1"/>
  <c r="E3608" i="45"/>
  <c r="M3608" i="45" s="1"/>
  <c r="A3590" i="45"/>
  <c r="A3588" i="45"/>
  <c r="A3591" i="45" s="1"/>
  <c r="A3594" i="45" s="1"/>
  <c r="A3597" i="45" s="1"/>
  <c r="A3600" i="45" s="1"/>
  <c r="B3570" i="45"/>
  <c r="B3573" i="45" s="1"/>
  <c r="B3576" i="45" s="1"/>
  <c r="B3579" i="45" s="1"/>
  <c r="B3568" i="45"/>
  <c r="B3571" i="45" s="1"/>
  <c r="B3574" i="45" s="1"/>
  <c r="B3577" i="45" s="1"/>
  <c r="B3580" i="45" s="1"/>
  <c r="B3583" i="45" s="1"/>
  <c r="B3550" i="45"/>
  <c r="B3553" i="45" s="1"/>
  <c r="B3556" i="45" s="1"/>
  <c r="B3559" i="45" s="1"/>
  <c r="B3548" i="45"/>
  <c r="B3551" i="45" s="1"/>
  <c r="B3554" i="45" s="1"/>
  <c r="B3557" i="45" s="1"/>
  <c r="B3560" i="45" s="1"/>
  <c r="B3563" i="45" s="1"/>
  <c r="A3530" i="45"/>
  <c r="A3528" i="45"/>
  <c r="A3531" i="45" s="1"/>
  <c r="A3534" i="45" s="1"/>
  <c r="A3537" i="45" s="1"/>
  <c r="A3540" i="45" s="1"/>
  <c r="B3510" i="45"/>
  <c r="B3513" i="45" s="1"/>
  <c r="B3516" i="45" s="1"/>
  <c r="B3519" i="45" s="1"/>
  <c r="B3508" i="45"/>
  <c r="B3511" i="45" s="1"/>
  <c r="B3514" i="45" s="1"/>
  <c r="B3517" i="45" s="1"/>
  <c r="B3520" i="45" s="1"/>
  <c r="B3523" i="45" s="1"/>
  <c r="E3638" i="45"/>
  <c r="B3610" i="45"/>
  <c r="B3613" i="45" s="1"/>
  <c r="B3616" i="45" s="1"/>
  <c r="B3619" i="45" s="1"/>
  <c r="B3608" i="45"/>
  <c r="B3611" i="45" s="1"/>
  <c r="B3614" i="45" s="1"/>
  <c r="B3617" i="45" s="1"/>
  <c r="B3620" i="45" s="1"/>
  <c r="B3623" i="45" s="1"/>
  <c r="D3590" i="45"/>
  <c r="D3593" i="45" s="1"/>
  <c r="D3596" i="45" s="1"/>
  <c r="D3599" i="45" s="1"/>
  <c r="D3588" i="45"/>
  <c r="D3591" i="45" s="1"/>
  <c r="D3594" i="45" s="1"/>
  <c r="D3597" i="45" s="1"/>
  <c r="D3600" i="45" s="1"/>
  <c r="D3603" i="45" s="1"/>
  <c r="A3570" i="45"/>
  <c r="A3568" i="45"/>
  <c r="A3571" i="45" s="1"/>
  <c r="A3574" i="45" s="1"/>
  <c r="A3577" i="45" s="1"/>
  <c r="A3580" i="45" s="1"/>
  <c r="E3555" i="45"/>
  <c r="M3555" i="45" s="1"/>
  <c r="A3550" i="45"/>
  <c r="A3548" i="45"/>
  <c r="A3551" i="45" s="1"/>
  <c r="A3554" i="45" s="1"/>
  <c r="A3557" i="45" s="1"/>
  <c r="A3560" i="45" s="1"/>
  <c r="B3530" i="45"/>
  <c r="B3533" i="45" s="1"/>
  <c r="B3536" i="45" s="1"/>
  <c r="B3539" i="45" s="1"/>
  <c r="B3528" i="45"/>
  <c r="B3531" i="45" s="1"/>
  <c r="B3534" i="45" s="1"/>
  <c r="B3537" i="45" s="1"/>
  <c r="B3540" i="45" s="1"/>
  <c r="B3543" i="45" s="1"/>
  <c r="E3510" i="45"/>
  <c r="M3510" i="45" s="1"/>
  <c r="E3508" i="45"/>
  <c r="D3490" i="45"/>
  <c r="D3493" i="45" s="1"/>
  <c r="D3496" i="45" s="1"/>
  <c r="D3499" i="45" s="1"/>
  <c r="D3488" i="45"/>
  <c r="D3491" i="45" s="1"/>
  <c r="D3494" i="45" s="1"/>
  <c r="D3497" i="45" s="1"/>
  <c r="D3500" i="45" s="1"/>
  <c r="D3503" i="45" s="1"/>
  <c r="D3470" i="45"/>
  <c r="D3473" i="45" s="1"/>
  <c r="D3476" i="45" s="1"/>
  <c r="D3479" i="45" s="1"/>
  <c r="D3468" i="45"/>
  <c r="D3471" i="45" s="1"/>
  <c r="D3474" i="45" s="1"/>
  <c r="D3477" i="45" s="1"/>
  <c r="D3480" i="45" s="1"/>
  <c r="D3483" i="45" s="1"/>
  <c r="D3450" i="45"/>
  <c r="D3453" i="45" s="1"/>
  <c r="D3456" i="45" s="1"/>
  <c r="D3459" i="45" s="1"/>
  <c r="D3448" i="45"/>
  <c r="D3451" i="45" s="1"/>
  <c r="D3454" i="45" s="1"/>
  <c r="D3457" i="45" s="1"/>
  <c r="D3460" i="45" s="1"/>
  <c r="D3463" i="45" s="1"/>
  <c r="D3430" i="45"/>
  <c r="D3433" i="45" s="1"/>
  <c r="D3436" i="45" s="1"/>
  <c r="D3439" i="45" s="1"/>
  <c r="D3428" i="45"/>
  <c r="D3431" i="45" s="1"/>
  <c r="D3434" i="45" s="1"/>
  <c r="D3437" i="45" s="1"/>
  <c r="D3440" i="45" s="1"/>
  <c r="D3443" i="45" s="1"/>
  <c r="E3495" i="45"/>
  <c r="M3495" i="45" s="1"/>
  <c r="E3490" i="45"/>
  <c r="M3490" i="45" s="1"/>
  <c r="E3488" i="45"/>
  <c r="E3470" i="45"/>
  <c r="M3470" i="45" s="1"/>
  <c r="E3468" i="45"/>
  <c r="M3468" i="45" s="1"/>
  <c r="E3450" i="45"/>
  <c r="M3450" i="45" s="1"/>
  <c r="E3448" i="45"/>
  <c r="M3448" i="45" s="1"/>
  <c r="E3430" i="45"/>
  <c r="M3430" i="45" s="1"/>
  <c r="E3428" i="45"/>
  <c r="M3428" i="45" s="1"/>
  <c r="A3504" i="45"/>
  <c r="A3502" i="45"/>
  <c r="D3770" i="45"/>
  <c r="D3773" i="45" s="1"/>
  <c r="D3776" i="45" s="1"/>
  <c r="D3779" i="45" s="1"/>
  <c r="D3768" i="45"/>
  <c r="D3771" i="45" s="1"/>
  <c r="D3774" i="45" s="1"/>
  <c r="D3777" i="45" s="1"/>
  <c r="D3780" i="45" s="1"/>
  <c r="D3783" i="45" s="1"/>
  <c r="E3775" i="45"/>
  <c r="M3775" i="45" s="1"/>
  <c r="D3750" i="45"/>
  <c r="D3753" i="45" s="1"/>
  <c r="D3756" i="45" s="1"/>
  <c r="D3759" i="45" s="1"/>
  <c r="D3748" i="45"/>
  <c r="D3751" i="45" s="1"/>
  <c r="D3754" i="45" s="1"/>
  <c r="D3757" i="45" s="1"/>
  <c r="D3760" i="45" s="1"/>
  <c r="D3763" i="45" s="1"/>
  <c r="E3730" i="45"/>
  <c r="M3730" i="45" s="1"/>
  <c r="E3728" i="45"/>
  <c r="E3750" i="45"/>
  <c r="M3750" i="45" s="1"/>
  <c r="E3748" i="45"/>
  <c r="D3730" i="45"/>
  <c r="D3733" i="45" s="1"/>
  <c r="D3736" i="45" s="1"/>
  <c r="D3739" i="45" s="1"/>
  <c r="D3728" i="45"/>
  <c r="D3731" i="45" s="1"/>
  <c r="D3734" i="45" s="1"/>
  <c r="D3737" i="45" s="1"/>
  <c r="D3740" i="45" s="1"/>
  <c r="D3743" i="45" s="1"/>
  <c r="A3708" i="45"/>
  <c r="A3711" i="45" s="1"/>
  <c r="A3714" i="45" s="1"/>
  <c r="A3717" i="45" s="1"/>
  <c r="A3720" i="45" s="1"/>
  <c r="A3710" i="45"/>
  <c r="B3690" i="45"/>
  <c r="B3693" i="45" s="1"/>
  <c r="B3696" i="45" s="1"/>
  <c r="B3699" i="45" s="1"/>
  <c r="B3688" i="45"/>
  <c r="B3691" i="45" s="1"/>
  <c r="B3694" i="45" s="1"/>
  <c r="B3697" i="45" s="1"/>
  <c r="B3700" i="45" s="1"/>
  <c r="B3703" i="45" s="1"/>
  <c r="E3670" i="45"/>
  <c r="M3670" i="45" s="1"/>
  <c r="E3668" i="45"/>
  <c r="A3650" i="45"/>
  <c r="A3648" i="45"/>
  <c r="A3651" i="45" s="1"/>
  <c r="A3654" i="45" s="1"/>
  <c r="A3657" i="45" s="1"/>
  <c r="A3660" i="45" s="1"/>
  <c r="D3710" i="45"/>
  <c r="D3713" i="45" s="1"/>
  <c r="D3716" i="45" s="1"/>
  <c r="D3719" i="45" s="1"/>
  <c r="D3708" i="45"/>
  <c r="D3711" i="45" s="1"/>
  <c r="D3714" i="45" s="1"/>
  <c r="D3717" i="45" s="1"/>
  <c r="D3720" i="45" s="1"/>
  <c r="D3723" i="45" s="1"/>
  <c r="E3695" i="45"/>
  <c r="M3695" i="45" s="1"/>
  <c r="A3690" i="45"/>
  <c r="A3688" i="45"/>
  <c r="A3691" i="45" s="1"/>
  <c r="A3694" i="45" s="1"/>
  <c r="A3697" i="45" s="1"/>
  <c r="A3700" i="45" s="1"/>
  <c r="B3670" i="45"/>
  <c r="B3668" i="45"/>
  <c r="B3671" i="45" s="1"/>
  <c r="B3674" i="45" s="1"/>
  <c r="B3677" i="45" s="1"/>
  <c r="B3680" i="45" s="1"/>
  <c r="B3683" i="45" s="1"/>
  <c r="E3630" i="45"/>
  <c r="M3630" i="45" s="1"/>
  <c r="E3628" i="45"/>
  <c r="A3610" i="45"/>
  <c r="A3608" i="45"/>
  <c r="A3611" i="45" s="1"/>
  <c r="A3614" i="45" s="1"/>
  <c r="A3617" i="45" s="1"/>
  <c r="A3620" i="45" s="1"/>
  <c r="E3590" i="45"/>
  <c r="M3590" i="45" s="1"/>
  <c r="E3588" i="45"/>
  <c r="D3570" i="45"/>
  <c r="D3573" i="45" s="1"/>
  <c r="D3576" i="45" s="1"/>
  <c r="D3579" i="45" s="1"/>
  <c r="D3568" i="45"/>
  <c r="D3571" i="45" s="1"/>
  <c r="D3574" i="45" s="1"/>
  <c r="D3577" i="45" s="1"/>
  <c r="D3580" i="45" s="1"/>
  <c r="D3583" i="45" s="1"/>
  <c r="D3630" i="45"/>
  <c r="D3633" i="45" s="1"/>
  <c r="D3636" i="45" s="1"/>
  <c r="D3639" i="45" s="1"/>
  <c r="D3628" i="45"/>
  <c r="D3631" i="45" s="1"/>
  <c r="D3634" i="45" s="1"/>
  <c r="D3637" i="45" s="1"/>
  <c r="D3640" i="45" s="1"/>
  <c r="D3643" i="45" s="1"/>
  <c r="G3635" i="45"/>
  <c r="G3636" i="45" s="1"/>
  <c r="G3637" i="45" s="1"/>
  <c r="G3638" i="45" s="1"/>
  <c r="G3639" i="45" s="1"/>
  <c r="B3590" i="45"/>
  <c r="B3593" i="45" s="1"/>
  <c r="B3596" i="45" s="1"/>
  <c r="B3599" i="45" s="1"/>
  <c r="B3588" i="45"/>
  <c r="B3591" i="45" s="1"/>
  <c r="B3594" i="45" s="1"/>
  <c r="B3597" i="45" s="1"/>
  <c r="B3600" i="45" s="1"/>
  <c r="B3603" i="45" s="1"/>
  <c r="D3550" i="45"/>
  <c r="D3553" i="45" s="1"/>
  <c r="D3556" i="45" s="1"/>
  <c r="D3559" i="45" s="1"/>
  <c r="D3548" i="45"/>
  <c r="D3551" i="45" s="1"/>
  <c r="D3554" i="45" s="1"/>
  <c r="D3557" i="45" s="1"/>
  <c r="D3560" i="45" s="1"/>
  <c r="D3563" i="45" s="1"/>
  <c r="E3530" i="45"/>
  <c r="M3530" i="45" s="1"/>
  <c r="E3528" i="45"/>
  <c r="D3510" i="45"/>
  <c r="D3513" i="45" s="1"/>
  <c r="D3516" i="45" s="1"/>
  <c r="D3519" i="45" s="1"/>
  <c r="D3508" i="45"/>
  <c r="D3511" i="45" s="1"/>
  <c r="D3514" i="45" s="1"/>
  <c r="D3517" i="45" s="1"/>
  <c r="D3520" i="45" s="1"/>
  <c r="D3523" i="45" s="1"/>
  <c r="B3630" i="45"/>
  <c r="B3633" i="45" s="1"/>
  <c r="B3636" i="45" s="1"/>
  <c r="B3639" i="45" s="1"/>
  <c r="B3628" i="45"/>
  <c r="B3631" i="45" s="1"/>
  <c r="B3634" i="45" s="1"/>
  <c r="B3637" i="45" s="1"/>
  <c r="B3640" i="45" s="1"/>
  <c r="B3643" i="45" s="1"/>
  <c r="E3570" i="45"/>
  <c r="M3570" i="45" s="1"/>
  <c r="E3568" i="45"/>
  <c r="E3550" i="45"/>
  <c r="M3550" i="45" s="1"/>
  <c r="E3548" i="45"/>
  <c r="D3530" i="45"/>
  <c r="D3533" i="45" s="1"/>
  <c r="D3536" i="45" s="1"/>
  <c r="D3539" i="45" s="1"/>
  <c r="D3528" i="45"/>
  <c r="D3531" i="45" s="1"/>
  <c r="D3534" i="45" s="1"/>
  <c r="D3537" i="45" s="1"/>
  <c r="D3540" i="45" s="1"/>
  <c r="D3543" i="45" s="1"/>
  <c r="E3515" i="45"/>
  <c r="M3515" i="45" s="1"/>
  <c r="A3510" i="45"/>
  <c r="A3508" i="45"/>
  <c r="A3511" i="45" s="1"/>
  <c r="A3514" i="45" s="1"/>
  <c r="A3517" i="45" s="1"/>
  <c r="A3520" i="45" s="1"/>
  <c r="B3490" i="45"/>
  <c r="B3488" i="45"/>
  <c r="B3491" i="45" s="1"/>
  <c r="B3494" i="45" s="1"/>
  <c r="B3497" i="45" s="1"/>
  <c r="B3500" i="45" s="1"/>
  <c r="B3503" i="45" s="1"/>
  <c r="B3470" i="45"/>
  <c r="B3473" i="45" s="1"/>
  <c r="B3476" i="45" s="1"/>
  <c r="B3479" i="45" s="1"/>
  <c r="B3468" i="45"/>
  <c r="B3471" i="45" s="1"/>
  <c r="B3474" i="45" s="1"/>
  <c r="B3477" i="45" s="1"/>
  <c r="B3480" i="45" s="1"/>
  <c r="B3483" i="45" s="1"/>
  <c r="B3450" i="45"/>
  <c r="B3453" i="45" s="1"/>
  <c r="B3456" i="45" s="1"/>
  <c r="B3459" i="45" s="1"/>
  <c r="B3448" i="45"/>
  <c r="B3451" i="45" s="1"/>
  <c r="B3454" i="45" s="1"/>
  <c r="B3457" i="45" s="1"/>
  <c r="B3460" i="45" s="1"/>
  <c r="B3463" i="45" s="1"/>
  <c r="B3430" i="45"/>
  <c r="B3433" i="45" s="1"/>
  <c r="B3436" i="45" s="1"/>
  <c r="B3439" i="45" s="1"/>
  <c r="B3428" i="45"/>
  <c r="B3431" i="45" s="1"/>
  <c r="B3434" i="45" s="1"/>
  <c r="B3437" i="45" s="1"/>
  <c r="B3440" i="45" s="1"/>
  <c r="B3443" i="45" s="1"/>
  <c r="A3503" i="45"/>
  <c r="E3475" i="45"/>
  <c r="M3475" i="45" s="1"/>
  <c r="A3470" i="45"/>
  <c r="A3468" i="45"/>
  <c r="A3471" i="45" s="1"/>
  <c r="A3474" i="45" s="1"/>
  <c r="A3477" i="45" s="1"/>
  <c r="A3480" i="45" s="1"/>
  <c r="E3455" i="45"/>
  <c r="M3455" i="45" s="1"/>
  <c r="A3450" i="45"/>
  <c r="A3448" i="45"/>
  <c r="A3451" i="45" s="1"/>
  <c r="A3454" i="45" s="1"/>
  <c r="A3457" i="45" s="1"/>
  <c r="A3460" i="45" s="1"/>
  <c r="E3435" i="45"/>
  <c r="M3435" i="45" s="1"/>
  <c r="A3430" i="45"/>
  <c r="A3428" i="45"/>
  <c r="A3431" i="45" s="1"/>
  <c r="A3434" i="45" s="1"/>
  <c r="A3437" i="45" s="1"/>
  <c r="A3440" i="45" s="1"/>
  <c r="B1328" i="45"/>
  <c r="B1331" i="45" s="1"/>
  <c r="B1334" i="45" s="1"/>
  <c r="B1337" i="45" s="1"/>
  <c r="B1340" i="45" s="1"/>
  <c r="B1343" i="45" s="1"/>
  <c r="B1908" i="45"/>
  <c r="B1911" i="45" s="1"/>
  <c r="B1914" i="45" s="1"/>
  <c r="B1917" i="45" s="1"/>
  <c r="B1920" i="45" s="1"/>
  <c r="B1923" i="45" s="1"/>
  <c r="A2128" i="45"/>
  <c r="A2131" i="45" s="1"/>
  <c r="A2134" i="45" s="1"/>
  <c r="A2137" i="45" s="1"/>
  <c r="A2140" i="45" s="1"/>
  <c r="A2143" i="45" s="1"/>
  <c r="B2090" i="45"/>
  <c r="B2093" i="45" s="1"/>
  <c r="B2096" i="45" s="1"/>
  <c r="B2099" i="45" s="1"/>
  <c r="B2102" i="45" s="1"/>
  <c r="G2035" i="45"/>
  <c r="G2036" i="45" s="1"/>
  <c r="G2037" i="45" s="1"/>
  <c r="G2038" i="45" s="1"/>
  <c r="G2039" i="45" s="1"/>
  <c r="D2968" i="45"/>
  <c r="D2971" i="45" s="1"/>
  <c r="D2974" i="45" s="1"/>
  <c r="D2977" i="45" s="1"/>
  <c r="D2980" i="45" s="1"/>
  <c r="D2983" i="45" s="1"/>
  <c r="E2868" i="45"/>
  <c r="A2870" i="45"/>
  <c r="A2873" i="45" s="1"/>
  <c r="A2876" i="45" s="1"/>
  <c r="A2879" i="45" s="1"/>
  <c r="B2828" i="45"/>
  <c r="B2831" i="45" s="1"/>
  <c r="B2834" i="45" s="1"/>
  <c r="B2837" i="45" s="1"/>
  <c r="B2840" i="45" s="1"/>
  <c r="B2843" i="45" s="1"/>
  <c r="A2748" i="45"/>
  <c r="A2751" i="45" s="1"/>
  <c r="A2754" i="45" s="1"/>
  <c r="A2757" i="45" s="1"/>
  <c r="A2760" i="45" s="1"/>
  <c r="A2763" i="45" s="1"/>
  <c r="A2728" i="45"/>
  <c r="A2731" i="45" s="1"/>
  <c r="A2734" i="45" s="1"/>
  <c r="A2737" i="45" s="1"/>
  <c r="A2740" i="45" s="1"/>
  <c r="A2743" i="45" s="1"/>
  <c r="E2775" i="45"/>
  <c r="M2775" i="45" s="1"/>
  <c r="E1428" i="45"/>
  <c r="A1410" i="45"/>
  <c r="A1413" i="45" s="1"/>
  <c r="A1416" i="45" s="1"/>
  <c r="A1419" i="45" s="1"/>
  <c r="A1350" i="45"/>
  <c r="A1353" i="45" s="1"/>
  <c r="A1356" i="45" s="1"/>
  <c r="A1359" i="45" s="1"/>
  <c r="D1370" i="45"/>
  <c r="D1373" i="45" s="1"/>
  <c r="D1376" i="45" s="1"/>
  <c r="D1379" i="45" s="1"/>
  <c r="D1384" i="45" s="1"/>
  <c r="E1610" i="45"/>
  <c r="M1610" i="45" s="1"/>
  <c r="B1648" i="45"/>
  <c r="B1651" i="45" s="1"/>
  <c r="B1654" i="45" s="1"/>
  <c r="B1657" i="45" s="1"/>
  <c r="B1660" i="45" s="1"/>
  <c r="B1663" i="45" s="1"/>
  <c r="A1930" i="45"/>
  <c r="A1933" i="45" s="1"/>
  <c r="A1936" i="45" s="1"/>
  <c r="A1939" i="45" s="1"/>
  <c r="D1830" i="45"/>
  <c r="D1833" i="45" s="1"/>
  <c r="D1836" i="45" s="1"/>
  <c r="D1839" i="45" s="1"/>
  <c r="D1844" i="45" s="1"/>
  <c r="D2050" i="45"/>
  <c r="D2053" i="45" s="1"/>
  <c r="D2056" i="45" s="1"/>
  <c r="D2059" i="45" s="1"/>
  <c r="D2062" i="45" s="1"/>
  <c r="A2008" i="45"/>
  <c r="A2011" i="45" s="1"/>
  <c r="A2014" i="45" s="1"/>
  <c r="A2017" i="45" s="1"/>
  <c r="A2020" i="45" s="1"/>
  <c r="A2023" i="45" s="1"/>
  <c r="G2275" i="45"/>
  <c r="G2276" i="45" s="1"/>
  <c r="G2277" i="45" s="1"/>
  <c r="G2278" i="45" s="1"/>
  <c r="G2279" i="45" s="1"/>
  <c r="G2835" i="45"/>
  <c r="G2836" i="45" s="1"/>
  <c r="G2837" i="45" s="1"/>
  <c r="G2838" i="45" s="1"/>
  <c r="G2839" i="45" s="1"/>
  <c r="B2822" i="45"/>
  <c r="E2955" i="45"/>
  <c r="M2955" i="45" s="1"/>
  <c r="A2908" i="45"/>
  <c r="A2911" i="45" s="1"/>
  <c r="A2914" i="45" s="1"/>
  <c r="A2917" i="45" s="1"/>
  <c r="A2920" i="45" s="1"/>
  <c r="A2923" i="45" s="1"/>
  <c r="G3055" i="45"/>
  <c r="G3056" i="45" s="1"/>
  <c r="G3057" i="45" s="1"/>
  <c r="G3058" i="45" s="1"/>
  <c r="G3059" i="45" s="1"/>
  <c r="G3315" i="45"/>
  <c r="G3316" i="45" s="1"/>
  <c r="G3317" i="45" s="1"/>
  <c r="G3318" i="45" s="1"/>
  <c r="G3319" i="45" s="1"/>
  <c r="E2795" i="45"/>
  <c r="M2795" i="45" s="1"/>
  <c r="E1430" i="45"/>
  <c r="M1430" i="45" s="1"/>
  <c r="E1415" i="45"/>
  <c r="M1415" i="45" s="1"/>
  <c r="E1350" i="45"/>
  <c r="M1350" i="45" s="1"/>
  <c r="E1775" i="45"/>
  <c r="M1775" i="45" s="1"/>
  <c r="A2244" i="45"/>
  <c r="G2215" i="45"/>
  <c r="G2216" i="45" s="1"/>
  <c r="G2217" i="45" s="1"/>
  <c r="G2218" i="45" s="1"/>
  <c r="G2219" i="45" s="1"/>
  <c r="D2184" i="45"/>
  <c r="E2770" i="45"/>
  <c r="M2770" i="45" s="1"/>
  <c r="E2750" i="45"/>
  <c r="E2710" i="45"/>
  <c r="E2730" i="45"/>
  <c r="G3135" i="45"/>
  <c r="G3136" i="45" s="1"/>
  <c r="G3137" i="45" s="1"/>
  <c r="G3138" i="45" s="1"/>
  <c r="G3139" i="45" s="1"/>
  <c r="G3415" i="45"/>
  <c r="G3416" i="45" s="1"/>
  <c r="G3417" i="45" s="1"/>
  <c r="G3418" i="45" s="1"/>
  <c r="G3419" i="45" s="1"/>
  <c r="E1290" i="45"/>
  <c r="M1290" i="45" s="1"/>
  <c r="E1468" i="45"/>
  <c r="M1468" i="45" s="1"/>
  <c r="E1788" i="45"/>
  <c r="M1788" i="45" s="1"/>
  <c r="P1785" i="45" s="1"/>
  <c r="E1710" i="45"/>
  <c r="M1710" i="45" s="1"/>
  <c r="E1995" i="45"/>
  <c r="M1995" i="45" s="1"/>
  <c r="E2150" i="45"/>
  <c r="M2150" i="45" s="1"/>
  <c r="E2075" i="45"/>
  <c r="M2075" i="45" s="1"/>
  <c r="E1795" i="45"/>
  <c r="M1795" i="45" s="1"/>
  <c r="E1310" i="45"/>
  <c r="E1275" i="45"/>
  <c r="M1275" i="45" s="1"/>
  <c r="E1575" i="45"/>
  <c r="M1575" i="45" s="1"/>
  <c r="E1495" i="45"/>
  <c r="M1495" i="45" s="1"/>
  <c r="E1455" i="45"/>
  <c r="M1455" i="45" s="1"/>
  <c r="E1750" i="45"/>
  <c r="M1750" i="45" s="1"/>
  <c r="E1895" i="45"/>
  <c r="M1895" i="45" s="1"/>
  <c r="E2010" i="45"/>
  <c r="M2010" i="45" s="1"/>
  <c r="E1988" i="45"/>
  <c r="M1988" i="45" s="1"/>
  <c r="E1955" i="45"/>
  <c r="M1955" i="45" s="1"/>
  <c r="E2030" i="45"/>
  <c r="E1475" i="45"/>
  <c r="M1475" i="45" s="1"/>
  <c r="D2242" i="45"/>
  <c r="D2208" i="45"/>
  <c r="D2211" i="45" s="1"/>
  <c r="D2214" i="45" s="1"/>
  <c r="D2217" i="45" s="1"/>
  <c r="D2220" i="45" s="1"/>
  <c r="D2223" i="45" s="1"/>
  <c r="D2204" i="45"/>
  <c r="E2335" i="45"/>
  <c r="M2335" i="45" s="1"/>
  <c r="E2495" i="45"/>
  <c r="M2495" i="45" s="1"/>
  <c r="G2675" i="45"/>
  <c r="G2676" i="45" s="1"/>
  <c r="G2677" i="45" s="1"/>
  <c r="G2678" i="45" s="1"/>
  <c r="G2679" i="45" s="1"/>
  <c r="E2590" i="45"/>
  <c r="M2590" i="45" s="1"/>
  <c r="E2410" i="45"/>
  <c r="M2410" i="45" s="1"/>
  <c r="E2688" i="45"/>
  <c r="E2630" i="45"/>
  <c r="M2630" i="45" s="1"/>
  <c r="E2370" i="45"/>
  <c r="E2250" i="45"/>
  <c r="M2250" i="45" s="1"/>
  <c r="E2515" i="45"/>
  <c r="M2515" i="45" s="1"/>
  <c r="E2530" i="45"/>
  <c r="E2390" i="45"/>
  <c r="E2670" i="45"/>
  <c r="M2670" i="45" s="1"/>
  <c r="E2550" i="45"/>
  <c r="E2695" i="45"/>
  <c r="M2695" i="45" s="1"/>
  <c r="E2675" i="45"/>
  <c r="M2675" i="45" s="1"/>
  <c r="E2595" i="45"/>
  <c r="M2595" i="45" s="1"/>
  <c r="E2575" i="45"/>
  <c r="M2575" i="45" s="1"/>
  <c r="A1288" i="45"/>
  <c r="A1291" i="45" s="1"/>
  <c r="A1294" i="45" s="1"/>
  <c r="A1297" i="45" s="1"/>
  <c r="A1300" i="45" s="1"/>
  <c r="A1303" i="45" s="1"/>
  <c r="E1535" i="45"/>
  <c r="M1535" i="45" s="1"/>
  <c r="A1488" i="45"/>
  <c r="A1491" i="45" s="1"/>
  <c r="A1494" i="45" s="1"/>
  <c r="A1497" i="45" s="1"/>
  <c r="A1500" i="45" s="1"/>
  <c r="A1503" i="45" s="1"/>
  <c r="A1450" i="45"/>
  <c r="A1453" i="45" s="1"/>
  <c r="A1456" i="45" s="1"/>
  <c r="A1459" i="45" s="1"/>
  <c r="D2090" i="45"/>
  <c r="D2093" i="45" s="1"/>
  <c r="D2096" i="45" s="1"/>
  <c r="D2099" i="45" s="1"/>
  <c r="D2102" i="45" s="1"/>
  <c r="G2235" i="45"/>
  <c r="G2236" i="45" s="1"/>
  <c r="G2237" i="45" s="1"/>
  <c r="G2238" i="45" s="1"/>
  <c r="G2239" i="45" s="1"/>
  <c r="G2195" i="45"/>
  <c r="G2196" i="45" s="1"/>
  <c r="G2197" i="45" s="1"/>
  <c r="G2198" i="45" s="1"/>
  <c r="G2199" i="45" s="1"/>
  <c r="E3010" i="45"/>
  <c r="M3010" i="45" s="1"/>
  <c r="E2890" i="45"/>
  <c r="G3195" i="45"/>
  <c r="G3196" i="45" s="1"/>
  <c r="G3197" i="45" s="1"/>
  <c r="G3198" i="45" s="1"/>
  <c r="G3199" i="45" s="1"/>
  <c r="E2910" i="45"/>
  <c r="E3190" i="45"/>
  <c r="M3190" i="45" s="1"/>
  <c r="E3055" i="45"/>
  <c r="M3055" i="45" s="1"/>
  <c r="E2930" i="45"/>
  <c r="E3170" i="45"/>
  <c r="M3170" i="45" s="1"/>
  <c r="A3008" i="45"/>
  <c r="A3011" i="45" s="1"/>
  <c r="A3014" i="45" s="1"/>
  <c r="A3017" i="45" s="1"/>
  <c r="A3020" i="45" s="1"/>
  <c r="A3023" i="45" s="1"/>
  <c r="A3423" i="45"/>
  <c r="D3410" i="45"/>
  <c r="D3413" i="45" s="1"/>
  <c r="D3416" i="45" s="1"/>
  <c r="D3419" i="45" s="1"/>
  <c r="D3408" i="45"/>
  <c r="D3411" i="45" s="1"/>
  <c r="D3414" i="45" s="1"/>
  <c r="D3417" i="45" s="1"/>
  <c r="D3420" i="45" s="1"/>
  <c r="D3423" i="45" s="1"/>
  <c r="B3410" i="45"/>
  <c r="B3413" i="45" s="1"/>
  <c r="B3416" i="45" s="1"/>
  <c r="B3419" i="45" s="1"/>
  <c r="B3408" i="45"/>
  <c r="B3411" i="45" s="1"/>
  <c r="B3414" i="45" s="1"/>
  <c r="B3417" i="45" s="1"/>
  <c r="B3420" i="45" s="1"/>
  <c r="B3423" i="45" s="1"/>
  <c r="A3403" i="45"/>
  <c r="D3390" i="45"/>
  <c r="D3393" i="45" s="1"/>
  <c r="D3396" i="45" s="1"/>
  <c r="D3399" i="45" s="1"/>
  <c r="D3388" i="45"/>
  <c r="D3391" i="45" s="1"/>
  <c r="D3394" i="45" s="1"/>
  <c r="D3397" i="45" s="1"/>
  <c r="D3400" i="45" s="1"/>
  <c r="D3403" i="45" s="1"/>
  <c r="B3390" i="45"/>
  <c r="B3393" i="45" s="1"/>
  <c r="B3396" i="45" s="1"/>
  <c r="B3399" i="45" s="1"/>
  <c r="B3388" i="45"/>
  <c r="B3391" i="45" s="1"/>
  <c r="B3394" i="45" s="1"/>
  <c r="B3397" i="45" s="1"/>
  <c r="B3400" i="45" s="1"/>
  <c r="B3403" i="45" s="1"/>
  <c r="D3370" i="45"/>
  <c r="D3373" i="45" s="1"/>
  <c r="D3376" i="45" s="1"/>
  <c r="D3379" i="45" s="1"/>
  <c r="D3368" i="45"/>
  <c r="D3371" i="45" s="1"/>
  <c r="D3374" i="45" s="1"/>
  <c r="D3377" i="45" s="1"/>
  <c r="D3380" i="45" s="1"/>
  <c r="D3383" i="45" s="1"/>
  <c r="A3350" i="45"/>
  <c r="A3348" i="45"/>
  <c r="A3351" i="45" s="1"/>
  <c r="A3354" i="45" s="1"/>
  <c r="A3357" i="45" s="1"/>
  <c r="A3360" i="45" s="1"/>
  <c r="A3330" i="45"/>
  <c r="A3328" i="45"/>
  <c r="A3331" i="45" s="1"/>
  <c r="A3334" i="45" s="1"/>
  <c r="A3337" i="45" s="1"/>
  <c r="A3340" i="45" s="1"/>
  <c r="D3310" i="45"/>
  <c r="D3313" i="45" s="1"/>
  <c r="D3316" i="45" s="1"/>
  <c r="D3319" i="45" s="1"/>
  <c r="D3308" i="45"/>
  <c r="D3311" i="45" s="1"/>
  <c r="D3314" i="45" s="1"/>
  <c r="D3317" i="45" s="1"/>
  <c r="D3320" i="45" s="1"/>
  <c r="D3323" i="45" s="1"/>
  <c r="A3382" i="45"/>
  <c r="A3384" i="45"/>
  <c r="A3324" i="45"/>
  <c r="A3322" i="45"/>
  <c r="E3290" i="45"/>
  <c r="M3290" i="45" s="1"/>
  <c r="E3288" i="45"/>
  <c r="M3288" i="45" s="1"/>
  <c r="E3270" i="45"/>
  <c r="M3270" i="45" s="1"/>
  <c r="E3268" i="45"/>
  <c r="M3268" i="45" s="1"/>
  <c r="E3250" i="45"/>
  <c r="M3250" i="45" s="1"/>
  <c r="E3248" i="45"/>
  <c r="M3248" i="45" s="1"/>
  <c r="B3370" i="45"/>
  <c r="B3368" i="45"/>
  <c r="B3371" i="45" s="1"/>
  <c r="B3374" i="45" s="1"/>
  <c r="B3377" i="45" s="1"/>
  <c r="B3380" i="45" s="1"/>
  <c r="B3383" i="45" s="1"/>
  <c r="E3350" i="45"/>
  <c r="M3350" i="45" s="1"/>
  <c r="E3348" i="45"/>
  <c r="A3358" i="45"/>
  <c r="A3361" i="45" s="1"/>
  <c r="G3355" i="45"/>
  <c r="G3356" i="45" s="1"/>
  <c r="G3357" i="45" s="1"/>
  <c r="G3358" i="45" s="1"/>
  <c r="G3359" i="45" s="1"/>
  <c r="E3330" i="45"/>
  <c r="M3330" i="45" s="1"/>
  <c r="E3328" i="45"/>
  <c r="A3323" i="45"/>
  <c r="B3310" i="45"/>
  <c r="B3308" i="45"/>
  <c r="B3311" i="45" s="1"/>
  <c r="B3314" i="45" s="1"/>
  <c r="B3317" i="45" s="1"/>
  <c r="B3320" i="45" s="1"/>
  <c r="B3323" i="45" s="1"/>
  <c r="A3290" i="45"/>
  <c r="A3288" i="45"/>
  <c r="A3291" i="45" s="1"/>
  <c r="A3294" i="45" s="1"/>
  <c r="A3297" i="45" s="1"/>
  <c r="A3300" i="45" s="1"/>
  <c r="A3270" i="45"/>
  <c r="A3268" i="45"/>
  <c r="A3271" i="45" s="1"/>
  <c r="A3274" i="45" s="1"/>
  <c r="A3277" i="45" s="1"/>
  <c r="A3280" i="45" s="1"/>
  <c r="A3250" i="45"/>
  <c r="A3248" i="45"/>
  <c r="A3251" i="45" s="1"/>
  <c r="A3254" i="45" s="1"/>
  <c r="A3257" i="45" s="1"/>
  <c r="A3260" i="45" s="1"/>
  <c r="A3243" i="45"/>
  <c r="D3230" i="45"/>
  <c r="D3233" i="45" s="1"/>
  <c r="D3236" i="45" s="1"/>
  <c r="D3239" i="45" s="1"/>
  <c r="D3228" i="45"/>
  <c r="D3231" i="45" s="1"/>
  <c r="D3234" i="45" s="1"/>
  <c r="D3237" i="45" s="1"/>
  <c r="D3240" i="45" s="1"/>
  <c r="D3243" i="45" s="1"/>
  <c r="B3230" i="45"/>
  <c r="B3233" i="45" s="1"/>
  <c r="B3236" i="45" s="1"/>
  <c r="B3239" i="45" s="1"/>
  <c r="B3228" i="45"/>
  <c r="B3231" i="45" s="1"/>
  <c r="B3234" i="45" s="1"/>
  <c r="B3237" i="45" s="1"/>
  <c r="B3240" i="45" s="1"/>
  <c r="B3243" i="45" s="1"/>
  <c r="A3210" i="45"/>
  <c r="A3208" i="45"/>
  <c r="A3211" i="45" s="1"/>
  <c r="A3214" i="45" s="1"/>
  <c r="A3217" i="45" s="1"/>
  <c r="A3220" i="45" s="1"/>
  <c r="D3190" i="45"/>
  <c r="D3193" i="45" s="1"/>
  <c r="D3196" i="45" s="1"/>
  <c r="D3199" i="45" s="1"/>
  <c r="D3188" i="45"/>
  <c r="D3191" i="45" s="1"/>
  <c r="D3194" i="45" s="1"/>
  <c r="D3197" i="45" s="1"/>
  <c r="D3200" i="45" s="1"/>
  <c r="D3203" i="45" s="1"/>
  <c r="B3190" i="45"/>
  <c r="B3188" i="45"/>
  <c r="B3191" i="45" s="1"/>
  <c r="B3194" i="45" s="1"/>
  <c r="B3197" i="45" s="1"/>
  <c r="B3200" i="45" s="1"/>
  <c r="B3203" i="45" s="1"/>
  <c r="D3170" i="45"/>
  <c r="D3173" i="45" s="1"/>
  <c r="D3176" i="45" s="1"/>
  <c r="D3179" i="45" s="1"/>
  <c r="D3168" i="45"/>
  <c r="D3171" i="45" s="1"/>
  <c r="D3174" i="45" s="1"/>
  <c r="D3177" i="45" s="1"/>
  <c r="D3180" i="45" s="1"/>
  <c r="D3183" i="45" s="1"/>
  <c r="A3150" i="45"/>
  <c r="A3148" i="45"/>
  <c r="A3151" i="45" s="1"/>
  <c r="A3154" i="45" s="1"/>
  <c r="A3157" i="45" s="1"/>
  <c r="A3160" i="45" s="1"/>
  <c r="A3133" i="45"/>
  <c r="A3136" i="45" s="1"/>
  <c r="A3139" i="45" s="1"/>
  <c r="E3110" i="45"/>
  <c r="M3110" i="45" s="1"/>
  <c r="E3108" i="45"/>
  <c r="M3108" i="45" s="1"/>
  <c r="E3090" i="45"/>
  <c r="M3090" i="45" s="1"/>
  <c r="E3088" i="45"/>
  <c r="M3088" i="45" s="1"/>
  <c r="E3070" i="45"/>
  <c r="M3070" i="45" s="1"/>
  <c r="E3068" i="45"/>
  <c r="M3068" i="45" s="1"/>
  <c r="A3233" i="45"/>
  <c r="A3236" i="45" s="1"/>
  <c r="A3239" i="45" s="1"/>
  <c r="E3210" i="45"/>
  <c r="M3210" i="45" s="1"/>
  <c r="E3208" i="45"/>
  <c r="A3204" i="45"/>
  <c r="A3202" i="45"/>
  <c r="B3170" i="45"/>
  <c r="B3168" i="45"/>
  <c r="B3171" i="45" s="1"/>
  <c r="B3174" i="45" s="1"/>
  <c r="B3177" i="45" s="1"/>
  <c r="B3180" i="45" s="1"/>
  <c r="B3183" i="45" s="1"/>
  <c r="E3150" i="45"/>
  <c r="M3150" i="45" s="1"/>
  <c r="E3148" i="45"/>
  <c r="A3182" i="45"/>
  <c r="A3184" i="45"/>
  <c r="A3143" i="45"/>
  <c r="D3130" i="45"/>
  <c r="D3133" i="45" s="1"/>
  <c r="D3136" i="45" s="1"/>
  <c r="D3139" i="45" s="1"/>
  <c r="D3128" i="45"/>
  <c r="D3131" i="45" s="1"/>
  <c r="D3134" i="45" s="1"/>
  <c r="D3137" i="45" s="1"/>
  <c r="D3140" i="45" s="1"/>
  <c r="D3143" i="45" s="1"/>
  <c r="B3130" i="45"/>
  <c r="B3133" i="45" s="1"/>
  <c r="B3136" i="45" s="1"/>
  <c r="B3139" i="45" s="1"/>
  <c r="B3128" i="45"/>
  <c r="B3131" i="45" s="1"/>
  <c r="B3134" i="45" s="1"/>
  <c r="B3137" i="45" s="1"/>
  <c r="B3140" i="45" s="1"/>
  <c r="B3143" i="45" s="1"/>
  <c r="A3110" i="45"/>
  <c r="A3108" i="45"/>
  <c r="A3111" i="45" s="1"/>
  <c r="A3114" i="45" s="1"/>
  <c r="A3117" i="45" s="1"/>
  <c r="A3120" i="45" s="1"/>
  <c r="A3090" i="45"/>
  <c r="A3088" i="45"/>
  <c r="A3091" i="45" s="1"/>
  <c r="A3094" i="45" s="1"/>
  <c r="A3097" i="45" s="1"/>
  <c r="A3100" i="45" s="1"/>
  <c r="A3070" i="45"/>
  <c r="A3068" i="45"/>
  <c r="A3071" i="45" s="1"/>
  <c r="A3074" i="45" s="1"/>
  <c r="A3077" i="45" s="1"/>
  <c r="A3080" i="45" s="1"/>
  <c r="A2708" i="45"/>
  <c r="A2711" i="45" s="1"/>
  <c r="A2714" i="45" s="1"/>
  <c r="A2717" i="45" s="1"/>
  <c r="A2720" i="45" s="1"/>
  <c r="A2723" i="45" s="1"/>
  <c r="D2428" i="45"/>
  <c r="D2431" i="45" s="1"/>
  <c r="D2434" i="45" s="1"/>
  <c r="D2437" i="45" s="1"/>
  <c r="D2440" i="45" s="1"/>
  <c r="D2443" i="45" s="1"/>
  <c r="G2875" i="45"/>
  <c r="G2876" i="45" s="1"/>
  <c r="G2877" i="45" s="1"/>
  <c r="G2878" i="45" s="1"/>
  <c r="G2879" i="45" s="1"/>
  <c r="A2848" i="45"/>
  <c r="A2851" i="45" s="1"/>
  <c r="A2854" i="45" s="1"/>
  <c r="A2857" i="45" s="1"/>
  <c r="A2860" i="45" s="1"/>
  <c r="A2863" i="45" s="1"/>
  <c r="A2548" i="45"/>
  <c r="A2551" i="45" s="1"/>
  <c r="A2554" i="45" s="1"/>
  <c r="A2557" i="45" s="1"/>
  <c r="A2560" i="45" s="1"/>
  <c r="A2563" i="45" s="1"/>
  <c r="A2528" i="45"/>
  <c r="A2531" i="45" s="1"/>
  <c r="A2534" i="45" s="1"/>
  <c r="A2537" i="45" s="1"/>
  <c r="A2540" i="45" s="1"/>
  <c r="A2543" i="45" s="1"/>
  <c r="A1430" i="45"/>
  <c r="A1433" i="45" s="1"/>
  <c r="A1436" i="45" s="1"/>
  <c r="A1439" i="45" s="1"/>
  <c r="G1335" i="45"/>
  <c r="G1336" i="45" s="1"/>
  <c r="G1337" i="45" s="1"/>
  <c r="G1338" i="45" s="1"/>
  <c r="G1339" i="45" s="1"/>
  <c r="G1755" i="45"/>
  <c r="G1756" i="45" s="1"/>
  <c r="G1757" i="45" s="1"/>
  <c r="G1758" i="45" s="1"/>
  <c r="G1759" i="45" s="1"/>
  <c r="E1708" i="45"/>
  <c r="A2110" i="45"/>
  <c r="A2113" i="45" s="1"/>
  <c r="A2116" i="45" s="1"/>
  <c r="A2119" i="45" s="1"/>
  <c r="A2068" i="45"/>
  <c r="A2071" i="45" s="1"/>
  <c r="A2074" i="45" s="1"/>
  <c r="A2077" i="45" s="1"/>
  <c r="A2080" i="45" s="1"/>
  <c r="A2083" i="45" s="1"/>
  <c r="G2495" i="45"/>
  <c r="G2496" i="45" s="1"/>
  <c r="G2497" i="45" s="1"/>
  <c r="G2498" i="45" s="1"/>
  <c r="G2499" i="45" s="1"/>
  <c r="G2695" i="45"/>
  <c r="G2696" i="45" s="1"/>
  <c r="G2697" i="45" s="1"/>
  <c r="G2698" i="45" s="1"/>
  <c r="G2699" i="45" s="1"/>
  <c r="A2388" i="45"/>
  <c r="A2391" i="45" s="1"/>
  <c r="A2394" i="45" s="1"/>
  <c r="A2397" i="45" s="1"/>
  <c r="A2400" i="45" s="1"/>
  <c r="A2403" i="45" s="1"/>
  <c r="A2348" i="45"/>
  <c r="A2351" i="45" s="1"/>
  <c r="A2354" i="45" s="1"/>
  <c r="A2357" i="45" s="1"/>
  <c r="A2360" i="45" s="1"/>
  <c r="A2363" i="45" s="1"/>
  <c r="E3030" i="45"/>
  <c r="M3030" i="45" s="1"/>
  <c r="E3028" i="45"/>
  <c r="B3010" i="45"/>
  <c r="B3008" i="45"/>
  <c r="B3011" i="45" s="1"/>
  <c r="B3014" i="45" s="1"/>
  <c r="B3017" i="45" s="1"/>
  <c r="B3020" i="45" s="1"/>
  <c r="B3023" i="45" s="1"/>
  <c r="E2990" i="45"/>
  <c r="M2990" i="45" s="1"/>
  <c r="E2988" i="45"/>
  <c r="A3063" i="45"/>
  <c r="D3050" i="45"/>
  <c r="D3053" i="45" s="1"/>
  <c r="D3056" i="45" s="1"/>
  <c r="D3059" i="45" s="1"/>
  <c r="D3048" i="45"/>
  <c r="D3051" i="45" s="1"/>
  <c r="D3054" i="45" s="1"/>
  <c r="D3057" i="45" s="1"/>
  <c r="D3060" i="45" s="1"/>
  <c r="D3063" i="45" s="1"/>
  <c r="B3050" i="45"/>
  <c r="B3053" i="45" s="1"/>
  <c r="B3056" i="45" s="1"/>
  <c r="B3059" i="45" s="1"/>
  <c r="B3048" i="45"/>
  <c r="B3051" i="45" s="1"/>
  <c r="B3054" i="45" s="1"/>
  <c r="B3057" i="45" s="1"/>
  <c r="B3060" i="45" s="1"/>
  <c r="B3063" i="45" s="1"/>
  <c r="A3030" i="45"/>
  <c r="A3028" i="45"/>
  <c r="A3031" i="45" s="1"/>
  <c r="A3034" i="45" s="1"/>
  <c r="A3037" i="45" s="1"/>
  <c r="A3040" i="45" s="1"/>
  <c r="D3010" i="45"/>
  <c r="D3013" i="45" s="1"/>
  <c r="D3016" i="45" s="1"/>
  <c r="D3019" i="45" s="1"/>
  <c r="D3008" i="45"/>
  <c r="D3011" i="45" s="1"/>
  <c r="D3014" i="45" s="1"/>
  <c r="D3017" i="45" s="1"/>
  <c r="D3020" i="45" s="1"/>
  <c r="D3023" i="45" s="1"/>
  <c r="A2990" i="45"/>
  <c r="A2988" i="45"/>
  <c r="A2991" i="45" s="1"/>
  <c r="A2994" i="45" s="1"/>
  <c r="A2997" i="45" s="1"/>
  <c r="A3000" i="45" s="1"/>
  <c r="D2990" i="45"/>
  <c r="D2993" i="45" s="1"/>
  <c r="D2996" i="45" s="1"/>
  <c r="D2999" i="45" s="1"/>
  <c r="D2988" i="45"/>
  <c r="D2991" i="45" s="1"/>
  <c r="D2994" i="45" s="1"/>
  <c r="D2997" i="45" s="1"/>
  <c r="D3000" i="45" s="1"/>
  <c r="D3003" i="45" s="1"/>
  <c r="A2970" i="45"/>
  <c r="A2968" i="45"/>
  <c r="A2971" i="45" s="1"/>
  <c r="A2974" i="45" s="1"/>
  <c r="A2977" i="45" s="1"/>
  <c r="A2980" i="45" s="1"/>
  <c r="G2955" i="45"/>
  <c r="G2956" i="45" s="1"/>
  <c r="G2957" i="45" s="1"/>
  <c r="G2958" i="45" s="1"/>
  <c r="G2959" i="45" s="1"/>
  <c r="A2963" i="45"/>
  <c r="D2950" i="45"/>
  <c r="D2953" i="45" s="1"/>
  <c r="D2956" i="45" s="1"/>
  <c r="D2959" i="45" s="1"/>
  <c r="D2948" i="45"/>
  <c r="D2951" i="45" s="1"/>
  <c r="D2954" i="45" s="1"/>
  <c r="D2957" i="45" s="1"/>
  <c r="D2960" i="45" s="1"/>
  <c r="D2963" i="45" s="1"/>
  <c r="B2950" i="45"/>
  <c r="B2953" i="45" s="1"/>
  <c r="B2956" i="45" s="1"/>
  <c r="B2959" i="45" s="1"/>
  <c r="B2948" i="45"/>
  <c r="B2951" i="45" s="1"/>
  <c r="B2954" i="45" s="1"/>
  <c r="B2957" i="45" s="1"/>
  <c r="B2960" i="45" s="1"/>
  <c r="B2963" i="45" s="1"/>
  <c r="D2930" i="45"/>
  <c r="D2933" i="45" s="1"/>
  <c r="D2936" i="45" s="1"/>
  <c r="D2939" i="45" s="1"/>
  <c r="D2928" i="45"/>
  <c r="D2931" i="45" s="1"/>
  <c r="D2934" i="45" s="1"/>
  <c r="D2937" i="45" s="1"/>
  <c r="D2940" i="45" s="1"/>
  <c r="D2943" i="45" s="1"/>
  <c r="C2927" i="45"/>
  <c r="B2910" i="45"/>
  <c r="B2908" i="45"/>
  <c r="B2911" i="45" s="1"/>
  <c r="B2914" i="45" s="1"/>
  <c r="B2917" i="45" s="1"/>
  <c r="B2920" i="45" s="1"/>
  <c r="B2923" i="45" s="1"/>
  <c r="D2890" i="45"/>
  <c r="D2893" i="45" s="1"/>
  <c r="D2896" i="45" s="1"/>
  <c r="D2899" i="45" s="1"/>
  <c r="D2888" i="45"/>
  <c r="D2891" i="45" s="1"/>
  <c r="D2894" i="45" s="1"/>
  <c r="D2897" i="45" s="1"/>
  <c r="D2900" i="45" s="1"/>
  <c r="D2903" i="45" s="1"/>
  <c r="C2887" i="45"/>
  <c r="A2944" i="45"/>
  <c r="A2942" i="45"/>
  <c r="A2924" i="45"/>
  <c r="A2922" i="45"/>
  <c r="E2898" i="45"/>
  <c r="A3024" i="45"/>
  <c r="A3022" i="45"/>
  <c r="B2990" i="45"/>
  <c r="B2993" i="45" s="1"/>
  <c r="B2996" i="45" s="1"/>
  <c r="B2999" i="45" s="1"/>
  <c r="B2988" i="45"/>
  <c r="B2991" i="45" s="1"/>
  <c r="B2994" i="45" s="1"/>
  <c r="B2997" i="45" s="1"/>
  <c r="B3000" i="45" s="1"/>
  <c r="B3003" i="45" s="1"/>
  <c r="E2970" i="45"/>
  <c r="M2970" i="45" s="1"/>
  <c r="E2968" i="45"/>
  <c r="A2953" i="45"/>
  <c r="A2956" i="45" s="1"/>
  <c r="A2959" i="45" s="1"/>
  <c r="A2943" i="45"/>
  <c r="B2930" i="45"/>
  <c r="B2928" i="45"/>
  <c r="B2931" i="45" s="1"/>
  <c r="B2934" i="45" s="1"/>
  <c r="B2937" i="45" s="1"/>
  <c r="B2940" i="45" s="1"/>
  <c r="B2943" i="45" s="1"/>
  <c r="D2910" i="45"/>
  <c r="D2913" i="45" s="1"/>
  <c r="D2916" i="45" s="1"/>
  <c r="D2919" i="45" s="1"/>
  <c r="D2908" i="45"/>
  <c r="D2911" i="45" s="1"/>
  <c r="D2914" i="45" s="1"/>
  <c r="D2917" i="45" s="1"/>
  <c r="D2920" i="45" s="1"/>
  <c r="D2923" i="45" s="1"/>
  <c r="C2907" i="45"/>
  <c r="A2903" i="45"/>
  <c r="B2890" i="45"/>
  <c r="B2888" i="45"/>
  <c r="B2891" i="45" s="1"/>
  <c r="B2894" i="45" s="1"/>
  <c r="B2897" i="45" s="1"/>
  <c r="B2900" i="45" s="1"/>
  <c r="B2903" i="45" s="1"/>
  <c r="A2904" i="45"/>
  <c r="A2902" i="45"/>
  <c r="E2938" i="45"/>
  <c r="A2883" i="45"/>
  <c r="D2870" i="45"/>
  <c r="D2873" i="45" s="1"/>
  <c r="D2876" i="45" s="1"/>
  <c r="D2879" i="45" s="1"/>
  <c r="D2868" i="45"/>
  <c r="D2871" i="45" s="1"/>
  <c r="D2874" i="45" s="1"/>
  <c r="D2877" i="45" s="1"/>
  <c r="D2880" i="45" s="1"/>
  <c r="D2883" i="45" s="1"/>
  <c r="B2870" i="45"/>
  <c r="B2873" i="45" s="1"/>
  <c r="B2876" i="45" s="1"/>
  <c r="B2879" i="45" s="1"/>
  <c r="B2868" i="45"/>
  <c r="B2871" i="45" s="1"/>
  <c r="B2874" i="45" s="1"/>
  <c r="B2877" i="45" s="1"/>
  <c r="B2880" i="45" s="1"/>
  <c r="B2883" i="45" s="1"/>
  <c r="B2850" i="45"/>
  <c r="B2848" i="45"/>
  <c r="B2851" i="45" s="1"/>
  <c r="B2854" i="45" s="1"/>
  <c r="B2857" i="45" s="1"/>
  <c r="B2860" i="45" s="1"/>
  <c r="B2863" i="45" s="1"/>
  <c r="E2830" i="45"/>
  <c r="M2830" i="45" s="1"/>
  <c r="E2828" i="45"/>
  <c r="A2864" i="45"/>
  <c r="A2862" i="45"/>
  <c r="E2810" i="45"/>
  <c r="M2810" i="45" s="1"/>
  <c r="E2808" i="45"/>
  <c r="B2790" i="45"/>
  <c r="B2788" i="45"/>
  <c r="B2791" i="45" s="1"/>
  <c r="B2794" i="45" s="1"/>
  <c r="B2797" i="45" s="1"/>
  <c r="B2800" i="45" s="1"/>
  <c r="B2803" i="45" s="1"/>
  <c r="A2804" i="45"/>
  <c r="A2802" i="45"/>
  <c r="A2783" i="45"/>
  <c r="B2770" i="45"/>
  <c r="B2768" i="45"/>
  <c r="B2771" i="45" s="1"/>
  <c r="B2774" i="45" s="1"/>
  <c r="B2777" i="45" s="1"/>
  <c r="B2780" i="45" s="1"/>
  <c r="B2783" i="45" s="1"/>
  <c r="B2750" i="45"/>
  <c r="B2748" i="45"/>
  <c r="B2751" i="45" s="1"/>
  <c r="B2754" i="45" s="1"/>
  <c r="B2757" i="45" s="1"/>
  <c r="B2760" i="45" s="1"/>
  <c r="B2763" i="45" s="1"/>
  <c r="D2730" i="45"/>
  <c r="D2733" i="45" s="1"/>
  <c r="D2736" i="45" s="1"/>
  <c r="D2739" i="45" s="1"/>
  <c r="D2728" i="45"/>
  <c r="D2731" i="45" s="1"/>
  <c r="D2734" i="45" s="1"/>
  <c r="D2737" i="45" s="1"/>
  <c r="D2740" i="45" s="1"/>
  <c r="D2743" i="45" s="1"/>
  <c r="C2727" i="45"/>
  <c r="M2727" i="45" s="1"/>
  <c r="B2710" i="45"/>
  <c r="B2708" i="45"/>
  <c r="B2711" i="45" s="1"/>
  <c r="B2714" i="45" s="1"/>
  <c r="B2717" i="45" s="1"/>
  <c r="B2720" i="45" s="1"/>
  <c r="B2723" i="45" s="1"/>
  <c r="A2764" i="45"/>
  <c r="A2762" i="45"/>
  <c r="A2744" i="45"/>
  <c r="A2742" i="45"/>
  <c r="E2718" i="45"/>
  <c r="D2850" i="45"/>
  <c r="D2853" i="45" s="1"/>
  <c r="D2856" i="45" s="1"/>
  <c r="D2859" i="45" s="1"/>
  <c r="D2848" i="45"/>
  <c r="D2851" i="45" s="1"/>
  <c r="D2854" i="45" s="1"/>
  <c r="D2857" i="45" s="1"/>
  <c r="D2860" i="45" s="1"/>
  <c r="D2863" i="45" s="1"/>
  <c r="A2830" i="45"/>
  <c r="A2828" i="45"/>
  <c r="A2831" i="45" s="1"/>
  <c r="A2834" i="45" s="1"/>
  <c r="A2837" i="45" s="1"/>
  <c r="A2840" i="45" s="1"/>
  <c r="A2810" i="45"/>
  <c r="A2808" i="45"/>
  <c r="A2811" i="45" s="1"/>
  <c r="A2814" i="45" s="1"/>
  <c r="A2817" i="45" s="1"/>
  <c r="A2820" i="45" s="1"/>
  <c r="D2790" i="45"/>
  <c r="D2793" i="45" s="1"/>
  <c r="D2796" i="45" s="1"/>
  <c r="D2799" i="45" s="1"/>
  <c r="D2788" i="45"/>
  <c r="D2791" i="45" s="1"/>
  <c r="D2794" i="45" s="1"/>
  <c r="D2797" i="45" s="1"/>
  <c r="D2800" i="45" s="1"/>
  <c r="D2803" i="45" s="1"/>
  <c r="D2770" i="45"/>
  <c r="D2773" i="45" s="1"/>
  <c r="D2776" i="45" s="1"/>
  <c r="D2779" i="45" s="1"/>
  <c r="D2768" i="45"/>
  <c r="D2771" i="45" s="1"/>
  <c r="D2774" i="45" s="1"/>
  <c r="D2777" i="45" s="1"/>
  <c r="D2780" i="45" s="1"/>
  <c r="D2783" i="45" s="1"/>
  <c r="D2750" i="45"/>
  <c r="D2753" i="45" s="1"/>
  <c r="D2756" i="45" s="1"/>
  <c r="D2759" i="45" s="1"/>
  <c r="D2748" i="45"/>
  <c r="D2751" i="45" s="1"/>
  <c r="D2754" i="45" s="1"/>
  <c r="D2757" i="45" s="1"/>
  <c r="D2760" i="45" s="1"/>
  <c r="D2763" i="45" s="1"/>
  <c r="C2747" i="45"/>
  <c r="B2730" i="45"/>
  <c r="B2728" i="45"/>
  <c r="B2731" i="45" s="1"/>
  <c r="B2734" i="45" s="1"/>
  <c r="B2737" i="45" s="1"/>
  <c r="B2740" i="45" s="1"/>
  <c r="B2743" i="45" s="1"/>
  <c r="D2710" i="45"/>
  <c r="D2713" i="45" s="1"/>
  <c r="D2716" i="45" s="1"/>
  <c r="D2719" i="45" s="1"/>
  <c r="D2708" i="45"/>
  <c r="D2711" i="45" s="1"/>
  <c r="D2714" i="45" s="1"/>
  <c r="D2717" i="45" s="1"/>
  <c r="D2720" i="45" s="1"/>
  <c r="D2723" i="45" s="1"/>
  <c r="C2707" i="45"/>
  <c r="A2724" i="45"/>
  <c r="A2722" i="45"/>
  <c r="A2784" i="45"/>
  <c r="A2782" i="45"/>
  <c r="A2673" i="45"/>
  <c r="A2676" i="45" s="1"/>
  <c r="A2679" i="45" s="1"/>
  <c r="E2655" i="45"/>
  <c r="M2655" i="45" s="1"/>
  <c r="A2658" i="45"/>
  <c r="A2661" i="45" s="1"/>
  <c r="G2655" i="45"/>
  <c r="G2656" i="45" s="1"/>
  <c r="G2657" i="45" s="1"/>
  <c r="G2658" i="45" s="1"/>
  <c r="G2659" i="45" s="1"/>
  <c r="D2630" i="45"/>
  <c r="D2633" i="45" s="1"/>
  <c r="D2636" i="45" s="1"/>
  <c r="D2639" i="45" s="1"/>
  <c r="D2628" i="45"/>
  <c r="D2631" i="45" s="1"/>
  <c r="D2634" i="45" s="1"/>
  <c r="D2637" i="45" s="1"/>
  <c r="D2640" i="45" s="1"/>
  <c r="D2643" i="45" s="1"/>
  <c r="B2630" i="45"/>
  <c r="B2633" i="45" s="1"/>
  <c r="B2636" i="45" s="1"/>
  <c r="B2639" i="45" s="1"/>
  <c r="B2628" i="45"/>
  <c r="B2631" i="45" s="1"/>
  <c r="B2634" i="45" s="1"/>
  <c r="B2637" i="45" s="1"/>
  <c r="B2640" i="45" s="1"/>
  <c r="B2643" i="45" s="1"/>
  <c r="G2635" i="45"/>
  <c r="G2636" i="45" s="1"/>
  <c r="G2637" i="45" s="1"/>
  <c r="G2638" i="45" s="1"/>
  <c r="G2639" i="45" s="1"/>
  <c r="B2624" i="45"/>
  <c r="B2622" i="45"/>
  <c r="E2610" i="45"/>
  <c r="M2610" i="45" s="1"/>
  <c r="E2608" i="45"/>
  <c r="A2610" i="45"/>
  <c r="A2608" i="45"/>
  <c r="A2611" i="45" s="1"/>
  <c r="A2614" i="45" s="1"/>
  <c r="A2617" i="45" s="1"/>
  <c r="A2620" i="45" s="1"/>
  <c r="A2603" i="45"/>
  <c r="D2590" i="45"/>
  <c r="D2593" i="45" s="1"/>
  <c r="D2596" i="45" s="1"/>
  <c r="D2599" i="45" s="1"/>
  <c r="D2588" i="45"/>
  <c r="D2591" i="45" s="1"/>
  <c r="D2594" i="45" s="1"/>
  <c r="D2597" i="45" s="1"/>
  <c r="D2600" i="45" s="1"/>
  <c r="D2603" i="45" s="1"/>
  <c r="B2590" i="45"/>
  <c r="B2593" i="45" s="1"/>
  <c r="B2596" i="45" s="1"/>
  <c r="B2599" i="45" s="1"/>
  <c r="B2588" i="45"/>
  <c r="B2591" i="45" s="1"/>
  <c r="B2594" i="45" s="1"/>
  <c r="B2597" i="45" s="1"/>
  <c r="B2600" i="45" s="1"/>
  <c r="B2603" i="45" s="1"/>
  <c r="G2595" i="45"/>
  <c r="G2596" i="45" s="1"/>
  <c r="G2597" i="45" s="1"/>
  <c r="G2598" i="45" s="1"/>
  <c r="G2599" i="45" s="1"/>
  <c r="G2575" i="45"/>
  <c r="G2576" i="45" s="1"/>
  <c r="G2577" i="45" s="1"/>
  <c r="G2578" i="45" s="1"/>
  <c r="G2579" i="45" s="1"/>
  <c r="B2570" i="45"/>
  <c r="B2573" i="45" s="1"/>
  <c r="B2576" i="45" s="1"/>
  <c r="B2579" i="45" s="1"/>
  <c r="B2568" i="45"/>
  <c r="B2571" i="45" s="1"/>
  <c r="B2574" i="45" s="1"/>
  <c r="B2577" i="45" s="1"/>
  <c r="B2580" i="45" s="1"/>
  <c r="B2583" i="45" s="1"/>
  <c r="E2551" i="45"/>
  <c r="D2550" i="45"/>
  <c r="D2553" i="45" s="1"/>
  <c r="D2556" i="45" s="1"/>
  <c r="D2559" i="45" s="1"/>
  <c r="D2548" i="45"/>
  <c r="D2551" i="45" s="1"/>
  <c r="D2554" i="45" s="1"/>
  <c r="D2557" i="45" s="1"/>
  <c r="D2560" i="45" s="1"/>
  <c r="D2563" i="45" s="1"/>
  <c r="C2547" i="45"/>
  <c r="B2530" i="45"/>
  <c r="B2528" i="45"/>
  <c r="B2531" i="45" s="1"/>
  <c r="B2534" i="45" s="1"/>
  <c r="B2537" i="45" s="1"/>
  <c r="B2540" i="45" s="1"/>
  <c r="B2543" i="45" s="1"/>
  <c r="A2544" i="45"/>
  <c r="A2542" i="45"/>
  <c r="A2564" i="45"/>
  <c r="A2562" i="45"/>
  <c r="A2703" i="45"/>
  <c r="D2690" i="45"/>
  <c r="D2693" i="45" s="1"/>
  <c r="D2696" i="45" s="1"/>
  <c r="D2699" i="45" s="1"/>
  <c r="D2688" i="45"/>
  <c r="D2691" i="45" s="1"/>
  <c r="D2694" i="45" s="1"/>
  <c r="D2697" i="45" s="1"/>
  <c r="D2700" i="45" s="1"/>
  <c r="D2703" i="45" s="1"/>
  <c r="B2690" i="45"/>
  <c r="B2693" i="45" s="1"/>
  <c r="B2696" i="45" s="1"/>
  <c r="B2699" i="45" s="1"/>
  <c r="B2688" i="45"/>
  <c r="B2691" i="45" s="1"/>
  <c r="B2694" i="45" s="1"/>
  <c r="B2697" i="45" s="1"/>
  <c r="B2700" i="45" s="1"/>
  <c r="B2703" i="45" s="1"/>
  <c r="D2670" i="45"/>
  <c r="D2673" i="45" s="1"/>
  <c r="D2676" i="45" s="1"/>
  <c r="D2679" i="45" s="1"/>
  <c r="D2668" i="45"/>
  <c r="D2671" i="45" s="1"/>
  <c r="D2674" i="45" s="1"/>
  <c r="D2677" i="45" s="1"/>
  <c r="D2680" i="45" s="1"/>
  <c r="D2683" i="45" s="1"/>
  <c r="B2670" i="45"/>
  <c r="B2673" i="45" s="1"/>
  <c r="B2676" i="45" s="1"/>
  <c r="B2679" i="45" s="1"/>
  <c r="B2668" i="45"/>
  <c r="B2671" i="45" s="1"/>
  <c r="B2674" i="45" s="1"/>
  <c r="B2677" i="45" s="1"/>
  <c r="B2680" i="45" s="1"/>
  <c r="B2683" i="45" s="1"/>
  <c r="B2664" i="45"/>
  <c r="B2662" i="45"/>
  <c r="E2650" i="45"/>
  <c r="M2650" i="45" s="1"/>
  <c r="E2648" i="45"/>
  <c r="A2650" i="45"/>
  <c r="A2648" i="45"/>
  <c r="A2651" i="45" s="1"/>
  <c r="A2654" i="45" s="1"/>
  <c r="A2657" i="45" s="1"/>
  <c r="A2660" i="45" s="1"/>
  <c r="A2633" i="45"/>
  <c r="A2636" i="45" s="1"/>
  <c r="A2639" i="45" s="1"/>
  <c r="E2615" i="45"/>
  <c r="M2615" i="45" s="1"/>
  <c r="A2618" i="45"/>
  <c r="A2621" i="45" s="1"/>
  <c r="G2615" i="45"/>
  <c r="G2616" i="45" s="1"/>
  <c r="G2617" i="45" s="1"/>
  <c r="G2618" i="45" s="1"/>
  <c r="G2619" i="45" s="1"/>
  <c r="A2593" i="45"/>
  <c r="A2596" i="45" s="1"/>
  <c r="A2599" i="45" s="1"/>
  <c r="A2583" i="45"/>
  <c r="D2570" i="45"/>
  <c r="D2573" i="45" s="1"/>
  <c r="D2576" i="45" s="1"/>
  <c r="D2579" i="45" s="1"/>
  <c r="D2568" i="45"/>
  <c r="D2571" i="45" s="1"/>
  <c r="D2574" i="45" s="1"/>
  <c r="D2577" i="45" s="1"/>
  <c r="D2580" i="45" s="1"/>
  <c r="D2583" i="45" s="1"/>
  <c r="B2550" i="45"/>
  <c r="B2548" i="45"/>
  <c r="B2551" i="45" s="1"/>
  <c r="B2554" i="45" s="1"/>
  <c r="B2557" i="45" s="1"/>
  <c r="B2560" i="45" s="1"/>
  <c r="B2563" i="45" s="1"/>
  <c r="D2530" i="45"/>
  <c r="D2533" i="45" s="1"/>
  <c r="D2536" i="45" s="1"/>
  <c r="D2539" i="45" s="1"/>
  <c r="D2528" i="45"/>
  <c r="D2531" i="45" s="1"/>
  <c r="D2534" i="45" s="1"/>
  <c r="D2537" i="45" s="1"/>
  <c r="D2540" i="45" s="1"/>
  <c r="D2543" i="45" s="1"/>
  <c r="C2527" i="45"/>
  <c r="M2527" i="45" s="1"/>
  <c r="A2248" i="45"/>
  <c r="A2251" i="45" s="1"/>
  <c r="A2254" i="45" s="1"/>
  <c r="A2257" i="45" s="1"/>
  <c r="A2260" i="45" s="1"/>
  <c r="A2263" i="45" s="1"/>
  <c r="G2230" i="45"/>
  <c r="G2231" i="45" s="1"/>
  <c r="G2232" i="45" s="1"/>
  <c r="G2233" i="45" s="1"/>
  <c r="G2234" i="45" s="1"/>
  <c r="D2188" i="45"/>
  <c r="D2191" i="45" s="1"/>
  <c r="D2194" i="45" s="1"/>
  <c r="D2197" i="45" s="1"/>
  <c r="D2200" i="45" s="1"/>
  <c r="D2203" i="45" s="1"/>
  <c r="A2523" i="45"/>
  <c r="D2510" i="45"/>
  <c r="D2513" i="45" s="1"/>
  <c r="D2516" i="45" s="1"/>
  <c r="D2519" i="45" s="1"/>
  <c r="D2508" i="45"/>
  <c r="D2511" i="45" s="1"/>
  <c r="D2514" i="45" s="1"/>
  <c r="D2517" i="45" s="1"/>
  <c r="D2520" i="45" s="1"/>
  <c r="D2523" i="45" s="1"/>
  <c r="B2510" i="45"/>
  <c r="B2513" i="45" s="1"/>
  <c r="B2516" i="45" s="1"/>
  <c r="B2519" i="45" s="1"/>
  <c r="B2508" i="45"/>
  <c r="B2511" i="45" s="1"/>
  <c r="B2514" i="45" s="1"/>
  <c r="B2517" i="45" s="1"/>
  <c r="B2520" i="45" s="1"/>
  <c r="B2523" i="45" s="1"/>
  <c r="G2515" i="45"/>
  <c r="G2516" i="45" s="1"/>
  <c r="G2517" i="45" s="1"/>
  <c r="G2518" i="45" s="1"/>
  <c r="G2519" i="45" s="1"/>
  <c r="D2470" i="45"/>
  <c r="D2473" i="45" s="1"/>
  <c r="D2476" i="45" s="1"/>
  <c r="D2479" i="45" s="1"/>
  <c r="D2468" i="45"/>
  <c r="D2471" i="45" s="1"/>
  <c r="D2474" i="45" s="1"/>
  <c r="D2477" i="45" s="1"/>
  <c r="D2480" i="45" s="1"/>
  <c r="D2483" i="45" s="1"/>
  <c r="B2470" i="45"/>
  <c r="B2473" i="45" s="1"/>
  <c r="B2476" i="45" s="1"/>
  <c r="B2479" i="45" s="1"/>
  <c r="B2468" i="45"/>
  <c r="B2471" i="45" s="1"/>
  <c r="B2474" i="45" s="1"/>
  <c r="B2477" i="45" s="1"/>
  <c r="B2480" i="45" s="1"/>
  <c r="B2483" i="45" s="1"/>
  <c r="E2450" i="45"/>
  <c r="M2450" i="45" s="1"/>
  <c r="E2448" i="45"/>
  <c r="A2473" i="45"/>
  <c r="A2476" i="45" s="1"/>
  <c r="A2479" i="45" s="1"/>
  <c r="D2444" i="45"/>
  <c r="D2442" i="45"/>
  <c r="E2435" i="45"/>
  <c r="M2435" i="45" s="1"/>
  <c r="A2438" i="45"/>
  <c r="A2441" i="45" s="1"/>
  <c r="G2435" i="45"/>
  <c r="G2436" i="45" s="1"/>
  <c r="G2437" i="45" s="1"/>
  <c r="G2438" i="45" s="1"/>
  <c r="G2439" i="45" s="1"/>
  <c r="A2423" i="45"/>
  <c r="B2410" i="45"/>
  <c r="B2408" i="45"/>
  <c r="B2411" i="45" s="1"/>
  <c r="B2414" i="45" s="1"/>
  <c r="B2417" i="45" s="1"/>
  <c r="B2420" i="45" s="1"/>
  <c r="B2423" i="45" s="1"/>
  <c r="B2390" i="45"/>
  <c r="B2388" i="45"/>
  <c r="B2391" i="45" s="1"/>
  <c r="B2394" i="45" s="1"/>
  <c r="B2397" i="45" s="1"/>
  <c r="B2400" i="45" s="1"/>
  <c r="B2403" i="45" s="1"/>
  <c r="E2371" i="45"/>
  <c r="D2370" i="45"/>
  <c r="D2373" i="45" s="1"/>
  <c r="D2376" i="45" s="1"/>
  <c r="D2379" i="45" s="1"/>
  <c r="D2368" i="45"/>
  <c r="D2371" i="45" s="1"/>
  <c r="D2374" i="45" s="1"/>
  <c r="D2377" i="45" s="1"/>
  <c r="D2380" i="45" s="1"/>
  <c r="D2383" i="45" s="1"/>
  <c r="C2367" i="45"/>
  <c r="M2367" i="45" s="1"/>
  <c r="B2350" i="45"/>
  <c r="B2348" i="45"/>
  <c r="B2351" i="45" s="1"/>
  <c r="B2354" i="45" s="1"/>
  <c r="B2357" i="45" s="1"/>
  <c r="B2360" i="45" s="1"/>
  <c r="B2363" i="45" s="1"/>
  <c r="A2404" i="45"/>
  <c r="A2402" i="45"/>
  <c r="A2384" i="45"/>
  <c r="A2382" i="45"/>
  <c r="A2503" i="45"/>
  <c r="D2490" i="45"/>
  <c r="D2493" i="45" s="1"/>
  <c r="D2496" i="45" s="1"/>
  <c r="D2499" i="45" s="1"/>
  <c r="D2488" i="45"/>
  <c r="D2491" i="45" s="1"/>
  <c r="D2494" i="45" s="1"/>
  <c r="D2497" i="45" s="1"/>
  <c r="D2500" i="45" s="1"/>
  <c r="D2503" i="45" s="1"/>
  <c r="B2490" i="45"/>
  <c r="B2493" i="45" s="1"/>
  <c r="B2496" i="45" s="1"/>
  <c r="B2499" i="45" s="1"/>
  <c r="B2488" i="45"/>
  <c r="B2491" i="45" s="1"/>
  <c r="B2494" i="45" s="1"/>
  <c r="B2497" i="45" s="1"/>
  <c r="B2500" i="45" s="1"/>
  <c r="B2503" i="45" s="1"/>
  <c r="A2450" i="45"/>
  <c r="A2448" i="45"/>
  <c r="A2451" i="45" s="1"/>
  <c r="A2454" i="45" s="1"/>
  <c r="A2457" i="45" s="1"/>
  <c r="A2460" i="45" s="1"/>
  <c r="G2475" i="45"/>
  <c r="G2476" i="45" s="1"/>
  <c r="G2477" i="45" s="1"/>
  <c r="G2478" i="45" s="1"/>
  <c r="G2479" i="45" s="1"/>
  <c r="A2483" i="45"/>
  <c r="E2430" i="45"/>
  <c r="M2430" i="45" s="1"/>
  <c r="E2428" i="45"/>
  <c r="A2430" i="45"/>
  <c r="A2428" i="45"/>
  <c r="A2431" i="45" s="1"/>
  <c r="A2434" i="45" s="1"/>
  <c r="A2437" i="45" s="1"/>
  <c r="A2440" i="45" s="1"/>
  <c r="D2410" i="45"/>
  <c r="D2413" i="45" s="1"/>
  <c r="D2416" i="45" s="1"/>
  <c r="D2419" i="45" s="1"/>
  <c r="D2408" i="45"/>
  <c r="D2411" i="45" s="1"/>
  <c r="D2414" i="45" s="1"/>
  <c r="D2417" i="45" s="1"/>
  <c r="D2420" i="45" s="1"/>
  <c r="D2423" i="45" s="1"/>
  <c r="D2390" i="45"/>
  <c r="D2393" i="45" s="1"/>
  <c r="D2396" i="45" s="1"/>
  <c r="D2399" i="45" s="1"/>
  <c r="D2388" i="45"/>
  <c r="D2391" i="45" s="1"/>
  <c r="D2394" i="45" s="1"/>
  <c r="D2397" i="45" s="1"/>
  <c r="D2400" i="45" s="1"/>
  <c r="D2403" i="45" s="1"/>
  <c r="C2387" i="45"/>
  <c r="A2383" i="45"/>
  <c r="B2370" i="45"/>
  <c r="B2368" i="45"/>
  <c r="B2371" i="45" s="1"/>
  <c r="B2374" i="45" s="1"/>
  <c r="B2377" i="45" s="1"/>
  <c r="B2380" i="45" s="1"/>
  <c r="B2383" i="45" s="1"/>
  <c r="D2350" i="45"/>
  <c r="D2353" i="45" s="1"/>
  <c r="D2356" i="45" s="1"/>
  <c r="D2359" i="45" s="1"/>
  <c r="D2348" i="45"/>
  <c r="D2351" i="45" s="1"/>
  <c r="D2354" i="45" s="1"/>
  <c r="D2357" i="45" s="1"/>
  <c r="D2360" i="45" s="1"/>
  <c r="D2363" i="45" s="1"/>
  <c r="C2347" i="45"/>
  <c r="M2347" i="45" s="1"/>
  <c r="A2364" i="45"/>
  <c r="A2362" i="45"/>
  <c r="A2424" i="45"/>
  <c r="A2422" i="45"/>
  <c r="A2343" i="45"/>
  <c r="D2330" i="45"/>
  <c r="D2333" i="45" s="1"/>
  <c r="D2336" i="45" s="1"/>
  <c r="D2339" i="45" s="1"/>
  <c r="D2328" i="45"/>
  <c r="D2331" i="45" s="1"/>
  <c r="D2334" i="45" s="1"/>
  <c r="D2337" i="45" s="1"/>
  <c r="D2340" i="45" s="1"/>
  <c r="D2343" i="45" s="1"/>
  <c r="B2330" i="45"/>
  <c r="B2333" i="45" s="1"/>
  <c r="B2336" i="45" s="1"/>
  <c r="B2339" i="45" s="1"/>
  <c r="B2328" i="45"/>
  <c r="B2331" i="45" s="1"/>
  <c r="B2334" i="45" s="1"/>
  <c r="B2337" i="45" s="1"/>
  <c r="B2340" i="45" s="1"/>
  <c r="B2343" i="45" s="1"/>
  <c r="E2310" i="45"/>
  <c r="M2310" i="45" s="1"/>
  <c r="E2308" i="45"/>
  <c r="D2290" i="45"/>
  <c r="D2293" i="45" s="1"/>
  <c r="D2296" i="45" s="1"/>
  <c r="D2299" i="45" s="1"/>
  <c r="D2288" i="45"/>
  <c r="D2291" i="45" s="1"/>
  <c r="D2294" i="45" s="1"/>
  <c r="D2297" i="45" s="1"/>
  <c r="D2300" i="45" s="1"/>
  <c r="D2303" i="45" s="1"/>
  <c r="D2310" i="45"/>
  <c r="D2313" i="45" s="1"/>
  <c r="D2316" i="45" s="1"/>
  <c r="D2319" i="45" s="1"/>
  <c r="D2308" i="45"/>
  <c r="D2311" i="45" s="1"/>
  <c r="D2314" i="45" s="1"/>
  <c r="D2317" i="45" s="1"/>
  <c r="D2320" i="45" s="1"/>
  <c r="D2323" i="45" s="1"/>
  <c r="A2290" i="45"/>
  <c r="A2288" i="45"/>
  <c r="A2291" i="45" s="1"/>
  <c r="A2294" i="45" s="1"/>
  <c r="A2297" i="45" s="1"/>
  <c r="A2300" i="45" s="1"/>
  <c r="A2270" i="45"/>
  <c r="A2268" i="45"/>
  <c r="A2271" i="45" s="1"/>
  <c r="A2274" i="45" s="1"/>
  <c r="A2277" i="45" s="1"/>
  <c r="A2280" i="45" s="1"/>
  <c r="D2250" i="45"/>
  <c r="D2253" i="45" s="1"/>
  <c r="D2256" i="45" s="1"/>
  <c r="D2259" i="45" s="1"/>
  <c r="D2248" i="45"/>
  <c r="D2251" i="45" s="1"/>
  <c r="D2254" i="45" s="1"/>
  <c r="D2257" i="45" s="1"/>
  <c r="D2260" i="45" s="1"/>
  <c r="D2263" i="45" s="1"/>
  <c r="E2230" i="45"/>
  <c r="M2230" i="45" s="1"/>
  <c r="E2228" i="45"/>
  <c r="E2210" i="45"/>
  <c r="M2210" i="45" s="1"/>
  <c r="E2208" i="45"/>
  <c r="M2208" i="45" s="1"/>
  <c r="E2190" i="45"/>
  <c r="M2190" i="45" s="1"/>
  <c r="E2188" i="45"/>
  <c r="M2188" i="45" s="1"/>
  <c r="E2170" i="45"/>
  <c r="M2170" i="45" s="1"/>
  <c r="E2168" i="45"/>
  <c r="M2168" i="45" s="1"/>
  <c r="G2335" i="45"/>
  <c r="G2336" i="45" s="1"/>
  <c r="G2337" i="45" s="1"/>
  <c r="G2338" i="45" s="1"/>
  <c r="G2339" i="45" s="1"/>
  <c r="A2333" i="45"/>
  <c r="A2336" i="45" s="1"/>
  <c r="A2339" i="45" s="1"/>
  <c r="A2310" i="45"/>
  <c r="A2308" i="45"/>
  <c r="A2311" i="45" s="1"/>
  <c r="A2314" i="45" s="1"/>
  <c r="A2317" i="45" s="1"/>
  <c r="A2320" i="45" s="1"/>
  <c r="B2290" i="45"/>
  <c r="B2293" i="45" s="1"/>
  <c r="B2296" i="45" s="1"/>
  <c r="B2299" i="45" s="1"/>
  <c r="B2288" i="45"/>
  <c r="B2291" i="45" s="1"/>
  <c r="B2294" i="45" s="1"/>
  <c r="B2297" i="45" s="1"/>
  <c r="B2300" i="45" s="1"/>
  <c r="B2303" i="45" s="1"/>
  <c r="B2310" i="45"/>
  <c r="B2313" i="45" s="1"/>
  <c r="B2316" i="45" s="1"/>
  <c r="B2319" i="45" s="1"/>
  <c r="B2308" i="45"/>
  <c r="B2311" i="45" s="1"/>
  <c r="B2314" i="45" s="1"/>
  <c r="B2317" i="45" s="1"/>
  <c r="B2320" i="45" s="1"/>
  <c r="B2323" i="45" s="1"/>
  <c r="E2290" i="45"/>
  <c r="M2290" i="45" s="1"/>
  <c r="E2288" i="45"/>
  <c r="E2270" i="45"/>
  <c r="M2270" i="45" s="1"/>
  <c r="E2268" i="45"/>
  <c r="B2250" i="45"/>
  <c r="B2248" i="45"/>
  <c r="B2251" i="45" s="1"/>
  <c r="B2254" i="45" s="1"/>
  <c r="B2257" i="45" s="1"/>
  <c r="B2260" i="45" s="1"/>
  <c r="B2263" i="45" s="1"/>
  <c r="A2264" i="45"/>
  <c r="A2262" i="45"/>
  <c r="A2210" i="45"/>
  <c r="A2208" i="45"/>
  <c r="A2211" i="45" s="1"/>
  <c r="A2214" i="45" s="1"/>
  <c r="A2217" i="45" s="1"/>
  <c r="A2220" i="45" s="1"/>
  <c r="A2190" i="45"/>
  <c r="A2188" i="45"/>
  <c r="A2191" i="45" s="1"/>
  <c r="A2194" i="45" s="1"/>
  <c r="A2197" i="45" s="1"/>
  <c r="A2200" i="45" s="1"/>
  <c r="A2170" i="45"/>
  <c r="A2168" i="45"/>
  <c r="A2171" i="45" s="1"/>
  <c r="A2174" i="45" s="1"/>
  <c r="A2177" i="45" s="1"/>
  <c r="A2180" i="45" s="1"/>
  <c r="A1530" i="45"/>
  <c r="A1533" i="45" s="1"/>
  <c r="A1536" i="45" s="1"/>
  <c r="A1539" i="45" s="1"/>
  <c r="G1515" i="45"/>
  <c r="G1516" i="45" s="1"/>
  <c r="G1517" i="45" s="1"/>
  <c r="G1518" i="45" s="1"/>
  <c r="G1519" i="45" s="1"/>
  <c r="B1730" i="45"/>
  <c r="B1733" i="45" s="1"/>
  <c r="B1736" i="45" s="1"/>
  <c r="B1739" i="45" s="1"/>
  <c r="B1742" i="45" s="1"/>
  <c r="D1668" i="45"/>
  <c r="D1671" i="45" s="1"/>
  <c r="D1674" i="45" s="1"/>
  <c r="D1677" i="45" s="1"/>
  <c r="D1680" i="45" s="1"/>
  <c r="D1683" i="45" s="1"/>
  <c r="D1684" i="45"/>
  <c r="G1700" i="45"/>
  <c r="G1701" i="45" s="1"/>
  <c r="G1702" i="45" s="1"/>
  <c r="G1703" i="45" s="1"/>
  <c r="G1704" i="45" s="1"/>
  <c r="G1775" i="45"/>
  <c r="G1776" i="45" s="1"/>
  <c r="G1777" i="45" s="1"/>
  <c r="G1778" i="45" s="1"/>
  <c r="G1779" i="45" s="1"/>
  <c r="G1975" i="45"/>
  <c r="G1976" i="45" s="1"/>
  <c r="G1977" i="45" s="1"/>
  <c r="G1978" i="45" s="1"/>
  <c r="G1979" i="45" s="1"/>
  <c r="G2135" i="45"/>
  <c r="G2136" i="45" s="1"/>
  <c r="G2137" i="45" s="1"/>
  <c r="G2138" i="45" s="1"/>
  <c r="G2139" i="45" s="1"/>
  <c r="G1955" i="45"/>
  <c r="G1956" i="45" s="1"/>
  <c r="G1957" i="45" s="1"/>
  <c r="G1958" i="45" s="1"/>
  <c r="G1959" i="45" s="1"/>
  <c r="A2123" i="45"/>
  <c r="D2110" i="45"/>
  <c r="D2113" i="45" s="1"/>
  <c r="D2116" i="45" s="1"/>
  <c r="D2119" i="45" s="1"/>
  <c r="D2108" i="45"/>
  <c r="D2111" i="45" s="1"/>
  <c r="D2114" i="45" s="1"/>
  <c r="D2117" i="45" s="1"/>
  <c r="D2120" i="45" s="1"/>
  <c r="D2123" i="45" s="1"/>
  <c r="B2110" i="45"/>
  <c r="B2113" i="45" s="1"/>
  <c r="B2116" i="45" s="1"/>
  <c r="B2119" i="45" s="1"/>
  <c r="B2108" i="45"/>
  <c r="B2111" i="45" s="1"/>
  <c r="B2114" i="45" s="1"/>
  <c r="B2117" i="45" s="1"/>
  <c r="B2120" i="45" s="1"/>
  <c r="B2123" i="45" s="1"/>
  <c r="E2095" i="45"/>
  <c r="M2095" i="45" s="1"/>
  <c r="A2098" i="45"/>
  <c r="A2101" i="45" s="1"/>
  <c r="G2095" i="45"/>
  <c r="G2096" i="45" s="1"/>
  <c r="G2097" i="45" s="1"/>
  <c r="G2098" i="45" s="1"/>
  <c r="G2099" i="45" s="1"/>
  <c r="A2073" i="45"/>
  <c r="A2076" i="45" s="1"/>
  <c r="A2079" i="45" s="1"/>
  <c r="E2050" i="45"/>
  <c r="M2050" i="45" s="1"/>
  <c r="E2048" i="45"/>
  <c r="D2030" i="45"/>
  <c r="D2033" i="45" s="1"/>
  <c r="D2036" i="45" s="1"/>
  <c r="D2039" i="45" s="1"/>
  <c r="D2028" i="45"/>
  <c r="D2031" i="45" s="1"/>
  <c r="D2034" i="45" s="1"/>
  <c r="D2037" i="45" s="1"/>
  <c r="D2040" i="45" s="1"/>
  <c r="D2043" i="45" s="1"/>
  <c r="G2155" i="45"/>
  <c r="G2156" i="45" s="1"/>
  <c r="G2157" i="45" s="1"/>
  <c r="G2158" i="45" s="1"/>
  <c r="G2159" i="45" s="1"/>
  <c r="A2064" i="45"/>
  <c r="A2062" i="45"/>
  <c r="B2064" i="45"/>
  <c r="B2062" i="45"/>
  <c r="A2044" i="45"/>
  <c r="A2042" i="45"/>
  <c r="B2010" i="45"/>
  <c r="B2013" i="45" s="1"/>
  <c r="B2016" i="45" s="1"/>
  <c r="B2019" i="45" s="1"/>
  <c r="B2008" i="45"/>
  <c r="B2011" i="45" s="1"/>
  <c r="B2014" i="45" s="1"/>
  <c r="B2017" i="45" s="1"/>
  <c r="B2020" i="45" s="1"/>
  <c r="B2023" i="45" s="1"/>
  <c r="A2003" i="45"/>
  <c r="D1990" i="45"/>
  <c r="D1993" i="45" s="1"/>
  <c r="D1996" i="45" s="1"/>
  <c r="D1999" i="45" s="1"/>
  <c r="D1988" i="45"/>
  <c r="D1991" i="45" s="1"/>
  <c r="D1994" i="45" s="1"/>
  <c r="D1997" i="45" s="1"/>
  <c r="D2000" i="45" s="1"/>
  <c r="D2003" i="45" s="1"/>
  <c r="E2038" i="45"/>
  <c r="A2013" i="45"/>
  <c r="A2016" i="45" s="1"/>
  <c r="A2019" i="45" s="1"/>
  <c r="B1990" i="45"/>
  <c r="B1993" i="45" s="1"/>
  <c r="B1996" i="45" s="1"/>
  <c r="B1999" i="45" s="1"/>
  <c r="B1988" i="45"/>
  <c r="B1991" i="45" s="1"/>
  <c r="B1994" i="45" s="1"/>
  <c r="B1997" i="45" s="1"/>
  <c r="B2000" i="45" s="1"/>
  <c r="B2003" i="45" s="1"/>
  <c r="G1995" i="45"/>
  <c r="G1996" i="45" s="1"/>
  <c r="G1997" i="45" s="1"/>
  <c r="G1998" i="45" s="1"/>
  <c r="G1999" i="45" s="1"/>
  <c r="A2153" i="45"/>
  <c r="A2156" i="45" s="1"/>
  <c r="A2159" i="45" s="1"/>
  <c r="D2130" i="45"/>
  <c r="D2133" i="45" s="1"/>
  <c r="D2136" i="45" s="1"/>
  <c r="D2139" i="45" s="1"/>
  <c r="D2128" i="45"/>
  <c r="D2131" i="45" s="1"/>
  <c r="D2134" i="45" s="1"/>
  <c r="D2137" i="45" s="1"/>
  <c r="D2140" i="45" s="1"/>
  <c r="D2143" i="45" s="1"/>
  <c r="B2130" i="45"/>
  <c r="B2133" i="45" s="1"/>
  <c r="B2136" i="45" s="1"/>
  <c r="B2139" i="45" s="1"/>
  <c r="B2128" i="45"/>
  <c r="B2131" i="45" s="1"/>
  <c r="B2134" i="45" s="1"/>
  <c r="B2137" i="45" s="1"/>
  <c r="B2140" i="45" s="1"/>
  <c r="B2143" i="45" s="1"/>
  <c r="E2111" i="45"/>
  <c r="M2111" i="45" s="1"/>
  <c r="D2150" i="45"/>
  <c r="D2153" i="45" s="1"/>
  <c r="D2156" i="45" s="1"/>
  <c r="D2159" i="45" s="1"/>
  <c r="D2148" i="45"/>
  <c r="D2151" i="45" s="1"/>
  <c r="D2154" i="45" s="1"/>
  <c r="D2157" i="45" s="1"/>
  <c r="D2160" i="45" s="1"/>
  <c r="D2163" i="45" s="1"/>
  <c r="B2148" i="45"/>
  <c r="B2151" i="45" s="1"/>
  <c r="B2154" i="45" s="1"/>
  <c r="B2157" i="45" s="1"/>
  <c r="B2160" i="45" s="1"/>
  <c r="B2163" i="45" s="1"/>
  <c r="B2150" i="45"/>
  <c r="B2153" i="45" s="1"/>
  <c r="B2156" i="45" s="1"/>
  <c r="B2159" i="45" s="1"/>
  <c r="A2133" i="45"/>
  <c r="A2136" i="45" s="1"/>
  <c r="A2139" i="45" s="1"/>
  <c r="E2088" i="45"/>
  <c r="E2090" i="45"/>
  <c r="M2090" i="45" s="1"/>
  <c r="A2088" i="45"/>
  <c r="A2091" i="45" s="1"/>
  <c r="A2094" i="45" s="1"/>
  <c r="A2097" i="45" s="1"/>
  <c r="A2100" i="45" s="1"/>
  <c r="A2090" i="45"/>
  <c r="D2070" i="45"/>
  <c r="D2073" i="45" s="1"/>
  <c r="D2076" i="45" s="1"/>
  <c r="D2079" i="45" s="1"/>
  <c r="D2068" i="45"/>
  <c r="D2071" i="45" s="1"/>
  <c r="D2074" i="45" s="1"/>
  <c r="D2077" i="45" s="1"/>
  <c r="D2080" i="45" s="1"/>
  <c r="D2083" i="45" s="1"/>
  <c r="B2070" i="45"/>
  <c r="B2073" i="45" s="1"/>
  <c r="B2076" i="45" s="1"/>
  <c r="B2079" i="45" s="1"/>
  <c r="B2068" i="45"/>
  <c r="B2071" i="45" s="1"/>
  <c r="B2074" i="45" s="1"/>
  <c r="B2077" i="45" s="1"/>
  <c r="B2080" i="45" s="1"/>
  <c r="B2083" i="45" s="1"/>
  <c r="E2055" i="45"/>
  <c r="M2055" i="45" s="1"/>
  <c r="B2030" i="45"/>
  <c r="B2028" i="45"/>
  <c r="B2031" i="45" s="1"/>
  <c r="B2034" i="45" s="1"/>
  <c r="B2037" i="45" s="1"/>
  <c r="B2040" i="45" s="1"/>
  <c r="B2043" i="45" s="1"/>
  <c r="G2115" i="45"/>
  <c r="G2116" i="45" s="1"/>
  <c r="G2117" i="45" s="1"/>
  <c r="G2118" i="45" s="1"/>
  <c r="G2119" i="45" s="1"/>
  <c r="G2075" i="45"/>
  <c r="G2076" i="45" s="1"/>
  <c r="G2077" i="45" s="1"/>
  <c r="G2078" i="45" s="1"/>
  <c r="G2079" i="45" s="1"/>
  <c r="A1993" i="45"/>
  <c r="A1996" i="45" s="1"/>
  <c r="A1999" i="45" s="1"/>
  <c r="G2060" i="45"/>
  <c r="G2061" i="45" s="1"/>
  <c r="G2062" i="45" s="1"/>
  <c r="G2063" i="45" s="1"/>
  <c r="G2064" i="45" s="1"/>
  <c r="G2015" i="45"/>
  <c r="G2016" i="45" s="1"/>
  <c r="G2017" i="45" s="1"/>
  <c r="G2018" i="45" s="1"/>
  <c r="G2019" i="45" s="1"/>
  <c r="D2010" i="45"/>
  <c r="D2013" i="45" s="1"/>
  <c r="D2016" i="45" s="1"/>
  <c r="D2019" i="45" s="1"/>
  <c r="D2008" i="45"/>
  <c r="D2011" i="45" s="1"/>
  <c r="D2014" i="45" s="1"/>
  <c r="D2017" i="45" s="1"/>
  <c r="D2020" i="45" s="1"/>
  <c r="D2023" i="45" s="1"/>
  <c r="D1970" i="45"/>
  <c r="D1973" i="45" s="1"/>
  <c r="D1976" i="45" s="1"/>
  <c r="D1979" i="45" s="1"/>
  <c r="D1968" i="45"/>
  <c r="D1971" i="45" s="1"/>
  <c r="D1974" i="45" s="1"/>
  <c r="D1977" i="45" s="1"/>
  <c r="D1980" i="45" s="1"/>
  <c r="D1983" i="45" s="1"/>
  <c r="A1963" i="45"/>
  <c r="D1950" i="45"/>
  <c r="D1953" i="45" s="1"/>
  <c r="D1956" i="45" s="1"/>
  <c r="D1959" i="45" s="1"/>
  <c r="D1948" i="45"/>
  <c r="D1951" i="45" s="1"/>
  <c r="D1954" i="45" s="1"/>
  <c r="D1957" i="45" s="1"/>
  <c r="D1960" i="45" s="1"/>
  <c r="D1963" i="45" s="1"/>
  <c r="B1950" i="45"/>
  <c r="B1953" i="45" s="1"/>
  <c r="B1956" i="45" s="1"/>
  <c r="B1959" i="45" s="1"/>
  <c r="B1948" i="45"/>
  <c r="B1951" i="45" s="1"/>
  <c r="B1954" i="45" s="1"/>
  <c r="B1957" i="45" s="1"/>
  <c r="B1960" i="45" s="1"/>
  <c r="B1963" i="45" s="1"/>
  <c r="A1943" i="45"/>
  <c r="B1930" i="45"/>
  <c r="B1933" i="45" s="1"/>
  <c r="B1936" i="45" s="1"/>
  <c r="B1939" i="45" s="1"/>
  <c r="B1928" i="45"/>
  <c r="B1931" i="45" s="1"/>
  <c r="B1934" i="45" s="1"/>
  <c r="B1937" i="45" s="1"/>
  <c r="B1940" i="45" s="1"/>
  <c r="B1943" i="45" s="1"/>
  <c r="E1915" i="45"/>
  <c r="M1915" i="45" s="1"/>
  <c r="A1893" i="45"/>
  <c r="A1896" i="45" s="1"/>
  <c r="A1899" i="45" s="1"/>
  <c r="D1924" i="45"/>
  <c r="D1922" i="45"/>
  <c r="B1864" i="45"/>
  <c r="B1862" i="45"/>
  <c r="E1850" i="45"/>
  <c r="M1850" i="45" s="1"/>
  <c r="E1848" i="45"/>
  <c r="M1848" i="45" s="1"/>
  <c r="A1850" i="45"/>
  <c r="A1848" i="45"/>
  <c r="A1851" i="45" s="1"/>
  <c r="A1854" i="45" s="1"/>
  <c r="A1857" i="45" s="1"/>
  <c r="A1860" i="45" s="1"/>
  <c r="E1835" i="45"/>
  <c r="M1835" i="45" s="1"/>
  <c r="A1838" i="45"/>
  <c r="A1841" i="45" s="1"/>
  <c r="G1835" i="45"/>
  <c r="G1836" i="45" s="1"/>
  <c r="G1837" i="45" s="1"/>
  <c r="G1838" i="45" s="1"/>
  <c r="G1839" i="45" s="1"/>
  <c r="E1810" i="45"/>
  <c r="M1810" i="45" s="1"/>
  <c r="E1808" i="45"/>
  <c r="M1808" i="45" s="1"/>
  <c r="E1818" i="45"/>
  <c r="M1818" i="45" s="1"/>
  <c r="B1970" i="45"/>
  <c r="B1973" i="45" s="1"/>
  <c r="B1976" i="45" s="1"/>
  <c r="B1979" i="45" s="1"/>
  <c r="B1968" i="45"/>
  <c r="B1971" i="45" s="1"/>
  <c r="B1974" i="45" s="1"/>
  <c r="B1977" i="45" s="1"/>
  <c r="B1980" i="45" s="1"/>
  <c r="B1983" i="45" s="1"/>
  <c r="D1930" i="45"/>
  <c r="D1933" i="45" s="1"/>
  <c r="D1936" i="45" s="1"/>
  <c r="D1939" i="45" s="1"/>
  <c r="D1928" i="45"/>
  <c r="D1931" i="45" s="1"/>
  <c r="D1934" i="45" s="1"/>
  <c r="D1937" i="45" s="1"/>
  <c r="D1940" i="45" s="1"/>
  <c r="D1943" i="45" s="1"/>
  <c r="A1918" i="45"/>
  <c r="A1921" i="45" s="1"/>
  <c r="G1915" i="45"/>
  <c r="G1916" i="45" s="1"/>
  <c r="G1917" i="45" s="1"/>
  <c r="G1918" i="45" s="1"/>
  <c r="G1919" i="45" s="1"/>
  <c r="A1973" i="45"/>
  <c r="A1976" i="45" s="1"/>
  <c r="A1979" i="45" s="1"/>
  <c r="B1924" i="45"/>
  <c r="B1922" i="45"/>
  <c r="E1908" i="45"/>
  <c r="E1910" i="45"/>
  <c r="M1910" i="45" s="1"/>
  <c r="A1908" i="45"/>
  <c r="A1911" i="45" s="1"/>
  <c r="A1914" i="45" s="1"/>
  <c r="A1917" i="45" s="1"/>
  <c r="A1920" i="45" s="1"/>
  <c r="A1910" i="45"/>
  <c r="D1890" i="45"/>
  <c r="D1893" i="45" s="1"/>
  <c r="D1896" i="45" s="1"/>
  <c r="D1899" i="45" s="1"/>
  <c r="D1888" i="45"/>
  <c r="D1891" i="45" s="1"/>
  <c r="D1894" i="45" s="1"/>
  <c r="D1897" i="45" s="1"/>
  <c r="D1900" i="45" s="1"/>
  <c r="D1903" i="45" s="1"/>
  <c r="B1890" i="45"/>
  <c r="B1893" i="45" s="1"/>
  <c r="B1896" i="45" s="1"/>
  <c r="B1899" i="45" s="1"/>
  <c r="B1888" i="45"/>
  <c r="B1891" i="45" s="1"/>
  <c r="B1894" i="45" s="1"/>
  <c r="B1897" i="45" s="1"/>
  <c r="B1900" i="45" s="1"/>
  <c r="B1903" i="45" s="1"/>
  <c r="E1870" i="45"/>
  <c r="M1870" i="45" s="1"/>
  <c r="E1868" i="45"/>
  <c r="G1935" i="45"/>
  <c r="G1936" i="45" s="1"/>
  <c r="G1937" i="45" s="1"/>
  <c r="G1938" i="45" s="1"/>
  <c r="G1939" i="45" s="1"/>
  <c r="A1884" i="45"/>
  <c r="A1882" i="45"/>
  <c r="D1884" i="45"/>
  <c r="D1882" i="45"/>
  <c r="E1855" i="45"/>
  <c r="M1855" i="45" s="1"/>
  <c r="A1858" i="45"/>
  <c r="A1861" i="45" s="1"/>
  <c r="G1855" i="45"/>
  <c r="G1856" i="45" s="1"/>
  <c r="G1857" i="45" s="1"/>
  <c r="G1858" i="45" s="1"/>
  <c r="G1859" i="45" s="1"/>
  <c r="G1895" i="45"/>
  <c r="G1896" i="45" s="1"/>
  <c r="G1897" i="45" s="1"/>
  <c r="G1898" i="45" s="1"/>
  <c r="G1899" i="45" s="1"/>
  <c r="D1864" i="45"/>
  <c r="D1862" i="45"/>
  <c r="E1830" i="45"/>
  <c r="M1830" i="45" s="1"/>
  <c r="E1828" i="45"/>
  <c r="M1828" i="45" s="1"/>
  <c r="A1830" i="45"/>
  <c r="A1828" i="45"/>
  <c r="A1831" i="45" s="1"/>
  <c r="A1834" i="45" s="1"/>
  <c r="A1837" i="45" s="1"/>
  <c r="A1840" i="45" s="1"/>
  <c r="A1810" i="45"/>
  <c r="A1808" i="45"/>
  <c r="A1811" i="45" s="1"/>
  <c r="A1814" i="45" s="1"/>
  <c r="A1817" i="45" s="1"/>
  <c r="A1820" i="45" s="1"/>
  <c r="A1390" i="45"/>
  <c r="A1393" i="45" s="1"/>
  <c r="A1396" i="45" s="1"/>
  <c r="A1399" i="45" s="1"/>
  <c r="E1308" i="45"/>
  <c r="E1288" i="45"/>
  <c r="M1288" i="45" s="1"/>
  <c r="E1395" i="45"/>
  <c r="M1395" i="45" s="1"/>
  <c r="G1315" i="45"/>
  <c r="G1316" i="45" s="1"/>
  <c r="G1317" i="45" s="1"/>
  <c r="G1318" i="45" s="1"/>
  <c r="G1319" i="45" s="1"/>
  <c r="A1270" i="45"/>
  <c r="A1273" i="45" s="1"/>
  <c r="A1276" i="45" s="1"/>
  <c r="A1279" i="45" s="1"/>
  <c r="D1550" i="45"/>
  <c r="D1553" i="45" s="1"/>
  <c r="D1556" i="45" s="1"/>
  <c r="D1559" i="45" s="1"/>
  <c r="D1564" i="45" s="1"/>
  <c r="E1748" i="45"/>
  <c r="A1608" i="45"/>
  <c r="A1611" i="45" s="1"/>
  <c r="A1614" i="45" s="1"/>
  <c r="A1617" i="45" s="1"/>
  <c r="A1620" i="45" s="1"/>
  <c r="A1623" i="45" s="1"/>
  <c r="B1548" i="45"/>
  <c r="B1551" i="45" s="1"/>
  <c r="B1554" i="45" s="1"/>
  <c r="B1557" i="45" s="1"/>
  <c r="B1560" i="45" s="1"/>
  <c r="B1563" i="45" s="1"/>
  <c r="B1508" i="45"/>
  <c r="B1511" i="45" s="1"/>
  <c r="B1514" i="45" s="1"/>
  <c r="B1517" i="45" s="1"/>
  <c r="B1520" i="45" s="1"/>
  <c r="B1523" i="45" s="1"/>
  <c r="G1495" i="45"/>
  <c r="G1496" i="45" s="1"/>
  <c r="G1497" i="45" s="1"/>
  <c r="G1498" i="45" s="1"/>
  <c r="G1499" i="45" s="1"/>
  <c r="A1803" i="45"/>
  <c r="D1790" i="45"/>
  <c r="D1793" i="45" s="1"/>
  <c r="D1796" i="45" s="1"/>
  <c r="D1799" i="45" s="1"/>
  <c r="D1788" i="45"/>
  <c r="D1791" i="45" s="1"/>
  <c r="D1794" i="45" s="1"/>
  <c r="D1797" i="45" s="1"/>
  <c r="D1800" i="45" s="1"/>
  <c r="D1803" i="45" s="1"/>
  <c r="B1790" i="45"/>
  <c r="B1793" i="45" s="1"/>
  <c r="B1796" i="45" s="1"/>
  <c r="B1799" i="45" s="1"/>
  <c r="B1788" i="45"/>
  <c r="B1791" i="45" s="1"/>
  <c r="B1794" i="45" s="1"/>
  <c r="B1797" i="45" s="1"/>
  <c r="B1800" i="45" s="1"/>
  <c r="B1803" i="45" s="1"/>
  <c r="A1763" i="45"/>
  <c r="B1750" i="45"/>
  <c r="B1748" i="45"/>
  <c r="B1751" i="45" s="1"/>
  <c r="B1754" i="45" s="1"/>
  <c r="B1757" i="45" s="1"/>
  <c r="B1760" i="45" s="1"/>
  <c r="B1763" i="45" s="1"/>
  <c r="G1795" i="45"/>
  <c r="G1796" i="45" s="1"/>
  <c r="G1797" i="45" s="1"/>
  <c r="G1798" i="45" s="1"/>
  <c r="G1799" i="45" s="1"/>
  <c r="A1773" i="45"/>
  <c r="A1776" i="45" s="1"/>
  <c r="A1779" i="45" s="1"/>
  <c r="A1764" i="45"/>
  <c r="A1762" i="45"/>
  <c r="E1730" i="45"/>
  <c r="M1730" i="45" s="1"/>
  <c r="E1728" i="45"/>
  <c r="A1730" i="45"/>
  <c r="A1728" i="45"/>
  <c r="A1731" i="45" s="1"/>
  <c r="A1734" i="45" s="1"/>
  <c r="A1737" i="45" s="1"/>
  <c r="A1740" i="45" s="1"/>
  <c r="D1710" i="45"/>
  <c r="D1713" i="45" s="1"/>
  <c r="D1716" i="45" s="1"/>
  <c r="D1719" i="45" s="1"/>
  <c r="D1708" i="45"/>
  <c r="D1711" i="45" s="1"/>
  <c r="D1714" i="45" s="1"/>
  <c r="D1717" i="45" s="1"/>
  <c r="D1720" i="45" s="1"/>
  <c r="D1723" i="45" s="1"/>
  <c r="E1670" i="45"/>
  <c r="M1670" i="45" s="1"/>
  <c r="E1668" i="45"/>
  <c r="M1668" i="45" s="1"/>
  <c r="E1650" i="45"/>
  <c r="M1650" i="45" s="1"/>
  <c r="E1648" i="45"/>
  <c r="M1648" i="45" s="1"/>
  <c r="E1630" i="45"/>
  <c r="M1630" i="45" s="1"/>
  <c r="E1628" i="45"/>
  <c r="M1628" i="45" s="1"/>
  <c r="D1704" i="45"/>
  <c r="D1702" i="45"/>
  <c r="E1690" i="45"/>
  <c r="M1690" i="45" s="1"/>
  <c r="E1688" i="45"/>
  <c r="A1793" i="45"/>
  <c r="A1796" i="45" s="1"/>
  <c r="A1799" i="45" s="1"/>
  <c r="D1750" i="45"/>
  <c r="D1753" i="45" s="1"/>
  <c r="D1756" i="45" s="1"/>
  <c r="D1759" i="45" s="1"/>
  <c r="D1748" i="45"/>
  <c r="D1751" i="45" s="1"/>
  <c r="D1754" i="45" s="1"/>
  <c r="D1757" i="45" s="1"/>
  <c r="D1760" i="45" s="1"/>
  <c r="D1763" i="45" s="1"/>
  <c r="A1783" i="45"/>
  <c r="D1770" i="45"/>
  <c r="D1773" i="45" s="1"/>
  <c r="D1776" i="45" s="1"/>
  <c r="D1779" i="45" s="1"/>
  <c r="D1768" i="45"/>
  <c r="D1771" i="45" s="1"/>
  <c r="D1774" i="45" s="1"/>
  <c r="D1777" i="45" s="1"/>
  <c r="D1780" i="45" s="1"/>
  <c r="D1783" i="45" s="1"/>
  <c r="B1770" i="45"/>
  <c r="B1773" i="45" s="1"/>
  <c r="B1776" i="45" s="1"/>
  <c r="B1779" i="45" s="1"/>
  <c r="B1768" i="45"/>
  <c r="B1771" i="45" s="1"/>
  <c r="B1774" i="45" s="1"/>
  <c r="B1777" i="45" s="1"/>
  <c r="B1780" i="45" s="1"/>
  <c r="B1783" i="45" s="1"/>
  <c r="E1735" i="45"/>
  <c r="M1735" i="45" s="1"/>
  <c r="A1738" i="45"/>
  <c r="A1741" i="45" s="1"/>
  <c r="G1735" i="45"/>
  <c r="G1736" i="45" s="1"/>
  <c r="G1737" i="45" s="1"/>
  <c r="G1738" i="45" s="1"/>
  <c r="G1739" i="45" s="1"/>
  <c r="A1723" i="45"/>
  <c r="B1710" i="45"/>
  <c r="B1708" i="45"/>
  <c r="B1711" i="45" s="1"/>
  <c r="B1714" i="45" s="1"/>
  <c r="B1717" i="45" s="1"/>
  <c r="B1720" i="45" s="1"/>
  <c r="B1723" i="45" s="1"/>
  <c r="A1724" i="45"/>
  <c r="A1722" i="45"/>
  <c r="A1670" i="45"/>
  <c r="A1668" i="45"/>
  <c r="A1671" i="45" s="1"/>
  <c r="A1674" i="45" s="1"/>
  <c r="A1677" i="45" s="1"/>
  <c r="A1680" i="45" s="1"/>
  <c r="A1650" i="45"/>
  <c r="A1648" i="45"/>
  <c r="A1651" i="45" s="1"/>
  <c r="A1654" i="45" s="1"/>
  <c r="A1657" i="45" s="1"/>
  <c r="A1660" i="45" s="1"/>
  <c r="A1630" i="45"/>
  <c r="A1628" i="45"/>
  <c r="A1631" i="45" s="1"/>
  <c r="A1634" i="45" s="1"/>
  <c r="A1637" i="45" s="1"/>
  <c r="A1640" i="45" s="1"/>
  <c r="E1695" i="45"/>
  <c r="M1695" i="45" s="1"/>
  <c r="D1610" i="45"/>
  <c r="D1613" i="45" s="1"/>
  <c r="D1616" i="45" s="1"/>
  <c r="D1619" i="45" s="1"/>
  <c r="D1608" i="45"/>
  <c r="D1611" i="45" s="1"/>
  <c r="D1614" i="45" s="1"/>
  <c r="D1617" i="45" s="1"/>
  <c r="D1620" i="45" s="1"/>
  <c r="D1623" i="45" s="1"/>
  <c r="B1608" i="45"/>
  <c r="B1611" i="45" s="1"/>
  <c r="B1614" i="45" s="1"/>
  <c r="B1617" i="45" s="1"/>
  <c r="B1620" i="45" s="1"/>
  <c r="B1623" i="45" s="1"/>
  <c r="B1610" i="45"/>
  <c r="B1613" i="45" s="1"/>
  <c r="B1616" i="45" s="1"/>
  <c r="B1619" i="45" s="1"/>
  <c r="A1573" i="45"/>
  <c r="A1576" i="45" s="1"/>
  <c r="A1579" i="45" s="1"/>
  <c r="B1564" i="45"/>
  <c r="B1562" i="45"/>
  <c r="E1548" i="45"/>
  <c r="E1550" i="45"/>
  <c r="M1550" i="45" s="1"/>
  <c r="A1548" i="45"/>
  <c r="A1551" i="45" s="1"/>
  <c r="A1554" i="45" s="1"/>
  <c r="A1557" i="45" s="1"/>
  <c r="A1560" i="45" s="1"/>
  <c r="A1550" i="45"/>
  <c r="D1524" i="45"/>
  <c r="D1522" i="45"/>
  <c r="E1510" i="45"/>
  <c r="M1510" i="45" s="1"/>
  <c r="E1508" i="45"/>
  <c r="G1615" i="45"/>
  <c r="G1616" i="45" s="1"/>
  <c r="G1617" i="45" s="1"/>
  <c r="G1618" i="45" s="1"/>
  <c r="G1619" i="45" s="1"/>
  <c r="G1595" i="45"/>
  <c r="G1596" i="45" s="1"/>
  <c r="G1597" i="45" s="1"/>
  <c r="G1598" i="45" s="1"/>
  <c r="G1599" i="45" s="1"/>
  <c r="A1493" i="45"/>
  <c r="A1496" i="45" s="1"/>
  <c r="A1499" i="45" s="1"/>
  <c r="B1470" i="45"/>
  <c r="B1473" i="45" s="1"/>
  <c r="B1476" i="45" s="1"/>
  <c r="B1479" i="45" s="1"/>
  <c r="B1468" i="45"/>
  <c r="B1471" i="45" s="1"/>
  <c r="B1474" i="45" s="1"/>
  <c r="B1477" i="45" s="1"/>
  <c r="B1480" i="45" s="1"/>
  <c r="B1483" i="45" s="1"/>
  <c r="G1455" i="45"/>
  <c r="G1456" i="45" s="1"/>
  <c r="G1457" i="45" s="1"/>
  <c r="G1458" i="45" s="1"/>
  <c r="G1459" i="45" s="1"/>
  <c r="A1463" i="45"/>
  <c r="D1450" i="45"/>
  <c r="D1453" i="45" s="1"/>
  <c r="D1456" i="45" s="1"/>
  <c r="D1459" i="45" s="1"/>
  <c r="D1448" i="45"/>
  <c r="D1451" i="45" s="1"/>
  <c r="D1454" i="45" s="1"/>
  <c r="D1457" i="45" s="1"/>
  <c r="D1460" i="45" s="1"/>
  <c r="D1463" i="45" s="1"/>
  <c r="G1535" i="45"/>
  <c r="G1536" i="45" s="1"/>
  <c r="G1537" i="45" s="1"/>
  <c r="G1538" i="45" s="1"/>
  <c r="G1539" i="45" s="1"/>
  <c r="G1510" i="45"/>
  <c r="G1511" i="45" s="1"/>
  <c r="G1512" i="45" s="1"/>
  <c r="G1513" i="45" s="1"/>
  <c r="G1514" i="45" s="1"/>
  <c r="B1490" i="45"/>
  <c r="B1493" i="45" s="1"/>
  <c r="B1496" i="45" s="1"/>
  <c r="B1499" i="45" s="1"/>
  <c r="B1488" i="45"/>
  <c r="B1491" i="45" s="1"/>
  <c r="B1494" i="45" s="1"/>
  <c r="B1497" i="45" s="1"/>
  <c r="B1500" i="45" s="1"/>
  <c r="B1503" i="45" s="1"/>
  <c r="A1483" i="45"/>
  <c r="D1470" i="45"/>
  <c r="D1473" i="45" s="1"/>
  <c r="D1476" i="45" s="1"/>
  <c r="D1479" i="45" s="1"/>
  <c r="D1468" i="45"/>
  <c r="D1471" i="45" s="1"/>
  <c r="D1474" i="45" s="1"/>
  <c r="D1477" i="45" s="1"/>
  <c r="D1480" i="45" s="1"/>
  <c r="D1483" i="45" s="1"/>
  <c r="G1475" i="45"/>
  <c r="G1476" i="45" s="1"/>
  <c r="G1477" i="45" s="1"/>
  <c r="G1478" i="45" s="1"/>
  <c r="G1479" i="45" s="1"/>
  <c r="A1613" i="45"/>
  <c r="A1616" i="45" s="1"/>
  <c r="A1619" i="45" s="1"/>
  <c r="E1618" i="45"/>
  <c r="M1618" i="45" s="1"/>
  <c r="A1603" i="45"/>
  <c r="D1590" i="45"/>
  <c r="D1593" i="45" s="1"/>
  <c r="D1596" i="45" s="1"/>
  <c r="D1599" i="45" s="1"/>
  <c r="D1588" i="45"/>
  <c r="D1591" i="45" s="1"/>
  <c r="D1594" i="45" s="1"/>
  <c r="D1597" i="45" s="1"/>
  <c r="D1600" i="45" s="1"/>
  <c r="D1603" i="45" s="1"/>
  <c r="B1590" i="45"/>
  <c r="B1593" i="45" s="1"/>
  <c r="B1596" i="45" s="1"/>
  <c r="B1599" i="45" s="1"/>
  <c r="B1588" i="45"/>
  <c r="B1591" i="45" s="1"/>
  <c r="B1594" i="45" s="1"/>
  <c r="B1597" i="45" s="1"/>
  <c r="B1600" i="45" s="1"/>
  <c r="B1603" i="45" s="1"/>
  <c r="D1570" i="45"/>
  <c r="D1573" i="45" s="1"/>
  <c r="D1576" i="45" s="1"/>
  <c r="D1579" i="45" s="1"/>
  <c r="D1568" i="45"/>
  <c r="D1571" i="45" s="1"/>
  <c r="D1574" i="45" s="1"/>
  <c r="D1577" i="45" s="1"/>
  <c r="D1580" i="45" s="1"/>
  <c r="D1583" i="45" s="1"/>
  <c r="B1570" i="45"/>
  <c r="B1573" i="45" s="1"/>
  <c r="B1576" i="45" s="1"/>
  <c r="B1579" i="45" s="1"/>
  <c r="B1568" i="45"/>
  <c r="B1571" i="45" s="1"/>
  <c r="B1574" i="45" s="1"/>
  <c r="B1577" i="45" s="1"/>
  <c r="B1580" i="45" s="1"/>
  <c r="B1583" i="45" s="1"/>
  <c r="E1555" i="45"/>
  <c r="M1555" i="45" s="1"/>
  <c r="A1558" i="45"/>
  <c r="A1561" i="45" s="1"/>
  <c r="G1555" i="45"/>
  <c r="G1556" i="45" s="1"/>
  <c r="G1557" i="45" s="1"/>
  <c r="G1558" i="45" s="1"/>
  <c r="G1559" i="45" s="1"/>
  <c r="A1543" i="45"/>
  <c r="D1530" i="45"/>
  <c r="D1533" i="45" s="1"/>
  <c r="D1536" i="45" s="1"/>
  <c r="D1539" i="45" s="1"/>
  <c r="D1528" i="45"/>
  <c r="D1531" i="45" s="1"/>
  <c r="D1534" i="45" s="1"/>
  <c r="D1537" i="45" s="1"/>
  <c r="D1540" i="45" s="1"/>
  <c r="D1543" i="45" s="1"/>
  <c r="B1530" i="45"/>
  <c r="B1533" i="45" s="1"/>
  <c r="B1536" i="45" s="1"/>
  <c r="B1539" i="45" s="1"/>
  <c r="B1528" i="45"/>
  <c r="B1531" i="45" s="1"/>
  <c r="B1534" i="45" s="1"/>
  <c r="B1537" i="45" s="1"/>
  <c r="B1540" i="45" s="1"/>
  <c r="B1543" i="45" s="1"/>
  <c r="E1515" i="45"/>
  <c r="M1515" i="45" s="1"/>
  <c r="G1575" i="45"/>
  <c r="G1576" i="45" s="1"/>
  <c r="G1577" i="45" s="1"/>
  <c r="G1578" i="45" s="1"/>
  <c r="G1579" i="45" s="1"/>
  <c r="B1524" i="45"/>
  <c r="B1522" i="45"/>
  <c r="D1490" i="45"/>
  <c r="D1493" i="45" s="1"/>
  <c r="D1496" i="45" s="1"/>
  <c r="D1499" i="45" s="1"/>
  <c r="D1488" i="45"/>
  <c r="D1491" i="45" s="1"/>
  <c r="D1494" i="45" s="1"/>
  <c r="D1497" i="45" s="1"/>
  <c r="D1500" i="45" s="1"/>
  <c r="D1503" i="45" s="1"/>
  <c r="A1524" i="45"/>
  <c r="A1522" i="45"/>
  <c r="B1450" i="45"/>
  <c r="B1453" i="45" s="1"/>
  <c r="B1456" i="45" s="1"/>
  <c r="B1459" i="45" s="1"/>
  <c r="B1448" i="45"/>
  <c r="B1451" i="45" s="1"/>
  <c r="B1454" i="45" s="1"/>
  <c r="B1457" i="45" s="1"/>
  <c r="B1460" i="45" s="1"/>
  <c r="B1463" i="45" s="1"/>
  <c r="A1423" i="45"/>
  <c r="D1410" i="45"/>
  <c r="D1413" i="45" s="1"/>
  <c r="D1416" i="45" s="1"/>
  <c r="D1419" i="45" s="1"/>
  <c r="D1408" i="45"/>
  <c r="D1411" i="45" s="1"/>
  <c r="D1414" i="45" s="1"/>
  <c r="D1417" i="45" s="1"/>
  <c r="D1420" i="45" s="1"/>
  <c r="D1423" i="45" s="1"/>
  <c r="B1410" i="45"/>
  <c r="B1413" i="45" s="1"/>
  <c r="B1416" i="45" s="1"/>
  <c r="B1419" i="45" s="1"/>
  <c r="B1408" i="45"/>
  <c r="B1411" i="45" s="1"/>
  <c r="B1414" i="45" s="1"/>
  <c r="B1417" i="45" s="1"/>
  <c r="B1420" i="45" s="1"/>
  <c r="B1423" i="45" s="1"/>
  <c r="A1403" i="45"/>
  <c r="D1390" i="45"/>
  <c r="D1393" i="45" s="1"/>
  <c r="D1396" i="45" s="1"/>
  <c r="D1399" i="45" s="1"/>
  <c r="D1388" i="45"/>
  <c r="D1391" i="45" s="1"/>
  <c r="D1394" i="45" s="1"/>
  <c r="D1397" i="45" s="1"/>
  <c r="D1400" i="45" s="1"/>
  <c r="D1403" i="45" s="1"/>
  <c r="B1390" i="45"/>
  <c r="B1393" i="45" s="1"/>
  <c r="B1396" i="45" s="1"/>
  <c r="B1399" i="45" s="1"/>
  <c r="B1388" i="45"/>
  <c r="B1391" i="45" s="1"/>
  <c r="B1394" i="45" s="1"/>
  <c r="B1397" i="45" s="1"/>
  <c r="B1400" i="45" s="1"/>
  <c r="B1403" i="45" s="1"/>
  <c r="E1375" i="45"/>
  <c r="M1375" i="45" s="1"/>
  <c r="A1378" i="45"/>
  <c r="A1381" i="45" s="1"/>
  <c r="G1375" i="45"/>
  <c r="G1376" i="45" s="1"/>
  <c r="G1377" i="45" s="1"/>
  <c r="G1378" i="45" s="1"/>
  <c r="G1379" i="45" s="1"/>
  <c r="D1344" i="45"/>
  <c r="D1342" i="45"/>
  <c r="E1330" i="45"/>
  <c r="M1330" i="45" s="1"/>
  <c r="E1328" i="45"/>
  <c r="D1310" i="45"/>
  <c r="D1313" i="45" s="1"/>
  <c r="D1316" i="45" s="1"/>
  <c r="D1319" i="45" s="1"/>
  <c r="D1308" i="45"/>
  <c r="D1311" i="45" s="1"/>
  <c r="D1314" i="45" s="1"/>
  <c r="D1317" i="45" s="1"/>
  <c r="D1320" i="45" s="1"/>
  <c r="D1323" i="45" s="1"/>
  <c r="G1435" i="45"/>
  <c r="G1436" i="45" s="1"/>
  <c r="G1437" i="45" s="1"/>
  <c r="G1438" i="45" s="1"/>
  <c r="G1439" i="45" s="1"/>
  <c r="G1415" i="45"/>
  <c r="G1416" i="45" s="1"/>
  <c r="G1417" i="45" s="1"/>
  <c r="G1418" i="45" s="1"/>
  <c r="G1419" i="45" s="1"/>
  <c r="A1344" i="45"/>
  <c r="A1342" i="45"/>
  <c r="B1344" i="45"/>
  <c r="B1342" i="45"/>
  <c r="A1324" i="45"/>
  <c r="A1322" i="45"/>
  <c r="G1295" i="45"/>
  <c r="G1296" i="45" s="1"/>
  <c r="G1297" i="45" s="1"/>
  <c r="G1298" i="45" s="1"/>
  <c r="G1299" i="45" s="1"/>
  <c r="D1290" i="45"/>
  <c r="D1293" i="45" s="1"/>
  <c r="D1296" i="45" s="1"/>
  <c r="D1299" i="45" s="1"/>
  <c r="D1288" i="45"/>
  <c r="D1291" i="45" s="1"/>
  <c r="D1294" i="45" s="1"/>
  <c r="D1297" i="45" s="1"/>
  <c r="D1300" i="45" s="1"/>
  <c r="D1303" i="45" s="1"/>
  <c r="G1275" i="45"/>
  <c r="G1276" i="45" s="1"/>
  <c r="G1277" i="45" s="1"/>
  <c r="G1278" i="45" s="1"/>
  <c r="G1279" i="45" s="1"/>
  <c r="A1283" i="45"/>
  <c r="D1270" i="45"/>
  <c r="D1273" i="45" s="1"/>
  <c r="D1276" i="45" s="1"/>
  <c r="D1279" i="45" s="1"/>
  <c r="D1268" i="45"/>
  <c r="D1271" i="45" s="1"/>
  <c r="D1274" i="45" s="1"/>
  <c r="D1277" i="45" s="1"/>
  <c r="D1280" i="45" s="1"/>
  <c r="D1283" i="45" s="1"/>
  <c r="A1443" i="45"/>
  <c r="D1430" i="45"/>
  <c r="D1433" i="45" s="1"/>
  <c r="D1436" i="45" s="1"/>
  <c r="D1439" i="45" s="1"/>
  <c r="D1428" i="45"/>
  <c r="D1431" i="45" s="1"/>
  <c r="D1434" i="45" s="1"/>
  <c r="D1437" i="45" s="1"/>
  <c r="D1440" i="45" s="1"/>
  <c r="D1443" i="45" s="1"/>
  <c r="B1428" i="45"/>
  <c r="B1431" i="45" s="1"/>
  <c r="B1434" i="45" s="1"/>
  <c r="B1437" i="45" s="1"/>
  <c r="B1440" i="45" s="1"/>
  <c r="B1443" i="45" s="1"/>
  <c r="B1430" i="45"/>
  <c r="B1433" i="45" s="1"/>
  <c r="B1436" i="45" s="1"/>
  <c r="B1439" i="45" s="1"/>
  <c r="B1384" i="45"/>
  <c r="B1382" i="45"/>
  <c r="E1368" i="45"/>
  <c r="E1370" i="45"/>
  <c r="M1370" i="45" s="1"/>
  <c r="A1368" i="45"/>
  <c r="A1371" i="45" s="1"/>
  <c r="A1374" i="45" s="1"/>
  <c r="A1377" i="45" s="1"/>
  <c r="A1380" i="45" s="1"/>
  <c r="A1370" i="45"/>
  <c r="A1363" i="45"/>
  <c r="D1350" i="45"/>
  <c r="D1353" i="45" s="1"/>
  <c r="D1356" i="45" s="1"/>
  <c r="D1359" i="45" s="1"/>
  <c r="D1348" i="45"/>
  <c r="D1351" i="45" s="1"/>
  <c r="D1354" i="45" s="1"/>
  <c r="D1357" i="45" s="1"/>
  <c r="D1360" i="45" s="1"/>
  <c r="D1363" i="45" s="1"/>
  <c r="B1350" i="45"/>
  <c r="B1353" i="45" s="1"/>
  <c r="B1356" i="45" s="1"/>
  <c r="B1359" i="45" s="1"/>
  <c r="B1348" i="45"/>
  <c r="B1351" i="45" s="1"/>
  <c r="B1354" i="45" s="1"/>
  <c r="B1357" i="45" s="1"/>
  <c r="B1360" i="45" s="1"/>
  <c r="B1363" i="45" s="1"/>
  <c r="E1335" i="45"/>
  <c r="M1335" i="45" s="1"/>
  <c r="A1323" i="45"/>
  <c r="B1310" i="45"/>
  <c r="B1308" i="45"/>
  <c r="B1311" i="45" s="1"/>
  <c r="B1314" i="45" s="1"/>
  <c r="B1317" i="45" s="1"/>
  <c r="B1320" i="45" s="1"/>
  <c r="B1323" i="45" s="1"/>
  <c r="G1395" i="45"/>
  <c r="G1396" i="45" s="1"/>
  <c r="G1397" i="45" s="1"/>
  <c r="G1398" i="45" s="1"/>
  <c r="G1399" i="45" s="1"/>
  <c r="G1330" i="45"/>
  <c r="G1331" i="45" s="1"/>
  <c r="G1332" i="45" s="1"/>
  <c r="G1333" i="45" s="1"/>
  <c r="G1334" i="45" s="1"/>
  <c r="G1355" i="45"/>
  <c r="G1356" i="45" s="1"/>
  <c r="G1357" i="45" s="1"/>
  <c r="G1358" i="45" s="1"/>
  <c r="G1359" i="45" s="1"/>
  <c r="B1290" i="45"/>
  <c r="B1293" i="45" s="1"/>
  <c r="B1296" i="45" s="1"/>
  <c r="B1299" i="45" s="1"/>
  <c r="B1288" i="45"/>
  <c r="B1291" i="45" s="1"/>
  <c r="B1294" i="45" s="1"/>
  <c r="B1297" i="45" s="1"/>
  <c r="B1300" i="45" s="1"/>
  <c r="B1303" i="45" s="1"/>
  <c r="E1273" i="45"/>
  <c r="M1273" i="45" s="1"/>
  <c r="A1293" i="45"/>
  <c r="A1296" i="45" s="1"/>
  <c r="A1299" i="45" s="1"/>
  <c r="B1270" i="45"/>
  <c r="B1273" i="45" s="1"/>
  <c r="B1276" i="45" s="1"/>
  <c r="B1279" i="45" s="1"/>
  <c r="B1268" i="45"/>
  <c r="B1271" i="45" s="1"/>
  <c r="B1274" i="45" s="1"/>
  <c r="B1277" i="45" s="1"/>
  <c r="B1280" i="45" s="1"/>
  <c r="B1283" i="45" s="1"/>
  <c r="N3305" i="45" l="1"/>
  <c r="E1933" i="45"/>
  <c r="M1933" i="45" s="1"/>
  <c r="E2998" i="45"/>
  <c r="M2998" i="45" s="1"/>
  <c r="N1445" i="45"/>
  <c r="P1445" i="45"/>
  <c r="E1573" i="45"/>
  <c r="M1573" i="45" s="1"/>
  <c r="E2278" i="45"/>
  <c r="M2278" i="45" s="1"/>
  <c r="E2851" i="45"/>
  <c r="M2851" i="45" s="1"/>
  <c r="N1565" i="45"/>
  <c r="E1973" i="45"/>
  <c r="M1973" i="45" s="1"/>
  <c r="M1318" i="45"/>
  <c r="M1310" i="45"/>
  <c r="M1308" i="45"/>
  <c r="E2011" i="45"/>
  <c r="M2011" i="45" s="1"/>
  <c r="N3385" i="45"/>
  <c r="E3938" i="45"/>
  <c r="M3938" i="45" s="1"/>
  <c r="E4056" i="45"/>
  <c r="M4056" i="45" s="1"/>
  <c r="E2218" i="45"/>
  <c r="M2218" i="45" s="1"/>
  <c r="E1438" i="45"/>
  <c r="M1438" i="45" s="1"/>
  <c r="E3878" i="45"/>
  <c r="M3878" i="45" s="1"/>
  <c r="E1638" i="45"/>
  <c r="M1638" i="45" s="1"/>
  <c r="E2331" i="45"/>
  <c r="M2331" i="45" s="1"/>
  <c r="E3738" i="45"/>
  <c r="M3738" i="45" s="1"/>
  <c r="N2325" i="45"/>
  <c r="E3238" i="45"/>
  <c r="M3238" i="45" s="1"/>
  <c r="E1758" i="45"/>
  <c r="M1758" i="45" s="1"/>
  <c r="M3628" i="45"/>
  <c r="E3578" i="45"/>
  <c r="M3578" i="45" s="1"/>
  <c r="E1298" i="45"/>
  <c r="M1298" i="45" s="1"/>
  <c r="E1271" i="45"/>
  <c r="M1271" i="45" s="1"/>
  <c r="N1270" i="45" s="1"/>
  <c r="E3278" i="45"/>
  <c r="M3278" i="45" s="1"/>
  <c r="P2325" i="45"/>
  <c r="E1493" i="45"/>
  <c r="M1493" i="45" s="1"/>
  <c r="E2298" i="45"/>
  <c r="M2298" i="45" s="1"/>
  <c r="E2491" i="45"/>
  <c r="M2491" i="45" s="1"/>
  <c r="M3638" i="45"/>
  <c r="E1451" i="45"/>
  <c r="M1451" i="45" s="1"/>
  <c r="E1678" i="45"/>
  <c r="M1678" i="45" s="1"/>
  <c r="E1931" i="45"/>
  <c r="M1931" i="45" s="1"/>
  <c r="Q1930" i="45" s="1"/>
  <c r="E2318" i="45"/>
  <c r="M2318" i="45" s="1"/>
  <c r="E3098" i="45"/>
  <c r="M3098" i="45" s="1"/>
  <c r="M3830" i="45"/>
  <c r="N1925" i="45"/>
  <c r="E1413" i="45"/>
  <c r="M1413" i="45" s="1"/>
  <c r="E1773" i="45"/>
  <c r="M1773" i="45" s="1"/>
  <c r="B1842" i="45"/>
  <c r="E2638" i="45"/>
  <c r="M2638" i="45" s="1"/>
  <c r="M3810" i="45"/>
  <c r="M3838" i="45"/>
  <c r="M2030" i="45"/>
  <c r="E3918" i="45"/>
  <c r="M3918" i="45" s="1"/>
  <c r="E3373" i="45"/>
  <c r="M3373" i="45" s="1"/>
  <c r="E1411" i="45"/>
  <c r="M1411" i="45" s="1"/>
  <c r="E1793" i="45"/>
  <c r="M1793" i="45" s="1"/>
  <c r="E1953" i="45"/>
  <c r="M1953" i="45" s="1"/>
  <c r="E2458" i="45"/>
  <c r="M2458" i="45" s="1"/>
  <c r="N1405" i="45"/>
  <c r="P1405" i="45"/>
  <c r="E1393" i="45"/>
  <c r="M1393" i="45" s="1"/>
  <c r="E1718" i="45"/>
  <c r="M1718" i="45" s="1"/>
  <c r="E3138" i="45"/>
  <c r="M3138" i="45" s="1"/>
  <c r="E3391" i="45"/>
  <c r="M3391" i="45" s="1"/>
  <c r="E3718" i="45"/>
  <c r="M3718" i="45" s="1"/>
  <c r="M3788" i="45"/>
  <c r="E3858" i="45"/>
  <c r="M3858" i="45" s="1"/>
  <c r="Q4090" i="45"/>
  <c r="Q4030" i="45"/>
  <c r="E1453" i="45"/>
  <c r="M1453" i="45" s="1"/>
  <c r="E2198" i="45"/>
  <c r="M2198" i="45" s="1"/>
  <c r="E2333" i="45"/>
  <c r="M2333" i="45" s="1"/>
  <c r="Q2330" i="45" s="1"/>
  <c r="E2471" i="45"/>
  <c r="M2471" i="45" s="1"/>
  <c r="E2473" i="45"/>
  <c r="M2473" i="45" s="1"/>
  <c r="E2838" i="45"/>
  <c r="M2838" i="45" s="1"/>
  <c r="E3158" i="45"/>
  <c r="M3158" i="45" s="1"/>
  <c r="E3538" i="45"/>
  <c r="M3538" i="45" s="1"/>
  <c r="M3790" i="45"/>
  <c r="M3798" i="45"/>
  <c r="E4061" i="45"/>
  <c r="M4061" i="45" s="1"/>
  <c r="Q4130" i="45"/>
  <c r="E1491" i="45"/>
  <c r="M1491" i="45" s="1"/>
  <c r="E1658" i="45"/>
  <c r="M1658" i="45" s="1"/>
  <c r="E1771" i="45"/>
  <c r="M1771" i="45" s="1"/>
  <c r="E1951" i="45"/>
  <c r="M1951" i="45" s="1"/>
  <c r="P1950" i="45" s="1"/>
  <c r="M2038" i="45"/>
  <c r="E2258" i="45"/>
  <c r="M2258" i="45" s="1"/>
  <c r="E2178" i="45"/>
  <c r="M2178" i="45" s="1"/>
  <c r="E2238" i="45"/>
  <c r="M2238" i="45" s="1"/>
  <c r="E2493" i="45"/>
  <c r="M2493" i="45" s="1"/>
  <c r="E2573" i="45"/>
  <c r="M2573" i="45" s="1"/>
  <c r="E3078" i="45"/>
  <c r="M3078" i="45" s="1"/>
  <c r="E3393" i="45"/>
  <c r="M3393" i="45" s="1"/>
  <c r="E3318" i="45"/>
  <c r="M3318" i="45" s="1"/>
  <c r="Q4070" i="45"/>
  <c r="Q3990" i="45"/>
  <c r="Q4110" i="45"/>
  <c r="Q1945" i="45"/>
  <c r="E1418" i="45"/>
  <c r="M1418" i="45" s="1"/>
  <c r="E1473" i="45"/>
  <c r="M1473" i="45" s="1"/>
  <c r="E1591" i="45"/>
  <c r="M1591" i="45" s="1"/>
  <c r="E1593" i="45"/>
  <c r="M1593" i="45" s="1"/>
  <c r="B1704" i="45"/>
  <c r="E1971" i="45"/>
  <c r="M1971" i="45" s="1"/>
  <c r="Q1970" i="45" s="1"/>
  <c r="E1993" i="45"/>
  <c r="M1993" i="45" s="1"/>
  <c r="E2071" i="45"/>
  <c r="M2071" i="45" s="1"/>
  <c r="B2442" i="45"/>
  <c r="E2513" i="45"/>
  <c r="M2513" i="45" s="1"/>
  <c r="P2510" i="45" s="1"/>
  <c r="E2818" i="45"/>
  <c r="M2818" i="45" s="1"/>
  <c r="E3178" i="45"/>
  <c r="M3178" i="45" s="1"/>
  <c r="E3118" i="45"/>
  <c r="M3118" i="45" s="1"/>
  <c r="E3311" i="45"/>
  <c r="M3311" i="45" s="1"/>
  <c r="E3678" i="45"/>
  <c r="M3678" i="45" s="1"/>
  <c r="E3771" i="45"/>
  <c r="M3771" i="45" s="1"/>
  <c r="E3898" i="45"/>
  <c r="M3898" i="45" s="1"/>
  <c r="E3958" i="45"/>
  <c r="M3958" i="45" s="1"/>
  <c r="E3418" i="45"/>
  <c r="M3418" i="45" s="1"/>
  <c r="E4116" i="45"/>
  <c r="M4116" i="45" s="1"/>
  <c r="Q4010" i="45"/>
  <c r="Q3970" i="45"/>
  <c r="Q4050" i="45"/>
  <c r="Q1585" i="45"/>
  <c r="Q1265" i="45"/>
  <c r="Q1645" i="45"/>
  <c r="Q3265" i="45"/>
  <c r="Q1445" i="45"/>
  <c r="Q1825" i="45"/>
  <c r="Q2205" i="45"/>
  <c r="Q3085" i="45"/>
  <c r="Q3465" i="45"/>
  <c r="Q1285" i="45"/>
  <c r="Q1665" i="45"/>
  <c r="Q3285" i="45"/>
  <c r="Q1805" i="45"/>
  <c r="Q2185" i="45"/>
  <c r="Q2565" i="45"/>
  <c r="Q3105" i="45"/>
  <c r="Q1925" i="45"/>
  <c r="Q3045" i="45"/>
  <c r="Q2125" i="45"/>
  <c r="Q2765" i="45"/>
  <c r="Q2845" i="45"/>
  <c r="Q2585" i="45"/>
  <c r="Q3125" i="45"/>
  <c r="Q2065" i="45"/>
  <c r="Q2465" i="45"/>
  <c r="Q3365" i="45"/>
  <c r="Q3765" i="45"/>
  <c r="Q1985" i="45"/>
  <c r="Q3605" i="45"/>
  <c r="Q1485" i="45"/>
  <c r="Q2165" i="45"/>
  <c r="Q3425" i="45"/>
  <c r="Q1625" i="45"/>
  <c r="Q2005" i="45"/>
  <c r="Q3245" i="45"/>
  <c r="Q1465" i="45"/>
  <c r="Q1845" i="45"/>
  <c r="Q3065" i="45"/>
  <c r="Q3445" i="45"/>
  <c r="Q1565" i="45"/>
  <c r="Q1965" i="45"/>
  <c r="Q3005" i="45"/>
  <c r="Q3225" i="45"/>
  <c r="Q1765" i="45"/>
  <c r="Q2405" i="45"/>
  <c r="Q2485" i="45"/>
  <c r="Q3305" i="45"/>
  <c r="Q3385" i="45"/>
  <c r="Q1385" i="45"/>
  <c r="Q1785" i="45"/>
  <c r="M3828" i="45"/>
  <c r="M3818" i="45"/>
  <c r="M3808" i="45"/>
  <c r="B3864" i="45"/>
  <c r="P4090" i="45"/>
  <c r="P4030" i="45"/>
  <c r="P4070" i="45"/>
  <c r="P3990" i="45"/>
  <c r="P4130" i="45"/>
  <c r="E4114" i="45"/>
  <c r="E4117" i="45" s="1"/>
  <c r="M4117" i="45" s="1"/>
  <c r="P4050" i="45"/>
  <c r="P1585" i="45"/>
  <c r="P4010" i="45"/>
  <c r="P3970" i="45"/>
  <c r="P4110" i="45"/>
  <c r="P1945" i="45"/>
  <c r="P1985" i="45"/>
  <c r="P3605" i="45"/>
  <c r="P1485" i="45"/>
  <c r="P2165" i="45"/>
  <c r="P3425" i="45"/>
  <c r="N4045" i="45"/>
  <c r="P4045" i="45"/>
  <c r="N4085" i="45"/>
  <c r="P4085" i="45"/>
  <c r="P1625" i="45"/>
  <c r="P2005" i="45"/>
  <c r="P3245" i="45"/>
  <c r="P1465" i="45"/>
  <c r="P1845" i="45"/>
  <c r="P3065" i="45"/>
  <c r="P3445" i="45"/>
  <c r="N4125" i="45"/>
  <c r="P4125" i="45"/>
  <c r="P2845" i="45"/>
  <c r="P1265" i="45"/>
  <c r="P1645" i="45"/>
  <c r="P3265" i="45"/>
  <c r="P1825" i="45"/>
  <c r="P2205" i="45"/>
  <c r="P3085" i="45"/>
  <c r="P3465" i="45"/>
  <c r="N4065" i="45"/>
  <c r="P4065" i="45"/>
  <c r="N4025" i="45"/>
  <c r="P4025" i="45"/>
  <c r="P1285" i="45"/>
  <c r="P1665" i="45"/>
  <c r="P3285" i="45"/>
  <c r="P1805" i="45"/>
  <c r="P2185" i="45"/>
  <c r="P2565" i="45"/>
  <c r="P3105" i="45"/>
  <c r="P2485" i="45"/>
  <c r="M1548" i="45"/>
  <c r="Q1545" i="45" s="1"/>
  <c r="M1728" i="45"/>
  <c r="Q1725" i="45" s="1"/>
  <c r="M1748" i="45"/>
  <c r="Q1745" i="45" s="1"/>
  <c r="M1908" i="45"/>
  <c r="Q1905" i="45" s="1"/>
  <c r="M2048" i="45"/>
  <c r="Q2045" i="45" s="1"/>
  <c r="M2268" i="45"/>
  <c r="Q2265" i="45" s="1"/>
  <c r="M2448" i="45"/>
  <c r="Q2445" i="45" s="1"/>
  <c r="M2608" i="45"/>
  <c r="Q2605" i="45" s="1"/>
  <c r="M2968" i="45"/>
  <c r="Q2965" i="45" s="1"/>
  <c r="M3148" i="45"/>
  <c r="Q3145" i="45" s="1"/>
  <c r="M3328" i="45"/>
  <c r="Q3325" i="45" s="1"/>
  <c r="M3348" i="45"/>
  <c r="Q3345" i="45" s="1"/>
  <c r="M2688" i="45"/>
  <c r="Q2685" i="45" s="1"/>
  <c r="M3548" i="45"/>
  <c r="Q3545" i="45" s="1"/>
  <c r="M3568" i="45"/>
  <c r="Q3565" i="45" s="1"/>
  <c r="M3528" i="45"/>
  <c r="Q3525" i="45" s="1"/>
  <c r="M3588" i="45"/>
  <c r="Q3585" i="45" s="1"/>
  <c r="M3668" i="45"/>
  <c r="Q3665" i="45" s="1"/>
  <c r="M3748" i="45"/>
  <c r="Q3745" i="45" s="1"/>
  <c r="M3728" i="45"/>
  <c r="Q3725" i="45" s="1"/>
  <c r="M3650" i="45"/>
  <c r="M2948" i="45"/>
  <c r="Q2945" i="45" s="1"/>
  <c r="M3848" i="45"/>
  <c r="Q3845" i="45" s="1"/>
  <c r="M3888" i="45"/>
  <c r="Q3885" i="45" s="1"/>
  <c r="M3908" i="45"/>
  <c r="Q3905" i="45" s="1"/>
  <c r="M3928" i="45"/>
  <c r="Q3925" i="45" s="1"/>
  <c r="M3868" i="45"/>
  <c r="Q3865" i="45" s="1"/>
  <c r="M3408" i="45"/>
  <c r="Q3405" i="45" s="1"/>
  <c r="M1348" i="45"/>
  <c r="Q1345" i="45" s="1"/>
  <c r="M1888" i="45"/>
  <c r="Q1885" i="45" s="1"/>
  <c r="M2628" i="45"/>
  <c r="Q2625" i="45" s="1"/>
  <c r="M2508" i="45"/>
  <c r="Q2505" i="45" s="1"/>
  <c r="M2788" i="45"/>
  <c r="Q2785" i="45" s="1"/>
  <c r="M3635" i="45"/>
  <c r="M3795" i="45"/>
  <c r="M1312" i="45"/>
  <c r="M3792" i="45"/>
  <c r="M3647" i="45"/>
  <c r="M2032" i="45"/>
  <c r="M2907" i="45"/>
  <c r="M2747" i="45"/>
  <c r="M2027" i="45"/>
  <c r="M1307" i="45"/>
  <c r="M3652" i="45"/>
  <c r="M3812" i="45"/>
  <c r="M3807" i="45"/>
  <c r="M3627" i="45"/>
  <c r="M2387" i="45"/>
  <c r="M1368" i="45"/>
  <c r="Q1365" i="45" s="1"/>
  <c r="M1328" i="45"/>
  <c r="Q1325" i="45" s="1"/>
  <c r="M1508" i="45"/>
  <c r="Q1505" i="45" s="1"/>
  <c r="M1688" i="45"/>
  <c r="Q1685" i="45" s="1"/>
  <c r="M1868" i="45"/>
  <c r="Q1865" i="45" s="1"/>
  <c r="M2088" i="45"/>
  <c r="Q2085" i="45" s="1"/>
  <c r="M2288" i="45"/>
  <c r="Q2285" i="45" s="1"/>
  <c r="M2228" i="45"/>
  <c r="Q2225" i="45" s="1"/>
  <c r="M2308" i="45"/>
  <c r="Q2305" i="45" s="1"/>
  <c r="M2428" i="45"/>
  <c r="Q2425" i="45" s="1"/>
  <c r="M2648" i="45"/>
  <c r="Q2645" i="45" s="1"/>
  <c r="M2808" i="45"/>
  <c r="Q2805" i="45" s="1"/>
  <c r="M2828" i="45"/>
  <c r="Q2825" i="45" s="1"/>
  <c r="M2988" i="45"/>
  <c r="Q2985" i="45" s="1"/>
  <c r="M3028" i="45"/>
  <c r="Q3025" i="45" s="1"/>
  <c r="M1708" i="45"/>
  <c r="Q1705" i="45" s="1"/>
  <c r="M3208" i="45"/>
  <c r="Q3205" i="45" s="1"/>
  <c r="M1428" i="45"/>
  <c r="Q1425" i="45" s="1"/>
  <c r="M2868" i="45"/>
  <c r="Q2865" i="45" s="1"/>
  <c r="M3488" i="45"/>
  <c r="Q3485" i="45" s="1"/>
  <c r="M3508" i="45"/>
  <c r="Q3505" i="45" s="1"/>
  <c r="M3688" i="45"/>
  <c r="Q3685" i="45" s="1"/>
  <c r="M3648" i="45"/>
  <c r="M3708" i="45"/>
  <c r="Q3705" i="45" s="1"/>
  <c r="M3948" i="45"/>
  <c r="Q3945" i="45" s="1"/>
  <c r="M1608" i="45"/>
  <c r="Q1605" i="45" s="1"/>
  <c r="M3188" i="45"/>
  <c r="Q3185" i="45" s="1"/>
  <c r="M2028" i="45"/>
  <c r="M3168" i="45"/>
  <c r="Q3165" i="45" s="1"/>
  <c r="M2668" i="45"/>
  <c r="Q2665" i="45" s="1"/>
  <c r="M2248" i="45"/>
  <c r="Q2245" i="45" s="1"/>
  <c r="M2148" i="45"/>
  <c r="Q2145" i="45" s="1"/>
  <c r="M3815" i="45"/>
  <c r="M1528" i="45"/>
  <c r="Q1525" i="45" s="1"/>
  <c r="M1315" i="45"/>
  <c r="M3835" i="45"/>
  <c r="M3632" i="45"/>
  <c r="M3832" i="45"/>
  <c r="M2707" i="45"/>
  <c r="M2927" i="45"/>
  <c r="M2035" i="45"/>
  <c r="M3787" i="45"/>
  <c r="M3827" i="45"/>
  <c r="M2547" i="45"/>
  <c r="M2887" i="45"/>
  <c r="N3765" i="45"/>
  <c r="N1945" i="45"/>
  <c r="N4090" i="45"/>
  <c r="N4030" i="45"/>
  <c r="N2065" i="45"/>
  <c r="N1965" i="45"/>
  <c r="N4070" i="45"/>
  <c r="N4130" i="45"/>
  <c r="N3990" i="45"/>
  <c r="N1585" i="45"/>
  <c r="N4010" i="45"/>
  <c r="N3970" i="45"/>
  <c r="N3365" i="45"/>
  <c r="E1991" i="45"/>
  <c r="M1991" i="45" s="1"/>
  <c r="P1990" i="45" s="1"/>
  <c r="N1985" i="45"/>
  <c r="E1791" i="45"/>
  <c r="M1791" i="45" s="1"/>
  <c r="N1785" i="45"/>
  <c r="E3421" i="45"/>
  <c r="M3421" i="45" s="1"/>
  <c r="E3338" i="45"/>
  <c r="M3338" i="45" s="1"/>
  <c r="E3133" i="45"/>
  <c r="M3133" i="45" s="1"/>
  <c r="E3198" i="45"/>
  <c r="M3198" i="45" s="1"/>
  <c r="E1978" i="45"/>
  <c r="M1978" i="45" s="1"/>
  <c r="E3231" i="45"/>
  <c r="M3231" i="45" s="1"/>
  <c r="N3225" i="45"/>
  <c r="E2478" i="45"/>
  <c r="M2478" i="45" s="1"/>
  <c r="E2018" i="45"/>
  <c r="M2018" i="45" s="1"/>
  <c r="E2953" i="45"/>
  <c r="M2953" i="45" s="1"/>
  <c r="E3131" i="45"/>
  <c r="M3131" i="45" s="1"/>
  <c r="P3130" i="45" s="1"/>
  <c r="N3125" i="45"/>
  <c r="E1598" i="45"/>
  <c r="M1598" i="45" s="1"/>
  <c r="E2558" i="45"/>
  <c r="E2561" i="45" s="1"/>
  <c r="E3258" i="45"/>
  <c r="M3258" i="45" s="1"/>
  <c r="E3398" i="45"/>
  <c r="M3398" i="45" s="1"/>
  <c r="E2571" i="45"/>
  <c r="M2571" i="45" s="1"/>
  <c r="N2565" i="45"/>
  <c r="E2358" i="45"/>
  <c r="E2361" i="45" s="1"/>
  <c r="E2591" i="45"/>
  <c r="M2591" i="45" s="1"/>
  <c r="N2585" i="45"/>
  <c r="E2931" i="45"/>
  <c r="E2934" i="45" s="1"/>
  <c r="E2937" i="45" s="1"/>
  <c r="E2911" i="45"/>
  <c r="E2914" i="45" s="1"/>
  <c r="E2917" i="45" s="1"/>
  <c r="E3011" i="45"/>
  <c r="M3011" i="45" s="1"/>
  <c r="N3005" i="45"/>
  <c r="N1765" i="45"/>
  <c r="N2465" i="45"/>
  <c r="N1825" i="45"/>
  <c r="N2185" i="45"/>
  <c r="N3065" i="45"/>
  <c r="N3465" i="45"/>
  <c r="N3245" i="45"/>
  <c r="N4110" i="45"/>
  <c r="N1845" i="45"/>
  <c r="N2165" i="45"/>
  <c r="N3085" i="45"/>
  <c r="N3445" i="45"/>
  <c r="N1665" i="45"/>
  <c r="N3265" i="45"/>
  <c r="E2153" i="45"/>
  <c r="M2153" i="45" s="1"/>
  <c r="P2150" i="45" s="1"/>
  <c r="E1471" i="45"/>
  <c r="M1471" i="45" s="1"/>
  <c r="N1465" i="45"/>
  <c r="E1353" i="45"/>
  <c r="M1353" i="45" s="1"/>
  <c r="E1613" i="45"/>
  <c r="M1613" i="45" s="1"/>
  <c r="E3018" i="45"/>
  <c r="M3018" i="45" s="1"/>
  <c r="E2138" i="45"/>
  <c r="M2138" i="45" s="1"/>
  <c r="E3413" i="45"/>
  <c r="M3413" i="45" s="1"/>
  <c r="E2118" i="45"/>
  <c r="M2118" i="45" s="1"/>
  <c r="E2978" i="45"/>
  <c r="M2978" i="45" s="1"/>
  <c r="E2873" i="45"/>
  <c r="M2873" i="45" s="1"/>
  <c r="E3051" i="45"/>
  <c r="M3051" i="45" s="1"/>
  <c r="N3045" i="45"/>
  <c r="E2418" i="45"/>
  <c r="M2418" i="45" s="1"/>
  <c r="E2133" i="45"/>
  <c r="M2133" i="45" s="1"/>
  <c r="E1878" i="45"/>
  <c r="M1878" i="45" s="1"/>
  <c r="E3053" i="45"/>
  <c r="M3053" i="45" s="1"/>
  <c r="E3038" i="45"/>
  <c r="M3038" i="45" s="1"/>
  <c r="E2131" i="45"/>
  <c r="M2131" i="45" s="1"/>
  <c r="P2130" i="45" s="1"/>
  <c r="N2125" i="45"/>
  <c r="E3298" i="45"/>
  <c r="M3298" i="45" s="1"/>
  <c r="E2731" i="45"/>
  <c r="E2734" i="45" s="1"/>
  <c r="E2737" i="45" s="1"/>
  <c r="E2693" i="45"/>
  <c r="M2693" i="45" s="1"/>
  <c r="E2411" i="45"/>
  <c r="M2411" i="45" s="1"/>
  <c r="N2405" i="45"/>
  <c r="E2771" i="45"/>
  <c r="M2771" i="45" s="1"/>
  <c r="N2765" i="45"/>
  <c r="E2031" i="45"/>
  <c r="M2031" i="45" s="1"/>
  <c r="E2918" i="45"/>
  <c r="E2921" i="45" s="1"/>
  <c r="E2531" i="45"/>
  <c r="E2534" i="45" s="1"/>
  <c r="E2537" i="45" s="1"/>
  <c r="N1265" i="45"/>
  <c r="N1385" i="45"/>
  <c r="N3105" i="45"/>
  <c r="N3425" i="45"/>
  <c r="N1285" i="45"/>
  <c r="N1645" i="45"/>
  <c r="N2005" i="45"/>
  <c r="N3285" i="45"/>
  <c r="N3605" i="45"/>
  <c r="N4050" i="45"/>
  <c r="N1485" i="45"/>
  <c r="N1805" i="45"/>
  <c r="N2205" i="45"/>
  <c r="N1625" i="45"/>
  <c r="D1744" i="45"/>
  <c r="G1880" i="45"/>
  <c r="G1881" i="45" s="1"/>
  <c r="G1882" i="45" s="1"/>
  <c r="G1883" i="45" s="1"/>
  <c r="G1884" i="45" s="1"/>
  <c r="D2622" i="45"/>
  <c r="E1391" i="45"/>
  <c r="M1391" i="45" s="1"/>
  <c r="G1690" i="45"/>
  <c r="G1691" i="45" s="1"/>
  <c r="G1692" i="45" s="1"/>
  <c r="G1693" i="45" s="1"/>
  <c r="G1694" i="45" s="1"/>
  <c r="B2104" i="45"/>
  <c r="E2073" i="45"/>
  <c r="M2073" i="45" s="1"/>
  <c r="E3371" i="45"/>
  <c r="M3371" i="45" s="1"/>
  <c r="B1884" i="45"/>
  <c r="G3850" i="45"/>
  <c r="G3851" i="45" s="1"/>
  <c r="G3852" i="45" s="1"/>
  <c r="G3853" i="45" s="1"/>
  <c r="G3854" i="45" s="1"/>
  <c r="E1571" i="45"/>
  <c r="M1571" i="45" s="1"/>
  <c r="P1570" i="45" s="1"/>
  <c r="D2104" i="45"/>
  <c r="G1870" i="45"/>
  <c r="G1871" i="45" s="1"/>
  <c r="G1872" i="45" s="1"/>
  <c r="G1873" i="45" s="1"/>
  <c r="G1874" i="45" s="1"/>
  <c r="D2662" i="45"/>
  <c r="G2470" i="45"/>
  <c r="G2471" i="45" s="1"/>
  <c r="G2472" i="45" s="1"/>
  <c r="G2473" i="45" s="1"/>
  <c r="G2474" i="45" s="1"/>
  <c r="G3500" i="45"/>
  <c r="G3501" i="45" s="1"/>
  <c r="G3502" i="45" s="1"/>
  <c r="G3503" i="45" s="1"/>
  <c r="G3504" i="45" s="1"/>
  <c r="G2050" i="45"/>
  <c r="G2051" i="45" s="1"/>
  <c r="G2052" i="45" s="1"/>
  <c r="G2053" i="45" s="1"/>
  <c r="G2054" i="45" s="1"/>
  <c r="D2064" i="45"/>
  <c r="E3598" i="45"/>
  <c r="M3598" i="45" s="1"/>
  <c r="E4081" i="45"/>
  <c r="M4081" i="45" s="1"/>
  <c r="E2793" i="45"/>
  <c r="E2878" i="45"/>
  <c r="M2878" i="45" s="1"/>
  <c r="E4054" i="45"/>
  <c r="E4057" i="45" s="1"/>
  <c r="M4057" i="45" s="1"/>
  <c r="E3618" i="45"/>
  <c r="M3618" i="45" s="1"/>
  <c r="E3658" i="45"/>
  <c r="E4101" i="45"/>
  <c r="M4101" i="45" s="1"/>
  <c r="E4041" i="45"/>
  <c r="M4041" i="45" s="1"/>
  <c r="E1358" i="45"/>
  <c r="M1358" i="45" s="1"/>
  <c r="E3773" i="45"/>
  <c r="E2353" i="45"/>
  <c r="E2853" i="45"/>
  <c r="E3953" i="45"/>
  <c r="M3953" i="45" s="1"/>
  <c r="E1351" i="45"/>
  <c r="M1351" i="45" s="1"/>
  <c r="E1431" i="45"/>
  <c r="M1431" i="45" s="1"/>
  <c r="G1340" i="45"/>
  <c r="G1341" i="45" s="1"/>
  <c r="G1342" i="45" s="1"/>
  <c r="G1343" i="45" s="1"/>
  <c r="G1344" i="45" s="1"/>
  <c r="E1578" i="45"/>
  <c r="M1578" i="45" s="1"/>
  <c r="E1611" i="45"/>
  <c r="M1611" i="45" s="1"/>
  <c r="E1891" i="45"/>
  <c r="M1891" i="45" s="1"/>
  <c r="E2113" i="45"/>
  <c r="M2113" i="45" s="1"/>
  <c r="P2110" i="45" s="1"/>
  <c r="E2158" i="45"/>
  <c r="M2158" i="45" s="1"/>
  <c r="E2691" i="45"/>
  <c r="M2691" i="45" s="1"/>
  <c r="E2858" i="45"/>
  <c r="M2858" i="45" s="1"/>
  <c r="E2951" i="45"/>
  <c r="M2951" i="45" s="1"/>
  <c r="E3951" i="45"/>
  <c r="M3951" i="45" s="1"/>
  <c r="P3950" i="45" s="1"/>
  <c r="E2871" i="45"/>
  <c r="M2871" i="45" s="1"/>
  <c r="G2590" i="45"/>
  <c r="G2591" i="45" s="1"/>
  <c r="G2592" i="45" s="1"/>
  <c r="G2593" i="45" s="1"/>
  <c r="G2594" i="45" s="1"/>
  <c r="G2510" i="45"/>
  <c r="G2511" i="45" s="1"/>
  <c r="G2512" i="45" s="1"/>
  <c r="G2513" i="45" s="1"/>
  <c r="G2514" i="45" s="1"/>
  <c r="D1382" i="45"/>
  <c r="E1433" i="45"/>
  <c r="M1433" i="45" s="1"/>
  <c r="E1533" i="45"/>
  <c r="D1842" i="45"/>
  <c r="E1893" i="45"/>
  <c r="M1893" i="45" s="1"/>
  <c r="G2240" i="45"/>
  <c r="G2241" i="45" s="1"/>
  <c r="G2242" i="45" s="1"/>
  <c r="G2243" i="45" s="1"/>
  <c r="G2244" i="45" s="1"/>
  <c r="E2673" i="45"/>
  <c r="M2673" i="45" s="1"/>
  <c r="P2670" i="45" s="1"/>
  <c r="E3218" i="45"/>
  <c r="M3218" i="45" s="1"/>
  <c r="E3411" i="45"/>
  <c r="M3411" i="45" s="1"/>
  <c r="E2593" i="45"/>
  <c r="M2593" i="45" s="1"/>
  <c r="E2633" i="45"/>
  <c r="M2633" i="45" s="1"/>
  <c r="P2630" i="45" s="1"/>
  <c r="E2798" i="45"/>
  <c r="M2798" i="45" s="1"/>
  <c r="E3313" i="45"/>
  <c r="E1398" i="45"/>
  <c r="M1398" i="45" s="1"/>
  <c r="G1520" i="45"/>
  <c r="G1521" i="45" s="1"/>
  <c r="G1522" i="45" s="1"/>
  <c r="G1523" i="45" s="1"/>
  <c r="G1524" i="45" s="1"/>
  <c r="G3200" i="45"/>
  <c r="G3201" i="45" s="1"/>
  <c r="G3202" i="45" s="1"/>
  <c r="G3203" i="45" s="1"/>
  <c r="G3204" i="45" s="1"/>
  <c r="G3230" i="45"/>
  <c r="G3231" i="45" s="1"/>
  <c r="G3232" i="45" s="1"/>
  <c r="G3233" i="45" s="1"/>
  <c r="G3234" i="45" s="1"/>
  <c r="G3410" i="45"/>
  <c r="G3411" i="45" s="1"/>
  <c r="G3412" i="45" s="1"/>
  <c r="G3413" i="45" s="1"/>
  <c r="G3414" i="45" s="1"/>
  <c r="E1538" i="45"/>
  <c r="M1538" i="45" s="1"/>
  <c r="E1711" i="45"/>
  <c r="M1711" i="45" s="1"/>
  <c r="E1778" i="45"/>
  <c r="M1778" i="45" s="1"/>
  <c r="E1938" i="45"/>
  <c r="M1938" i="45" s="1"/>
  <c r="E2958" i="45"/>
  <c r="M2958" i="45" s="1"/>
  <c r="E3233" i="45"/>
  <c r="M3233" i="45" s="1"/>
  <c r="E3358" i="45"/>
  <c r="M3358" i="45" s="1"/>
  <c r="E3378" i="45"/>
  <c r="M3378" i="45" s="1"/>
  <c r="B1744" i="45"/>
  <c r="E4094" i="45"/>
  <c r="E4097" i="45" s="1"/>
  <c r="M4097" i="45" s="1"/>
  <c r="E4136" i="45"/>
  <c r="M4136" i="45" s="1"/>
  <c r="E4034" i="45"/>
  <c r="E4037" i="45" s="1"/>
  <c r="M4037" i="45" s="1"/>
  <c r="A4144" i="45"/>
  <c r="A4142" i="45"/>
  <c r="E4014" i="45"/>
  <c r="E4017" i="45" s="1"/>
  <c r="M4017" i="45" s="1"/>
  <c r="E3994" i="45"/>
  <c r="E3997" i="45" s="1"/>
  <c r="M3997" i="45" s="1"/>
  <c r="E3974" i="45"/>
  <c r="E3977" i="45" s="1"/>
  <c r="M3977" i="45" s="1"/>
  <c r="A4082" i="45"/>
  <c r="A4084" i="45"/>
  <c r="B4064" i="45"/>
  <c r="B4062" i="45"/>
  <c r="E4036" i="45"/>
  <c r="M4036" i="45" s="1"/>
  <c r="A4024" i="45"/>
  <c r="A4022" i="45"/>
  <c r="A4004" i="45"/>
  <c r="A4002" i="45"/>
  <c r="A3984" i="45"/>
  <c r="A3982" i="45"/>
  <c r="B4124" i="45"/>
  <c r="B4122" i="45"/>
  <c r="A4104" i="45"/>
  <c r="A4102" i="45"/>
  <c r="E4076" i="45"/>
  <c r="M4076" i="45" s="1"/>
  <c r="E4016" i="45"/>
  <c r="M4016" i="45" s="1"/>
  <c r="E3996" i="45"/>
  <c r="M3996" i="45" s="1"/>
  <c r="E3976" i="45"/>
  <c r="M3976" i="45" s="1"/>
  <c r="E4001" i="45"/>
  <c r="M4001" i="45" s="1"/>
  <c r="E3981" i="45"/>
  <c r="M3981" i="45" s="1"/>
  <c r="E4141" i="45"/>
  <c r="M4141" i="45" s="1"/>
  <c r="E4074" i="45"/>
  <c r="E4077" i="45" s="1"/>
  <c r="M4077" i="45" s="1"/>
  <c r="E4096" i="45"/>
  <c r="E4134" i="45"/>
  <c r="E4137" i="45" s="1"/>
  <c r="M4137" i="45" s="1"/>
  <c r="E4021" i="45"/>
  <c r="M4021" i="45" s="1"/>
  <c r="E3791" i="45"/>
  <c r="M3791" i="45" s="1"/>
  <c r="G3810" i="45"/>
  <c r="G3811" i="45" s="1"/>
  <c r="G3812" i="45" s="1"/>
  <c r="G3813" i="45" s="1"/>
  <c r="G3814" i="45" s="1"/>
  <c r="A3813" i="45"/>
  <c r="A3816" i="45" s="1"/>
  <c r="A3819" i="45" s="1"/>
  <c r="E3831" i="45"/>
  <c r="M3831" i="45" s="1"/>
  <c r="D3804" i="45"/>
  <c r="D3802" i="45"/>
  <c r="D3824" i="45"/>
  <c r="D3822" i="45"/>
  <c r="D3844" i="45"/>
  <c r="D3842" i="45"/>
  <c r="E3851" i="45"/>
  <c r="M3851" i="45" s="1"/>
  <c r="E3891" i="45"/>
  <c r="M3891" i="45" s="1"/>
  <c r="E3893" i="45"/>
  <c r="M3893" i="45" s="1"/>
  <c r="A3873" i="45"/>
  <c r="A3876" i="45" s="1"/>
  <c r="A3879" i="45" s="1"/>
  <c r="G3870" i="45"/>
  <c r="G3871" i="45" s="1"/>
  <c r="G3872" i="45" s="1"/>
  <c r="G3873" i="45" s="1"/>
  <c r="G3874" i="45" s="1"/>
  <c r="B3904" i="45"/>
  <c r="B3902" i="45"/>
  <c r="E3911" i="45"/>
  <c r="M3911" i="45" s="1"/>
  <c r="E3933" i="45"/>
  <c r="M3933" i="45" s="1"/>
  <c r="B3964" i="45"/>
  <c r="B3962" i="45"/>
  <c r="E3801" i="45"/>
  <c r="M3801" i="45" s="1"/>
  <c r="E3821" i="45"/>
  <c r="M3821" i="45" s="1"/>
  <c r="E3841" i="45"/>
  <c r="M3841" i="45" s="1"/>
  <c r="G3790" i="45"/>
  <c r="G3791" i="45" s="1"/>
  <c r="G3792" i="45" s="1"/>
  <c r="G3793" i="45" s="1"/>
  <c r="G3794" i="45" s="1"/>
  <c r="A3793" i="45"/>
  <c r="A3796" i="45" s="1"/>
  <c r="A3799" i="45" s="1"/>
  <c r="E3811" i="45"/>
  <c r="M3811" i="45" s="1"/>
  <c r="G3830" i="45"/>
  <c r="G3831" i="45" s="1"/>
  <c r="G3832" i="45" s="1"/>
  <c r="G3833" i="45" s="1"/>
  <c r="G3834" i="45" s="1"/>
  <c r="A3833" i="45"/>
  <c r="A3836" i="45" s="1"/>
  <c r="A3839" i="45" s="1"/>
  <c r="B3804" i="45"/>
  <c r="B3802" i="45"/>
  <c r="B3824" i="45"/>
  <c r="B3822" i="45"/>
  <c r="B3844" i="45"/>
  <c r="B3842" i="45"/>
  <c r="B3884" i="45"/>
  <c r="B3882" i="45"/>
  <c r="G3890" i="45"/>
  <c r="G3891" i="45" s="1"/>
  <c r="G3892" i="45" s="1"/>
  <c r="G3893" i="45" s="1"/>
  <c r="G3894" i="45" s="1"/>
  <c r="A3893" i="45"/>
  <c r="A3896" i="45" s="1"/>
  <c r="A3899" i="45" s="1"/>
  <c r="D3924" i="45"/>
  <c r="D3922" i="45"/>
  <c r="E3871" i="45"/>
  <c r="M3871" i="45" s="1"/>
  <c r="G3920" i="45"/>
  <c r="G3921" i="45" s="1"/>
  <c r="G3922" i="45" s="1"/>
  <c r="G3923" i="45" s="1"/>
  <c r="G3924" i="45" s="1"/>
  <c r="A3923" i="45"/>
  <c r="A3933" i="45"/>
  <c r="A3936" i="45" s="1"/>
  <c r="A3939" i="45" s="1"/>
  <c r="G3930" i="45"/>
  <c r="G3931" i="45" s="1"/>
  <c r="G3932" i="45" s="1"/>
  <c r="G3933" i="45" s="1"/>
  <c r="G3934" i="45" s="1"/>
  <c r="G3950" i="45"/>
  <c r="G3951" i="45" s="1"/>
  <c r="G3952" i="45" s="1"/>
  <c r="G3953" i="45" s="1"/>
  <c r="G3954" i="45" s="1"/>
  <c r="D3964" i="45"/>
  <c r="D3962" i="45"/>
  <c r="E3793" i="45"/>
  <c r="M3793" i="45" s="1"/>
  <c r="G3820" i="45"/>
  <c r="G3821" i="45" s="1"/>
  <c r="G3822" i="45" s="1"/>
  <c r="G3823" i="45" s="1"/>
  <c r="G3824" i="45" s="1"/>
  <c r="A3823" i="45"/>
  <c r="E3833" i="45"/>
  <c r="M3833" i="45" s="1"/>
  <c r="E3853" i="45"/>
  <c r="M3853" i="45" s="1"/>
  <c r="D3884" i="45"/>
  <c r="D3882" i="45"/>
  <c r="A3883" i="45"/>
  <c r="G3880" i="45"/>
  <c r="G3881" i="45" s="1"/>
  <c r="G3882" i="45" s="1"/>
  <c r="G3883" i="45" s="1"/>
  <c r="G3884" i="45" s="1"/>
  <c r="E3913" i="45"/>
  <c r="M3913" i="45" s="1"/>
  <c r="B3944" i="45"/>
  <c r="B3942" i="45"/>
  <c r="E3931" i="45"/>
  <c r="B3963" i="45"/>
  <c r="G3960" i="45"/>
  <c r="G3961" i="45" s="1"/>
  <c r="G3962" i="45" s="1"/>
  <c r="G3963" i="45" s="1"/>
  <c r="G3964" i="45" s="1"/>
  <c r="G3800" i="45"/>
  <c r="G3801" i="45" s="1"/>
  <c r="G3802" i="45" s="1"/>
  <c r="G3803" i="45" s="1"/>
  <c r="G3804" i="45" s="1"/>
  <c r="A3803" i="45"/>
  <c r="E3813" i="45"/>
  <c r="M3813" i="45" s="1"/>
  <c r="G3840" i="45"/>
  <c r="G3841" i="45" s="1"/>
  <c r="G3842" i="45" s="1"/>
  <c r="G3843" i="45" s="1"/>
  <c r="G3844" i="45" s="1"/>
  <c r="A3843" i="45"/>
  <c r="G3900" i="45"/>
  <c r="G3901" i="45" s="1"/>
  <c r="G3902" i="45" s="1"/>
  <c r="G3903" i="45" s="1"/>
  <c r="G3904" i="45" s="1"/>
  <c r="A3903" i="45"/>
  <c r="E3873" i="45"/>
  <c r="M3873" i="45" s="1"/>
  <c r="D3904" i="45"/>
  <c r="D3902" i="45"/>
  <c r="B3924" i="45"/>
  <c r="B3922" i="45"/>
  <c r="G3910" i="45"/>
  <c r="G3911" i="45" s="1"/>
  <c r="G3912" i="45" s="1"/>
  <c r="G3913" i="45" s="1"/>
  <c r="G3914" i="45" s="1"/>
  <c r="A3913" i="45"/>
  <c r="A3916" i="45" s="1"/>
  <c r="A3919" i="45" s="1"/>
  <c r="D3944" i="45"/>
  <c r="D3942" i="45"/>
  <c r="A3943" i="45"/>
  <c r="G3940" i="45"/>
  <c r="G3941" i="45" s="1"/>
  <c r="G3942" i="45" s="1"/>
  <c r="G3943" i="45" s="1"/>
  <c r="G3944" i="45" s="1"/>
  <c r="A3962" i="45"/>
  <c r="G3440" i="45"/>
  <c r="G3441" i="45" s="1"/>
  <c r="G3442" i="45" s="1"/>
  <c r="G3443" i="45" s="1"/>
  <c r="G3444" i="45" s="1"/>
  <c r="A3443" i="45"/>
  <c r="E3438" i="45"/>
  <c r="M3438" i="45" s="1"/>
  <c r="G3460" i="45"/>
  <c r="G3461" i="45" s="1"/>
  <c r="G3462" i="45" s="1"/>
  <c r="G3463" i="45" s="1"/>
  <c r="G3464" i="45" s="1"/>
  <c r="A3463" i="45"/>
  <c r="E3458" i="45"/>
  <c r="M3458" i="45" s="1"/>
  <c r="G3480" i="45"/>
  <c r="G3481" i="45" s="1"/>
  <c r="G3482" i="45" s="1"/>
  <c r="G3483" i="45" s="1"/>
  <c r="G3484" i="45" s="1"/>
  <c r="A3483" i="45"/>
  <c r="E3478" i="45"/>
  <c r="M3478" i="45" s="1"/>
  <c r="G3520" i="45"/>
  <c r="G3521" i="45" s="1"/>
  <c r="G3522" i="45" s="1"/>
  <c r="G3523" i="45" s="1"/>
  <c r="G3524" i="45" s="1"/>
  <c r="A3523" i="45"/>
  <c r="E3518" i="45"/>
  <c r="M3518" i="45" s="1"/>
  <c r="E3551" i="45"/>
  <c r="M3551" i="45" s="1"/>
  <c r="E3573" i="45"/>
  <c r="M3573" i="45" s="1"/>
  <c r="B3644" i="45"/>
  <c r="B3642" i="45"/>
  <c r="E3533" i="45"/>
  <c r="M3533" i="45" s="1"/>
  <c r="D3564" i="45"/>
  <c r="D3562" i="45"/>
  <c r="B3604" i="45"/>
  <c r="B3602" i="45"/>
  <c r="E3593" i="45"/>
  <c r="M3593" i="45" s="1"/>
  <c r="A3613" i="45"/>
  <c r="A3616" i="45" s="1"/>
  <c r="A3619" i="45" s="1"/>
  <c r="G3610" i="45"/>
  <c r="G3611" i="45" s="1"/>
  <c r="G3612" i="45" s="1"/>
  <c r="G3613" i="45" s="1"/>
  <c r="G3614" i="45" s="1"/>
  <c r="E3633" i="45"/>
  <c r="M3633" i="45" s="1"/>
  <c r="G3700" i="45"/>
  <c r="G3701" i="45" s="1"/>
  <c r="G3702" i="45" s="1"/>
  <c r="G3703" i="45" s="1"/>
  <c r="G3704" i="45" s="1"/>
  <c r="A3703" i="45"/>
  <c r="E3698" i="45"/>
  <c r="M3698" i="45" s="1"/>
  <c r="A3663" i="45"/>
  <c r="G3660" i="45"/>
  <c r="G3661" i="45" s="1"/>
  <c r="G3662" i="45" s="1"/>
  <c r="G3663" i="45" s="1"/>
  <c r="G3664" i="45" s="1"/>
  <c r="E3673" i="45"/>
  <c r="M3673" i="45" s="1"/>
  <c r="B3704" i="45"/>
  <c r="B3702" i="45"/>
  <c r="G3720" i="45"/>
  <c r="G3721" i="45" s="1"/>
  <c r="G3722" i="45" s="1"/>
  <c r="G3723" i="45" s="1"/>
  <c r="G3724" i="45" s="1"/>
  <c r="A3723" i="45"/>
  <c r="D3744" i="45"/>
  <c r="D3742" i="45"/>
  <c r="E3753" i="45"/>
  <c r="M3753" i="45" s="1"/>
  <c r="E3733" i="45"/>
  <c r="M3733" i="45" s="1"/>
  <c r="D3764" i="45"/>
  <c r="D3762" i="45"/>
  <c r="D3784" i="45"/>
  <c r="D3782" i="45"/>
  <c r="E3431" i="45"/>
  <c r="M3431" i="45" s="1"/>
  <c r="E3451" i="45"/>
  <c r="M3451" i="45" s="1"/>
  <c r="E3471" i="45"/>
  <c r="M3471" i="45" s="1"/>
  <c r="E3493" i="45"/>
  <c r="M3493" i="45" s="1"/>
  <c r="E3511" i="45"/>
  <c r="M3511" i="45" s="1"/>
  <c r="B3544" i="45"/>
  <c r="B3542" i="45"/>
  <c r="G3550" i="45"/>
  <c r="G3551" i="45" s="1"/>
  <c r="G3552" i="45" s="1"/>
  <c r="G3553" i="45" s="1"/>
  <c r="G3554" i="45" s="1"/>
  <c r="A3553" i="45"/>
  <c r="A3556" i="45" s="1"/>
  <c r="A3559" i="45" s="1"/>
  <c r="G3570" i="45"/>
  <c r="G3571" i="45" s="1"/>
  <c r="G3572" i="45" s="1"/>
  <c r="G3573" i="45" s="1"/>
  <c r="G3574" i="45" s="1"/>
  <c r="A3573" i="45"/>
  <c r="A3576" i="45" s="1"/>
  <c r="A3579" i="45" s="1"/>
  <c r="D3604" i="45"/>
  <c r="D3602" i="45"/>
  <c r="B3624" i="45"/>
  <c r="B3622" i="45"/>
  <c r="E3641" i="45"/>
  <c r="M3641" i="45" s="1"/>
  <c r="B3524" i="45"/>
  <c r="B3522" i="45"/>
  <c r="A3533" i="45"/>
  <c r="A3536" i="45" s="1"/>
  <c r="A3539" i="45" s="1"/>
  <c r="G3530" i="45"/>
  <c r="G3531" i="45" s="1"/>
  <c r="G3532" i="45" s="1"/>
  <c r="G3533" i="45" s="1"/>
  <c r="G3534" i="45" s="1"/>
  <c r="B3564" i="45"/>
  <c r="B3562" i="45"/>
  <c r="A3603" i="45"/>
  <c r="G3600" i="45"/>
  <c r="G3601" i="45" s="1"/>
  <c r="G3602" i="45" s="1"/>
  <c r="G3603" i="45" s="1"/>
  <c r="G3604" i="45" s="1"/>
  <c r="E3611" i="45"/>
  <c r="M3611" i="45" s="1"/>
  <c r="A3643" i="45"/>
  <c r="G3640" i="45"/>
  <c r="G3641" i="45" s="1"/>
  <c r="G3642" i="45" s="1"/>
  <c r="G3643" i="45" s="1"/>
  <c r="G3644" i="45" s="1"/>
  <c r="E3691" i="45"/>
  <c r="M3691" i="45" s="1"/>
  <c r="B3724" i="45"/>
  <c r="B3722" i="45"/>
  <c r="E3651" i="45"/>
  <c r="M3651" i="45" s="1"/>
  <c r="G3680" i="45"/>
  <c r="G3681" i="45" s="1"/>
  <c r="G3682" i="45" s="1"/>
  <c r="G3683" i="45" s="1"/>
  <c r="G3684" i="45" s="1"/>
  <c r="E3711" i="45"/>
  <c r="M3711" i="45" s="1"/>
  <c r="B3744" i="45"/>
  <c r="B3742" i="45"/>
  <c r="A3753" i="45"/>
  <c r="A3756" i="45" s="1"/>
  <c r="A3759" i="45" s="1"/>
  <c r="G3750" i="45"/>
  <c r="G3751" i="45" s="1"/>
  <c r="G3752" i="45" s="1"/>
  <c r="G3753" i="45" s="1"/>
  <c r="G3754" i="45" s="1"/>
  <c r="E3758" i="45"/>
  <c r="M3758" i="45" s="1"/>
  <c r="A3743" i="45"/>
  <c r="G3740" i="45"/>
  <c r="G3741" i="45" s="1"/>
  <c r="G3742" i="45" s="1"/>
  <c r="G3743" i="45" s="1"/>
  <c r="G3744" i="45" s="1"/>
  <c r="G3770" i="45"/>
  <c r="G3771" i="45" s="1"/>
  <c r="G3772" i="45" s="1"/>
  <c r="G3773" i="45" s="1"/>
  <c r="G3774" i="45" s="1"/>
  <c r="A3773" i="45"/>
  <c r="A3776" i="45" s="1"/>
  <c r="A3779" i="45" s="1"/>
  <c r="G3430" i="45"/>
  <c r="G3431" i="45" s="1"/>
  <c r="G3432" i="45" s="1"/>
  <c r="G3433" i="45" s="1"/>
  <c r="G3434" i="45" s="1"/>
  <c r="A3433" i="45"/>
  <c r="A3436" i="45" s="1"/>
  <c r="A3439" i="45" s="1"/>
  <c r="G3450" i="45"/>
  <c r="G3451" i="45" s="1"/>
  <c r="G3452" i="45" s="1"/>
  <c r="G3453" i="45" s="1"/>
  <c r="G3454" i="45" s="1"/>
  <c r="A3453" i="45"/>
  <c r="A3456" i="45" s="1"/>
  <c r="A3459" i="45" s="1"/>
  <c r="G3470" i="45"/>
  <c r="G3471" i="45" s="1"/>
  <c r="G3472" i="45" s="1"/>
  <c r="G3473" i="45" s="1"/>
  <c r="G3474" i="45" s="1"/>
  <c r="A3473" i="45"/>
  <c r="A3476" i="45" s="1"/>
  <c r="A3479" i="45" s="1"/>
  <c r="B3444" i="45"/>
  <c r="B3442" i="45"/>
  <c r="B3464" i="45"/>
  <c r="B3462" i="45"/>
  <c r="B3484" i="45"/>
  <c r="B3482" i="45"/>
  <c r="B3493" i="45"/>
  <c r="B3496" i="45" s="1"/>
  <c r="B3499" i="45" s="1"/>
  <c r="G3490" i="45"/>
  <c r="G3491" i="45" s="1"/>
  <c r="G3492" i="45" s="1"/>
  <c r="G3493" i="45" s="1"/>
  <c r="G3494" i="45" s="1"/>
  <c r="G3510" i="45"/>
  <c r="G3511" i="45" s="1"/>
  <c r="G3512" i="45" s="1"/>
  <c r="G3513" i="45" s="1"/>
  <c r="G3514" i="45" s="1"/>
  <c r="A3513" i="45"/>
  <c r="A3516" i="45" s="1"/>
  <c r="A3519" i="45" s="1"/>
  <c r="D3544" i="45"/>
  <c r="D3542" i="45"/>
  <c r="E3553" i="45"/>
  <c r="M3553" i="45" s="1"/>
  <c r="E3571" i="45"/>
  <c r="M3571" i="45" s="1"/>
  <c r="D3524" i="45"/>
  <c r="D3522" i="45"/>
  <c r="E3531" i="45"/>
  <c r="M3531" i="45" s="1"/>
  <c r="D3644" i="45"/>
  <c r="D3642" i="45"/>
  <c r="D3584" i="45"/>
  <c r="D3582" i="45"/>
  <c r="E3591" i="45"/>
  <c r="A3623" i="45"/>
  <c r="G3620" i="45"/>
  <c r="G3621" i="45" s="1"/>
  <c r="G3622" i="45" s="1"/>
  <c r="G3623" i="45" s="1"/>
  <c r="G3624" i="45" s="1"/>
  <c r="E3631" i="45"/>
  <c r="B3673" i="45"/>
  <c r="B3676" i="45" s="1"/>
  <c r="B3679" i="45" s="1"/>
  <c r="G3670" i="45"/>
  <c r="G3671" i="45" s="1"/>
  <c r="G3672" i="45" s="1"/>
  <c r="G3673" i="45" s="1"/>
  <c r="G3674" i="45" s="1"/>
  <c r="G3690" i="45"/>
  <c r="G3691" i="45" s="1"/>
  <c r="G3692" i="45" s="1"/>
  <c r="G3693" i="45" s="1"/>
  <c r="G3694" i="45" s="1"/>
  <c r="A3693" i="45"/>
  <c r="A3696" i="45" s="1"/>
  <c r="A3699" i="45" s="1"/>
  <c r="D3724" i="45"/>
  <c r="D3722" i="45"/>
  <c r="A3653" i="45"/>
  <c r="A3656" i="45" s="1"/>
  <c r="A3659" i="45" s="1"/>
  <c r="G3650" i="45"/>
  <c r="G3651" i="45" s="1"/>
  <c r="G3652" i="45" s="1"/>
  <c r="G3653" i="45" s="1"/>
  <c r="G3654" i="45" s="1"/>
  <c r="E3671" i="45"/>
  <c r="G3710" i="45"/>
  <c r="G3711" i="45" s="1"/>
  <c r="G3712" i="45" s="1"/>
  <c r="G3713" i="45" s="1"/>
  <c r="G3714" i="45" s="1"/>
  <c r="A3713" i="45"/>
  <c r="A3716" i="45" s="1"/>
  <c r="A3719" i="45" s="1"/>
  <c r="E3751" i="45"/>
  <c r="E3731" i="45"/>
  <c r="E3778" i="45"/>
  <c r="M3778" i="45" s="1"/>
  <c r="E3433" i="45"/>
  <c r="M3433" i="45" s="1"/>
  <c r="E3453" i="45"/>
  <c r="M3453" i="45" s="1"/>
  <c r="E3473" i="45"/>
  <c r="M3473" i="45" s="1"/>
  <c r="E3491" i="45"/>
  <c r="M3491" i="45" s="1"/>
  <c r="E3498" i="45"/>
  <c r="M3498" i="45" s="1"/>
  <c r="D3444" i="45"/>
  <c r="D3442" i="45"/>
  <c r="D3464" i="45"/>
  <c r="D3462" i="45"/>
  <c r="D3484" i="45"/>
  <c r="D3482" i="45"/>
  <c r="D3504" i="45"/>
  <c r="D3502" i="45"/>
  <c r="E3513" i="45"/>
  <c r="M3513" i="45" s="1"/>
  <c r="A3563" i="45"/>
  <c r="G3560" i="45"/>
  <c r="G3561" i="45" s="1"/>
  <c r="G3562" i="45" s="1"/>
  <c r="G3563" i="45" s="1"/>
  <c r="G3564" i="45" s="1"/>
  <c r="E3558" i="45"/>
  <c r="M3558" i="45" s="1"/>
  <c r="G3580" i="45"/>
  <c r="G3581" i="45" s="1"/>
  <c r="G3582" i="45" s="1"/>
  <c r="G3583" i="45" s="1"/>
  <c r="G3584" i="45" s="1"/>
  <c r="A3583" i="45"/>
  <c r="A3543" i="45"/>
  <c r="G3540" i="45"/>
  <c r="G3541" i="45" s="1"/>
  <c r="G3542" i="45" s="1"/>
  <c r="G3543" i="45" s="1"/>
  <c r="G3544" i="45" s="1"/>
  <c r="B3584" i="45"/>
  <c r="B3582" i="45"/>
  <c r="A3593" i="45"/>
  <c r="A3596" i="45" s="1"/>
  <c r="A3599" i="45" s="1"/>
  <c r="G3590" i="45"/>
  <c r="G3591" i="45" s="1"/>
  <c r="G3592" i="45" s="1"/>
  <c r="G3593" i="45" s="1"/>
  <c r="G3594" i="45" s="1"/>
  <c r="E3613" i="45"/>
  <c r="M3613" i="45" s="1"/>
  <c r="A3633" i="45"/>
  <c r="A3636" i="45" s="1"/>
  <c r="A3639" i="45" s="1"/>
  <c r="G3630" i="45"/>
  <c r="G3631" i="45" s="1"/>
  <c r="G3632" i="45" s="1"/>
  <c r="G3633" i="45" s="1"/>
  <c r="G3634" i="45" s="1"/>
  <c r="C3653" i="45"/>
  <c r="C3654" i="45" s="1"/>
  <c r="C3655" i="45" s="1"/>
  <c r="D3664" i="45"/>
  <c r="D3662" i="45"/>
  <c r="D3684" i="45"/>
  <c r="D3682" i="45"/>
  <c r="E3693" i="45"/>
  <c r="M3693" i="45" s="1"/>
  <c r="E3653" i="45"/>
  <c r="D3704" i="45"/>
  <c r="D3702" i="45"/>
  <c r="E3713" i="45"/>
  <c r="M3713" i="45" s="1"/>
  <c r="A3763" i="45"/>
  <c r="G3760" i="45"/>
  <c r="G3761" i="45" s="1"/>
  <c r="G3762" i="45" s="1"/>
  <c r="G3763" i="45" s="1"/>
  <c r="G3764" i="45" s="1"/>
  <c r="A3733" i="45"/>
  <c r="A3736" i="45" s="1"/>
  <c r="A3739" i="45" s="1"/>
  <c r="G3730" i="45"/>
  <c r="G3731" i="45" s="1"/>
  <c r="G3732" i="45" s="1"/>
  <c r="G3733" i="45" s="1"/>
  <c r="G3734" i="45" s="1"/>
  <c r="B3764" i="45"/>
  <c r="B3762" i="45"/>
  <c r="G3780" i="45"/>
  <c r="G3781" i="45" s="1"/>
  <c r="G3782" i="45" s="1"/>
  <c r="G3783" i="45" s="1"/>
  <c r="G3784" i="45" s="1"/>
  <c r="A3783" i="45"/>
  <c r="B3784" i="45"/>
  <c r="B3782" i="45"/>
  <c r="G2870" i="45"/>
  <c r="G2871" i="45" s="1"/>
  <c r="G2872" i="45" s="1"/>
  <c r="G2873" i="45" s="1"/>
  <c r="G2874" i="45" s="1"/>
  <c r="G2950" i="45"/>
  <c r="G2951" i="45" s="1"/>
  <c r="G2952" i="45" s="1"/>
  <c r="G2953" i="45" s="1"/>
  <c r="G2954" i="45" s="1"/>
  <c r="E2778" i="45"/>
  <c r="M2778" i="45" s="1"/>
  <c r="G1390" i="45"/>
  <c r="G1391" i="45" s="1"/>
  <c r="G1392" i="45" s="1"/>
  <c r="G1393" i="45" s="1"/>
  <c r="G1394" i="45" s="1"/>
  <c r="D1562" i="45"/>
  <c r="G1410" i="45"/>
  <c r="G1411" i="45" s="1"/>
  <c r="G1412" i="45" s="1"/>
  <c r="G1413" i="45" s="1"/>
  <c r="G1414" i="45" s="1"/>
  <c r="G1970" i="45"/>
  <c r="G1971" i="45" s="1"/>
  <c r="G1972" i="45" s="1"/>
  <c r="G1973" i="45" s="1"/>
  <c r="G1974" i="45" s="1"/>
  <c r="E2733" i="45"/>
  <c r="E2713" i="45"/>
  <c r="E2753" i="45"/>
  <c r="E2773" i="45"/>
  <c r="M2773" i="45" s="1"/>
  <c r="G1950" i="45"/>
  <c r="G1951" i="45" s="1"/>
  <c r="G1952" i="45" s="1"/>
  <c r="G1953" i="45" s="1"/>
  <c r="G1954" i="45" s="1"/>
  <c r="G3390" i="45"/>
  <c r="G3391" i="45" s="1"/>
  <c r="G3392" i="45" s="1"/>
  <c r="G3393" i="45" s="1"/>
  <c r="G3394" i="45" s="1"/>
  <c r="E1753" i="45"/>
  <c r="M1753" i="45" s="1"/>
  <c r="E1291" i="45"/>
  <c r="M1291" i="45" s="1"/>
  <c r="E2033" i="45"/>
  <c r="M2033" i="45" s="1"/>
  <c r="E1958" i="45"/>
  <c r="M1958" i="45" s="1"/>
  <c r="E2013" i="45"/>
  <c r="E1898" i="45"/>
  <c r="M1898" i="45" s="1"/>
  <c r="E1458" i="45"/>
  <c r="M1458" i="45" s="1"/>
  <c r="E1498" i="45"/>
  <c r="M1498" i="45" s="1"/>
  <c r="E1278" i="45"/>
  <c r="M1278" i="45" s="1"/>
  <c r="E1313" i="45"/>
  <c r="M1313" i="45" s="1"/>
  <c r="E1798" i="45"/>
  <c r="M1798" i="45" s="1"/>
  <c r="E1713" i="45"/>
  <c r="M1713" i="45" s="1"/>
  <c r="E1311" i="45"/>
  <c r="M1311" i="45" s="1"/>
  <c r="E1478" i="45"/>
  <c r="M1478" i="45" s="1"/>
  <c r="E2078" i="45"/>
  <c r="M2078" i="45" s="1"/>
  <c r="E1998" i="45"/>
  <c r="M1998" i="45" s="1"/>
  <c r="E1293" i="45"/>
  <c r="M1293" i="45" s="1"/>
  <c r="G2630" i="45"/>
  <c r="G2631" i="45" s="1"/>
  <c r="G2632" i="45" s="1"/>
  <c r="G2633" i="45" s="1"/>
  <c r="G2634" i="45" s="1"/>
  <c r="E2578" i="45"/>
  <c r="M2578" i="45" s="1"/>
  <c r="E2598" i="45"/>
  <c r="M2598" i="45" s="1"/>
  <c r="E2678" i="45"/>
  <c r="M2678" i="45" s="1"/>
  <c r="E2698" i="45"/>
  <c r="M2698" i="45" s="1"/>
  <c r="E2518" i="45"/>
  <c r="M2518" i="45" s="1"/>
  <c r="E2253" i="45"/>
  <c r="E2373" i="45"/>
  <c r="E2413" i="45"/>
  <c r="M2413" i="45" s="1"/>
  <c r="E2338" i="45"/>
  <c r="M2338" i="45" s="1"/>
  <c r="E2553" i="45"/>
  <c r="E2393" i="45"/>
  <c r="E2533" i="45"/>
  <c r="E2498" i="45"/>
  <c r="M2498" i="45" s="1"/>
  <c r="E2933" i="45"/>
  <c r="E2913" i="45"/>
  <c r="E2893" i="45"/>
  <c r="E3013" i="45"/>
  <c r="M3013" i="45" s="1"/>
  <c r="E3173" i="45"/>
  <c r="E3058" i="45"/>
  <c r="M3058" i="45" s="1"/>
  <c r="E3193" i="45"/>
  <c r="A3253" i="45"/>
  <c r="A3256" i="45" s="1"/>
  <c r="A3259" i="45" s="1"/>
  <c r="G3250" i="45"/>
  <c r="G3251" i="45" s="1"/>
  <c r="G3252" i="45" s="1"/>
  <c r="G3253" i="45" s="1"/>
  <c r="G3254" i="45" s="1"/>
  <c r="A3273" i="45"/>
  <c r="A3276" i="45" s="1"/>
  <c r="A3279" i="45" s="1"/>
  <c r="G3270" i="45"/>
  <c r="G3271" i="45" s="1"/>
  <c r="G3272" i="45" s="1"/>
  <c r="G3273" i="45" s="1"/>
  <c r="G3274" i="45" s="1"/>
  <c r="A3293" i="45"/>
  <c r="A3296" i="45" s="1"/>
  <c r="A3299" i="45" s="1"/>
  <c r="G3290" i="45"/>
  <c r="G3291" i="45" s="1"/>
  <c r="G3292" i="45" s="1"/>
  <c r="G3293" i="45" s="1"/>
  <c r="G3294" i="45" s="1"/>
  <c r="B3313" i="45"/>
  <c r="B3316" i="45" s="1"/>
  <c r="B3319" i="45" s="1"/>
  <c r="G3310" i="45"/>
  <c r="G3311" i="45" s="1"/>
  <c r="G3312" i="45" s="1"/>
  <c r="G3313" i="45" s="1"/>
  <c r="G3314" i="45" s="1"/>
  <c r="G3320" i="45"/>
  <c r="G3321" i="45" s="1"/>
  <c r="G3322" i="45" s="1"/>
  <c r="G3323" i="45" s="1"/>
  <c r="G3324" i="45" s="1"/>
  <c r="E3333" i="45"/>
  <c r="M3333" i="45" s="1"/>
  <c r="E3351" i="45"/>
  <c r="M3351" i="45" s="1"/>
  <c r="G3380" i="45"/>
  <c r="G3381" i="45" s="1"/>
  <c r="G3382" i="45" s="1"/>
  <c r="G3383" i="45" s="1"/>
  <c r="G3384" i="45" s="1"/>
  <c r="A3424" i="45"/>
  <c r="A3422" i="45"/>
  <c r="E3251" i="45"/>
  <c r="M3251" i="45" s="1"/>
  <c r="E3273" i="45"/>
  <c r="M3273" i="45" s="1"/>
  <c r="E3291" i="45"/>
  <c r="M3291" i="45" s="1"/>
  <c r="D3324" i="45"/>
  <c r="D3322" i="45"/>
  <c r="A3333" i="45"/>
  <c r="A3336" i="45" s="1"/>
  <c r="A3339" i="45" s="1"/>
  <c r="G3330" i="45"/>
  <c r="G3331" i="45" s="1"/>
  <c r="G3332" i="45" s="1"/>
  <c r="G3333" i="45" s="1"/>
  <c r="G3334" i="45" s="1"/>
  <c r="A3353" i="45"/>
  <c r="A3356" i="45" s="1"/>
  <c r="A3359" i="45" s="1"/>
  <c r="G3350" i="45"/>
  <c r="G3351" i="45" s="1"/>
  <c r="G3352" i="45" s="1"/>
  <c r="G3353" i="45" s="1"/>
  <c r="G3354" i="45" s="1"/>
  <c r="D3384" i="45"/>
  <c r="D3382" i="45"/>
  <c r="B3404" i="45"/>
  <c r="B3402" i="45"/>
  <c r="D3404" i="45"/>
  <c r="D3402" i="45"/>
  <c r="B3422" i="45"/>
  <c r="B3424" i="45"/>
  <c r="D3424" i="45"/>
  <c r="D3422" i="45"/>
  <c r="A3263" i="45"/>
  <c r="G3260" i="45"/>
  <c r="G3261" i="45" s="1"/>
  <c r="G3262" i="45" s="1"/>
  <c r="G3263" i="45" s="1"/>
  <c r="G3264" i="45" s="1"/>
  <c r="A3283" i="45"/>
  <c r="G3280" i="45"/>
  <c r="G3281" i="45" s="1"/>
  <c r="G3282" i="45" s="1"/>
  <c r="G3283" i="45" s="1"/>
  <c r="G3284" i="45" s="1"/>
  <c r="A3303" i="45"/>
  <c r="G3300" i="45"/>
  <c r="G3301" i="45" s="1"/>
  <c r="G3302" i="45" s="1"/>
  <c r="G3303" i="45" s="1"/>
  <c r="G3304" i="45" s="1"/>
  <c r="E3331" i="45"/>
  <c r="E3353" i="45"/>
  <c r="M3353" i="45" s="1"/>
  <c r="B3373" i="45"/>
  <c r="B3376" i="45" s="1"/>
  <c r="B3379" i="45" s="1"/>
  <c r="G3370" i="45"/>
  <c r="G3371" i="45" s="1"/>
  <c r="G3372" i="45" s="1"/>
  <c r="G3373" i="45" s="1"/>
  <c r="G3374" i="45" s="1"/>
  <c r="A3404" i="45"/>
  <c r="A3402" i="45"/>
  <c r="E3253" i="45"/>
  <c r="M3253" i="45" s="1"/>
  <c r="E3271" i="45"/>
  <c r="M3271" i="45" s="1"/>
  <c r="E3293" i="45"/>
  <c r="M3293" i="45" s="1"/>
  <c r="A3343" i="45"/>
  <c r="G3340" i="45"/>
  <c r="G3341" i="45" s="1"/>
  <c r="G3342" i="45" s="1"/>
  <c r="G3343" i="45" s="1"/>
  <c r="G3344" i="45" s="1"/>
  <c r="A3363" i="45"/>
  <c r="G3360" i="45"/>
  <c r="G3361" i="45" s="1"/>
  <c r="G3362" i="45" s="1"/>
  <c r="G3363" i="45" s="1"/>
  <c r="G3364" i="45" s="1"/>
  <c r="G3400" i="45"/>
  <c r="G3401" i="45" s="1"/>
  <c r="G3402" i="45" s="1"/>
  <c r="G3403" i="45" s="1"/>
  <c r="G3404" i="45" s="1"/>
  <c r="G3420" i="45"/>
  <c r="G3421" i="45" s="1"/>
  <c r="G3422" i="45" s="1"/>
  <c r="G3423" i="45" s="1"/>
  <c r="G3424" i="45" s="1"/>
  <c r="A3083" i="45"/>
  <c r="G3080" i="45"/>
  <c r="G3081" i="45" s="1"/>
  <c r="G3082" i="45" s="1"/>
  <c r="G3083" i="45" s="1"/>
  <c r="G3084" i="45" s="1"/>
  <c r="A3103" i="45"/>
  <c r="G3100" i="45"/>
  <c r="G3101" i="45" s="1"/>
  <c r="G3102" i="45" s="1"/>
  <c r="G3103" i="45" s="1"/>
  <c r="G3104" i="45" s="1"/>
  <c r="A3123" i="45"/>
  <c r="G3120" i="45"/>
  <c r="G3121" i="45" s="1"/>
  <c r="G3122" i="45" s="1"/>
  <c r="G3123" i="45" s="1"/>
  <c r="G3124" i="45" s="1"/>
  <c r="G3140" i="45"/>
  <c r="G3141" i="45" s="1"/>
  <c r="G3142" i="45" s="1"/>
  <c r="G3143" i="45" s="1"/>
  <c r="G3144" i="45" s="1"/>
  <c r="E3153" i="45"/>
  <c r="M3153" i="45" s="1"/>
  <c r="B3173" i="45"/>
  <c r="B3176" i="45" s="1"/>
  <c r="B3179" i="45" s="1"/>
  <c r="G3170" i="45"/>
  <c r="G3171" i="45" s="1"/>
  <c r="G3172" i="45" s="1"/>
  <c r="G3173" i="45" s="1"/>
  <c r="G3174" i="45" s="1"/>
  <c r="E3211" i="45"/>
  <c r="M3211" i="45" s="1"/>
  <c r="A3244" i="45"/>
  <c r="A3242" i="45"/>
  <c r="E3073" i="45"/>
  <c r="M3073" i="45" s="1"/>
  <c r="E3091" i="45"/>
  <c r="M3091" i="45" s="1"/>
  <c r="E3113" i="45"/>
  <c r="M3113" i="45" s="1"/>
  <c r="A3144" i="45"/>
  <c r="A3142" i="45"/>
  <c r="A3163" i="45"/>
  <c r="G3160" i="45"/>
  <c r="G3161" i="45" s="1"/>
  <c r="G3162" i="45" s="1"/>
  <c r="G3163" i="45" s="1"/>
  <c r="G3164" i="45" s="1"/>
  <c r="E3194" i="45"/>
  <c r="E3197" i="45" s="1"/>
  <c r="M3197" i="45" s="1"/>
  <c r="A3213" i="45"/>
  <c r="A3216" i="45" s="1"/>
  <c r="A3219" i="45" s="1"/>
  <c r="G3210" i="45"/>
  <c r="G3211" i="45" s="1"/>
  <c r="G3212" i="45" s="1"/>
  <c r="G3213" i="45" s="1"/>
  <c r="G3214" i="45" s="1"/>
  <c r="B3242" i="45"/>
  <c r="B3244" i="45"/>
  <c r="D3244" i="45"/>
  <c r="D3242" i="45"/>
  <c r="A3073" i="45"/>
  <c r="A3076" i="45" s="1"/>
  <c r="A3079" i="45" s="1"/>
  <c r="G3070" i="45"/>
  <c r="G3071" i="45" s="1"/>
  <c r="G3072" i="45" s="1"/>
  <c r="G3073" i="45" s="1"/>
  <c r="G3074" i="45" s="1"/>
  <c r="A3093" i="45"/>
  <c r="A3096" i="45" s="1"/>
  <c r="A3099" i="45" s="1"/>
  <c r="G3090" i="45"/>
  <c r="G3091" i="45" s="1"/>
  <c r="G3092" i="45" s="1"/>
  <c r="G3093" i="45" s="1"/>
  <c r="G3094" i="45" s="1"/>
  <c r="A3113" i="45"/>
  <c r="A3116" i="45" s="1"/>
  <c r="A3119" i="45" s="1"/>
  <c r="G3110" i="45"/>
  <c r="G3111" i="45" s="1"/>
  <c r="G3112" i="45" s="1"/>
  <c r="G3113" i="45" s="1"/>
  <c r="G3114" i="45" s="1"/>
  <c r="B3144" i="45"/>
  <c r="B3142" i="45"/>
  <c r="D3144" i="45"/>
  <c r="D3142" i="45"/>
  <c r="E3151" i="45"/>
  <c r="G3180" i="45"/>
  <c r="G3181" i="45" s="1"/>
  <c r="G3182" i="45" s="1"/>
  <c r="G3183" i="45" s="1"/>
  <c r="G3184" i="45" s="1"/>
  <c r="E3213" i="45"/>
  <c r="M3213" i="45" s="1"/>
  <c r="E3071" i="45"/>
  <c r="E3093" i="45"/>
  <c r="M3093" i="45" s="1"/>
  <c r="E3111" i="45"/>
  <c r="G3130" i="45"/>
  <c r="G3131" i="45" s="1"/>
  <c r="G3132" i="45" s="1"/>
  <c r="G3133" i="45" s="1"/>
  <c r="G3134" i="45" s="1"/>
  <c r="A3153" i="45"/>
  <c r="A3156" i="45" s="1"/>
  <c r="A3159" i="45" s="1"/>
  <c r="G3150" i="45"/>
  <c r="G3151" i="45" s="1"/>
  <c r="G3152" i="45" s="1"/>
  <c r="G3153" i="45" s="1"/>
  <c r="G3154" i="45" s="1"/>
  <c r="D3184" i="45"/>
  <c r="D3182" i="45"/>
  <c r="E3174" i="45"/>
  <c r="E3177" i="45" s="1"/>
  <c r="M3177" i="45" s="1"/>
  <c r="B3193" i="45"/>
  <c r="B3196" i="45" s="1"/>
  <c r="B3199" i="45" s="1"/>
  <c r="G3190" i="45"/>
  <c r="G3191" i="45" s="1"/>
  <c r="G3192" i="45" s="1"/>
  <c r="G3193" i="45" s="1"/>
  <c r="G3194" i="45" s="1"/>
  <c r="D3204" i="45"/>
  <c r="D3202" i="45"/>
  <c r="A3223" i="45"/>
  <c r="G3220" i="45"/>
  <c r="G3221" i="45" s="1"/>
  <c r="G3222" i="45" s="1"/>
  <c r="G3223" i="45" s="1"/>
  <c r="G3224" i="45" s="1"/>
  <c r="G3240" i="45"/>
  <c r="G3241" i="45" s="1"/>
  <c r="G3242" i="45" s="1"/>
  <c r="G3243" i="45" s="1"/>
  <c r="G3244" i="45" s="1"/>
  <c r="E1751" i="45"/>
  <c r="G1990" i="45"/>
  <c r="G1991" i="45" s="1"/>
  <c r="G1992" i="45" s="1"/>
  <c r="G1993" i="45" s="1"/>
  <c r="G1994" i="45" s="1"/>
  <c r="G2110" i="45"/>
  <c r="G2111" i="45" s="1"/>
  <c r="G2112" i="45" s="1"/>
  <c r="G2113" i="45" s="1"/>
  <c r="G2114" i="45" s="1"/>
  <c r="G2330" i="45"/>
  <c r="G2331" i="45" s="1"/>
  <c r="G2332" i="45" s="1"/>
  <c r="G2333" i="45" s="1"/>
  <c r="G2334" i="45" s="1"/>
  <c r="G2480" i="45"/>
  <c r="G2481" i="45" s="1"/>
  <c r="G2482" i="45" s="1"/>
  <c r="G2483" i="45" s="1"/>
  <c r="G2484" i="45" s="1"/>
  <c r="E2941" i="45"/>
  <c r="G2900" i="45"/>
  <c r="G2901" i="45" s="1"/>
  <c r="G2902" i="45" s="1"/>
  <c r="G2903" i="45" s="1"/>
  <c r="G2904" i="45" s="1"/>
  <c r="G2940" i="45"/>
  <c r="G2941" i="45" s="1"/>
  <c r="G2942" i="45" s="1"/>
  <c r="G2943" i="45" s="1"/>
  <c r="G2944" i="45" s="1"/>
  <c r="E2973" i="45"/>
  <c r="M2973" i="45" s="1"/>
  <c r="B3004" i="45"/>
  <c r="B3002" i="45"/>
  <c r="C2888" i="45"/>
  <c r="M2888" i="45" s="1"/>
  <c r="D2904" i="45"/>
  <c r="D2902" i="45"/>
  <c r="E2894" i="45"/>
  <c r="E2897" i="45" s="1"/>
  <c r="B2913" i="45"/>
  <c r="B2916" i="45" s="1"/>
  <c r="B2919" i="45" s="1"/>
  <c r="G2910" i="45"/>
  <c r="G2911" i="45" s="1"/>
  <c r="G2912" i="45" s="1"/>
  <c r="G2913" i="45" s="1"/>
  <c r="G2914" i="45" s="1"/>
  <c r="C2928" i="45"/>
  <c r="D2944" i="45"/>
  <c r="D2942" i="45"/>
  <c r="B2964" i="45"/>
  <c r="B2962" i="45"/>
  <c r="D2964" i="45"/>
  <c r="D2962" i="45"/>
  <c r="A2983" i="45"/>
  <c r="G2980" i="45"/>
  <c r="G2981" i="45" s="1"/>
  <c r="G2982" i="45" s="1"/>
  <c r="G2983" i="45" s="1"/>
  <c r="G2984" i="45" s="1"/>
  <c r="A2993" i="45"/>
  <c r="A2996" i="45" s="1"/>
  <c r="A2999" i="45" s="1"/>
  <c r="G2990" i="45"/>
  <c r="G2991" i="45" s="1"/>
  <c r="G2992" i="45" s="1"/>
  <c r="G2993" i="45" s="1"/>
  <c r="G2994" i="45" s="1"/>
  <c r="D3024" i="45"/>
  <c r="D3022" i="45"/>
  <c r="A3033" i="45"/>
  <c r="A3036" i="45" s="1"/>
  <c r="A3039" i="45" s="1"/>
  <c r="G3030" i="45"/>
  <c r="G3031" i="45" s="1"/>
  <c r="G3032" i="45" s="1"/>
  <c r="G3033" i="45" s="1"/>
  <c r="G3034" i="45" s="1"/>
  <c r="B3062" i="45"/>
  <c r="B3064" i="45"/>
  <c r="D3064" i="45"/>
  <c r="D3062" i="45"/>
  <c r="E2991" i="45"/>
  <c r="M2991" i="45" s="1"/>
  <c r="G3020" i="45"/>
  <c r="G3021" i="45" s="1"/>
  <c r="G3022" i="45" s="1"/>
  <c r="G3023" i="45" s="1"/>
  <c r="G3024" i="45" s="1"/>
  <c r="E3033" i="45"/>
  <c r="M3033" i="45" s="1"/>
  <c r="G3050" i="45"/>
  <c r="G3051" i="45" s="1"/>
  <c r="G3052" i="45" s="1"/>
  <c r="G3053" i="45" s="1"/>
  <c r="G3054" i="45" s="1"/>
  <c r="B2893" i="45"/>
  <c r="B2896" i="45" s="1"/>
  <c r="B2899" i="45" s="1"/>
  <c r="G2890" i="45"/>
  <c r="G2891" i="45" s="1"/>
  <c r="G2892" i="45" s="1"/>
  <c r="G2893" i="45" s="1"/>
  <c r="G2894" i="45" s="1"/>
  <c r="C2908" i="45"/>
  <c r="M2908" i="45" s="1"/>
  <c r="D2924" i="45"/>
  <c r="D2922" i="45"/>
  <c r="B2933" i="45"/>
  <c r="B2936" i="45" s="1"/>
  <c r="B2939" i="45" s="1"/>
  <c r="G2930" i="45"/>
  <c r="G2931" i="45" s="1"/>
  <c r="G2932" i="45" s="1"/>
  <c r="G2933" i="45" s="1"/>
  <c r="G2934" i="45" s="1"/>
  <c r="A2964" i="45"/>
  <c r="A2962" i="45"/>
  <c r="E3001" i="45"/>
  <c r="M3001" i="45" s="1"/>
  <c r="E2971" i="45"/>
  <c r="M2971" i="45" s="1"/>
  <c r="E2901" i="45"/>
  <c r="G2920" i="45"/>
  <c r="G2921" i="45" s="1"/>
  <c r="G2922" i="45" s="1"/>
  <c r="G2923" i="45" s="1"/>
  <c r="G2924" i="45" s="1"/>
  <c r="G2960" i="45"/>
  <c r="G2961" i="45" s="1"/>
  <c r="G2962" i="45" s="1"/>
  <c r="G2963" i="45" s="1"/>
  <c r="G2964" i="45" s="1"/>
  <c r="A2973" i="45"/>
  <c r="A2976" i="45" s="1"/>
  <c r="A2979" i="45" s="1"/>
  <c r="G2970" i="45"/>
  <c r="G2971" i="45" s="1"/>
  <c r="G2972" i="45" s="1"/>
  <c r="G2973" i="45" s="1"/>
  <c r="G2974" i="45" s="1"/>
  <c r="D3004" i="45"/>
  <c r="D3002" i="45"/>
  <c r="A3003" i="45"/>
  <c r="G3000" i="45"/>
  <c r="G3001" i="45" s="1"/>
  <c r="G3002" i="45" s="1"/>
  <c r="G3003" i="45" s="1"/>
  <c r="G3004" i="45" s="1"/>
  <c r="A3043" i="45"/>
  <c r="G3040" i="45"/>
  <c r="G3041" i="45" s="1"/>
  <c r="G3042" i="45" s="1"/>
  <c r="G3043" i="45" s="1"/>
  <c r="G3044" i="45" s="1"/>
  <c r="G3060" i="45"/>
  <c r="G3061" i="45" s="1"/>
  <c r="G3062" i="45" s="1"/>
  <c r="G3063" i="45" s="1"/>
  <c r="G3064" i="45" s="1"/>
  <c r="E2993" i="45"/>
  <c r="M2993" i="45" s="1"/>
  <c r="B3013" i="45"/>
  <c r="B3016" i="45" s="1"/>
  <c r="B3019" i="45" s="1"/>
  <c r="G3010" i="45"/>
  <c r="G3011" i="45" s="1"/>
  <c r="G3012" i="45" s="1"/>
  <c r="G3013" i="45" s="1"/>
  <c r="G3014" i="45" s="1"/>
  <c r="E3031" i="45"/>
  <c r="M3031" i="45" s="1"/>
  <c r="A3064" i="45"/>
  <c r="A3062" i="45"/>
  <c r="E2761" i="45"/>
  <c r="G2740" i="45"/>
  <c r="G2741" i="45" s="1"/>
  <c r="G2742" i="45" s="1"/>
  <c r="G2743" i="45" s="1"/>
  <c r="G2744" i="45" s="1"/>
  <c r="A2823" i="45"/>
  <c r="G2820" i="45"/>
  <c r="G2821" i="45" s="1"/>
  <c r="G2822" i="45" s="1"/>
  <c r="G2823" i="45" s="1"/>
  <c r="G2824" i="45" s="1"/>
  <c r="A2833" i="45"/>
  <c r="A2836" i="45" s="1"/>
  <c r="A2839" i="45" s="1"/>
  <c r="G2830" i="45"/>
  <c r="G2831" i="45" s="1"/>
  <c r="G2832" i="45" s="1"/>
  <c r="G2833" i="45" s="1"/>
  <c r="G2834" i="45" s="1"/>
  <c r="D2864" i="45"/>
  <c r="D2862" i="45"/>
  <c r="E2741" i="45"/>
  <c r="G2720" i="45"/>
  <c r="G2721" i="45" s="1"/>
  <c r="G2722" i="45" s="1"/>
  <c r="G2723" i="45" s="1"/>
  <c r="G2724" i="45" s="1"/>
  <c r="G2760" i="45"/>
  <c r="G2761" i="45" s="1"/>
  <c r="G2762" i="45" s="1"/>
  <c r="G2763" i="45" s="1"/>
  <c r="G2764" i="45" s="1"/>
  <c r="G2780" i="45"/>
  <c r="G2781" i="45" s="1"/>
  <c r="G2782" i="45" s="1"/>
  <c r="G2783" i="45" s="1"/>
  <c r="G2784" i="45" s="1"/>
  <c r="B2793" i="45"/>
  <c r="B2796" i="45" s="1"/>
  <c r="B2799" i="45" s="1"/>
  <c r="G2790" i="45"/>
  <c r="G2791" i="45" s="1"/>
  <c r="G2792" i="45" s="1"/>
  <c r="G2793" i="45" s="1"/>
  <c r="G2794" i="45" s="1"/>
  <c r="E2811" i="45"/>
  <c r="M2811" i="45" s="1"/>
  <c r="E2833" i="45"/>
  <c r="M2833" i="45" s="1"/>
  <c r="B2853" i="45"/>
  <c r="B2856" i="45" s="1"/>
  <c r="B2859" i="45" s="1"/>
  <c r="G2850" i="45"/>
  <c r="G2851" i="45" s="1"/>
  <c r="G2852" i="45" s="1"/>
  <c r="G2853" i="45" s="1"/>
  <c r="G2854" i="45" s="1"/>
  <c r="B2882" i="45"/>
  <c r="B2884" i="45"/>
  <c r="D2884" i="45"/>
  <c r="D2882" i="45"/>
  <c r="C2708" i="45"/>
  <c r="D2724" i="45"/>
  <c r="D2722" i="45"/>
  <c r="E2714" i="45"/>
  <c r="E2717" i="45" s="1"/>
  <c r="B2733" i="45"/>
  <c r="B2736" i="45" s="1"/>
  <c r="B2739" i="45" s="1"/>
  <c r="G2730" i="45"/>
  <c r="G2731" i="45" s="1"/>
  <c r="G2732" i="45" s="1"/>
  <c r="G2733" i="45" s="1"/>
  <c r="G2734" i="45" s="1"/>
  <c r="C2748" i="45"/>
  <c r="D2764" i="45"/>
  <c r="D2762" i="45"/>
  <c r="E2754" i="45"/>
  <c r="E2757" i="45" s="1"/>
  <c r="D2784" i="45"/>
  <c r="D2782" i="45"/>
  <c r="D2804" i="45"/>
  <c r="D2802" i="45"/>
  <c r="E2794" i="45"/>
  <c r="E2797" i="45" s="1"/>
  <c r="M2797" i="45" s="1"/>
  <c r="A2813" i="45"/>
  <c r="A2816" i="45" s="1"/>
  <c r="A2819" i="45" s="1"/>
  <c r="G2810" i="45"/>
  <c r="G2811" i="45" s="1"/>
  <c r="G2812" i="45" s="1"/>
  <c r="G2813" i="45" s="1"/>
  <c r="G2814" i="45" s="1"/>
  <c r="A2843" i="45"/>
  <c r="G2840" i="45"/>
  <c r="G2841" i="45" s="1"/>
  <c r="G2842" i="45" s="1"/>
  <c r="G2843" i="45" s="1"/>
  <c r="G2844" i="45" s="1"/>
  <c r="A2884" i="45"/>
  <c r="A2882" i="45"/>
  <c r="E2721" i="45"/>
  <c r="B2713" i="45"/>
  <c r="B2716" i="45" s="1"/>
  <c r="B2719" i="45" s="1"/>
  <c r="G2710" i="45"/>
  <c r="G2711" i="45" s="1"/>
  <c r="G2712" i="45" s="1"/>
  <c r="G2713" i="45" s="1"/>
  <c r="G2714" i="45" s="1"/>
  <c r="C2728" i="45"/>
  <c r="D2744" i="45"/>
  <c r="D2742" i="45"/>
  <c r="B2753" i="45"/>
  <c r="B2756" i="45" s="1"/>
  <c r="B2759" i="45" s="1"/>
  <c r="G2750" i="45"/>
  <c r="G2751" i="45" s="1"/>
  <c r="G2752" i="45" s="1"/>
  <c r="G2753" i="45" s="1"/>
  <c r="G2754" i="45" s="1"/>
  <c r="B2773" i="45"/>
  <c r="B2776" i="45" s="1"/>
  <c r="B2779" i="45" s="1"/>
  <c r="G2770" i="45"/>
  <c r="G2771" i="45" s="1"/>
  <c r="G2772" i="45" s="1"/>
  <c r="G2773" i="45" s="1"/>
  <c r="G2774" i="45" s="1"/>
  <c r="G2800" i="45"/>
  <c r="G2801" i="45" s="1"/>
  <c r="G2802" i="45" s="1"/>
  <c r="G2803" i="45" s="1"/>
  <c r="G2804" i="45" s="1"/>
  <c r="E2813" i="45"/>
  <c r="M2813" i="45" s="1"/>
  <c r="E2831" i="45"/>
  <c r="G2860" i="45"/>
  <c r="G2861" i="45" s="1"/>
  <c r="G2862" i="45" s="1"/>
  <c r="G2863" i="45" s="1"/>
  <c r="G2864" i="45" s="1"/>
  <c r="G2880" i="45"/>
  <c r="G2881" i="45" s="1"/>
  <c r="G2882" i="45" s="1"/>
  <c r="G2883" i="45" s="1"/>
  <c r="G2884" i="45" s="1"/>
  <c r="C2528" i="45"/>
  <c r="D2544" i="45"/>
  <c r="D2542" i="45"/>
  <c r="B2553" i="45"/>
  <c r="B2556" i="45" s="1"/>
  <c r="B2559" i="45" s="1"/>
  <c r="G2550" i="45"/>
  <c r="G2551" i="45" s="1"/>
  <c r="G2552" i="45" s="1"/>
  <c r="G2553" i="45" s="1"/>
  <c r="G2554" i="45" s="1"/>
  <c r="G2580" i="45"/>
  <c r="G2581" i="45" s="1"/>
  <c r="G2582" i="45" s="1"/>
  <c r="G2583" i="45" s="1"/>
  <c r="G2584" i="45" s="1"/>
  <c r="A2644" i="45"/>
  <c r="A2642" i="45"/>
  <c r="A2663" i="45"/>
  <c r="G2660" i="45"/>
  <c r="G2661" i="45" s="1"/>
  <c r="G2662" i="45" s="1"/>
  <c r="G2663" i="45" s="1"/>
  <c r="G2664" i="45" s="1"/>
  <c r="E2651" i="45"/>
  <c r="M2651" i="45" s="1"/>
  <c r="E2653" i="45"/>
  <c r="M2653" i="45" s="1"/>
  <c r="B2684" i="45"/>
  <c r="B2682" i="45"/>
  <c r="D2684" i="45"/>
  <c r="D2682" i="45"/>
  <c r="E2674" i="45"/>
  <c r="E2677" i="45" s="1"/>
  <c r="M2677" i="45" s="1"/>
  <c r="B2702" i="45"/>
  <c r="B2704" i="45"/>
  <c r="D2704" i="45"/>
  <c r="D2702" i="45"/>
  <c r="B2533" i="45"/>
  <c r="B2536" i="45" s="1"/>
  <c r="B2539" i="45" s="1"/>
  <c r="G2530" i="45"/>
  <c r="G2531" i="45" s="1"/>
  <c r="G2532" i="45" s="1"/>
  <c r="G2533" i="45" s="1"/>
  <c r="G2534" i="45" s="1"/>
  <c r="C2548" i="45"/>
  <c r="D2562" i="45"/>
  <c r="D2564" i="45"/>
  <c r="E2554" i="45"/>
  <c r="E2557" i="45" s="1"/>
  <c r="B2584" i="45"/>
  <c r="B2582" i="45"/>
  <c r="A2584" i="45"/>
  <c r="A2582" i="45"/>
  <c r="B2604" i="45"/>
  <c r="B2602" i="45"/>
  <c r="D2602" i="45"/>
  <c r="D2604" i="45"/>
  <c r="A2613" i="45"/>
  <c r="A2616" i="45" s="1"/>
  <c r="A2619" i="45" s="1"/>
  <c r="G2610" i="45"/>
  <c r="G2611" i="45" s="1"/>
  <c r="G2612" i="45" s="1"/>
  <c r="G2613" i="45" s="1"/>
  <c r="G2614" i="45" s="1"/>
  <c r="B2644" i="45"/>
  <c r="B2642" i="45"/>
  <c r="D2642" i="45"/>
  <c r="D2644" i="45"/>
  <c r="E2658" i="45"/>
  <c r="M2658" i="45" s="1"/>
  <c r="A2684" i="45"/>
  <c r="A2682" i="45"/>
  <c r="G2690" i="45"/>
  <c r="G2691" i="45" s="1"/>
  <c r="G2692" i="45" s="1"/>
  <c r="G2693" i="45" s="1"/>
  <c r="G2694" i="45" s="1"/>
  <c r="G2560" i="45"/>
  <c r="G2561" i="45" s="1"/>
  <c r="G2562" i="45" s="1"/>
  <c r="G2563" i="45" s="1"/>
  <c r="G2564" i="45" s="1"/>
  <c r="D2584" i="45"/>
  <c r="D2582" i="45"/>
  <c r="A2604" i="45"/>
  <c r="A2602" i="45"/>
  <c r="E2618" i="45"/>
  <c r="M2618" i="45" s="1"/>
  <c r="A2653" i="45"/>
  <c r="A2656" i="45" s="1"/>
  <c r="A2659" i="45" s="1"/>
  <c r="G2650" i="45"/>
  <c r="G2651" i="45" s="1"/>
  <c r="G2652" i="45" s="1"/>
  <c r="G2653" i="45" s="1"/>
  <c r="G2654" i="45" s="1"/>
  <c r="G2680" i="45"/>
  <c r="G2681" i="45" s="1"/>
  <c r="G2682" i="45" s="1"/>
  <c r="G2683" i="45" s="1"/>
  <c r="G2684" i="45" s="1"/>
  <c r="G2700" i="45"/>
  <c r="G2701" i="45" s="1"/>
  <c r="G2702" i="45" s="1"/>
  <c r="G2703" i="45" s="1"/>
  <c r="G2704" i="45" s="1"/>
  <c r="E2541" i="45"/>
  <c r="G2540" i="45"/>
  <c r="G2541" i="45" s="1"/>
  <c r="G2542" i="45" s="1"/>
  <c r="G2543" i="45" s="1"/>
  <c r="G2544" i="45" s="1"/>
  <c r="G2570" i="45"/>
  <c r="G2571" i="45" s="1"/>
  <c r="G2572" i="45" s="1"/>
  <c r="G2573" i="45" s="1"/>
  <c r="G2574" i="45" s="1"/>
  <c r="G2600" i="45"/>
  <c r="G2601" i="45" s="1"/>
  <c r="G2602" i="45" s="1"/>
  <c r="G2603" i="45" s="1"/>
  <c r="G2604" i="45" s="1"/>
  <c r="A2623" i="45"/>
  <c r="G2620" i="45"/>
  <c r="G2621" i="45" s="1"/>
  <c r="G2622" i="45" s="1"/>
  <c r="G2623" i="45" s="1"/>
  <c r="G2624" i="45" s="1"/>
  <c r="E2611" i="45"/>
  <c r="M2611" i="45" s="1"/>
  <c r="E2613" i="45"/>
  <c r="M2613" i="45" s="1"/>
  <c r="G2640" i="45"/>
  <c r="G2641" i="45" s="1"/>
  <c r="G2642" i="45" s="1"/>
  <c r="G2643" i="45" s="1"/>
  <c r="G2644" i="45" s="1"/>
  <c r="E2634" i="45"/>
  <c r="E2637" i="45" s="1"/>
  <c r="M2637" i="45" s="1"/>
  <c r="G2670" i="45"/>
  <c r="G2671" i="45" s="1"/>
  <c r="G2672" i="45" s="1"/>
  <c r="G2673" i="45" s="1"/>
  <c r="G2674" i="45" s="1"/>
  <c r="A2704" i="45"/>
  <c r="A2702" i="45"/>
  <c r="G2130" i="45"/>
  <c r="G2131" i="45" s="1"/>
  <c r="G2132" i="45" s="1"/>
  <c r="G2133" i="45" s="1"/>
  <c r="G2134" i="45" s="1"/>
  <c r="E2401" i="45"/>
  <c r="G2380" i="45"/>
  <c r="G2381" i="45" s="1"/>
  <c r="G2382" i="45" s="1"/>
  <c r="G2383" i="45" s="1"/>
  <c r="G2384" i="45" s="1"/>
  <c r="A2443" i="45"/>
  <c r="G2440" i="45"/>
  <c r="G2441" i="45" s="1"/>
  <c r="G2442" i="45" s="1"/>
  <c r="G2443" i="45" s="1"/>
  <c r="G2444" i="45" s="1"/>
  <c r="E2431" i="45"/>
  <c r="M2431" i="45" s="1"/>
  <c r="E2433" i="45"/>
  <c r="M2433" i="45" s="1"/>
  <c r="A2463" i="45"/>
  <c r="G2460" i="45"/>
  <c r="G2461" i="45" s="1"/>
  <c r="G2462" i="45" s="1"/>
  <c r="G2463" i="45" s="1"/>
  <c r="G2464" i="45" s="1"/>
  <c r="G2500" i="45"/>
  <c r="G2501" i="45" s="1"/>
  <c r="G2502" i="45" s="1"/>
  <c r="G2503" i="45" s="1"/>
  <c r="G2504" i="45" s="1"/>
  <c r="A2524" i="45"/>
  <c r="A2522" i="45"/>
  <c r="E2381" i="45"/>
  <c r="G2360" i="45"/>
  <c r="G2361" i="45" s="1"/>
  <c r="G2362" i="45" s="1"/>
  <c r="G2363" i="45" s="1"/>
  <c r="G2364" i="45" s="1"/>
  <c r="G2400" i="45"/>
  <c r="G2401" i="45" s="1"/>
  <c r="G2402" i="45" s="1"/>
  <c r="G2403" i="45" s="1"/>
  <c r="G2404" i="45" s="1"/>
  <c r="G2420" i="45"/>
  <c r="G2421" i="45" s="1"/>
  <c r="G2422" i="45" s="1"/>
  <c r="G2423" i="45" s="1"/>
  <c r="G2424" i="45" s="1"/>
  <c r="E2453" i="45"/>
  <c r="M2453" i="45" s="1"/>
  <c r="G2490" i="45"/>
  <c r="G2491" i="45" s="1"/>
  <c r="G2492" i="45" s="1"/>
  <c r="G2493" i="45" s="1"/>
  <c r="G2494" i="45" s="1"/>
  <c r="B2522" i="45"/>
  <c r="B2524" i="45"/>
  <c r="D2524" i="45"/>
  <c r="D2522" i="45"/>
  <c r="C2348" i="45"/>
  <c r="M2348" i="45" s="1"/>
  <c r="P2345" i="45" s="1"/>
  <c r="D2364" i="45"/>
  <c r="D2362" i="45"/>
  <c r="E2354" i="45"/>
  <c r="E2357" i="45" s="1"/>
  <c r="B2373" i="45"/>
  <c r="B2376" i="45" s="1"/>
  <c r="B2379" i="45" s="1"/>
  <c r="G2370" i="45"/>
  <c r="G2371" i="45" s="1"/>
  <c r="G2372" i="45" s="1"/>
  <c r="G2373" i="45" s="1"/>
  <c r="G2374" i="45" s="1"/>
  <c r="C2388" i="45"/>
  <c r="D2404" i="45"/>
  <c r="D2402" i="45"/>
  <c r="E2394" i="45"/>
  <c r="E2397" i="45" s="1"/>
  <c r="D2424" i="45"/>
  <c r="D2422" i="45"/>
  <c r="A2433" i="45"/>
  <c r="A2436" i="45" s="1"/>
  <c r="A2439" i="45" s="1"/>
  <c r="G2430" i="45"/>
  <c r="G2431" i="45" s="1"/>
  <c r="G2432" i="45" s="1"/>
  <c r="G2433" i="45" s="1"/>
  <c r="G2434" i="45" s="1"/>
  <c r="A2453" i="45"/>
  <c r="A2456" i="45" s="1"/>
  <c r="A2459" i="45" s="1"/>
  <c r="G2450" i="45"/>
  <c r="G2451" i="45" s="1"/>
  <c r="G2452" i="45" s="1"/>
  <c r="G2453" i="45" s="1"/>
  <c r="G2454" i="45" s="1"/>
  <c r="B2504" i="45"/>
  <c r="B2502" i="45"/>
  <c r="D2504" i="45"/>
  <c r="D2502" i="45"/>
  <c r="B2353" i="45"/>
  <c r="B2356" i="45" s="1"/>
  <c r="B2359" i="45" s="1"/>
  <c r="G2350" i="45"/>
  <c r="G2351" i="45" s="1"/>
  <c r="G2352" i="45" s="1"/>
  <c r="G2353" i="45" s="1"/>
  <c r="G2354" i="45" s="1"/>
  <c r="C2368" i="45"/>
  <c r="D2384" i="45"/>
  <c r="D2382" i="45"/>
  <c r="E2374" i="45"/>
  <c r="E2377" i="45" s="1"/>
  <c r="B2393" i="45"/>
  <c r="B2396" i="45" s="1"/>
  <c r="B2399" i="45" s="1"/>
  <c r="G2390" i="45"/>
  <c r="G2391" i="45" s="1"/>
  <c r="G2392" i="45" s="1"/>
  <c r="G2393" i="45" s="1"/>
  <c r="G2394" i="45" s="1"/>
  <c r="B2413" i="45"/>
  <c r="B2416" i="45" s="1"/>
  <c r="B2419" i="45" s="1"/>
  <c r="G2410" i="45"/>
  <c r="G2411" i="45" s="1"/>
  <c r="G2412" i="45" s="1"/>
  <c r="G2413" i="45" s="1"/>
  <c r="G2414" i="45" s="1"/>
  <c r="E2438" i="45"/>
  <c r="M2438" i="45" s="1"/>
  <c r="A2484" i="45"/>
  <c r="A2482" i="45"/>
  <c r="E2451" i="45"/>
  <c r="B2484" i="45"/>
  <c r="B2482" i="45"/>
  <c r="D2484" i="45"/>
  <c r="D2482" i="45"/>
  <c r="A2504" i="45"/>
  <c r="A2502" i="45"/>
  <c r="G2520" i="45"/>
  <c r="G2521" i="45" s="1"/>
  <c r="G2522" i="45" s="1"/>
  <c r="G2523" i="45" s="1"/>
  <c r="G2524" i="45" s="1"/>
  <c r="E2514" i="45"/>
  <c r="E2517" i="45" s="1"/>
  <c r="M2517" i="45" s="1"/>
  <c r="G1610" i="45"/>
  <c r="G1611" i="45" s="1"/>
  <c r="G1612" i="45" s="1"/>
  <c r="G1613" i="45" s="1"/>
  <c r="G1614" i="45" s="1"/>
  <c r="A2183" i="45"/>
  <c r="G2180" i="45"/>
  <c r="G2181" i="45" s="1"/>
  <c r="G2182" i="45" s="1"/>
  <c r="G2183" i="45" s="1"/>
  <c r="G2184" i="45" s="1"/>
  <c r="A2203" i="45"/>
  <c r="G2200" i="45"/>
  <c r="G2201" i="45" s="1"/>
  <c r="G2202" i="45" s="1"/>
  <c r="G2203" i="45" s="1"/>
  <c r="G2204" i="45" s="1"/>
  <c r="A2223" i="45"/>
  <c r="G2220" i="45"/>
  <c r="G2221" i="45" s="1"/>
  <c r="G2222" i="45" s="1"/>
  <c r="G2223" i="45" s="1"/>
  <c r="G2224" i="45" s="1"/>
  <c r="B2253" i="45"/>
  <c r="B2256" i="45" s="1"/>
  <c r="B2259" i="45" s="1"/>
  <c r="G2250" i="45"/>
  <c r="G2251" i="45" s="1"/>
  <c r="G2252" i="45" s="1"/>
  <c r="G2253" i="45" s="1"/>
  <c r="G2254" i="45" s="1"/>
  <c r="E2271" i="45"/>
  <c r="M2271" i="45" s="1"/>
  <c r="E2293" i="45"/>
  <c r="M2293" i="45" s="1"/>
  <c r="B2324" i="45"/>
  <c r="B2322" i="45"/>
  <c r="B2304" i="45"/>
  <c r="B2302" i="45"/>
  <c r="A2313" i="45"/>
  <c r="A2316" i="45" s="1"/>
  <c r="A2319" i="45" s="1"/>
  <c r="G2310" i="45"/>
  <c r="G2311" i="45" s="1"/>
  <c r="G2312" i="45" s="1"/>
  <c r="G2313" i="45" s="1"/>
  <c r="G2314" i="45" s="1"/>
  <c r="E2173" i="45"/>
  <c r="M2173" i="45" s="1"/>
  <c r="E2191" i="45"/>
  <c r="M2191" i="45" s="1"/>
  <c r="E2213" i="45"/>
  <c r="M2213" i="45" s="1"/>
  <c r="E2233" i="45"/>
  <c r="M2233" i="45" s="1"/>
  <c r="D2264" i="45"/>
  <c r="D2262" i="45"/>
  <c r="E2254" i="45"/>
  <c r="E2257" i="45" s="1"/>
  <c r="M2257" i="45" s="1"/>
  <c r="A2273" i="45"/>
  <c r="A2276" i="45" s="1"/>
  <c r="A2279" i="45" s="1"/>
  <c r="G2270" i="45"/>
  <c r="G2271" i="45" s="1"/>
  <c r="G2272" i="45" s="1"/>
  <c r="G2273" i="45" s="1"/>
  <c r="G2274" i="45" s="1"/>
  <c r="A2293" i="45"/>
  <c r="A2296" i="45" s="1"/>
  <c r="A2299" i="45" s="1"/>
  <c r="G2290" i="45"/>
  <c r="G2291" i="45" s="1"/>
  <c r="G2292" i="45" s="1"/>
  <c r="G2293" i="45" s="1"/>
  <c r="G2294" i="45" s="1"/>
  <c r="D2324" i="45"/>
  <c r="D2322" i="45"/>
  <c r="E2313" i="45"/>
  <c r="M2313" i="45" s="1"/>
  <c r="G2340" i="45"/>
  <c r="G2341" i="45" s="1"/>
  <c r="G2342" i="45" s="1"/>
  <c r="G2343" i="45" s="1"/>
  <c r="G2344" i="45" s="1"/>
  <c r="A2173" i="45"/>
  <c r="A2176" i="45" s="1"/>
  <c r="A2179" i="45" s="1"/>
  <c r="G2170" i="45"/>
  <c r="G2171" i="45" s="1"/>
  <c r="G2172" i="45" s="1"/>
  <c r="G2173" i="45" s="1"/>
  <c r="G2174" i="45" s="1"/>
  <c r="A2193" i="45"/>
  <c r="A2196" i="45" s="1"/>
  <c r="A2199" i="45" s="1"/>
  <c r="G2190" i="45"/>
  <c r="G2191" i="45" s="1"/>
  <c r="G2192" i="45" s="1"/>
  <c r="G2193" i="45" s="1"/>
  <c r="G2194" i="45" s="1"/>
  <c r="A2213" i="45"/>
  <c r="A2216" i="45" s="1"/>
  <c r="A2219" i="45" s="1"/>
  <c r="G2210" i="45"/>
  <c r="G2211" i="45" s="1"/>
  <c r="G2212" i="45" s="1"/>
  <c r="G2213" i="45" s="1"/>
  <c r="G2214" i="45" s="1"/>
  <c r="E2281" i="45"/>
  <c r="M2281" i="45" s="1"/>
  <c r="G2260" i="45"/>
  <c r="G2261" i="45" s="1"/>
  <c r="G2262" i="45" s="1"/>
  <c r="G2263" i="45" s="1"/>
  <c r="G2264" i="45" s="1"/>
  <c r="E2273" i="45"/>
  <c r="M2273" i="45" s="1"/>
  <c r="E2291" i="45"/>
  <c r="A2323" i="45"/>
  <c r="G2320" i="45"/>
  <c r="G2321" i="45" s="1"/>
  <c r="G2322" i="45" s="1"/>
  <c r="G2323" i="45" s="1"/>
  <c r="G2324" i="45" s="1"/>
  <c r="A2344" i="45"/>
  <c r="A2342" i="45"/>
  <c r="E2171" i="45"/>
  <c r="M2171" i="45" s="1"/>
  <c r="E2193" i="45"/>
  <c r="M2193" i="45" s="1"/>
  <c r="E2211" i="45"/>
  <c r="M2211" i="45" s="1"/>
  <c r="E2231" i="45"/>
  <c r="A2283" i="45"/>
  <c r="G2280" i="45"/>
  <c r="G2281" i="45" s="1"/>
  <c r="G2282" i="45" s="1"/>
  <c r="G2283" i="45" s="1"/>
  <c r="G2284" i="45" s="1"/>
  <c r="A2303" i="45"/>
  <c r="G2300" i="45"/>
  <c r="G2301" i="45" s="1"/>
  <c r="G2302" i="45" s="1"/>
  <c r="G2303" i="45" s="1"/>
  <c r="G2304" i="45" s="1"/>
  <c r="D2304" i="45"/>
  <c r="D2302" i="45"/>
  <c r="E2311" i="45"/>
  <c r="B2342" i="45"/>
  <c r="B2344" i="45"/>
  <c r="D2344" i="45"/>
  <c r="D2342" i="45"/>
  <c r="G1930" i="45"/>
  <c r="G1931" i="45" s="1"/>
  <c r="G1932" i="45" s="1"/>
  <c r="G1933" i="45" s="1"/>
  <c r="G1934" i="45" s="1"/>
  <c r="G1790" i="45"/>
  <c r="G1791" i="45" s="1"/>
  <c r="G1792" i="45" s="1"/>
  <c r="G1793" i="45" s="1"/>
  <c r="G1794" i="45" s="1"/>
  <c r="A2004" i="45"/>
  <c r="A2002" i="45"/>
  <c r="B2082" i="45"/>
  <c r="B2084" i="45"/>
  <c r="A2103" i="45"/>
  <c r="G2100" i="45"/>
  <c r="G2101" i="45" s="1"/>
  <c r="G2102" i="45" s="1"/>
  <c r="G2103" i="45" s="1"/>
  <c r="G2104" i="45" s="1"/>
  <c r="E2093" i="45"/>
  <c r="M2093" i="45" s="1"/>
  <c r="A2144" i="45"/>
  <c r="A2142" i="45"/>
  <c r="G2160" i="45"/>
  <c r="G2161" i="45" s="1"/>
  <c r="G2162" i="45" s="1"/>
  <c r="G2163" i="45" s="1"/>
  <c r="G2164" i="45" s="1"/>
  <c r="E2154" i="45"/>
  <c r="E2157" i="45" s="1"/>
  <c r="M2157" i="45" s="1"/>
  <c r="E2114" i="45"/>
  <c r="E2117" i="45" s="1"/>
  <c r="M2117" i="45" s="1"/>
  <c r="G2140" i="45"/>
  <c r="G2141" i="45" s="1"/>
  <c r="G2142" i="45" s="1"/>
  <c r="G2143" i="45" s="1"/>
  <c r="G2144" i="45" s="1"/>
  <c r="A2164" i="45"/>
  <c r="A2162" i="45"/>
  <c r="G2010" i="45"/>
  <c r="G2011" i="45" s="1"/>
  <c r="G2012" i="45" s="1"/>
  <c r="G2013" i="45" s="1"/>
  <c r="G2014" i="45" s="1"/>
  <c r="E2041" i="45"/>
  <c r="M2041" i="45" s="1"/>
  <c r="G2000" i="45"/>
  <c r="G2001" i="45" s="1"/>
  <c r="G2002" i="45" s="1"/>
  <c r="G2003" i="45" s="1"/>
  <c r="G2004" i="45" s="1"/>
  <c r="E2051" i="45"/>
  <c r="M2051" i="45" s="1"/>
  <c r="A2084" i="45"/>
  <c r="A2082" i="45"/>
  <c r="E2098" i="45"/>
  <c r="M2098" i="45" s="1"/>
  <c r="B2124" i="45"/>
  <c r="B2122" i="45"/>
  <c r="D2124" i="45"/>
  <c r="D2122" i="45"/>
  <c r="D2024" i="45"/>
  <c r="D2022" i="45"/>
  <c r="B2033" i="45"/>
  <c r="B2036" i="45" s="1"/>
  <c r="B2039" i="45" s="1"/>
  <c r="G2030" i="45"/>
  <c r="G2031" i="45" s="1"/>
  <c r="G2032" i="45" s="1"/>
  <c r="G2033" i="45" s="1"/>
  <c r="G2034" i="45" s="1"/>
  <c r="E2058" i="45"/>
  <c r="M2058" i="45" s="1"/>
  <c r="D2084" i="45"/>
  <c r="D2082" i="45"/>
  <c r="B2162" i="45"/>
  <c r="B2164" i="45"/>
  <c r="G2020" i="45"/>
  <c r="G2021" i="45" s="1"/>
  <c r="G2022" i="45" s="1"/>
  <c r="G2023" i="45" s="1"/>
  <c r="G2024" i="45" s="1"/>
  <c r="G2040" i="45"/>
  <c r="G2041" i="45" s="1"/>
  <c r="G2042" i="45" s="1"/>
  <c r="G2043" i="45" s="1"/>
  <c r="G2044" i="45" s="1"/>
  <c r="G2080" i="45"/>
  <c r="G2081" i="45" s="1"/>
  <c r="G2082" i="45" s="1"/>
  <c r="G2083" i="45" s="1"/>
  <c r="G2084" i="45" s="1"/>
  <c r="A2093" i="45"/>
  <c r="A2096" i="45" s="1"/>
  <c r="A2099" i="45" s="1"/>
  <c r="G2090" i="45"/>
  <c r="G2091" i="45" s="1"/>
  <c r="G2092" i="45" s="1"/>
  <c r="G2093" i="45" s="1"/>
  <c r="G2094" i="45" s="1"/>
  <c r="E2091" i="45"/>
  <c r="A2124" i="45"/>
  <c r="A2122" i="45"/>
  <c r="D2164" i="45"/>
  <c r="D2162" i="45"/>
  <c r="B2144" i="45"/>
  <c r="B2142" i="45"/>
  <c r="D2144" i="45"/>
  <c r="D2142" i="45"/>
  <c r="G2150" i="45"/>
  <c r="G2151" i="45" s="1"/>
  <c r="G2152" i="45" s="1"/>
  <c r="G2153" i="45" s="1"/>
  <c r="G2154" i="45" s="1"/>
  <c r="B2002" i="45"/>
  <c r="B2004" i="45"/>
  <c r="A2024" i="45"/>
  <c r="A2022" i="45"/>
  <c r="D2004" i="45"/>
  <c r="D2002" i="45"/>
  <c r="B2024" i="45"/>
  <c r="B2022" i="45"/>
  <c r="D2044" i="45"/>
  <c r="D2042" i="45"/>
  <c r="E2053" i="45"/>
  <c r="M2053" i="45" s="1"/>
  <c r="G2070" i="45"/>
  <c r="G2071" i="45" s="1"/>
  <c r="G2072" i="45" s="1"/>
  <c r="G2073" i="45" s="1"/>
  <c r="G2074" i="45" s="1"/>
  <c r="G2120" i="45"/>
  <c r="G2121" i="45" s="1"/>
  <c r="G2122" i="45" s="1"/>
  <c r="G2123" i="45" s="1"/>
  <c r="G2124" i="45" s="1"/>
  <c r="A1843" i="45"/>
  <c r="G1840" i="45"/>
  <c r="G1841" i="45" s="1"/>
  <c r="G1842" i="45" s="1"/>
  <c r="G1843" i="45" s="1"/>
  <c r="G1844" i="45" s="1"/>
  <c r="A1813" i="45"/>
  <c r="A1816" i="45" s="1"/>
  <c r="A1819" i="45" s="1"/>
  <c r="G1810" i="45"/>
  <c r="G1811" i="45" s="1"/>
  <c r="G1812" i="45" s="1"/>
  <c r="G1813" i="45" s="1"/>
  <c r="G1814" i="45" s="1"/>
  <c r="A1833" i="45"/>
  <c r="A1836" i="45" s="1"/>
  <c r="A1839" i="45" s="1"/>
  <c r="G1830" i="45"/>
  <c r="G1831" i="45" s="1"/>
  <c r="G1832" i="45" s="1"/>
  <c r="G1833" i="45" s="1"/>
  <c r="G1834" i="45" s="1"/>
  <c r="E1858" i="45"/>
  <c r="M1858" i="45" s="1"/>
  <c r="E1871" i="45"/>
  <c r="M1871" i="45" s="1"/>
  <c r="B1902" i="45"/>
  <c r="B1904" i="45"/>
  <c r="D1904" i="45"/>
  <c r="D1902" i="45"/>
  <c r="A1923" i="45"/>
  <c r="G1920" i="45"/>
  <c r="G1921" i="45" s="1"/>
  <c r="G1922" i="45" s="1"/>
  <c r="G1923" i="45" s="1"/>
  <c r="G1924" i="45" s="1"/>
  <c r="E1913" i="45"/>
  <c r="M1913" i="45" s="1"/>
  <c r="A1964" i="45"/>
  <c r="A1962" i="45"/>
  <c r="D1944" i="45"/>
  <c r="D1942" i="45"/>
  <c r="B1982" i="45"/>
  <c r="B1984" i="45"/>
  <c r="E1821" i="45"/>
  <c r="M1821" i="45" s="1"/>
  <c r="E1811" i="45"/>
  <c r="M1811" i="45" s="1"/>
  <c r="A1853" i="45"/>
  <c r="A1856" i="45" s="1"/>
  <c r="A1859" i="45" s="1"/>
  <c r="G1850" i="45"/>
  <c r="G1851" i="45" s="1"/>
  <c r="G1852" i="45" s="1"/>
  <c r="G1853" i="45" s="1"/>
  <c r="G1854" i="45" s="1"/>
  <c r="E1851" i="45"/>
  <c r="M1851" i="45" s="1"/>
  <c r="A1904" i="45"/>
  <c r="A1902" i="45"/>
  <c r="E1918" i="45"/>
  <c r="M1918" i="45" s="1"/>
  <c r="B1944" i="45"/>
  <c r="B1942" i="45"/>
  <c r="B1964" i="45"/>
  <c r="B1962" i="45"/>
  <c r="D1964" i="45"/>
  <c r="D1962" i="45"/>
  <c r="D1984" i="45"/>
  <c r="D1982" i="45"/>
  <c r="A1823" i="45"/>
  <c r="G1820" i="45"/>
  <c r="G1821" i="45" s="1"/>
  <c r="G1822" i="45" s="1"/>
  <c r="G1823" i="45" s="1"/>
  <c r="G1824" i="45" s="1"/>
  <c r="E1831" i="45"/>
  <c r="M1831" i="45" s="1"/>
  <c r="E1833" i="45"/>
  <c r="M1833" i="45" s="1"/>
  <c r="E1873" i="45"/>
  <c r="M1873" i="45" s="1"/>
  <c r="G1900" i="45"/>
  <c r="G1901" i="45" s="1"/>
  <c r="G1902" i="45" s="1"/>
  <c r="G1903" i="45" s="1"/>
  <c r="G1904" i="45" s="1"/>
  <c r="A1913" i="45"/>
  <c r="A1916" i="45" s="1"/>
  <c r="A1919" i="45" s="1"/>
  <c r="G1910" i="45"/>
  <c r="G1911" i="45" s="1"/>
  <c r="G1912" i="45" s="1"/>
  <c r="G1913" i="45" s="1"/>
  <c r="G1914" i="45" s="1"/>
  <c r="E1911" i="45"/>
  <c r="A1944" i="45"/>
  <c r="A1942" i="45"/>
  <c r="E1936" i="45"/>
  <c r="M1936" i="45" s="1"/>
  <c r="A1984" i="45"/>
  <c r="A1982" i="45"/>
  <c r="E1976" i="45"/>
  <c r="M1976" i="45" s="1"/>
  <c r="E1813" i="45"/>
  <c r="M1813" i="45" s="1"/>
  <c r="E1838" i="45"/>
  <c r="M1838" i="45" s="1"/>
  <c r="A1863" i="45"/>
  <c r="G1860" i="45"/>
  <c r="G1861" i="45" s="1"/>
  <c r="G1862" i="45" s="1"/>
  <c r="G1863" i="45" s="1"/>
  <c r="G1864" i="45" s="1"/>
  <c r="E1853" i="45"/>
  <c r="M1853" i="45" s="1"/>
  <c r="G1890" i="45"/>
  <c r="G1891" i="45" s="1"/>
  <c r="G1892" i="45" s="1"/>
  <c r="G1893" i="45" s="1"/>
  <c r="G1894" i="45" s="1"/>
  <c r="G1940" i="45"/>
  <c r="G1941" i="45" s="1"/>
  <c r="G1942" i="45" s="1"/>
  <c r="G1943" i="45" s="1"/>
  <c r="G1944" i="45" s="1"/>
  <c r="G1960" i="45"/>
  <c r="G1961" i="45" s="1"/>
  <c r="G1962" i="45" s="1"/>
  <c r="G1963" i="45" s="1"/>
  <c r="G1964" i="45" s="1"/>
  <c r="G1980" i="45"/>
  <c r="G1981" i="45" s="1"/>
  <c r="G1982" i="45" s="1"/>
  <c r="G1983" i="45" s="1"/>
  <c r="G1984" i="45" s="1"/>
  <c r="G1470" i="45"/>
  <c r="G1471" i="45" s="1"/>
  <c r="G1472" i="45" s="1"/>
  <c r="G1473" i="45" s="1"/>
  <c r="G1474" i="45" s="1"/>
  <c r="A1633" i="45"/>
  <c r="A1636" i="45" s="1"/>
  <c r="A1639" i="45" s="1"/>
  <c r="G1630" i="45"/>
  <c r="G1631" i="45" s="1"/>
  <c r="G1632" i="45" s="1"/>
  <c r="G1633" i="45" s="1"/>
  <c r="G1634" i="45" s="1"/>
  <c r="A1653" i="45"/>
  <c r="A1656" i="45" s="1"/>
  <c r="A1659" i="45" s="1"/>
  <c r="G1650" i="45"/>
  <c r="G1651" i="45" s="1"/>
  <c r="G1652" i="45" s="1"/>
  <c r="G1653" i="45" s="1"/>
  <c r="G1654" i="45" s="1"/>
  <c r="A1673" i="45"/>
  <c r="A1676" i="45" s="1"/>
  <c r="A1679" i="45" s="1"/>
  <c r="G1670" i="45"/>
  <c r="G1671" i="45" s="1"/>
  <c r="G1672" i="45" s="1"/>
  <c r="G1673" i="45" s="1"/>
  <c r="G1674" i="45" s="1"/>
  <c r="B1713" i="45"/>
  <c r="B1716" i="45" s="1"/>
  <c r="B1719" i="45" s="1"/>
  <c r="G1710" i="45"/>
  <c r="G1711" i="45" s="1"/>
  <c r="G1712" i="45" s="1"/>
  <c r="G1713" i="45" s="1"/>
  <c r="G1714" i="45" s="1"/>
  <c r="E1738" i="45"/>
  <c r="M1738" i="45" s="1"/>
  <c r="B1784" i="45"/>
  <c r="B1782" i="45"/>
  <c r="D1784" i="45"/>
  <c r="D1782" i="45"/>
  <c r="D1764" i="45"/>
  <c r="D1762" i="45"/>
  <c r="A1804" i="45"/>
  <c r="A1802" i="45"/>
  <c r="E1691" i="45"/>
  <c r="M1691" i="45" s="1"/>
  <c r="E1633" i="45"/>
  <c r="M1633" i="45" s="1"/>
  <c r="E1651" i="45"/>
  <c r="M1651" i="45" s="1"/>
  <c r="E1673" i="45"/>
  <c r="M1673" i="45" s="1"/>
  <c r="A1743" i="45"/>
  <c r="G1740" i="45"/>
  <c r="G1741" i="45" s="1"/>
  <c r="G1742" i="45" s="1"/>
  <c r="G1743" i="45" s="1"/>
  <c r="G1744" i="45" s="1"/>
  <c r="E1731" i="45"/>
  <c r="M1731" i="45" s="1"/>
  <c r="E1733" i="45"/>
  <c r="M1733" i="45" s="1"/>
  <c r="G1770" i="45"/>
  <c r="G1771" i="45" s="1"/>
  <c r="G1772" i="45" s="1"/>
  <c r="G1773" i="45" s="1"/>
  <c r="G1774" i="45" s="1"/>
  <c r="G1760" i="45"/>
  <c r="G1761" i="45" s="1"/>
  <c r="G1762" i="45" s="1"/>
  <c r="G1763" i="45" s="1"/>
  <c r="G1764" i="45" s="1"/>
  <c r="B1802" i="45"/>
  <c r="B1804" i="45"/>
  <c r="D1804" i="45"/>
  <c r="D1802" i="45"/>
  <c r="E1698" i="45"/>
  <c r="M1698" i="45" s="1"/>
  <c r="A1643" i="45"/>
  <c r="G1640" i="45"/>
  <c r="G1641" i="45" s="1"/>
  <c r="G1642" i="45" s="1"/>
  <c r="G1643" i="45" s="1"/>
  <c r="G1644" i="45" s="1"/>
  <c r="A1663" i="45"/>
  <c r="G1660" i="45"/>
  <c r="G1661" i="45" s="1"/>
  <c r="G1662" i="45" s="1"/>
  <c r="G1663" i="45" s="1"/>
  <c r="G1664" i="45" s="1"/>
  <c r="A1683" i="45"/>
  <c r="G1680" i="45"/>
  <c r="G1681" i="45" s="1"/>
  <c r="G1682" i="45" s="1"/>
  <c r="G1683" i="45" s="1"/>
  <c r="G1684" i="45" s="1"/>
  <c r="G1720" i="45"/>
  <c r="G1721" i="45" s="1"/>
  <c r="G1722" i="45" s="1"/>
  <c r="G1723" i="45" s="1"/>
  <c r="G1724" i="45" s="1"/>
  <c r="G1780" i="45"/>
  <c r="G1781" i="45" s="1"/>
  <c r="G1782" i="45" s="1"/>
  <c r="G1783" i="45" s="1"/>
  <c r="G1784" i="45" s="1"/>
  <c r="E1681" i="45"/>
  <c r="M1681" i="45" s="1"/>
  <c r="E1693" i="45"/>
  <c r="M1693" i="45" s="1"/>
  <c r="E1631" i="45"/>
  <c r="E1653" i="45"/>
  <c r="M1653" i="45" s="1"/>
  <c r="E1671" i="45"/>
  <c r="D1724" i="45"/>
  <c r="D1722" i="45"/>
  <c r="A1733" i="45"/>
  <c r="A1736" i="45" s="1"/>
  <c r="A1739" i="45" s="1"/>
  <c r="G1730" i="45"/>
  <c r="G1731" i="45" s="1"/>
  <c r="G1732" i="45" s="1"/>
  <c r="G1733" i="45" s="1"/>
  <c r="G1734" i="45" s="1"/>
  <c r="A1784" i="45"/>
  <c r="A1782" i="45"/>
  <c r="B1753" i="45"/>
  <c r="B1756" i="45" s="1"/>
  <c r="B1759" i="45" s="1"/>
  <c r="G1750" i="45"/>
  <c r="G1751" i="45" s="1"/>
  <c r="G1752" i="45" s="1"/>
  <c r="G1753" i="45" s="1"/>
  <c r="G1754" i="45" s="1"/>
  <c r="G1800" i="45"/>
  <c r="G1801" i="45" s="1"/>
  <c r="G1802" i="45" s="1"/>
  <c r="G1803" i="45" s="1"/>
  <c r="G1804" i="45" s="1"/>
  <c r="G1270" i="45"/>
  <c r="G1271" i="45" s="1"/>
  <c r="G1272" i="45" s="1"/>
  <c r="G1273" i="45" s="1"/>
  <c r="G1274" i="45" s="1"/>
  <c r="G1290" i="45"/>
  <c r="G1291" i="45" s="1"/>
  <c r="G1292" i="45" s="1"/>
  <c r="G1293" i="45" s="1"/>
  <c r="G1294" i="45" s="1"/>
  <c r="A1484" i="45"/>
  <c r="A1482" i="45"/>
  <c r="A1464" i="45"/>
  <c r="A1462" i="45"/>
  <c r="G1500" i="45"/>
  <c r="G1501" i="45" s="1"/>
  <c r="G1502" i="45" s="1"/>
  <c r="G1503" i="45" s="1"/>
  <c r="G1504" i="45" s="1"/>
  <c r="E1518" i="45"/>
  <c r="M1518" i="45" s="1"/>
  <c r="B1542" i="45"/>
  <c r="B1544" i="45"/>
  <c r="D1544" i="45"/>
  <c r="D1542" i="45"/>
  <c r="E1558" i="45"/>
  <c r="M1558" i="45" s="1"/>
  <c r="B1584" i="45"/>
  <c r="B1582" i="45"/>
  <c r="D1584" i="45"/>
  <c r="D1582" i="45"/>
  <c r="B1604" i="45"/>
  <c r="B1602" i="45"/>
  <c r="D1604" i="45"/>
  <c r="D1602" i="45"/>
  <c r="E1621" i="45"/>
  <c r="M1621" i="45" s="1"/>
  <c r="D1482" i="45"/>
  <c r="D1484" i="45"/>
  <c r="B1502" i="45"/>
  <c r="B1504" i="45"/>
  <c r="G1460" i="45"/>
  <c r="G1461" i="45" s="1"/>
  <c r="G1462" i="45" s="1"/>
  <c r="G1463" i="45" s="1"/>
  <c r="G1464" i="45" s="1"/>
  <c r="B1484" i="45"/>
  <c r="B1482" i="45"/>
  <c r="A1504" i="45"/>
  <c r="A1502" i="45"/>
  <c r="E1511" i="45"/>
  <c r="M1511" i="45" s="1"/>
  <c r="G1530" i="45"/>
  <c r="G1531" i="45" s="1"/>
  <c r="G1532" i="45" s="1"/>
  <c r="G1533" i="45" s="1"/>
  <c r="G1534" i="45" s="1"/>
  <c r="A1563" i="45"/>
  <c r="G1560" i="45"/>
  <c r="G1561" i="45" s="1"/>
  <c r="G1562" i="45" s="1"/>
  <c r="G1563" i="45" s="1"/>
  <c r="G1564" i="45" s="1"/>
  <c r="E1553" i="45"/>
  <c r="M1553" i="45" s="1"/>
  <c r="G1570" i="45"/>
  <c r="G1571" i="45" s="1"/>
  <c r="G1572" i="45" s="1"/>
  <c r="G1573" i="45" s="1"/>
  <c r="G1574" i="45" s="1"/>
  <c r="A1604" i="45"/>
  <c r="A1602" i="45"/>
  <c r="B1622" i="45"/>
  <c r="B1624" i="45"/>
  <c r="G1620" i="45"/>
  <c r="G1621" i="45" s="1"/>
  <c r="G1622" i="45" s="1"/>
  <c r="G1623" i="45" s="1"/>
  <c r="G1624" i="45" s="1"/>
  <c r="B1464" i="45"/>
  <c r="B1462" i="45"/>
  <c r="G1450" i="45"/>
  <c r="G1451" i="45" s="1"/>
  <c r="G1452" i="45" s="1"/>
  <c r="G1453" i="45" s="1"/>
  <c r="G1454" i="45" s="1"/>
  <c r="D1504" i="45"/>
  <c r="D1502" i="45"/>
  <c r="G1540" i="45"/>
  <c r="G1541" i="45" s="1"/>
  <c r="G1542" i="45" s="1"/>
  <c r="G1543" i="45" s="1"/>
  <c r="G1544" i="45" s="1"/>
  <c r="E1534" i="45"/>
  <c r="E1537" i="45" s="1"/>
  <c r="M1537" i="45" s="1"/>
  <c r="G1580" i="45"/>
  <c r="G1581" i="45" s="1"/>
  <c r="G1582" i="45" s="1"/>
  <c r="G1583" i="45" s="1"/>
  <c r="G1584" i="45" s="1"/>
  <c r="G1600" i="45"/>
  <c r="G1601" i="45" s="1"/>
  <c r="G1602" i="45" s="1"/>
  <c r="G1603" i="45" s="1"/>
  <c r="G1604" i="45" s="1"/>
  <c r="A1624" i="45"/>
  <c r="A1622" i="45"/>
  <c r="G1480" i="45"/>
  <c r="G1481" i="45" s="1"/>
  <c r="G1482" i="45" s="1"/>
  <c r="G1483" i="45" s="1"/>
  <c r="G1484" i="45" s="1"/>
  <c r="D1462" i="45"/>
  <c r="D1464" i="45"/>
  <c r="G1490" i="45"/>
  <c r="G1491" i="45" s="1"/>
  <c r="G1492" i="45" s="1"/>
  <c r="G1493" i="45" s="1"/>
  <c r="G1494" i="45" s="1"/>
  <c r="E1513" i="45"/>
  <c r="M1513" i="45" s="1"/>
  <c r="A1544" i="45"/>
  <c r="A1542" i="45"/>
  <c r="A1553" i="45"/>
  <c r="A1556" i="45" s="1"/>
  <c r="A1559" i="45" s="1"/>
  <c r="G1550" i="45"/>
  <c r="G1551" i="45" s="1"/>
  <c r="G1552" i="45" s="1"/>
  <c r="G1553" i="45" s="1"/>
  <c r="G1554" i="45" s="1"/>
  <c r="E1551" i="45"/>
  <c r="M1551" i="45" s="1"/>
  <c r="A1584" i="45"/>
  <c r="A1582" i="45"/>
  <c r="E1576" i="45"/>
  <c r="M1576" i="45" s="1"/>
  <c r="G1590" i="45"/>
  <c r="G1591" i="45" s="1"/>
  <c r="G1592" i="45" s="1"/>
  <c r="G1593" i="45" s="1"/>
  <c r="G1594" i="45" s="1"/>
  <c r="D1624" i="45"/>
  <c r="D1622" i="45"/>
  <c r="E1276" i="45"/>
  <c r="M1276" i="45" s="1"/>
  <c r="G1320" i="45"/>
  <c r="G1321" i="45" s="1"/>
  <c r="G1322" i="45" s="1"/>
  <c r="G1323" i="45" s="1"/>
  <c r="G1324" i="45" s="1"/>
  <c r="A1284" i="45"/>
  <c r="A1282" i="45"/>
  <c r="B1284" i="45"/>
  <c r="B1282" i="45"/>
  <c r="E1321" i="45"/>
  <c r="M1321" i="45" s="1"/>
  <c r="B1304" i="45"/>
  <c r="B1302" i="45"/>
  <c r="B1313" i="45"/>
  <c r="B1316" i="45" s="1"/>
  <c r="B1319" i="45" s="1"/>
  <c r="G1310" i="45"/>
  <c r="G1311" i="45" s="1"/>
  <c r="G1312" i="45" s="1"/>
  <c r="G1313" i="45" s="1"/>
  <c r="G1314" i="45" s="1"/>
  <c r="E1338" i="45"/>
  <c r="M1338" i="45" s="1"/>
  <c r="B1362" i="45"/>
  <c r="B1364" i="45"/>
  <c r="D1364" i="45"/>
  <c r="D1362" i="45"/>
  <c r="A1383" i="45"/>
  <c r="G1380" i="45"/>
  <c r="G1381" i="45" s="1"/>
  <c r="G1382" i="45" s="1"/>
  <c r="G1383" i="45" s="1"/>
  <c r="G1384" i="45" s="1"/>
  <c r="E1373" i="45"/>
  <c r="M1373" i="45" s="1"/>
  <c r="A1424" i="45"/>
  <c r="A1422" i="45"/>
  <c r="B1442" i="45"/>
  <c r="B1444" i="45"/>
  <c r="G1440" i="45"/>
  <c r="G1441" i="45" s="1"/>
  <c r="G1442" i="45" s="1"/>
  <c r="G1443" i="45" s="1"/>
  <c r="G1444" i="45" s="1"/>
  <c r="D1282" i="45"/>
  <c r="D1284" i="45"/>
  <c r="G1300" i="45"/>
  <c r="G1301" i="45" s="1"/>
  <c r="G1302" i="45" s="1"/>
  <c r="G1303" i="45" s="1"/>
  <c r="G1304" i="45" s="1"/>
  <c r="D1324" i="45"/>
  <c r="D1322" i="45"/>
  <c r="E1333" i="45"/>
  <c r="M1333" i="45" s="1"/>
  <c r="G1350" i="45"/>
  <c r="G1351" i="45" s="1"/>
  <c r="G1352" i="45" s="1"/>
  <c r="G1353" i="45" s="1"/>
  <c r="G1354" i="45" s="1"/>
  <c r="G1400" i="45"/>
  <c r="G1401" i="45" s="1"/>
  <c r="G1402" i="45" s="1"/>
  <c r="G1403" i="45" s="1"/>
  <c r="G1404" i="45" s="1"/>
  <c r="G1420" i="45"/>
  <c r="G1421" i="45" s="1"/>
  <c r="G1422" i="45" s="1"/>
  <c r="G1423" i="45" s="1"/>
  <c r="G1424" i="45" s="1"/>
  <c r="A1444" i="45"/>
  <c r="A1442" i="45"/>
  <c r="A1304" i="45"/>
  <c r="A1302" i="45"/>
  <c r="G1360" i="45"/>
  <c r="G1361" i="45" s="1"/>
  <c r="G1362" i="45" s="1"/>
  <c r="G1363" i="45" s="1"/>
  <c r="G1364" i="45" s="1"/>
  <c r="A1373" i="45"/>
  <c r="A1376" i="45" s="1"/>
  <c r="A1379" i="45" s="1"/>
  <c r="G1370" i="45"/>
  <c r="G1371" i="45" s="1"/>
  <c r="G1372" i="45" s="1"/>
  <c r="G1373" i="45" s="1"/>
  <c r="G1374" i="45" s="1"/>
  <c r="E1371" i="45"/>
  <c r="M1371" i="45" s="1"/>
  <c r="A1404" i="45"/>
  <c r="A1402" i="45"/>
  <c r="D1444" i="45"/>
  <c r="D1442" i="45"/>
  <c r="G1280" i="45"/>
  <c r="G1281" i="45" s="1"/>
  <c r="G1282" i="45" s="1"/>
  <c r="G1283" i="45" s="1"/>
  <c r="G1284" i="45" s="1"/>
  <c r="D1304" i="45"/>
  <c r="D1302" i="45"/>
  <c r="E1331" i="45"/>
  <c r="A1364" i="45"/>
  <c r="A1362" i="45"/>
  <c r="E1378" i="45"/>
  <c r="M1378" i="45" s="1"/>
  <c r="B1404" i="45"/>
  <c r="B1402" i="45"/>
  <c r="D1404" i="45"/>
  <c r="D1402" i="45"/>
  <c r="B1424" i="45"/>
  <c r="B1422" i="45"/>
  <c r="D1424" i="45"/>
  <c r="D1422" i="45"/>
  <c r="G1430" i="45"/>
  <c r="G1431" i="45" s="1"/>
  <c r="G1432" i="45" s="1"/>
  <c r="G1433" i="45" s="1"/>
  <c r="G1434" i="45" s="1"/>
  <c r="E2854" i="45" l="1"/>
  <c r="E2857" i="45" s="1"/>
  <c r="M2857" i="45" s="1"/>
  <c r="E3941" i="45"/>
  <c r="M3941" i="45" s="1"/>
  <c r="E2576" i="45"/>
  <c r="E2841" i="45"/>
  <c r="M2841" i="45" s="1"/>
  <c r="E3101" i="45"/>
  <c r="M3101" i="45" s="1"/>
  <c r="E2774" i="45"/>
  <c r="E2777" i="45" s="1"/>
  <c r="M2777" i="45" s="1"/>
  <c r="E3241" i="45"/>
  <c r="M3241" i="45" s="1"/>
  <c r="E1641" i="45"/>
  <c r="M1641" i="45" s="1"/>
  <c r="E1421" i="45"/>
  <c r="M1421" i="45" s="1"/>
  <c r="E1414" i="45"/>
  <c r="E1417" i="45" s="1"/>
  <c r="M1417" i="45" s="1"/>
  <c r="E1301" i="45"/>
  <c r="M1301" i="45" s="1"/>
  <c r="E3881" i="45"/>
  <c r="M3881" i="45" s="1"/>
  <c r="Q1490" i="45"/>
  <c r="E1661" i="45"/>
  <c r="M1661" i="45" s="1"/>
  <c r="E2261" i="45"/>
  <c r="M2261" i="45" s="1"/>
  <c r="E3136" i="45"/>
  <c r="M3136" i="45" s="1"/>
  <c r="E3141" i="45"/>
  <c r="M3141" i="45" s="1"/>
  <c r="E4059" i="45"/>
  <c r="E4064" i="45" s="1"/>
  <c r="P2570" i="45"/>
  <c r="P1305" i="45"/>
  <c r="E2201" i="45"/>
  <c r="M2201" i="45" s="1"/>
  <c r="E1496" i="45"/>
  <c r="M1496" i="45" s="1"/>
  <c r="E1454" i="45"/>
  <c r="E1457" i="45" s="1"/>
  <c r="M1457" i="45" s="1"/>
  <c r="E1776" i="45"/>
  <c r="M1776" i="45" s="1"/>
  <c r="E2136" i="45"/>
  <c r="M2136" i="45" s="1"/>
  <c r="E3861" i="45"/>
  <c r="M3861" i="45" s="1"/>
  <c r="P4055" i="45"/>
  <c r="Q1770" i="45"/>
  <c r="E2014" i="45"/>
  <c r="E2017" i="45" s="1"/>
  <c r="M2017" i="45" s="1"/>
  <c r="E2221" i="45"/>
  <c r="M2221" i="45" s="1"/>
  <c r="E2076" i="45"/>
  <c r="E3081" i="45"/>
  <c r="M3081" i="45" s="1"/>
  <c r="E3161" i="45"/>
  <c r="M3161" i="45" s="1"/>
  <c r="E2594" i="45"/>
  <c r="E2597" i="45" s="1"/>
  <c r="M2597" i="45" s="1"/>
  <c r="E1476" i="45"/>
  <c r="Q3390" i="45"/>
  <c r="E3741" i="45"/>
  <c r="M3741" i="45" s="1"/>
  <c r="E1396" i="45"/>
  <c r="M1396" i="45" s="1"/>
  <c r="E1441" i="45"/>
  <c r="M1441" i="45" s="1"/>
  <c r="E3394" i="45"/>
  <c r="E3397" i="45" s="1"/>
  <c r="M3397" i="45" s="1"/>
  <c r="E1796" i="45"/>
  <c r="M1796" i="45" s="1"/>
  <c r="E2301" i="45"/>
  <c r="M2301" i="45" s="1"/>
  <c r="E1761" i="45"/>
  <c r="M1761" i="45" s="1"/>
  <c r="E1974" i="45"/>
  <c r="E1977" i="45" s="1"/>
  <c r="M1977" i="45" s="1"/>
  <c r="Q1975" i="45" s="1"/>
  <c r="E2181" i="45"/>
  <c r="M2181" i="45" s="1"/>
  <c r="E3961" i="45"/>
  <c r="M3961" i="45" s="1"/>
  <c r="P1450" i="45"/>
  <c r="E3721" i="45"/>
  <c r="M3721" i="45" s="1"/>
  <c r="E3541" i="45"/>
  <c r="M3541" i="45" s="1"/>
  <c r="Q1950" i="45"/>
  <c r="E1274" i="45"/>
  <c r="E1277" i="45" s="1"/>
  <c r="M1277" i="45" s="1"/>
  <c r="Q1275" i="45" s="1"/>
  <c r="E2334" i="45"/>
  <c r="E2337" i="45" s="1"/>
  <c r="M2337" i="45" s="1"/>
  <c r="E3396" i="45"/>
  <c r="M3396" i="45" s="1"/>
  <c r="N1770" i="45"/>
  <c r="P1790" i="45"/>
  <c r="P1270" i="45"/>
  <c r="P1930" i="45"/>
  <c r="Q1270" i="45"/>
  <c r="E2156" i="45"/>
  <c r="M2156" i="45" s="1"/>
  <c r="Q2155" i="45" s="1"/>
  <c r="E2494" i="45"/>
  <c r="E2497" i="45" s="1"/>
  <c r="M2497" i="45" s="1"/>
  <c r="E2474" i="45"/>
  <c r="E2477" i="45" s="1"/>
  <c r="M2477" i="45" s="1"/>
  <c r="E3401" i="45"/>
  <c r="M3401" i="45" s="1"/>
  <c r="E3281" i="45"/>
  <c r="M3281" i="45" s="1"/>
  <c r="P1470" i="45"/>
  <c r="N2490" i="45"/>
  <c r="E1616" i="45"/>
  <c r="M1616" i="45" s="1"/>
  <c r="E3301" i="45"/>
  <c r="M3301" i="45" s="1"/>
  <c r="E3581" i="45"/>
  <c r="M3581" i="45" s="1"/>
  <c r="E1934" i="45"/>
  <c r="E1937" i="45" s="1"/>
  <c r="M1937" i="45" s="1"/>
  <c r="P1935" i="45" s="1"/>
  <c r="E3921" i="45"/>
  <c r="M3921" i="45" s="1"/>
  <c r="P1390" i="45"/>
  <c r="N1930" i="45"/>
  <c r="N1950" i="45"/>
  <c r="N3625" i="45"/>
  <c r="E1954" i="45"/>
  <c r="E1957" i="45" s="1"/>
  <c r="M1957" i="45" s="1"/>
  <c r="E1956" i="45"/>
  <c r="M1956" i="45" s="1"/>
  <c r="N1955" i="45" s="1"/>
  <c r="E2241" i="45"/>
  <c r="M2241" i="45" s="1"/>
  <c r="E2641" i="45"/>
  <c r="M2641" i="45" s="1"/>
  <c r="E2821" i="45"/>
  <c r="M2821" i="45" s="1"/>
  <c r="E3341" i="45"/>
  <c r="M3341" i="45" s="1"/>
  <c r="E3416" i="45"/>
  <c r="M3416" i="45" s="1"/>
  <c r="N3390" i="45"/>
  <c r="E1474" i="45"/>
  <c r="E1477" i="45" s="1"/>
  <c r="M1477" i="45" s="1"/>
  <c r="E1601" i="45"/>
  <c r="M1601" i="45" s="1"/>
  <c r="E2336" i="45"/>
  <c r="M2336" i="45" s="1"/>
  <c r="E2516" i="45"/>
  <c r="M2516" i="45" s="1"/>
  <c r="P2515" i="45" s="1"/>
  <c r="E3134" i="45"/>
  <c r="E3137" i="45" s="1"/>
  <c r="M3137" i="45" s="1"/>
  <c r="E3314" i="45"/>
  <c r="E3317" i="45" s="1"/>
  <c r="M3317" i="45" s="1"/>
  <c r="N2330" i="45"/>
  <c r="N2510" i="45"/>
  <c r="N1970" i="45"/>
  <c r="Q3805" i="45"/>
  <c r="P2330" i="45"/>
  <c r="P3390" i="45"/>
  <c r="Q1410" i="45"/>
  <c r="Q3825" i="45"/>
  <c r="P1770" i="45"/>
  <c r="P1410" i="45"/>
  <c r="Q2510" i="45"/>
  <c r="Q3270" i="45"/>
  <c r="N1790" i="45"/>
  <c r="Q2470" i="45"/>
  <c r="N1410" i="45"/>
  <c r="E2021" i="45"/>
  <c r="M2021" i="45" s="1"/>
  <c r="P3370" i="45"/>
  <c r="E1416" i="45"/>
  <c r="M1416" i="45" s="1"/>
  <c r="P1415" i="45" s="1"/>
  <c r="E2121" i="45"/>
  <c r="M2121" i="45" s="1"/>
  <c r="E1994" i="45"/>
  <c r="E1997" i="45" s="1"/>
  <c r="M1997" i="45" s="1"/>
  <c r="E3021" i="45"/>
  <c r="M3021" i="45" s="1"/>
  <c r="N1470" i="45"/>
  <c r="E3376" i="45"/>
  <c r="M3376" i="45" s="1"/>
  <c r="N1990" i="45"/>
  <c r="N4115" i="45"/>
  <c r="E1981" i="45"/>
  <c r="M1981" i="45" s="1"/>
  <c r="E2321" i="45"/>
  <c r="M2321" i="45" s="1"/>
  <c r="E2574" i="45"/>
  <c r="E2577" i="45" s="1"/>
  <c r="M2577" i="45" s="1"/>
  <c r="E3056" i="45"/>
  <c r="M3056" i="45" s="1"/>
  <c r="E1456" i="45"/>
  <c r="M1456" i="45" s="1"/>
  <c r="N1455" i="45" s="1"/>
  <c r="E2074" i="45"/>
  <c r="E2077" i="45" s="1"/>
  <c r="M2077" i="45" s="1"/>
  <c r="E2696" i="45"/>
  <c r="M2696" i="45" s="1"/>
  <c r="E2876" i="45"/>
  <c r="M2876" i="45" s="1"/>
  <c r="E3181" i="45"/>
  <c r="M3181" i="45" s="1"/>
  <c r="M3653" i="45"/>
  <c r="Q3650" i="45" s="1"/>
  <c r="E3774" i="45"/>
  <c r="E3777" i="45" s="1"/>
  <c r="M3777" i="45" s="1"/>
  <c r="P2490" i="45"/>
  <c r="P2470" i="45"/>
  <c r="Q1450" i="45"/>
  <c r="E1356" i="45"/>
  <c r="M1356" i="45" s="1"/>
  <c r="E1596" i="45"/>
  <c r="M1596" i="45" s="1"/>
  <c r="E1494" i="45"/>
  <c r="E1497" i="45" s="1"/>
  <c r="M1497" i="45" s="1"/>
  <c r="P1495" i="45" s="1"/>
  <c r="E1721" i="45"/>
  <c r="M1721" i="45" s="1"/>
  <c r="E2461" i="45"/>
  <c r="M2461" i="45" s="1"/>
  <c r="E4119" i="45"/>
  <c r="E4122" i="45" s="1"/>
  <c r="N2470" i="45"/>
  <c r="N1450" i="45"/>
  <c r="P3785" i="45"/>
  <c r="Q4115" i="45"/>
  <c r="E2134" i="45"/>
  <c r="E2137" i="45" s="1"/>
  <c r="M2137" i="45" s="1"/>
  <c r="E2476" i="45"/>
  <c r="M2476" i="45" s="1"/>
  <c r="E3201" i="45"/>
  <c r="M3201" i="45" s="1"/>
  <c r="E3321" i="45"/>
  <c r="M3321" i="45" s="1"/>
  <c r="P2070" i="45"/>
  <c r="P3490" i="45"/>
  <c r="P3530" i="45"/>
  <c r="P2870" i="45"/>
  <c r="P2690" i="45"/>
  <c r="P1350" i="45"/>
  <c r="N3785" i="45"/>
  <c r="P1970" i="45"/>
  <c r="Q2490" i="45"/>
  <c r="Q3050" i="45"/>
  <c r="N1590" i="45"/>
  <c r="Q2270" i="45"/>
  <c r="Q2610" i="45"/>
  <c r="Q2770" i="45"/>
  <c r="Q2410" i="45"/>
  <c r="Q2885" i="45"/>
  <c r="E1774" i="45"/>
  <c r="E1777" i="45" s="1"/>
  <c r="M1777" i="45" s="1"/>
  <c r="E2141" i="45"/>
  <c r="M2141" i="45" s="1"/>
  <c r="E2496" i="45"/>
  <c r="M2496" i="45" s="1"/>
  <c r="Q2495" i="45" s="1"/>
  <c r="E2481" i="45"/>
  <c r="M2481" i="45" s="1"/>
  <c r="Q2970" i="45"/>
  <c r="E2981" i="45"/>
  <c r="M2981" i="45" s="1"/>
  <c r="E3041" i="45"/>
  <c r="M3041" i="45" s="1"/>
  <c r="E3234" i="45"/>
  <c r="E3237" i="45" s="1"/>
  <c r="M3237" i="45" s="1"/>
  <c r="Q3350" i="45"/>
  <c r="Q3830" i="45"/>
  <c r="E4120" i="45"/>
  <c r="M4120" i="45" s="1"/>
  <c r="Q1710" i="45"/>
  <c r="P2950" i="45"/>
  <c r="N1490" i="45"/>
  <c r="Q2025" i="45"/>
  <c r="P1490" i="45"/>
  <c r="Q2050" i="45"/>
  <c r="Q2810" i="45"/>
  <c r="Q2990" i="45"/>
  <c r="Q1510" i="45"/>
  <c r="Q1810" i="45"/>
  <c r="Q3710" i="45"/>
  <c r="Q3610" i="45"/>
  <c r="Q3850" i="45"/>
  <c r="Q2030" i="45"/>
  <c r="Q3010" i="45"/>
  <c r="Q3230" i="45"/>
  <c r="P1370" i="45"/>
  <c r="P1550" i="45"/>
  <c r="E1594" i="45"/>
  <c r="E1597" i="45" s="1"/>
  <c r="M1597" i="45" s="1"/>
  <c r="E1574" i="45"/>
  <c r="E1577" i="45" s="1"/>
  <c r="M1577" i="45" s="1"/>
  <c r="Q1575" i="45" s="1"/>
  <c r="E1794" i="45"/>
  <c r="E1797" i="45" s="1"/>
  <c r="M1797" i="45" s="1"/>
  <c r="Q1795" i="45" s="1"/>
  <c r="P1730" i="45"/>
  <c r="Q1650" i="45"/>
  <c r="Q1690" i="45"/>
  <c r="E1881" i="45"/>
  <c r="M1881" i="45" s="1"/>
  <c r="P1830" i="45"/>
  <c r="P1850" i="45"/>
  <c r="P1870" i="45"/>
  <c r="E2034" i="45"/>
  <c r="E2037" i="45" s="1"/>
  <c r="M2037" i="45" s="1"/>
  <c r="E1996" i="45"/>
  <c r="M1996" i="45" s="1"/>
  <c r="P2210" i="45"/>
  <c r="P2170" i="45"/>
  <c r="P2190" i="45"/>
  <c r="E2414" i="45"/>
  <c r="E2417" i="45" s="1"/>
  <c r="M2417" i="45" s="1"/>
  <c r="P2430" i="45"/>
  <c r="E2421" i="45"/>
  <c r="M2421" i="45" s="1"/>
  <c r="P2650" i="45"/>
  <c r="P3030" i="45"/>
  <c r="E3054" i="45"/>
  <c r="E3057" i="45" s="1"/>
  <c r="M3057" i="45" s="1"/>
  <c r="E2956" i="45"/>
  <c r="M2956" i="45" s="1"/>
  <c r="E3014" i="45"/>
  <c r="E3017" i="45" s="1"/>
  <c r="M3017" i="45" s="1"/>
  <c r="E3121" i="45"/>
  <c r="M3121" i="45" s="1"/>
  <c r="Q3090" i="45"/>
  <c r="Q3210" i="45"/>
  <c r="Q3290" i="45"/>
  <c r="Q3250" i="45"/>
  <c r="E3261" i="45"/>
  <c r="M3261" i="45" s="1"/>
  <c r="Q1290" i="45"/>
  <c r="E3681" i="45"/>
  <c r="M3681" i="45" s="1"/>
  <c r="Q3570" i="45"/>
  <c r="Q3690" i="45"/>
  <c r="Q3450" i="45"/>
  <c r="Q3550" i="45"/>
  <c r="Q3870" i="45"/>
  <c r="E3901" i="45"/>
  <c r="M3901" i="45" s="1"/>
  <c r="Q3910" i="45"/>
  <c r="Q3890" i="45"/>
  <c r="Q3790" i="45"/>
  <c r="Q3975" i="45"/>
  <c r="Q4015" i="45"/>
  <c r="Q4035" i="45"/>
  <c r="P3410" i="45"/>
  <c r="Q1890" i="45"/>
  <c r="Q1430" i="45"/>
  <c r="N3805" i="45"/>
  <c r="Q2590" i="45"/>
  <c r="Q4135" i="45"/>
  <c r="Q2905" i="45"/>
  <c r="Q3645" i="45"/>
  <c r="Q1390" i="45"/>
  <c r="Q3370" i="45"/>
  <c r="Q2070" i="45"/>
  <c r="Q2870" i="45"/>
  <c r="Q3530" i="45"/>
  <c r="Q2345" i="45"/>
  <c r="Q2570" i="45"/>
  <c r="Q2110" i="45"/>
  <c r="Q2950" i="45"/>
  <c r="Q3130" i="45"/>
  <c r="Q3410" i="45"/>
  <c r="Q3490" i="45"/>
  <c r="Q3030" i="45"/>
  <c r="Q2210" i="45"/>
  <c r="Q2170" i="45"/>
  <c r="Q1730" i="45"/>
  <c r="Q1550" i="45"/>
  <c r="Q4055" i="45"/>
  <c r="Q2430" i="45"/>
  <c r="Q1850" i="45"/>
  <c r="Q1830" i="45"/>
  <c r="P1310" i="45"/>
  <c r="P3510" i="45"/>
  <c r="P3470" i="45"/>
  <c r="P3430" i="45"/>
  <c r="P3810" i="45"/>
  <c r="P3830" i="45"/>
  <c r="P3995" i="45"/>
  <c r="Q3995" i="45"/>
  <c r="P4075" i="45"/>
  <c r="Q4075" i="45"/>
  <c r="P1710" i="45"/>
  <c r="P1610" i="45"/>
  <c r="N2570" i="45"/>
  <c r="N2025" i="45"/>
  <c r="P3625" i="45"/>
  <c r="Q3625" i="45"/>
  <c r="P4115" i="45"/>
  <c r="Q1305" i="45"/>
  <c r="Q1570" i="45"/>
  <c r="Q1790" i="45"/>
  <c r="Q3950" i="45"/>
  <c r="Q2690" i="45"/>
  <c r="Q2130" i="45"/>
  <c r="Q1610" i="45"/>
  <c r="Q1350" i="45"/>
  <c r="Q2150" i="45"/>
  <c r="Q2630" i="45"/>
  <c r="Q2670" i="45"/>
  <c r="Q3785" i="45"/>
  <c r="Q1590" i="45"/>
  <c r="Q1470" i="45"/>
  <c r="Q1990" i="45"/>
  <c r="Q3810" i="45"/>
  <c r="Q3510" i="45"/>
  <c r="Q3470" i="45"/>
  <c r="Q3430" i="45"/>
  <c r="Q1310" i="45"/>
  <c r="Q2190" i="45"/>
  <c r="Q2650" i="45"/>
  <c r="Q1870" i="45"/>
  <c r="Q1370" i="45"/>
  <c r="P1650" i="45"/>
  <c r="P1510" i="45"/>
  <c r="P1810" i="45"/>
  <c r="P2050" i="45"/>
  <c r="P2270" i="45"/>
  <c r="P2610" i="45"/>
  <c r="P2810" i="45"/>
  <c r="P2970" i="45"/>
  <c r="P2990" i="45"/>
  <c r="P3270" i="45"/>
  <c r="P3290" i="45"/>
  <c r="P3250" i="45"/>
  <c r="P1290" i="45"/>
  <c r="P3570" i="45"/>
  <c r="P3690" i="45"/>
  <c r="P3450" i="45"/>
  <c r="P3550" i="45"/>
  <c r="P3870" i="45"/>
  <c r="P3910" i="45"/>
  <c r="P3890" i="45"/>
  <c r="P3790" i="45"/>
  <c r="P1890" i="45"/>
  <c r="P1430" i="45"/>
  <c r="N1305" i="45"/>
  <c r="P2030" i="45"/>
  <c r="P2770" i="45"/>
  <c r="P2410" i="45"/>
  <c r="P3050" i="45"/>
  <c r="P3010" i="45"/>
  <c r="P3230" i="45"/>
  <c r="P2885" i="45"/>
  <c r="N3825" i="45"/>
  <c r="P3805" i="45"/>
  <c r="P2025" i="45"/>
  <c r="P1690" i="45"/>
  <c r="P3090" i="45"/>
  <c r="P3210" i="45"/>
  <c r="P3350" i="45"/>
  <c r="P3710" i="45"/>
  <c r="P3610" i="45"/>
  <c r="P3850" i="45"/>
  <c r="P2590" i="45"/>
  <c r="N1525" i="45"/>
  <c r="P1525" i="45"/>
  <c r="N2145" i="45"/>
  <c r="P2145" i="45"/>
  <c r="N2665" i="45"/>
  <c r="P2665" i="45"/>
  <c r="N1605" i="45"/>
  <c r="P1605" i="45"/>
  <c r="N3705" i="45"/>
  <c r="P3705" i="45"/>
  <c r="N3685" i="45"/>
  <c r="P3685" i="45"/>
  <c r="N3485" i="45"/>
  <c r="P3485" i="45"/>
  <c r="N1425" i="45"/>
  <c r="P1425" i="45"/>
  <c r="N1705" i="45"/>
  <c r="P1705" i="45"/>
  <c r="N2985" i="45"/>
  <c r="P2985" i="45"/>
  <c r="N2805" i="45"/>
  <c r="P2805" i="45"/>
  <c r="N2425" i="45"/>
  <c r="P2425" i="45"/>
  <c r="N2225" i="45"/>
  <c r="P2225" i="45"/>
  <c r="N2085" i="45"/>
  <c r="P2085" i="45"/>
  <c r="N1685" i="45"/>
  <c r="P1685" i="45"/>
  <c r="N1365" i="45"/>
  <c r="P1365" i="45"/>
  <c r="N2785" i="45"/>
  <c r="P2785" i="45"/>
  <c r="N2625" i="45"/>
  <c r="P2625" i="45"/>
  <c r="N1345" i="45"/>
  <c r="P1345" i="45"/>
  <c r="N3865" i="45"/>
  <c r="P3865" i="45"/>
  <c r="N3905" i="45"/>
  <c r="P3905" i="45"/>
  <c r="N3845" i="45"/>
  <c r="P3845" i="45"/>
  <c r="N3745" i="45"/>
  <c r="P3745" i="45"/>
  <c r="N3585" i="45"/>
  <c r="P3585" i="45"/>
  <c r="N3565" i="45"/>
  <c r="P3565" i="45"/>
  <c r="N2685" i="45"/>
  <c r="P2685" i="45"/>
  <c r="N3325" i="45"/>
  <c r="P3325" i="45"/>
  <c r="N2965" i="45"/>
  <c r="P2965" i="45"/>
  <c r="N2445" i="45"/>
  <c r="P2445" i="45"/>
  <c r="N2045" i="45"/>
  <c r="P2045" i="45"/>
  <c r="N1745" i="45"/>
  <c r="P1745" i="45"/>
  <c r="N1545" i="45"/>
  <c r="P1545" i="45"/>
  <c r="P1590" i="45"/>
  <c r="P3975" i="45"/>
  <c r="P4015" i="45"/>
  <c r="P4035" i="45"/>
  <c r="P4135" i="45"/>
  <c r="N2245" i="45"/>
  <c r="P2245" i="45"/>
  <c r="N3165" i="45"/>
  <c r="P3165" i="45"/>
  <c r="N3185" i="45"/>
  <c r="P3185" i="45"/>
  <c r="N3945" i="45"/>
  <c r="P3945" i="45"/>
  <c r="N3505" i="45"/>
  <c r="P3505" i="45"/>
  <c r="N2865" i="45"/>
  <c r="P2865" i="45"/>
  <c r="N3205" i="45"/>
  <c r="P3205" i="45"/>
  <c r="N3025" i="45"/>
  <c r="P3025" i="45"/>
  <c r="N2825" i="45"/>
  <c r="P2825" i="45"/>
  <c r="N2645" i="45"/>
  <c r="P2645" i="45"/>
  <c r="N2305" i="45"/>
  <c r="P2305" i="45"/>
  <c r="N2285" i="45"/>
  <c r="P2285" i="45"/>
  <c r="N1865" i="45"/>
  <c r="P1865" i="45"/>
  <c r="N1505" i="45"/>
  <c r="P1505" i="45"/>
  <c r="N1325" i="45"/>
  <c r="P1325" i="45"/>
  <c r="P2905" i="45"/>
  <c r="P3645" i="45"/>
  <c r="N2505" i="45"/>
  <c r="P2505" i="45"/>
  <c r="N1885" i="45"/>
  <c r="P1885" i="45"/>
  <c r="N3405" i="45"/>
  <c r="P3405" i="45"/>
  <c r="N3925" i="45"/>
  <c r="P3925" i="45"/>
  <c r="N3885" i="45"/>
  <c r="P3885" i="45"/>
  <c r="N2945" i="45"/>
  <c r="P2945" i="45"/>
  <c r="N3725" i="45"/>
  <c r="P3725" i="45"/>
  <c r="N3665" i="45"/>
  <c r="P3665" i="45"/>
  <c r="N3525" i="45"/>
  <c r="P3525" i="45"/>
  <c r="N3545" i="45"/>
  <c r="P3545" i="45"/>
  <c r="N3345" i="45"/>
  <c r="P3345" i="45"/>
  <c r="N3145" i="45"/>
  <c r="P3145" i="45"/>
  <c r="N2605" i="45"/>
  <c r="P2605" i="45"/>
  <c r="N2265" i="45"/>
  <c r="P2265" i="45"/>
  <c r="N1905" i="45"/>
  <c r="P1905" i="45"/>
  <c r="N1725" i="45"/>
  <c r="P1725" i="45"/>
  <c r="P3825" i="45"/>
  <c r="N3645" i="45"/>
  <c r="M1671" i="45"/>
  <c r="Q1670" i="45" s="1"/>
  <c r="M1631" i="45"/>
  <c r="Q1630" i="45" s="1"/>
  <c r="M1911" i="45"/>
  <c r="Q1910" i="45" s="1"/>
  <c r="M2076" i="45"/>
  <c r="M2311" i="45"/>
  <c r="Q2310" i="45" s="1"/>
  <c r="M2451" i="45"/>
  <c r="Q2450" i="45" s="1"/>
  <c r="M2576" i="45"/>
  <c r="M3111" i="45"/>
  <c r="Q3110" i="45" s="1"/>
  <c r="M3071" i="45"/>
  <c r="Q3070" i="45" s="1"/>
  <c r="M3151" i="45"/>
  <c r="Q3150" i="45" s="1"/>
  <c r="M3331" i="45"/>
  <c r="Q3330" i="45" s="1"/>
  <c r="M3193" i="45"/>
  <c r="Q3190" i="45" s="1"/>
  <c r="M3173" i="45"/>
  <c r="Q3170" i="45" s="1"/>
  <c r="M2253" i="45"/>
  <c r="Q2250" i="45" s="1"/>
  <c r="M3731" i="45"/>
  <c r="Q3730" i="45" s="1"/>
  <c r="M3671" i="45"/>
  <c r="Q3670" i="45" s="1"/>
  <c r="M3631" i="45"/>
  <c r="Q3630" i="45" s="1"/>
  <c r="M3313" i="45"/>
  <c r="Q3310" i="45" s="1"/>
  <c r="M1533" i="45"/>
  <c r="Q1530" i="45" s="1"/>
  <c r="M2853" i="45"/>
  <c r="Q2850" i="45" s="1"/>
  <c r="M2793" i="45"/>
  <c r="Q2790" i="45" s="1"/>
  <c r="M2708" i="45"/>
  <c r="P2705" i="45" s="1"/>
  <c r="M2548" i="45"/>
  <c r="N2545" i="45" s="1"/>
  <c r="M2748" i="45"/>
  <c r="P2745" i="45" s="1"/>
  <c r="M3655" i="45"/>
  <c r="M1331" i="45"/>
  <c r="Q1330" i="45" s="1"/>
  <c r="M1476" i="45"/>
  <c r="M2091" i="45"/>
  <c r="Q2090" i="45" s="1"/>
  <c r="M2231" i="45"/>
  <c r="Q2230" i="45" s="1"/>
  <c r="M2291" i="45"/>
  <c r="Q2290" i="45" s="1"/>
  <c r="N2345" i="45"/>
  <c r="M2831" i="45"/>
  <c r="Q2830" i="45" s="1"/>
  <c r="M1751" i="45"/>
  <c r="Q1750" i="45" s="1"/>
  <c r="M2013" i="45"/>
  <c r="Q2010" i="45" s="1"/>
  <c r="M3751" i="45"/>
  <c r="Q3750" i="45" s="1"/>
  <c r="M3591" i="45"/>
  <c r="Q3590" i="45" s="1"/>
  <c r="M3931" i="45"/>
  <c r="Q3930" i="45" s="1"/>
  <c r="M4096" i="45"/>
  <c r="Q4095" i="45" s="1"/>
  <c r="M3773" i="45"/>
  <c r="Q3770" i="45" s="1"/>
  <c r="M2528" i="45"/>
  <c r="N2525" i="45" s="1"/>
  <c r="M2728" i="45"/>
  <c r="Q2725" i="45" s="1"/>
  <c r="M2368" i="45"/>
  <c r="N2365" i="45" s="1"/>
  <c r="M2388" i="45"/>
  <c r="P2385" i="45" s="1"/>
  <c r="M2928" i="45"/>
  <c r="N2925" i="45" s="1"/>
  <c r="N1550" i="45"/>
  <c r="N1275" i="45"/>
  <c r="E1536" i="45"/>
  <c r="M1536" i="45" s="1"/>
  <c r="N1730" i="45"/>
  <c r="N1830" i="45"/>
  <c r="N1850" i="45"/>
  <c r="N1870" i="45"/>
  <c r="N2210" i="45"/>
  <c r="N2170" i="45"/>
  <c r="N2190" i="45"/>
  <c r="N2430" i="45"/>
  <c r="N2650" i="45"/>
  <c r="N3030" i="45"/>
  <c r="N1310" i="45"/>
  <c r="N3490" i="45"/>
  <c r="N3530" i="45"/>
  <c r="N3510" i="45"/>
  <c r="N3470" i="45"/>
  <c r="N3430" i="45"/>
  <c r="N3810" i="45"/>
  <c r="N3830" i="45"/>
  <c r="N3995" i="45"/>
  <c r="N4075" i="45"/>
  <c r="N1650" i="45"/>
  <c r="N3090" i="45"/>
  <c r="N3210" i="45"/>
  <c r="N3350" i="45"/>
  <c r="N3710" i="45"/>
  <c r="N3610" i="45"/>
  <c r="N3850" i="45"/>
  <c r="N2030" i="45"/>
  <c r="N2770" i="45"/>
  <c r="N2410" i="45"/>
  <c r="N3010" i="45"/>
  <c r="N1690" i="45"/>
  <c r="N1370" i="45"/>
  <c r="N1510" i="45"/>
  <c r="N2050" i="45"/>
  <c r="N2270" i="45"/>
  <c r="N2610" i="45"/>
  <c r="N2810" i="45"/>
  <c r="N2970" i="45"/>
  <c r="N2990" i="45"/>
  <c r="N3270" i="45"/>
  <c r="N3290" i="45"/>
  <c r="N3250" i="45"/>
  <c r="N1290" i="45"/>
  <c r="N3570" i="45"/>
  <c r="N3690" i="45"/>
  <c r="N3450" i="45"/>
  <c r="N3550" i="45"/>
  <c r="N3870" i="45"/>
  <c r="N3910" i="45"/>
  <c r="N3890" i="45"/>
  <c r="N3790" i="45"/>
  <c r="N2590" i="45"/>
  <c r="N1810" i="45"/>
  <c r="N2885" i="45"/>
  <c r="E3381" i="45"/>
  <c r="M3381" i="45" s="1"/>
  <c r="E3236" i="45"/>
  <c r="E3239" i="45" s="1"/>
  <c r="N3230" i="45"/>
  <c r="E1941" i="45"/>
  <c r="M1941" i="45" s="1"/>
  <c r="E1714" i="45"/>
  <c r="E1717" i="45" s="1"/>
  <c r="M1717" i="45" s="1"/>
  <c r="N1710" i="45"/>
  <c r="E1401" i="45"/>
  <c r="M1401" i="45" s="1"/>
  <c r="E3221" i="45"/>
  <c r="M3221" i="45" s="1"/>
  <c r="E1436" i="45"/>
  <c r="M1436" i="45" s="1"/>
  <c r="E2954" i="45"/>
  <c r="E2957" i="45" s="1"/>
  <c r="M2957" i="45" s="1"/>
  <c r="N2950" i="45"/>
  <c r="E2694" i="45"/>
  <c r="E2697" i="45" s="1"/>
  <c r="E2700" i="45" s="1"/>
  <c r="M2700" i="45" s="1"/>
  <c r="N2690" i="45"/>
  <c r="E2116" i="45"/>
  <c r="E2119" i="45" s="1"/>
  <c r="N2110" i="45"/>
  <c r="E1614" i="45"/>
  <c r="E1617" i="45" s="1"/>
  <c r="E1620" i="45" s="1"/>
  <c r="M1620" i="45" s="1"/>
  <c r="N1610" i="45"/>
  <c r="E1354" i="45"/>
  <c r="E1357" i="45" s="1"/>
  <c r="E1360" i="45" s="1"/>
  <c r="M1360" i="45" s="1"/>
  <c r="N1350" i="45"/>
  <c r="E4060" i="45"/>
  <c r="M4060" i="45" s="1"/>
  <c r="N4055" i="45"/>
  <c r="N1570" i="45"/>
  <c r="N2070" i="45"/>
  <c r="N2130" i="45"/>
  <c r="N3130" i="45"/>
  <c r="N3975" i="45"/>
  <c r="N4015" i="45"/>
  <c r="N4035" i="45"/>
  <c r="N4135" i="45"/>
  <c r="E2961" i="45"/>
  <c r="M2961" i="45" s="1"/>
  <c r="E1781" i="45"/>
  <c r="M1781" i="45" s="1"/>
  <c r="E1541" i="45"/>
  <c r="M1541" i="45" s="1"/>
  <c r="E2636" i="45"/>
  <c r="E2639" i="45" s="1"/>
  <c r="N2630" i="45"/>
  <c r="E3414" i="45"/>
  <c r="E3417" i="45" s="1"/>
  <c r="E3420" i="45" s="1"/>
  <c r="M3420" i="45" s="1"/>
  <c r="E2676" i="45"/>
  <c r="N2670" i="45"/>
  <c r="E1896" i="45"/>
  <c r="M1896" i="45" s="1"/>
  <c r="E3954" i="45"/>
  <c r="E3957" i="45" s="1"/>
  <c r="M3957" i="45" s="1"/>
  <c r="N3950" i="45"/>
  <c r="E2861" i="45"/>
  <c r="M2861" i="45" s="1"/>
  <c r="E2161" i="45"/>
  <c r="M2161" i="45" s="1"/>
  <c r="N2155" i="45"/>
  <c r="E1894" i="45"/>
  <c r="E1897" i="45" s="1"/>
  <c r="M1897" i="45" s="1"/>
  <c r="N1890" i="45"/>
  <c r="E1581" i="45"/>
  <c r="M1581" i="45" s="1"/>
  <c r="E1434" i="45"/>
  <c r="E1437" i="45" s="1"/>
  <c r="M1437" i="45" s="1"/>
  <c r="N3370" i="45"/>
  <c r="N1390" i="45"/>
  <c r="N2905" i="45"/>
  <c r="N3050" i="45"/>
  <c r="N2870" i="45"/>
  <c r="N3410" i="45"/>
  <c r="N2150" i="45"/>
  <c r="E1394" i="45"/>
  <c r="E1397" i="45" s="1"/>
  <c r="E3374" i="45"/>
  <c r="E3377" i="45" s="1"/>
  <c r="M3377" i="45" s="1"/>
  <c r="E3776" i="45"/>
  <c r="E1361" i="45"/>
  <c r="M1361" i="45" s="1"/>
  <c r="E3661" i="45"/>
  <c r="E3621" i="45"/>
  <c r="M3621" i="45" s="1"/>
  <c r="E2881" i="45"/>
  <c r="M2881" i="45" s="1"/>
  <c r="E3601" i="45"/>
  <c r="M3601" i="45" s="1"/>
  <c r="E3956" i="45"/>
  <c r="E2856" i="45"/>
  <c r="E2356" i="45"/>
  <c r="E2796" i="45"/>
  <c r="E2596" i="45"/>
  <c r="E2874" i="45"/>
  <c r="E2877" i="45" s="1"/>
  <c r="E2801" i="45"/>
  <c r="M2801" i="45" s="1"/>
  <c r="E1754" i="45"/>
  <c r="E1757" i="45" s="1"/>
  <c r="M1757" i="45" s="1"/>
  <c r="E1294" i="45"/>
  <c r="E1297" i="45" s="1"/>
  <c r="M1297" i="45" s="1"/>
  <c r="E2781" i="45"/>
  <c r="M2781" i="45" s="1"/>
  <c r="E3361" i="45"/>
  <c r="M3361" i="45" s="1"/>
  <c r="E3316" i="45"/>
  <c r="E1314" i="45"/>
  <c r="E1317" i="45" s="1"/>
  <c r="M1317" i="45" s="1"/>
  <c r="E4140" i="45"/>
  <c r="M4140" i="45" s="1"/>
  <c r="E4019" i="45"/>
  <c r="E4079" i="45"/>
  <c r="E4020" i="45"/>
  <c r="M4020" i="45" s="1"/>
  <c r="E4139" i="45"/>
  <c r="E4099" i="45"/>
  <c r="E4080" i="45"/>
  <c r="M4080" i="45" s="1"/>
  <c r="E3979" i="45"/>
  <c r="E3999" i="45"/>
  <c r="E4039" i="45"/>
  <c r="E3980" i="45"/>
  <c r="M3980" i="45" s="1"/>
  <c r="E4000" i="45"/>
  <c r="M4000" i="45" s="1"/>
  <c r="E4040" i="45"/>
  <c r="M4040" i="45" s="1"/>
  <c r="E4100" i="45"/>
  <c r="M4100" i="45" s="1"/>
  <c r="E3876" i="45"/>
  <c r="M3876" i="45" s="1"/>
  <c r="E3816" i="45"/>
  <c r="M3816" i="45" s="1"/>
  <c r="A3944" i="45"/>
  <c r="A3942" i="45"/>
  <c r="E3874" i="45"/>
  <c r="E3877" i="45" s="1"/>
  <c r="M3877" i="45" s="1"/>
  <c r="E3936" i="45"/>
  <c r="M3936" i="45" s="1"/>
  <c r="E3914" i="45"/>
  <c r="E3917" i="45" s="1"/>
  <c r="M3917" i="45" s="1"/>
  <c r="A3884" i="45"/>
  <c r="A3882" i="45"/>
  <c r="E3896" i="45"/>
  <c r="M3896" i="45" s="1"/>
  <c r="E3854" i="45"/>
  <c r="E3857" i="45" s="1"/>
  <c r="M3857" i="45" s="1"/>
  <c r="A3924" i="45"/>
  <c r="A3922" i="45"/>
  <c r="E3934" i="45"/>
  <c r="E3937" i="45" s="1"/>
  <c r="M3937" i="45" s="1"/>
  <c r="E3916" i="45"/>
  <c r="E3856" i="45"/>
  <c r="M3856" i="45" s="1"/>
  <c r="E3836" i="45"/>
  <c r="M3836" i="45" s="1"/>
  <c r="E3796" i="45"/>
  <c r="M3796" i="45" s="1"/>
  <c r="A3904" i="45"/>
  <c r="A3902" i="45"/>
  <c r="A3844" i="45"/>
  <c r="A3842" i="45"/>
  <c r="E3814" i="45"/>
  <c r="E3817" i="45" s="1"/>
  <c r="M3817" i="45" s="1"/>
  <c r="A3804" i="45"/>
  <c r="A3802" i="45"/>
  <c r="E3894" i="45"/>
  <c r="E3897" i="45" s="1"/>
  <c r="M3897" i="45" s="1"/>
  <c r="E3834" i="45"/>
  <c r="E3837" i="45" s="1"/>
  <c r="M3837" i="45" s="1"/>
  <c r="A3824" i="45"/>
  <c r="A3822" i="45"/>
  <c r="E3794" i="45"/>
  <c r="E3797" i="45" s="1"/>
  <c r="M3797" i="45" s="1"/>
  <c r="A3744" i="45"/>
  <c r="A3742" i="45"/>
  <c r="E3716" i="45"/>
  <c r="M3716" i="45" s="1"/>
  <c r="E3656" i="45"/>
  <c r="C3656" i="45"/>
  <c r="C3657" i="45" s="1"/>
  <c r="C3658" i="45" s="1"/>
  <c r="M3658" i="45" s="1"/>
  <c r="A3644" i="45"/>
  <c r="A3642" i="45"/>
  <c r="E3616" i="45"/>
  <c r="M3616" i="45" s="1"/>
  <c r="A3604" i="45"/>
  <c r="A3602" i="45"/>
  <c r="E3476" i="45"/>
  <c r="M3476" i="45" s="1"/>
  <c r="E3456" i="45"/>
  <c r="M3456" i="45" s="1"/>
  <c r="E3436" i="45"/>
  <c r="M3436" i="45" s="1"/>
  <c r="E3781" i="45"/>
  <c r="M3781" i="45" s="1"/>
  <c r="E3734" i="45"/>
  <c r="E3737" i="45" s="1"/>
  <c r="M3737" i="45" s="1"/>
  <c r="A3724" i="45"/>
  <c r="A3722" i="45"/>
  <c r="A3704" i="45"/>
  <c r="A3702" i="45"/>
  <c r="E3574" i="45"/>
  <c r="E3577" i="45" s="1"/>
  <c r="M3577" i="45" s="1"/>
  <c r="A3524" i="45"/>
  <c r="A3522" i="45"/>
  <c r="A3484" i="45"/>
  <c r="A3482" i="45"/>
  <c r="A3464" i="45"/>
  <c r="A3462" i="45"/>
  <c r="A3444" i="45"/>
  <c r="A3442" i="45"/>
  <c r="A3784" i="45"/>
  <c r="A3782" i="45"/>
  <c r="E3714" i="45"/>
  <c r="E3717" i="45" s="1"/>
  <c r="M3717" i="45" s="1"/>
  <c r="E3614" i="45"/>
  <c r="E3617" i="45" s="1"/>
  <c r="M3617" i="45" s="1"/>
  <c r="A3584" i="45"/>
  <c r="A3582" i="45"/>
  <c r="A3564" i="45"/>
  <c r="A3562" i="45"/>
  <c r="E3474" i="45"/>
  <c r="E3477" i="45" s="1"/>
  <c r="M3477" i="45" s="1"/>
  <c r="E3454" i="45"/>
  <c r="E3457" i="45" s="1"/>
  <c r="M3457" i="45" s="1"/>
  <c r="E3434" i="45"/>
  <c r="E3437" i="45" s="1"/>
  <c r="M3437" i="45" s="1"/>
  <c r="E3756" i="45"/>
  <c r="M3756" i="45" s="1"/>
  <c r="E3676" i="45"/>
  <c r="M3676" i="45" s="1"/>
  <c r="E3701" i="45"/>
  <c r="M3701" i="45" s="1"/>
  <c r="E3636" i="45"/>
  <c r="M3636" i="45" s="1"/>
  <c r="A3624" i="45"/>
  <c r="A3622" i="45"/>
  <c r="E3596" i="45"/>
  <c r="M3596" i="45" s="1"/>
  <c r="E3536" i="45"/>
  <c r="M3536" i="45" s="1"/>
  <c r="E3521" i="45"/>
  <c r="M3521" i="45" s="1"/>
  <c r="E3696" i="45"/>
  <c r="M3696" i="45" s="1"/>
  <c r="E3561" i="45"/>
  <c r="M3561" i="45" s="1"/>
  <c r="E3516" i="45"/>
  <c r="M3516" i="45" s="1"/>
  <c r="E3501" i="45"/>
  <c r="M3501" i="45" s="1"/>
  <c r="E3494" i="45"/>
  <c r="E3497" i="45" s="1"/>
  <c r="M3497" i="45" s="1"/>
  <c r="E3754" i="45"/>
  <c r="E3757" i="45" s="1"/>
  <c r="M3757" i="45" s="1"/>
  <c r="E3674" i="45"/>
  <c r="E3677" i="45" s="1"/>
  <c r="M3677" i="45" s="1"/>
  <c r="A3664" i="45"/>
  <c r="A3662" i="45"/>
  <c r="B3684" i="45"/>
  <c r="B3682" i="45"/>
  <c r="E3634" i="45"/>
  <c r="E3637" i="45" s="1"/>
  <c r="M3637" i="45" s="1"/>
  <c r="E3594" i="45"/>
  <c r="E3597" i="45" s="1"/>
  <c r="M3597" i="45" s="1"/>
  <c r="E3534" i="45"/>
  <c r="E3537" i="45" s="1"/>
  <c r="M3537" i="45" s="1"/>
  <c r="E3556" i="45"/>
  <c r="M3556" i="45" s="1"/>
  <c r="B3504" i="45"/>
  <c r="B3502" i="45"/>
  <c r="E3761" i="45"/>
  <c r="M3761" i="45" s="1"/>
  <c r="A3764" i="45"/>
  <c r="A3762" i="45"/>
  <c r="E3654" i="45"/>
  <c r="E3657" i="45" s="1"/>
  <c r="E3694" i="45"/>
  <c r="E3697" i="45" s="1"/>
  <c r="M3697" i="45" s="1"/>
  <c r="A3544" i="45"/>
  <c r="A3542" i="45"/>
  <c r="E3514" i="45"/>
  <c r="E3517" i="45" s="1"/>
  <c r="M3517" i="45" s="1"/>
  <c r="E3496" i="45"/>
  <c r="M3496" i="45" s="1"/>
  <c r="E3736" i="45"/>
  <c r="M3736" i="45" s="1"/>
  <c r="E3576" i="45"/>
  <c r="M3576" i="45" s="1"/>
  <c r="E3554" i="45"/>
  <c r="E3557" i="45" s="1"/>
  <c r="M3557" i="45" s="1"/>
  <c r="E3481" i="45"/>
  <c r="M3481" i="45" s="1"/>
  <c r="E3461" i="45"/>
  <c r="M3461" i="45" s="1"/>
  <c r="E3441" i="45"/>
  <c r="M3441" i="45" s="1"/>
  <c r="E2776" i="45"/>
  <c r="E2716" i="45"/>
  <c r="E1756" i="45"/>
  <c r="M1756" i="45" s="1"/>
  <c r="E2756" i="45"/>
  <c r="E2736" i="45"/>
  <c r="E1296" i="45"/>
  <c r="M1296" i="45" s="1"/>
  <c r="E2001" i="45"/>
  <c r="M2001" i="45" s="1"/>
  <c r="E1481" i="45"/>
  <c r="M1481" i="45" s="1"/>
  <c r="E1716" i="45"/>
  <c r="E1801" i="45"/>
  <c r="M1801" i="45" s="1"/>
  <c r="E1501" i="45"/>
  <c r="M1501" i="45" s="1"/>
  <c r="E1461" i="45"/>
  <c r="M1461" i="45" s="1"/>
  <c r="E1961" i="45"/>
  <c r="M1961" i="45" s="1"/>
  <c r="E2081" i="45"/>
  <c r="M2081" i="45" s="1"/>
  <c r="E1316" i="45"/>
  <c r="M1316" i="45" s="1"/>
  <c r="E1281" i="45"/>
  <c r="M1281" i="45" s="1"/>
  <c r="E1901" i="45"/>
  <c r="M1901" i="45" s="1"/>
  <c r="E2016" i="45"/>
  <c r="E2036" i="45"/>
  <c r="E2376" i="45"/>
  <c r="E2256" i="45"/>
  <c r="E2521" i="45"/>
  <c r="M2521" i="45" s="1"/>
  <c r="E2701" i="45"/>
  <c r="M2701" i="45" s="1"/>
  <c r="E2681" i="45"/>
  <c r="M2681" i="45" s="1"/>
  <c r="E2601" i="45"/>
  <c r="M2601" i="45" s="1"/>
  <c r="E2501" i="45"/>
  <c r="M2501" i="45" s="1"/>
  <c r="E2536" i="45"/>
  <c r="E2396" i="45"/>
  <c r="E2556" i="45"/>
  <c r="E2341" i="45"/>
  <c r="M2341" i="45" s="1"/>
  <c r="E2416" i="45"/>
  <c r="E2581" i="45"/>
  <c r="M2581" i="45" s="1"/>
  <c r="E3196" i="45"/>
  <c r="E3176" i="45"/>
  <c r="E2916" i="45"/>
  <c r="E2936" i="45"/>
  <c r="E3061" i="45"/>
  <c r="M3061" i="45" s="1"/>
  <c r="E3016" i="45"/>
  <c r="E2896" i="45"/>
  <c r="E3274" i="45"/>
  <c r="E3277" i="45" s="1"/>
  <c r="M3277" i="45" s="1"/>
  <c r="B3384" i="45"/>
  <c r="B3382" i="45"/>
  <c r="A3364" i="45"/>
  <c r="A3362" i="45"/>
  <c r="A3344" i="45"/>
  <c r="A3342" i="45"/>
  <c r="E3294" i="45"/>
  <c r="E3297" i="45" s="1"/>
  <c r="M3297" i="45" s="1"/>
  <c r="E3254" i="45"/>
  <c r="E3257" i="45" s="1"/>
  <c r="M3257" i="45" s="1"/>
  <c r="E3354" i="45"/>
  <c r="E3357" i="45" s="1"/>
  <c r="M3357" i="45" s="1"/>
  <c r="E3336" i="45"/>
  <c r="M3336" i="45" s="1"/>
  <c r="E3296" i="45"/>
  <c r="E3256" i="45"/>
  <c r="E3356" i="45"/>
  <c r="M3356" i="45" s="1"/>
  <c r="E3334" i="45"/>
  <c r="E3337" i="45" s="1"/>
  <c r="M3337" i="45" s="1"/>
  <c r="E3276" i="45"/>
  <c r="M3276" i="45" s="1"/>
  <c r="B3324" i="45"/>
  <c r="B3322" i="45"/>
  <c r="A3304" i="45"/>
  <c r="A3302" i="45"/>
  <c r="A3284" i="45"/>
  <c r="A3282" i="45"/>
  <c r="A3264" i="45"/>
  <c r="A3262" i="45"/>
  <c r="E3096" i="45"/>
  <c r="M3096" i="45" s="1"/>
  <c r="E3154" i="45"/>
  <c r="E3157" i="45" s="1"/>
  <c r="M3157" i="45" s="1"/>
  <c r="A3124" i="45"/>
  <c r="A3122" i="45"/>
  <c r="A3104" i="45"/>
  <c r="A3102" i="45"/>
  <c r="A3084" i="45"/>
  <c r="A3082" i="45"/>
  <c r="A3224" i="45"/>
  <c r="A3222" i="45"/>
  <c r="E3200" i="45"/>
  <c r="M3200" i="45" s="1"/>
  <c r="E3094" i="45"/>
  <c r="E3097" i="45" s="1"/>
  <c r="M3097" i="45" s="1"/>
  <c r="E3156" i="45"/>
  <c r="M3156" i="45" s="1"/>
  <c r="B3204" i="45"/>
  <c r="B3202" i="45"/>
  <c r="E3180" i="45"/>
  <c r="M3180" i="45" s="1"/>
  <c r="A3164" i="45"/>
  <c r="A3162" i="45"/>
  <c r="E3114" i="45"/>
  <c r="E3117" i="45" s="1"/>
  <c r="M3117" i="45" s="1"/>
  <c r="E3074" i="45"/>
  <c r="E3077" i="45" s="1"/>
  <c r="M3077" i="45" s="1"/>
  <c r="E3216" i="45"/>
  <c r="M3216" i="45" s="1"/>
  <c r="E3116" i="45"/>
  <c r="E3076" i="45"/>
  <c r="E3214" i="45"/>
  <c r="E3217" i="45" s="1"/>
  <c r="M3217" i="45" s="1"/>
  <c r="B3184" i="45"/>
  <c r="B3182" i="45"/>
  <c r="A2984" i="45"/>
  <c r="A2982" i="45"/>
  <c r="E3036" i="45"/>
  <c r="M3036" i="45" s="1"/>
  <c r="E2940" i="45"/>
  <c r="C2929" i="45"/>
  <c r="C2930" i="45" s="1"/>
  <c r="M2930" i="45" s="1"/>
  <c r="B2924" i="45"/>
  <c r="B2922" i="45"/>
  <c r="E2900" i="45"/>
  <c r="C2889" i="45"/>
  <c r="C2890" i="45" s="1"/>
  <c r="M2890" i="45" s="1"/>
  <c r="E2976" i="45"/>
  <c r="M2976" i="45" s="1"/>
  <c r="E3034" i="45"/>
  <c r="E3037" i="45" s="1"/>
  <c r="M3037" i="45" s="1"/>
  <c r="B3024" i="45"/>
  <c r="B3022" i="45"/>
  <c r="E2996" i="45"/>
  <c r="M2996" i="45" s="1"/>
  <c r="E2974" i="45"/>
  <c r="E2977" i="45" s="1"/>
  <c r="M2977" i="45" s="1"/>
  <c r="B2944" i="45"/>
  <c r="B2942" i="45"/>
  <c r="E2920" i="45"/>
  <c r="C2909" i="45"/>
  <c r="C2910" i="45" s="1"/>
  <c r="M2910" i="45" s="1"/>
  <c r="B2904" i="45"/>
  <c r="B2902" i="45"/>
  <c r="E2994" i="45"/>
  <c r="E2997" i="45" s="1"/>
  <c r="M2997" i="45" s="1"/>
  <c r="A3044" i="45"/>
  <c r="A3042" i="45"/>
  <c r="A3004" i="45"/>
  <c r="A3002" i="45"/>
  <c r="E2816" i="45"/>
  <c r="M2816" i="45" s="1"/>
  <c r="B2784" i="45"/>
  <c r="B2782" i="45"/>
  <c r="B2764" i="45"/>
  <c r="B2762" i="45"/>
  <c r="E2740" i="45"/>
  <c r="C2729" i="45"/>
  <c r="C2730" i="45" s="1"/>
  <c r="M2730" i="45" s="1"/>
  <c r="B2724" i="45"/>
  <c r="B2722" i="45"/>
  <c r="B2864" i="45"/>
  <c r="B2862" i="45"/>
  <c r="E2814" i="45"/>
  <c r="E2817" i="45" s="1"/>
  <c r="M2817" i="45" s="1"/>
  <c r="B2804" i="45"/>
  <c r="B2802" i="45"/>
  <c r="E2860" i="45"/>
  <c r="M2860" i="45" s="1"/>
  <c r="A2844" i="45"/>
  <c r="A2842" i="45"/>
  <c r="E2834" i="45"/>
  <c r="E2837" i="45" s="1"/>
  <c r="M2837" i="45" s="1"/>
  <c r="A2824" i="45"/>
  <c r="A2822" i="45"/>
  <c r="E2800" i="45"/>
  <c r="M2800" i="45" s="1"/>
  <c r="E2760" i="45"/>
  <c r="C2749" i="45"/>
  <c r="C2750" i="45" s="1"/>
  <c r="M2750" i="45" s="1"/>
  <c r="B2744" i="45"/>
  <c r="B2742" i="45"/>
  <c r="E2720" i="45"/>
  <c r="C2709" i="45"/>
  <c r="C2710" i="45" s="1"/>
  <c r="M2710" i="45" s="1"/>
  <c r="E2836" i="45"/>
  <c r="M2836" i="45" s="1"/>
  <c r="E2640" i="45"/>
  <c r="M2640" i="45" s="1"/>
  <c r="E2616" i="45"/>
  <c r="M2616" i="45" s="1"/>
  <c r="E2614" i="45"/>
  <c r="E2617" i="45" s="1"/>
  <c r="M2617" i="45" s="1"/>
  <c r="A2662" i="45"/>
  <c r="A2664" i="45"/>
  <c r="E2621" i="45"/>
  <c r="M2621" i="45" s="1"/>
  <c r="E2661" i="45"/>
  <c r="M2661" i="45" s="1"/>
  <c r="E2560" i="45"/>
  <c r="C2549" i="45"/>
  <c r="C2550" i="45" s="1"/>
  <c r="M2550" i="45" s="1"/>
  <c r="B2544" i="45"/>
  <c r="B2542" i="45"/>
  <c r="E2680" i="45"/>
  <c r="M2680" i="45" s="1"/>
  <c r="E2656" i="45"/>
  <c r="M2656" i="45" s="1"/>
  <c r="E2654" i="45"/>
  <c r="E2657" i="45" s="1"/>
  <c r="M2657" i="45" s="1"/>
  <c r="B2564" i="45"/>
  <c r="B2562" i="45"/>
  <c r="E2540" i="45"/>
  <c r="C2529" i="45"/>
  <c r="C2530" i="45" s="1"/>
  <c r="M2530" i="45" s="1"/>
  <c r="E2579" i="45"/>
  <c r="A2624" i="45"/>
  <c r="A2622" i="45"/>
  <c r="E2441" i="45"/>
  <c r="M2441" i="45" s="1"/>
  <c r="A2464" i="45"/>
  <c r="A2462" i="45"/>
  <c r="E2456" i="45"/>
  <c r="M2456" i="45" s="1"/>
  <c r="E2520" i="45"/>
  <c r="M2520" i="45" s="1"/>
  <c r="E2454" i="45"/>
  <c r="E2457" i="45" s="1"/>
  <c r="M2457" i="45" s="1"/>
  <c r="B2424" i="45"/>
  <c r="B2422" i="45"/>
  <c r="B2404" i="45"/>
  <c r="B2402" i="45"/>
  <c r="E2380" i="45"/>
  <c r="C2369" i="45"/>
  <c r="C2370" i="45" s="1"/>
  <c r="M2370" i="45" s="1"/>
  <c r="B2364" i="45"/>
  <c r="B2362" i="45"/>
  <c r="A2444" i="45"/>
  <c r="A2442" i="45"/>
  <c r="E2400" i="45"/>
  <c r="C2389" i="45"/>
  <c r="C2390" i="45" s="1"/>
  <c r="M2390" i="45" s="1"/>
  <c r="B2384" i="45"/>
  <c r="B2382" i="45"/>
  <c r="E2360" i="45"/>
  <c r="C2349" i="45"/>
  <c r="C2350" i="45" s="1"/>
  <c r="M2350" i="45" s="1"/>
  <c r="E2436" i="45"/>
  <c r="M2436" i="45" s="1"/>
  <c r="E2434" i="45"/>
  <c r="E2437" i="45" s="1"/>
  <c r="M2437" i="45" s="1"/>
  <c r="E2234" i="45"/>
  <c r="E2237" i="45" s="1"/>
  <c r="M2237" i="45" s="1"/>
  <c r="E2214" i="45"/>
  <c r="E2217" i="45" s="1"/>
  <c r="M2217" i="45" s="1"/>
  <c r="E2174" i="45"/>
  <c r="E2177" i="45" s="1"/>
  <c r="M2177" i="45" s="1"/>
  <c r="E2294" i="45"/>
  <c r="E2297" i="45" s="1"/>
  <c r="M2297" i="45" s="1"/>
  <c r="E2276" i="45"/>
  <c r="M2276" i="45" s="1"/>
  <c r="E2316" i="45"/>
  <c r="M2316" i="45" s="1"/>
  <c r="A2304" i="45"/>
  <c r="A2302" i="45"/>
  <c r="A2284" i="45"/>
  <c r="A2282" i="45"/>
  <c r="E2260" i="45"/>
  <c r="M2260" i="45" s="1"/>
  <c r="E2216" i="45"/>
  <c r="E2176" i="45"/>
  <c r="A2324" i="45"/>
  <c r="A2322" i="45"/>
  <c r="E2314" i="45"/>
  <c r="E2317" i="45" s="1"/>
  <c r="M2317" i="45" s="1"/>
  <c r="E2196" i="45"/>
  <c r="M2196" i="45" s="1"/>
  <c r="A2224" i="45"/>
  <c r="A2222" i="45"/>
  <c r="A2204" i="45"/>
  <c r="A2202" i="45"/>
  <c r="A2184" i="45"/>
  <c r="A2182" i="45"/>
  <c r="E2236" i="45"/>
  <c r="M2236" i="45" s="1"/>
  <c r="E2194" i="45"/>
  <c r="E2197" i="45" s="1"/>
  <c r="M2197" i="45" s="1"/>
  <c r="E2296" i="45"/>
  <c r="E2274" i="45"/>
  <c r="E2277" i="45" s="1"/>
  <c r="M2277" i="45" s="1"/>
  <c r="B2264" i="45"/>
  <c r="B2262" i="45"/>
  <c r="E2094" i="45"/>
  <c r="E2097" i="45" s="1"/>
  <c r="M2097" i="45" s="1"/>
  <c r="A2104" i="45"/>
  <c r="A2102" i="45"/>
  <c r="E2061" i="45"/>
  <c r="M2061" i="45" s="1"/>
  <c r="E2054" i="45"/>
  <c r="E2057" i="45" s="1"/>
  <c r="M2057" i="45" s="1"/>
  <c r="E2056" i="45"/>
  <c r="B2044" i="45"/>
  <c r="B2042" i="45"/>
  <c r="E2101" i="45"/>
  <c r="M2101" i="45" s="1"/>
  <c r="E2120" i="45"/>
  <c r="M2120" i="45" s="1"/>
  <c r="E2160" i="45"/>
  <c r="M2160" i="45" s="1"/>
  <c r="E2096" i="45"/>
  <c r="M2096" i="45" s="1"/>
  <c r="E2079" i="45"/>
  <c r="E1914" i="45"/>
  <c r="E1917" i="45" s="1"/>
  <c r="M1917" i="45" s="1"/>
  <c r="A1924" i="45"/>
  <c r="A1922" i="45"/>
  <c r="E1921" i="45"/>
  <c r="M1921" i="45" s="1"/>
  <c r="E1854" i="45"/>
  <c r="E1857" i="45" s="1"/>
  <c r="M1857" i="45" s="1"/>
  <c r="A1864" i="45"/>
  <c r="A1862" i="45"/>
  <c r="E1814" i="45"/>
  <c r="E1817" i="45" s="1"/>
  <c r="M1817" i="45" s="1"/>
  <c r="E1916" i="45"/>
  <c r="M1916" i="45" s="1"/>
  <c r="E1874" i="45"/>
  <c r="E1877" i="45" s="1"/>
  <c r="M1877" i="45" s="1"/>
  <c r="E1861" i="45"/>
  <c r="M1861" i="45" s="1"/>
  <c r="E1856" i="45"/>
  <c r="M1856" i="45" s="1"/>
  <c r="E1841" i="45"/>
  <c r="M1841" i="45" s="1"/>
  <c r="E1816" i="45"/>
  <c r="E1979" i="45"/>
  <c r="E1939" i="45"/>
  <c r="E1876" i="45"/>
  <c r="M1876" i="45" s="1"/>
  <c r="E1836" i="45"/>
  <c r="M1836" i="45" s="1"/>
  <c r="E1834" i="45"/>
  <c r="E1837" i="45" s="1"/>
  <c r="M1837" i="45" s="1"/>
  <c r="A1842" i="45"/>
  <c r="A1844" i="45"/>
  <c r="A1824" i="45"/>
  <c r="A1822" i="45"/>
  <c r="A1744" i="45"/>
  <c r="A1742" i="45"/>
  <c r="E1674" i="45"/>
  <c r="E1677" i="45" s="1"/>
  <c r="M1677" i="45" s="1"/>
  <c r="E1656" i="45"/>
  <c r="M1656" i="45" s="1"/>
  <c r="E1634" i="45"/>
  <c r="E1637" i="45" s="1"/>
  <c r="M1637" i="45" s="1"/>
  <c r="E1701" i="45"/>
  <c r="M1701" i="45" s="1"/>
  <c r="B1724" i="45"/>
  <c r="B1722" i="45"/>
  <c r="B1764" i="45"/>
  <c r="B1762" i="45"/>
  <c r="E1696" i="45"/>
  <c r="M1696" i="45" s="1"/>
  <c r="E1736" i="45"/>
  <c r="M1736" i="45" s="1"/>
  <c r="E1734" i="45"/>
  <c r="E1737" i="45" s="1"/>
  <c r="M1737" i="45" s="1"/>
  <c r="E1676" i="45"/>
  <c r="E1654" i="45"/>
  <c r="E1657" i="45" s="1"/>
  <c r="M1657" i="45" s="1"/>
  <c r="E1636" i="45"/>
  <c r="E1694" i="45"/>
  <c r="E1697" i="45" s="1"/>
  <c r="M1697" i="45" s="1"/>
  <c r="E1741" i="45"/>
  <c r="M1741" i="45" s="1"/>
  <c r="A1684" i="45"/>
  <c r="A1682" i="45"/>
  <c r="A1664" i="45"/>
  <c r="A1662" i="45"/>
  <c r="A1644" i="45"/>
  <c r="A1642" i="45"/>
  <c r="E1554" i="45"/>
  <c r="E1557" i="45" s="1"/>
  <c r="M1557" i="45" s="1"/>
  <c r="A1564" i="45"/>
  <c r="A1562" i="45"/>
  <c r="E1516" i="45"/>
  <c r="M1516" i="45" s="1"/>
  <c r="E1479" i="45"/>
  <c r="E1579" i="45"/>
  <c r="E1540" i="45"/>
  <c r="M1540" i="45" s="1"/>
  <c r="E1556" i="45"/>
  <c r="M1556" i="45" s="1"/>
  <c r="E1514" i="45"/>
  <c r="E1517" i="45" s="1"/>
  <c r="M1517" i="45" s="1"/>
  <c r="E1480" i="45"/>
  <c r="M1480" i="45" s="1"/>
  <c r="E1561" i="45"/>
  <c r="M1561" i="45" s="1"/>
  <c r="E1521" i="45"/>
  <c r="M1521" i="45" s="1"/>
  <c r="E1460" i="45"/>
  <c r="M1460" i="45" s="1"/>
  <c r="E1381" i="45"/>
  <c r="M1381" i="45" s="1"/>
  <c r="E1334" i="45"/>
  <c r="E1337" i="45" s="1"/>
  <c r="M1337" i="45" s="1"/>
  <c r="E1374" i="45"/>
  <c r="E1377" i="45" s="1"/>
  <c r="M1377" i="45" s="1"/>
  <c r="A1384" i="45"/>
  <c r="A1382" i="45"/>
  <c r="E1336" i="45"/>
  <c r="M1336" i="45" s="1"/>
  <c r="E1280" i="45"/>
  <c r="M1280" i="45" s="1"/>
  <c r="E1341" i="45"/>
  <c r="M1341" i="45" s="1"/>
  <c r="E1279" i="45"/>
  <c r="E1376" i="45"/>
  <c r="M1376" i="45" s="1"/>
  <c r="B1324" i="45"/>
  <c r="B1322" i="45"/>
  <c r="E4062" i="45" l="1"/>
  <c r="M4062" i="45" s="1"/>
  <c r="E2780" i="45"/>
  <c r="M2780" i="45" s="1"/>
  <c r="E2139" i="45"/>
  <c r="E2142" i="45" s="1"/>
  <c r="M2142" i="45" s="1"/>
  <c r="E2020" i="45"/>
  <c r="M2020" i="45" s="1"/>
  <c r="P2135" i="45"/>
  <c r="E1420" i="45"/>
  <c r="M1420" i="45" s="1"/>
  <c r="E1499" i="45"/>
  <c r="E1504" i="45" s="1"/>
  <c r="E1799" i="45"/>
  <c r="E1804" i="45" s="1"/>
  <c r="E3399" i="45"/>
  <c r="E3402" i="45" s="1"/>
  <c r="M3402" i="45" s="1"/>
  <c r="E3419" i="45"/>
  <c r="E3424" i="45" s="1"/>
  <c r="P3395" i="45"/>
  <c r="N3135" i="45"/>
  <c r="E1619" i="45"/>
  <c r="E1622" i="45" s="1"/>
  <c r="M1622" i="45" s="1"/>
  <c r="E2600" i="45"/>
  <c r="M2600" i="45" s="1"/>
  <c r="Q3135" i="45"/>
  <c r="P1775" i="45"/>
  <c r="E1779" i="45"/>
  <c r="E1782" i="45" s="1"/>
  <c r="E3139" i="45"/>
  <c r="E3142" i="45" s="1"/>
  <c r="M3142" i="45" s="1"/>
  <c r="E3400" i="45"/>
  <c r="M3400" i="45" s="1"/>
  <c r="N1975" i="45"/>
  <c r="E1399" i="45"/>
  <c r="E1404" i="45" s="1"/>
  <c r="E1500" i="45"/>
  <c r="M1500" i="45" s="1"/>
  <c r="P1315" i="45"/>
  <c r="E2519" i="45"/>
  <c r="E2524" i="45" s="1"/>
  <c r="Q2575" i="45"/>
  <c r="P1995" i="45"/>
  <c r="E1980" i="45"/>
  <c r="M1980" i="45" s="1"/>
  <c r="E1580" i="45"/>
  <c r="M1580" i="45" s="1"/>
  <c r="E2500" i="45"/>
  <c r="M2500" i="45" s="1"/>
  <c r="E2000" i="45"/>
  <c r="M2000" i="45" s="1"/>
  <c r="E2340" i="45"/>
  <c r="M2340" i="45" s="1"/>
  <c r="P3135" i="45"/>
  <c r="P1975" i="45"/>
  <c r="P3055" i="45"/>
  <c r="Q3395" i="45"/>
  <c r="P1795" i="45"/>
  <c r="E2140" i="45"/>
  <c r="M2140" i="45" s="1"/>
  <c r="Q2135" i="45"/>
  <c r="E2480" i="45"/>
  <c r="M2480" i="45" s="1"/>
  <c r="N3395" i="45"/>
  <c r="Q2515" i="45"/>
  <c r="P1455" i="45"/>
  <c r="Q1415" i="45"/>
  <c r="P2335" i="45"/>
  <c r="Q1455" i="45"/>
  <c r="E2339" i="45"/>
  <c r="E2344" i="45" s="1"/>
  <c r="E1459" i="45"/>
  <c r="E1462" i="45" s="1"/>
  <c r="M1462" i="45" s="1"/>
  <c r="E1800" i="45"/>
  <c r="M1800" i="45" s="1"/>
  <c r="Q2095" i="45"/>
  <c r="E3059" i="45"/>
  <c r="E3062" i="45" s="1"/>
  <c r="M3062" i="45" s="1"/>
  <c r="E3060" i="45"/>
  <c r="M3060" i="45" s="1"/>
  <c r="N2135" i="45"/>
  <c r="N1935" i="45"/>
  <c r="N2495" i="45"/>
  <c r="N1415" i="45"/>
  <c r="N2515" i="45"/>
  <c r="Q1935" i="45"/>
  <c r="Q2475" i="45"/>
  <c r="E1960" i="45"/>
  <c r="M1960" i="45" s="1"/>
  <c r="E1959" i="45"/>
  <c r="E1964" i="45" s="1"/>
  <c r="E2159" i="45"/>
  <c r="E2164" i="45" s="1"/>
  <c r="E1999" i="45"/>
  <c r="E2004" i="45" s="1"/>
  <c r="E2499" i="45"/>
  <c r="E2502" i="45" s="1"/>
  <c r="M2502" i="45" s="1"/>
  <c r="E3140" i="45"/>
  <c r="M3140" i="45" s="1"/>
  <c r="P3375" i="45"/>
  <c r="N1495" i="45"/>
  <c r="P1275" i="45"/>
  <c r="Q1495" i="45"/>
  <c r="P2155" i="45"/>
  <c r="E1419" i="45"/>
  <c r="E1422" i="45" s="1"/>
  <c r="M1422" i="45" s="1"/>
  <c r="E1899" i="45"/>
  <c r="E1904" i="45" s="1"/>
  <c r="E4124" i="45"/>
  <c r="E4123" i="45"/>
  <c r="M4123" i="45" s="1"/>
  <c r="Q1475" i="45"/>
  <c r="P1955" i="45"/>
  <c r="Q1955" i="45"/>
  <c r="N2335" i="45"/>
  <c r="E4063" i="45"/>
  <c r="M4063" i="45" s="1"/>
  <c r="Q4060" i="45" s="1"/>
  <c r="E1359" i="45"/>
  <c r="E1364" i="45" s="1"/>
  <c r="E1940" i="45"/>
  <c r="M1940" i="45" s="1"/>
  <c r="E2040" i="45"/>
  <c r="M2040" i="45" s="1"/>
  <c r="E2580" i="45"/>
  <c r="M2580" i="45" s="1"/>
  <c r="N1775" i="45"/>
  <c r="Q2335" i="45"/>
  <c r="E1780" i="45"/>
  <c r="M1780" i="45" s="1"/>
  <c r="E3020" i="45"/>
  <c r="M3020" i="45" s="1"/>
  <c r="Q1775" i="45"/>
  <c r="E2080" i="45"/>
  <c r="M2080" i="45" s="1"/>
  <c r="E2699" i="45"/>
  <c r="E2702" i="45" s="1"/>
  <c r="M2702" i="45" s="1"/>
  <c r="E3320" i="45"/>
  <c r="M3320" i="45" s="1"/>
  <c r="E3780" i="45"/>
  <c r="M3780" i="45" s="1"/>
  <c r="P1575" i="45"/>
  <c r="N3055" i="45"/>
  <c r="E1439" i="45"/>
  <c r="E1442" i="45" s="1"/>
  <c r="E1720" i="45"/>
  <c r="M1720" i="45" s="1"/>
  <c r="N1575" i="45"/>
  <c r="N1795" i="45"/>
  <c r="Q3055" i="45"/>
  <c r="P2495" i="45"/>
  <c r="N2705" i="45"/>
  <c r="N2475" i="45"/>
  <c r="N3650" i="45"/>
  <c r="P3650" i="45"/>
  <c r="E3379" i="45"/>
  <c r="E3382" i="45" s="1"/>
  <c r="M3382" i="45" s="1"/>
  <c r="P2475" i="45"/>
  <c r="N1595" i="45"/>
  <c r="E2479" i="45"/>
  <c r="E2484" i="45" s="1"/>
  <c r="E3240" i="45"/>
  <c r="M3240" i="45" s="1"/>
  <c r="N2385" i="45"/>
  <c r="Q2075" i="45"/>
  <c r="E1440" i="45"/>
  <c r="M1440" i="45" s="1"/>
  <c r="P2955" i="45"/>
  <c r="N1995" i="45"/>
  <c r="E1599" i="45"/>
  <c r="E1602" i="45" s="1"/>
  <c r="E2879" i="45"/>
  <c r="E2884" i="45" s="1"/>
  <c r="E3380" i="45"/>
  <c r="M3380" i="45" s="1"/>
  <c r="Q1595" i="45"/>
  <c r="Q1555" i="45"/>
  <c r="E1600" i="45"/>
  <c r="M1600" i="45" s="1"/>
  <c r="Q1515" i="45"/>
  <c r="Q1735" i="45"/>
  <c r="Q1695" i="45"/>
  <c r="Q1875" i="45"/>
  <c r="Q2435" i="45"/>
  <c r="E2420" i="45"/>
  <c r="M2420" i="45" s="1"/>
  <c r="Q2815" i="45"/>
  <c r="E2959" i="45"/>
  <c r="E2962" i="45" s="1"/>
  <c r="M2962" i="45" s="1"/>
  <c r="E2960" i="45"/>
  <c r="M2960" i="45" s="1"/>
  <c r="Q3155" i="45"/>
  <c r="Q3095" i="45"/>
  <c r="Q1295" i="45"/>
  <c r="Q3575" i="45"/>
  <c r="Q3495" i="45"/>
  <c r="N2745" i="45"/>
  <c r="P1595" i="45"/>
  <c r="Q1995" i="45"/>
  <c r="Q3595" i="45"/>
  <c r="Q3435" i="45"/>
  <c r="Q3475" i="45"/>
  <c r="Q3835" i="45"/>
  <c r="Q3795" i="45"/>
  <c r="P1375" i="45"/>
  <c r="Q1375" i="45"/>
  <c r="P1335" i="45"/>
  <c r="Q1335" i="45"/>
  <c r="Q1655" i="45"/>
  <c r="Q1835" i="45"/>
  <c r="Q1855" i="45"/>
  <c r="Q2235" i="45"/>
  <c r="Q2195" i="45"/>
  <c r="Q2315" i="45"/>
  <c r="Q2455" i="45"/>
  <c r="Q2655" i="45"/>
  <c r="Q2615" i="45"/>
  <c r="Q2835" i="45"/>
  <c r="Q2995" i="45"/>
  <c r="Q2975" i="45"/>
  <c r="Q3035" i="45"/>
  <c r="Q3215" i="45"/>
  <c r="Q3275" i="45"/>
  <c r="Q3355" i="45"/>
  <c r="Q3335" i="45"/>
  <c r="P1755" i="45"/>
  <c r="Q1755" i="45"/>
  <c r="P3735" i="45"/>
  <c r="Q3735" i="45"/>
  <c r="Q3555" i="45"/>
  <c r="Q3515" i="45"/>
  <c r="Q3695" i="45"/>
  <c r="Q3535" i="45"/>
  <c r="P3635" i="45"/>
  <c r="Q3675" i="45"/>
  <c r="P3455" i="45"/>
  <c r="Q3455" i="45"/>
  <c r="P3615" i="45"/>
  <c r="Q3615" i="45"/>
  <c r="P3855" i="45"/>
  <c r="Q3855" i="45"/>
  <c r="Q3895" i="45"/>
  <c r="Q3935" i="45"/>
  <c r="P3815" i="45"/>
  <c r="P2365" i="45"/>
  <c r="Q2365" i="45"/>
  <c r="P2525" i="45"/>
  <c r="Q2525" i="45"/>
  <c r="Q3635" i="45"/>
  <c r="Q1315" i="45"/>
  <c r="Q2925" i="45"/>
  <c r="Q3375" i="45"/>
  <c r="Q2705" i="45"/>
  <c r="P1915" i="45"/>
  <c r="Q1915" i="45"/>
  <c r="Q2275" i="45"/>
  <c r="Q3755" i="45"/>
  <c r="Q3715" i="45"/>
  <c r="Q3875" i="45"/>
  <c r="Q1895" i="45"/>
  <c r="Q1435" i="45"/>
  <c r="P1535" i="45"/>
  <c r="Q1535" i="45"/>
  <c r="Q3815" i="45"/>
  <c r="Q2745" i="45"/>
  <c r="Q2545" i="45"/>
  <c r="Q2955" i="45"/>
  <c r="Q2385" i="45"/>
  <c r="P3795" i="45"/>
  <c r="P1555" i="45"/>
  <c r="P1515" i="45"/>
  <c r="P1735" i="45"/>
  <c r="P1695" i="45"/>
  <c r="P1875" i="45"/>
  <c r="P2235" i="45"/>
  <c r="P2195" i="45"/>
  <c r="P2315" i="45"/>
  <c r="P2655" i="45"/>
  <c r="P2615" i="45"/>
  <c r="P2835" i="45"/>
  <c r="P2995" i="45"/>
  <c r="P3035" i="45"/>
  <c r="P3215" i="45"/>
  <c r="P3275" i="45"/>
  <c r="P3355" i="45"/>
  <c r="P3335" i="45"/>
  <c r="P1295" i="45"/>
  <c r="P3575" i="45"/>
  <c r="P3495" i="45"/>
  <c r="P3835" i="45"/>
  <c r="P1655" i="45"/>
  <c r="P1835" i="45"/>
  <c r="P1855" i="45"/>
  <c r="P2095" i="45"/>
  <c r="P2275" i="45"/>
  <c r="P2435" i="45"/>
  <c r="P2815" i="45"/>
  <c r="P3155" i="45"/>
  <c r="P3095" i="45"/>
  <c r="P3555" i="45"/>
  <c r="P3515" i="45"/>
  <c r="P3695" i="45"/>
  <c r="P3535" i="45"/>
  <c r="P3675" i="45"/>
  <c r="P3895" i="45"/>
  <c r="P3935" i="45"/>
  <c r="P1895" i="45"/>
  <c r="N4095" i="45"/>
  <c r="P4095" i="45"/>
  <c r="N3590" i="45"/>
  <c r="P3590" i="45"/>
  <c r="N2010" i="45"/>
  <c r="P2010" i="45"/>
  <c r="N2830" i="45"/>
  <c r="P2830" i="45"/>
  <c r="N2290" i="45"/>
  <c r="P2290" i="45"/>
  <c r="N2090" i="45"/>
  <c r="P2090" i="45"/>
  <c r="N1330" i="45"/>
  <c r="P1330" i="45"/>
  <c r="N2850" i="45"/>
  <c r="P2850" i="45"/>
  <c r="N3310" i="45"/>
  <c r="P3310" i="45"/>
  <c r="N3670" i="45"/>
  <c r="P3670" i="45"/>
  <c r="N2250" i="45"/>
  <c r="P2250" i="45"/>
  <c r="N3190" i="45"/>
  <c r="P3190" i="45"/>
  <c r="N3150" i="45"/>
  <c r="P3150" i="45"/>
  <c r="N3110" i="45"/>
  <c r="P3110" i="45"/>
  <c r="N2450" i="45"/>
  <c r="P2450" i="45"/>
  <c r="N2075" i="45"/>
  <c r="P2075" i="45"/>
  <c r="N1630" i="45"/>
  <c r="P1630" i="45"/>
  <c r="P2925" i="45"/>
  <c r="P2455" i="45"/>
  <c r="P2975" i="45"/>
  <c r="P3595" i="45"/>
  <c r="P3755" i="45"/>
  <c r="P3435" i="45"/>
  <c r="P3475" i="45"/>
  <c r="P3715" i="45"/>
  <c r="P3875" i="45"/>
  <c r="P1435" i="45"/>
  <c r="N2725" i="45"/>
  <c r="P2725" i="45"/>
  <c r="N3770" i="45"/>
  <c r="P3770" i="45"/>
  <c r="N3930" i="45"/>
  <c r="P3930" i="45"/>
  <c r="N3750" i="45"/>
  <c r="P3750" i="45"/>
  <c r="N1750" i="45"/>
  <c r="P1750" i="45"/>
  <c r="N2230" i="45"/>
  <c r="P2230" i="45"/>
  <c r="N1475" i="45"/>
  <c r="P1475" i="45"/>
  <c r="N2790" i="45"/>
  <c r="P2790" i="45"/>
  <c r="N1530" i="45"/>
  <c r="P1530" i="45"/>
  <c r="N3630" i="45"/>
  <c r="P3630" i="45"/>
  <c r="N3730" i="45"/>
  <c r="P3730" i="45"/>
  <c r="N3170" i="45"/>
  <c r="P3170" i="45"/>
  <c r="N3330" i="45"/>
  <c r="P3330" i="45"/>
  <c r="N3070" i="45"/>
  <c r="P3070" i="45"/>
  <c r="N2575" i="45"/>
  <c r="P2575" i="45"/>
  <c r="N2310" i="45"/>
  <c r="P2310" i="45"/>
  <c r="N1910" i="45"/>
  <c r="P1910" i="45"/>
  <c r="N1670" i="45"/>
  <c r="P1670" i="45"/>
  <c r="P2545" i="45"/>
  <c r="M1676" i="45"/>
  <c r="Q1675" i="45" s="1"/>
  <c r="M1816" i="45"/>
  <c r="Q1815" i="45" s="1"/>
  <c r="M2056" i="45"/>
  <c r="Q2055" i="45" s="1"/>
  <c r="M2176" i="45"/>
  <c r="Q2175" i="45" s="1"/>
  <c r="M3116" i="45"/>
  <c r="Q3115" i="45" s="1"/>
  <c r="M3296" i="45"/>
  <c r="Q3295" i="45" s="1"/>
  <c r="M3196" i="45"/>
  <c r="Q3195" i="45" s="1"/>
  <c r="M2416" i="45"/>
  <c r="Q2415" i="45" s="1"/>
  <c r="M2256" i="45"/>
  <c r="Q2255" i="45" s="1"/>
  <c r="M2036" i="45"/>
  <c r="Q2035" i="45" s="1"/>
  <c r="M1716" i="45"/>
  <c r="Q1715" i="45" s="1"/>
  <c r="M2776" i="45"/>
  <c r="Q2775" i="45" s="1"/>
  <c r="M3657" i="45"/>
  <c r="M3656" i="45"/>
  <c r="M4122" i="45"/>
  <c r="M2596" i="45"/>
  <c r="Q2595" i="45" s="1"/>
  <c r="M2796" i="45"/>
  <c r="Q2795" i="45" s="1"/>
  <c r="M2856" i="45"/>
  <c r="Q2855" i="45" s="1"/>
  <c r="M3417" i="45"/>
  <c r="Q3415" i="45" s="1"/>
  <c r="M2636" i="45"/>
  <c r="Q2635" i="45" s="1"/>
  <c r="M1357" i="45"/>
  <c r="Q1355" i="45" s="1"/>
  <c r="M1617" i="45"/>
  <c r="Q1615" i="45" s="1"/>
  <c r="M2116" i="45"/>
  <c r="Q2115" i="45" s="1"/>
  <c r="M2697" i="45"/>
  <c r="Q2695" i="45" s="1"/>
  <c r="M1636" i="45"/>
  <c r="Q1635" i="45" s="1"/>
  <c r="M2296" i="45"/>
  <c r="Q2295" i="45" s="1"/>
  <c r="M2216" i="45"/>
  <c r="Q2215" i="45" s="1"/>
  <c r="M3076" i="45"/>
  <c r="Q3075" i="45" s="1"/>
  <c r="M3256" i="45"/>
  <c r="Q3255" i="45" s="1"/>
  <c r="M3016" i="45"/>
  <c r="Q3015" i="45" s="1"/>
  <c r="M3176" i="45"/>
  <c r="Q3175" i="45" s="1"/>
  <c r="M2016" i="45"/>
  <c r="Q2015" i="45" s="1"/>
  <c r="M3916" i="45"/>
  <c r="Q3915" i="45" s="1"/>
  <c r="M3316" i="45"/>
  <c r="Q3315" i="45" s="1"/>
  <c r="M2877" i="45"/>
  <c r="Q2875" i="45" s="1"/>
  <c r="M3956" i="45"/>
  <c r="Q3955" i="45" s="1"/>
  <c r="M3776" i="45"/>
  <c r="Q3775" i="45" s="1"/>
  <c r="M1397" i="45"/>
  <c r="Q1395" i="45" s="1"/>
  <c r="M2676" i="45"/>
  <c r="Q2675" i="45" s="1"/>
  <c r="M3236" i="45"/>
  <c r="Q3235" i="45" s="1"/>
  <c r="N1555" i="45"/>
  <c r="E2880" i="45"/>
  <c r="M2880" i="45" s="1"/>
  <c r="E1400" i="45"/>
  <c r="M1400" i="45" s="1"/>
  <c r="E1539" i="45"/>
  <c r="E1544" i="45" s="1"/>
  <c r="E1900" i="45"/>
  <c r="M1900" i="45" s="1"/>
  <c r="E2679" i="45"/>
  <c r="E2684" i="45" s="1"/>
  <c r="E3960" i="45"/>
  <c r="M3960" i="45" s="1"/>
  <c r="N1375" i="45"/>
  <c r="N1735" i="45"/>
  <c r="N1695" i="45"/>
  <c r="N1875" i="45"/>
  <c r="N1915" i="45"/>
  <c r="N2095" i="45"/>
  <c r="N2435" i="45"/>
  <c r="N2835" i="45"/>
  <c r="N2815" i="45"/>
  <c r="N3155" i="45"/>
  <c r="N3095" i="45"/>
  <c r="N1315" i="45"/>
  <c r="N3735" i="45"/>
  <c r="N3695" i="45"/>
  <c r="N3535" i="45"/>
  <c r="N3635" i="45"/>
  <c r="N3455" i="45"/>
  <c r="N3615" i="45"/>
  <c r="N3815" i="45"/>
  <c r="N3375" i="45"/>
  <c r="N1430" i="45"/>
  <c r="N1535" i="45"/>
  <c r="N3855" i="45"/>
  <c r="N2975" i="45"/>
  <c r="N3035" i="45"/>
  <c r="N3335" i="45"/>
  <c r="N3835" i="45"/>
  <c r="N2955" i="45"/>
  <c r="N3795" i="45"/>
  <c r="N1435" i="45"/>
  <c r="N2275" i="45"/>
  <c r="N3555" i="45"/>
  <c r="N3515" i="45"/>
  <c r="N3675" i="45"/>
  <c r="N3895" i="45"/>
  <c r="N3935" i="45"/>
  <c r="E1760" i="45"/>
  <c r="M1760" i="45" s="1"/>
  <c r="N1755" i="45"/>
  <c r="N1335" i="45"/>
  <c r="N1515" i="45"/>
  <c r="N1655" i="45"/>
  <c r="N1835" i="45"/>
  <c r="N1855" i="45"/>
  <c r="N2235" i="45"/>
  <c r="N2195" i="45"/>
  <c r="N2315" i="45"/>
  <c r="N2455" i="45"/>
  <c r="N2655" i="45"/>
  <c r="N2615" i="45"/>
  <c r="N2995" i="45"/>
  <c r="N3215" i="45"/>
  <c r="N3275" i="45"/>
  <c r="N3355" i="45"/>
  <c r="N3575" i="45"/>
  <c r="N3495" i="45"/>
  <c r="N3595" i="45"/>
  <c r="N3755" i="45"/>
  <c r="N3435" i="45"/>
  <c r="N3475" i="45"/>
  <c r="N3715" i="45"/>
  <c r="N3875" i="45"/>
  <c r="E1300" i="45"/>
  <c r="M1300" i="45" s="1"/>
  <c r="N1295" i="45"/>
  <c r="N1895" i="45"/>
  <c r="E2859" i="45"/>
  <c r="E3959" i="45"/>
  <c r="E2359" i="45"/>
  <c r="E3779" i="45"/>
  <c r="E2799" i="45"/>
  <c r="E1320" i="45"/>
  <c r="M1320" i="45" s="1"/>
  <c r="E2599" i="45"/>
  <c r="E2602" i="45" s="1"/>
  <c r="M2602" i="45" s="1"/>
  <c r="E3319" i="45"/>
  <c r="E4083" i="45"/>
  <c r="M4083" i="45" s="1"/>
  <c r="E4104" i="45"/>
  <c r="E4102" i="45"/>
  <c r="M4102" i="45" s="1"/>
  <c r="E4143" i="45"/>
  <c r="M4143" i="45" s="1"/>
  <c r="E4003" i="45"/>
  <c r="M4003" i="45" s="1"/>
  <c r="E3983" i="45"/>
  <c r="M3983" i="45" s="1"/>
  <c r="E4103" i="45"/>
  <c r="M4103" i="45" s="1"/>
  <c r="E4043" i="45"/>
  <c r="M4043" i="45" s="1"/>
  <c r="E4044" i="45"/>
  <c r="E4042" i="45"/>
  <c r="E4004" i="45"/>
  <c r="E4002" i="45"/>
  <c r="M4002" i="45" s="1"/>
  <c r="E3984" i="45"/>
  <c r="E3982" i="45"/>
  <c r="E4144" i="45"/>
  <c r="E4142" i="45"/>
  <c r="E4023" i="45"/>
  <c r="M4023" i="45" s="1"/>
  <c r="E4082" i="45"/>
  <c r="M4082" i="45" s="1"/>
  <c r="E4084" i="45"/>
  <c r="E4024" i="45"/>
  <c r="E4022" i="45"/>
  <c r="E3800" i="45"/>
  <c r="M3800" i="45" s="1"/>
  <c r="E3840" i="45"/>
  <c r="M3840" i="45" s="1"/>
  <c r="E3900" i="45"/>
  <c r="M3900" i="45" s="1"/>
  <c r="E3820" i="45"/>
  <c r="M3820" i="45" s="1"/>
  <c r="E3799" i="45"/>
  <c r="E3839" i="45"/>
  <c r="E3859" i="45"/>
  <c r="E3919" i="45"/>
  <c r="E3899" i="45"/>
  <c r="E3920" i="45"/>
  <c r="M3920" i="45" s="1"/>
  <c r="E3819" i="45"/>
  <c r="E3940" i="45"/>
  <c r="M3940" i="45" s="1"/>
  <c r="E3860" i="45"/>
  <c r="M3860" i="45" s="1"/>
  <c r="E3939" i="45"/>
  <c r="E3880" i="45"/>
  <c r="M3880" i="45" s="1"/>
  <c r="E3879" i="45"/>
  <c r="E3739" i="45"/>
  <c r="E3499" i="45"/>
  <c r="E3660" i="45"/>
  <c r="E3540" i="45"/>
  <c r="M3540" i="45" s="1"/>
  <c r="E3600" i="45"/>
  <c r="M3600" i="45" s="1"/>
  <c r="E3640" i="45"/>
  <c r="M3640" i="45" s="1"/>
  <c r="E3680" i="45"/>
  <c r="M3680" i="45" s="1"/>
  <c r="E3760" i="45"/>
  <c r="M3760" i="45" s="1"/>
  <c r="E3500" i="45"/>
  <c r="M3500" i="45" s="1"/>
  <c r="E3699" i="45"/>
  <c r="E3720" i="45"/>
  <c r="M3720" i="45" s="1"/>
  <c r="E3580" i="45"/>
  <c r="M3580" i="45" s="1"/>
  <c r="E3439" i="45"/>
  <c r="E3459" i="45"/>
  <c r="E3479" i="45"/>
  <c r="E3619" i="45"/>
  <c r="C3659" i="45"/>
  <c r="C3660" i="45" s="1"/>
  <c r="C3661" i="45" s="1"/>
  <c r="E3719" i="45"/>
  <c r="E3560" i="45"/>
  <c r="M3560" i="45" s="1"/>
  <c r="E3579" i="45"/>
  <c r="E3520" i="45"/>
  <c r="M3520" i="45" s="1"/>
  <c r="E3700" i="45"/>
  <c r="M3700" i="45" s="1"/>
  <c r="E3559" i="45"/>
  <c r="E3519" i="45"/>
  <c r="E3539" i="45"/>
  <c r="E3599" i="45"/>
  <c r="E3639" i="45"/>
  <c r="E3679" i="45"/>
  <c r="E3759" i="45"/>
  <c r="E3440" i="45"/>
  <c r="M3440" i="45" s="1"/>
  <c r="E3460" i="45"/>
  <c r="M3460" i="45" s="1"/>
  <c r="E3480" i="45"/>
  <c r="M3480" i="45" s="1"/>
  <c r="E3620" i="45"/>
  <c r="M3620" i="45" s="1"/>
  <c r="E3740" i="45"/>
  <c r="M3740" i="45" s="1"/>
  <c r="E3659" i="45"/>
  <c r="E2739" i="45"/>
  <c r="E2759" i="45"/>
  <c r="E1759" i="45"/>
  <c r="E2719" i="45"/>
  <c r="E2779" i="45"/>
  <c r="E2019" i="45"/>
  <c r="E1319" i="45"/>
  <c r="E1299" i="45"/>
  <c r="E2039" i="45"/>
  <c r="E1719" i="45"/>
  <c r="E2259" i="45"/>
  <c r="E2379" i="45"/>
  <c r="E2419" i="45"/>
  <c r="E2559" i="45"/>
  <c r="E2399" i="45"/>
  <c r="E2539" i="45"/>
  <c r="E2939" i="45"/>
  <c r="E2919" i="45"/>
  <c r="E3199" i="45"/>
  <c r="E2899" i="45"/>
  <c r="E3019" i="45"/>
  <c r="E3179" i="45"/>
  <c r="E3404" i="45"/>
  <c r="E3279" i="45"/>
  <c r="E3340" i="45"/>
  <c r="M3340" i="45" s="1"/>
  <c r="E3359" i="45"/>
  <c r="E3422" i="45"/>
  <c r="M3422" i="45" s="1"/>
  <c r="E3259" i="45"/>
  <c r="E3299" i="45"/>
  <c r="E3339" i="45"/>
  <c r="E3360" i="45"/>
  <c r="M3360" i="45" s="1"/>
  <c r="E3260" i="45"/>
  <c r="M3260" i="45" s="1"/>
  <c r="E3423" i="45"/>
  <c r="M3423" i="45" s="1"/>
  <c r="E3300" i="45"/>
  <c r="M3300" i="45" s="1"/>
  <c r="E3280" i="45"/>
  <c r="M3280" i="45" s="1"/>
  <c r="E3120" i="45"/>
  <c r="M3120" i="45" s="1"/>
  <c r="E3183" i="45"/>
  <c r="M3183" i="45" s="1"/>
  <c r="E3159" i="45"/>
  <c r="E3144" i="45"/>
  <c r="E3203" i="45"/>
  <c r="M3203" i="45" s="1"/>
  <c r="E3160" i="45"/>
  <c r="M3160" i="45" s="1"/>
  <c r="E3220" i="45"/>
  <c r="M3220" i="45" s="1"/>
  <c r="E3079" i="45"/>
  <c r="E3119" i="45"/>
  <c r="E3219" i="45"/>
  <c r="E3244" i="45"/>
  <c r="E3242" i="45"/>
  <c r="M3242" i="45" s="1"/>
  <c r="E3080" i="45"/>
  <c r="M3080" i="45" s="1"/>
  <c r="E3100" i="45"/>
  <c r="M3100" i="45" s="1"/>
  <c r="E3099" i="45"/>
  <c r="E3000" i="45"/>
  <c r="M3000" i="45" s="1"/>
  <c r="C2911" i="45"/>
  <c r="M2911" i="45" s="1"/>
  <c r="E2923" i="45"/>
  <c r="E2980" i="45"/>
  <c r="M2980" i="45" s="1"/>
  <c r="E2999" i="45"/>
  <c r="E3040" i="45"/>
  <c r="M3040" i="45" s="1"/>
  <c r="E2979" i="45"/>
  <c r="C2891" i="45"/>
  <c r="M2891" i="45" s="1"/>
  <c r="E2903" i="45"/>
  <c r="C2931" i="45"/>
  <c r="M2931" i="45" s="1"/>
  <c r="E2943" i="45"/>
  <c r="E3039" i="45"/>
  <c r="E2820" i="45"/>
  <c r="M2820" i="45" s="1"/>
  <c r="C2731" i="45"/>
  <c r="M2731" i="45" s="1"/>
  <c r="E2743" i="45"/>
  <c r="E2819" i="45"/>
  <c r="E2839" i="45"/>
  <c r="C2711" i="45"/>
  <c r="M2711" i="45" s="1"/>
  <c r="E2723" i="45"/>
  <c r="C2751" i="45"/>
  <c r="M2751" i="45" s="1"/>
  <c r="E2763" i="45"/>
  <c r="E2783" i="45"/>
  <c r="M2783" i="45" s="1"/>
  <c r="E2803" i="45"/>
  <c r="M2803" i="45" s="1"/>
  <c r="E2840" i="45"/>
  <c r="M2840" i="45" s="1"/>
  <c r="E2863" i="45"/>
  <c r="M2863" i="45" s="1"/>
  <c r="E2584" i="45"/>
  <c r="E2582" i="45"/>
  <c r="M2582" i="45" s="1"/>
  <c r="E2620" i="45"/>
  <c r="M2620" i="45" s="1"/>
  <c r="E2619" i="45"/>
  <c r="E2603" i="45"/>
  <c r="M2603" i="45" s="1"/>
  <c r="E2703" i="45"/>
  <c r="M2703" i="45" s="1"/>
  <c r="C2531" i="45"/>
  <c r="M2531" i="45" s="1"/>
  <c r="E2543" i="45"/>
  <c r="E2644" i="45"/>
  <c r="E2642" i="45"/>
  <c r="M2642" i="45" s="1"/>
  <c r="E2660" i="45"/>
  <c r="M2660" i="45" s="1"/>
  <c r="E2659" i="45"/>
  <c r="E2683" i="45"/>
  <c r="M2683" i="45" s="1"/>
  <c r="C2551" i="45"/>
  <c r="M2551" i="45" s="1"/>
  <c r="E2563" i="45"/>
  <c r="E2643" i="45"/>
  <c r="M2643" i="45" s="1"/>
  <c r="C2371" i="45"/>
  <c r="M2371" i="45" s="1"/>
  <c r="E2383" i="45"/>
  <c r="E2440" i="45"/>
  <c r="M2440" i="45" s="1"/>
  <c r="E2439" i="45"/>
  <c r="C2351" i="45"/>
  <c r="M2351" i="45" s="1"/>
  <c r="E2363" i="45"/>
  <c r="C2391" i="45"/>
  <c r="M2391" i="45" s="1"/>
  <c r="E2403" i="45"/>
  <c r="E2460" i="45"/>
  <c r="M2460" i="45" s="1"/>
  <c r="E2523" i="45"/>
  <c r="M2523" i="45" s="1"/>
  <c r="E2459" i="45"/>
  <c r="E2504" i="45"/>
  <c r="E2200" i="45"/>
  <c r="M2200" i="45" s="1"/>
  <c r="E2343" i="45"/>
  <c r="M2343" i="45" s="1"/>
  <c r="E2179" i="45"/>
  <c r="E2240" i="45"/>
  <c r="M2240" i="45" s="1"/>
  <c r="E2280" i="45"/>
  <c r="M2280" i="45" s="1"/>
  <c r="E2299" i="45"/>
  <c r="E2239" i="45"/>
  <c r="E2199" i="45"/>
  <c r="E2320" i="45"/>
  <c r="M2320" i="45" s="1"/>
  <c r="E2219" i="45"/>
  <c r="E2263" i="45"/>
  <c r="M2263" i="45" s="1"/>
  <c r="E2319" i="45"/>
  <c r="E2279" i="45"/>
  <c r="E2300" i="45"/>
  <c r="M2300" i="45" s="1"/>
  <c r="E2180" i="45"/>
  <c r="M2180" i="45" s="1"/>
  <c r="E2220" i="45"/>
  <c r="M2220" i="45" s="1"/>
  <c r="E2099" i="45"/>
  <c r="E2124" i="45"/>
  <c r="E2122" i="45"/>
  <c r="M2122" i="45" s="1"/>
  <c r="E2060" i="45"/>
  <c r="M2060" i="45" s="1"/>
  <c r="E2144" i="45"/>
  <c r="E2143" i="45"/>
  <c r="M2143" i="45" s="1"/>
  <c r="E2084" i="45"/>
  <c r="E2082" i="45"/>
  <c r="M2082" i="45" s="1"/>
  <c r="E2163" i="45"/>
  <c r="M2163" i="45" s="1"/>
  <c r="E2123" i="45"/>
  <c r="M2123" i="45" s="1"/>
  <c r="E2059" i="45"/>
  <c r="E2100" i="45"/>
  <c r="M2100" i="45" s="1"/>
  <c r="E1840" i="45"/>
  <c r="M1840" i="45" s="1"/>
  <c r="E1839" i="45"/>
  <c r="E1944" i="45"/>
  <c r="E1942" i="45"/>
  <c r="M1942" i="45" s="1"/>
  <c r="E1984" i="45"/>
  <c r="E1982" i="45"/>
  <c r="M1982" i="45" s="1"/>
  <c r="E1983" i="45"/>
  <c r="M1983" i="45" s="1"/>
  <c r="E1819" i="45"/>
  <c r="E1859" i="45"/>
  <c r="E1880" i="45"/>
  <c r="M1880" i="45" s="1"/>
  <c r="E1820" i="45"/>
  <c r="M1820" i="45" s="1"/>
  <c r="E1860" i="45"/>
  <c r="M1860" i="45" s="1"/>
  <c r="E1920" i="45"/>
  <c r="M1920" i="45" s="1"/>
  <c r="E1879" i="45"/>
  <c r="E1919" i="45"/>
  <c r="E1699" i="45"/>
  <c r="E1640" i="45"/>
  <c r="M1640" i="45" s="1"/>
  <c r="E1659" i="45"/>
  <c r="E1680" i="45"/>
  <c r="M1680" i="45" s="1"/>
  <c r="E1700" i="45"/>
  <c r="M1700" i="45" s="1"/>
  <c r="E1639" i="45"/>
  <c r="E1660" i="45"/>
  <c r="M1660" i="45" s="1"/>
  <c r="E1679" i="45"/>
  <c r="E1740" i="45"/>
  <c r="M1740" i="45" s="1"/>
  <c r="E1739" i="45"/>
  <c r="E1464" i="45"/>
  <c r="E1520" i="45"/>
  <c r="M1520" i="45" s="1"/>
  <c r="E1559" i="45"/>
  <c r="E1623" i="45"/>
  <c r="M1623" i="45" s="1"/>
  <c r="E1484" i="45"/>
  <c r="E1482" i="45"/>
  <c r="M1482" i="45" s="1"/>
  <c r="E1560" i="45"/>
  <c r="M1560" i="45" s="1"/>
  <c r="E1463" i="45"/>
  <c r="M1463" i="45" s="1"/>
  <c r="E1483" i="45"/>
  <c r="M1483" i="45" s="1"/>
  <c r="E1543" i="45"/>
  <c r="M1543" i="45" s="1"/>
  <c r="E1624" i="45"/>
  <c r="E1584" i="45"/>
  <c r="E1582" i="45"/>
  <c r="E1519" i="45"/>
  <c r="E1379" i="45"/>
  <c r="E1339" i="45"/>
  <c r="E1284" i="45"/>
  <c r="E1282" i="45"/>
  <c r="M1282" i="45" s="1"/>
  <c r="E1283" i="45"/>
  <c r="M1283" i="45" s="1"/>
  <c r="E1423" i="45"/>
  <c r="M1423" i="45" s="1"/>
  <c r="E1363" i="45"/>
  <c r="M1363" i="45" s="1"/>
  <c r="E1380" i="45"/>
  <c r="M1380" i="45" s="1"/>
  <c r="E1340" i="45"/>
  <c r="M1340" i="45" s="1"/>
  <c r="E3384" i="45" l="1"/>
  <c r="E1802" i="45"/>
  <c r="E2522" i="45"/>
  <c r="M2522" i="45" s="1"/>
  <c r="E1443" i="45"/>
  <c r="M1443" i="45" s="1"/>
  <c r="E1502" i="45"/>
  <c r="M1502" i="45" s="1"/>
  <c r="E1723" i="45"/>
  <c r="M1723" i="45" s="1"/>
  <c r="E1963" i="45"/>
  <c r="M1963" i="45" s="1"/>
  <c r="E2882" i="45"/>
  <c r="M2882" i="45" s="1"/>
  <c r="E1902" i="45"/>
  <c r="M1902" i="45" s="1"/>
  <c r="E2023" i="45"/>
  <c r="M2023" i="45" s="1"/>
  <c r="E2482" i="45"/>
  <c r="M2482" i="45" s="1"/>
  <c r="N1615" i="45"/>
  <c r="E3403" i="45"/>
  <c r="M3403" i="45" s="1"/>
  <c r="N3400" i="45" s="1"/>
  <c r="E1362" i="45"/>
  <c r="M1362" i="45" s="1"/>
  <c r="N1360" i="45" s="1"/>
  <c r="E3064" i="45"/>
  <c r="E3783" i="45"/>
  <c r="M3783" i="45" s="1"/>
  <c r="E1402" i="45"/>
  <c r="M1402" i="45" s="1"/>
  <c r="E1784" i="45"/>
  <c r="E2162" i="45"/>
  <c r="M2162" i="45" s="1"/>
  <c r="P2160" i="45" s="1"/>
  <c r="E2503" i="45"/>
  <c r="M2503" i="45" s="1"/>
  <c r="P2500" i="45" s="1"/>
  <c r="E1403" i="45"/>
  <c r="M1403" i="45" s="1"/>
  <c r="E1444" i="45"/>
  <c r="E1424" i="45"/>
  <c r="E2342" i="45"/>
  <c r="M2342" i="45" s="1"/>
  <c r="Q2340" i="45" s="1"/>
  <c r="E1503" i="45"/>
  <c r="M1503" i="45" s="1"/>
  <c r="P1500" i="45" s="1"/>
  <c r="E2003" i="45"/>
  <c r="M2003" i="45" s="1"/>
  <c r="E1583" i="45"/>
  <c r="M1583" i="45" s="1"/>
  <c r="E3143" i="45"/>
  <c r="M3143" i="45" s="1"/>
  <c r="Q3140" i="45" s="1"/>
  <c r="E1962" i="45"/>
  <c r="M1962" i="45" s="1"/>
  <c r="E1803" i="45"/>
  <c r="M1803" i="45" s="1"/>
  <c r="E2483" i="45"/>
  <c r="M2483" i="45" s="1"/>
  <c r="Q2480" i="45" s="1"/>
  <c r="E3063" i="45"/>
  <c r="M3063" i="45" s="1"/>
  <c r="Q3060" i="45" s="1"/>
  <c r="E3963" i="45"/>
  <c r="M3963" i="45" s="1"/>
  <c r="E2083" i="45"/>
  <c r="M2083" i="45" s="1"/>
  <c r="Q2080" i="45" s="1"/>
  <c r="E3243" i="45"/>
  <c r="M3243" i="45" s="1"/>
  <c r="Q3240" i="45" s="1"/>
  <c r="E1604" i="45"/>
  <c r="E2002" i="45"/>
  <c r="M2002" i="45" s="1"/>
  <c r="E3023" i="45"/>
  <c r="M3023" i="45" s="1"/>
  <c r="N4060" i="45"/>
  <c r="E2704" i="45"/>
  <c r="E2583" i="45"/>
  <c r="M2583" i="45" s="1"/>
  <c r="P2580" i="45" s="1"/>
  <c r="E3323" i="45"/>
  <c r="M3323" i="45" s="1"/>
  <c r="Q4120" i="45"/>
  <c r="P4060" i="45"/>
  <c r="E2963" i="45"/>
  <c r="M2963" i="45" s="1"/>
  <c r="N2960" i="45" s="1"/>
  <c r="E2043" i="45"/>
  <c r="M2043" i="45" s="1"/>
  <c r="E1783" i="45"/>
  <c r="M1783" i="45" s="1"/>
  <c r="E3383" i="45"/>
  <c r="M3383" i="45" s="1"/>
  <c r="Q3380" i="45" s="1"/>
  <c r="E1943" i="45"/>
  <c r="M1943" i="45" s="1"/>
  <c r="Q1940" i="45" s="1"/>
  <c r="E2682" i="45"/>
  <c r="M2682" i="45" s="1"/>
  <c r="Q2680" i="45" s="1"/>
  <c r="E1763" i="45"/>
  <c r="M1763" i="45" s="1"/>
  <c r="E2964" i="45"/>
  <c r="P1620" i="45"/>
  <c r="E1542" i="45"/>
  <c r="M1542" i="45" s="1"/>
  <c r="N1540" i="45" s="1"/>
  <c r="E2423" i="45"/>
  <c r="M2423" i="45" s="1"/>
  <c r="E2883" i="45"/>
  <c r="M2883" i="45" s="1"/>
  <c r="Q2880" i="45" s="1"/>
  <c r="P1420" i="45"/>
  <c r="P1280" i="45"/>
  <c r="P1460" i="45"/>
  <c r="E2604" i="45"/>
  <c r="E1603" i="45"/>
  <c r="M1603" i="45" s="1"/>
  <c r="Q4080" i="45"/>
  <c r="Q4000" i="45"/>
  <c r="Q3655" i="45"/>
  <c r="Q1500" i="45"/>
  <c r="Q1480" i="45"/>
  <c r="Q1980" i="45"/>
  <c r="Q2140" i="45"/>
  <c r="Q2120" i="45"/>
  <c r="Q2520" i="45"/>
  <c r="Q2700" i="45"/>
  <c r="Q2640" i="45"/>
  <c r="Q3420" i="45"/>
  <c r="Q4100" i="45"/>
  <c r="Q2600" i="45"/>
  <c r="Q1620" i="45"/>
  <c r="Q1420" i="45"/>
  <c r="Q1460" i="45"/>
  <c r="Q1280" i="45"/>
  <c r="P2640" i="45"/>
  <c r="P3420" i="45"/>
  <c r="P4100" i="45"/>
  <c r="P2600" i="45"/>
  <c r="P1480" i="45"/>
  <c r="P1980" i="45"/>
  <c r="P2140" i="45"/>
  <c r="P2120" i="45"/>
  <c r="P2520" i="45"/>
  <c r="P2700" i="45"/>
  <c r="P4080" i="45"/>
  <c r="P4000" i="45"/>
  <c r="P3655" i="45"/>
  <c r="N3235" i="45"/>
  <c r="P3235" i="45"/>
  <c r="N1395" i="45"/>
  <c r="P1395" i="45"/>
  <c r="N3955" i="45"/>
  <c r="P3955" i="45"/>
  <c r="N3315" i="45"/>
  <c r="P3315" i="45"/>
  <c r="N2015" i="45"/>
  <c r="P2015" i="45"/>
  <c r="N3015" i="45"/>
  <c r="P3015" i="45"/>
  <c r="N3075" i="45"/>
  <c r="P3075" i="45"/>
  <c r="N2295" i="45"/>
  <c r="P2295" i="45"/>
  <c r="N2695" i="45"/>
  <c r="P2695" i="45"/>
  <c r="P1615" i="45"/>
  <c r="N2635" i="45"/>
  <c r="P2635" i="45"/>
  <c r="N2855" i="45"/>
  <c r="P2855" i="45"/>
  <c r="N2595" i="45"/>
  <c r="P2595" i="45"/>
  <c r="N2775" i="45"/>
  <c r="P2775" i="45"/>
  <c r="N2035" i="45"/>
  <c r="P2035" i="45"/>
  <c r="N2415" i="45"/>
  <c r="P2415" i="45"/>
  <c r="N3295" i="45"/>
  <c r="P3295" i="45"/>
  <c r="N2175" i="45"/>
  <c r="P2175" i="45"/>
  <c r="N1815" i="45"/>
  <c r="P1815" i="45"/>
  <c r="N2675" i="45"/>
  <c r="P2675" i="45"/>
  <c r="N3775" i="45"/>
  <c r="P3775" i="45"/>
  <c r="N2875" i="45"/>
  <c r="P2875" i="45"/>
  <c r="N3915" i="45"/>
  <c r="P3915" i="45"/>
  <c r="N3175" i="45"/>
  <c r="P3175" i="45"/>
  <c r="N3255" i="45"/>
  <c r="P3255" i="45"/>
  <c r="N2215" i="45"/>
  <c r="P2215" i="45"/>
  <c r="N1635" i="45"/>
  <c r="P1635" i="45"/>
  <c r="N2115" i="45"/>
  <c r="P2115" i="45"/>
  <c r="N1355" i="45"/>
  <c r="P1355" i="45"/>
  <c r="N3415" i="45"/>
  <c r="P3415" i="45"/>
  <c r="N2795" i="45"/>
  <c r="P2795" i="45"/>
  <c r="N4120" i="45"/>
  <c r="P4120" i="45"/>
  <c r="N1715" i="45"/>
  <c r="P1715" i="45"/>
  <c r="N2255" i="45"/>
  <c r="P2255" i="45"/>
  <c r="N3195" i="45"/>
  <c r="P3195" i="45"/>
  <c r="N3115" i="45"/>
  <c r="P3115" i="45"/>
  <c r="N2055" i="45"/>
  <c r="P2055" i="45"/>
  <c r="N1675" i="45"/>
  <c r="P1675" i="45"/>
  <c r="N3655" i="45"/>
  <c r="M1442" i="45"/>
  <c r="Q1440" i="45" s="1"/>
  <c r="M1582" i="45"/>
  <c r="Q1580" i="45" s="1"/>
  <c r="M1802" i="45"/>
  <c r="M1782" i="45"/>
  <c r="M3660" i="45"/>
  <c r="M4022" i="45"/>
  <c r="Q4020" i="45" s="1"/>
  <c r="M1602" i="45"/>
  <c r="M4142" i="45"/>
  <c r="Q4140" i="45" s="1"/>
  <c r="M3982" i="45"/>
  <c r="Q3980" i="45" s="1"/>
  <c r="M4042" i="45"/>
  <c r="Q4040" i="45" s="1"/>
  <c r="M3661" i="45"/>
  <c r="E1303" i="45"/>
  <c r="M1303" i="45" s="1"/>
  <c r="N1280" i="45"/>
  <c r="N1620" i="45"/>
  <c r="N1460" i="45"/>
  <c r="E1903" i="45"/>
  <c r="N2140" i="45"/>
  <c r="N2700" i="45"/>
  <c r="N4080" i="45"/>
  <c r="N4000" i="45"/>
  <c r="N2520" i="45"/>
  <c r="N2120" i="45"/>
  <c r="N1420" i="45"/>
  <c r="N1480" i="45"/>
  <c r="N2500" i="45"/>
  <c r="N2640" i="45"/>
  <c r="N3420" i="45"/>
  <c r="N4100" i="45"/>
  <c r="N2600" i="45"/>
  <c r="N1980" i="45"/>
  <c r="E3964" i="45"/>
  <c r="E3962" i="45"/>
  <c r="E2862" i="45"/>
  <c r="E2864" i="45"/>
  <c r="E2802" i="45"/>
  <c r="E2804" i="45"/>
  <c r="E1323" i="45"/>
  <c r="M1323" i="45" s="1"/>
  <c r="E3784" i="45"/>
  <c r="E3782" i="45"/>
  <c r="E2362" i="45"/>
  <c r="E2364" i="45"/>
  <c r="E3322" i="45"/>
  <c r="E3324" i="45"/>
  <c r="E3863" i="45"/>
  <c r="M3863" i="45" s="1"/>
  <c r="E3824" i="45"/>
  <c r="E3822" i="45"/>
  <c r="M3822" i="45" s="1"/>
  <c r="E3923" i="45"/>
  <c r="M3923" i="45" s="1"/>
  <c r="E3904" i="45"/>
  <c r="E3902" i="45"/>
  <c r="M3902" i="45" s="1"/>
  <c r="E3924" i="45"/>
  <c r="E3922" i="45"/>
  <c r="E3864" i="45"/>
  <c r="E3862" i="45"/>
  <c r="M3862" i="45" s="1"/>
  <c r="E3844" i="45"/>
  <c r="E3842" i="45"/>
  <c r="M3842" i="45" s="1"/>
  <c r="E3804" i="45"/>
  <c r="E3802" i="45"/>
  <c r="M3802" i="45" s="1"/>
  <c r="E3823" i="45"/>
  <c r="M3823" i="45" s="1"/>
  <c r="E3903" i="45"/>
  <c r="M3903" i="45" s="1"/>
  <c r="E3843" i="45"/>
  <c r="M3843" i="45" s="1"/>
  <c r="E3803" i="45"/>
  <c r="M3803" i="45" s="1"/>
  <c r="E3884" i="45"/>
  <c r="E3882" i="45"/>
  <c r="M3882" i="45" s="1"/>
  <c r="E3883" i="45"/>
  <c r="M3883" i="45" s="1"/>
  <c r="E3944" i="45"/>
  <c r="E3942" i="45"/>
  <c r="M3942" i="45" s="1"/>
  <c r="E3943" i="45"/>
  <c r="M3943" i="45" s="1"/>
  <c r="E3524" i="45"/>
  <c r="E3522" i="45"/>
  <c r="M3522" i="45" s="1"/>
  <c r="E3724" i="45"/>
  <c r="E3722" i="45"/>
  <c r="M3722" i="45" s="1"/>
  <c r="E3484" i="45"/>
  <c r="E3482" i="45"/>
  <c r="M3482" i="45" s="1"/>
  <c r="E3464" i="45"/>
  <c r="E3462" i="45"/>
  <c r="M3462" i="45" s="1"/>
  <c r="E3444" i="45"/>
  <c r="E3442" i="45"/>
  <c r="M3442" i="45" s="1"/>
  <c r="E3583" i="45"/>
  <c r="M3583" i="45" s="1"/>
  <c r="E3723" i="45"/>
  <c r="M3723" i="45" s="1"/>
  <c r="E3704" i="45"/>
  <c r="E3702" i="45"/>
  <c r="M3702" i="45" s="1"/>
  <c r="E3664" i="45"/>
  <c r="E3662" i="45"/>
  <c r="E3483" i="45"/>
  <c r="M3483" i="45" s="1"/>
  <c r="E3463" i="45"/>
  <c r="M3463" i="45" s="1"/>
  <c r="E3443" i="45"/>
  <c r="M3443" i="45" s="1"/>
  <c r="E3703" i="45"/>
  <c r="M3703" i="45" s="1"/>
  <c r="E3523" i="45"/>
  <c r="M3523" i="45" s="1"/>
  <c r="E3584" i="45"/>
  <c r="E3582" i="45"/>
  <c r="E3743" i="45"/>
  <c r="M3743" i="45" s="1"/>
  <c r="E3623" i="45"/>
  <c r="M3623" i="45" s="1"/>
  <c r="E3764" i="45"/>
  <c r="E3762" i="45"/>
  <c r="M3762" i="45" s="1"/>
  <c r="E3684" i="45"/>
  <c r="E3682" i="45"/>
  <c r="M3682" i="45" s="1"/>
  <c r="E3644" i="45"/>
  <c r="E3642" i="45"/>
  <c r="M3642" i="45" s="1"/>
  <c r="E3604" i="45"/>
  <c r="E3602" i="45"/>
  <c r="M3602" i="45" s="1"/>
  <c r="E3544" i="45"/>
  <c r="E3542" i="45"/>
  <c r="M3542" i="45" s="1"/>
  <c r="E3564" i="45"/>
  <c r="E3562" i="45"/>
  <c r="M3562" i="45" s="1"/>
  <c r="E3563" i="45"/>
  <c r="M3563" i="45" s="1"/>
  <c r="C3662" i="45"/>
  <c r="C3663" i="45" s="1"/>
  <c r="C3664" i="45" s="1"/>
  <c r="E3624" i="45"/>
  <c r="E3622" i="45"/>
  <c r="E3503" i="45"/>
  <c r="M3503" i="45" s="1"/>
  <c r="E3763" i="45"/>
  <c r="M3763" i="45" s="1"/>
  <c r="E3683" i="45"/>
  <c r="M3683" i="45" s="1"/>
  <c r="E3643" i="45"/>
  <c r="M3643" i="45" s="1"/>
  <c r="E3603" i="45"/>
  <c r="M3603" i="45" s="1"/>
  <c r="E3543" i="45"/>
  <c r="M3543" i="45" s="1"/>
  <c r="E3663" i="45"/>
  <c r="E3504" i="45"/>
  <c r="E3502" i="45"/>
  <c r="E3744" i="45"/>
  <c r="E3742" i="45"/>
  <c r="E2782" i="45"/>
  <c r="E2784" i="45"/>
  <c r="E2724" i="45"/>
  <c r="E2722" i="45"/>
  <c r="E1764" i="45"/>
  <c r="E1762" i="45"/>
  <c r="E2762" i="45"/>
  <c r="E2764" i="45"/>
  <c r="E2742" i="45"/>
  <c r="E2744" i="45"/>
  <c r="E1302" i="45"/>
  <c r="M1302" i="45" s="1"/>
  <c r="E1304" i="45"/>
  <c r="E1322" i="45"/>
  <c r="M1322" i="45" s="1"/>
  <c r="E1324" i="45"/>
  <c r="E2024" i="45"/>
  <c r="E2022" i="45"/>
  <c r="E1722" i="45"/>
  <c r="E1724" i="45"/>
  <c r="E2044" i="45"/>
  <c r="E2042" i="45"/>
  <c r="E2542" i="45"/>
  <c r="E2544" i="45"/>
  <c r="E2404" i="45"/>
  <c r="E2402" i="45"/>
  <c r="E2564" i="45"/>
  <c r="E2562" i="45"/>
  <c r="E2424" i="45"/>
  <c r="E2422" i="45"/>
  <c r="E2384" i="45"/>
  <c r="E2382" i="45"/>
  <c r="E2262" i="45"/>
  <c r="E2264" i="45"/>
  <c r="E3182" i="45"/>
  <c r="E3184" i="45"/>
  <c r="E3022" i="45"/>
  <c r="E3024" i="45"/>
  <c r="E2904" i="45"/>
  <c r="E2902" i="45"/>
  <c r="E3202" i="45"/>
  <c r="E3204" i="45"/>
  <c r="E2924" i="45"/>
  <c r="E2922" i="45"/>
  <c r="E2944" i="45"/>
  <c r="E2942" i="45"/>
  <c r="E3283" i="45"/>
  <c r="M3283" i="45" s="1"/>
  <c r="E3303" i="45"/>
  <c r="M3303" i="45" s="1"/>
  <c r="E3263" i="45"/>
  <c r="M3263" i="45" s="1"/>
  <c r="E3363" i="45"/>
  <c r="M3363" i="45" s="1"/>
  <c r="E3344" i="45"/>
  <c r="E3342" i="45"/>
  <c r="M3342" i="45" s="1"/>
  <c r="E3304" i="45"/>
  <c r="E3302" i="45"/>
  <c r="E3264" i="45"/>
  <c r="E3262" i="45"/>
  <c r="M3262" i="45" s="1"/>
  <c r="E3364" i="45"/>
  <c r="E3362" i="45"/>
  <c r="E3343" i="45"/>
  <c r="M3343" i="45" s="1"/>
  <c r="E3284" i="45"/>
  <c r="E3282" i="45"/>
  <c r="E3104" i="45"/>
  <c r="E3102" i="45"/>
  <c r="M3102" i="45" s="1"/>
  <c r="E3103" i="45"/>
  <c r="M3103" i="45" s="1"/>
  <c r="E3083" i="45"/>
  <c r="M3083" i="45" s="1"/>
  <c r="E3224" i="45"/>
  <c r="E3222" i="45"/>
  <c r="M3222" i="45" s="1"/>
  <c r="E3124" i="45"/>
  <c r="E3122" i="45"/>
  <c r="M3122" i="45" s="1"/>
  <c r="E3084" i="45"/>
  <c r="E3082" i="45"/>
  <c r="E3223" i="45"/>
  <c r="M3223" i="45" s="1"/>
  <c r="E3163" i="45"/>
  <c r="M3163" i="45" s="1"/>
  <c r="E3164" i="45"/>
  <c r="E3162" i="45"/>
  <c r="E3123" i="45"/>
  <c r="M3123" i="45" s="1"/>
  <c r="E3044" i="45"/>
  <c r="E3042" i="45"/>
  <c r="M3042" i="45" s="1"/>
  <c r="C2932" i="45"/>
  <c r="M2932" i="45" s="1"/>
  <c r="C2892" i="45"/>
  <c r="M2892" i="45" s="1"/>
  <c r="E2984" i="45"/>
  <c r="E2982" i="45"/>
  <c r="M2982" i="45" s="1"/>
  <c r="E3043" i="45"/>
  <c r="M3043" i="45" s="1"/>
  <c r="E3004" i="45"/>
  <c r="E3002" i="45"/>
  <c r="M3002" i="45" s="1"/>
  <c r="E2983" i="45"/>
  <c r="M2983" i="45" s="1"/>
  <c r="C2912" i="45"/>
  <c r="M2912" i="45" s="1"/>
  <c r="E3003" i="45"/>
  <c r="M3003" i="45" s="1"/>
  <c r="E2843" i="45"/>
  <c r="M2843" i="45" s="1"/>
  <c r="C2752" i="45"/>
  <c r="M2752" i="45" s="1"/>
  <c r="C2712" i="45"/>
  <c r="M2712" i="45" s="1"/>
  <c r="E2844" i="45"/>
  <c r="E2842" i="45"/>
  <c r="E2824" i="45"/>
  <c r="E2822" i="45"/>
  <c r="M2822" i="45" s="1"/>
  <c r="C2732" i="45"/>
  <c r="M2732" i="45" s="1"/>
  <c r="E2823" i="45"/>
  <c r="M2823" i="45" s="1"/>
  <c r="E2663" i="45"/>
  <c r="M2663" i="45" s="1"/>
  <c r="C2552" i="45"/>
  <c r="M2552" i="45" s="1"/>
  <c r="E2662" i="45"/>
  <c r="E2664" i="45"/>
  <c r="C2532" i="45"/>
  <c r="M2532" i="45" s="1"/>
  <c r="E2624" i="45"/>
  <c r="E2622" i="45"/>
  <c r="M2622" i="45" s="1"/>
  <c r="E2623" i="45"/>
  <c r="M2623" i="45" s="1"/>
  <c r="E2464" i="45"/>
  <c r="E2462" i="45"/>
  <c r="M2462" i="45" s="1"/>
  <c r="E2463" i="45"/>
  <c r="M2463" i="45" s="1"/>
  <c r="C2372" i="45"/>
  <c r="M2372" i="45" s="1"/>
  <c r="C2392" i="45"/>
  <c r="M2392" i="45" s="1"/>
  <c r="C2352" i="45"/>
  <c r="M2352" i="45" s="1"/>
  <c r="E2444" i="45"/>
  <c r="E2442" i="45"/>
  <c r="M2442" i="45" s="1"/>
  <c r="E2443" i="45"/>
  <c r="M2443" i="45" s="1"/>
  <c r="E2223" i="45"/>
  <c r="M2223" i="45" s="1"/>
  <c r="E2183" i="45"/>
  <c r="M2183" i="45" s="1"/>
  <c r="E2303" i="45"/>
  <c r="M2303" i="45" s="1"/>
  <c r="E2284" i="45"/>
  <c r="E2282" i="45"/>
  <c r="M2282" i="45" s="1"/>
  <c r="E2324" i="45"/>
  <c r="E2322" i="45"/>
  <c r="M2322" i="45" s="1"/>
  <c r="E2224" i="45"/>
  <c r="E2222" i="45"/>
  <c r="E2323" i="45"/>
  <c r="M2323" i="45" s="1"/>
  <c r="E2204" i="45"/>
  <c r="E2202" i="45"/>
  <c r="M2202" i="45" s="1"/>
  <c r="E2244" i="45"/>
  <c r="E2242" i="45"/>
  <c r="M2242" i="45" s="1"/>
  <c r="E2304" i="45"/>
  <c r="E2302" i="45"/>
  <c r="M2302" i="45" s="1"/>
  <c r="E2283" i="45"/>
  <c r="M2283" i="45" s="1"/>
  <c r="E2243" i="45"/>
  <c r="M2243" i="45" s="1"/>
  <c r="E2184" i="45"/>
  <c r="E2182" i="45"/>
  <c r="E2203" i="45"/>
  <c r="M2203" i="45" s="1"/>
  <c r="E2103" i="45"/>
  <c r="M2103" i="45" s="1"/>
  <c r="E2064" i="45"/>
  <c r="E2062" i="45"/>
  <c r="M2062" i="45" s="1"/>
  <c r="E2063" i="45"/>
  <c r="M2063" i="45" s="1"/>
  <c r="E2104" i="45"/>
  <c r="E2102" i="45"/>
  <c r="M2102" i="45" s="1"/>
  <c r="E1924" i="45"/>
  <c r="E1922" i="45"/>
  <c r="M1922" i="45" s="1"/>
  <c r="E1884" i="45"/>
  <c r="E1882" i="45"/>
  <c r="M1882" i="45" s="1"/>
  <c r="E1923" i="45"/>
  <c r="M1923" i="45" s="1"/>
  <c r="E1863" i="45"/>
  <c r="M1863" i="45" s="1"/>
  <c r="E1823" i="45"/>
  <c r="M1823" i="45" s="1"/>
  <c r="E1883" i="45"/>
  <c r="M1883" i="45" s="1"/>
  <c r="E1864" i="45"/>
  <c r="E1862" i="45"/>
  <c r="E1824" i="45"/>
  <c r="E1822" i="45"/>
  <c r="M1822" i="45" s="1"/>
  <c r="E1842" i="45"/>
  <c r="M1842" i="45" s="1"/>
  <c r="E1844" i="45"/>
  <c r="E1843" i="45"/>
  <c r="M1843" i="45" s="1"/>
  <c r="E1744" i="45"/>
  <c r="E1742" i="45"/>
  <c r="M1742" i="45" s="1"/>
  <c r="E1743" i="45"/>
  <c r="M1743" i="45" s="1"/>
  <c r="E1684" i="45"/>
  <c r="E1682" i="45"/>
  <c r="M1682" i="45" s="1"/>
  <c r="E1663" i="45"/>
  <c r="M1663" i="45" s="1"/>
  <c r="E1644" i="45"/>
  <c r="E1642" i="45"/>
  <c r="M1642" i="45" s="1"/>
  <c r="E1703" i="45"/>
  <c r="M1703" i="45" s="1"/>
  <c r="E1683" i="45"/>
  <c r="M1683" i="45" s="1"/>
  <c r="E1664" i="45"/>
  <c r="E1662" i="45"/>
  <c r="E1643" i="45"/>
  <c r="M1643" i="45" s="1"/>
  <c r="E1704" i="45"/>
  <c r="E1702" i="45"/>
  <c r="E1524" i="45"/>
  <c r="E1522" i="45"/>
  <c r="M1522" i="45" s="1"/>
  <c r="E1563" i="45"/>
  <c r="M1563" i="45" s="1"/>
  <c r="E1564" i="45"/>
  <c r="E1562" i="45"/>
  <c r="E1523" i="45"/>
  <c r="M1523" i="45" s="1"/>
  <c r="E1343" i="45"/>
  <c r="M1343" i="45" s="1"/>
  <c r="E1383" i="45"/>
  <c r="M1383" i="45" s="1"/>
  <c r="E1344" i="45"/>
  <c r="E1342" i="45"/>
  <c r="M1342" i="45" s="1"/>
  <c r="E1384" i="45"/>
  <c r="E1382" i="45"/>
  <c r="P1400" i="45" l="1"/>
  <c r="Q1400" i="45"/>
  <c r="N1400" i="45"/>
  <c r="N1500" i="45"/>
  <c r="P3400" i="45"/>
  <c r="Q3400" i="45"/>
  <c r="Q1360" i="45"/>
  <c r="P1360" i="45"/>
  <c r="N2000" i="45"/>
  <c r="Q1960" i="45"/>
  <c r="N2160" i="45"/>
  <c r="Q1600" i="45"/>
  <c r="P3240" i="45"/>
  <c r="Q2160" i="45"/>
  <c r="Q2500" i="45"/>
  <c r="N3140" i="45"/>
  <c r="P3140" i="45"/>
  <c r="N2480" i="45"/>
  <c r="N3240" i="45"/>
  <c r="P2480" i="45"/>
  <c r="Q2960" i="45"/>
  <c r="P1960" i="45"/>
  <c r="Q2000" i="45"/>
  <c r="N2580" i="45"/>
  <c r="N1960" i="45"/>
  <c r="P2960" i="45"/>
  <c r="N2080" i="45"/>
  <c r="P2080" i="45"/>
  <c r="Q1540" i="45"/>
  <c r="Q1800" i="45"/>
  <c r="Q2580" i="45"/>
  <c r="N1940" i="45"/>
  <c r="N3060" i="45"/>
  <c r="P1940" i="45"/>
  <c r="P3060" i="45"/>
  <c r="P2000" i="45"/>
  <c r="Q1780" i="45"/>
  <c r="P1300" i="45"/>
  <c r="N2880" i="45"/>
  <c r="P2880" i="45"/>
  <c r="P1540" i="45"/>
  <c r="Q2060" i="45"/>
  <c r="Q2300" i="45"/>
  <c r="Q2620" i="45"/>
  <c r="Q3260" i="45"/>
  <c r="Q3440" i="45"/>
  <c r="Q3480" i="45"/>
  <c r="Q3880" i="45"/>
  <c r="Q3860" i="45"/>
  <c r="P1340" i="45"/>
  <c r="P1680" i="45"/>
  <c r="P1820" i="45"/>
  <c r="P1920" i="45"/>
  <c r="P2100" i="45"/>
  <c r="P2320" i="45"/>
  <c r="P2440" i="45"/>
  <c r="P1320" i="45"/>
  <c r="Q1880" i="45"/>
  <c r="Q2280" i="45"/>
  <c r="P2460" i="45"/>
  <c r="P3000" i="45"/>
  <c r="P3120" i="45"/>
  <c r="P3220" i="45"/>
  <c r="P3100" i="45"/>
  <c r="P3560" i="45"/>
  <c r="Q3540" i="45"/>
  <c r="P3600" i="45"/>
  <c r="Q3640" i="45"/>
  <c r="P3680" i="45"/>
  <c r="Q3760" i="45"/>
  <c r="P3940" i="45"/>
  <c r="Q3820" i="45"/>
  <c r="Q1640" i="45"/>
  <c r="Q1740" i="45"/>
  <c r="Q1840" i="45"/>
  <c r="Q2240" i="45"/>
  <c r="Q2200" i="45"/>
  <c r="Q2980" i="45"/>
  <c r="Q3040" i="45"/>
  <c r="Q3340" i="45"/>
  <c r="Q3700" i="45"/>
  <c r="Q3460" i="45"/>
  <c r="Q3720" i="45"/>
  <c r="Q3520" i="45"/>
  <c r="Q3800" i="45"/>
  <c r="Q3840" i="45"/>
  <c r="Q3900" i="45"/>
  <c r="P2820" i="45"/>
  <c r="Q3940" i="45"/>
  <c r="Q3000" i="45"/>
  <c r="Q2820" i="45"/>
  <c r="Q2320" i="45"/>
  <c r="Q1820" i="45"/>
  <c r="Q1340" i="45"/>
  <c r="Q3680" i="45"/>
  <c r="Q3220" i="45"/>
  <c r="Q2460" i="45"/>
  <c r="Q1680" i="45"/>
  <c r="P1520" i="45"/>
  <c r="Q1320" i="45"/>
  <c r="Q3100" i="45"/>
  <c r="Q2440" i="45"/>
  <c r="Q2100" i="45"/>
  <c r="Q1920" i="45"/>
  <c r="Q1520" i="45"/>
  <c r="Q1300" i="45"/>
  <c r="Q3600" i="45"/>
  <c r="Q3560" i="45"/>
  <c r="Q3120" i="45"/>
  <c r="P3540" i="45"/>
  <c r="P3640" i="45"/>
  <c r="P3760" i="45"/>
  <c r="P3820" i="45"/>
  <c r="P1880" i="45"/>
  <c r="P2280" i="45"/>
  <c r="P1640" i="45"/>
  <c r="P1740" i="45"/>
  <c r="P1840" i="45"/>
  <c r="P2060" i="45"/>
  <c r="P2300" i="45"/>
  <c r="P2240" i="45"/>
  <c r="P2200" i="45"/>
  <c r="P2620" i="45"/>
  <c r="P2980" i="45"/>
  <c r="P3040" i="45"/>
  <c r="P3260" i="45"/>
  <c r="P3340" i="45"/>
  <c r="P3700" i="45"/>
  <c r="P3440" i="45"/>
  <c r="P3460" i="45"/>
  <c r="P3480" i="45"/>
  <c r="P3720" i="45"/>
  <c r="P3520" i="45"/>
  <c r="P3880" i="45"/>
  <c r="P3800" i="45"/>
  <c r="P3840" i="45"/>
  <c r="P3860" i="45"/>
  <c r="P3900" i="45"/>
  <c r="N3980" i="45"/>
  <c r="P3980" i="45"/>
  <c r="N3380" i="45"/>
  <c r="P3380" i="45"/>
  <c r="N1600" i="45"/>
  <c r="P1600" i="45"/>
  <c r="N1780" i="45"/>
  <c r="P1780" i="45"/>
  <c r="N1580" i="45"/>
  <c r="P1580" i="45"/>
  <c r="N4040" i="45"/>
  <c r="P4040" i="45"/>
  <c r="N4140" i="45"/>
  <c r="P4140" i="45"/>
  <c r="N2680" i="45"/>
  <c r="P2680" i="45"/>
  <c r="N4020" i="45"/>
  <c r="P4020" i="45"/>
  <c r="N2340" i="45"/>
  <c r="P2340" i="45"/>
  <c r="N1800" i="45"/>
  <c r="P1800" i="45"/>
  <c r="N1440" i="45"/>
  <c r="P1440" i="45"/>
  <c r="M3663" i="45"/>
  <c r="M3662" i="45"/>
  <c r="M1662" i="45"/>
  <c r="Q1660" i="45" s="1"/>
  <c r="M2182" i="45"/>
  <c r="Q2180" i="45" s="1"/>
  <c r="M2662" i="45"/>
  <c r="Q2660" i="45" s="1"/>
  <c r="M1382" i="45"/>
  <c r="Q1380" i="45" s="1"/>
  <c r="M1702" i="45"/>
  <c r="Q1700" i="45" s="1"/>
  <c r="M1862" i="45"/>
  <c r="Q1860" i="45" s="1"/>
  <c r="M2222" i="45"/>
  <c r="Q2220" i="45" s="1"/>
  <c r="M2842" i="45"/>
  <c r="Q2840" i="45" s="1"/>
  <c r="M3162" i="45"/>
  <c r="Q3160" i="45" s="1"/>
  <c r="M3082" i="45"/>
  <c r="Q3080" i="45" s="1"/>
  <c r="M3282" i="45"/>
  <c r="Q3280" i="45" s="1"/>
  <c r="M3202" i="45"/>
  <c r="Q3200" i="45" s="1"/>
  <c r="M3022" i="45"/>
  <c r="Q3020" i="45" s="1"/>
  <c r="M3182" i="45"/>
  <c r="Q3180" i="45" s="1"/>
  <c r="M2262" i="45"/>
  <c r="Q2260" i="45" s="1"/>
  <c r="M1722" i="45"/>
  <c r="Q1720" i="45" s="1"/>
  <c r="M2782" i="45"/>
  <c r="Q2780" i="45" s="1"/>
  <c r="M3622" i="45"/>
  <c r="Q3620" i="45" s="1"/>
  <c r="M3582" i="45"/>
  <c r="Q3580" i="45" s="1"/>
  <c r="M3322" i="45"/>
  <c r="Q3320" i="45" s="1"/>
  <c r="M2862" i="45"/>
  <c r="Q2860" i="45" s="1"/>
  <c r="M1562" i="45"/>
  <c r="Q1560" i="45" s="1"/>
  <c r="M3362" i="45"/>
  <c r="Q3360" i="45" s="1"/>
  <c r="M3302" i="45"/>
  <c r="Q3300" i="45" s="1"/>
  <c r="M2422" i="45"/>
  <c r="Q2420" i="45" s="1"/>
  <c r="M2042" i="45"/>
  <c r="Q2040" i="45" s="1"/>
  <c r="M2022" i="45"/>
  <c r="Q2020" i="45" s="1"/>
  <c r="M1762" i="45"/>
  <c r="Q1760" i="45" s="1"/>
  <c r="M3742" i="45"/>
  <c r="Q3740" i="45" s="1"/>
  <c r="M3502" i="45"/>
  <c r="Q3500" i="45" s="1"/>
  <c r="M3922" i="45"/>
  <c r="Q3920" i="45" s="1"/>
  <c r="M3782" i="45"/>
  <c r="Q3780" i="45" s="1"/>
  <c r="M2802" i="45"/>
  <c r="Q2800" i="45" s="1"/>
  <c r="M3962" i="45"/>
  <c r="Q3960" i="45" s="1"/>
  <c r="M1903" i="45"/>
  <c r="Q1900" i="45" s="1"/>
  <c r="N1320" i="45"/>
  <c r="N1300" i="45"/>
  <c r="N1340" i="45"/>
  <c r="N1680" i="45"/>
  <c r="N1820" i="45"/>
  <c r="N1920" i="45"/>
  <c r="N2320" i="45"/>
  <c r="N2440" i="45"/>
  <c r="N2460" i="45"/>
  <c r="N3000" i="45"/>
  <c r="N3120" i="45"/>
  <c r="N3220" i="45"/>
  <c r="N3100" i="45"/>
  <c r="N3560" i="45"/>
  <c r="N3600" i="45"/>
  <c r="N3680" i="45"/>
  <c r="N3940" i="45"/>
  <c r="N2100" i="45"/>
  <c r="N1520" i="45"/>
  <c r="N3540" i="45"/>
  <c r="N3640" i="45"/>
  <c r="N3760" i="45"/>
  <c r="N2280" i="45"/>
  <c r="N2820" i="45"/>
  <c r="N3820" i="45"/>
  <c r="N1640" i="45"/>
  <c r="N1740" i="45"/>
  <c r="N2060" i="45"/>
  <c r="N2300" i="45"/>
  <c r="N2240" i="45"/>
  <c r="N2200" i="45"/>
  <c r="N2620" i="45"/>
  <c r="N2980" i="45"/>
  <c r="N3040" i="45"/>
  <c r="N3260" i="45"/>
  <c r="N3340" i="45"/>
  <c r="N3700" i="45"/>
  <c r="N3440" i="45"/>
  <c r="N3460" i="45"/>
  <c r="N3480" i="45"/>
  <c r="N3720" i="45"/>
  <c r="N3520" i="45"/>
  <c r="N3880" i="45"/>
  <c r="N3800" i="45"/>
  <c r="N3840" i="45"/>
  <c r="N3860" i="45"/>
  <c r="N3900" i="45"/>
  <c r="N1880" i="45"/>
  <c r="N1840" i="45"/>
  <c r="C2913" i="45"/>
  <c r="C2893" i="45"/>
  <c r="C2933" i="45"/>
  <c r="C2713" i="45"/>
  <c r="C2733" i="45"/>
  <c r="C2753" i="45"/>
  <c r="C2533" i="45"/>
  <c r="C2553" i="45"/>
  <c r="C2353" i="45"/>
  <c r="C2393" i="45"/>
  <c r="C2373" i="45"/>
  <c r="N3660" i="45" l="1"/>
  <c r="P3660" i="45"/>
  <c r="Q3660" i="45"/>
  <c r="N1900" i="45"/>
  <c r="P1900" i="45"/>
  <c r="N2800" i="45"/>
  <c r="P2800" i="45"/>
  <c r="N3920" i="45"/>
  <c r="P3920" i="45"/>
  <c r="N3740" i="45"/>
  <c r="P3740" i="45"/>
  <c r="N2020" i="45"/>
  <c r="P2020" i="45"/>
  <c r="N2420" i="45"/>
  <c r="P2420" i="45"/>
  <c r="N3360" i="45"/>
  <c r="P3360" i="45"/>
  <c r="N2860" i="45"/>
  <c r="P2860" i="45"/>
  <c r="N3580" i="45"/>
  <c r="P3580" i="45"/>
  <c r="N2780" i="45"/>
  <c r="P2780" i="45"/>
  <c r="N2260" i="45"/>
  <c r="P2260" i="45"/>
  <c r="N3020" i="45"/>
  <c r="P3020" i="45"/>
  <c r="N3280" i="45"/>
  <c r="P3280" i="45"/>
  <c r="N3160" i="45"/>
  <c r="P3160" i="45"/>
  <c r="N2220" i="45"/>
  <c r="P2220" i="45"/>
  <c r="N1700" i="45"/>
  <c r="P1700" i="45"/>
  <c r="N2660" i="45"/>
  <c r="P2660" i="45"/>
  <c r="N1660" i="45"/>
  <c r="P1660" i="45"/>
  <c r="N3960" i="45"/>
  <c r="P3960" i="45"/>
  <c r="N3780" i="45"/>
  <c r="P3780" i="45"/>
  <c r="N3500" i="45"/>
  <c r="P3500" i="45"/>
  <c r="N1760" i="45"/>
  <c r="P1760" i="45"/>
  <c r="N2040" i="45"/>
  <c r="P2040" i="45"/>
  <c r="N3300" i="45"/>
  <c r="P3300" i="45"/>
  <c r="N1560" i="45"/>
  <c r="P1560" i="45"/>
  <c r="N3320" i="45"/>
  <c r="P3320" i="45"/>
  <c r="N3620" i="45"/>
  <c r="P3620" i="45"/>
  <c r="N1720" i="45"/>
  <c r="P1720" i="45"/>
  <c r="N3180" i="45"/>
  <c r="P3180" i="45"/>
  <c r="N3200" i="45"/>
  <c r="P3200" i="45"/>
  <c r="N3080" i="45"/>
  <c r="P3080" i="45"/>
  <c r="N2840" i="45"/>
  <c r="P2840" i="45"/>
  <c r="N1860" i="45"/>
  <c r="P1860" i="45"/>
  <c r="N1380" i="45"/>
  <c r="P1380" i="45"/>
  <c r="N2180" i="45"/>
  <c r="P2180" i="45"/>
  <c r="M2393" i="45"/>
  <c r="Q2390" i="45" s="1"/>
  <c r="M2753" i="45"/>
  <c r="Q2750" i="45" s="1"/>
  <c r="M2713" i="45"/>
  <c r="Q2710" i="45" s="1"/>
  <c r="M2893" i="45"/>
  <c r="Q2890" i="45" s="1"/>
  <c r="M2553" i="45"/>
  <c r="Q2550" i="45" s="1"/>
  <c r="M2373" i="45"/>
  <c r="Q2370" i="45" s="1"/>
  <c r="M2353" i="45"/>
  <c r="Q2350" i="45" s="1"/>
  <c r="M2533" i="45"/>
  <c r="Q2530" i="45" s="1"/>
  <c r="M2733" i="45"/>
  <c r="Q2730" i="45" s="1"/>
  <c r="M2933" i="45"/>
  <c r="Q2930" i="45" s="1"/>
  <c r="M2913" i="45"/>
  <c r="Q2910" i="45" s="1"/>
  <c r="C2934" i="45"/>
  <c r="C2935" i="45" s="1"/>
  <c r="M2935" i="45" s="1"/>
  <c r="C2894" i="45"/>
  <c r="C2895" i="45" s="1"/>
  <c r="M2895" i="45" s="1"/>
  <c r="C2914" i="45"/>
  <c r="C2915" i="45" s="1"/>
  <c r="M2915" i="45" s="1"/>
  <c r="C2754" i="45"/>
  <c r="C2755" i="45" s="1"/>
  <c r="M2755" i="45" s="1"/>
  <c r="C2734" i="45"/>
  <c r="C2735" i="45" s="1"/>
  <c r="M2735" i="45" s="1"/>
  <c r="C2714" i="45"/>
  <c r="C2715" i="45" s="1"/>
  <c r="M2715" i="45" s="1"/>
  <c r="C2554" i="45"/>
  <c r="C2555" i="45" s="1"/>
  <c r="M2555" i="45" s="1"/>
  <c r="C2534" i="45"/>
  <c r="C2535" i="45" s="1"/>
  <c r="M2535" i="45" s="1"/>
  <c r="C2374" i="45"/>
  <c r="C2375" i="45" s="1"/>
  <c r="M2375" i="45" s="1"/>
  <c r="C2394" i="45"/>
  <c r="C2395" i="45" s="1"/>
  <c r="M2395" i="45" s="1"/>
  <c r="C2354" i="45"/>
  <c r="C2355" i="45" s="1"/>
  <c r="M2355" i="45" s="1"/>
  <c r="F1261" i="45"/>
  <c r="F1262" i="45" s="1"/>
  <c r="F1263" i="45" s="1"/>
  <c r="F1264" i="45" s="1"/>
  <c r="F1256" i="45"/>
  <c r="F1257" i="45" s="1"/>
  <c r="F1258" i="45" s="1"/>
  <c r="F1259" i="45" s="1"/>
  <c r="F1251" i="45"/>
  <c r="F1246" i="45"/>
  <c r="F1249" i="45" s="1"/>
  <c r="E1246" i="45"/>
  <c r="D1246" i="45"/>
  <c r="D1249" i="45" s="1"/>
  <c r="D1252" i="45" s="1"/>
  <c r="D1255" i="45" s="1"/>
  <c r="D1258" i="45" s="1"/>
  <c r="D1261" i="45" s="1"/>
  <c r="C1246" i="45"/>
  <c r="C1247" i="45" s="1"/>
  <c r="C1248" i="45" s="1"/>
  <c r="C1249" i="45" s="1"/>
  <c r="C1250" i="45" s="1"/>
  <c r="C1251" i="45" s="1"/>
  <c r="C1252" i="45" s="1"/>
  <c r="C1253" i="45" s="1"/>
  <c r="C1254" i="45" s="1"/>
  <c r="C1255" i="45" s="1"/>
  <c r="C1256" i="45" s="1"/>
  <c r="C1257" i="45" s="1"/>
  <c r="C1258" i="45" s="1"/>
  <c r="C1259" i="45" s="1"/>
  <c r="C1260" i="45" s="1"/>
  <c r="C1261" i="45" s="1"/>
  <c r="C1262" i="45" s="1"/>
  <c r="C1263" i="45" s="1"/>
  <c r="C1264" i="45" s="1"/>
  <c r="B1246" i="45"/>
  <c r="B1249" i="45" s="1"/>
  <c r="B1252" i="45" s="1"/>
  <c r="B1255" i="45" s="1"/>
  <c r="B1258" i="45" s="1"/>
  <c r="B1261" i="45" s="1"/>
  <c r="A1246" i="45"/>
  <c r="A1247" i="45" s="1"/>
  <c r="A1250" i="45" s="1"/>
  <c r="A1253" i="45" s="1"/>
  <c r="A1256" i="45" s="1"/>
  <c r="A1259" i="45" s="1"/>
  <c r="G1245" i="45"/>
  <c r="G1246" i="45" s="1"/>
  <c r="G1247" i="45" s="1"/>
  <c r="G1248" i="45" s="1"/>
  <c r="G1249" i="45" s="1"/>
  <c r="F1241" i="45"/>
  <c r="F1242" i="45" s="1"/>
  <c r="F1243" i="45" s="1"/>
  <c r="F1244" i="45" s="1"/>
  <c r="F1236" i="45"/>
  <c r="F1237" i="45" s="1"/>
  <c r="F1238" i="45" s="1"/>
  <c r="F1239" i="45" s="1"/>
  <c r="F1231" i="45"/>
  <c r="F1234" i="45" s="1"/>
  <c r="F1226" i="45"/>
  <c r="F1229" i="45" s="1"/>
  <c r="E1226" i="45"/>
  <c r="D1226" i="45"/>
  <c r="D1229" i="45" s="1"/>
  <c r="D1232" i="45" s="1"/>
  <c r="D1235" i="45" s="1"/>
  <c r="D1238" i="45" s="1"/>
  <c r="D1241" i="45" s="1"/>
  <c r="C1226" i="45"/>
  <c r="C1227" i="45" s="1"/>
  <c r="C1228" i="45" s="1"/>
  <c r="C1229" i="45" s="1"/>
  <c r="C1230" i="45" s="1"/>
  <c r="C1231" i="45" s="1"/>
  <c r="C1232" i="45" s="1"/>
  <c r="C1233" i="45" s="1"/>
  <c r="C1234" i="45" s="1"/>
  <c r="C1235" i="45" s="1"/>
  <c r="C1236" i="45" s="1"/>
  <c r="C1237" i="45" s="1"/>
  <c r="C1238" i="45" s="1"/>
  <c r="C1239" i="45" s="1"/>
  <c r="C1240" i="45" s="1"/>
  <c r="C1241" i="45" s="1"/>
  <c r="C1242" i="45" s="1"/>
  <c r="C1243" i="45" s="1"/>
  <c r="C1244" i="45" s="1"/>
  <c r="B1226" i="45"/>
  <c r="B1229" i="45" s="1"/>
  <c r="B1232" i="45" s="1"/>
  <c r="B1235" i="45" s="1"/>
  <c r="B1238" i="45" s="1"/>
  <c r="B1241" i="45" s="1"/>
  <c r="A1226" i="45"/>
  <c r="A1229" i="45" s="1"/>
  <c r="A1232" i="45" s="1"/>
  <c r="A1235" i="45" s="1"/>
  <c r="G1225" i="45"/>
  <c r="G1226" i="45" s="1"/>
  <c r="G1227" i="45" s="1"/>
  <c r="G1228" i="45" s="1"/>
  <c r="G1229" i="45" s="1"/>
  <c r="F1221" i="45"/>
  <c r="F1222" i="45" s="1"/>
  <c r="F1223" i="45" s="1"/>
  <c r="F1224" i="45" s="1"/>
  <c r="F1216" i="45"/>
  <c r="F1217" i="45" s="1"/>
  <c r="F1218" i="45" s="1"/>
  <c r="F1219" i="45" s="1"/>
  <c r="F1211" i="45"/>
  <c r="F1206" i="45"/>
  <c r="F1209" i="45" s="1"/>
  <c r="E1206" i="45"/>
  <c r="D1206" i="45"/>
  <c r="D1209" i="45" s="1"/>
  <c r="D1212" i="45" s="1"/>
  <c r="D1215" i="45" s="1"/>
  <c r="D1218" i="45" s="1"/>
  <c r="D1221" i="45" s="1"/>
  <c r="C1206" i="45"/>
  <c r="C1207" i="45" s="1"/>
  <c r="C1208" i="45" s="1"/>
  <c r="C1209" i="45" s="1"/>
  <c r="C1210" i="45" s="1"/>
  <c r="C1211" i="45" s="1"/>
  <c r="C1212" i="45" s="1"/>
  <c r="C1213" i="45" s="1"/>
  <c r="C1214" i="45" s="1"/>
  <c r="C1215" i="45" s="1"/>
  <c r="C1216" i="45" s="1"/>
  <c r="C1217" i="45" s="1"/>
  <c r="C1218" i="45" s="1"/>
  <c r="C1219" i="45" s="1"/>
  <c r="C1220" i="45" s="1"/>
  <c r="C1221" i="45" s="1"/>
  <c r="C1222" i="45" s="1"/>
  <c r="C1223" i="45" s="1"/>
  <c r="C1224" i="45" s="1"/>
  <c r="B1206" i="45"/>
  <c r="B1209" i="45" s="1"/>
  <c r="B1212" i="45" s="1"/>
  <c r="B1215" i="45" s="1"/>
  <c r="B1218" i="45" s="1"/>
  <c r="B1221" i="45" s="1"/>
  <c r="A1206" i="45"/>
  <c r="G1205" i="45"/>
  <c r="G1206" i="45" s="1"/>
  <c r="G1207" i="45" s="1"/>
  <c r="G1208" i="45" s="1"/>
  <c r="G1209" i="45" s="1"/>
  <c r="F1201" i="45"/>
  <c r="F1202" i="45" s="1"/>
  <c r="F1203" i="45" s="1"/>
  <c r="F1204" i="45" s="1"/>
  <c r="F1196" i="45"/>
  <c r="F1197" i="45" s="1"/>
  <c r="F1198" i="45" s="1"/>
  <c r="F1199" i="45" s="1"/>
  <c r="F1191" i="45"/>
  <c r="F1194" i="45" s="1"/>
  <c r="F1186" i="45"/>
  <c r="F1187" i="45" s="1"/>
  <c r="F1188" i="45" s="1"/>
  <c r="E1186" i="45"/>
  <c r="D1186" i="45"/>
  <c r="D1189" i="45" s="1"/>
  <c r="D1192" i="45" s="1"/>
  <c r="D1195" i="45" s="1"/>
  <c r="D1198" i="45" s="1"/>
  <c r="D1201" i="45" s="1"/>
  <c r="C1186" i="45"/>
  <c r="C1187" i="45" s="1"/>
  <c r="C1188" i="45" s="1"/>
  <c r="C1189" i="45" s="1"/>
  <c r="C1190" i="45" s="1"/>
  <c r="C1191" i="45" s="1"/>
  <c r="C1192" i="45" s="1"/>
  <c r="C1193" i="45" s="1"/>
  <c r="C1194" i="45" s="1"/>
  <c r="C1195" i="45" s="1"/>
  <c r="C1196" i="45" s="1"/>
  <c r="C1197" i="45" s="1"/>
  <c r="C1198" i="45" s="1"/>
  <c r="C1199" i="45" s="1"/>
  <c r="C1200" i="45" s="1"/>
  <c r="C1201" i="45" s="1"/>
  <c r="C1202" i="45" s="1"/>
  <c r="C1203" i="45" s="1"/>
  <c r="C1204" i="45" s="1"/>
  <c r="B1186" i="45"/>
  <c r="B1189" i="45" s="1"/>
  <c r="B1192" i="45" s="1"/>
  <c r="B1195" i="45" s="1"/>
  <c r="B1198" i="45" s="1"/>
  <c r="B1201" i="45" s="1"/>
  <c r="A1186" i="45"/>
  <c r="A1189" i="45" s="1"/>
  <c r="A1192" i="45" s="1"/>
  <c r="A1195" i="45" s="1"/>
  <c r="G1185" i="45"/>
  <c r="G1186" i="45" s="1"/>
  <c r="G1187" i="45" s="1"/>
  <c r="G1188" i="45" s="1"/>
  <c r="G1189" i="45" s="1"/>
  <c r="F1181" i="45"/>
  <c r="F1182" i="45" s="1"/>
  <c r="F1183" i="45" s="1"/>
  <c r="F1184" i="45" s="1"/>
  <c r="F1176" i="45"/>
  <c r="F1177" i="45" s="1"/>
  <c r="F1178" i="45" s="1"/>
  <c r="F1179" i="45" s="1"/>
  <c r="F1171" i="45"/>
  <c r="F1174" i="45" s="1"/>
  <c r="F1166" i="45"/>
  <c r="F1169" i="45" s="1"/>
  <c r="E1166" i="45"/>
  <c r="D1166" i="45"/>
  <c r="D1169" i="45" s="1"/>
  <c r="D1172" i="45" s="1"/>
  <c r="D1175" i="45" s="1"/>
  <c r="D1178" i="45" s="1"/>
  <c r="D1181" i="45" s="1"/>
  <c r="C1166" i="45"/>
  <c r="C1167" i="45" s="1"/>
  <c r="C1168" i="45" s="1"/>
  <c r="C1169" i="45" s="1"/>
  <c r="C1170" i="45" s="1"/>
  <c r="C1171" i="45" s="1"/>
  <c r="C1172" i="45" s="1"/>
  <c r="C1173" i="45" s="1"/>
  <c r="C1174" i="45" s="1"/>
  <c r="C1175" i="45" s="1"/>
  <c r="C1176" i="45" s="1"/>
  <c r="C1177" i="45" s="1"/>
  <c r="C1178" i="45" s="1"/>
  <c r="C1179" i="45" s="1"/>
  <c r="C1180" i="45" s="1"/>
  <c r="C1181" i="45" s="1"/>
  <c r="C1182" i="45" s="1"/>
  <c r="C1183" i="45" s="1"/>
  <c r="C1184" i="45" s="1"/>
  <c r="B1166" i="45"/>
  <c r="B1169" i="45" s="1"/>
  <c r="B1172" i="45" s="1"/>
  <c r="B1175" i="45" s="1"/>
  <c r="B1178" i="45" s="1"/>
  <c r="B1181" i="45" s="1"/>
  <c r="A1166" i="45"/>
  <c r="A1167" i="45" s="1"/>
  <c r="A1170" i="45" s="1"/>
  <c r="A1173" i="45" s="1"/>
  <c r="A1176" i="45" s="1"/>
  <c r="A1179" i="45" s="1"/>
  <c r="G1165" i="45"/>
  <c r="G1166" i="45" s="1"/>
  <c r="G1167" i="45" s="1"/>
  <c r="G1168" i="45" s="1"/>
  <c r="G1169" i="45" s="1"/>
  <c r="F1161" i="45"/>
  <c r="F1162" i="45" s="1"/>
  <c r="F1163" i="45" s="1"/>
  <c r="F1164" i="45" s="1"/>
  <c r="F1156" i="45"/>
  <c r="F1157" i="45" s="1"/>
  <c r="F1158" i="45" s="1"/>
  <c r="F1159" i="45" s="1"/>
  <c r="F1151" i="45"/>
  <c r="F1154" i="45" s="1"/>
  <c r="A1149" i="45"/>
  <c r="A1152" i="45" s="1"/>
  <c r="A1155" i="45" s="1"/>
  <c r="A1158" i="45" s="1"/>
  <c r="A1161" i="45" s="1"/>
  <c r="A1147" i="45"/>
  <c r="A1148" i="45" s="1"/>
  <c r="A1151" i="45" s="1"/>
  <c r="A1154" i="45" s="1"/>
  <c r="A1157" i="45" s="1"/>
  <c r="A1160" i="45" s="1"/>
  <c r="F1146" i="45"/>
  <c r="F1149" i="45" s="1"/>
  <c r="E1146" i="45"/>
  <c r="D1146" i="45"/>
  <c r="D1147" i="45" s="1"/>
  <c r="C1146" i="45"/>
  <c r="C1147" i="45" s="1"/>
  <c r="C1148" i="45" s="1"/>
  <c r="C1149" i="45" s="1"/>
  <c r="C1150" i="45" s="1"/>
  <c r="C1151" i="45" s="1"/>
  <c r="C1152" i="45" s="1"/>
  <c r="C1153" i="45" s="1"/>
  <c r="C1154" i="45" s="1"/>
  <c r="C1155" i="45" s="1"/>
  <c r="C1156" i="45" s="1"/>
  <c r="C1157" i="45" s="1"/>
  <c r="C1158" i="45" s="1"/>
  <c r="C1159" i="45" s="1"/>
  <c r="C1160" i="45" s="1"/>
  <c r="C1161" i="45" s="1"/>
  <c r="C1162" i="45" s="1"/>
  <c r="C1163" i="45" s="1"/>
  <c r="C1164" i="45" s="1"/>
  <c r="B1146" i="45"/>
  <c r="B1149" i="45" s="1"/>
  <c r="B1152" i="45" s="1"/>
  <c r="B1155" i="45" s="1"/>
  <c r="B1158" i="45" s="1"/>
  <c r="B1161" i="45" s="1"/>
  <c r="G1145" i="45"/>
  <c r="G1146" i="45" s="1"/>
  <c r="G1147" i="45" s="1"/>
  <c r="G1148" i="45" s="1"/>
  <c r="G1149" i="45" s="1"/>
  <c r="F1141" i="45"/>
  <c r="F1142" i="45" s="1"/>
  <c r="F1143" i="45" s="1"/>
  <c r="F1144" i="45" s="1"/>
  <c r="F1136" i="45"/>
  <c r="F1137" i="45" s="1"/>
  <c r="F1138" i="45" s="1"/>
  <c r="F1139" i="45" s="1"/>
  <c r="F1131" i="45"/>
  <c r="F1134" i="45" s="1"/>
  <c r="F1126" i="45"/>
  <c r="F1127" i="45" s="1"/>
  <c r="F1128" i="45" s="1"/>
  <c r="E1126" i="45"/>
  <c r="D1126" i="45"/>
  <c r="D1129" i="45" s="1"/>
  <c r="D1132" i="45" s="1"/>
  <c r="D1135" i="45" s="1"/>
  <c r="D1138" i="45" s="1"/>
  <c r="D1141" i="45" s="1"/>
  <c r="B1126" i="45"/>
  <c r="B1129" i="45" s="1"/>
  <c r="B1132" i="45" s="1"/>
  <c r="B1135" i="45" s="1"/>
  <c r="B1138" i="45" s="1"/>
  <c r="B1141" i="45" s="1"/>
  <c r="A1126" i="45"/>
  <c r="A1129" i="45" s="1"/>
  <c r="A1132" i="45" s="1"/>
  <c r="A1135" i="45" s="1"/>
  <c r="A1138" i="45" s="1"/>
  <c r="A1141" i="45" s="1"/>
  <c r="G1125" i="45"/>
  <c r="G1126" i="45" s="1"/>
  <c r="G1127" i="45" s="1"/>
  <c r="G1128" i="45" s="1"/>
  <c r="G1129" i="45" s="1"/>
  <c r="C1125" i="45"/>
  <c r="M1125" i="45" s="1"/>
  <c r="F1121" i="45"/>
  <c r="F1122" i="45" s="1"/>
  <c r="F1123" i="45" s="1"/>
  <c r="F1124" i="45" s="1"/>
  <c r="F1116" i="45"/>
  <c r="F1117" i="45" s="1"/>
  <c r="F1118" i="45" s="1"/>
  <c r="F1119" i="45" s="1"/>
  <c r="F1111" i="45"/>
  <c r="F1114" i="45" s="1"/>
  <c r="F1106" i="45"/>
  <c r="F1109" i="45" s="1"/>
  <c r="E1106" i="45"/>
  <c r="D1106" i="45"/>
  <c r="D1109" i="45" s="1"/>
  <c r="D1112" i="45" s="1"/>
  <c r="D1115" i="45" s="1"/>
  <c r="D1118" i="45" s="1"/>
  <c r="D1121" i="45" s="1"/>
  <c r="B1106" i="45"/>
  <c r="B1109" i="45" s="1"/>
  <c r="B1112" i="45" s="1"/>
  <c r="B1115" i="45" s="1"/>
  <c r="B1118" i="45" s="1"/>
  <c r="B1121" i="45" s="1"/>
  <c r="A1106" i="45"/>
  <c r="A1109" i="45" s="1"/>
  <c r="A1112" i="45" s="1"/>
  <c r="A1115" i="45" s="1"/>
  <c r="G1105" i="45"/>
  <c r="G1106" i="45" s="1"/>
  <c r="G1107" i="45" s="1"/>
  <c r="G1108" i="45" s="1"/>
  <c r="G1109" i="45" s="1"/>
  <c r="C1105" i="45"/>
  <c r="M1105" i="45" s="1"/>
  <c r="F1101" i="45"/>
  <c r="F1102" i="45" s="1"/>
  <c r="F1103" i="45" s="1"/>
  <c r="F1104" i="45" s="1"/>
  <c r="F1096" i="45"/>
  <c r="F1097" i="45" s="1"/>
  <c r="F1098" i="45" s="1"/>
  <c r="F1099" i="45" s="1"/>
  <c r="F1091" i="45"/>
  <c r="F1094" i="45" s="1"/>
  <c r="F1086" i="45"/>
  <c r="F1089" i="45" s="1"/>
  <c r="E1086" i="45"/>
  <c r="D1086" i="45"/>
  <c r="D1089" i="45" s="1"/>
  <c r="D1092" i="45" s="1"/>
  <c r="D1095" i="45" s="1"/>
  <c r="D1098" i="45" s="1"/>
  <c r="D1101" i="45" s="1"/>
  <c r="B1086" i="45"/>
  <c r="B1089" i="45" s="1"/>
  <c r="B1092" i="45" s="1"/>
  <c r="B1095" i="45" s="1"/>
  <c r="B1098" i="45" s="1"/>
  <c r="B1101" i="45" s="1"/>
  <c r="A1086" i="45"/>
  <c r="A1089" i="45" s="1"/>
  <c r="A1092" i="45" s="1"/>
  <c r="A1095" i="45" s="1"/>
  <c r="G1085" i="45"/>
  <c r="G1086" i="45" s="1"/>
  <c r="G1087" i="45" s="1"/>
  <c r="G1088" i="45" s="1"/>
  <c r="G1089" i="45" s="1"/>
  <c r="C1085" i="45"/>
  <c r="M1085" i="45" s="1"/>
  <c r="F1081" i="45"/>
  <c r="F1082" i="45" s="1"/>
  <c r="F1083" i="45" s="1"/>
  <c r="F1084" i="45" s="1"/>
  <c r="F1076" i="45"/>
  <c r="F1077" i="45" s="1"/>
  <c r="F1078" i="45" s="1"/>
  <c r="F1079" i="45" s="1"/>
  <c r="F1071" i="45"/>
  <c r="F1066" i="45"/>
  <c r="F1069" i="45" s="1"/>
  <c r="E1066" i="45"/>
  <c r="D1066" i="45"/>
  <c r="D1069" i="45" s="1"/>
  <c r="D1072" i="45" s="1"/>
  <c r="D1075" i="45" s="1"/>
  <c r="D1078" i="45" s="1"/>
  <c r="D1081" i="45" s="1"/>
  <c r="C1066" i="45"/>
  <c r="C1067" i="45" s="1"/>
  <c r="C1068" i="45" s="1"/>
  <c r="C1069" i="45" s="1"/>
  <c r="C1070" i="45" s="1"/>
  <c r="C1071" i="45" s="1"/>
  <c r="C1072" i="45" s="1"/>
  <c r="C1073" i="45" s="1"/>
  <c r="C1074" i="45" s="1"/>
  <c r="C1075" i="45" s="1"/>
  <c r="C1076" i="45" s="1"/>
  <c r="C1077" i="45" s="1"/>
  <c r="C1078" i="45" s="1"/>
  <c r="C1079" i="45" s="1"/>
  <c r="C1080" i="45" s="1"/>
  <c r="C1081" i="45" s="1"/>
  <c r="C1082" i="45" s="1"/>
  <c r="C1083" i="45" s="1"/>
  <c r="C1084" i="45" s="1"/>
  <c r="B1066" i="45"/>
  <c r="B1069" i="45" s="1"/>
  <c r="B1072" i="45" s="1"/>
  <c r="B1075" i="45" s="1"/>
  <c r="B1078" i="45" s="1"/>
  <c r="B1081" i="45" s="1"/>
  <c r="A1066" i="45"/>
  <c r="A1067" i="45" s="1"/>
  <c r="G1065" i="45"/>
  <c r="G1066" i="45" s="1"/>
  <c r="G1067" i="45" s="1"/>
  <c r="G1068" i="45" s="1"/>
  <c r="G1069" i="45" s="1"/>
  <c r="F1061" i="45"/>
  <c r="F1062" i="45" s="1"/>
  <c r="F1063" i="45" s="1"/>
  <c r="F1064" i="45" s="1"/>
  <c r="F1056" i="45"/>
  <c r="F1057" i="45" s="1"/>
  <c r="F1058" i="45" s="1"/>
  <c r="F1059" i="45" s="1"/>
  <c r="F1051" i="45"/>
  <c r="F1052" i="45" s="1"/>
  <c r="F1053" i="45" s="1"/>
  <c r="F1046" i="45"/>
  <c r="F1049" i="45" s="1"/>
  <c r="E1046" i="45"/>
  <c r="D1046" i="45"/>
  <c r="D1049" i="45" s="1"/>
  <c r="D1052" i="45" s="1"/>
  <c r="D1055" i="45" s="1"/>
  <c r="D1058" i="45" s="1"/>
  <c r="D1061" i="45" s="1"/>
  <c r="C1046" i="45"/>
  <c r="C1047" i="45" s="1"/>
  <c r="C1048" i="45" s="1"/>
  <c r="C1049" i="45" s="1"/>
  <c r="C1050" i="45" s="1"/>
  <c r="C1051" i="45" s="1"/>
  <c r="C1052" i="45" s="1"/>
  <c r="C1053" i="45" s="1"/>
  <c r="C1054" i="45" s="1"/>
  <c r="C1055" i="45" s="1"/>
  <c r="C1056" i="45" s="1"/>
  <c r="C1057" i="45" s="1"/>
  <c r="C1058" i="45" s="1"/>
  <c r="C1059" i="45" s="1"/>
  <c r="C1060" i="45" s="1"/>
  <c r="C1061" i="45" s="1"/>
  <c r="C1062" i="45" s="1"/>
  <c r="C1063" i="45" s="1"/>
  <c r="C1064" i="45" s="1"/>
  <c r="B1046" i="45"/>
  <c r="B1049" i="45" s="1"/>
  <c r="B1052" i="45" s="1"/>
  <c r="B1055" i="45" s="1"/>
  <c r="B1058" i="45" s="1"/>
  <c r="B1061" i="45" s="1"/>
  <c r="A1046" i="45"/>
  <c r="G1045" i="45"/>
  <c r="G1046" i="45" s="1"/>
  <c r="G1047" i="45" s="1"/>
  <c r="G1048" i="45" s="1"/>
  <c r="G1049" i="45" s="1"/>
  <c r="F1041" i="45"/>
  <c r="F1042" i="45" s="1"/>
  <c r="F1043" i="45" s="1"/>
  <c r="F1044" i="45" s="1"/>
  <c r="F1036" i="45"/>
  <c r="F1037" i="45" s="1"/>
  <c r="F1038" i="45" s="1"/>
  <c r="F1039" i="45" s="1"/>
  <c r="F1031" i="45"/>
  <c r="F1026" i="45"/>
  <c r="F1029" i="45" s="1"/>
  <c r="E1026" i="45"/>
  <c r="D1026" i="45"/>
  <c r="D1029" i="45" s="1"/>
  <c r="D1032" i="45" s="1"/>
  <c r="D1035" i="45" s="1"/>
  <c r="D1038" i="45" s="1"/>
  <c r="D1041" i="45" s="1"/>
  <c r="C1026" i="45"/>
  <c r="C1027" i="45" s="1"/>
  <c r="C1028" i="45" s="1"/>
  <c r="C1029" i="45" s="1"/>
  <c r="C1030" i="45" s="1"/>
  <c r="C1031" i="45" s="1"/>
  <c r="C1032" i="45" s="1"/>
  <c r="C1033" i="45" s="1"/>
  <c r="C1034" i="45" s="1"/>
  <c r="C1035" i="45" s="1"/>
  <c r="C1036" i="45" s="1"/>
  <c r="C1037" i="45" s="1"/>
  <c r="C1038" i="45" s="1"/>
  <c r="C1039" i="45" s="1"/>
  <c r="C1040" i="45" s="1"/>
  <c r="C1041" i="45" s="1"/>
  <c r="C1042" i="45" s="1"/>
  <c r="C1043" i="45" s="1"/>
  <c r="C1044" i="45" s="1"/>
  <c r="B1026" i="45"/>
  <c r="B1029" i="45" s="1"/>
  <c r="B1032" i="45" s="1"/>
  <c r="B1035" i="45" s="1"/>
  <c r="B1038" i="45" s="1"/>
  <c r="B1041" i="45" s="1"/>
  <c r="A1026" i="45"/>
  <c r="A1029" i="45" s="1"/>
  <c r="A1032" i="45" s="1"/>
  <c r="A1035" i="45" s="1"/>
  <c r="G1025" i="45"/>
  <c r="G1026" i="45" s="1"/>
  <c r="G1027" i="45" s="1"/>
  <c r="G1028" i="45" s="1"/>
  <c r="G1029" i="45" s="1"/>
  <c r="F1021" i="45"/>
  <c r="F1022" i="45" s="1"/>
  <c r="F1023" i="45" s="1"/>
  <c r="F1024" i="45" s="1"/>
  <c r="F1016" i="45"/>
  <c r="F1017" i="45" s="1"/>
  <c r="F1018" i="45" s="1"/>
  <c r="F1019" i="45" s="1"/>
  <c r="F1011" i="45"/>
  <c r="F1014" i="45" s="1"/>
  <c r="F1006" i="45"/>
  <c r="F1009" i="45" s="1"/>
  <c r="E1006" i="45"/>
  <c r="D1006" i="45"/>
  <c r="D1009" i="45" s="1"/>
  <c r="D1012" i="45" s="1"/>
  <c r="D1015" i="45" s="1"/>
  <c r="D1018" i="45" s="1"/>
  <c r="D1021" i="45" s="1"/>
  <c r="C1006" i="45"/>
  <c r="C1007" i="45" s="1"/>
  <c r="C1008" i="45" s="1"/>
  <c r="C1009" i="45" s="1"/>
  <c r="C1010" i="45" s="1"/>
  <c r="C1011" i="45" s="1"/>
  <c r="C1012" i="45" s="1"/>
  <c r="C1013" i="45" s="1"/>
  <c r="C1014" i="45" s="1"/>
  <c r="C1015" i="45" s="1"/>
  <c r="C1016" i="45" s="1"/>
  <c r="C1017" i="45" s="1"/>
  <c r="C1018" i="45" s="1"/>
  <c r="C1019" i="45" s="1"/>
  <c r="C1020" i="45" s="1"/>
  <c r="C1021" i="45" s="1"/>
  <c r="C1022" i="45" s="1"/>
  <c r="C1023" i="45" s="1"/>
  <c r="C1024" i="45" s="1"/>
  <c r="B1006" i="45"/>
  <c r="B1009" i="45" s="1"/>
  <c r="B1012" i="45" s="1"/>
  <c r="B1015" i="45" s="1"/>
  <c r="B1018" i="45" s="1"/>
  <c r="B1021" i="45" s="1"/>
  <c r="A1006" i="45"/>
  <c r="A1009" i="45" s="1"/>
  <c r="A1012" i="45" s="1"/>
  <c r="A1015" i="45" s="1"/>
  <c r="G1005" i="45"/>
  <c r="G1006" i="45" s="1"/>
  <c r="G1007" i="45" s="1"/>
  <c r="G1008" i="45" s="1"/>
  <c r="G1009" i="45" s="1"/>
  <c r="F1001" i="45"/>
  <c r="F1002" i="45" s="1"/>
  <c r="F1003" i="45" s="1"/>
  <c r="F1004" i="45" s="1"/>
  <c r="F996" i="45"/>
  <c r="F997" i="45" s="1"/>
  <c r="F998" i="45" s="1"/>
  <c r="F999" i="45" s="1"/>
  <c r="F991" i="45"/>
  <c r="F994" i="45" s="1"/>
  <c r="F986" i="45"/>
  <c r="F989" i="45" s="1"/>
  <c r="E986" i="45"/>
  <c r="D986" i="45"/>
  <c r="D989" i="45" s="1"/>
  <c r="D992" i="45" s="1"/>
  <c r="D995" i="45" s="1"/>
  <c r="D998" i="45" s="1"/>
  <c r="D1001" i="45" s="1"/>
  <c r="C986" i="45"/>
  <c r="C987" i="45" s="1"/>
  <c r="C988" i="45" s="1"/>
  <c r="C989" i="45" s="1"/>
  <c r="C990" i="45" s="1"/>
  <c r="C991" i="45" s="1"/>
  <c r="C992" i="45" s="1"/>
  <c r="C993" i="45" s="1"/>
  <c r="C994" i="45" s="1"/>
  <c r="C995" i="45" s="1"/>
  <c r="C996" i="45" s="1"/>
  <c r="C997" i="45" s="1"/>
  <c r="C998" i="45" s="1"/>
  <c r="C999" i="45" s="1"/>
  <c r="C1000" i="45" s="1"/>
  <c r="C1001" i="45" s="1"/>
  <c r="C1002" i="45" s="1"/>
  <c r="C1003" i="45" s="1"/>
  <c r="C1004" i="45" s="1"/>
  <c r="B986" i="45"/>
  <c r="B989" i="45" s="1"/>
  <c r="B992" i="45" s="1"/>
  <c r="B995" i="45" s="1"/>
  <c r="B998" i="45" s="1"/>
  <c r="B1001" i="45" s="1"/>
  <c r="A986" i="45"/>
  <c r="A989" i="45" s="1"/>
  <c r="A992" i="45" s="1"/>
  <c r="A995" i="45" s="1"/>
  <c r="G985" i="45"/>
  <c r="G986" i="45" s="1"/>
  <c r="G987" i="45" s="1"/>
  <c r="G988" i="45" s="1"/>
  <c r="G989" i="45" s="1"/>
  <c r="F981" i="45"/>
  <c r="F982" i="45" s="1"/>
  <c r="F983" i="45" s="1"/>
  <c r="F984" i="45" s="1"/>
  <c r="F976" i="45"/>
  <c r="F977" i="45" s="1"/>
  <c r="F978" i="45" s="1"/>
  <c r="F979" i="45" s="1"/>
  <c r="F971" i="45"/>
  <c r="F974" i="45" s="1"/>
  <c r="F966" i="45"/>
  <c r="F969" i="45" s="1"/>
  <c r="E966" i="45"/>
  <c r="D966" i="45"/>
  <c r="D969" i="45" s="1"/>
  <c r="D972" i="45" s="1"/>
  <c r="D975" i="45" s="1"/>
  <c r="D978" i="45" s="1"/>
  <c r="D981" i="45" s="1"/>
  <c r="C966" i="45"/>
  <c r="C967" i="45" s="1"/>
  <c r="C968" i="45" s="1"/>
  <c r="C969" i="45" s="1"/>
  <c r="C970" i="45" s="1"/>
  <c r="C971" i="45" s="1"/>
  <c r="C972" i="45" s="1"/>
  <c r="C973" i="45" s="1"/>
  <c r="C974" i="45" s="1"/>
  <c r="C975" i="45" s="1"/>
  <c r="C976" i="45" s="1"/>
  <c r="C977" i="45" s="1"/>
  <c r="C978" i="45" s="1"/>
  <c r="C979" i="45" s="1"/>
  <c r="C980" i="45" s="1"/>
  <c r="C981" i="45" s="1"/>
  <c r="C982" i="45" s="1"/>
  <c r="C983" i="45" s="1"/>
  <c r="C984" i="45" s="1"/>
  <c r="B966" i="45"/>
  <c r="B969" i="45" s="1"/>
  <c r="B972" i="45" s="1"/>
  <c r="B975" i="45" s="1"/>
  <c r="B978" i="45" s="1"/>
  <c r="B981" i="45" s="1"/>
  <c r="A969" i="45"/>
  <c r="A972" i="45" s="1"/>
  <c r="A975" i="45" s="1"/>
  <c r="G965" i="45"/>
  <c r="G966" i="45" s="1"/>
  <c r="G967" i="45" s="1"/>
  <c r="G968" i="45" s="1"/>
  <c r="G969" i="45" s="1"/>
  <c r="F961" i="45"/>
  <c r="F962" i="45" s="1"/>
  <c r="F963" i="45" s="1"/>
  <c r="F964" i="45" s="1"/>
  <c r="F956" i="45"/>
  <c r="F957" i="45" s="1"/>
  <c r="F958" i="45" s="1"/>
  <c r="F959" i="45" s="1"/>
  <c r="F951" i="45"/>
  <c r="F954" i="45" s="1"/>
  <c r="F946" i="45"/>
  <c r="F949" i="45" s="1"/>
  <c r="E946" i="45"/>
  <c r="D946" i="45"/>
  <c r="D949" i="45" s="1"/>
  <c r="D952" i="45" s="1"/>
  <c r="D955" i="45" s="1"/>
  <c r="D958" i="45" s="1"/>
  <c r="D961" i="45" s="1"/>
  <c r="B946" i="45"/>
  <c r="B949" i="45" s="1"/>
  <c r="B952" i="45" s="1"/>
  <c r="B955" i="45" s="1"/>
  <c r="B958" i="45" s="1"/>
  <c r="B961" i="45" s="1"/>
  <c r="A946" i="45"/>
  <c r="A949" i="45" s="1"/>
  <c r="A952" i="45" s="1"/>
  <c r="A955" i="45" s="1"/>
  <c r="G945" i="45"/>
  <c r="G946" i="45" s="1"/>
  <c r="G947" i="45" s="1"/>
  <c r="G948" i="45" s="1"/>
  <c r="G949" i="45" s="1"/>
  <c r="C945" i="45"/>
  <c r="M945" i="45" s="1"/>
  <c r="F941" i="45"/>
  <c r="F942" i="45" s="1"/>
  <c r="F943" i="45" s="1"/>
  <c r="F944" i="45" s="1"/>
  <c r="F936" i="45"/>
  <c r="F937" i="45" s="1"/>
  <c r="F938" i="45" s="1"/>
  <c r="F939" i="45" s="1"/>
  <c r="F931" i="45"/>
  <c r="F934" i="45" s="1"/>
  <c r="F926" i="45"/>
  <c r="F929" i="45" s="1"/>
  <c r="E926" i="45"/>
  <c r="D926" i="45"/>
  <c r="D929" i="45" s="1"/>
  <c r="D932" i="45" s="1"/>
  <c r="D935" i="45" s="1"/>
  <c r="D938" i="45" s="1"/>
  <c r="D941" i="45" s="1"/>
  <c r="B926" i="45"/>
  <c r="B929" i="45" s="1"/>
  <c r="B932" i="45" s="1"/>
  <c r="B935" i="45" s="1"/>
  <c r="B938" i="45" s="1"/>
  <c r="B941" i="45" s="1"/>
  <c r="A926" i="45"/>
  <c r="A929" i="45" s="1"/>
  <c r="A932" i="45" s="1"/>
  <c r="A935" i="45" s="1"/>
  <c r="G925" i="45"/>
  <c r="G926" i="45" s="1"/>
  <c r="G927" i="45" s="1"/>
  <c r="G928" i="45" s="1"/>
  <c r="G929" i="45" s="1"/>
  <c r="C925" i="45"/>
  <c r="M925" i="45" s="1"/>
  <c r="F921" i="45"/>
  <c r="F922" i="45" s="1"/>
  <c r="F923" i="45" s="1"/>
  <c r="F924" i="45" s="1"/>
  <c r="F916" i="45"/>
  <c r="F917" i="45" s="1"/>
  <c r="F918" i="45" s="1"/>
  <c r="F919" i="45" s="1"/>
  <c r="F911" i="45"/>
  <c r="F914" i="45" s="1"/>
  <c r="F906" i="45"/>
  <c r="F909" i="45" s="1"/>
  <c r="E906" i="45"/>
  <c r="D906" i="45"/>
  <c r="D909" i="45" s="1"/>
  <c r="D912" i="45" s="1"/>
  <c r="D915" i="45" s="1"/>
  <c r="D918" i="45" s="1"/>
  <c r="D921" i="45" s="1"/>
  <c r="B906" i="45"/>
  <c r="B907" i="45" s="1"/>
  <c r="A906" i="45"/>
  <c r="A909" i="45" s="1"/>
  <c r="A912" i="45" s="1"/>
  <c r="A915" i="45" s="1"/>
  <c r="G905" i="45"/>
  <c r="G906" i="45" s="1"/>
  <c r="G907" i="45" s="1"/>
  <c r="G908" i="45" s="1"/>
  <c r="G909" i="45" s="1"/>
  <c r="C905" i="45"/>
  <c r="M905" i="45" s="1"/>
  <c r="N2930" i="45" l="1"/>
  <c r="P2930" i="45"/>
  <c r="N2530" i="45"/>
  <c r="P2530" i="45"/>
  <c r="N2370" i="45"/>
  <c r="P2370" i="45"/>
  <c r="N2890" i="45"/>
  <c r="P2890" i="45"/>
  <c r="N2750" i="45"/>
  <c r="P2750" i="45"/>
  <c r="N2910" i="45"/>
  <c r="P2910" i="45"/>
  <c r="N2730" i="45"/>
  <c r="P2730" i="45"/>
  <c r="N2350" i="45"/>
  <c r="P2350" i="45"/>
  <c r="N2550" i="45"/>
  <c r="P2550" i="45"/>
  <c r="N2710" i="45"/>
  <c r="P2710" i="45"/>
  <c r="N2390" i="45"/>
  <c r="P2390" i="45"/>
  <c r="M1146" i="45"/>
  <c r="M1166" i="45"/>
  <c r="M1186" i="45"/>
  <c r="M1206" i="45"/>
  <c r="M1226" i="45"/>
  <c r="M1246" i="45"/>
  <c r="M966" i="45"/>
  <c r="M986" i="45"/>
  <c r="M1006" i="45"/>
  <c r="M1026" i="45"/>
  <c r="M1046" i="45"/>
  <c r="M1066" i="45"/>
  <c r="C906" i="45"/>
  <c r="C907" i="45" s="1"/>
  <c r="C908" i="45" s="1"/>
  <c r="C909" i="45" s="1"/>
  <c r="C910" i="45" s="1"/>
  <c r="C911" i="45" s="1"/>
  <c r="C912" i="45" s="1"/>
  <c r="C913" i="45" s="1"/>
  <c r="C914" i="45" s="1"/>
  <c r="C915" i="45" s="1"/>
  <c r="C916" i="45" s="1"/>
  <c r="C917" i="45" s="1"/>
  <c r="C918" i="45" s="1"/>
  <c r="C919" i="45" s="1"/>
  <c r="C920" i="45" s="1"/>
  <c r="C921" i="45" s="1"/>
  <c r="C922" i="45" s="1"/>
  <c r="C923" i="45" s="1"/>
  <c r="C924" i="45" s="1"/>
  <c r="C926" i="45"/>
  <c r="C927" i="45" s="1"/>
  <c r="C928" i="45" s="1"/>
  <c r="C929" i="45" s="1"/>
  <c r="C930" i="45" s="1"/>
  <c r="C931" i="45" s="1"/>
  <c r="C932" i="45" s="1"/>
  <c r="C933" i="45" s="1"/>
  <c r="C934" i="45" s="1"/>
  <c r="C935" i="45" s="1"/>
  <c r="C936" i="45" s="1"/>
  <c r="C937" i="45" s="1"/>
  <c r="C938" i="45" s="1"/>
  <c r="C939" i="45" s="1"/>
  <c r="C940" i="45" s="1"/>
  <c r="C941" i="45" s="1"/>
  <c r="C942" i="45" s="1"/>
  <c r="C943" i="45" s="1"/>
  <c r="C944" i="45" s="1"/>
  <c r="C946" i="45"/>
  <c r="C947" i="45" s="1"/>
  <c r="C948" i="45" s="1"/>
  <c r="C949" i="45" s="1"/>
  <c r="C950" i="45" s="1"/>
  <c r="C951" i="45" s="1"/>
  <c r="C952" i="45" s="1"/>
  <c r="C953" i="45" s="1"/>
  <c r="C954" i="45" s="1"/>
  <c r="C955" i="45" s="1"/>
  <c r="C956" i="45" s="1"/>
  <c r="C957" i="45" s="1"/>
  <c r="C958" i="45" s="1"/>
  <c r="C959" i="45" s="1"/>
  <c r="C960" i="45" s="1"/>
  <c r="C961" i="45" s="1"/>
  <c r="C962" i="45" s="1"/>
  <c r="C963" i="45" s="1"/>
  <c r="C964" i="45" s="1"/>
  <c r="E909" i="45"/>
  <c r="E912" i="45" s="1"/>
  <c r="E929" i="45"/>
  <c r="E932" i="45" s="1"/>
  <c r="E949" i="45"/>
  <c r="E952" i="45" s="1"/>
  <c r="E969" i="45"/>
  <c r="E972" i="45" s="1"/>
  <c r="M972" i="45" s="1"/>
  <c r="E989" i="45"/>
  <c r="E992" i="45" s="1"/>
  <c r="M992" i="45" s="1"/>
  <c r="E1009" i="45"/>
  <c r="E1012" i="45" s="1"/>
  <c r="M1012" i="45" s="1"/>
  <c r="E1029" i="45"/>
  <c r="E1032" i="45" s="1"/>
  <c r="M1032" i="45" s="1"/>
  <c r="E1067" i="45"/>
  <c r="M1067" i="45" s="1"/>
  <c r="C1086" i="45"/>
  <c r="C1087" i="45" s="1"/>
  <c r="C1088" i="45" s="1"/>
  <c r="C1089" i="45" s="1"/>
  <c r="C1090" i="45" s="1"/>
  <c r="C1091" i="45" s="1"/>
  <c r="C1092" i="45" s="1"/>
  <c r="C1093" i="45" s="1"/>
  <c r="C1094" i="45" s="1"/>
  <c r="C1095" i="45" s="1"/>
  <c r="C1096" i="45" s="1"/>
  <c r="C1097" i="45" s="1"/>
  <c r="C1098" i="45" s="1"/>
  <c r="C1099" i="45" s="1"/>
  <c r="C1100" i="45" s="1"/>
  <c r="C1101" i="45" s="1"/>
  <c r="C1102" i="45" s="1"/>
  <c r="C1103" i="45" s="1"/>
  <c r="C1104" i="45" s="1"/>
  <c r="C1106" i="45"/>
  <c r="C1107" i="45" s="1"/>
  <c r="C1108" i="45" s="1"/>
  <c r="C1109" i="45" s="1"/>
  <c r="C1110" i="45" s="1"/>
  <c r="C1111" i="45" s="1"/>
  <c r="C1112" i="45" s="1"/>
  <c r="C1113" i="45" s="1"/>
  <c r="C1114" i="45" s="1"/>
  <c r="C1115" i="45" s="1"/>
  <c r="C1116" i="45" s="1"/>
  <c r="C1117" i="45" s="1"/>
  <c r="C1118" i="45" s="1"/>
  <c r="C1119" i="45" s="1"/>
  <c r="C1120" i="45" s="1"/>
  <c r="C1121" i="45" s="1"/>
  <c r="C1122" i="45" s="1"/>
  <c r="C1123" i="45" s="1"/>
  <c r="C1124" i="45" s="1"/>
  <c r="C1126" i="45"/>
  <c r="C1127" i="45" s="1"/>
  <c r="C1128" i="45" s="1"/>
  <c r="C1129" i="45" s="1"/>
  <c r="C1130" i="45" s="1"/>
  <c r="C1131" i="45" s="1"/>
  <c r="C1132" i="45" s="1"/>
  <c r="C1133" i="45" s="1"/>
  <c r="C1134" i="45" s="1"/>
  <c r="C1135" i="45" s="1"/>
  <c r="C1136" i="45" s="1"/>
  <c r="C1137" i="45" s="1"/>
  <c r="C1138" i="45" s="1"/>
  <c r="C1139" i="45" s="1"/>
  <c r="C1140" i="45" s="1"/>
  <c r="C1141" i="45" s="1"/>
  <c r="C1142" i="45" s="1"/>
  <c r="C1143" i="45" s="1"/>
  <c r="C1144" i="45" s="1"/>
  <c r="E1149" i="45"/>
  <c r="E1152" i="45" s="1"/>
  <c r="M1152" i="45" s="1"/>
  <c r="E1189" i="45"/>
  <c r="E1192" i="45" s="1"/>
  <c r="M1192" i="45" s="1"/>
  <c r="E1089" i="45"/>
  <c r="E1092" i="45" s="1"/>
  <c r="E1129" i="45"/>
  <c r="E1132" i="45" s="1"/>
  <c r="C2916" i="45"/>
  <c r="M2916" i="45" s="1"/>
  <c r="C2896" i="45"/>
  <c r="M2896" i="45" s="1"/>
  <c r="C2936" i="45"/>
  <c r="M2936" i="45" s="1"/>
  <c r="C2716" i="45"/>
  <c r="M2716" i="45" s="1"/>
  <c r="C2736" i="45"/>
  <c r="M2736" i="45" s="1"/>
  <c r="C2756" i="45"/>
  <c r="M2756" i="45" s="1"/>
  <c r="C2536" i="45"/>
  <c r="M2536" i="45" s="1"/>
  <c r="C2556" i="45"/>
  <c r="M2556" i="45" s="1"/>
  <c r="C2356" i="45"/>
  <c r="M2356" i="45" s="1"/>
  <c r="C2396" i="45"/>
  <c r="M2396" i="45" s="1"/>
  <c r="C2376" i="45"/>
  <c r="M2376" i="45" s="1"/>
  <c r="A1169" i="45"/>
  <c r="A1172" i="45" s="1"/>
  <c r="A1175" i="45" s="1"/>
  <c r="A1178" i="45" s="1"/>
  <c r="A1181" i="45" s="1"/>
  <c r="A1150" i="45"/>
  <c r="A1153" i="45" s="1"/>
  <c r="A1156" i="45" s="1"/>
  <c r="A1159" i="45" s="1"/>
  <c r="F1189" i="45"/>
  <c r="E1109" i="45"/>
  <c r="E1112" i="45" s="1"/>
  <c r="M1112" i="45" s="1"/>
  <c r="F1129" i="45"/>
  <c r="E1227" i="45"/>
  <c r="M1227" i="45" s="1"/>
  <c r="E1229" i="45"/>
  <c r="E1232" i="45" s="1"/>
  <c r="M1232" i="45" s="1"/>
  <c r="E1247" i="45"/>
  <c r="M1247" i="45" s="1"/>
  <c r="A1249" i="45"/>
  <c r="A1252" i="45" s="1"/>
  <c r="A1255" i="45" s="1"/>
  <c r="G1255" i="45" s="1"/>
  <c r="G1256" i="45" s="1"/>
  <c r="G1257" i="45" s="1"/>
  <c r="G1258" i="45" s="1"/>
  <c r="G1259" i="45" s="1"/>
  <c r="E1167" i="45"/>
  <c r="M1167" i="45" s="1"/>
  <c r="E1169" i="45"/>
  <c r="E1172" i="45" s="1"/>
  <c r="M1172" i="45" s="1"/>
  <c r="B1187" i="45"/>
  <c r="B1190" i="45" s="1"/>
  <c r="B1193" i="45" s="1"/>
  <c r="B1196" i="45" s="1"/>
  <c r="B1199" i="45" s="1"/>
  <c r="B1202" i="45" s="1"/>
  <c r="A1227" i="45"/>
  <c r="A1230" i="45" s="1"/>
  <c r="A1233" i="45" s="1"/>
  <c r="A1236" i="45" s="1"/>
  <c r="A1239" i="45" s="1"/>
  <c r="A1244" i="45" s="1"/>
  <c r="E1249" i="45"/>
  <c r="E1252" i="45" s="1"/>
  <c r="M1252" i="45" s="1"/>
  <c r="A1163" i="45"/>
  <c r="A1198" i="45"/>
  <c r="A1201" i="45" s="1"/>
  <c r="G1195" i="45"/>
  <c r="G1196" i="45" s="1"/>
  <c r="G1197" i="45" s="1"/>
  <c r="G1198" i="45" s="1"/>
  <c r="G1199" i="45" s="1"/>
  <c r="A1098" i="45"/>
  <c r="A1101" i="45" s="1"/>
  <c r="G1095" i="45"/>
  <c r="G1096" i="45" s="1"/>
  <c r="G1097" i="45" s="1"/>
  <c r="G1098" i="45" s="1"/>
  <c r="G1099" i="45" s="1"/>
  <c r="A1118" i="45"/>
  <c r="A1121" i="45" s="1"/>
  <c r="G1115" i="45"/>
  <c r="G1116" i="45" s="1"/>
  <c r="G1117" i="45" s="1"/>
  <c r="G1118" i="45" s="1"/>
  <c r="G1119" i="45" s="1"/>
  <c r="D1150" i="45"/>
  <c r="D1153" i="45" s="1"/>
  <c r="D1156" i="45" s="1"/>
  <c r="D1159" i="45" s="1"/>
  <c r="D1148" i="45"/>
  <c r="D1151" i="45" s="1"/>
  <c r="D1154" i="45" s="1"/>
  <c r="D1157" i="45" s="1"/>
  <c r="D1160" i="45" s="1"/>
  <c r="D1163" i="45" s="1"/>
  <c r="A1184" i="45"/>
  <c r="A1182" i="45"/>
  <c r="B1087" i="45"/>
  <c r="D1087" i="45"/>
  <c r="F1087" i="45"/>
  <c r="F1088" i="45" s="1"/>
  <c r="B1107" i="45"/>
  <c r="D1107" i="45"/>
  <c r="F1107" i="45"/>
  <c r="F1108" i="45" s="1"/>
  <c r="B1127" i="45"/>
  <c r="G1135" i="45"/>
  <c r="G1136" i="45" s="1"/>
  <c r="G1137" i="45" s="1"/>
  <c r="G1138" i="45" s="1"/>
  <c r="G1139" i="45" s="1"/>
  <c r="B1147" i="45"/>
  <c r="F1147" i="45"/>
  <c r="F1148" i="45" s="1"/>
  <c r="D1149" i="45"/>
  <c r="D1152" i="45" s="1"/>
  <c r="D1155" i="45" s="1"/>
  <c r="D1158" i="45" s="1"/>
  <c r="D1161" i="45" s="1"/>
  <c r="A1168" i="45"/>
  <c r="A1171" i="45" s="1"/>
  <c r="A1174" i="45" s="1"/>
  <c r="A1177" i="45" s="1"/>
  <c r="A1180" i="45" s="1"/>
  <c r="G1235" i="45"/>
  <c r="G1236" i="45" s="1"/>
  <c r="G1237" i="45" s="1"/>
  <c r="G1238" i="45" s="1"/>
  <c r="G1239" i="45" s="1"/>
  <c r="A1238" i="45"/>
  <c r="A1241" i="45" s="1"/>
  <c r="A1264" i="45"/>
  <c r="A1262" i="45"/>
  <c r="A1087" i="45"/>
  <c r="E1087" i="45"/>
  <c r="M1087" i="45" s="1"/>
  <c r="F1092" i="45"/>
  <c r="F1093" i="45" s="1"/>
  <c r="A1107" i="45"/>
  <c r="E1107" i="45"/>
  <c r="F1112" i="45"/>
  <c r="F1113" i="45" s="1"/>
  <c r="D1127" i="45"/>
  <c r="F1172" i="45"/>
  <c r="F1173" i="45" s="1"/>
  <c r="D1187" i="45"/>
  <c r="A1209" i="45"/>
  <c r="A1212" i="45" s="1"/>
  <c r="A1215" i="45" s="1"/>
  <c r="A1207" i="45"/>
  <c r="E1209" i="45"/>
  <c r="E1212" i="45" s="1"/>
  <c r="M1212" i="45" s="1"/>
  <c r="E1207" i="45"/>
  <c r="M1207" i="45" s="1"/>
  <c r="A1127" i="45"/>
  <c r="E1127" i="45"/>
  <c r="F1132" i="45"/>
  <c r="F1133" i="45" s="1"/>
  <c r="E1147" i="45"/>
  <c r="M1147" i="45" s="1"/>
  <c r="F1152" i="45"/>
  <c r="F1153" i="45" s="1"/>
  <c r="B1167" i="45"/>
  <c r="D1167" i="45"/>
  <c r="F1167" i="45"/>
  <c r="F1168" i="45" s="1"/>
  <c r="A1187" i="45"/>
  <c r="E1187" i="45"/>
  <c r="M1187" i="45" s="1"/>
  <c r="F1214" i="45"/>
  <c r="F1212" i="45"/>
  <c r="F1213" i="45" s="1"/>
  <c r="F1192" i="45"/>
  <c r="F1193" i="45" s="1"/>
  <c r="B1207" i="45"/>
  <c r="D1207" i="45"/>
  <c r="F1207" i="45"/>
  <c r="F1208" i="45" s="1"/>
  <c r="F1232" i="45"/>
  <c r="F1233" i="45" s="1"/>
  <c r="A1248" i="45"/>
  <c r="A1251" i="45" s="1"/>
  <c r="A1254" i="45" s="1"/>
  <c r="A1257" i="45" s="1"/>
  <c r="A1260" i="45" s="1"/>
  <c r="F1254" i="45"/>
  <c r="F1252" i="45"/>
  <c r="F1253" i="45" s="1"/>
  <c r="B1227" i="45"/>
  <c r="D1227" i="45"/>
  <c r="F1227" i="45"/>
  <c r="F1228" i="45" s="1"/>
  <c r="B1247" i="45"/>
  <c r="D1247" i="45"/>
  <c r="F1247" i="45"/>
  <c r="F1248" i="45" s="1"/>
  <c r="A1069" i="45"/>
  <c r="A1072" i="45" s="1"/>
  <c r="A1075" i="45" s="1"/>
  <c r="G1075" i="45" s="1"/>
  <c r="G1076" i="45" s="1"/>
  <c r="G1077" i="45" s="1"/>
  <c r="G1078" i="45" s="1"/>
  <c r="G1079" i="45" s="1"/>
  <c r="A1070" i="45"/>
  <c r="A1073" i="45" s="1"/>
  <c r="A1076" i="45" s="1"/>
  <c r="A1079" i="45" s="1"/>
  <c r="A1082" i="45" s="1"/>
  <c r="A1068" i="45"/>
  <c r="A1071" i="45" s="1"/>
  <c r="A1074" i="45" s="1"/>
  <c r="A1077" i="45" s="1"/>
  <c r="A1080" i="45" s="1"/>
  <c r="A1083" i="45" s="1"/>
  <c r="A927" i="45"/>
  <c r="A928" i="45" s="1"/>
  <c r="A931" i="45" s="1"/>
  <c r="A934" i="45" s="1"/>
  <c r="A937" i="45" s="1"/>
  <c r="A940" i="45" s="1"/>
  <c r="F1054" i="45"/>
  <c r="E927" i="45"/>
  <c r="E1069" i="45"/>
  <c r="E1072" i="45" s="1"/>
  <c r="M1072" i="45" s="1"/>
  <c r="A918" i="45"/>
  <c r="A921" i="45" s="1"/>
  <c r="B908" i="45"/>
  <c r="B911" i="45" s="1"/>
  <c r="B914" i="45" s="1"/>
  <c r="B917" i="45" s="1"/>
  <c r="B920" i="45" s="1"/>
  <c r="B923" i="45" s="1"/>
  <c r="B910" i="45"/>
  <c r="B913" i="45" s="1"/>
  <c r="B916" i="45" s="1"/>
  <c r="B919" i="45" s="1"/>
  <c r="D907" i="45"/>
  <c r="F907" i="45"/>
  <c r="F908" i="45" s="1"/>
  <c r="B909" i="45"/>
  <c r="B912" i="45" s="1"/>
  <c r="B915" i="45" s="1"/>
  <c r="B918" i="45" s="1"/>
  <c r="B921" i="45" s="1"/>
  <c r="A907" i="45"/>
  <c r="E907" i="45"/>
  <c r="F912" i="45"/>
  <c r="F913" i="45" s="1"/>
  <c r="A938" i="45"/>
  <c r="A941" i="45" s="1"/>
  <c r="G935" i="45"/>
  <c r="G936" i="45" s="1"/>
  <c r="G937" i="45" s="1"/>
  <c r="G938" i="45" s="1"/>
  <c r="G939" i="45" s="1"/>
  <c r="A958" i="45"/>
  <c r="A961" i="45" s="1"/>
  <c r="G955" i="45"/>
  <c r="G956" i="45" s="1"/>
  <c r="G957" i="45" s="1"/>
  <c r="G958" i="45" s="1"/>
  <c r="G959" i="45" s="1"/>
  <c r="G975" i="45"/>
  <c r="G976" i="45" s="1"/>
  <c r="G977" i="45" s="1"/>
  <c r="G978" i="45" s="1"/>
  <c r="G979" i="45" s="1"/>
  <c r="A978" i="45"/>
  <c r="A981" i="45" s="1"/>
  <c r="A998" i="45"/>
  <c r="A1001" i="45" s="1"/>
  <c r="G995" i="45"/>
  <c r="G996" i="45" s="1"/>
  <c r="G997" i="45" s="1"/>
  <c r="G998" i="45" s="1"/>
  <c r="G999" i="45" s="1"/>
  <c r="B927" i="45"/>
  <c r="D927" i="45"/>
  <c r="F927" i="45"/>
  <c r="F928" i="45" s="1"/>
  <c r="B947" i="45"/>
  <c r="D947" i="45"/>
  <c r="F947" i="45"/>
  <c r="F948" i="45" s="1"/>
  <c r="A967" i="45"/>
  <c r="E967" i="45"/>
  <c r="M967" i="45" s="1"/>
  <c r="F972" i="45"/>
  <c r="F973" i="45" s="1"/>
  <c r="B987" i="45"/>
  <c r="D987" i="45"/>
  <c r="F987" i="45"/>
  <c r="F988" i="45" s="1"/>
  <c r="A1007" i="45"/>
  <c r="E1007" i="45"/>
  <c r="M1007" i="45" s="1"/>
  <c r="F932" i="45"/>
  <c r="F933" i="45" s="1"/>
  <c r="A947" i="45"/>
  <c r="E947" i="45"/>
  <c r="M947" i="45" s="1"/>
  <c r="F952" i="45"/>
  <c r="F953" i="45" s="1"/>
  <c r="B967" i="45"/>
  <c r="D967" i="45"/>
  <c r="F967" i="45"/>
  <c r="F968" i="45" s="1"/>
  <c r="A987" i="45"/>
  <c r="E987" i="45"/>
  <c r="M987" i="45" s="1"/>
  <c r="F992" i="45"/>
  <c r="F993" i="45" s="1"/>
  <c r="A1018" i="45"/>
  <c r="A1021" i="45" s="1"/>
  <c r="G1015" i="45"/>
  <c r="G1016" i="45" s="1"/>
  <c r="G1017" i="45" s="1"/>
  <c r="G1018" i="45" s="1"/>
  <c r="G1019" i="45" s="1"/>
  <c r="A1038" i="45"/>
  <c r="A1041" i="45" s="1"/>
  <c r="G1035" i="45"/>
  <c r="G1036" i="45" s="1"/>
  <c r="G1037" i="45" s="1"/>
  <c r="G1038" i="45" s="1"/>
  <c r="G1039" i="45" s="1"/>
  <c r="B1007" i="45"/>
  <c r="D1007" i="45"/>
  <c r="F1007" i="45"/>
  <c r="F1008" i="45" s="1"/>
  <c r="A1027" i="45"/>
  <c r="E1027" i="45"/>
  <c r="M1027" i="45" s="1"/>
  <c r="F1034" i="45"/>
  <c r="F1032" i="45"/>
  <c r="F1033" i="45" s="1"/>
  <c r="A1049" i="45"/>
  <c r="A1052" i="45" s="1"/>
  <c r="A1055" i="45" s="1"/>
  <c r="A1047" i="45"/>
  <c r="E1049" i="45"/>
  <c r="E1052" i="45" s="1"/>
  <c r="M1052" i="45" s="1"/>
  <c r="E1047" i="45"/>
  <c r="M1047" i="45" s="1"/>
  <c r="F1012" i="45"/>
  <c r="F1013" i="45" s="1"/>
  <c r="B1027" i="45"/>
  <c r="D1027" i="45"/>
  <c r="F1027" i="45"/>
  <c r="F1028" i="45" s="1"/>
  <c r="F1074" i="45"/>
  <c r="F1072" i="45"/>
  <c r="F1073" i="45" s="1"/>
  <c r="B1047" i="45"/>
  <c r="D1047" i="45"/>
  <c r="F1047" i="45"/>
  <c r="F1048" i="45" s="1"/>
  <c r="B1067" i="45"/>
  <c r="D1067" i="45"/>
  <c r="F1067" i="45"/>
  <c r="F1068" i="45" s="1"/>
  <c r="D112" i="43"/>
  <c r="D111" i="43"/>
  <c r="D110" i="43"/>
  <c r="D109" i="43"/>
  <c r="D108" i="43"/>
  <c r="M907" i="45" l="1"/>
  <c r="M1107" i="45"/>
  <c r="M1132" i="45"/>
  <c r="M927" i="45"/>
  <c r="A1258" i="45"/>
  <c r="A1261" i="45" s="1"/>
  <c r="M952" i="45"/>
  <c r="M912" i="45"/>
  <c r="A930" i="45"/>
  <c r="E915" i="45"/>
  <c r="M915" i="45" s="1"/>
  <c r="M1127" i="45"/>
  <c r="M1092" i="45"/>
  <c r="M1126" i="45"/>
  <c r="M1086" i="45"/>
  <c r="M926" i="45"/>
  <c r="M932" i="45"/>
  <c r="M1106" i="45"/>
  <c r="M946" i="45"/>
  <c r="M906" i="45"/>
  <c r="E1155" i="45"/>
  <c r="M1155" i="45" s="1"/>
  <c r="E1070" i="45"/>
  <c r="M1070" i="45" s="1"/>
  <c r="E1068" i="45"/>
  <c r="M1068" i="45" s="1"/>
  <c r="P1065" i="45" s="1"/>
  <c r="G1175" i="45"/>
  <c r="G1176" i="45" s="1"/>
  <c r="G1177" i="45" s="1"/>
  <c r="G1178" i="45" s="1"/>
  <c r="G1179" i="45" s="1"/>
  <c r="E1228" i="45"/>
  <c r="M1228" i="45" s="1"/>
  <c r="P1225" i="45" s="1"/>
  <c r="E1115" i="45"/>
  <c r="M1115" i="45" s="1"/>
  <c r="E1135" i="45"/>
  <c r="M1135" i="45" s="1"/>
  <c r="E1095" i="45"/>
  <c r="M1095" i="45" s="1"/>
  <c r="E1195" i="45"/>
  <c r="M1195" i="45" s="1"/>
  <c r="E1035" i="45"/>
  <c r="M1035" i="45" s="1"/>
  <c r="B1204" i="45"/>
  <c r="E1055" i="45"/>
  <c r="M1055" i="45" s="1"/>
  <c r="E1075" i="45"/>
  <c r="M1075" i="45" s="1"/>
  <c r="E928" i="45"/>
  <c r="M928" i="45" s="1"/>
  <c r="E1015" i="45"/>
  <c r="M1015" i="45" s="1"/>
  <c r="E995" i="45"/>
  <c r="M995" i="45" s="1"/>
  <c r="E975" i="45"/>
  <c r="M975" i="45" s="1"/>
  <c r="E955" i="45"/>
  <c r="M955" i="45" s="1"/>
  <c r="E935" i="45"/>
  <c r="M935" i="45" s="1"/>
  <c r="E1255" i="45"/>
  <c r="M1255" i="45" s="1"/>
  <c r="E1170" i="45"/>
  <c r="M1170" i="45" s="1"/>
  <c r="E1248" i="45"/>
  <c r="E1230" i="45"/>
  <c r="M1230" i="45" s="1"/>
  <c r="E1175" i="45"/>
  <c r="M1175" i="45" s="1"/>
  <c r="E1235" i="45"/>
  <c r="M1235" i="45" s="1"/>
  <c r="C2937" i="45"/>
  <c r="M2937" i="45" s="1"/>
  <c r="C2897" i="45"/>
  <c r="M2897" i="45" s="1"/>
  <c r="C2917" i="45"/>
  <c r="M2917" i="45" s="1"/>
  <c r="C2757" i="45"/>
  <c r="M2757" i="45" s="1"/>
  <c r="C2737" i="45"/>
  <c r="M2737" i="45" s="1"/>
  <c r="C2717" i="45"/>
  <c r="M2717" i="45" s="1"/>
  <c r="C2557" i="45"/>
  <c r="M2557" i="45" s="1"/>
  <c r="C2537" i="45"/>
  <c r="M2537" i="45" s="1"/>
  <c r="C2377" i="45"/>
  <c r="M2377" i="45" s="1"/>
  <c r="C2397" i="45"/>
  <c r="M2397" i="45" s="1"/>
  <c r="C2357" i="45"/>
  <c r="M2357" i="45" s="1"/>
  <c r="A1084" i="45"/>
  <c r="E930" i="45"/>
  <c r="M930" i="45" s="1"/>
  <c r="B1188" i="45"/>
  <c r="B1191" i="45" s="1"/>
  <c r="B1194" i="45" s="1"/>
  <c r="B1197" i="45" s="1"/>
  <c r="B1200" i="45" s="1"/>
  <c r="B1203" i="45" s="1"/>
  <c r="E1168" i="45"/>
  <c r="A1242" i="45"/>
  <c r="A1078" i="45"/>
  <c r="A1081" i="45" s="1"/>
  <c r="G1155" i="45"/>
  <c r="G1156" i="45" s="1"/>
  <c r="G1157" i="45" s="1"/>
  <c r="G1158" i="45" s="1"/>
  <c r="G1159" i="45" s="1"/>
  <c r="E1058" i="45"/>
  <c r="M1058" i="45" s="1"/>
  <c r="E918" i="45"/>
  <c r="M918" i="45" s="1"/>
  <c r="E1250" i="45"/>
  <c r="M1250" i="45" s="1"/>
  <c r="A1228" i="45"/>
  <c r="A1231" i="45" s="1"/>
  <c r="A1234" i="45" s="1"/>
  <c r="A1237" i="45" s="1"/>
  <c r="A1240" i="45" s="1"/>
  <c r="A1243" i="45" s="1"/>
  <c r="D1248" i="45"/>
  <c r="D1251" i="45" s="1"/>
  <c r="D1254" i="45" s="1"/>
  <c r="D1257" i="45" s="1"/>
  <c r="D1260" i="45" s="1"/>
  <c r="D1263" i="45" s="1"/>
  <c r="D1250" i="45"/>
  <c r="D1253" i="45" s="1"/>
  <c r="D1256" i="45" s="1"/>
  <c r="D1259" i="45" s="1"/>
  <c r="D1228" i="45"/>
  <c r="D1231" i="45" s="1"/>
  <c r="D1234" i="45" s="1"/>
  <c r="D1237" i="45" s="1"/>
  <c r="D1240" i="45" s="1"/>
  <c r="D1243" i="45" s="1"/>
  <c r="D1230" i="45"/>
  <c r="D1233" i="45" s="1"/>
  <c r="D1236" i="45" s="1"/>
  <c r="D1239" i="45" s="1"/>
  <c r="D1208" i="45"/>
  <c r="D1211" i="45" s="1"/>
  <c r="D1214" i="45" s="1"/>
  <c r="D1217" i="45" s="1"/>
  <c r="D1220" i="45" s="1"/>
  <c r="D1223" i="45" s="1"/>
  <c r="D1210" i="45"/>
  <c r="D1213" i="45" s="1"/>
  <c r="D1216" i="45" s="1"/>
  <c r="D1219" i="45" s="1"/>
  <c r="A1188" i="45"/>
  <c r="A1191" i="45" s="1"/>
  <c r="A1194" i="45" s="1"/>
  <c r="A1197" i="45" s="1"/>
  <c r="A1200" i="45" s="1"/>
  <c r="A1190" i="45"/>
  <c r="D1168" i="45"/>
  <c r="D1171" i="45" s="1"/>
  <c r="D1174" i="45" s="1"/>
  <c r="D1177" i="45" s="1"/>
  <c r="D1180" i="45" s="1"/>
  <c r="D1183" i="45" s="1"/>
  <c r="D1170" i="45"/>
  <c r="D1173" i="45" s="1"/>
  <c r="D1176" i="45" s="1"/>
  <c r="D1179" i="45" s="1"/>
  <c r="A1128" i="45"/>
  <c r="A1131" i="45" s="1"/>
  <c r="A1134" i="45" s="1"/>
  <c r="A1137" i="45" s="1"/>
  <c r="A1140" i="45" s="1"/>
  <c r="A1130" i="45"/>
  <c r="E1210" i="45"/>
  <c r="M1210" i="45" s="1"/>
  <c r="E1208" i="45"/>
  <c r="A1210" i="45"/>
  <c r="A1208" i="45"/>
  <c r="A1211" i="45" s="1"/>
  <c r="A1214" i="45" s="1"/>
  <c r="A1217" i="45" s="1"/>
  <c r="A1220" i="45" s="1"/>
  <c r="E1108" i="45"/>
  <c r="M1108" i="45" s="1"/>
  <c r="E1110" i="45"/>
  <c r="M1110" i="45" s="1"/>
  <c r="A1088" i="45"/>
  <c r="A1091" i="45" s="1"/>
  <c r="A1094" i="45" s="1"/>
  <c r="A1097" i="45" s="1"/>
  <c r="A1100" i="45" s="1"/>
  <c r="A1090" i="45"/>
  <c r="B1130" i="45"/>
  <c r="B1133" i="45" s="1"/>
  <c r="B1136" i="45" s="1"/>
  <c r="B1139" i="45" s="1"/>
  <c r="B1128" i="45"/>
  <c r="B1131" i="45" s="1"/>
  <c r="B1134" i="45" s="1"/>
  <c r="B1137" i="45" s="1"/>
  <c r="B1140" i="45" s="1"/>
  <c r="B1143" i="45" s="1"/>
  <c r="D1110" i="45"/>
  <c r="D1113" i="45" s="1"/>
  <c r="D1116" i="45" s="1"/>
  <c r="D1119" i="45" s="1"/>
  <c r="D1108" i="45"/>
  <c r="D1111" i="45" s="1"/>
  <c r="D1114" i="45" s="1"/>
  <c r="D1117" i="45" s="1"/>
  <c r="D1120" i="45" s="1"/>
  <c r="D1123" i="45" s="1"/>
  <c r="B1090" i="45"/>
  <c r="B1093" i="45" s="1"/>
  <c r="B1096" i="45" s="1"/>
  <c r="B1099" i="45" s="1"/>
  <c r="B1088" i="45"/>
  <c r="B1091" i="45" s="1"/>
  <c r="B1094" i="45" s="1"/>
  <c r="B1097" i="45" s="1"/>
  <c r="B1100" i="45" s="1"/>
  <c r="B1103" i="45" s="1"/>
  <c r="D1164" i="45"/>
  <c r="D1162" i="45"/>
  <c r="B1248" i="45"/>
  <c r="B1251" i="45" s="1"/>
  <c r="B1254" i="45" s="1"/>
  <c r="B1257" i="45" s="1"/>
  <c r="B1260" i="45" s="1"/>
  <c r="B1263" i="45" s="1"/>
  <c r="B1250" i="45"/>
  <c r="B1228" i="45"/>
  <c r="B1231" i="45" s="1"/>
  <c r="B1234" i="45" s="1"/>
  <c r="B1237" i="45" s="1"/>
  <c r="B1240" i="45" s="1"/>
  <c r="B1243" i="45" s="1"/>
  <c r="B1230" i="45"/>
  <c r="A1263" i="45"/>
  <c r="B1208" i="45"/>
  <c r="B1211" i="45" s="1"/>
  <c r="B1214" i="45" s="1"/>
  <c r="B1217" i="45" s="1"/>
  <c r="B1220" i="45" s="1"/>
  <c r="B1223" i="45" s="1"/>
  <c r="B1210" i="45"/>
  <c r="B1213" i="45" s="1"/>
  <c r="B1216" i="45" s="1"/>
  <c r="B1219" i="45" s="1"/>
  <c r="E1188" i="45"/>
  <c r="E1190" i="45"/>
  <c r="M1190" i="45" s="1"/>
  <c r="B1168" i="45"/>
  <c r="B1171" i="45" s="1"/>
  <c r="B1174" i="45" s="1"/>
  <c r="B1177" i="45" s="1"/>
  <c r="B1180" i="45" s="1"/>
  <c r="B1183" i="45" s="1"/>
  <c r="B1170" i="45"/>
  <c r="E1148" i="45"/>
  <c r="E1150" i="45"/>
  <c r="M1150" i="45" s="1"/>
  <c r="E1128" i="45"/>
  <c r="M1128" i="45" s="1"/>
  <c r="E1130" i="45"/>
  <c r="M1130" i="45" s="1"/>
  <c r="E1215" i="45"/>
  <c r="M1215" i="45" s="1"/>
  <c r="A1218" i="45"/>
  <c r="A1221" i="45" s="1"/>
  <c r="G1215" i="45"/>
  <c r="G1216" i="45" s="1"/>
  <c r="G1217" i="45" s="1"/>
  <c r="G1218" i="45" s="1"/>
  <c r="G1219" i="45" s="1"/>
  <c r="D1190" i="45"/>
  <c r="D1193" i="45" s="1"/>
  <c r="D1196" i="45" s="1"/>
  <c r="D1199" i="45" s="1"/>
  <c r="D1188" i="45"/>
  <c r="D1191" i="45" s="1"/>
  <c r="D1194" i="45" s="1"/>
  <c r="D1197" i="45" s="1"/>
  <c r="D1200" i="45" s="1"/>
  <c r="D1203" i="45" s="1"/>
  <c r="A1164" i="45"/>
  <c r="A1162" i="45"/>
  <c r="D1130" i="45"/>
  <c r="D1133" i="45" s="1"/>
  <c r="D1136" i="45" s="1"/>
  <c r="D1139" i="45" s="1"/>
  <c r="D1128" i="45"/>
  <c r="D1131" i="45" s="1"/>
  <c r="D1134" i="45" s="1"/>
  <c r="D1137" i="45" s="1"/>
  <c r="D1140" i="45" s="1"/>
  <c r="D1143" i="45" s="1"/>
  <c r="A1108" i="45"/>
  <c r="A1111" i="45" s="1"/>
  <c r="A1114" i="45" s="1"/>
  <c r="A1117" i="45" s="1"/>
  <c r="A1120" i="45" s="1"/>
  <c r="A1110" i="45"/>
  <c r="E1088" i="45"/>
  <c r="M1088" i="45" s="1"/>
  <c r="E1090" i="45"/>
  <c r="M1090" i="45" s="1"/>
  <c r="A1183" i="45"/>
  <c r="B1150" i="45"/>
  <c r="B1148" i="45"/>
  <c r="B1151" i="45" s="1"/>
  <c r="B1154" i="45" s="1"/>
  <c r="B1157" i="45" s="1"/>
  <c r="B1160" i="45" s="1"/>
  <c r="B1110" i="45"/>
  <c r="B1113" i="45" s="1"/>
  <c r="B1116" i="45" s="1"/>
  <c r="B1119" i="45" s="1"/>
  <c r="B1108" i="45"/>
  <c r="B1111" i="45" s="1"/>
  <c r="B1114" i="45" s="1"/>
  <c r="B1117" i="45" s="1"/>
  <c r="B1120" i="45" s="1"/>
  <c r="B1123" i="45" s="1"/>
  <c r="D1090" i="45"/>
  <c r="D1093" i="45" s="1"/>
  <c r="D1096" i="45" s="1"/>
  <c r="D1099" i="45" s="1"/>
  <c r="D1088" i="45"/>
  <c r="D1091" i="45" s="1"/>
  <c r="D1094" i="45" s="1"/>
  <c r="D1097" i="45" s="1"/>
  <c r="D1100" i="45" s="1"/>
  <c r="D1103" i="45" s="1"/>
  <c r="D1068" i="45"/>
  <c r="D1071" i="45" s="1"/>
  <c r="D1074" i="45" s="1"/>
  <c r="D1077" i="45" s="1"/>
  <c r="D1080" i="45" s="1"/>
  <c r="D1083" i="45" s="1"/>
  <c r="D1070" i="45"/>
  <c r="D1073" i="45" s="1"/>
  <c r="D1076" i="45" s="1"/>
  <c r="D1079" i="45" s="1"/>
  <c r="D1048" i="45"/>
  <c r="D1051" i="45" s="1"/>
  <c r="D1054" i="45" s="1"/>
  <c r="D1057" i="45" s="1"/>
  <c r="D1060" i="45" s="1"/>
  <c r="D1063" i="45" s="1"/>
  <c r="D1050" i="45"/>
  <c r="D1053" i="45" s="1"/>
  <c r="D1056" i="45" s="1"/>
  <c r="D1059" i="45" s="1"/>
  <c r="B1028" i="45"/>
  <c r="B1031" i="45" s="1"/>
  <c r="B1034" i="45" s="1"/>
  <c r="B1037" i="45" s="1"/>
  <c r="B1040" i="45" s="1"/>
  <c r="B1043" i="45" s="1"/>
  <c r="B1030" i="45"/>
  <c r="B1033" i="45" s="1"/>
  <c r="B1036" i="45" s="1"/>
  <c r="B1039" i="45" s="1"/>
  <c r="G1055" i="45"/>
  <c r="G1056" i="45" s="1"/>
  <c r="G1057" i="45" s="1"/>
  <c r="G1058" i="45" s="1"/>
  <c r="G1059" i="45" s="1"/>
  <c r="A1058" i="45"/>
  <c r="A1061" i="45" s="1"/>
  <c r="A1030" i="45"/>
  <c r="A1028" i="45"/>
  <c r="A1031" i="45" s="1"/>
  <c r="A1034" i="45" s="1"/>
  <c r="A1037" i="45" s="1"/>
  <c r="A1040" i="45" s="1"/>
  <c r="D1010" i="45"/>
  <c r="D1013" i="45" s="1"/>
  <c r="D1016" i="45" s="1"/>
  <c r="D1019" i="45" s="1"/>
  <c r="D1008" i="45"/>
  <c r="D1011" i="45" s="1"/>
  <c r="D1014" i="45" s="1"/>
  <c r="D1017" i="45" s="1"/>
  <c r="D1020" i="45" s="1"/>
  <c r="D1023" i="45" s="1"/>
  <c r="E988" i="45"/>
  <c r="E990" i="45"/>
  <c r="M990" i="45" s="1"/>
  <c r="D968" i="45"/>
  <c r="D971" i="45" s="1"/>
  <c r="D974" i="45" s="1"/>
  <c r="D977" i="45" s="1"/>
  <c r="D980" i="45" s="1"/>
  <c r="D983" i="45" s="1"/>
  <c r="D970" i="45"/>
  <c r="D973" i="45" s="1"/>
  <c r="D976" i="45" s="1"/>
  <c r="D979" i="45" s="1"/>
  <c r="A948" i="45"/>
  <c r="A951" i="45" s="1"/>
  <c r="A954" i="45" s="1"/>
  <c r="A957" i="45" s="1"/>
  <c r="A960" i="45" s="1"/>
  <c r="A950" i="45"/>
  <c r="E1010" i="45"/>
  <c r="M1010" i="45" s="1"/>
  <c r="E1008" i="45"/>
  <c r="D990" i="45"/>
  <c r="D993" i="45" s="1"/>
  <c r="D996" i="45" s="1"/>
  <c r="D999" i="45" s="1"/>
  <c r="D988" i="45"/>
  <c r="D991" i="45" s="1"/>
  <c r="D994" i="45" s="1"/>
  <c r="D997" i="45" s="1"/>
  <c r="D1000" i="45" s="1"/>
  <c r="D1003" i="45" s="1"/>
  <c r="A970" i="45"/>
  <c r="A968" i="45"/>
  <c r="A971" i="45" s="1"/>
  <c r="A974" i="45" s="1"/>
  <c r="A977" i="45" s="1"/>
  <c r="A980" i="45" s="1"/>
  <c r="B950" i="45"/>
  <c r="B953" i="45" s="1"/>
  <c r="B956" i="45" s="1"/>
  <c r="B959" i="45" s="1"/>
  <c r="B948" i="45"/>
  <c r="B951" i="45" s="1"/>
  <c r="B954" i="45" s="1"/>
  <c r="B957" i="45" s="1"/>
  <c r="B960" i="45" s="1"/>
  <c r="B963" i="45" s="1"/>
  <c r="D930" i="45"/>
  <c r="D933" i="45" s="1"/>
  <c r="D936" i="45" s="1"/>
  <c r="D939" i="45" s="1"/>
  <c r="D928" i="45"/>
  <c r="D931" i="45" s="1"/>
  <c r="D934" i="45" s="1"/>
  <c r="D937" i="45" s="1"/>
  <c r="D940" i="45" s="1"/>
  <c r="D943" i="45" s="1"/>
  <c r="A943" i="45"/>
  <c r="E910" i="45"/>
  <c r="M910" i="45" s="1"/>
  <c r="E908" i="45"/>
  <c r="M908" i="45" s="1"/>
  <c r="D910" i="45"/>
  <c r="D913" i="45" s="1"/>
  <c r="D916" i="45" s="1"/>
  <c r="D919" i="45" s="1"/>
  <c r="D908" i="45"/>
  <c r="D911" i="45" s="1"/>
  <c r="D914" i="45" s="1"/>
  <c r="D917" i="45" s="1"/>
  <c r="D920" i="45" s="1"/>
  <c r="D923" i="45" s="1"/>
  <c r="B1068" i="45"/>
  <c r="B1071" i="45" s="1"/>
  <c r="B1074" i="45" s="1"/>
  <c r="B1077" i="45" s="1"/>
  <c r="B1080" i="45" s="1"/>
  <c r="B1070" i="45"/>
  <c r="B1048" i="45"/>
  <c r="B1051" i="45" s="1"/>
  <c r="B1054" i="45" s="1"/>
  <c r="B1057" i="45" s="1"/>
  <c r="B1060" i="45" s="1"/>
  <c r="B1063" i="45" s="1"/>
  <c r="B1050" i="45"/>
  <c r="B1053" i="45" s="1"/>
  <c r="B1056" i="45" s="1"/>
  <c r="B1059" i="45" s="1"/>
  <c r="D1028" i="45"/>
  <c r="D1031" i="45" s="1"/>
  <c r="D1034" i="45" s="1"/>
  <c r="D1037" i="45" s="1"/>
  <c r="D1040" i="45" s="1"/>
  <c r="D1043" i="45" s="1"/>
  <c r="D1030" i="45"/>
  <c r="D1033" i="45" s="1"/>
  <c r="D1036" i="45" s="1"/>
  <c r="D1039" i="45" s="1"/>
  <c r="E1050" i="45"/>
  <c r="M1050" i="45" s="1"/>
  <c r="E1048" i="45"/>
  <c r="A1050" i="45"/>
  <c r="A1048" i="45"/>
  <c r="A1051" i="45" s="1"/>
  <c r="A1054" i="45" s="1"/>
  <c r="A1057" i="45" s="1"/>
  <c r="A1060" i="45" s="1"/>
  <c r="E1030" i="45"/>
  <c r="M1030" i="45" s="1"/>
  <c r="E1028" i="45"/>
  <c r="B1010" i="45"/>
  <c r="B1013" i="45" s="1"/>
  <c r="B1016" i="45" s="1"/>
  <c r="B1019" i="45" s="1"/>
  <c r="B1008" i="45"/>
  <c r="B1011" i="45" s="1"/>
  <c r="B1014" i="45" s="1"/>
  <c r="B1017" i="45" s="1"/>
  <c r="B1020" i="45" s="1"/>
  <c r="B1023" i="45" s="1"/>
  <c r="A988" i="45"/>
  <c r="A991" i="45" s="1"/>
  <c r="A994" i="45" s="1"/>
  <c r="A997" i="45" s="1"/>
  <c r="A1000" i="45" s="1"/>
  <c r="A990" i="45"/>
  <c r="B968" i="45"/>
  <c r="B971" i="45" s="1"/>
  <c r="B974" i="45" s="1"/>
  <c r="B977" i="45" s="1"/>
  <c r="B980" i="45" s="1"/>
  <c r="B983" i="45" s="1"/>
  <c r="B970" i="45"/>
  <c r="B973" i="45" s="1"/>
  <c r="B976" i="45" s="1"/>
  <c r="B979" i="45" s="1"/>
  <c r="E948" i="45"/>
  <c r="M948" i="45" s="1"/>
  <c r="E950" i="45"/>
  <c r="M950" i="45" s="1"/>
  <c r="A1010" i="45"/>
  <c r="A1008" i="45"/>
  <c r="A1011" i="45" s="1"/>
  <c r="A1014" i="45" s="1"/>
  <c r="A1017" i="45" s="1"/>
  <c r="A1020" i="45" s="1"/>
  <c r="B990" i="45"/>
  <c r="B993" i="45" s="1"/>
  <c r="B996" i="45" s="1"/>
  <c r="B999" i="45" s="1"/>
  <c r="B988" i="45"/>
  <c r="B991" i="45" s="1"/>
  <c r="B994" i="45" s="1"/>
  <c r="B997" i="45" s="1"/>
  <c r="B1000" i="45" s="1"/>
  <c r="B1003" i="45" s="1"/>
  <c r="E970" i="45"/>
  <c r="M970" i="45" s="1"/>
  <c r="E968" i="45"/>
  <c r="D950" i="45"/>
  <c r="D953" i="45" s="1"/>
  <c r="D956" i="45" s="1"/>
  <c r="D959" i="45" s="1"/>
  <c r="D948" i="45"/>
  <c r="D951" i="45" s="1"/>
  <c r="D954" i="45" s="1"/>
  <c r="D957" i="45" s="1"/>
  <c r="D960" i="45" s="1"/>
  <c r="D963" i="45" s="1"/>
  <c r="B930" i="45"/>
  <c r="B933" i="45" s="1"/>
  <c r="B936" i="45" s="1"/>
  <c r="B939" i="45" s="1"/>
  <c r="B928" i="45"/>
  <c r="B931" i="45" s="1"/>
  <c r="B934" i="45" s="1"/>
  <c r="B937" i="45" s="1"/>
  <c r="B940" i="45" s="1"/>
  <c r="B943" i="45" s="1"/>
  <c r="A933" i="45"/>
  <c r="A936" i="45" s="1"/>
  <c r="A939" i="45" s="1"/>
  <c r="A908" i="45"/>
  <c r="A911" i="45" s="1"/>
  <c r="A914" i="45" s="1"/>
  <c r="A917" i="45" s="1"/>
  <c r="A920" i="45" s="1"/>
  <c r="A910" i="45"/>
  <c r="B924" i="45"/>
  <c r="B922" i="45"/>
  <c r="G915" i="45"/>
  <c r="G916" i="45" s="1"/>
  <c r="G917" i="45" s="1"/>
  <c r="G918" i="45" s="1"/>
  <c r="G919" i="45" s="1"/>
  <c r="F901" i="45"/>
  <c r="F902" i="45" s="1"/>
  <c r="F903" i="45" s="1"/>
  <c r="F904" i="45" s="1"/>
  <c r="F896" i="45"/>
  <c r="F897" i="45" s="1"/>
  <c r="F898" i="45" s="1"/>
  <c r="F899" i="45" s="1"/>
  <c r="F891" i="45"/>
  <c r="F892" i="45" s="1"/>
  <c r="F893" i="45" s="1"/>
  <c r="F886" i="45"/>
  <c r="E886" i="45"/>
  <c r="D886" i="45"/>
  <c r="C886" i="45"/>
  <c r="C887" i="45" s="1"/>
  <c r="C888" i="45" s="1"/>
  <c r="C889" i="45" s="1"/>
  <c r="C890" i="45" s="1"/>
  <c r="C891" i="45" s="1"/>
  <c r="C892" i="45" s="1"/>
  <c r="C893" i="45" s="1"/>
  <c r="C894" i="45" s="1"/>
  <c r="C895" i="45" s="1"/>
  <c r="C896" i="45" s="1"/>
  <c r="C897" i="45" s="1"/>
  <c r="C898" i="45" s="1"/>
  <c r="C899" i="45" s="1"/>
  <c r="C900" i="45" s="1"/>
  <c r="C901" i="45" s="1"/>
  <c r="C902" i="45" s="1"/>
  <c r="C903" i="45" s="1"/>
  <c r="C904" i="45" s="1"/>
  <c r="B886" i="45"/>
  <c r="A886" i="45"/>
  <c r="A889" i="45" s="1"/>
  <c r="A892" i="45" s="1"/>
  <c r="A895" i="45" s="1"/>
  <c r="G885" i="45"/>
  <c r="G886" i="45" s="1"/>
  <c r="G887" i="45" s="1"/>
  <c r="G888" i="45" s="1"/>
  <c r="G889" i="45" s="1"/>
  <c r="F881" i="45"/>
  <c r="F882" i="45" s="1"/>
  <c r="F883" i="45" s="1"/>
  <c r="F884" i="45" s="1"/>
  <c r="F876" i="45"/>
  <c r="F877" i="45" s="1"/>
  <c r="F878" i="45" s="1"/>
  <c r="F879" i="45" s="1"/>
  <c r="F871" i="45"/>
  <c r="F872" i="45" s="1"/>
  <c r="F873" i="45" s="1"/>
  <c r="F866" i="45"/>
  <c r="E866" i="45"/>
  <c r="D866" i="45"/>
  <c r="C866" i="45"/>
  <c r="C867" i="45" s="1"/>
  <c r="C868" i="45" s="1"/>
  <c r="C869" i="45" s="1"/>
  <c r="C870" i="45" s="1"/>
  <c r="C871" i="45" s="1"/>
  <c r="C872" i="45" s="1"/>
  <c r="C873" i="45" s="1"/>
  <c r="C874" i="45" s="1"/>
  <c r="C875" i="45" s="1"/>
  <c r="C876" i="45" s="1"/>
  <c r="C877" i="45" s="1"/>
  <c r="C878" i="45" s="1"/>
  <c r="C879" i="45" s="1"/>
  <c r="C880" i="45" s="1"/>
  <c r="C881" i="45" s="1"/>
  <c r="C882" i="45" s="1"/>
  <c r="C883" i="45" s="1"/>
  <c r="C884" i="45" s="1"/>
  <c r="B866" i="45"/>
  <c r="A866" i="45"/>
  <c r="A869" i="45" s="1"/>
  <c r="A872" i="45" s="1"/>
  <c r="A875" i="45" s="1"/>
  <c r="G865" i="45"/>
  <c r="G866" i="45" s="1"/>
  <c r="G867" i="45" s="1"/>
  <c r="G868" i="45" s="1"/>
  <c r="G869" i="45" s="1"/>
  <c r="F861" i="45"/>
  <c r="F862" i="45" s="1"/>
  <c r="F863" i="45" s="1"/>
  <c r="F864" i="45" s="1"/>
  <c r="F856" i="45"/>
  <c r="F857" i="45" s="1"/>
  <c r="F858" i="45" s="1"/>
  <c r="F859" i="45" s="1"/>
  <c r="F851" i="45"/>
  <c r="F846" i="45"/>
  <c r="F849" i="45" s="1"/>
  <c r="E846" i="45"/>
  <c r="D846" i="45"/>
  <c r="D849" i="45" s="1"/>
  <c r="D852" i="45" s="1"/>
  <c r="D855" i="45" s="1"/>
  <c r="D858" i="45" s="1"/>
  <c r="D861" i="45" s="1"/>
  <c r="C846" i="45"/>
  <c r="C847" i="45" s="1"/>
  <c r="C848" i="45" s="1"/>
  <c r="C849" i="45" s="1"/>
  <c r="C850" i="45" s="1"/>
  <c r="C851" i="45" s="1"/>
  <c r="C852" i="45" s="1"/>
  <c r="C853" i="45" s="1"/>
  <c r="C854" i="45" s="1"/>
  <c r="C855" i="45" s="1"/>
  <c r="C856" i="45" s="1"/>
  <c r="C857" i="45" s="1"/>
  <c r="C858" i="45" s="1"/>
  <c r="C859" i="45" s="1"/>
  <c r="C860" i="45" s="1"/>
  <c r="C861" i="45" s="1"/>
  <c r="C862" i="45" s="1"/>
  <c r="C863" i="45" s="1"/>
  <c r="C864" i="45" s="1"/>
  <c r="B846" i="45"/>
  <c r="B849" i="45" s="1"/>
  <c r="B852" i="45" s="1"/>
  <c r="B855" i="45" s="1"/>
  <c r="B858" i="45" s="1"/>
  <c r="B861" i="45" s="1"/>
  <c r="A846" i="45"/>
  <c r="A849" i="45" s="1"/>
  <c r="A852" i="45" s="1"/>
  <c r="A855" i="45" s="1"/>
  <c r="G845" i="45"/>
  <c r="G846" i="45" s="1"/>
  <c r="G847" i="45" s="1"/>
  <c r="G848" i="45" s="1"/>
  <c r="G849" i="45" s="1"/>
  <c r="F841" i="45"/>
  <c r="F842" i="45" s="1"/>
  <c r="F843" i="45" s="1"/>
  <c r="F844" i="45" s="1"/>
  <c r="F836" i="45"/>
  <c r="F837" i="45" s="1"/>
  <c r="F838" i="45" s="1"/>
  <c r="F839" i="45" s="1"/>
  <c r="F831" i="45"/>
  <c r="F834" i="45" s="1"/>
  <c r="F826" i="45"/>
  <c r="F829" i="45" s="1"/>
  <c r="E826" i="45"/>
  <c r="D826" i="45"/>
  <c r="D827" i="45" s="1"/>
  <c r="D830" i="45" s="1"/>
  <c r="D833" i="45" s="1"/>
  <c r="D836" i="45" s="1"/>
  <c r="D839" i="45" s="1"/>
  <c r="C826" i="45"/>
  <c r="C827" i="45" s="1"/>
  <c r="C828" i="45" s="1"/>
  <c r="C829" i="45" s="1"/>
  <c r="C830" i="45" s="1"/>
  <c r="C831" i="45" s="1"/>
  <c r="C832" i="45" s="1"/>
  <c r="C833" i="45" s="1"/>
  <c r="C834" i="45" s="1"/>
  <c r="C835" i="45" s="1"/>
  <c r="C836" i="45" s="1"/>
  <c r="C837" i="45" s="1"/>
  <c r="C838" i="45" s="1"/>
  <c r="C839" i="45" s="1"/>
  <c r="C840" i="45" s="1"/>
  <c r="C841" i="45" s="1"/>
  <c r="C842" i="45" s="1"/>
  <c r="C843" i="45" s="1"/>
  <c r="C844" i="45" s="1"/>
  <c r="B826" i="45"/>
  <c r="B829" i="45" s="1"/>
  <c r="B832" i="45" s="1"/>
  <c r="B835" i="45" s="1"/>
  <c r="B838" i="45" s="1"/>
  <c r="B841" i="45" s="1"/>
  <c r="A826" i="45"/>
  <c r="A829" i="45" s="1"/>
  <c r="A832" i="45" s="1"/>
  <c r="A835" i="45" s="1"/>
  <c r="G825" i="45"/>
  <c r="G826" i="45" s="1"/>
  <c r="G827" i="45" s="1"/>
  <c r="G828" i="45" s="1"/>
  <c r="G829" i="45" s="1"/>
  <c r="F821" i="45"/>
  <c r="F822" i="45" s="1"/>
  <c r="F823" i="45" s="1"/>
  <c r="F824" i="45" s="1"/>
  <c r="F816" i="45"/>
  <c r="F817" i="45" s="1"/>
  <c r="F818" i="45" s="1"/>
  <c r="F819" i="45" s="1"/>
  <c r="F811" i="45"/>
  <c r="F814" i="45" s="1"/>
  <c r="F806" i="45"/>
  <c r="F809" i="45" s="1"/>
  <c r="E806" i="45"/>
  <c r="D806" i="45"/>
  <c r="D809" i="45" s="1"/>
  <c r="D812" i="45" s="1"/>
  <c r="D815" i="45" s="1"/>
  <c r="D818" i="45" s="1"/>
  <c r="D821" i="45" s="1"/>
  <c r="C806" i="45"/>
  <c r="C807" i="45" s="1"/>
  <c r="C808" i="45" s="1"/>
  <c r="C809" i="45" s="1"/>
  <c r="C810" i="45" s="1"/>
  <c r="C811" i="45" s="1"/>
  <c r="C812" i="45" s="1"/>
  <c r="C813" i="45" s="1"/>
  <c r="C814" i="45" s="1"/>
  <c r="C815" i="45" s="1"/>
  <c r="C816" i="45" s="1"/>
  <c r="C817" i="45" s="1"/>
  <c r="C818" i="45" s="1"/>
  <c r="C819" i="45" s="1"/>
  <c r="C820" i="45" s="1"/>
  <c r="C821" i="45" s="1"/>
  <c r="C822" i="45" s="1"/>
  <c r="C823" i="45" s="1"/>
  <c r="C824" i="45" s="1"/>
  <c r="B806" i="45"/>
  <c r="B809" i="45" s="1"/>
  <c r="B812" i="45" s="1"/>
  <c r="B815" i="45" s="1"/>
  <c r="B818" i="45" s="1"/>
  <c r="B821" i="45" s="1"/>
  <c r="A806" i="45"/>
  <c r="A809" i="45" s="1"/>
  <c r="A812" i="45" s="1"/>
  <c r="A815" i="45" s="1"/>
  <c r="G805" i="45"/>
  <c r="G806" i="45" s="1"/>
  <c r="G807" i="45" s="1"/>
  <c r="G808" i="45" s="1"/>
  <c r="G809" i="45" s="1"/>
  <c r="F801" i="45"/>
  <c r="F802" i="45" s="1"/>
  <c r="F803" i="45" s="1"/>
  <c r="F804" i="45" s="1"/>
  <c r="F796" i="45"/>
  <c r="F797" i="45" s="1"/>
  <c r="F798" i="45" s="1"/>
  <c r="F799" i="45" s="1"/>
  <c r="F791" i="45"/>
  <c r="F794" i="45" s="1"/>
  <c r="F786" i="45"/>
  <c r="F789" i="45" s="1"/>
  <c r="E786" i="45"/>
  <c r="D786" i="45"/>
  <c r="D789" i="45" s="1"/>
  <c r="D792" i="45" s="1"/>
  <c r="D795" i="45" s="1"/>
  <c r="D798" i="45" s="1"/>
  <c r="D801" i="45" s="1"/>
  <c r="C786" i="45"/>
  <c r="C787" i="45" s="1"/>
  <c r="C788" i="45" s="1"/>
  <c r="C789" i="45" s="1"/>
  <c r="C790" i="45" s="1"/>
  <c r="C791" i="45" s="1"/>
  <c r="C792" i="45" s="1"/>
  <c r="C793" i="45" s="1"/>
  <c r="C794" i="45" s="1"/>
  <c r="C795" i="45" s="1"/>
  <c r="C796" i="45" s="1"/>
  <c r="C797" i="45" s="1"/>
  <c r="C798" i="45" s="1"/>
  <c r="C799" i="45" s="1"/>
  <c r="C800" i="45" s="1"/>
  <c r="C801" i="45" s="1"/>
  <c r="C802" i="45" s="1"/>
  <c r="C803" i="45" s="1"/>
  <c r="C804" i="45" s="1"/>
  <c r="B786" i="45"/>
  <c r="B789" i="45" s="1"/>
  <c r="B792" i="45" s="1"/>
  <c r="B795" i="45" s="1"/>
  <c r="B798" i="45" s="1"/>
  <c r="B801" i="45" s="1"/>
  <c r="A786" i="45"/>
  <c r="A787" i="45" s="1"/>
  <c r="A790" i="45" s="1"/>
  <c r="G785" i="45"/>
  <c r="G786" i="45" s="1"/>
  <c r="G787" i="45" s="1"/>
  <c r="G788" i="45" s="1"/>
  <c r="G789" i="45" s="1"/>
  <c r="F781" i="45"/>
  <c r="F782" i="45" s="1"/>
  <c r="F783" i="45" s="1"/>
  <c r="F784" i="45" s="1"/>
  <c r="F776" i="45"/>
  <c r="F777" i="45" s="1"/>
  <c r="F778" i="45" s="1"/>
  <c r="F779" i="45" s="1"/>
  <c r="F771" i="45"/>
  <c r="F774" i="45" s="1"/>
  <c r="F766" i="45"/>
  <c r="F769" i="45" s="1"/>
  <c r="E766" i="45"/>
  <c r="D766" i="45"/>
  <c r="D767" i="45" s="1"/>
  <c r="D770" i="45" s="1"/>
  <c r="D773" i="45" s="1"/>
  <c r="D776" i="45" s="1"/>
  <c r="D779" i="45" s="1"/>
  <c r="B766" i="45"/>
  <c r="B769" i="45" s="1"/>
  <c r="B772" i="45" s="1"/>
  <c r="B775" i="45" s="1"/>
  <c r="B778" i="45" s="1"/>
  <c r="B781" i="45" s="1"/>
  <c r="A766" i="45"/>
  <c r="A769" i="45" s="1"/>
  <c r="A772" i="45" s="1"/>
  <c r="A775" i="45" s="1"/>
  <c r="G765" i="45"/>
  <c r="G766" i="45" s="1"/>
  <c r="G767" i="45" s="1"/>
  <c r="G768" i="45" s="1"/>
  <c r="G769" i="45" s="1"/>
  <c r="C765" i="45"/>
  <c r="M765" i="45" s="1"/>
  <c r="F761" i="45"/>
  <c r="F762" i="45" s="1"/>
  <c r="F763" i="45" s="1"/>
  <c r="F764" i="45" s="1"/>
  <c r="F756" i="45"/>
  <c r="F757" i="45" s="1"/>
  <c r="F758" i="45" s="1"/>
  <c r="F759" i="45" s="1"/>
  <c r="F751" i="45"/>
  <c r="F754" i="45" s="1"/>
  <c r="F746" i="45"/>
  <c r="F749" i="45" s="1"/>
  <c r="E746" i="45"/>
  <c r="D746" i="45"/>
  <c r="D747" i="45" s="1"/>
  <c r="D750" i="45" s="1"/>
  <c r="D753" i="45" s="1"/>
  <c r="D756" i="45" s="1"/>
  <c r="D759" i="45" s="1"/>
  <c r="B746" i="45"/>
  <c r="B749" i="45" s="1"/>
  <c r="B752" i="45" s="1"/>
  <c r="B755" i="45" s="1"/>
  <c r="B758" i="45" s="1"/>
  <c r="B761" i="45" s="1"/>
  <c r="A746" i="45"/>
  <c r="A749" i="45" s="1"/>
  <c r="A752" i="45" s="1"/>
  <c r="A755" i="45" s="1"/>
  <c r="G745" i="45"/>
  <c r="G746" i="45" s="1"/>
  <c r="G747" i="45" s="1"/>
  <c r="G748" i="45" s="1"/>
  <c r="G749" i="45" s="1"/>
  <c r="C745" i="45"/>
  <c r="M745" i="45" s="1"/>
  <c r="F741" i="45"/>
  <c r="F742" i="45" s="1"/>
  <c r="F743" i="45" s="1"/>
  <c r="F744" i="45" s="1"/>
  <c r="F736" i="45"/>
  <c r="F737" i="45" s="1"/>
  <c r="F738" i="45" s="1"/>
  <c r="F739" i="45" s="1"/>
  <c r="F731" i="45"/>
  <c r="F734" i="45" s="1"/>
  <c r="F726" i="45"/>
  <c r="F729" i="45" s="1"/>
  <c r="E726" i="45"/>
  <c r="D726" i="45"/>
  <c r="D727" i="45" s="1"/>
  <c r="D730" i="45" s="1"/>
  <c r="D733" i="45" s="1"/>
  <c r="D736" i="45" s="1"/>
  <c r="D739" i="45" s="1"/>
  <c r="B726" i="45"/>
  <c r="B729" i="45" s="1"/>
  <c r="B732" i="45" s="1"/>
  <c r="B735" i="45" s="1"/>
  <c r="B738" i="45" s="1"/>
  <c r="B741" i="45" s="1"/>
  <c r="A726" i="45"/>
  <c r="A729" i="45" s="1"/>
  <c r="A732" i="45" s="1"/>
  <c r="A735" i="45" s="1"/>
  <c r="G725" i="45"/>
  <c r="G726" i="45" s="1"/>
  <c r="G727" i="45" s="1"/>
  <c r="G728" i="45" s="1"/>
  <c r="G729" i="45" s="1"/>
  <c r="C725" i="45"/>
  <c r="M725" i="45" s="1"/>
  <c r="F621" i="45"/>
  <c r="F622" i="45" s="1"/>
  <c r="F623" i="45" s="1"/>
  <c r="F624" i="45" s="1"/>
  <c r="F616" i="45"/>
  <c r="F617" i="45" s="1"/>
  <c r="F618" i="45" s="1"/>
  <c r="F619" i="45" s="1"/>
  <c r="F611" i="45"/>
  <c r="F614" i="45" s="1"/>
  <c r="F606" i="45"/>
  <c r="E606" i="45"/>
  <c r="D606" i="45"/>
  <c r="C606" i="45"/>
  <c r="C607" i="45" s="1"/>
  <c r="C608" i="45" s="1"/>
  <c r="C609" i="45" s="1"/>
  <c r="C610" i="45" s="1"/>
  <c r="C611" i="45" s="1"/>
  <c r="C612" i="45" s="1"/>
  <c r="B606" i="45"/>
  <c r="A606" i="45"/>
  <c r="A609" i="45" s="1"/>
  <c r="A612" i="45" s="1"/>
  <c r="A615" i="45" s="1"/>
  <c r="G605" i="45"/>
  <c r="G606" i="45" s="1"/>
  <c r="G607" i="45" s="1"/>
  <c r="G608" i="45" s="1"/>
  <c r="G609" i="45" s="1"/>
  <c r="F581" i="45"/>
  <c r="F582" i="45" s="1"/>
  <c r="F583" i="45" s="1"/>
  <c r="F584" i="45" s="1"/>
  <c r="F576" i="45"/>
  <c r="F577" i="45" s="1"/>
  <c r="F578" i="45" s="1"/>
  <c r="F579" i="45" s="1"/>
  <c r="F571" i="45"/>
  <c r="F572" i="45" s="1"/>
  <c r="F573" i="45" s="1"/>
  <c r="F566" i="45"/>
  <c r="E566" i="45"/>
  <c r="D566" i="45"/>
  <c r="B566" i="45"/>
  <c r="A566" i="45"/>
  <c r="A569" i="45" s="1"/>
  <c r="A572" i="45" s="1"/>
  <c r="A575" i="45" s="1"/>
  <c r="G565" i="45"/>
  <c r="G566" i="45" s="1"/>
  <c r="G567" i="45" s="1"/>
  <c r="G568" i="45" s="1"/>
  <c r="G569" i="45" s="1"/>
  <c r="C565" i="45"/>
  <c r="M565" i="45" s="1"/>
  <c r="F441" i="45"/>
  <c r="F442" i="45" s="1"/>
  <c r="F443" i="45" s="1"/>
  <c r="F444" i="45" s="1"/>
  <c r="F436" i="45"/>
  <c r="F437" i="45" s="1"/>
  <c r="F438" i="45" s="1"/>
  <c r="F439" i="45" s="1"/>
  <c r="F431" i="45"/>
  <c r="F434" i="45" s="1"/>
  <c r="F426" i="45"/>
  <c r="F429" i="45" s="1"/>
  <c r="E426" i="45"/>
  <c r="D426" i="45"/>
  <c r="D429" i="45" s="1"/>
  <c r="D432" i="45" s="1"/>
  <c r="D435" i="45" s="1"/>
  <c r="D438" i="45" s="1"/>
  <c r="D441" i="45" s="1"/>
  <c r="C426" i="45"/>
  <c r="C427" i="45" s="1"/>
  <c r="C428" i="45" s="1"/>
  <c r="C429" i="45" s="1"/>
  <c r="C430" i="45" s="1"/>
  <c r="C431" i="45" s="1"/>
  <c r="C432" i="45" s="1"/>
  <c r="C433" i="45" s="1"/>
  <c r="C434" i="45" s="1"/>
  <c r="C435" i="45" s="1"/>
  <c r="C436" i="45" s="1"/>
  <c r="C437" i="45" s="1"/>
  <c r="C438" i="45" s="1"/>
  <c r="C439" i="45" s="1"/>
  <c r="C440" i="45" s="1"/>
  <c r="C441" i="45" s="1"/>
  <c r="C442" i="45" s="1"/>
  <c r="C443" i="45" s="1"/>
  <c r="C444" i="45" s="1"/>
  <c r="B426" i="45"/>
  <c r="B429" i="45" s="1"/>
  <c r="B432" i="45" s="1"/>
  <c r="B435" i="45" s="1"/>
  <c r="B438" i="45" s="1"/>
  <c r="B441" i="45" s="1"/>
  <c r="A426" i="45"/>
  <c r="A429" i="45" s="1"/>
  <c r="A432" i="45" s="1"/>
  <c r="A435" i="45" s="1"/>
  <c r="G425" i="45"/>
  <c r="G426" i="45" s="1"/>
  <c r="G427" i="45" s="1"/>
  <c r="G428" i="45" s="1"/>
  <c r="G429" i="45" s="1"/>
  <c r="F401" i="45"/>
  <c r="F402" i="45" s="1"/>
  <c r="F403" i="45" s="1"/>
  <c r="F404" i="45" s="1"/>
  <c r="F396" i="45"/>
  <c r="F397" i="45" s="1"/>
  <c r="F398" i="45" s="1"/>
  <c r="F399" i="45" s="1"/>
  <c r="F391" i="45"/>
  <c r="F394" i="45" s="1"/>
  <c r="F386" i="45"/>
  <c r="F389" i="45" s="1"/>
  <c r="E386" i="45"/>
  <c r="D386" i="45"/>
  <c r="D389" i="45" s="1"/>
  <c r="D392" i="45" s="1"/>
  <c r="D395" i="45" s="1"/>
  <c r="D398" i="45" s="1"/>
  <c r="D401" i="45" s="1"/>
  <c r="B386" i="45"/>
  <c r="B389" i="45" s="1"/>
  <c r="B392" i="45" s="1"/>
  <c r="B395" i="45" s="1"/>
  <c r="B398" i="45" s="1"/>
  <c r="B401" i="45" s="1"/>
  <c r="A386" i="45"/>
  <c r="A389" i="45" s="1"/>
  <c r="A392" i="45" s="1"/>
  <c r="A395" i="45" s="1"/>
  <c r="G385" i="45"/>
  <c r="G386" i="45" s="1"/>
  <c r="G387" i="45" s="1"/>
  <c r="G388" i="45" s="1"/>
  <c r="G389" i="45" s="1"/>
  <c r="C385" i="45"/>
  <c r="M385" i="45" s="1"/>
  <c r="F261" i="45"/>
  <c r="F262" i="45" s="1"/>
  <c r="F263" i="45" s="1"/>
  <c r="F264" i="45" s="1"/>
  <c r="F256" i="45"/>
  <c r="F257" i="45" s="1"/>
  <c r="F258" i="45" s="1"/>
  <c r="F259" i="45" s="1"/>
  <c r="F251" i="45"/>
  <c r="F254" i="45" s="1"/>
  <c r="F246" i="45"/>
  <c r="F249" i="45" s="1"/>
  <c r="E246" i="45"/>
  <c r="D246" i="45"/>
  <c r="D249" i="45" s="1"/>
  <c r="D252" i="45" s="1"/>
  <c r="D255" i="45" s="1"/>
  <c r="D258" i="45" s="1"/>
  <c r="D261" i="45" s="1"/>
  <c r="C246" i="45"/>
  <c r="C247" i="45" s="1"/>
  <c r="C248" i="45" s="1"/>
  <c r="C249" i="45" s="1"/>
  <c r="C250" i="45" s="1"/>
  <c r="C251" i="45" s="1"/>
  <c r="C252" i="45" s="1"/>
  <c r="C253" i="45" s="1"/>
  <c r="C254" i="45" s="1"/>
  <c r="C255" i="45" s="1"/>
  <c r="C256" i="45" s="1"/>
  <c r="C257" i="45" s="1"/>
  <c r="C258" i="45" s="1"/>
  <c r="C259" i="45" s="1"/>
  <c r="C260" i="45" s="1"/>
  <c r="C261" i="45" s="1"/>
  <c r="C262" i="45" s="1"/>
  <c r="C263" i="45" s="1"/>
  <c r="C264" i="45" s="1"/>
  <c r="B246" i="45"/>
  <c r="B249" i="45" s="1"/>
  <c r="B252" i="45" s="1"/>
  <c r="B255" i="45" s="1"/>
  <c r="B258" i="45" s="1"/>
  <c r="B261" i="45" s="1"/>
  <c r="A246" i="45"/>
  <c r="A249" i="45" s="1"/>
  <c r="A252" i="45" s="1"/>
  <c r="A255" i="45" s="1"/>
  <c r="G245" i="45"/>
  <c r="G246" i="45" s="1"/>
  <c r="G247" i="45" s="1"/>
  <c r="G248" i="45" s="1"/>
  <c r="G249" i="45" s="1"/>
  <c r="F221" i="45"/>
  <c r="F222" i="45" s="1"/>
  <c r="F223" i="45" s="1"/>
  <c r="F224" i="45" s="1"/>
  <c r="F216" i="45"/>
  <c r="F217" i="45" s="1"/>
  <c r="F218" i="45" s="1"/>
  <c r="F219" i="45" s="1"/>
  <c r="F211" i="45"/>
  <c r="F214" i="45" s="1"/>
  <c r="F206" i="45"/>
  <c r="F209" i="45" s="1"/>
  <c r="E206" i="45"/>
  <c r="D206" i="45"/>
  <c r="D209" i="45" s="1"/>
  <c r="D212" i="45" s="1"/>
  <c r="D215" i="45" s="1"/>
  <c r="D218" i="45" s="1"/>
  <c r="D221" i="45" s="1"/>
  <c r="B206" i="45"/>
  <c r="B209" i="45" s="1"/>
  <c r="B212" i="45" s="1"/>
  <c r="B215" i="45" s="1"/>
  <c r="B218" i="45" s="1"/>
  <c r="B221" i="45" s="1"/>
  <c r="A206" i="45"/>
  <c r="A209" i="45" s="1"/>
  <c r="A212" i="45" s="1"/>
  <c r="A215" i="45" s="1"/>
  <c r="G205" i="45"/>
  <c r="G206" i="45" s="1"/>
  <c r="G207" i="45" s="1"/>
  <c r="G208" i="45" s="1"/>
  <c r="G209" i="45" s="1"/>
  <c r="C205" i="45"/>
  <c r="M205" i="45" s="1"/>
  <c r="F81" i="45"/>
  <c r="F82" i="45" s="1"/>
  <c r="F83" i="45" s="1"/>
  <c r="F84" i="45" s="1"/>
  <c r="F76" i="45"/>
  <c r="F77" i="45" s="1"/>
  <c r="F78" i="45" s="1"/>
  <c r="F79" i="45" s="1"/>
  <c r="F71" i="45"/>
  <c r="F74" i="45" s="1"/>
  <c r="F66" i="45"/>
  <c r="F69" i="45" s="1"/>
  <c r="E66" i="45"/>
  <c r="D66" i="45"/>
  <c r="D69" i="45" s="1"/>
  <c r="D72" i="45" s="1"/>
  <c r="D75" i="45" s="1"/>
  <c r="D78" i="45" s="1"/>
  <c r="D81" i="45" s="1"/>
  <c r="B66" i="45"/>
  <c r="B69" i="45" s="1"/>
  <c r="B72" i="45" s="1"/>
  <c r="A66" i="45"/>
  <c r="A69" i="45" s="1"/>
  <c r="A72" i="45" s="1"/>
  <c r="A75" i="45" s="1"/>
  <c r="G65" i="45"/>
  <c r="G66" i="45" s="1"/>
  <c r="G67" i="45" s="1"/>
  <c r="G68" i="45" s="1"/>
  <c r="G69" i="45" s="1"/>
  <c r="F41" i="45"/>
  <c r="F42" i="45" s="1"/>
  <c r="F43" i="45" s="1"/>
  <c r="F44" i="45" s="1"/>
  <c r="F36" i="45"/>
  <c r="F37" i="45" s="1"/>
  <c r="F38" i="45" s="1"/>
  <c r="F39" i="45" s="1"/>
  <c r="F31" i="45"/>
  <c r="F34" i="45" s="1"/>
  <c r="F26" i="45"/>
  <c r="F29" i="45" s="1"/>
  <c r="E26" i="45"/>
  <c r="D26" i="45"/>
  <c r="D29" i="45" s="1"/>
  <c r="D32" i="45" s="1"/>
  <c r="D35" i="45" s="1"/>
  <c r="D38" i="45" s="1"/>
  <c r="D41" i="45" s="1"/>
  <c r="B26" i="45"/>
  <c r="B29" i="45" s="1"/>
  <c r="B32" i="45" s="1"/>
  <c r="A26" i="45"/>
  <c r="A29" i="45" s="1"/>
  <c r="A32" i="45" s="1"/>
  <c r="A35" i="45" s="1"/>
  <c r="G25" i="45"/>
  <c r="G26" i="45" s="1"/>
  <c r="G27" i="45" s="1"/>
  <c r="G28" i="45" s="1"/>
  <c r="G29" i="45" s="1"/>
  <c r="C25" i="45"/>
  <c r="M25" i="45" s="1"/>
  <c r="D137" i="43"/>
  <c r="D136" i="43"/>
  <c r="D135" i="43"/>
  <c r="D134" i="43"/>
  <c r="D133" i="43"/>
  <c r="D132" i="43"/>
  <c r="D131" i="43"/>
  <c r="D130" i="43"/>
  <c r="D129" i="43"/>
  <c r="D128" i="43"/>
  <c r="D127" i="43"/>
  <c r="D126" i="43"/>
  <c r="D125" i="43"/>
  <c r="D124" i="43"/>
  <c r="D123" i="43"/>
  <c r="E1071" i="45" l="1"/>
  <c r="M1071" i="45" s="1"/>
  <c r="E1158" i="45"/>
  <c r="M1158" i="45" s="1"/>
  <c r="Q905" i="45"/>
  <c r="Q1105" i="45"/>
  <c r="Q925" i="45"/>
  <c r="Q1125" i="45"/>
  <c r="Q1065" i="45"/>
  <c r="Q945" i="45"/>
  <c r="Q1085" i="45"/>
  <c r="Q1225" i="45"/>
  <c r="P905" i="45"/>
  <c r="P1105" i="45"/>
  <c r="P925" i="45"/>
  <c r="P1125" i="45"/>
  <c r="P945" i="45"/>
  <c r="P1085" i="45"/>
  <c r="M246" i="45"/>
  <c r="M426" i="45"/>
  <c r="M606" i="45"/>
  <c r="M786" i="45"/>
  <c r="M806" i="45"/>
  <c r="M826" i="45"/>
  <c r="M846" i="45"/>
  <c r="M866" i="45"/>
  <c r="M886" i="45"/>
  <c r="M988" i="45"/>
  <c r="Q985" i="45" s="1"/>
  <c r="M1148" i="45"/>
  <c r="Q1145" i="45" s="1"/>
  <c r="M1188" i="45"/>
  <c r="Q1185" i="45" s="1"/>
  <c r="M1208" i="45"/>
  <c r="Q1205" i="45" s="1"/>
  <c r="M1168" i="45"/>
  <c r="Q1165" i="45" s="1"/>
  <c r="M1248" i="45"/>
  <c r="Q1245" i="45" s="1"/>
  <c r="M968" i="45"/>
  <c r="Q965" i="45" s="1"/>
  <c r="M1028" i="45"/>
  <c r="Q1025" i="45" s="1"/>
  <c r="M1048" i="45"/>
  <c r="Q1045" i="45" s="1"/>
  <c r="M1008" i="45"/>
  <c r="Q1005" i="45" s="1"/>
  <c r="E1138" i="45"/>
  <c r="M1138" i="45" s="1"/>
  <c r="E1073" i="45"/>
  <c r="E1076" i="45" s="1"/>
  <c r="M1076" i="45" s="1"/>
  <c r="N1065" i="45"/>
  <c r="E1038" i="45"/>
  <c r="M1038" i="45" s="1"/>
  <c r="E1098" i="45"/>
  <c r="M1098" i="45" s="1"/>
  <c r="E1118" i="45"/>
  <c r="M1118" i="45" s="1"/>
  <c r="N925" i="45"/>
  <c r="N1085" i="45"/>
  <c r="N905" i="45"/>
  <c r="E1233" i="45"/>
  <c r="M1233" i="45" s="1"/>
  <c r="E1078" i="45"/>
  <c r="M1078" i="45" s="1"/>
  <c r="E1198" i="45"/>
  <c r="M1198" i="45" s="1"/>
  <c r="E1231" i="45"/>
  <c r="M1231" i="45" s="1"/>
  <c r="N1225" i="45"/>
  <c r="N1125" i="45"/>
  <c r="N945" i="45"/>
  <c r="N1105" i="45"/>
  <c r="C386" i="45"/>
  <c r="C387" i="45" s="1"/>
  <c r="C388" i="45" s="1"/>
  <c r="C389" i="45" s="1"/>
  <c r="C390" i="45" s="1"/>
  <c r="C391" i="45" s="1"/>
  <c r="C392" i="45" s="1"/>
  <c r="C393" i="45" s="1"/>
  <c r="C394" i="45" s="1"/>
  <c r="C395" i="45" s="1"/>
  <c r="C396" i="45" s="1"/>
  <c r="C397" i="45" s="1"/>
  <c r="C398" i="45" s="1"/>
  <c r="C399" i="45" s="1"/>
  <c r="C400" i="45" s="1"/>
  <c r="C401" i="45" s="1"/>
  <c r="C402" i="45" s="1"/>
  <c r="C403" i="45" s="1"/>
  <c r="C404" i="45" s="1"/>
  <c r="C206" i="45"/>
  <c r="C207" i="45" s="1"/>
  <c r="C208" i="45" s="1"/>
  <c r="C209" i="45" s="1"/>
  <c r="C210" i="45" s="1"/>
  <c r="C211" i="45" s="1"/>
  <c r="C212" i="45" s="1"/>
  <c r="C213" i="45" s="1"/>
  <c r="C214" i="45" s="1"/>
  <c r="C215" i="45" s="1"/>
  <c r="C216" i="45" s="1"/>
  <c r="C217" i="45" s="1"/>
  <c r="C218" i="45" s="1"/>
  <c r="C219" i="45" s="1"/>
  <c r="C220" i="45" s="1"/>
  <c r="C221" i="45" s="1"/>
  <c r="C222" i="45" s="1"/>
  <c r="C223" i="45" s="1"/>
  <c r="C224" i="45" s="1"/>
  <c r="C566" i="45"/>
  <c r="C567" i="45" s="1"/>
  <c r="C568" i="45" s="1"/>
  <c r="C569" i="45" s="1"/>
  <c r="C570" i="45" s="1"/>
  <c r="C571" i="45" s="1"/>
  <c r="C572" i="45" s="1"/>
  <c r="C573" i="45" s="1"/>
  <c r="C574" i="45" s="1"/>
  <c r="C575" i="45" s="1"/>
  <c r="C576" i="45" s="1"/>
  <c r="C577" i="45" s="1"/>
  <c r="C578" i="45" s="1"/>
  <c r="C579" i="45" s="1"/>
  <c r="C580" i="45" s="1"/>
  <c r="C581" i="45" s="1"/>
  <c r="C582" i="45" s="1"/>
  <c r="C583" i="45" s="1"/>
  <c r="C584" i="45" s="1"/>
  <c r="E69" i="45"/>
  <c r="E72" i="45" s="1"/>
  <c r="E209" i="45"/>
  <c r="E212" i="45" s="1"/>
  <c r="E249" i="45"/>
  <c r="E252" i="45" s="1"/>
  <c r="M252" i="45" s="1"/>
  <c r="E389" i="45"/>
  <c r="E392" i="45" s="1"/>
  <c r="E429" i="45"/>
  <c r="E432" i="45" s="1"/>
  <c r="M432" i="45" s="1"/>
  <c r="E569" i="45"/>
  <c r="E572" i="45" s="1"/>
  <c r="E607" i="45"/>
  <c r="M607" i="45" s="1"/>
  <c r="E729" i="45"/>
  <c r="E732" i="45" s="1"/>
  <c r="E749" i="45"/>
  <c r="E752" i="45" s="1"/>
  <c r="E769" i="45"/>
  <c r="E772" i="45" s="1"/>
  <c r="E775" i="45" s="1"/>
  <c r="E789" i="45"/>
  <c r="E792" i="45" s="1"/>
  <c r="M792" i="45" s="1"/>
  <c r="E809" i="45"/>
  <c r="E812" i="45" s="1"/>
  <c r="M812" i="45" s="1"/>
  <c r="E829" i="45"/>
  <c r="E832" i="45" s="1"/>
  <c r="M832" i="45" s="1"/>
  <c r="E849" i="45"/>
  <c r="E852" i="45" s="1"/>
  <c r="M852" i="45" s="1"/>
  <c r="E869" i="45"/>
  <c r="E872" i="45" s="1"/>
  <c r="M872" i="45" s="1"/>
  <c r="E889" i="45"/>
  <c r="E892" i="45" s="1"/>
  <c r="M892" i="45" s="1"/>
  <c r="E1061" i="45"/>
  <c r="M1061" i="45" s="1"/>
  <c r="E1258" i="45"/>
  <c r="M1258" i="45" s="1"/>
  <c r="E1238" i="45"/>
  <c r="M1238" i="45" s="1"/>
  <c r="E1171" i="45"/>
  <c r="M1171" i="45" s="1"/>
  <c r="E1173" i="45"/>
  <c r="M1173" i="45" s="1"/>
  <c r="E1178" i="45"/>
  <c r="M1178" i="45" s="1"/>
  <c r="E938" i="45"/>
  <c r="M938" i="45" s="1"/>
  <c r="E958" i="45"/>
  <c r="M958" i="45" s="1"/>
  <c r="E978" i="45"/>
  <c r="M978" i="45" s="1"/>
  <c r="E998" i="45"/>
  <c r="M998" i="45" s="1"/>
  <c r="E1018" i="45"/>
  <c r="M1018" i="45" s="1"/>
  <c r="E931" i="45"/>
  <c r="M931" i="45" s="1"/>
  <c r="E933" i="45"/>
  <c r="M933" i="45" s="1"/>
  <c r="E1251" i="45"/>
  <c r="M1251" i="45" s="1"/>
  <c r="C2918" i="45"/>
  <c r="C2898" i="45"/>
  <c r="C2938" i="45"/>
  <c r="C2718" i="45"/>
  <c r="C2738" i="45"/>
  <c r="C2758" i="45"/>
  <c r="C2538" i="45"/>
  <c r="C2558" i="45"/>
  <c r="C2358" i="45"/>
  <c r="C2398" i="45"/>
  <c r="C2378" i="45"/>
  <c r="G930" i="45"/>
  <c r="G931" i="45" s="1"/>
  <c r="G932" i="45" s="1"/>
  <c r="G933" i="45" s="1"/>
  <c r="G934" i="45" s="1"/>
  <c r="E1053" i="45"/>
  <c r="M1053" i="45" s="1"/>
  <c r="E993" i="45"/>
  <c r="M993" i="45" s="1"/>
  <c r="E1093" i="45"/>
  <c r="M1093" i="45" s="1"/>
  <c r="E1218" i="45"/>
  <c r="M1218" i="45" s="1"/>
  <c r="E1113" i="45"/>
  <c r="M1113" i="45" s="1"/>
  <c r="E1213" i="45"/>
  <c r="M1213" i="45" s="1"/>
  <c r="E1121" i="45"/>
  <c r="M1121" i="45" s="1"/>
  <c r="E973" i="45"/>
  <c r="M973" i="45" s="1"/>
  <c r="E953" i="45"/>
  <c r="M953" i="45" s="1"/>
  <c r="E1033" i="45"/>
  <c r="M1033" i="45" s="1"/>
  <c r="E913" i="45"/>
  <c r="M913" i="45" s="1"/>
  <c r="E1013" i="45"/>
  <c r="M1013" i="45" s="1"/>
  <c r="E1133" i="45"/>
  <c r="M1133" i="45" s="1"/>
  <c r="E1153" i="45"/>
  <c r="M1153" i="45" s="1"/>
  <c r="E1193" i="45"/>
  <c r="M1193" i="45" s="1"/>
  <c r="E1253" i="45"/>
  <c r="M1253" i="45" s="1"/>
  <c r="E1041" i="45"/>
  <c r="M1041" i="45" s="1"/>
  <c r="E921" i="45"/>
  <c r="M921" i="45" s="1"/>
  <c r="B1153" i="45"/>
  <c r="B1156" i="45" s="1"/>
  <c r="B1159" i="45" s="1"/>
  <c r="G1150" i="45"/>
  <c r="G1151" i="45" s="1"/>
  <c r="G1152" i="45" s="1"/>
  <c r="G1153" i="45" s="1"/>
  <c r="G1154" i="45" s="1"/>
  <c r="G1110" i="45"/>
  <c r="G1111" i="45" s="1"/>
  <c r="G1112" i="45" s="1"/>
  <c r="G1113" i="45" s="1"/>
  <c r="G1114" i="45" s="1"/>
  <c r="A1113" i="45"/>
  <c r="A1116" i="45" s="1"/>
  <c r="A1119" i="45" s="1"/>
  <c r="D1204" i="45"/>
  <c r="D1202" i="45"/>
  <c r="E1131" i="45"/>
  <c r="M1131" i="45" s="1"/>
  <c r="E1151" i="45"/>
  <c r="M1151" i="45" s="1"/>
  <c r="E1191" i="45"/>
  <c r="M1191" i="45" s="1"/>
  <c r="B1104" i="45"/>
  <c r="B1102" i="45"/>
  <c r="D1124" i="45"/>
  <c r="D1122" i="45"/>
  <c r="B1144" i="45"/>
  <c r="B1142" i="45"/>
  <c r="G1100" i="45"/>
  <c r="G1101" i="45" s="1"/>
  <c r="G1102" i="45" s="1"/>
  <c r="G1103" i="45" s="1"/>
  <c r="G1104" i="45" s="1"/>
  <c r="A1103" i="45"/>
  <c r="E1111" i="45"/>
  <c r="A1213" i="45"/>
  <c r="A1216" i="45" s="1"/>
  <c r="A1219" i="45" s="1"/>
  <c r="G1210" i="45"/>
  <c r="G1211" i="45" s="1"/>
  <c r="G1212" i="45" s="1"/>
  <c r="G1213" i="45" s="1"/>
  <c r="G1214" i="45" s="1"/>
  <c r="E1211" i="45"/>
  <c r="G1130" i="45"/>
  <c r="G1131" i="45" s="1"/>
  <c r="G1132" i="45" s="1"/>
  <c r="G1133" i="45" s="1"/>
  <c r="G1134" i="45" s="1"/>
  <c r="A1133" i="45"/>
  <c r="A1136" i="45" s="1"/>
  <c r="A1139" i="45" s="1"/>
  <c r="D1184" i="45"/>
  <c r="D1182" i="45"/>
  <c r="G1190" i="45"/>
  <c r="G1191" i="45" s="1"/>
  <c r="G1192" i="45" s="1"/>
  <c r="G1193" i="45" s="1"/>
  <c r="G1194" i="45" s="1"/>
  <c r="A1193" i="45"/>
  <c r="A1196" i="45" s="1"/>
  <c r="A1199" i="45" s="1"/>
  <c r="G1240" i="45"/>
  <c r="G1241" i="45" s="1"/>
  <c r="G1242" i="45" s="1"/>
  <c r="G1243" i="45" s="1"/>
  <c r="G1244" i="45" s="1"/>
  <c r="D1224" i="45"/>
  <c r="D1222" i="45"/>
  <c r="D1244" i="45"/>
  <c r="D1242" i="45"/>
  <c r="D1264" i="45"/>
  <c r="D1262" i="45"/>
  <c r="D1104" i="45"/>
  <c r="D1102" i="45"/>
  <c r="B1124" i="45"/>
  <c r="B1122" i="45"/>
  <c r="B1163" i="45"/>
  <c r="G1160" i="45"/>
  <c r="G1161" i="45" s="1"/>
  <c r="G1162" i="45" s="1"/>
  <c r="G1163" i="45" s="1"/>
  <c r="G1164" i="45" s="1"/>
  <c r="G1180" i="45"/>
  <c r="G1181" i="45" s="1"/>
  <c r="G1182" i="45" s="1"/>
  <c r="G1183" i="45" s="1"/>
  <c r="G1184" i="45" s="1"/>
  <c r="E1091" i="45"/>
  <c r="G1120" i="45"/>
  <c r="G1121" i="45" s="1"/>
  <c r="G1122" i="45" s="1"/>
  <c r="G1123" i="45" s="1"/>
  <c r="G1124" i="45" s="1"/>
  <c r="A1123" i="45"/>
  <c r="D1144" i="45"/>
  <c r="D1142" i="45"/>
  <c r="B1173" i="45"/>
  <c r="B1176" i="45" s="1"/>
  <c r="B1179" i="45" s="1"/>
  <c r="G1170" i="45"/>
  <c r="G1171" i="45" s="1"/>
  <c r="G1172" i="45" s="1"/>
  <c r="G1173" i="45" s="1"/>
  <c r="G1174" i="45" s="1"/>
  <c r="B1224" i="45"/>
  <c r="B1222" i="45"/>
  <c r="G1260" i="45"/>
  <c r="G1261" i="45" s="1"/>
  <c r="G1262" i="45" s="1"/>
  <c r="G1263" i="45" s="1"/>
  <c r="G1264" i="45" s="1"/>
  <c r="B1233" i="45"/>
  <c r="B1236" i="45" s="1"/>
  <c r="B1239" i="45" s="1"/>
  <c r="G1230" i="45"/>
  <c r="G1231" i="45" s="1"/>
  <c r="G1232" i="45" s="1"/>
  <c r="G1233" i="45" s="1"/>
  <c r="G1234" i="45" s="1"/>
  <c r="B1253" i="45"/>
  <c r="B1256" i="45" s="1"/>
  <c r="B1259" i="45" s="1"/>
  <c r="G1250" i="45"/>
  <c r="G1251" i="45" s="1"/>
  <c r="G1252" i="45" s="1"/>
  <c r="G1253" i="45" s="1"/>
  <c r="G1254" i="45" s="1"/>
  <c r="G1090" i="45"/>
  <c r="G1091" i="45" s="1"/>
  <c r="G1092" i="45" s="1"/>
  <c r="G1093" i="45" s="1"/>
  <c r="G1094" i="45" s="1"/>
  <c r="A1093" i="45"/>
  <c r="A1096" i="45" s="1"/>
  <c r="A1099" i="45" s="1"/>
  <c r="G1220" i="45"/>
  <c r="G1221" i="45" s="1"/>
  <c r="G1222" i="45" s="1"/>
  <c r="G1223" i="45" s="1"/>
  <c r="G1224" i="45" s="1"/>
  <c r="A1223" i="45"/>
  <c r="G1140" i="45"/>
  <c r="G1141" i="45" s="1"/>
  <c r="G1142" i="45" s="1"/>
  <c r="G1143" i="45" s="1"/>
  <c r="G1144" i="45" s="1"/>
  <c r="A1143" i="45"/>
  <c r="G1200" i="45"/>
  <c r="G1201" i="45" s="1"/>
  <c r="G1202" i="45" s="1"/>
  <c r="G1203" i="45" s="1"/>
  <c r="G1204" i="45" s="1"/>
  <c r="A1203" i="45"/>
  <c r="A923" i="45"/>
  <c r="G920" i="45"/>
  <c r="G921" i="45" s="1"/>
  <c r="G922" i="45" s="1"/>
  <c r="G923" i="45" s="1"/>
  <c r="G924" i="45" s="1"/>
  <c r="B944" i="45"/>
  <c r="B942" i="45"/>
  <c r="D964" i="45"/>
  <c r="D962" i="45"/>
  <c r="E971" i="45"/>
  <c r="G1020" i="45"/>
  <c r="G1021" i="45" s="1"/>
  <c r="G1022" i="45" s="1"/>
  <c r="G1023" i="45" s="1"/>
  <c r="G1024" i="45" s="1"/>
  <c r="A1023" i="45"/>
  <c r="B984" i="45"/>
  <c r="B982" i="45"/>
  <c r="G990" i="45"/>
  <c r="G991" i="45" s="1"/>
  <c r="G992" i="45" s="1"/>
  <c r="G993" i="45" s="1"/>
  <c r="G994" i="45" s="1"/>
  <c r="A993" i="45"/>
  <c r="A996" i="45" s="1"/>
  <c r="A999" i="45" s="1"/>
  <c r="E1031" i="45"/>
  <c r="M1031" i="45" s="1"/>
  <c r="A1063" i="45"/>
  <c r="G1060" i="45"/>
  <c r="G1061" i="45" s="1"/>
  <c r="G1062" i="45" s="1"/>
  <c r="G1063" i="45" s="1"/>
  <c r="G1064" i="45" s="1"/>
  <c r="E1074" i="45"/>
  <c r="E1077" i="45" s="1"/>
  <c r="M1077" i="45" s="1"/>
  <c r="B1064" i="45"/>
  <c r="B1062" i="45"/>
  <c r="B1073" i="45"/>
  <c r="B1076" i="45" s="1"/>
  <c r="B1079" i="45" s="1"/>
  <c r="G1070" i="45"/>
  <c r="G1071" i="45" s="1"/>
  <c r="G1072" i="45" s="1"/>
  <c r="G1073" i="45" s="1"/>
  <c r="G1074" i="45" s="1"/>
  <c r="D924" i="45"/>
  <c r="D922" i="45"/>
  <c r="G940" i="45"/>
  <c r="G941" i="45" s="1"/>
  <c r="G942" i="45" s="1"/>
  <c r="G943" i="45" s="1"/>
  <c r="G944" i="45" s="1"/>
  <c r="D944" i="45"/>
  <c r="D942" i="45"/>
  <c r="B964" i="45"/>
  <c r="B962" i="45"/>
  <c r="A973" i="45"/>
  <c r="A976" i="45" s="1"/>
  <c r="A979" i="45" s="1"/>
  <c r="G970" i="45"/>
  <c r="G971" i="45" s="1"/>
  <c r="G972" i="45" s="1"/>
  <c r="G973" i="45" s="1"/>
  <c r="G974" i="45" s="1"/>
  <c r="D1004" i="45"/>
  <c r="D1002" i="45"/>
  <c r="G950" i="45"/>
  <c r="G951" i="45" s="1"/>
  <c r="G952" i="45" s="1"/>
  <c r="G953" i="45" s="1"/>
  <c r="G954" i="45" s="1"/>
  <c r="A953" i="45"/>
  <c r="A956" i="45" s="1"/>
  <c r="A959" i="45" s="1"/>
  <c r="D984" i="45"/>
  <c r="D982" i="45"/>
  <c r="E991" i="45"/>
  <c r="M991" i="45" s="1"/>
  <c r="D1024" i="45"/>
  <c r="D1022" i="45"/>
  <c r="A1033" i="45"/>
  <c r="A1036" i="45" s="1"/>
  <c r="A1039" i="45" s="1"/>
  <c r="G1030" i="45"/>
  <c r="G1031" i="45" s="1"/>
  <c r="G1032" i="45" s="1"/>
  <c r="G1033" i="45" s="1"/>
  <c r="G1034" i="45" s="1"/>
  <c r="A913" i="45"/>
  <c r="A916" i="45" s="1"/>
  <c r="A919" i="45" s="1"/>
  <c r="G910" i="45"/>
  <c r="G911" i="45" s="1"/>
  <c r="G912" i="45" s="1"/>
  <c r="G913" i="45" s="1"/>
  <c r="G914" i="45" s="1"/>
  <c r="A944" i="45"/>
  <c r="A942" i="45"/>
  <c r="B1004" i="45"/>
  <c r="B1002" i="45"/>
  <c r="G1010" i="45"/>
  <c r="G1011" i="45" s="1"/>
  <c r="G1012" i="45" s="1"/>
  <c r="G1013" i="45" s="1"/>
  <c r="G1014" i="45" s="1"/>
  <c r="A1013" i="45"/>
  <c r="A1016" i="45" s="1"/>
  <c r="A1019" i="45" s="1"/>
  <c r="E951" i="45"/>
  <c r="G1000" i="45"/>
  <c r="G1001" i="45" s="1"/>
  <c r="G1002" i="45" s="1"/>
  <c r="G1003" i="45" s="1"/>
  <c r="G1004" i="45" s="1"/>
  <c r="A1003" i="45"/>
  <c r="B1024" i="45"/>
  <c r="B1022" i="45"/>
  <c r="A1053" i="45"/>
  <c r="A1056" i="45" s="1"/>
  <c r="A1059" i="45" s="1"/>
  <c r="G1050" i="45"/>
  <c r="G1051" i="45" s="1"/>
  <c r="G1052" i="45" s="1"/>
  <c r="G1053" i="45" s="1"/>
  <c r="G1054" i="45" s="1"/>
  <c r="E1051" i="45"/>
  <c r="D1044" i="45"/>
  <c r="D1042" i="45"/>
  <c r="B1083" i="45"/>
  <c r="G1080" i="45"/>
  <c r="G1081" i="45" s="1"/>
  <c r="G1082" i="45" s="1"/>
  <c r="G1083" i="45" s="1"/>
  <c r="G1084" i="45" s="1"/>
  <c r="E911" i="45"/>
  <c r="A983" i="45"/>
  <c r="G980" i="45"/>
  <c r="G981" i="45" s="1"/>
  <c r="G982" i="45" s="1"/>
  <c r="G983" i="45" s="1"/>
  <c r="G984" i="45" s="1"/>
  <c r="E1011" i="45"/>
  <c r="G960" i="45"/>
  <c r="G961" i="45" s="1"/>
  <c r="G962" i="45" s="1"/>
  <c r="G963" i="45" s="1"/>
  <c r="G964" i="45" s="1"/>
  <c r="A963" i="45"/>
  <c r="G1040" i="45"/>
  <c r="G1041" i="45" s="1"/>
  <c r="G1042" i="45" s="1"/>
  <c r="G1043" i="45" s="1"/>
  <c r="G1044" i="45" s="1"/>
  <c r="A1043" i="45"/>
  <c r="B1044" i="45"/>
  <c r="B1042" i="45"/>
  <c r="D1064" i="45"/>
  <c r="D1062" i="45"/>
  <c r="D1084" i="45"/>
  <c r="D1082" i="45"/>
  <c r="D829" i="45"/>
  <c r="D832" i="45" s="1"/>
  <c r="D835" i="45" s="1"/>
  <c r="D838" i="45" s="1"/>
  <c r="D841" i="45" s="1"/>
  <c r="D749" i="45"/>
  <c r="D752" i="45" s="1"/>
  <c r="D755" i="45" s="1"/>
  <c r="D758" i="45" s="1"/>
  <c r="D761" i="45" s="1"/>
  <c r="B807" i="45"/>
  <c r="B810" i="45" s="1"/>
  <c r="B813" i="45" s="1"/>
  <c r="B816" i="45" s="1"/>
  <c r="B819" i="45" s="1"/>
  <c r="B824" i="45" s="1"/>
  <c r="B827" i="45"/>
  <c r="B830" i="45" s="1"/>
  <c r="B833" i="45" s="1"/>
  <c r="B836" i="45" s="1"/>
  <c r="B839" i="45" s="1"/>
  <c r="B842" i="45" s="1"/>
  <c r="F727" i="45"/>
  <c r="F728" i="45" s="1"/>
  <c r="B747" i="45"/>
  <c r="B750" i="45" s="1"/>
  <c r="B753" i="45" s="1"/>
  <c r="B756" i="45" s="1"/>
  <c r="B759" i="45" s="1"/>
  <c r="B764" i="45" s="1"/>
  <c r="F767" i="45"/>
  <c r="F768" i="45" s="1"/>
  <c r="E847" i="45"/>
  <c r="M847" i="45" s="1"/>
  <c r="E887" i="45"/>
  <c r="M887" i="45" s="1"/>
  <c r="B727" i="45"/>
  <c r="B730" i="45" s="1"/>
  <c r="B733" i="45" s="1"/>
  <c r="B736" i="45" s="1"/>
  <c r="B739" i="45" s="1"/>
  <c r="B744" i="45" s="1"/>
  <c r="D729" i="45"/>
  <c r="D732" i="45" s="1"/>
  <c r="D735" i="45" s="1"/>
  <c r="D738" i="45" s="1"/>
  <c r="D741" i="45" s="1"/>
  <c r="F747" i="45"/>
  <c r="F748" i="45" s="1"/>
  <c r="B767" i="45"/>
  <c r="B770" i="45" s="1"/>
  <c r="B773" i="45" s="1"/>
  <c r="B776" i="45" s="1"/>
  <c r="B779" i="45" s="1"/>
  <c r="B782" i="45" s="1"/>
  <c r="D769" i="45"/>
  <c r="D772" i="45" s="1"/>
  <c r="D775" i="45" s="1"/>
  <c r="D778" i="45" s="1"/>
  <c r="D781" i="45" s="1"/>
  <c r="F807" i="45"/>
  <c r="F808" i="45" s="1"/>
  <c r="F827" i="45"/>
  <c r="F828" i="45" s="1"/>
  <c r="E867" i="45"/>
  <c r="M867" i="45" s="1"/>
  <c r="A887" i="45"/>
  <c r="A888" i="45" s="1"/>
  <c r="A891" i="45" s="1"/>
  <c r="A894" i="45" s="1"/>
  <c r="A897" i="45" s="1"/>
  <c r="A900" i="45" s="1"/>
  <c r="A867" i="45"/>
  <c r="A868" i="45" s="1"/>
  <c r="A871" i="45" s="1"/>
  <c r="A874" i="45" s="1"/>
  <c r="A877" i="45" s="1"/>
  <c r="A880" i="45" s="1"/>
  <c r="A847" i="45"/>
  <c r="A850" i="45" s="1"/>
  <c r="A853" i="45" s="1"/>
  <c r="A856" i="45" s="1"/>
  <c r="A859" i="45" s="1"/>
  <c r="A567" i="45"/>
  <c r="A570" i="45" s="1"/>
  <c r="F612" i="45"/>
  <c r="F613" i="45" s="1"/>
  <c r="C726" i="45"/>
  <c r="C727" i="45" s="1"/>
  <c r="C728" i="45" s="1"/>
  <c r="C729" i="45" s="1"/>
  <c r="C730" i="45" s="1"/>
  <c r="C731" i="45" s="1"/>
  <c r="C732" i="45" s="1"/>
  <c r="C733" i="45" s="1"/>
  <c r="C734" i="45" s="1"/>
  <c r="C735" i="45" s="1"/>
  <c r="C736" i="45" s="1"/>
  <c r="C737" i="45" s="1"/>
  <c r="C738" i="45" s="1"/>
  <c r="C739" i="45" s="1"/>
  <c r="C740" i="45" s="1"/>
  <c r="C741" i="45" s="1"/>
  <c r="C742" i="45" s="1"/>
  <c r="C743" i="45" s="1"/>
  <c r="C744" i="45" s="1"/>
  <c r="C746" i="45"/>
  <c r="C747" i="45" s="1"/>
  <c r="C748" i="45" s="1"/>
  <c r="C749" i="45" s="1"/>
  <c r="C750" i="45" s="1"/>
  <c r="C751" i="45" s="1"/>
  <c r="C752" i="45" s="1"/>
  <c r="C753" i="45" s="1"/>
  <c r="C754" i="45" s="1"/>
  <c r="C755" i="45" s="1"/>
  <c r="C756" i="45" s="1"/>
  <c r="C757" i="45" s="1"/>
  <c r="C758" i="45" s="1"/>
  <c r="C759" i="45" s="1"/>
  <c r="C760" i="45" s="1"/>
  <c r="C761" i="45" s="1"/>
  <c r="C762" i="45" s="1"/>
  <c r="C763" i="45" s="1"/>
  <c r="C764" i="45" s="1"/>
  <c r="C766" i="45"/>
  <c r="C767" i="45" s="1"/>
  <c r="C768" i="45" s="1"/>
  <c r="C769" i="45" s="1"/>
  <c r="C770" i="45" s="1"/>
  <c r="C771" i="45" s="1"/>
  <c r="C772" i="45" s="1"/>
  <c r="C773" i="45" s="1"/>
  <c r="C774" i="45" s="1"/>
  <c r="C775" i="45" s="1"/>
  <c r="C776" i="45" s="1"/>
  <c r="C777" i="45" s="1"/>
  <c r="C778" i="45" s="1"/>
  <c r="C779" i="45" s="1"/>
  <c r="C780" i="45" s="1"/>
  <c r="C781" i="45" s="1"/>
  <c r="C782" i="45" s="1"/>
  <c r="C783" i="45" s="1"/>
  <c r="C784" i="45" s="1"/>
  <c r="A789" i="45"/>
  <c r="A792" i="45" s="1"/>
  <c r="A795" i="45" s="1"/>
  <c r="G795" i="45" s="1"/>
  <c r="G796" i="45" s="1"/>
  <c r="G797" i="45" s="1"/>
  <c r="G798" i="45" s="1"/>
  <c r="G799" i="45" s="1"/>
  <c r="F874" i="45"/>
  <c r="F894" i="45"/>
  <c r="C66" i="45"/>
  <c r="M66" i="45" s="1"/>
  <c r="A387" i="45"/>
  <c r="A390" i="45" s="1"/>
  <c r="A393" i="45" s="1"/>
  <c r="A396" i="45" s="1"/>
  <c r="A399" i="45" s="1"/>
  <c r="A402" i="45" s="1"/>
  <c r="E787" i="45"/>
  <c r="M787" i="45" s="1"/>
  <c r="F792" i="45"/>
  <c r="F793" i="45" s="1"/>
  <c r="D807" i="45"/>
  <c r="D810" i="45" s="1"/>
  <c r="D813" i="45" s="1"/>
  <c r="D816" i="45" s="1"/>
  <c r="D819" i="45" s="1"/>
  <c r="D824" i="45" s="1"/>
  <c r="F574" i="45"/>
  <c r="E567" i="45"/>
  <c r="A607" i="45"/>
  <c r="A608" i="45" s="1"/>
  <c r="A611" i="45" s="1"/>
  <c r="A614" i="45" s="1"/>
  <c r="A617" i="45" s="1"/>
  <c r="A620" i="45" s="1"/>
  <c r="A738" i="45"/>
  <c r="A741" i="45" s="1"/>
  <c r="A758" i="45"/>
  <c r="A761" i="45" s="1"/>
  <c r="A778" i="45"/>
  <c r="A781" i="45" s="1"/>
  <c r="D744" i="45"/>
  <c r="D742" i="45"/>
  <c r="D764" i="45"/>
  <c r="D762" i="45"/>
  <c r="D784" i="45"/>
  <c r="D782" i="45"/>
  <c r="A793" i="45"/>
  <c r="A796" i="45" s="1"/>
  <c r="A799" i="45" s="1"/>
  <c r="A727" i="45"/>
  <c r="E727" i="45"/>
  <c r="D728" i="45"/>
  <c r="D731" i="45" s="1"/>
  <c r="D734" i="45" s="1"/>
  <c r="D737" i="45" s="1"/>
  <c r="D740" i="45" s="1"/>
  <c r="D743" i="45" s="1"/>
  <c r="F732" i="45"/>
  <c r="F733" i="45" s="1"/>
  <c r="A747" i="45"/>
  <c r="E747" i="45"/>
  <c r="D748" i="45"/>
  <c r="D751" i="45" s="1"/>
  <c r="D754" i="45" s="1"/>
  <c r="D757" i="45" s="1"/>
  <c r="D760" i="45" s="1"/>
  <c r="D763" i="45" s="1"/>
  <c r="F752" i="45"/>
  <c r="F753" i="45" s="1"/>
  <c r="A767" i="45"/>
  <c r="E767" i="45"/>
  <c r="D768" i="45"/>
  <c r="D771" i="45" s="1"/>
  <c r="D774" i="45" s="1"/>
  <c r="D777" i="45" s="1"/>
  <c r="D780" i="45" s="1"/>
  <c r="D783" i="45" s="1"/>
  <c r="F772" i="45"/>
  <c r="F773" i="45" s="1"/>
  <c r="B787" i="45"/>
  <c r="D787" i="45"/>
  <c r="F787" i="45"/>
  <c r="F788" i="45" s="1"/>
  <c r="A788" i="45"/>
  <c r="A791" i="45" s="1"/>
  <c r="A794" i="45" s="1"/>
  <c r="A797" i="45" s="1"/>
  <c r="A800" i="45" s="1"/>
  <c r="A818" i="45"/>
  <c r="A821" i="45" s="1"/>
  <c r="G815" i="45"/>
  <c r="G816" i="45" s="1"/>
  <c r="G817" i="45" s="1"/>
  <c r="G818" i="45" s="1"/>
  <c r="G819" i="45" s="1"/>
  <c r="D844" i="45"/>
  <c r="D842" i="45"/>
  <c r="A838" i="45"/>
  <c r="A841" i="45" s="1"/>
  <c r="A807" i="45"/>
  <c r="E807" i="45"/>
  <c r="M807" i="45" s="1"/>
  <c r="F812" i="45"/>
  <c r="F813" i="45" s="1"/>
  <c r="A858" i="45"/>
  <c r="A861" i="45" s="1"/>
  <c r="G855" i="45"/>
  <c r="G856" i="45" s="1"/>
  <c r="G857" i="45" s="1"/>
  <c r="G858" i="45" s="1"/>
  <c r="G859" i="45" s="1"/>
  <c r="A827" i="45"/>
  <c r="E827" i="45"/>
  <c r="M827" i="45" s="1"/>
  <c r="D828" i="45"/>
  <c r="D831" i="45" s="1"/>
  <c r="D834" i="45" s="1"/>
  <c r="D837" i="45" s="1"/>
  <c r="D840" i="45" s="1"/>
  <c r="D843" i="45" s="1"/>
  <c r="F832" i="45"/>
  <c r="F833" i="45" s="1"/>
  <c r="A878" i="45"/>
  <c r="A881" i="45" s="1"/>
  <c r="B847" i="45"/>
  <c r="D847" i="45"/>
  <c r="F847" i="45"/>
  <c r="F848" i="45" s="1"/>
  <c r="F854" i="45"/>
  <c r="F852" i="45"/>
  <c r="F853" i="45" s="1"/>
  <c r="B869" i="45"/>
  <c r="B872" i="45" s="1"/>
  <c r="B875" i="45" s="1"/>
  <c r="B878" i="45" s="1"/>
  <c r="B881" i="45" s="1"/>
  <c r="B867" i="45"/>
  <c r="D869" i="45"/>
  <c r="D872" i="45" s="1"/>
  <c r="D875" i="45" s="1"/>
  <c r="D878" i="45" s="1"/>
  <c r="D881" i="45" s="1"/>
  <c r="D867" i="45"/>
  <c r="F869" i="45"/>
  <c r="F867" i="45"/>
  <c r="F868" i="45" s="1"/>
  <c r="A898" i="45"/>
  <c r="A901" i="45" s="1"/>
  <c r="B889" i="45"/>
  <c r="B892" i="45" s="1"/>
  <c r="B895" i="45" s="1"/>
  <c r="B898" i="45" s="1"/>
  <c r="B901" i="45" s="1"/>
  <c r="B887" i="45"/>
  <c r="D889" i="45"/>
  <c r="D892" i="45" s="1"/>
  <c r="D895" i="45" s="1"/>
  <c r="D898" i="45" s="1"/>
  <c r="D901" i="45" s="1"/>
  <c r="D887" i="45"/>
  <c r="F889" i="45"/>
  <c r="F887" i="45"/>
  <c r="F888" i="45" s="1"/>
  <c r="E609" i="45"/>
  <c r="E612" i="45" s="1"/>
  <c r="M612" i="45" s="1"/>
  <c r="C613" i="45"/>
  <c r="C614" i="45" s="1"/>
  <c r="C615" i="45" s="1"/>
  <c r="C616" i="45" s="1"/>
  <c r="C617" i="45" s="1"/>
  <c r="C618" i="45" s="1"/>
  <c r="C619" i="45" s="1"/>
  <c r="C620" i="45" s="1"/>
  <c r="C621" i="45" s="1"/>
  <c r="C622" i="45" s="1"/>
  <c r="C623" i="45" s="1"/>
  <c r="C624" i="45" s="1"/>
  <c r="B609" i="45"/>
  <c r="B612" i="45" s="1"/>
  <c r="B615" i="45" s="1"/>
  <c r="B618" i="45" s="1"/>
  <c r="B621" i="45" s="1"/>
  <c r="B607" i="45"/>
  <c r="D609" i="45"/>
  <c r="D612" i="45" s="1"/>
  <c r="D615" i="45" s="1"/>
  <c r="D618" i="45" s="1"/>
  <c r="D621" i="45" s="1"/>
  <c r="D607" i="45"/>
  <c r="F609" i="45"/>
  <c r="F607" i="45"/>
  <c r="F608" i="45" s="1"/>
  <c r="E608" i="45"/>
  <c r="M608" i="45" s="1"/>
  <c r="A618" i="45"/>
  <c r="A621" i="45" s="1"/>
  <c r="A578" i="45"/>
  <c r="A581" i="45" s="1"/>
  <c r="B569" i="45"/>
  <c r="B572" i="45" s="1"/>
  <c r="B575" i="45" s="1"/>
  <c r="B578" i="45" s="1"/>
  <c r="B581" i="45" s="1"/>
  <c r="B567" i="45"/>
  <c r="D569" i="45"/>
  <c r="D572" i="45" s="1"/>
  <c r="D575" i="45" s="1"/>
  <c r="D578" i="45" s="1"/>
  <c r="D581" i="45" s="1"/>
  <c r="D567" i="45"/>
  <c r="F569" i="45"/>
  <c r="F567" i="45"/>
  <c r="F568" i="45" s="1"/>
  <c r="C26" i="45"/>
  <c r="M26" i="45" s="1"/>
  <c r="A427" i="45"/>
  <c r="A430" i="45" s="1"/>
  <c r="A433" i="45" s="1"/>
  <c r="A436" i="45" s="1"/>
  <c r="A439" i="45" s="1"/>
  <c r="A442" i="45" s="1"/>
  <c r="E427" i="45"/>
  <c r="M427" i="45" s="1"/>
  <c r="G435" i="45"/>
  <c r="G436" i="45" s="1"/>
  <c r="G437" i="45" s="1"/>
  <c r="G438" i="45" s="1"/>
  <c r="G439" i="45" s="1"/>
  <c r="A438" i="45"/>
  <c r="A441" i="45" s="1"/>
  <c r="F432" i="45"/>
  <c r="F433" i="45" s="1"/>
  <c r="B427" i="45"/>
  <c r="D427" i="45"/>
  <c r="F427" i="45"/>
  <c r="F428" i="45" s="1"/>
  <c r="E387" i="45"/>
  <c r="G395" i="45"/>
  <c r="G396" i="45" s="1"/>
  <c r="G397" i="45" s="1"/>
  <c r="G398" i="45" s="1"/>
  <c r="G399" i="45" s="1"/>
  <c r="A398" i="45"/>
  <c r="A401" i="45" s="1"/>
  <c r="F392" i="45"/>
  <c r="F393" i="45" s="1"/>
  <c r="B387" i="45"/>
  <c r="D387" i="45"/>
  <c r="F387" i="45"/>
  <c r="F388" i="45" s="1"/>
  <c r="E207" i="45"/>
  <c r="A207" i="45"/>
  <c r="A210" i="45" s="1"/>
  <c r="A213" i="45" s="1"/>
  <c r="A216" i="45" s="1"/>
  <c r="A219" i="45" s="1"/>
  <c r="A222" i="45" s="1"/>
  <c r="A247" i="45"/>
  <c r="A250" i="45" s="1"/>
  <c r="A253" i="45" s="1"/>
  <c r="A256" i="45" s="1"/>
  <c r="A259" i="45" s="1"/>
  <c r="A262" i="45" s="1"/>
  <c r="E247" i="45"/>
  <c r="M247" i="45" s="1"/>
  <c r="G255" i="45"/>
  <c r="G256" i="45" s="1"/>
  <c r="G257" i="45" s="1"/>
  <c r="G258" i="45" s="1"/>
  <c r="G259" i="45" s="1"/>
  <c r="A258" i="45"/>
  <c r="A261" i="45" s="1"/>
  <c r="F252" i="45"/>
  <c r="F253" i="45" s="1"/>
  <c r="B247" i="45"/>
  <c r="D247" i="45"/>
  <c r="F247" i="45"/>
  <c r="F248" i="45" s="1"/>
  <c r="G215" i="45"/>
  <c r="G216" i="45" s="1"/>
  <c r="G217" i="45" s="1"/>
  <c r="G218" i="45" s="1"/>
  <c r="G219" i="45" s="1"/>
  <c r="A218" i="45"/>
  <c r="A221" i="45" s="1"/>
  <c r="E208" i="45"/>
  <c r="F212" i="45"/>
  <c r="F213" i="45" s="1"/>
  <c r="B207" i="45"/>
  <c r="D207" i="45"/>
  <c r="F207" i="45"/>
  <c r="F208" i="45" s="1"/>
  <c r="A67" i="45"/>
  <c r="A70" i="45" s="1"/>
  <c r="A73" i="45" s="1"/>
  <c r="A76" i="45" s="1"/>
  <c r="A79" i="45" s="1"/>
  <c r="A84" i="45" s="1"/>
  <c r="E67" i="45"/>
  <c r="B75" i="45"/>
  <c r="G75" i="45" s="1"/>
  <c r="G76" i="45" s="1"/>
  <c r="G77" i="45" s="1"/>
  <c r="G78" i="45" s="1"/>
  <c r="G79" i="45" s="1"/>
  <c r="C72" i="45"/>
  <c r="A78" i="45"/>
  <c r="A81" i="45" s="1"/>
  <c r="C69" i="45"/>
  <c r="F72" i="45"/>
  <c r="F73" i="45" s="1"/>
  <c r="B67" i="45"/>
  <c r="D67" i="45"/>
  <c r="F67" i="45"/>
  <c r="F68" i="45" s="1"/>
  <c r="B35" i="45"/>
  <c r="G35" i="45" s="1"/>
  <c r="G36" i="45" s="1"/>
  <c r="G37" i="45" s="1"/>
  <c r="G38" i="45" s="1"/>
  <c r="G39" i="45" s="1"/>
  <c r="C32" i="45"/>
  <c r="A38" i="45"/>
  <c r="A41" i="45" s="1"/>
  <c r="A27" i="45"/>
  <c r="E27" i="45"/>
  <c r="E29" i="45"/>
  <c r="E32" i="45" s="1"/>
  <c r="C29" i="45"/>
  <c r="F32" i="45"/>
  <c r="F33" i="45" s="1"/>
  <c r="B27" i="45"/>
  <c r="D27" i="45"/>
  <c r="F27" i="45"/>
  <c r="F28" i="45" s="1"/>
  <c r="F721" i="45"/>
  <c r="F722" i="45" s="1"/>
  <c r="F723" i="45" s="1"/>
  <c r="F724" i="45" s="1"/>
  <c r="F716" i="45"/>
  <c r="F717" i="45" s="1"/>
  <c r="F718" i="45" s="1"/>
  <c r="F719" i="45" s="1"/>
  <c r="F711" i="45"/>
  <c r="F714" i="45" s="1"/>
  <c r="F706" i="45"/>
  <c r="E706" i="45"/>
  <c r="D706" i="45"/>
  <c r="C706" i="45"/>
  <c r="C707" i="45" s="1"/>
  <c r="C708" i="45" s="1"/>
  <c r="C709" i="45" s="1"/>
  <c r="C710" i="45" s="1"/>
  <c r="C711" i="45" s="1"/>
  <c r="C712" i="45" s="1"/>
  <c r="C713" i="45" s="1"/>
  <c r="C714" i="45" s="1"/>
  <c r="C715" i="45" s="1"/>
  <c r="C716" i="45" s="1"/>
  <c r="C717" i="45" s="1"/>
  <c r="C718" i="45" s="1"/>
  <c r="C719" i="45" s="1"/>
  <c r="C720" i="45" s="1"/>
  <c r="C721" i="45" s="1"/>
  <c r="C722" i="45" s="1"/>
  <c r="C723" i="45" s="1"/>
  <c r="C724" i="45" s="1"/>
  <c r="B706" i="45"/>
  <c r="A706" i="45"/>
  <c r="A709" i="45" s="1"/>
  <c r="A712" i="45" s="1"/>
  <c r="A715" i="45" s="1"/>
  <c r="G705" i="45"/>
  <c r="G706" i="45" s="1"/>
  <c r="G707" i="45" s="1"/>
  <c r="G708" i="45" s="1"/>
  <c r="G709" i="45" s="1"/>
  <c r="F701" i="45"/>
  <c r="F702" i="45" s="1"/>
  <c r="F703" i="45" s="1"/>
  <c r="F704" i="45" s="1"/>
  <c r="F696" i="45"/>
  <c r="F697" i="45" s="1"/>
  <c r="F698" i="45" s="1"/>
  <c r="F699" i="45" s="1"/>
  <c r="F691" i="45"/>
  <c r="F692" i="45" s="1"/>
  <c r="F693" i="45" s="1"/>
  <c r="F686" i="45"/>
  <c r="E686" i="45"/>
  <c r="D686" i="45"/>
  <c r="C686" i="45"/>
  <c r="C687" i="45" s="1"/>
  <c r="C688" i="45" s="1"/>
  <c r="C689" i="45" s="1"/>
  <c r="C690" i="45" s="1"/>
  <c r="C691" i="45" s="1"/>
  <c r="C692" i="45" s="1"/>
  <c r="C693" i="45" s="1"/>
  <c r="C694" i="45" s="1"/>
  <c r="C695" i="45" s="1"/>
  <c r="C696" i="45" s="1"/>
  <c r="C697" i="45" s="1"/>
  <c r="C698" i="45" s="1"/>
  <c r="C699" i="45" s="1"/>
  <c r="C700" i="45" s="1"/>
  <c r="C701" i="45" s="1"/>
  <c r="C702" i="45" s="1"/>
  <c r="C703" i="45" s="1"/>
  <c r="C704" i="45" s="1"/>
  <c r="B686" i="45"/>
  <c r="A686" i="45"/>
  <c r="A689" i="45" s="1"/>
  <c r="A692" i="45" s="1"/>
  <c r="A695" i="45" s="1"/>
  <c r="G685" i="45"/>
  <c r="G686" i="45" s="1"/>
  <c r="G687" i="45" s="1"/>
  <c r="G688" i="45" s="1"/>
  <c r="G689" i="45" s="1"/>
  <c r="F681" i="45"/>
  <c r="F682" i="45" s="1"/>
  <c r="F683" i="45" s="1"/>
  <c r="F684" i="45" s="1"/>
  <c r="F676" i="45"/>
  <c r="F677" i="45" s="1"/>
  <c r="F678" i="45" s="1"/>
  <c r="F679" i="45" s="1"/>
  <c r="F671" i="45"/>
  <c r="F666" i="45"/>
  <c r="E666" i="45"/>
  <c r="D666" i="45"/>
  <c r="C666" i="45"/>
  <c r="C667" i="45" s="1"/>
  <c r="C668" i="45" s="1"/>
  <c r="C669" i="45" s="1"/>
  <c r="C670" i="45" s="1"/>
  <c r="C671" i="45" s="1"/>
  <c r="C672" i="45" s="1"/>
  <c r="C673" i="45" s="1"/>
  <c r="C674" i="45" s="1"/>
  <c r="C675" i="45" s="1"/>
  <c r="C676" i="45" s="1"/>
  <c r="C677" i="45" s="1"/>
  <c r="C678" i="45" s="1"/>
  <c r="C679" i="45" s="1"/>
  <c r="C680" i="45" s="1"/>
  <c r="C681" i="45" s="1"/>
  <c r="C682" i="45" s="1"/>
  <c r="C683" i="45" s="1"/>
  <c r="C684" i="45" s="1"/>
  <c r="B666" i="45"/>
  <c r="A666" i="45"/>
  <c r="A669" i="45" s="1"/>
  <c r="A672" i="45" s="1"/>
  <c r="A675" i="45" s="1"/>
  <c r="G665" i="45"/>
  <c r="G666" i="45" s="1"/>
  <c r="G667" i="45" s="1"/>
  <c r="G668" i="45" s="1"/>
  <c r="G669" i="45" s="1"/>
  <c r="F661" i="45"/>
  <c r="F662" i="45" s="1"/>
  <c r="F663" i="45" s="1"/>
  <c r="F664" i="45" s="1"/>
  <c r="F656" i="45"/>
  <c r="F657" i="45" s="1"/>
  <c r="F658" i="45" s="1"/>
  <c r="F659" i="45" s="1"/>
  <c r="F651" i="45"/>
  <c r="F646" i="45"/>
  <c r="F649" i="45" s="1"/>
  <c r="E646" i="45"/>
  <c r="D646" i="45"/>
  <c r="D649" i="45" s="1"/>
  <c r="D652" i="45" s="1"/>
  <c r="D655" i="45" s="1"/>
  <c r="D658" i="45" s="1"/>
  <c r="D661" i="45" s="1"/>
  <c r="C646" i="45"/>
  <c r="C647" i="45" s="1"/>
  <c r="C648" i="45" s="1"/>
  <c r="C649" i="45" s="1"/>
  <c r="C650" i="45" s="1"/>
  <c r="C651" i="45" s="1"/>
  <c r="C652" i="45" s="1"/>
  <c r="C653" i="45" s="1"/>
  <c r="C654" i="45" s="1"/>
  <c r="C655" i="45" s="1"/>
  <c r="C656" i="45" s="1"/>
  <c r="C657" i="45" s="1"/>
  <c r="C658" i="45" s="1"/>
  <c r="C659" i="45" s="1"/>
  <c r="C660" i="45" s="1"/>
  <c r="C661" i="45" s="1"/>
  <c r="C662" i="45" s="1"/>
  <c r="C663" i="45" s="1"/>
  <c r="C664" i="45" s="1"/>
  <c r="B646" i="45"/>
  <c r="B649" i="45" s="1"/>
  <c r="B652" i="45" s="1"/>
  <c r="B655" i="45" s="1"/>
  <c r="B658" i="45" s="1"/>
  <c r="B661" i="45" s="1"/>
  <c r="A646" i="45"/>
  <c r="G645" i="45"/>
  <c r="G646" i="45" s="1"/>
  <c r="G647" i="45" s="1"/>
  <c r="G648" i="45" s="1"/>
  <c r="G649" i="45" s="1"/>
  <c r="F641" i="45"/>
  <c r="F642" i="45" s="1"/>
  <c r="F643" i="45" s="1"/>
  <c r="F644" i="45" s="1"/>
  <c r="F636" i="45"/>
  <c r="F637" i="45" s="1"/>
  <c r="F638" i="45" s="1"/>
  <c r="F639" i="45" s="1"/>
  <c r="F631" i="45"/>
  <c r="F634" i="45" s="1"/>
  <c r="F626" i="45"/>
  <c r="E626" i="45"/>
  <c r="D626" i="45"/>
  <c r="C626" i="45"/>
  <c r="C627" i="45" s="1"/>
  <c r="C628" i="45" s="1"/>
  <c r="C629" i="45" s="1"/>
  <c r="C630" i="45" s="1"/>
  <c r="C631" i="45" s="1"/>
  <c r="C632" i="45" s="1"/>
  <c r="C633" i="45" s="1"/>
  <c r="C634" i="45" s="1"/>
  <c r="C635" i="45" s="1"/>
  <c r="C636" i="45" s="1"/>
  <c r="C637" i="45" s="1"/>
  <c r="C638" i="45" s="1"/>
  <c r="C639" i="45" s="1"/>
  <c r="C640" i="45" s="1"/>
  <c r="C641" i="45" s="1"/>
  <c r="C642" i="45" s="1"/>
  <c r="C643" i="45" s="1"/>
  <c r="C644" i="45" s="1"/>
  <c r="B626" i="45"/>
  <c r="A626" i="45"/>
  <c r="A629" i="45" s="1"/>
  <c r="A632" i="45" s="1"/>
  <c r="A635" i="45" s="1"/>
  <c r="G625" i="45"/>
  <c r="G626" i="45" s="1"/>
  <c r="G627" i="45" s="1"/>
  <c r="G628" i="45" s="1"/>
  <c r="G629" i="45" s="1"/>
  <c r="F601" i="45"/>
  <c r="F602" i="45" s="1"/>
  <c r="F603" i="45" s="1"/>
  <c r="F604" i="45" s="1"/>
  <c r="F596" i="45"/>
  <c r="F597" i="45" s="1"/>
  <c r="F598" i="45" s="1"/>
  <c r="F599" i="45" s="1"/>
  <c r="F591" i="45"/>
  <c r="F586" i="45"/>
  <c r="F589" i="45" s="1"/>
  <c r="E586" i="45"/>
  <c r="D586" i="45"/>
  <c r="D589" i="45" s="1"/>
  <c r="D592" i="45" s="1"/>
  <c r="D595" i="45" s="1"/>
  <c r="D598" i="45" s="1"/>
  <c r="D601" i="45" s="1"/>
  <c r="B586" i="45"/>
  <c r="B587" i="45" s="1"/>
  <c r="A586" i="45"/>
  <c r="G585" i="45"/>
  <c r="G586" i="45" s="1"/>
  <c r="G587" i="45" s="1"/>
  <c r="G588" i="45" s="1"/>
  <c r="G589" i="45" s="1"/>
  <c r="C585" i="45"/>
  <c r="M585" i="45" s="1"/>
  <c r="F561" i="45"/>
  <c r="F562" i="45" s="1"/>
  <c r="F563" i="45" s="1"/>
  <c r="F564" i="45" s="1"/>
  <c r="F556" i="45"/>
  <c r="F557" i="45" s="1"/>
  <c r="F558" i="45" s="1"/>
  <c r="F559" i="45" s="1"/>
  <c r="F551" i="45"/>
  <c r="F554" i="45" s="1"/>
  <c r="F546" i="45"/>
  <c r="F549" i="45" s="1"/>
  <c r="E546" i="45"/>
  <c r="D546" i="45"/>
  <c r="D549" i="45" s="1"/>
  <c r="D552" i="45" s="1"/>
  <c r="D555" i="45" s="1"/>
  <c r="D558" i="45" s="1"/>
  <c r="D561" i="45" s="1"/>
  <c r="B546" i="45"/>
  <c r="B549" i="45" s="1"/>
  <c r="B552" i="45" s="1"/>
  <c r="B555" i="45" s="1"/>
  <c r="B558" i="45" s="1"/>
  <c r="B561" i="45" s="1"/>
  <c r="A546" i="45"/>
  <c r="A547" i="45" s="1"/>
  <c r="A550" i="45" s="1"/>
  <c r="G545" i="45"/>
  <c r="G546" i="45" s="1"/>
  <c r="G547" i="45" s="1"/>
  <c r="G548" i="45" s="1"/>
  <c r="G549" i="45" s="1"/>
  <c r="C545" i="45"/>
  <c r="M545" i="45" s="1"/>
  <c r="C526" i="45"/>
  <c r="C527" i="45" s="1"/>
  <c r="C528" i="45" s="1"/>
  <c r="C529" i="45" s="1"/>
  <c r="C530" i="45" s="1"/>
  <c r="C531" i="45" s="1"/>
  <c r="C532" i="45" s="1"/>
  <c r="C533" i="45" s="1"/>
  <c r="C534" i="45" s="1"/>
  <c r="C535" i="45" s="1"/>
  <c r="C536" i="45" s="1"/>
  <c r="C537" i="45" s="1"/>
  <c r="C538" i="45" s="1"/>
  <c r="C539" i="45" s="1"/>
  <c r="C540" i="45" s="1"/>
  <c r="C541" i="45" s="1"/>
  <c r="C542" i="45" s="1"/>
  <c r="C543" i="45" s="1"/>
  <c r="C544" i="45" s="1"/>
  <c r="C506" i="45"/>
  <c r="C507" i="45" s="1"/>
  <c r="C508" i="45" s="1"/>
  <c r="C509" i="45" s="1"/>
  <c r="C510" i="45" s="1"/>
  <c r="C511" i="45" s="1"/>
  <c r="C512" i="45" s="1"/>
  <c r="C513" i="45" s="1"/>
  <c r="C514" i="45" s="1"/>
  <c r="C515" i="45" s="1"/>
  <c r="C516" i="45" s="1"/>
  <c r="C517" i="45" s="1"/>
  <c r="C518" i="45" s="1"/>
  <c r="C519" i="45" s="1"/>
  <c r="C520" i="45" s="1"/>
  <c r="C521" i="45" s="1"/>
  <c r="C522" i="45" s="1"/>
  <c r="C523" i="45" s="1"/>
  <c r="C524" i="45" s="1"/>
  <c r="C486" i="45"/>
  <c r="C487" i="45" s="1"/>
  <c r="C488" i="45" s="1"/>
  <c r="C489" i="45" s="1"/>
  <c r="C490" i="45" s="1"/>
  <c r="C491" i="45" s="1"/>
  <c r="C492" i="45" s="1"/>
  <c r="C493" i="45" s="1"/>
  <c r="C494" i="45" s="1"/>
  <c r="C495" i="45" s="1"/>
  <c r="C496" i="45" s="1"/>
  <c r="C497" i="45" s="1"/>
  <c r="C498" i="45" s="1"/>
  <c r="C499" i="45" s="1"/>
  <c r="C500" i="45" s="1"/>
  <c r="C501" i="45" s="1"/>
  <c r="C502" i="45" s="1"/>
  <c r="C503" i="45" s="1"/>
  <c r="C504" i="45" s="1"/>
  <c r="C466" i="45"/>
  <c r="C467" i="45" s="1"/>
  <c r="C468" i="45" s="1"/>
  <c r="C469" i="45" s="1"/>
  <c r="C470" i="45" s="1"/>
  <c r="C471" i="45" s="1"/>
  <c r="C472" i="45" s="1"/>
  <c r="C473" i="45" s="1"/>
  <c r="C474" i="45" s="1"/>
  <c r="C475" i="45" s="1"/>
  <c r="C476" i="45" s="1"/>
  <c r="C477" i="45" s="1"/>
  <c r="C478" i="45" s="1"/>
  <c r="C479" i="45" s="1"/>
  <c r="C480" i="45" s="1"/>
  <c r="C481" i="45" s="1"/>
  <c r="C482" i="45" s="1"/>
  <c r="C483" i="45" s="1"/>
  <c r="C484" i="45" s="1"/>
  <c r="C446" i="45"/>
  <c r="C447" i="45" s="1"/>
  <c r="C448" i="45" s="1"/>
  <c r="C449" i="45" s="1"/>
  <c r="C450" i="45" s="1"/>
  <c r="C451" i="45" s="1"/>
  <c r="C452" i="45" s="1"/>
  <c r="C453" i="45" s="1"/>
  <c r="C454" i="45" s="1"/>
  <c r="C455" i="45" s="1"/>
  <c r="C456" i="45" s="1"/>
  <c r="C457" i="45" s="1"/>
  <c r="C458" i="45" s="1"/>
  <c r="C459" i="45" s="1"/>
  <c r="C460" i="45" s="1"/>
  <c r="C461" i="45" s="1"/>
  <c r="C462" i="45" s="1"/>
  <c r="C463" i="45" s="1"/>
  <c r="C464" i="45" s="1"/>
  <c r="C346" i="45"/>
  <c r="C347" i="45" s="1"/>
  <c r="C348" i="45" s="1"/>
  <c r="C349" i="45" s="1"/>
  <c r="C350" i="45" s="1"/>
  <c r="C351" i="45" s="1"/>
  <c r="C352" i="45" s="1"/>
  <c r="C353" i="45" s="1"/>
  <c r="C354" i="45" s="1"/>
  <c r="C355" i="45" s="1"/>
  <c r="C356" i="45" s="1"/>
  <c r="C357" i="45" s="1"/>
  <c r="C358" i="45" s="1"/>
  <c r="C359" i="45" s="1"/>
  <c r="C360" i="45" s="1"/>
  <c r="C361" i="45" s="1"/>
  <c r="C362" i="45" s="1"/>
  <c r="C363" i="45" s="1"/>
  <c r="C364" i="45" s="1"/>
  <c r="C326" i="45"/>
  <c r="C327" i="45" s="1"/>
  <c r="C328" i="45" s="1"/>
  <c r="C329" i="45" s="1"/>
  <c r="C330" i="45" s="1"/>
  <c r="C331" i="45" s="1"/>
  <c r="C332" i="45" s="1"/>
  <c r="C333" i="45" s="1"/>
  <c r="C334" i="45" s="1"/>
  <c r="C335" i="45" s="1"/>
  <c r="C336" i="45" s="1"/>
  <c r="C337" i="45" s="1"/>
  <c r="C338" i="45" s="1"/>
  <c r="C339" i="45" s="1"/>
  <c r="C340" i="45" s="1"/>
  <c r="C341" i="45" s="1"/>
  <c r="C342" i="45" s="1"/>
  <c r="C343" i="45" s="1"/>
  <c r="C344" i="45" s="1"/>
  <c r="C306" i="45"/>
  <c r="C307" i="45" s="1"/>
  <c r="C308" i="45" s="1"/>
  <c r="C309" i="45" s="1"/>
  <c r="C310" i="45" s="1"/>
  <c r="C311" i="45" s="1"/>
  <c r="C312" i="45" s="1"/>
  <c r="C313" i="45" s="1"/>
  <c r="C314" i="45" s="1"/>
  <c r="C315" i="45" s="1"/>
  <c r="C316" i="45" s="1"/>
  <c r="C317" i="45" s="1"/>
  <c r="C318" i="45" s="1"/>
  <c r="C319" i="45" s="1"/>
  <c r="C320" i="45" s="1"/>
  <c r="C321" i="45" s="1"/>
  <c r="C322" i="45" s="1"/>
  <c r="C323" i="45" s="1"/>
  <c r="C324" i="45" s="1"/>
  <c r="C286" i="45"/>
  <c r="C287" i="45" s="1"/>
  <c r="C288" i="45" s="1"/>
  <c r="C289" i="45" s="1"/>
  <c r="C290" i="45" s="1"/>
  <c r="C291" i="45" s="1"/>
  <c r="C292" i="45" s="1"/>
  <c r="C293" i="45" s="1"/>
  <c r="C294" i="45" s="1"/>
  <c r="C295" i="45" s="1"/>
  <c r="C296" i="45" s="1"/>
  <c r="C297" i="45" s="1"/>
  <c r="C298" i="45" s="1"/>
  <c r="C299" i="45" s="1"/>
  <c r="C300" i="45" s="1"/>
  <c r="C301" i="45" s="1"/>
  <c r="C302" i="45" s="1"/>
  <c r="C303" i="45" s="1"/>
  <c r="C304" i="45" s="1"/>
  <c r="C266" i="45"/>
  <c r="C267" i="45" s="1"/>
  <c r="C268" i="45" s="1"/>
  <c r="C269" i="45" s="1"/>
  <c r="C270" i="45" s="1"/>
  <c r="C271" i="45" s="1"/>
  <c r="C272" i="45" s="1"/>
  <c r="C273" i="45" s="1"/>
  <c r="C274" i="45" s="1"/>
  <c r="C275" i="45" s="1"/>
  <c r="C276" i="45" s="1"/>
  <c r="C277" i="45" s="1"/>
  <c r="C278" i="45" s="1"/>
  <c r="C279" i="45" s="1"/>
  <c r="C280" i="45" s="1"/>
  <c r="C281" i="45" s="1"/>
  <c r="C282" i="45" s="1"/>
  <c r="C283" i="45" s="1"/>
  <c r="C284" i="45" s="1"/>
  <c r="M767" i="45" l="1"/>
  <c r="E1236" i="45"/>
  <c r="M1236" i="45" s="1"/>
  <c r="M387" i="45"/>
  <c r="M392" i="45"/>
  <c r="M32" i="45"/>
  <c r="M567" i="45"/>
  <c r="P990" i="45"/>
  <c r="P1190" i="45"/>
  <c r="M572" i="45"/>
  <c r="M727" i="45"/>
  <c r="P1130" i="45"/>
  <c r="E1101" i="45"/>
  <c r="M1101" i="45" s="1"/>
  <c r="E1141" i="45"/>
  <c r="M1141" i="45" s="1"/>
  <c r="M208" i="45"/>
  <c r="M207" i="45"/>
  <c r="P1150" i="45"/>
  <c r="E1181" i="45"/>
  <c r="M1181" i="45" s="1"/>
  <c r="Q1230" i="45"/>
  <c r="M747" i="45"/>
  <c r="P1030" i="45"/>
  <c r="E1081" i="45"/>
  <c r="M1081" i="45" s="1"/>
  <c r="E1161" i="45"/>
  <c r="M1161" i="45" s="1"/>
  <c r="Q1250" i="45"/>
  <c r="Q930" i="45"/>
  <c r="Q1170" i="45"/>
  <c r="Q1075" i="45"/>
  <c r="Q1150" i="45"/>
  <c r="Q990" i="45"/>
  <c r="Q605" i="45"/>
  <c r="Q1190" i="45"/>
  <c r="Q1130" i="45"/>
  <c r="Q1030" i="45"/>
  <c r="P1075" i="45"/>
  <c r="P1250" i="45"/>
  <c r="P930" i="45"/>
  <c r="P1170" i="45"/>
  <c r="P1230" i="45"/>
  <c r="N1045" i="45"/>
  <c r="P1045" i="45"/>
  <c r="N965" i="45"/>
  <c r="P965" i="45"/>
  <c r="N1165" i="45"/>
  <c r="P1165" i="45"/>
  <c r="N1185" i="45"/>
  <c r="P1185" i="45"/>
  <c r="N985" i="45"/>
  <c r="P985" i="45"/>
  <c r="N1005" i="45"/>
  <c r="P1005" i="45"/>
  <c r="N1025" i="45"/>
  <c r="P1025" i="45"/>
  <c r="N1245" i="45"/>
  <c r="P1245" i="45"/>
  <c r="N1205" i="45"/>
  <c r="P1205" i="45"/>
  <c r="N1145" i="45"/>
  <c r="P1145" i="45"/>
  <c r="P605" i="45"/>
  <c r="M911" i="45"/>
  <c r="Q910" i="45" s="1"/>
  <c r="M951" i="45"/>
  <c r="Q950" i="45" s="1"/>
  <c r="M1211" i="45"/>
  <c r="Q1210" i="45" s="1"/>
  <c r="M2398" i="45"/>
  <c r="Q2395" i="45" s="1"/>
  <c r="M2558" i="45"/>
  <c r="Q2555" i="45" s="1"/>
  <c r="M2758" i="45"/>
  <c r="Q2755" i="45" s="1"/>
  <c r="M2718" i="45"/>
  <c r="Q2715" i="45" s="1"/>
  <c r="M2898" i="45"/>
  <c r="Q2895" i="45" s="1"/>
  <c r="M772" i="45"/>
  <c r="M732" i="45"/>
  <c r="M72" i="45"/>
  <c r="M746" i="45"/>
  <c r="M626" i="45"/>
  <c r="M646" i="45"/>
  <c r="M666" i="45"/>
  <c r="M686" i="45"/>
  <c r="M706" i="45"/>
  <c r="M775" i="45"/>
  <c r="M1011" i="45"/>
  <c r="Q1010" i="45" s="1"/>
  <c r="M1051" i="45"/>
  <c r="Q1050" i="45" s="1"/>
  <c r="M971" i="45"/>
  <c r="Q970" i="45" s="1"/>
  <c r="M1091" i="45"/>
  <c r="Q1090" i="45" s="1"/>
  <c r="M1111" i="45"/>
  <c r="Q1110" i="45" s="1"/>
  <c r="M2378" i="45"/>
  <c r="Q2375" i="45" s="1"/>
  <c r="M2358" i="45"/>
  <c r="Q2355" i="45" s="1"/>
  <c r="M2538" i="45"/>
  <c r="Q2535" i="45" s="1"/>
  <c r="M2738" i="45"/>
  <c r="Q2735" i="45" s="1"/>
  <c r="M2938" i="45"/>
  <c r="Q2935" i="45" s="1"/>
  <c r="M2918" i="45"/>
  <c r="Q2915" i="45" s="1"/>
  <c r="M752" i="45"/>
  <c r="M212" i="45"/>
  <c r="M1073" i="45"/>
  <c r="Q1070" i="45" s="1"/>
  <c r="M766" i="45"/>
  <c r="M726" i="45"/>
  <c r="M566" i="45"/>
  <c r="M386" i="45"/>
  <c r="M206" i="45"/>
  <c r="N1030" i="45"/>
  <c r="E1234" i="45"/>
  <c r="E1237" i="45" s="1"/>
  <c r="M1237" i="45" s="1"/>
  <c r="P1235" i="45" s="1"/>
  <c r="E1201" i="45"/>
  <c r="M1201" i="45" s="1"/>
  <c r="N990" i="45"/>
  <c r="N1190" i="45"/>
  <c r="N1130" i="45"/>
  <c r="B762" i="45"/>
  <c r="N1150" i="45"/>
  <c r="N930" i="45"/>
  <c r="N1250" i="45"/>
  <c r="E1176" i="45"/>
  <c r="M1176" i="45" s="1"/>
  <c r="E1241" i="45"/>
  <c r="M1241" i="45" s="1"/>
  <c r="E855" i="45"/>
  <c r="M855" i="45" s="1"/>
  <c r="E815" i="45"/>
  <c r="M815" i="45" s="1"/>
  <c r="E735" i="45"/>
  <c r="M735" i="45" s="1"/>
  <c r="E1174" i="45"/>
  <c r="E1177" i="45" s="1"/>
  <c r="M1177" i="45" s="1"/>
  <c r="N1170" i="45"/>
  <c r="E835" i="45"/>
  <c r="M835" i="45" s="1"/>
  <c r="E795" i="45"/>
  <c r="M795" i="45" s="1"/>
  <c r="E755" i="45"/>
  <c r="M755" i="45" s="1"/>
  <c r="E610" i="45"/>
  <c r="M610" i="45" s="1"/>
  <c r="N1075" i="45"/>
  <c r="N1230" i="45"/>
  <c r="N605" i="45"/>
  <c r="G755" i="45"/>
  <c r="G756" i="45" s="1"/>
  <c r="G757" i="45" s="1"/>
  <c r="G758" i="45" s="1"/>
  <c r="G759" i="45" s="1"/>
  <c r="A404" i="45"/>
  <c r="A568" i="45"/>
  <c r="A571" i="45" s="1"/>
  <c r="A574" i="45" s="1"/>
  <c r="A577" i="45" s="1"/>
  <c r="A580" i="45" s="1"/>
  <c r="A583" i="45" s="1"/>
  <c r="C546" i="45"/>
  <c r="C547" i="45" s="1"/>
  <c r="C548" i="45" s="1"/>
  <c r="C549" i="45" s="1"/>
  <c r="C550" i="45" s="1"/>
  <c r="C551" i="45" s="1"/>
  <c r="C552" i="45" s="1"/>
  <c r="C553" i="45" s="1"/>
  <c r="C554" i="45" s="1"/>
  <c r="C555" i="45" s="1"/>
  <c r="C556" i="45" s="1"/>
  <c r="C557" i="45" s="1"/>
  <c r="C558" i="45" s="1"/>
  <c r="C559" i="45" s="1"/>
  <c r="C560" i="45" s="1"/>
  <c r="C561" i="45" s="1"/>
  <c r="C562" i="45" s="1"/>
  <c r="C563" i="45" s="1"/>
  <c r="C564" i="45" s="1"/>
  <c r="E248" i="45"/>
  <c r="E428" i="45"/>
  <c r="E850" i="45"/>
  <c r="M850" i="45" s="1"/>
  <c r="E549" i="45"/>
  <c r="E552" i="45" s="1"/>
  <c r="E629" i="45"/>
  <c r="E632" i="45" s="1"/>
  <c r="M632" i="45" s="1"/>
  <c r="E669" i="45"/>
  <c r="E672" i="45" s="1"/>
  <c r="M672" i="45" s="1"/>
  <c r="E687" i="45"/>
  <c r="M687" i="45" s="1"/>
  <c r="E70" i="45"/>
  <c r="E210" i="45"/>
  <c r="M210" i="45" s="1"/>
  <c r="E390" i="45"/>
  <c r="M390" i="45" s="1"/>
  <c r="E615" i="45"/>
  <c r="M615" i="45" s="1"/>
  <c r="E570" i="45"/>
  <c r="M570" i="45" s="1"/>
  <c r="E790" i="45"/>
  <c r="M790" i="45" s="1"/>
  <c r="E870" i="45"/>
  <c r="M870" i="45" s="1"/>
  <c r="E888" i="45"/>
  <c r="E891" i="45" s="1"/>
  <c r="M891" i="45" s="1"/>
  <c r="E895" i="45"/>
  <c r="M895" i="45" s="1"/>
  <c r="E875" i="45"/>
  <c r="M875" i="45" s="1"/>
  <c r="E575" i="45"/>
  <c r="M575" i="45" s="1"/>
  <c r="E435" i="45"/>
  <c r="M435" i="45" s="1"/>
  <c r="E395" i="45"/>
  <c r="M395" i="45" s="1"/>
  <c r="E255" i="45"/>
  <c r="M255" i="45" s="1"/>
  <c r="E215" i="45"/>
  <c r="M215" i="45" s="1"/>
  <c r="E75" i="45"/>
  <c r="E1221" i="45"/>
  <c r="M1221" i="45" s="1"/>
  <c r="E1261" i="45"/>
  <c r="M1261" i="45" s="1"/>
  <c r="E1036" i="45"/>
  <c r="M1036" i="45" s="1"/>
  <c r="E976" i="45"/>
  <c r="M976" i="45" s="1"/>
  <c r="E1056" i="45"/>
  <c r="M1056" i="45" s="1"/>
  <c r="E1016" i="45"/>
  <c r="M1016" i="45" s="1"/>
  <c r="E934" i="45"/>
  <c r="E937" i="45" s="1"/>
  <c r="M937" i="45" s="1"/>
  <c r="E1116" i="45"/>
  <c r="M1116" i="45" s="1"/>
  <c r="E956" i="45"/>
  <c r="M956" i="45" s="1"/>
  <c r="E1216" i="45"/>
  <c r="M1216" i="45" s="1"/>
  <c r="E35" i="45"/>
  <c r="E916" i="45"/>
  <c r="M916" i="45" s="1"/>
  <c r="E996" i="45"/>
  <c r="M996" i="45" s="1"/>
  <c r="E936" i="45"/>
  <c r="M936" i="45" s="1"/>
  <c r="E1021" i="45"/>
  <c r="M1021" i="45" s="1"/>
  <c r="E1001" i="45"/>
  <c r="M1001" i="45" s="1"/>
  <c r="E981" i="45"/>
  <c r="M981" i="45" s="1"/>
  <c r="E961" i="45"/>
  <c r="M961" i="45" s="1"/>
  <c r="E941" i="45"/>
  <c r="M941" i="45" s="1"/>
  <c r="E1196" i="45"/>
  <c r="M1196" i="45" s="1"/>
  <c r="E1136" i="45"/>
  <c r="M1136" i="45" s="1"/>
  <c r="E1254" i="45"/>
  <c r="E1257" i="45" s="1"/>
  <c r="M1257" i="45" s="1"/>
  <c r="E1156" i="45"/>
  <c r="M1156" i="45" s="1"/>
  <c r="C2939" i="45"/>
  <c r="C2940" i="45" s="1"/>
  <c r="M2940" i="45" s="1"/>
  <c r="C2899" i="45"/>
  <c r="C2900" i="45" s="1"/>
  <c r="M2900" i="45" s="1"/>
  <c r="C2919" i="45"/>
  <c r="C2920" i="45" s="1"/>
  <c r="M2920" i="45" s="1"/>
  <c r="C2759" i="45"/>
  <c r="C2760" i="45" s="1"/>
  <c r="M2760" i="45" s="1"/>
  <c r="C2739" i="45"/>
  <c r="C2740" i="45" s="1"/>
  <c r="M2740" i="45" s="1"/>
  <c r="C2719" i="45"/>
  <c r="C2720" i="45" s="1"/>
  <c r="M2720" i="45" s="1"/>
  <c r="C2559" i="45"/>
  <c r="C2560" i="45" s="1"/>
  <c r="M2560" i="45" s="1"/>
  <c r="C2539" i="45"/>
  <c r="C2540" i="45" s="1"/>
  <c r="M2540" i="45" s="1"/>
  <c r="C2379" i="45"/>
  <c r="C2380" i="45" s="1"/>
  <c r="M2380" i="45" s="1"/>
  <c r="C2399" i="45"/>
  <c r="C2400" i="45" s="1"/>
  <c r="M2400" i="45" s="1"/>
  <c r="C2359" i="45"/>
  <c r="C2360" i="45" s="1"/>
  <c r="M2360" i="45" s="1"/>
  <c r="A388" i="45"/>
  <c r="A391" i="45" s="1"/>
  <c r="A394" i="45" s="1"/>
  <c r="A397" i="45" s="1"/>
  <c r="A400" i="45" s="1"/>
  <c r="A403" i="45" s="1"/>
  <c r="E1096" i="45"/>
  <c r="M1096" i="45" s="1"/>
  <c r="B844" i="45"/>
  <c r="B748" i="45"/>
  <c r="B751" i="45" s="1"/>
  <c r="B754" i="45" s="1"/>
  <c r="B757" i="45" s="1"/>
  <c r="B760" i="45" s="1"/>
  <c r="B763" i="45" s="1"/>
  <c r="A264" i="45"/>
  <c r="A444" i="45"/>
  <c r="G775" i="45"/>
  <c r="G776" i="45" s="1"/>
  <c r="G777" i="45" s="1"/>
  <c r="G778" i="45" s="1"/>
  <c r="G779" i="45" s="1"/>
  <c r="B742" i="45"/>
  <c r="E1079" i="45"/>
  <c r="E1256" i="45"/>
  <c r="E1239" i="45"/>
  <c r="A1104" i="45"/>
  <c r="A1102" i="45"/>
  <c r="B1184" i="45"/>
  <c r="B1182" i="45"/>
  <c r="E1094" i="45"/>
  <c r="E1097" i="45" s="1"/>
  <c r="M1097" i="45" s="1"/>
  <c r="A1204" i="45"/>
  <c r="A1202" i="45"/>
  <c r="A1144" i="45"/>
  <c r="A1142" i="45"/>
  <c r="B1164" i="45"/>
  <c r="B1162" i="45"/>
  <c r="B1264" i="45"/>
  <c r="B1262" i="45"/>
  <c r="B1244" i="45"/>
  <c r="B1242" i="45"/>
  <c r="E1214" i="45"/>
  <c r="E1217" i="45" s="1"/>
  <c r="M1217" i="45" s="1"/>
  <c r="A1224" i="45"/>
  <c r="A1222" i="45"/>
  <c r="E1114" i="45"/>
  <c r="E1117" i="45" s="1"/>
  <c r="M1117" i="45" s="1"/>
  <c r="E1194" i="45"/>
  <c r="E1197" i="45" s="1"/>
  <c r="M1197" i="45" s="1"/>
  <c r="E1154" i="45"/>
  <c r="E1157" i="45" s="1"/>
  <c r="M1157" i="45" s="1"/>
  <c r="E1134" i="45"/>
  <c r="E1137" i="45" s="1"/>
  <c r="M1137" i="45" s="1"/>
  <c r="A1124" i="45"/>
  <c r="A1122" i="45"/>
  <c r="E914" i="45"/>
  <c r="E917" i="45" s="1"/>
  <c r="M917" i="45" s="1"/>
  <c r="E954" i="45"/>
  <c r="E957" i="45" s="1"/>
  <c r="M957" i="45" s="1"/>
  <c r="A1024" i="45"/>
  <c r="A1022" i="45"/>
  <c r="A1044" i="45"/>
  <c r="A1042" i="45"/>
  <c r="A984" i="45"/>
  <c r="A982" i="45"/>
  <c r="E1034" i="45"/>
  <c r="E1037" i="45" s="1"/>
  <c r="M1037" i="45" s="1"/>
  <c r="E1014" i="45"/>
  <c r="E1017" i="45" s="1"/>
  <c r="M1017" i="45" s="1"/>
  <c r="E1054" i="45"/>
  <c r="E1057" i="45" s="1"/>
  <c r="M1057" i="45" s="1"/>
  <c r="A1062" i="45"/>
  <c r="A1064" i="45"/>
  <c r="A924" i="45"/>
  <c r="A922" i="45"/>
  <c r="E994" i="45"/>
  <c r="E997" i="45" s="1"/>
  <c r="M997" i="45" s="1"/>
  <c r="A964" i="45"/>
  <c r="A962" i="45"/>
  <c r="B1084" i="45"/>
  <c r="B1082" i="45"/>
  <c r="E1080" i="45"/>
  <c r="M1080" i="45" s="1"/>
  <c r="A1004" i="45"/>
  <c r="A1002" i="45"/>
  <c r="E974" i="45"/>
  <c r="E977" i="45" s="1"/>
  <c r="M977" i="45" s="1"/>
  <c r="A610" i="45"/>
  <c r="A613" i="45" s="1"/>
  <c r="A616" i="45" s="1"/>
  <c r="A619" i="45" s="1"/>
  <c r="B808" i="45"/>
  <c r="B811" i="45" s="1"/>
  <c r="B814" i="45" s="1"/>
  <c r="B817" i="45" s="1"/>
  <c r="B820" i="45" s="1"/>
  <c r="B823" i="45" s="1"/>
  <c r="B822" i="45"/>
  <c r="B768" i="45"/>
  <c r="B771" i="45" s="1"/>
  <c r="B774" i="45" s="1"/>
  <c r="B777" i="45" s="1"/>
  <c r="B780" i="45" s="1"/>
  <c r="B783" i="45" s="1"/>
  <c r="B784" i="45"/>
  <c r="A890" i="45"/>
  <c r="A893" i="45" s="1"/>
  <c r="A896" i="45" s="1"/>
  <c r="A899" i="45" s="1"/>
  <c r="E868" i="45"/>
  <c r="E890" i="45"/>
  <c r="M890" i="45" s="1"/>
  <c r="A848" i="45"/>
  <c r="A851" i="45" s="1"/>
  <c r="A854" i="45" s="1"/>
  <c r="A857" i="45" s="1"/>
  <c r="A860" i="45" s="1"/>
  <c r="A863" i="45" s="1"/>
  <c r="G835" i="45"/>
  <c r="G836" i="45" s="1"/>
  <c r="G837" i="45" s="1"/>
  <c r="G838" i="45" s="1"/>
  <c r="G839" i="45" s="1"/>
  <c r="D822" i="45"/>
  <c r="E788" i="45"/>
  <c r="A798" i="45"/>
  <c r="A801" i="45" s="1"/>
  <c r="A82" i="45"/>
  <c r="A870" i="45"/>
  <c r="A873" i="45" s="1"/>
  <c r="A876" i="45" s="1"/>
  <c r="A879" i="45" s="1"/>
  <c r="B828" i="45"/>
  <c r="B831" i="45" s="1"/>
  <c r="B834" i="45" s="1"/>
  <c r="B837" i="45" s="1"/>
  <c r="B840" i="45" s="1"/>
  <c r="B843" i="45" s="1"/>
  <c r="B728" i="45"/>
  <c r="B731" i="45" s="1"/>
  <c r="B734" i="45" s="1"/>
  <c r="B737" i="45" s="1"/>
  <c r="B740" i="45" s="1"/>
  <c r="B743" i="45" s="1"/>
  <c r="D808" i="45"/>
  <c r="D811" i="45" s="1"/>
  <c r="D814" i="45" s="1"/>
  <c r="D817" i="45" s="1"/>
  <c r="D820" i="45" s="1"/>
  <c r="D823" i="45" s="1"/>
  <c r="G735" i="45"/>
  <c r="G736" i="45" s="1"/>
  <c r="G737" i="45" s="1"/>
  <c r="G738" i="45" s="1"/>
  <c r="G739" i="45" s="1"/>
  <c r="E848" i="45"/>
  <c r="G875" i="45"/>
  <c r="G876" i="45" s="1"/>
  <c r="G877" i="45" s="1"/>
  <c r="G878" i="45" s="1"/>
  <c r="G879" i="45" s="1"/>
  <c r="G615" i="45"/>
  <c r="G616" i="45" s="1"/>
  <c r="G617" i="45" s="1"/>
  <c r="G618" i="45" s="1"/>
  <c r="G619" i="45" s="1"/>
  <c r="E568" i="45"/>
  <c r="M568" i="45" s="1"/>
  <c r="E627" i="45"/>
  <c r="M627" i="45" s="1"/>
  <c r="E667" i="45"/>
  <c r="M667" i="45" s="1"/>
  <c r="F712" i="45"/>
  <c r="F713" i="45" s="1"/>
  <c r="E68" i="45"/>
  <c r="A208" i="45"/>
  <c r="A211" i="45" s="1"/>
  <c r="A214" i="45" s="1"/>
  <c r="A217" i="45" s="1"/>
  <c r="A220" i="45" s="1"/>
  <c r="A223" i="45" s="1"/>
  <c r="B589" i="45"/>
  <c r="B592" i="45" s="1"/>
  <c r="B595" i="45" s="1"/>
  <c r="B598" i="45" s="1"/>
  <c r="B601" i="45" s="1"/>
  <c r="A549" i="45"/>
  <c r="A552" i="45" s="1"/>
  <c r="A555" i="45" s="1"/>
  <c r="G555" i="45" s="1"/>
  <c r="G556" i="45" s="1"/>
  <c r="G557" i="45" s="1"/>
  <c r="G558" i="45" s="1"/>
  <c r="G559" i="45" s="1"/>
  <c r="F647" i="45"/>
  <c r="F648" i="45" s="1"/>
  <c r="E709" i="45"/>
  <c r="E712" i="45" s="1"/>
  <c r="M712" i="45" s="1"/>
  <c r="A627" i="45"/>
  <c r="A628" i="45" s="1"/>
  <c r="A631" i="45" s="1"/>
  <c r="A634" i="45" s="1"/>
  <c r="A637" i="45" s="1"/>
  <c r="A640" i="45" s="1"/>
  <c r="B647" i="45"/>
  <c r="B650" i="45" s="1"/>
  <c r="B653" i="45" s="1"/>
  <c r="B656" i="45" s="1"/>
  <c r="B659" i="45" s="1"/>
  <c r="A667" i="45"/>
  <c r="A670" i="45" s="1"/>
  <c r="A883" i="45"/>
  <c r="D870" i="45"/>
  <c r="D873" i="45" s="1"/>
  <c r="D876" i="45" s="1"/>
  <c r="D879" i="45" s="1"/>
  <c r="D868" i="45"/>
  <c r="D871" i="45" s="1"/>
  <c r="D874" i="45" s="1"/>
  <c r="D877" i="45" s="1"/>
  <c r="D880" i="45" s="1"/>
  <c r="D883" i="45" s="1"/>
  <c r="B870" i="45"/>
  <c r="B873" i="45" s="1"/>
  <c r="B876" i="45" s="1"/>
  <c r="B879" i="45" s="1"/>
  <c r="B868" i="45"/>
  <c r="B871" i="45" s="1"/>
  <c r="B874" i="45" s="1"/>
  <c r="B877" i="45" s="1"/>
  <c r="B880" i="45" s="1"/>
  <c r="B883" i="45" s="1"/>
  <c r="D850" i="45"/>
  <c r="D853" i="45" s="1"/>
  <c r="D856" i="45" s="1"/>
  <c r="D859" i="45" s="1"/>
  <c r="D848" i="45"/>
  <c r="D851" i="45" s="1"/>
  <c r="D854" i="45" s="1"/>
  <c r="D857" i="45" s="1"/>
  <c r="D860" i="45" s="1"/>
  <c r="D863" i="45" s="1"/>
  <c r="A864" i="45"/>
  <c r="A862" i="45"/>
  <c r="A830" i="45"/>
  <c r="A828" i="45"/>
  <c r="A831" i="45" s="1"/>
  <c r="A834" i="45" s="1"/>
  <c r="A837" i="45" s="1"/>
  <c r="A840" i="45" s="1"/>
  <c r="A810" i="45"/>
  <c r="A808" i="45"/>
  <c r="A811" i="45" s="1"/>
  <c r="A814" i="45" s="1"/>
  <c r="A817" i="45" s="1"/>
  <c r="A820" i="45" s="1"/>
  <c r="D790" i="45"/>
  <c r="D793" i="45" s="1"/>
  <c r="D796" i="45" s="1"/>
  <c r="D799" i="45" s="1"/>
  <c r="D788" i="45"/>
  <c r="D791" i="45" s="1"/>
  <c r="D794" i="45" s="1"/>
  <c r="D797" i="45" s="1"/>
  <c r="D800" i="45" s="1"/>
  <c r="D803" i="45" s="1"/>
  <c r="A770" i="45"/>
  <c r="A768" i="45"/>
  <c r="A771" i="45" s="1"/>
  <c r="A774" i="45" s="1"/>
  <c r="A777" i="45" s="1"/>
  <c r="A780" i="45" s="1"/>
  <c r="A750" i="45"/>
  <c r="A748" i="45"/>
  <c r="A751" i="45" s="1"/>
  <c r="A754" i="45" s="1"/>
  <c r="A757" i="45" s="1"/>
  <c r="A760" i="45" s="1"/>
  <c r="A730" i="45"/>
  <c r="A728" i="45"/>
  <c r="A731" i="45" s="1"/>
  <c r="A734" i="45" s="1"/>
  <c r="A737" i="45" s="1"/>
  <c r="A740" i="45" s="1"/>
  <c r="E778" i="45"/>
  <c r="M778" i="45" s="1"/>
  <c r="A903" i="45"/>
  <c r="D890" i="45"/>
  <c r="D893" i="45" s="1"/>
  <c r="D896" i="45" s="1"/>
  <c r="D899" i="45" s="1"/>
  <c r="D888" i="45"/>
  <c r="D891" i="45" s="1"/>
  <c r="D894" i="45" s="1"/>
  <c r="D897" i="45" s="1"/>
  <c r="D900" i="45" s="1"/>
  <c r="D903" i="45" s="1"/>
  <c r="B890" i="45"/>
  <c r="B893" i="45" s="1"/>
  <c r="B896" i="45" s="1"/>
  <c r="B899" i="45" s="1"/>
  <c r="B888" i="45"/>
  <c r="B891" i="45" s="1"/>
  <c r="B894" i="45" s="1"/>
  <c r="B897" i="45" s="1"/>
  <c r="B900" i="45" s="1"/>
  <c r="B903" i="45" s="1"/>
  <c r="G895" i="45"/>
  <c r="G896" i="45" s="1"/>
  <c r="G897" i="45" s="1"/>
  <c r="G898" i="45" s="1"/>
  <c r="G899" i="45" s="1"/>
  <c r="B850" i="45"/>
  <c r="B848" i="45"/>
  <c r="B851" i="45" s="1"/>
  <c r="B854" i="45" s="1"/>
  <c r="B857" i="45" s="1"/>
  <c r="B860" i="45" s="1"/>
  <c r="B863" i="45" s="1"/>
  <c r="E830" i="45"/>
  <c r="M830" i="45" s="1"/>
  <c r="E828" i="45"/>
  <c r="E810" i="45"/>
  <c r="M810" i="45" s="1"/>
  <c r="E808" i="45"/>
  <c r="A803" i="45"/>
  <c r="B790" i="45"/>
  <c r="B788" i="45"/>
  <c r="B791" i="45" s="1"/>
  <c r="B794" i="45" s="1"/>
  <c r="B797" i="45" s="1"/>
  <c r="B800" i="45" s="1"/>
  <c r="B803" i="45" s="1"/>
  <c r="E770" i="45"/>
  <c r="M770" i="45" s="1"/>
  <c r="E768" i="45"/>
  <c r="M768" i="45" s="1"/>
  <c r="E750" i="45"/>
  <c r="M750" i="45" s="1"/>
  <c r="E748" i="45"/>
  <c r="M748" i="45" s="1"/>
  <c r="E730" i="45"/>
  <c r="M730" i="45" s="1"/>
  <c r="E728" i="45"/>
  <c r="M728" i="45" s="1"/>
  <c r="A804" i="45"/>
  <c r="A802" i="45"/>
  <c r="E611" i="45"/>
  <c r="M611" i="45" s="1"/>
  <c r="A623" i="45"/>
  <c r="D610" i="45"/>
  <c r="D613" i="45" s="1"/>
  <c r="D616" i="45" s="1"/>
  <c r="D619" i="45" s="1"/>
  <c r="D608" i="45"/>
  <c r="D611" i="45" s="1"/>
  <c r="D614" i="45" s="1"/>
  <c r="D617" i="45" s="1"/>
  <c r="D620" i="45" s="1"/>
  <c r="D623" i="45" s="1"/>
  <c r="B610" i="45"/>
  <c r="B613" i="45" s="1"/>
  <c r="B616" i="45" s="1"/>
  <c r="B619" i="45" s="1"/>
  <c r="B608" i="45"/>
  <c r="B611" i="45" s="1"/>
  <c r="B614" i="45" s="1"/>
  <c r="B617" i="45" s="1"/>
  <c r="B620" i="45" s="1"/>
  <c r="B623" i="45" s="1"/>
  <c r="F587" i="45"/>
  <c r="F588" i="45" s="1"/>
  <c r="A428" i="45"/>
  <c r="A431" i="45" s="1"/>
  <c r="A434" i="45" s="1"/>
  <c r="A437" i="45" s="1"/>
  <c r="A440" i="45" s="1"/>
  <c r="A443" i="45" s="1"/>
  <c r="D570" i="45"/>
  <c r="D573" i="45" s="1"/>
  <c r="D576" i="45" s="1"/>
  <c r="D579" i="45" s="1"/>
  <c r="D568" i="45"/>
  <c r="D571" i="45" s="1"/>
  <c r="D574" i="45" s="1"/>
  <c r="D577" i="45" s="1"/>
  <c r="D580" i="45" s="1"/>
  <c r="D583" i="45" s="1"/>
  <c r="B570" i="45"/>
  <c r="B573" i="45" s="1"/>
  <c r="B576" i="45" s="1"/>
  <c r="B579" i="45" s="1"/>
  <c r="B568" i="45"/>
  <c r="B571" i="45" s="1"/>
  <c r="B574" i="45" s="1"/>
  <c r="B577" i="45" s="1"/>
  <c r="B580" i="45" s="1"/>
  <c r="B583" i="45" s="1"/>
  <c r="G575" i="45"/>
  <c r="G576" i="45" s="1"/>
  <c r="G577" i="45" s="1"/>
  <c r="G578" i="45" s="1"/>
  <c r="G579" i="45" s="1"/>
  <c r="A573" i="45"/>
  <c r="A576" i="45" s="1"/>
  <c r="A579" i="45" s="1"/>
  <c r="E388" i="45"/>
  <c r="M388" i="45" s="1"/>
  <c r="E689" i="45"/>
  <c r="E692" i="45" s="1"/>
  <c r="M692" i="45" s="1"/>
  <c r="F694" i="45"/>
  <c r="E547" i="45"/>
  <c r="F552" i="45"/>
  <c r="F553" i="45" s="1"/>
  <c r="D587" i="45"/>
  <c r="D590" i="45" s="1"/>
  <c r="D593" i="45" s="1"/>
  <c r="D596" i="45" s="1"/>
  <c r="D599" i="45" s="1"/>
  <c r="F632" i="45"/>
  <c r="F633" i="45" s="1"/>
  <c r="D647" i="45"/>
  <c r="D648" i="45" s="1"/>
  <c r="D651" i="45" s="1"/>
  <c r="D654" i="45" s="1"/>
  <c r="D657" i="45" s="1"/>
  <c r="D660" i="45" s="1"/>
  <c r="D663" i="45" s="1"/>
  <c r="A687" i="45"/>
  <c r="A690" i="45" s="1"/>
  <c r="A707" i="45"/>
  <c r="A710" i="45" s="1"/>
  <c r="E707" i="45"/>
  <c r="M707" i="45" s="1"/>
  <c r="A224" i="45"/>
  <c r="C586" i="45"/>
  <c r="C587" i="45" s="1"/>
  <c r="C588" i="45" s="1"/>
  <c r="C589" i="45" s="1"/>
  <c r="C590" i="45" s="1"/>
  <c r="C591" i="45" s="1"/>
  <c r="C592" i="45" s="1"/>
  <c r="C593" i="45" s="1"/>
  <c r="C594" i="45" s="1"/>
  <c r="C595" i="45" s="1"/>
  <c r="C596" i="45" s="1"/>
  <c r="C597" i="45" s="1"/>
  <c r="C598" i="45" s="1"/>
  <c r="C599" i="45" s="1"/>
  <c r="C600" i="45" s="1"/>
  <c r="C601" i="45" s="1"/>
  <c r="C602" i="45" s="1"/>
  <c r="C603" i="45" s="1"/>
  <c r="C604" i="45" s="1"/>
  <c r="E430" i="45"/>
  <c r="M430" i="45" s="1"/>
  <c r="D428" i="45"/>
  <c r="D431" i="45" s="1"/>
  <c r="D434" i="45" s="1"/>
  <c r="D437" i="45" s="1"/>
  <c r="D440" i="45" s="1"/>
  <c r="D443" i="45" s="1"/>
  <c r="D430" i="45"/>
  <c r="D433" i="45" s="1"/>
  <c r="D436" i="45" s="1"/>
  <c r="D439" i="45" s="1"/>
  <c r="B428" i="45"/>
  <c r="B431" i="45" s="1"/>
  <c r="B434" i="45" s="1"/>
  <c r="B437" i="45" s="1"/>
  <c r="B440" i="45" s="1"/>
  <c r="B443" i="45" s="1"/>
  <c r="B430" i="45"/>
  <c r="A248" i="45"/>
  <c r="A251" i="45" s="1"/>
  <c r="A254" i="45" s="1"/>
  <c r="A257" i="45" s="1"/>
  <c r="A260" i="45" s="1"/>
  <c r="A263" i="45" s="1"/>
  <c r="D388" i="45"/>
  <c r="D391" i="45" s="1"/>
  <c r="D394" i="45" s="1"/>
  <c r="D397" i="45" s="1"/>
  <c r="D400" i="45" s="1"/>
  <c r="D403" i="45" s="1"/>
  <c r="D390" i="45"/>
  <c r="D393" i="45" s="1"/>
  <c r="D396" i="45" s="1"/>
  <c r="D399" i="45" s="1"/>
  <c r="B388" i="45"/>
  <c r="B391" i="45" s="1"/>
  <c r="B394" i="45" s="1"/>
  <c r="B397" i="45" s="1"/>
  <c r="B400" i="45" s="1"/>
  <c r="B403" i="45" s="1"/>
  <c r="B390" i="45"/>
  <c r="E250" i="45"/>
  <c r="M250" i="45" s="1"/>
  <c r="D248" i="45"/>
  <c r="D251" i="45" s="1"/>
  <c r="D254" i="45" s="1"/>
  <c r="D257" i="45" s="1"/>
  <c r="D260" i="45" s="1"/>
  <c r="D263" i="45" s="1"/>
  <c r="D250" i="45"/>
  <c r="D253" i="45" s="1"/>
  <c r="D256" i="45" s="1"/>
  <c r="D259" i="45" s="1"/>
  <c r="B248" i="45"/>
  <c r="B251" i="45" s="1"/>
  <c r="B254" i="45" s="1"/>
  <c r="B257" i="45" s="1"/>
  <c r="B260" i="45" s="1"/>
  <c r="B263" i="45" s="1"/>
  <c r="B250" i="45"/>
  <c r="B208" i="45"/>
  <c r="B211" i="45" s="1"/>
  <c r="B214" i="45" s="1"/>
  <c r="B217" i="45" s="1"/>
  <c r="B220" i="45" s="1"/>
  <c r="B223" i="45" s="1"/>
  <c r="B210" i="45"/>
  <c r="D208" i="45"/>
  <c r="D211" i="45" s="1"/>
  <c r="D214" i="45" s="1"/>
  <c r="D217" i="45" s="1"/>
  <c r="D220" i="45" s="1"/>
  <c r="D223" i="45" s="1"/>
  <c r="D210" i="45"/>
  <c r="D213" i="45" s="1"/>
  <c r="D216" i="45" s="1"/>
  <c r="D219" i="45" s="1"/>
  <c r="E211" i="45"/>
  <c r="M211" i="45" s="1"/>
  <c r="A68" i="45"/>
  <c r="A71" i="45" s="1"/>
  <c r="A74" i="45" s="1"/>
  <c r="A77" i="45" s="1"/>
  <c r="A80" i="45" s="1"/>
  <c r="B68" i="45"/>
  <c r="C67" i="45"/>
  <c r="B70" i="45"/>
  <c r="D68" i="45"/>
  <c r="D71" i="45" s="1"/>
  <c r="D74" i="45" s="1"/>
  <c r="D77" i="45" s="1"/>
  <c r="D80" i="45" s="1"/>
  <c r="D83" i="45" s="1"/>
  <c r="D70" i="45"/>
  <c r="D73" i="45" s="1"/>
  <c r="D76" i="45" s="1"/>
  <c r="D79" i="45" s="1"/>
  <c r="B78" i="45"/>
  <c r="C75" i="45"/>
  <c r="B28" i="45"/>
  <c r="C27" i="45"/>
  <c r="B30" i="45"/>
  <c r="E30" i="45"/>
  <c r="E28" i="45"/>
  <c r="D28" i="45"/>
  <c r="D31" i="45" s="1"/>
  <c r="D34" i="45" s="1"/>
  <c r="D37" i="45" s="1"/>
  <c r="D40" i="45" s="1"/>
  <c r="D43" i="45" s="1"/>
  <c r="D30" i="45"/>
  <c r="D33" i="45" s="1"/>
  <c r="D36" i="45" s="1"/>
  <c r="D39" i="45" s="1"/>
  <c r="A30" i="45"/>
  <c r="A28" i="45"/>
  <c r="A31" i="45" s="1"/>
  <c r="A34" i="45" s="1"/>
  <c r="A37" i="45" s="1"/>
  <c r="A40" i="45" s="1"/>
  <c r="B38" i="45"/>
  <c r="C35" i="45"/>
  <c r="A553" i="45"/>
  <c r="A556" i="45" s="1"/>
  <c r="A559" i="45" s="1"/>
  <c r="A638" i="45"/>
  <c r="A641" i="45" s="1"/>
  <c r="A678" i="45"/>
  <c r="A681" i="45" s="1"/>
  <c r="B547" i="45"/>
  <c r="D547" i="45"/>
  <c r="F547" i="45"/>
  <c r="F548" i="45" s="1"/>
  <c r="A548" i="45"/>
  <c r="A551" i="45" s="1"/>
  <c r="A554" i="45" s="1"/>
  <c r="A557" i="45" s="1"/>
  <c r="A560" i="45" s="1"/>
  <c r="A589" i="45"/>
  <c r="A592" i="45" s="1"/>
  <c r="A595" i="45" s="1"/>
  <c r="A587" i="45"/>
  <c r="E589" i="45"/>
  <c r="E592" i="45" s="1"/>
  <c r="E587" i="45"/>
  <c r="B590" i="45"/>
  <c r="B593" i="45" s="1"/>
  <c r="B596" i="45" s="1"/>
  <c r="B599" i="45" s="1"/>
  <c r="B588" i="45"/>
  <c r="B591" i="45" s="1"/>
  <c r="B594" i="45" s="1"/>
  <c r="B597" i="45" s="1"/>
  <c r="B600" i="45" s="1"/>
  <c r="B603" i="45" s="1"/>
  <c r="F594" i="45"/>
  <c r="F592" i="45"/>
  <c r="F593" i="45" s="1"/>
  <c r="B629" i="45"/>
  <c r="B632" i="45" s="1"/>
  <c r="B635" i="45" s="1"/>
  <c r="B638" i="45" s="1"/>
  <c r="B641" i="45" s="1"/>
  <c r="B627" i="45"/>
  <c r="D629" i="45"/>
  <c r="D632" i="45" s="1"/>
  <c r="D635" i="45" s="1"/>
  <c r="D638" i="45" s="1"/>
  <c r="D641" i="45" s="1"/>
  <c r="D627" i="45"/>
  <c r="F629" i="45"/>
  <c r="F627" i="45"/>
  <c r="F628" i="45" s="1"/>
  <c r="A649" i="45"/>
  <c r="A652" i="45" s="1"/>
  <c r="A655" i="45" s="1"/>
  <c r="A647" i="45"/>
  <c r="E649" i="45"/>
  <c r="E652" i="45" s="1"/>
  <c r="M652" i="45" s="1"/>
  <c r="E647" i="45"/>
  <c r="M647" i="45" s="1"/>
  <c r="F654" i="45"/>
  <c r="F652" i="45"/>
  <c r="F653" i="45" s="1"/>
  <c r="B669" i="45"/>
  <c r="B672" i="45" s="1"/>
  <c r="B675" i="45" s="1"/>
  <c r="B678" i="45" s="1"/>
  <c r="B681" i="45" s="1"/>
  <c r="B667" i="45"/>
  <c r="D669" i="45"/>
  <c r="D672" i="45" s="1"/>
  <c r="D675" i="45" s="1"/>
  <c r="D678" i="45" s="1"/>
  <c r="D681" i="45" s="1"/>
  <c r="D667" i="45"/>
  <c r="F669" i="45"/>
  <c r="F667" i="45"/>
  <c r="F668" i="45" s="1"/>
  <c r="F674" i="45"/>
  <c r="F672" i="45"/>
  <c r="F673" i="45" s="1"/>
  <c r="A698" i="45"/>
  <c r="A701" i="45" s="1"/>
  <c r="B689" i="45"/>
  <c r="B692" i="45" s="1"/>
  <c r="B695" i="45" s="1"/>
  <c r="B698" i="45" s="1"/>
  <c r="B701" i="45" s="1"/>
  <c r="B687" i="45"/>
  <c r="D689" i="45"/>
  <c r="D692" i="45" s="1"/>
  <c r="D695" i="45" s="1"/>
  <c r="D698" i="45" s="1"/>
  <c r="D701" i="45" s="1"/>
  <c r="D687" i="45"/>
  <c r="F689" i="45"/>
  <c r="F687" i="45"/>
  <c r="F688" i="45" s="1"/>
  <c r="A718" i="45"/>
  <c r="A721" i="45" s="1"/>
  <c r="B709" i="45"/>
  <c r="B712" i="45" s="1"/>
  <c r="B715" i="45" s="1"/>
  <c r="B718" i="45" s="1"/>
  <c r="B721" i="45" s="1"/>
  <c r="B707" i="45"/>
  <c r="D709" i="45"/>
  <c r="D712" i="45" s="1"/>
  <c r="D715" i="45" s="1"/>
  <c r="D718" i="45" s="1"/>
  <c r="D721" i="45" s="1"/>
  <c r="D707" i="45"/>
  <c r="F709" i="45"/>
  <c r="F707" i="45"/>
  <c r="F708" i="45" s="1"/>
  <c r="F541" i="45"/>
  <c r="F542" i="45" s="1"/>
  <c r="F543" i="45" s="1"/>
  <c r="F544" i="45" s="1"/>
  <c r="F536" i="45"/>
  <c r="F537" i="45" s="1"/>
  <c r="F538" i="45" s="1"/>
  <c r="F539" i="45" s="1"/>
  <c r="F531" i="45"/>
  <c r="F532" i="45" s="1"/>
  <c r="F533" i="45" s="1"/>
  <c r="F526" i="45"/>
  <c r="E526" i="45"/>
  <c r="M526" i="45" s="1"/>
  <c r="D526" i="45"/>
  <c r="B526" i="45"/>
  <c r="A526" i="45"/>
  <c r="A527" i="45" s="1"/>
  <c r="G525" i="45"/>
  <c r="G526" i="45" s="1"/>
  <c r="G527" i="45" s="1"/>
  <c r="G528" i="45" s="1"/>
  <c r="G529" i="45" s="1"/>
  <c r="F521" i="45"/>
  <c r="F522" i="45" s="1"/>
  <c r="F523" i="45" s="1"/>
  <c r="F524" i="45" s="1"/>
  <c r="F516" i="45"/>
  <c r="F517" i="45" s="1"/>
  <c r="F518" i="45" s="1"/>
  <c r="F519" i="45" s="1"/>
  <c r="F511" i="45"/>
  <c r="F512" i="45" s="1"/>
  <c r="F513" i="45" s="1"/>
  <c r="F506" i="45"/>
  <c r="E506" i="45"/>
  <c r="M506" i="45" s="1"/>
  <c r="D506" i="45"/>
  <c r="B506" i="45"/>
  <c r="A506" i="45"/>
  <c r="A509" i="45" s="1"/>
  <c r="A512" i="45" s="1"/>
  <c r="A515" i="45" s="1"/>
  <c r="G505" i="45"/>
  <c r="G506" i="45" s="1"/>
  <c r="G507" i="45" s="1"/>
  <c r="G508" i="45" s="1"/>
  <c r="G509" i="45" s="1"/>
  <c r="F501" i="45"/>
  <c r="F502" i="45" s="1"/>
  <c r="F503" i="45" s="1"/>
  <c r="F504" i="45" s="1"/>
  <c r="F496" i="45"/>
  <c r="F497" i="45" s="1"/>
  <c r="F498" i="45" s="1"/>
  <c r="F499" i="45" s="1"/>
  <c r="F491" i="45"/>
  <c r="F486" i="45"/>
  <c r="E486" i="45"/>
  <c r="M486" i="45" s="1"/>
  <c r="D486" i="45"/>
  <c r="B486" i="45"/>
  <c r="A486" i="45"/>
  <c r="A489" i="45" s="1"/>
  <c r="A492" i="45" s="1"/>
  <c r="A495" i="45" s="1"/>
  <c r="G485" i="45"/>
  <c r="G486" i="45" s="1"/>
  <c r="G487" i="45" s="1"/>
  <c r="G488" i="45" s="1"/>
  <c r="G489" i="45" s="1"/>
  <c r="F481" i="45"/>
  <c r="F482" i="45" s="1"/>
  <c r="F483" i="45" s="1"/>
  <c r="F484" i="45" s="1"/>
  <c r="F476" i="45"/>
  <c r="F477" i="45" s="1"/>
  <c r="F478" i="45" s="1"/>
  <c r="F479" i="45" s="1"/>
  <c r="F471" i="45"/>
  <c r="F466" i="45"/>
  <c r="F467" i="45" s="1"/>
  <c r="F468" i="45" s="1"/>
  <c r="E466" i="45"/>
  <c r="M466" i="45" s="1"/>
  <c r="D466" i="45"/>
  <c r="D469" i="45" s="1"/>
  <c r="D472" i="45" s="1"/>
  <c r="D475" i="45" s="1"/>
  <c r="D478" i="45" s="1"/>
  <c r="D481" i="45" s="1"/>
  <c r="B466" i="45"/>
  <c r="B467" i="45" s="1"/>
  <c r="A466" i="45"/>
  <c r="G465" i="45"/>
  <c r="G466" i="45" s="1"/>
  <c r="G467" i="45" s="1"/>
  <c r="G468" i="45" s="1"/>
  <c r="G469" i="45" s="1"/>
  <c r="F461" i="45"/>
  <c r="F462" i="45" s="1"/>
  <c r="F463" i="45" s="1"/>
  <c r="F464" i="45" s="1"/>
  <c r="F456" i="45"/>
  <c r="F457" i="45" s="1"/>
  <c r="F458" i="45" s="1"/>
  <c r="F459" i="45" s="1"/>
  <c r="F451" i="45"/>
  <c r="F452" i="45" s="1"/>
  <c r="F453" i="45" s="1"/>
  <c r="F446" i="45"/>
  <c r="E446" i="45"/>
  <c r="M446" i="45" s="1"/>
  <c r="D446" i="45"/>
  <c r="B446" i="45"/>
  <c r="A446" i="45"/>
  <c r="A447" i="45" s="1"/>
  <c r="G445" i="45"/>
  <c r="G446" i="45" s="1"/>
  <c r="G447" i="45" s="1"/>
  <c r="G448" i="45" s="1"/>
  <c r="G449" i="45" s="1"/>
  <c r="F421" i="45"/>
  <c r="F422" i="45" s="1"/>
  <c r="F423" i="45" s="1"/>
  <c r="F424" i="45" s="1"/>
  <c r="F416" i="45"/>
  <c r="F417" i="45" s="1"/>
  <c r="F418" i="45" s="1"/>
  <c r="F419" i="45" s="1"/>
  <c r="F411" i="45"/>
  <c r="F406" i="45"/>
  <c r="F407" i="45" s="1"/>
  <c r="F408" i="45" s="1"/>
  <c r="E406" i="45"/>
  <c r="D406" i="45"/>
  <c r="D409" i="45" s="1"/>
  <c r="D412" i="45" s="1"/>
  <c r="D415" i="45" s="1"/>
  <c r="D418" i="45" s="1"/>
  <c r="D421" i="45" s="1"/>
  <c r="B406" i="45"/>
  <c r="B407" i="45" s="1"/>
  <c r="A406" i="45"/>
  <c r="G405" i="45"/>
  <c r="G406" i="45" s="1"/>
  <c r="G407" i="45" s="1"/>
  <c r="G408" i="45" s="1"/>
  <c r="G409" i="45" s="1"/>
  <c r="C405" i="45"/>
  <c r="M405" i="45" s="1"/>
  <c r="F381" i="45"/>
  <c r="F382" i="45" s="1"/>
  <c r="F383" i="45" s="1"/>
  <c r="F384" i="45" s="1"/>
  <c r="F376" i="45"/>
  <c r="F377" i="45" s="1"/>
  <c r="F378" i="45" s="1"/>
  <c r="F379" i="45" s="1"/>
  <c r="F371" i="45"/>
  <c r="F372" i="45" s="1"/>
  <c r="F373" i="45" s="1"/>
  <c r="F366" i="45"/>
  <c r="F369" i="45" s="1"/>
  <c r="E366" i="45"/>
  <c r="D366" i="45"/>
  <c r="D369" i="45" s="1"/>
  <c r="D372" i="45" s="1"/>
  <c r="D375" i="45" s="1"/>
  <c r="D378" i="45" s="1"/>
  <c r="D381" i="45" s="1"/>
  <c r="B366" i="45"/>
  <c r="B369" i="45" s="1"/>
  <c r="A366" i="45"/>
  <c r="A369" i="45" s="1"/>
  <c r="A372" i="45" s="1"/>
  <c r="A375" i="45" s="1"/>
  <c r="G365" i="45"/>
  <c r="G366" i="45" s="1"/>
  <c r="G367" i="45" s="1"/>
  <c r="G368" i="45" s="1"/>
  <c r="G369" i="45" s="1"/>
  <c r="C365" i="45"/>
  <c r="M365" i="45" s="1"/>
  <c r="E738" i="45" l="1"/>
  <c r="M738" i="45" s="1"/>
  <c r="E573" i="45"/>
  <c r="M573" i="45" s="1"/>
  <c r="A83" i="45"/>
  <c r="E798" i="45"/>
  <c r="M798" i="45" s="1"/>
  <c r="E1059" i="45"/>
  <c r="E1062" i="45" s="1"/>
  <c r="M1062" i="45" s="1"/>
  <c r="E999" i="45"/>
  <c r="E1180" i="45"/>
  <c r="M1180" i="45" s="1"/>
  <c r="E1119" i="45"/>
  <c r="E1124" i="45" s="1"/>
  <c r="N205" i="45"/>
  <c r="M592" i="45"/>
  <c r="E838" i="45"/>
  <c r="M838" i="45" s="1"/>
  <c r="E979" i="45"/>
  <c r="E982" i="45" s="1"/>
  <c r="M982" i="45" s="1"/>
  <c r="E1179" i="45"/>
  <c r="E1182" i="45" s="1"/>
  <c r="E1019" i="45"/>
  <c r="E1024" i="45" s="1"/>
  <c r="E613" i="45"/>
  <c r="M613" i="45" s="1"/>
  <c r="Q610" i="45" s="1"/>
  <c r="E1039" i="45"/>
  <c r="E1044" i="45" s="1"/>
  <c r="E818" i="45"/>
  <c r="M818" i="45" s="1"/>
  <c r="E873" i="45"/>
  <c r="M873" i="45" s="1"/>
  <c r="E1240" i="45"/>
  <c r="M1240" i="45" s="1"/>
  <c r="Q935" i="45"/>
  <c r="N1235" i="45"/>
  <c r="Q1155" i="45"/>
  <c r="Q1135" i="45"/>
  <c r="Q995" i="45"/>
  <c r="Q955" i="45"/>
  <c r="Q1055" i="45"/>
  <c r="Q1035" i="45"/>
  <c r="P205" i="45"/>
  <c r="Q205" i="45"/>
  <c r="Q565" i="45"/>
  <c r="Q765" i="45"/>
  <c r="Q1235" i="45"/>
  <c r="Q1095" i="45"/>
  <c r="Q1195" i="45"/>
  <c r="Q915" i="45"/>
  <c r="Q1215" i="45"/>
  <c r="Q1115" i="45"/>
  <c r="Q1015" i="45"/>
  <c r="Q975" i="45"/>
  <c r="P1175" i="45"/>
  <c r="Q1175" i="45"/>
  <c r="Q385" i="45"/>
  <c r="Q725" i="45"/>
  <c r="Q745" i="45"/>
  <c r="P1155" i="45"/>
  <c r="P955" i="45"/>
  <c r="P1055" i="45"/>
  <c r="P1035" i="45"/>
  <c r="P1095" i="45"/>
  <c r="P1195" i="45"/>
  <c r="P935" i="45"/>
  <c r="P915" i="45"/>
  <c r="P1215" i="45"/>
  <c r="P1115" i="45"/>
  <c r="P1015" i="45"/>
  <c r="P975" i="45"/>
  <c r="P385" i="45"/>
  <c r="P725" i="45"/>
  <c r="N1070" i="45"/>
  <c r="P1070" i="45"/>
  <c r="N2935" i="45"/>
  <c r="P2935" i="45"/>
  <c r="N2535" i="45"/>
  <c r="P2535" i="45"/>
  <c r="N2375" i="45"/>
  <c r="P2375" i="45"/>
  <c r="N1090" i="45"/>
  <c r="P1090" i="45"/>
  <c r="N1050" i="45"/>
  <c r="P1050" i="45"/>
  <c r="P745" i="45"/>
  <c r="N2895" i="45"/>
  <c r="P2895" i="45"/>
  <c r="N2755" i="45"/>
  <c r="P2755" i="45"/>
  <c r="N2395" i="45"/>
  <c r="P2395" i="45"/>
  <c r="N950" i="45"/>
  <c r="P950" i="45"/>
  <c r="P1135" i="45"/>
  <c r="P995" i="45"/>
  <c r="P565" i="45"/>
  <c r="P765" i="45"/>
  <c r="N2915" i="45"/>
  <c r="P2915" i="45"/>
  <c r="N2735" i="45"/>
  <c r="P2735" i="45"/>
  <c r="N2355" i="45"/>
  <c r="P2355" i="45"/>
  <c r="N1110" i="45"/>
  <c r="P1110" i="45"/>
  <c r="N970" i="45"/>
  <c r="P970" i="45"/>
  <c r="N1010" i="45"/>
  <c r="P1010" i="45"/>
  <c r="N2715" i="45"/>
  <c r="P2715" i="45"/>
  <c r="N2555" i="45"/>
  <c r="P2555" i="45"/>
  <c r="N1210" i="45"/>
  <c r="P1210" i="45"/>
  <c r="N910" i="45"/>
  <c r="P910" i="45"/>
  <c r="E690" i="45"/>
  <c r="M690" i="45" s="1"/>
  <c r="M587" i="45"/>
  <c r="E758" i="45"/>
  <c r="M758" i="45" s="1"/>
  <c r="E858" i="45"/>
  <c r="M858" i="45" s="1"/>
  <c r="M828" i="45"/>
  <c r="Q825" i="45" s="1"/>
  <c r="M868" i="45"/>
  <c r="Q865" i="45" s="1"/>
  <c r="M35" i="45"/>
  <c r="M75" i="45"/>
  <c r="M888" i="45"/>
  <c r="Q885" i="45" s="1"/>
  <c r="M428" i="45"/>
  <c r="Q425" i="45" s="1"/>
  <c r="M546" i="45"/>
  <c r="M547" i="45"/>
  <c r="M808" i="45"/>
  <c r="Q805" i="45" s="1"/>
  <c r="M848" i="45"/>
  <c r="Q845" i="45" s="1"/>
  <c r="M788" i="45"/>
  <c r="Q785" i="45" s="1"/>
  <c r="M1256" i="45"/>
  <c r="Q1255" i="45" s="1"/>
  <c r="M552" i="45"/>
  <c r="M248" i="45"/>
  <c r="Q245" i="45" s="1"/>
  <c r="M67" i="45"/>
  <c r="M586" i="45"/>
  <c r="M27" i="45"/>
  <c r="N1035" i="45"/>
  <c r="N1095" i="45"/>
  <c r="N1195" i="45"/>
  <c r="N935" i="45"/>
  <c r="N1115" i="45"/>
  <c r="E668" i="45"/>
  <c r="E671" i="45" s="1"/>
  <c r="M671" i="45" s="1"/>
  <c r="N1155" i="45"/>
  <c r="N1135" i="45"/>
  <c r="N995" i="45"/>
  <c r="N955" i="45"/>
  <c r="N1055" i="45"/>
  <c r="E688" i="45"/>
  <c r="M688" i="45" s="1"/>
  <c r="N685" i="45" s="1"/>
  <c r="N565" i="45"/>
  <c r="N765" i="45"/>
  <c r="N915" i="45"/>
  <c r="N1215" i="45"/>
  <c r="N1015" i="45"/>
  <c r="N975" i="45"/>
  <c r="E675" i="45"/>
  <c r="M675" i="45" s="1"/>
  <c r="E555" i="45"/>
  <c r="M555" i="45" s="1"/>
  <c r="N745" i="45"/>
  <c r="N385" i="45"/>
  <c r="N725" i="45"/>
  <c r="N1175" i="45"/>
  <c r="E409" i="45"/>
  <c r="E412" i="45" s="1"/>
  <c r="E415" i="45" s="1"/>
  <c r="E550" i="45"/>
  <c r="M550" i="45" s="1"/>
  <c r="E695" i="45"/>
  <c r="M695" i="45" s="1"/>
  <c r="E391" i="45"/>
  <c r="M391" i="45" s="1"/>
  <c r="E71" i="45"/>
  <c r="E74" i="45" s="1"/>
  <c r="E77" i="45" s="1"/>
  <c r="E670" i="45"/>
  <c r="M670" i="45" s="1"/>
  <c r="E571" i="45"/>
  <c r="M571" i="45" s="1"/>
  <c r="P570" i="45" s="1"/>
  <c r="E871" i="45"/>
  <c r="E874" i="45" s="1"/>
  <c r="E877" i="45" s="1"/>
  <c r="M877" i="45" s="1"/>
  <c r="E398" i="45"/>
  <c r="M398" i="45" s="1"/>
  <c r="E438" i="45"/>
  <c r="M438" i="45" s="1"/>
  <c r="E898" i="45"/>
  <c r="M898" i="45" s="1"/>
  <c r="E393" i="45"/>
  <c r="M393" i="45" s="1"/>
  <c r="E213" i="45"/>
  <c r="E635" i="45"/>
  <c r="M635" i="45" s="1"/>
  <c r="E431" i="45"/>
  <c r="M431" i="45" s="1"/>
  <c r="E251" i="45"/>
  <c r="M251" i="45" s="1"/>
  <c r="E509" i="45"/>
  <c r="E512" i="45" s="1"/>
  <c r="M512" i="45" s="1"/>
  <c r="C366" i="45"/>
  <c r="C367" i="45" s="1"/>
  <c r="C368" i="45" s="1"/>
  <c r="C369" i="45" s="1"/>
  <c r="C370" i="45" s="1"/>
  <c r="C371" i="45" s="1"/>
  <c r="C372" i="45" s="1"/>
  <c r="C373" i="45" s="1"/>
  <c r="C374" i="45" s="1"/>
  <c r="C375" i="45" s="1"/>
  <c r="C376" i="45" s="1"/>
  <c r="C377" i="45" s="1"/>
  <c r="C378" i="45" s="1"/>
  <c r="C379" i="45" s="1"/>
  <c r="C380" i="45" s="1"/>
  <c r="C381" i="45" s="1"/>
  <c r="C382" i="45" s="1"/>
  <c r="C383" i="45" s="1"/>
  <c r="C384" i="45" s="1"/>
  <c r="C406" i="45"/>
  <c r="C407" i="45" s="1"/>
  <c r="C408" i="45" s="1"/>
  <c r="C409" i="45" s="1"/>
  <c r="C410" i="45" s="1"/>
  <c r="C411" i="45" s="1"/>
  <c r="C412" i="45" s="1"/>
  <c r="C413" i="45" s="1"/>
  <c r="C414" i="45" s="1"/>
  <c r="C415" i="45" s="1"/>
  <c r="C416" i="45" s="1"/>
  <c r="C417" i="45" s="1"/>
  <c r="C418" i="45" s="1"/>
  <c r="C419" i="45" s="1"/>
  <c r="C420" i="45" s="1"/>
  <c r="C421" i="45" s="1"/>
  <c r="C422" i="45" s="1"/>
  <c r="C423" i="45" s="1"/>
  <c r="C424" i="45" s="1"/>
  <c r="E449" i="45"/>
  <c r="E452" i="45" s="1"/>
  <c r="M452" i="45" s="1"/>
  <c r="E489" i="45"/>
  <c r="E492" i="45" s="1"/>
  <c r="M492" i="45" s="1"/>
  <c r="E529" i="45"/>
  <c r="E532" i="45" s="1"/>
  <c r="M532" i="45" s="1"/>
  <c r="E710" i="45"/>
  <c r="M710" i="45" s="1"/>
  <c r="E715" i="45"/>
  <c r="M715" i="45" s="1"/>
  <c r="E630" i="45"/>
  <c r="M630" i="45" s="1"/>
  <c r="E851" i="45"/>
  <c r="M851" i="45" s="1"/>
  <c r="E791" i="45"/>
  <c r="M791" i="45" s="1"/>
  <c r="E893" i="45"/>
  <c r="E896" i="45" s="1"/>
  <c r="M896" i="45" s="1"/>
  <c r="E78" i="45"/>
  <c r="E218" i="45"/>
  <c r="M218" i="45" s="1"/>
  <c r="E258" i="45"/>
  <c r="M258" i="45" s="1"/>
  <c r="E578" i="45"/>
  <c r="M578" i="45" s="1"/>
  <c r="E878" i="45"/>
  <c r="M878" i="45" s="1"/>
  <c r="E793" i="45"/>
  <c r="M793" i="45" s="1"/>
  <c r="E618" i="45"/>
  <c r="M618" i="45" s="1"/>
  <c r="E73" i="45"/>
  <c r="E853" i="45"/>
  <c r="M853" i="45" s="1"/>
  <c r="E1159" i="45"/>
  <c r="E1164" i="45" s="1"/>
  <c r="E940" i="45"/>
  <c r="M940" i="45" s="1"/>
  <c r="E959" i="45"/>
  <c r="E964" i="45" s="1"/>
  <c r="E1099" i="45"/>
  <c r="E1104" i="45" s="1"/>
  <c r="E1139" i="45"/>
  <c r="E1144" i="45" s="1"/>
  <c r="E1199" i="45"/>
  <c r="E1202" i="45" s="1"/>
  <c r="M1202" i="45" s="1"/>
  <c r="A630" i="45"/>
  <c r="A633" i="45" s="1"/>
  <c r="A636" i="45" s="1"/>
  <c r="A639" i="45" s="1"/>
  <c r="E1219" i="45"/>
  <c r="E1222" i="45" s="1"/>
  <c r="M1222" i="45" s="1"/>
  <c r="E38" i="45"/>
  <c r="E939" i="45"/>
  <c r="E919" i="45"/>
  <c r="E922" i="45" s="1"/>
  <c r="M922" i="45" s="1"/>
  <c r="E1260" i="45"/>
  <c r="M1260" i="45" s="1"/>
  <c r="C2921" i="45"/>
  <c r="M2921" i="45" s="1"/>
  <c r="C2901" i="45"/>
  <c r="M2901" i="45" s="1"/>
  <c r="C2941" i="45"/>
  <c r="M2941" i="45" s="1"/>
  <c r="C2721" i="45"/>
  <c r="M2721" i="45" s="1"/>
  <c r="C2741" i="45"/>
  <c r="M2741" i="45" s="1"/>
  <c r="C2761" i="45"/>
  <c r="M2761" i="45" s="1"/>
  <c r="C2541" i="45"/>
  <c r="M2541" i="45" s="1"/>
  <c r="C2561" i="45"/>
  <c r="M2561" i="45" s="1"/>
  <c r="C2361" i="45"/>
  <c r="M2361" i="45" s="1"/>
  <c r="C2401" i="45"/>
  <c r="M2401" i="45" s="1"/>
  <c r="C2381" i="45"/>
  <c r="M2381" i="45" s="1"/>
  <c r="E1083" i="45"/>
  <c r="M1083" i="45" s="1"/>
  <c r="E1244" i="45"/>
  <c r="E1242" i="45"/>
  <c r="M1242" i="45" s="1"/>
  <c r="E1259" i="45"/>
  <c r="E1084" i="45"/>
  <c r="E1082" i="45"/>
  <c r="M1082" i="45" s="1"/>
  <c r="E1140" i="45"/>
  <c r="M1140" i="45" s="1"/>
  <c r="E1200" i="45"/>
  <c r="M1200" i="45" s="1"/>
  <c r="E1160" i="45"/>
  <c r="M1160" i="45" s="1"/>
  <c r="E1120" i="45"/>
  <c r="M1120" i="45" s="1"/>
  <c r="E1220" i="45"/>
  <c r="M1220" i="45" s="1"/>
  <c r="E1100" i="45"/>
  <c r="M1100" i="45" s="1"/>
  <c r="E1040" i="45"/>
  <c r="M1040" i="45" s="1"/>
  <c r="E980" i="45"/>
  <c r="M980" i="45" s="1"/>
  <c r="E1000" i="45"/>
  <c r="M1000" i="45" s="1"/>
  <c r="E1060" i="45"/>
  <c r="M1060" i="45" s="1"/>
  <c r="E1020" i="45"/>
  <c r="M1020" i="45" s="1"/>
  <c r="E1004" i="45"/>
  <c r="E1002" i="45"/>
  <c r="M1002" i="45" s="1"/>
  <c r="E960" i="45"/>
  <c r="M960" i="45" s="1"/>
  <c r="E920" i="45"/>
  <c r="M920" i="45" s="1"/>
  <c r="E628" i="45"/>
  <c r="A668" i="45"/>
  <c r="A671" i="45" s="1"/>
  <c r="A674" i="45" s="1"/>
  <c r="A677" i="45" s="1"/>
  <c r="A680" i="45" s="1"/>
  <c r="A683" i="45" s="1"/>
  <c r="E708" i="45"/>
  <c r="E711" i="45" s="1"/>
  <c r="M711" i="45" s="1"/>
  <c r="A688" i="45"/>
  <c r="A691" i="45" s="1"/>
  <c r="A694" i="45" s="1"/>
  <c r="A697" i="45" s="1"/>
  <c r="A700" i="45" s="1"/>
  <c r="A703" i="45" s="1"/>
  <c r="B648" i="45"/>
  <c r="B651" i="45" s="1"/>
  <c r="B654" i="45" s="1"/>
  <c r="B657" i="45" s="1"/>
  <c r="B660" i="45" s="1"/>
  <c r="B663" i="45" s="1"/>
  <c r="A558" i="45"/>
  <c r="A561" i="45" s="1"/>
  <c r="A708" i="45"/>
  <c r="A711" i="45" s="1"/>
  <c r="A714" i="45" s="1"/>
  <c r="A717" i="45" s="1"/>
  <c r="A720" i="45" s="1"/>
  <c r="A723" i="45" s="1"/>
  <c r="D650" i="45"/>
  <c r="D653" i="45" s="1"/>
  <c r="D656" i="45" s="1"/>
  <c r="D659" i="45" s="1"/>
  <c r="D664" i="45" s="1"/>
  <c r="G870" i="45"/>
  <c r="G871" i="45" s="1"/>
  <c r="G872" i="45" s="1"/>
  <c r="G873" i="45" s="1"/>
  <c r="G874" i="45" s="1"/>
  <c r="G695" i="45"/>
  <c r="G696" i="45" s="1"/>
  <c r="G697" i="45" s="1"/>
  <c r="G698" i="45" s="1"/>
  <c r="G699" i="45" s="1"/>
  <c r="E548" i="45"/>
  <c r="M548" i="45" s="1"/>
  <c r="D588" i="45"/>
  <c r="D591" i="45" s="1"/>
  <c r="D594" i="45" s="1"/>
  <c r="D597" i="45" s="1"/>
  <c r="D600" i="45" s="1"/>
  <c r="D603" i="45" s="1"/>
  <c r="E733" i="45"/>
  <c r="M733" i="45" s="1"/>
  <c r="E751" i="45"/>
  <c r="M751" i="45" s="1"/>
  <c r="E773" i="45"/>
  <c r="M773" i="45" s="1"/>
  <c r="B793" i="45"/>
  <c r="B796" i="45" s="1"/>
  <c r="B799" i="45" s="1"/>
  <c r="G790" i="45"/>
  <c r="G791" i="45" s="1"/>
  <c r="G792" i="45" s="1"/>
  <c r="G793" i="45" s="1"/>
  <c r="G794" i="45" s="1"/>
  <c r="E841" i="45"/>
  <c r="M841" i="45" s="1"/>
  <c r="E811" i="45"/>
  <c r="M811" i="45" s="1"/>
  <c r="E833" i="45"/>
  <c r="M833" i="45" s="1"/>
  <c r="G860" i="45"/>
  <c r="G861" i="45" s="1"/>
  <c r="G862" i="45" s="1"/>
  <c r="G863" i="45" s="1"/>
  <c r="G864" i="45" s="1"/>
  <c r="E876" i="45"/>
  <c r="M876" i="45" s="1"/>
  <c r="B902" i="45"/>
  <c r="B904" i="45"/>
  <c r="D904" i="45"/>
  <c r="D902" i="45"/>
  <c r="E741" i="45"/>
  <c r="M741" i="45" s="1"/>
  <c r="E781" i="45"/>
  <c r="M781" i="45" s="1"/>
  <c r="A743" i="45"/>
  <c r="G740" i="45"/>
  <c r="G741" i="45" s="1"/>
  <c r="G742" i="45" s="1"/>
  <c r="G743" i="45" s="1"/>
  <c r="G744" i="45" s="1"/>
  <c r="A763" i="45"/>
  <c r="G760" i="45"/>
  <c r="G761" i="45" s="1"/>
  <c r="G762" i="45" s="1"/>
  <c r="G763" i="45" s="1"/>
  <c r="G764" i="45" s="1"/>
  <c r="A783" i="45"/>
  <c r="G780" i="45"/>
  <c r="G781" i="45" s="1"/>
  <c r="G782" i="45" s="1"/>
  <c r="G783" i="45" s="1"/>
  <c r="G784" i="45" s="1"/>
  <c r="A823" i="45"/>
  <c r="G820" i="45"/>
  <c r="G821" i="45" s="1"/>
  <c r="G822" i="45" s="1"/>
  <c r="G823" i="45" s="1"/>
  <c r="G824" i="45" s="1"/>
  <c r="A843" i="45"/>
  <c r="G840" i="45"/>
  <c r="G841" i="45" s="1"/>
  <c r="G842" i="45" s="1"/>
  <c r="G843" i="45" s="1"/>
  <c r="G844" i="45" s="1"/>
  <c r="G880" i="45"/>
  <c r="G881" i="45" s="1"/>
  <c r="G882" i="45" s="1"/>
  <c r="G883" i="45" s="1"/>
  <c r="G884" i="45" s="1"/>
  <c r="G890" i="45"/>
  <c r="G891" i="45" s="1"/>
  <c r="G892" i="45" s="1"/>
  <c r="G893" i="45" s="1"/>
  <c r="G894" i="45" s="1"/>
  <c r="E731" i="45"/>
  <c r="M731" i="45" s="1"/>
  <c r="E753" i="45"/>
  <c r="M753" i="45" s="1"/>
  <c r="E771" i="45"/>
  <c r="M771" i="45" s="1"/>
  <c r="G800" i="45"/>
  <c r="G801" i="45" s="1"/>
  <c r="G802" i="45" s="1"/>
  <c r="G803" i="45" s="1"/>
  <c r="G804" i="45" s="1"/>
  <c r="E813" i="45"/>
  <c r="M813" i="45" s="1"/>
  <c r="E831" i="45"/>
  <c r="M831" i="45" s="1"/>
  <c r="B853" i="45"/>
  <c r="B856" i="45" s="1"/>
  <c r="B859" i="45" s="1"/>
  <c r="G850" i="45"/>
  <c r="G851" i="45" s="1"/>
  <c r="G852" i="45" s="1"/>
  <c r="G853" i="45" s="1"/>
  <c r="G854" i="45" s="1"/>
  <c r="A884" i="45"/>
  <c r="A882" i="45"/>
  <c r="G900" i="45"/>
  <c r="G901" i="45" s="1"/>
  <c r="G902" i="45" s="1"/>
  <c r="G903" i="45" s="1"/>
  <c r="G904" i="45" s="1"/>
  <c r="E894" i="45"/>
  <c r="E897" i="45" s="1"/>
  <c r="M897" i="45" s="1"/>
  <c r="A733" i="45"/>
  <c r="A736" i="45" s="1"/>
  <c r="A739" i="45" s="1"/>
  <c r="G730" i="45"/>
  <c r="G731" i="45" s="1"/>
  <c r="G732" i="45" s="1"/>
  <c r="G733" i="45" s="1"/>
  <c r="G734" i="45" s="1"/>
  <c r="A753" i="45"/>
  <c r="A756" i="45" s="1"/>
  <c r="A759" i="45" s="1"/>
  <c r="G750" i="45"/>
  <c r="G751" i="45" s="1"/>
  <c r="G752" i="45" s="1"/>
  <c r="G753" i="45" s="1"/>
  <c r="G754" i="45" s="1"/>
  <c r="A773" i="45"/>
  <c r="A776" i="45" s="1"/>
  <c r="A779" i="45" s="1"/>
  <c r="G770" i="45"/>
  <c r="G771" i="45" s="1"/>
  <c r="G772" i="45" s="1"/>
  <c r="G773" i="45" s="1"/>
  <c r="G774" i="45" s="1"/>
  <c r="D804" i="45"/>
  <c r="D802" i="45"/>
  <c r="A813" i="45"/>
  <c r="A816" i="45" s="1"/>
  <c r="A819" i="45" s="1"/>
  <c r="G810" i="45"/>
  <c r="G811" i="45" s="1"/>
  <c r="G812" i="45" s="1"/>
  <c r="G813" i="45" s="1"/>
  <c r="G814" i="45" s="1"/>
  <c r="A833" i="45"/>
  <c r="A836" i="45" s="1"/>
  <c r="A839" i="45" s="1"/>
  <c r="G830" i="45"/>
  <c r="G831" i="45" s="1"/>
  <c r="G832" i="45" s="1"/>
  <c r="G833" i="45" s="1"/>
  <c r="G834" i="45" s="1"/>
  <c r="D864" i="45"/>
  <c r="D862" i="45"/>
  <c r="B884" i="45"/>
  <c r="B882" i="45"/>
  <c r="D884" i="45"/>
  <c r="D882" i="45"/>
  <c r="A904" i="45"/>
  <c r="A902" i="45"/>
  <c r="B624" i="45"/>
  <c r="B622" i="45"/>
  <c r="D624" i="45"/>
  <c r="D622" i="45"/>
  <c r="E614" i="45"/>
  <c r="E617" i="45" s="1"/>
  <c r="M617" i="45" s="1"/>
  <c r="G610" i="45"/>
  <c r="G611" i="45" s="1"/>
  <c r="G612" i="45" s="1"/>
  <c r="G613" i="45" s="1"/>
  <c r="G614" i="45" s="1"/>
  <c r="G620" i="45"/>
  <c r="G621" i="45" s="1"/>
  <c r="G622" i="45" s="1"/>
  <c r="G623" i="45" s="1"/>
  <c r="G624" i="45" s="1"/>
  <c r="A624" i="45"/>
  <c r="A622" i="45"/>
  <c r="G570" i="45"/>
  <c r="G571" i="45" s="1"/>
  <c r="G572" i="45" s="1"/>
  <c r="G573" i="45" s="1"/>
  <c r="G574" i="45" s="1"/>
  <c r="A584" i="45"/>
  <c r="A582" i="45"/>
  <c r="B584" i="45"/>
  <c r="B582" i="45"/>
  <c r="G580" i="45"/>
  <c r="G581" i="45" s="1"/>
  <c r="G582" i="45" s="1"/>
  <c r="G583" i="45" s="1"/>
  <c r="G584" i="45" s="1"/>
  <c r="E576" i="45"/>
  <c r="M576" i="45" s="1"/>
  <c r="D584" i="45"/>
  <c r="D582" i="45"/>
  <c r="A507" i="45"/>
  <c r="A508" i="45" s="1"/>
  <c r="A511" i="45" s="1"/>
  <c r="A514" i="45" s="1"/>
  <c r="A517" i="45" s="1"/>
  <c r="A520" i="45" s="1"/>
  <c r="G715" i="45"/>
  <c r="G716" i="45" s="1"/>
  <c r="G717" i="45" s="1"/>
  <c r="G718" i="45" s="1"/>
  <c r="G719" i="45" s="1"/>
  <c r="G440" i="45"/>
  <c r="G441" i="45" s="1"/>
  <c r="G442" i="45" s="1"/>
  <c r="G443" i="45" s="1"/>
  <c r="G444" i="45" s="1"/>
  <c r="E433" i="45"/>
  <c r="M433" i="45" s="1"/>
  <c r="B433" i="45"/>
  <c r="B436" i="45" s="1"/>
  <c r="B439" i="45" s="1"/>
  <c r="G430" i="45"/>
  <c r="G431" i="45" s="1"/>
  <c r="G432" i="45" s="1"/>
  <c r="G433" i="45" s="1"/>
  <c r="G434" i="45" s="1"/>
  <c r="D444" i="45"/>
  <c r="D442" i="45"/>
  <c r="G400" i="45"/>
  <c r="G401" i="45" s="1"/>
  <c r="G402" i="45" s="1"/>
  <c r="G403" i="45" s="1"/>
  <c r="G404" i="45" s="1"/>
  <c r="B393" i="45"/>
  <c r="B396" i="45" s="1"/>
  <c r="B399" i="45" s="1"/>
  <c r="G390" i="45"/>
  <c r="G391" i="45" s="1"/>
  <c r="G392" i="45" s="1"/>
  <c r="G393" i="45" s="1"/>
  <c r="G394" i="45" s="1"/>
  <c r="D404" i="45"/>
  <c r="D402" i="45"/>
  <c r="E253" i="45"/>
  <c r="M253" i="45" s="1"/>
  <c r="G260" i="45"/>
  <c r="G261" i="45" s="1"/>
  <c r="G262" i="45" s="1"/>
  <c r="G263" i="45" s="1"/>
  <c r="G264" i="45" s="1"/>
  <c r="B253" i="45"/>
  <c r="B256" i="45" s="1"/>
  <c r="B259" i="45" s="1"/>
  <c r="G250" i="45"/>
  <c r="G251" i="45" s="1"/>
  <c r="G252" i="45" s="1"/>
  <c r="G253" i="45" s="1"/>
  <c r="G254" i="45" s="1"/>
  <c r="D264" i="45"/>
  <c r="D262" i="45"/>
  <c r="E214" i="45"/>
  <c r="E217" i="45" s="1"/>
  <c r="M217" i="45" s="1"/>
  <c r="B213" i="45"/>
  <c r="B216" i="45" s="1"/>
  <c r="B219" i="45" s="1"/>
  <c r="G210" i="45"/>
  <c r="G211" i="45" s="1"/>
  <c r="G212" i="45" s="1"/>
  <c r="G213" i="45" s="1"/>
  <c r="G214" i="45" s="1"/>
  <c r="D224" i="45"/>
  <c r="D222" i="45"/>
  <c r="G220" i="45"/>
  <c r="G221" i="45" s="1"/>
  <c r="G222" i="45" s="1"/>
  <c r="G223" i="45" s="1"/>
  <c r="G224" i="45" s="1"/>
  <c r="B81" i="45"/>
  <c r="C81" i="45" s="1"/>
  <c r="C78" i="45"/>
  <c r="D84" i="45"/>
  <c r="D82" i="45"/>
  <c r="C70" i="45"/>
  <c r="B73" i="45"/>
  <c r="G70" i="45"/>
  <c r="G71" i="45" s="1"/>
  <c r="G72" i="45" s="1"/>
  <c r="G73" i="45" s="1"/>
  <c r="G74" i="45" s="1"/>
  <c r="C68" i="45"/>
  <c r="M68" i="45" s="1"/>
  <c r="B71" i="45"/>
  <c r="A43" i="45"/>
  <c r="D44" i="45"/>
  <c r="D42" i="45"/>
  <c r="E31" i="45"/>
  <c r="E33" i="45"/>
  <c r="B41" i="45"/>
  <c r="C41" i="45" s="1"/>
  <c r="C38" i="45"/>
  <c r="A33" i="45"/>
  <c r="A36" i="45" s="1"/>
  <c r="A39" i="45" s="1"/>
  <c r="G30" i="45"/>
  <c r="G31" i="45" s="1"/>
  <c r="G32" i="45" s="1"/>
  <c r="G33" i="45" s="1"/>
  <c r="G34" i="45" s="1"/>
  <c r="C30" i="45"/>
  <c r="B33" i="45"/>
  <c r="C28" i="45"/>
  <c r="B31" i="45"/>
  <c r="A367" i="45"/>
  <c r="A370" i="45" s="1"/>
  <c r="A373" i="45" s="1"/>
  <c r="A376" i="45" s="1"/>
  <c r="A379" i="45" s="1"/>
  <c r="D710" i="45"/>
  <c r="D713" i="45" s="1"/>
  <c r="D716" i="45" s="1"/>
  <c r="D719" i="45" s="1"/>
  <c r="D708" i="45"/>
  <c r="D711" i="45" s="1"/>
  <c r="D714" i="45" s="1"/>
  <c r="D717" i="45" s="1"/>
  <c r="D720" i="45" s="1"/>
  <c r="D723" i="45" s="1"/>
  <c r="B710" i="45"/>
  <c r="B713" i="45" s="1"/>
  <c r="B716" i="45" s="1"/>
  <c r="B719" i="45" s="1"/>
  <c r="B708" i="45"/>
  <c r="B711" i="45" s="1"/>
  <c r="B714" i="45" s="1"/>
  <c r="B717" i="45" s="1"/>
  <c r="B720" i="45" s="1"/>
  <c r="B723" i="45" s="1"/>
  <c r="A713" i="45"/>
  <c r="A716" i="45" s="1"/>
  <c r="A719" i="45" s="1"/>
  <c r="A693" i="45"/>
  <c r="A696" i="45" s="1"/>
  <c r="A699" i="45" s="1"/>
  <c r="A673" i="45"/>
  <c r="A676" i="45" s="1"/>
  <c r="A679" i="45" s="1"/>
  <c r="B664" i="45"/>
  <c r="B662" i="45"/>
  <c r="E648" i="45"/>
  <c r="E650" i="45"/>
  <c r="M650" i="45" s="1"/>
  <c r="A648" i="45"/>
  <c r="A651" i="45" s="1"/>
  <c r="A654" i="45" s="1"/>
  <c r="A657" i="45" s="1"/>
  <c r="A660" i="45" s="1"/>
  <c r="A650" i="45"/>
  <c r="A643" i="45"/>
  <c r="D630" i="45"/>
  <c r="D633" i="45" s="1"/>
  <c r="D636" i="45" s="1"/>
  <c r="D639" i="45" s="1"/>
  <c r="D628" i="45"/>
  <c r="D631" i="45" s="1"/>
  <c r="D634" i="45" s="1"/>
  <c r="D637" i="45" s="1"/>
  <c r="D640" i="45" s="1"/>
  <c r="D643" i="45" s="1"/>
  <c r="B630" i="45"/>
  <c r="B633" i="45" s="1"/>
  <c r="B636" i="45" s="1"/>
  <c r="B639" i="45" s="1"/>
  <c r="B628" i="45"/>
  <c r="B631" i="45" s="1"/>
  <c r="B634" i="45" s="1"/>
  <c r="B637" i="45" s="1"/>
  <c r="B640" i="45" s="1"/>
  <c r="B643" i="45" s="1"/>
  <c r="E595" i="45"/>
  <c r="M595" i="45" s="1"/>
  <c r="G595" i="45"/>
  <c r="G596" i="45" s="1"/>
  <c r="G597" i="45" s="1"/>
  <c r="G598" i="45" s="1"/>
  <c r="G599" i="45" s="1"/>
  <c r="A598" i="45"/>
  <c r="A601" i="45" s="1"/>
  <c r="A563" i="45"/>
  <c r="B548" i="45"/>
  <c r="B551" i="45" s="1"/>
  <c r="B554" i="45" s="1"/>
  <c r="B557" i="45" s="1"/>
  <c r="B560" i="45" s="1"/>
  <c r="B563" i="45" s="1"/>
  <c r="B550" i="45"/>
  <c r="D604" i="45"/>
  <c r="D602" i="45"/>
  <c r="G635" i="45"/>
  <c r="G636" i="45" s="1"/>
  <c r="G637" i="45" s="1"/>
  <c r="G638" i="45" s="1"/>
  <c r="G639" i="45" s="1"/>
  <c r="A562" i="45"/>
  <c r="A564" i="45"/>
  <c r="D690" i="45"/>
  <c r="D693" i="45" s="1"/>
  <c r="D696" i="45" s="1"/>
  <c r="D699" i="45" s="1"/>
  <c r="D688" i="45"/>
  <c r="D691" i="45" s="1"/>
  <c r="D694" i="45" s="1"/>
  <c r="D697" i="45" s="1"/>
  <c r="D700" i="45" s="1"/>
  <c r="D703" i="45" s="1"/>
  <c r="B690" i="45"/>
  <c r="B693" i="45" s="1"/>
  <c r="B696" i="45" s="1"/>
  <c r="B699" i="45" s="1"/>
  <c r="B688" i="45"/>
  <c r="B691" i="45" s="1"/>
  <c r="B694" i="45" s="1"/>
  <c r="B697" i="45" s="1"/>
  <c r="B700" i="45" s="1"/>
  <c r="B703" i="45" s="1"/>
  <c r="D670" i="45"/>
  <c r="D673" i="45" s="1"/>
  <c r="D676" i="45" s="1"/>
  <c r="D679" i="45" s="1"/>
  <c r="D668" i="45"/>
  <c r="D671" i="45" s="1"/>
  <c r="D674" i="45" s="1"/>
  <c r="D677" i="45" s="1"/>
  <c r="D680" i="45" s="1"/>
  <c r="D683" i="45" s="1"/>
  <c r="B670" i="45"/>
  <c r="B673" i="45" s="1"/>
  <c r="B676" i="45" s="1"/>
  <c r="B679" i="45" s="1"/>
  <c r="B668" i="45"/>
  <c r="B671" i="45" s="1"/>
  <c r="B674" i="45" s="1"/>
  <c r="B677" i="45" s="1"/>
  <c r="B680" i="45" s="1"/>
  <c r="B683" i="45" s="1"/>
  <c r="E655" i="45"/>
  <c r="M655" i="45" s="1"/>
  <c r="A658" i="45"/>
  <c r="A661" i="45" s="1"/>
  <c r="G655" i="45"/>
  <c r="G656" i="45" s="1"/>
  <c r="G657" i="45" s="1"/>
  <c r="G658" i="45" s="1"/>
  <c r="G659" i="45" s="1"/>
  <c r="B604" i="45"/>
  <c r="B602" i="45"/>
  <c r="E588" i="45"/>
  <c r="M588" i="45" s="1"/>
  <c r="E590" i="45"/>
  <c r="M590" i="45" s="1"/>
  <c r="A588" i="45"/>
  <c r="A591" i="45" s="1"/>
  <c r="A594" i="45" s="1"/>
  <c r="A597" i="45" s="1"/>
  <c r="A600" i="45" s="1"/>
  <c r="A590" i="45"/>
  <c r="D550" i="45"/>
  <c r="D553" i="45" s="1"/>
  <c r="D556" i="45" s="1"/>
  <c r="D559" i="45" s="1"/>
  <c r="D548" i="45"/>
  <c r="D551" i="45" s="1"/>
  <c r="D554" i="45" s="1"/>
  <c r="D557" i="45" s="1"/>
  <c r="D560" i="45" s="1"/>
  <c r="D563" i="45" s="1"/>
  <c r="G675" i="45"/>
  <c r="G676" i="45" s="1"/>
  <c r="G677" i="45" s="1"/>
  <c r="G678" i="45" s="1"/>
  <c r="G679" i="45" s="1"/>
  <c r="A487" i="45"/>
  <c r="A488" i="45" s="1"/>
  <c r="A491" i="45" s="1"/>
  <c r="A494" i="45" s="1"/>
  <c r="A497" i="45" s="1"/>
  <c r="A500" i="45" s="1"/>
  <c r="F374" i="45"/>
  <c r="B469" i="45"/>
  <c r="B472" i="45" s="1"/>
  <c r="A449" i="45"/>
  <c r="A452" i="45" s="1"/>
  <c r="A455" i="45" s="1"/>
  <c r="A458" i="45" s="1"/>
  <c r="A461" i="45" s="1"/>
  <c r="A529" i="45"/>
  <c r="A532" i="45" s="1"/>
  <c r="A535" i="45" s="1"/>
  <c r="A538" i="45" s="1"/>
  <c r="A541" i="45" s="1"/>
  <c r="E407" i="45"/>
  <c r="M407" i="45" s="1"/>
  <c r="D467" i="45"/>
  <c r="D470" i="45" s="1"/>
  <c r="D473" i="45" s="1"/>
  <c r="D476" i="45" s="1"/>
  <c r="D479" i="45" s="1"/>
  <c r="F469" i="45"/>
  <c r="E369" i="45"/>
  <c r="E372" i="45" s="1"/>
  <c r="E367" i="45"/>
  <c r="A409" i="45"/>
  <c r="A412" i="45" s="1"/>
  <c r="A415" i="45" s="1"/>
  <c r="A418" i="45" s="1"/>
  <c r="A421" i="45" s="1"/>
  <c r="A407" i="45"/>
  <c r="A408" i="45" s="1"/>
  <c r="A411" i="45" s="1"/>
  <c r="A414" i="45" s="1"/>
  <c r="A417" i="45" s="1"/>
  <c r="A420" i="45" s="1"/>
  <c r="A423" i="45" s="1"/>
  <c r="F454" i="45"/>
  <c r="F514" i="45"/>
  <c r="F534" i="45"/>
  <c r="E447" i="45"/>
  <c r="M447" i="45" s="1"/>
  <c r="E487" i="45"/>
  <c r="M487" i="45" s="1"/>
  <c r="E507" i="45"/>
  <c r="M507" i="45" s="1"/>
  <c r="E527" i="45"/>
  <c r="M527" i="45" s="1"/>
  <c r="B410" i="45"/>
  <c r="B408" i="45"/>
  <c r="B372" i="45"/>
  <c r="A378" i="45"/>
  <c r="A381" i="45" s="1"/>
  <c r="A498" i="45"/>
  <c r="A501" i="45" s="1"/>
  <c r="B409" i="45"/>
  <c r="F409" i="45"/>
  <c r="D449" i="45"/>
  <c r="D452" i="45" s="1"/>
  <c r="D455" i="45" s="1"/>
  <c r="D458" i="45" s="1"/>
  <c r="D461" i="45" s="1"/>
  <c r="D447" i="45"/>
  <c r="F449" i="45"/>
  <c r="F447" i="45"/>
  <c r="F448" i="45" s="1"/>
  <c r="A450" i="45"/>
  <c r="A448" i="45"/>
  <c r="A451" i="45" s="1"/>
  <c r="A454" i="45" s="1"/>
  <c r="A457" i="45" s="1"/>
  <c r="A460" i="45" s="1"/>
  <c r="A469" i="45"/>
  <c r="A472" i="45" s="1"/>
  <c r="A475" i="45" s="1"/>
  <c r="A467" i="45"/>
  <c r="E469" i="45"/>
  <c r="E472" i="45" s="1"/>
  <c r="M472" i="45" s="1"/>
  <c r="E467" i="45"/>
  <c r="M467" i="45" s="1"/>
  <c r="B470" i="45"/>
  <c r="B468" i="45"/>
  <c r="F474" i="45"/>
  <c r="F472" i="45"/>
  <c r="F473" i="45" s="1"/>
  <c r="B489" i="45"/>
  <c r="B487" i="45"/>
  <c r="A518" i="45"/>
  <c r="A521" i="45" s="1"/>
  <c r="B367" i="45"/>
  <c r="D367" i="45"/>
  <c r="F367" i="45"/>
  <c r="F368" i="45" s="1"/>
  <c r="D407" i="45"/>
  <c r="F414" i="45"/>
  <c r="F412" i="45"/>
  <c r="F413" i="45" s="1"/>
  <c r="B449" i="45"/>
  <c r="B447" i="45"/>
  <c r="D489" i="45"/>
  <c r="D492" i="45" s="1"/>
  <c r="D495" i="45" s="1"/>
  <c r="D498" i="45" s="1"/>
  <c r="D501" i="45" s="1"/>
  <c r="D487" i="45"/>
  <c r="F489" i="45"/>
  <c r="F487" i="45"/>
  <c r="F488" i="45" s="1"/>
  <c r="B509" i="45"/>
  <c r="B507" i="45"/>
  <c r="F494" i="45"/>
  <c r="F492" i="45"/>
  <c r="F493" i="45" s="1"/>
  <c r="D509" i="45"/>
  <c r="D512" i="45" s="1"/>
  <c r="D515" i="45" s="1"/>
  <c r="D518" i="45" s="1"/>
  <c r="D521" i="45" s="1"/>
  <c r="D507" i="45"/>
  <c r="F509" i="45"/>
  <c r="F507" i="45"/>
  <c r="F508" i="45" s="1"/>
  <c r="B529" i="45"/>
  <c r="B527" i="45"/>
  <c r="D529" i="45"/>
  <c r="D532" i="45" s="1"/>
  <c r="D535" i="45" s="1"/>
  <c r="D538" i="45" s="1"/>
  <c r="D541" i="45" s="1"/>
  <c r="D527" i="45"/>
  <c r="F529" i="45"/>
  <c r="F527" i="45"/>
  <c r="F528" i="45" s="1"/>
  <c r="A530" i="45"/>
  <c r="A528" i="45"/>
  <c r="A531" i="45" s="1"/>
  <c r="A534" i="45" s="1"/>
  <c r="A537" i="45" s="1"/>
  <c r="A540" i="45" s="1"/>
  <c r="F361" i="45"/>
  <c r="F362" i="45" s="1"/>
  <c r="F363" i="45" s="1"/>
  <c r="F364" i="45" s="1"/>
  <c r="F356" i="45"/>
  <c r="F357" i="45" s="1"/>
  <c r="F358" i="45" s="1"/>
  <c r="F359" i="45" s="1"/>
  <c r="F351" i="45"/>
  <c r="F352" i="45" s="1"/>
  <c r="F353" i="45" s="1"/>
  <c r="F346" i="45"/>
  <c r="E346" i="45"/>
  <c r="M346" i="45" s="1"/>
  <c r="D346" i="45"/>
  <c r="B346" i="45"/>
  <c r="A346" i="45"/>
  <c r="A349" i="45" s="1"/>
  <c r="A352" i="45" s="1"/>
  <c r="A355" i="45" s="1"/>
  <c r="G345" i="45"/>
  <c r="G346" i="45" s="1"/>
  <c r="G347" i="45" s="1"/>
  <c r="G348" i="45" s="1"/>
  <c r="G349" i="45" s="1"/>
  <c r="F341" i="45"/>
  <c r="F342" i="45" s="1"/>
  <c r="F343" i="45" s="1"/>
  <c r="F344" i="45" s="1"/>
  <c r="F336" i="45"/>
  <c r="F337" i="45" s="1"/>
  <c r="F338" i="45" s="1"/>
  <c r="F339" i="45" s="1"/>
  <c r="F331" i="45"/>
  <c r="F334" i="45" s="1"/>
  <c r="F326" i="45"/>
  <c r="E326" i="45"/>
  <c r="M326" i="45" s="1"/>
  <c r="D326" i="45"/>
  <c r="B326" i="45"/>
  <c r="A326" i="45"/>
  <c r="A329" i="45" s="1"/>
  <c r="A332" i="45" s="1"/>
  <c r="A335" i="45" s="1"/>
  <c r="G325" i="45"/>
  <c r="G326" i="45" s="1"/>
  <c r="G327" i="45" s="1"/>
  <c r="G328" i="45" s="1"/>
  <c r="G329" i="45" s="1"/>
  <c r="F321" i="45"/>
  <c r="F322" i="45" s="1"/>
  <c r="F323" i="45" s="1"/>
  <c r="F324" i="45" s="1"/>
  <c r="F316" i="45"/>
  <c r="F317" i="45" s="1"/>
  <c r="F318" i="45" s="1"/>
  <c r="F319" i="45" s="1"/>
  <c r="F311" i="45"/>
  <c r="F306" i="45"/>
  <c r="E306" i="45"/>
  <c r="M306" i="45" s="1"/>
  <c r="D306" i="45"/>
  <c r="B306" i="45"/>
  <c r="A306" i="45"/>
  <c r="A309" i="45" s="1"/>
  <c r="A312" i="45" s="1"/>
  <c r="A315" i="45" s="1"/>
  <c r="G305" i="45"/>
  <c r="G306" i="45" s="1"/>
  <c r="G307" i="45" s="1"/>
  <c r="G308" i="45" s="1"/>
  <c r="G309" i="45" s="1"/>
  <c r="F301" i="45"/>
  <c r="F302" i="45" s="1"/>
  <c r="F303" i="45" s="1"/>
  <c r="F304" i="45" s="1"/>
  <c r="F296" i="45"/>
  <c r="F297" i="45" s="1"/>
  <c r="F298" i="45" s="1"/>
  <c r="F299" i="45" s="1"/>
  <c r="F291" i="45"/>
  <c r="F286" i="45"/>
  <c r="F289" i="45" s="1"/>
  <c r="E286" i="45"/>
  <c r="M286" i="45" s="1"/>
  <c r="D286" i="45"/>
  <c r="D287" i="45" s="1"/>
  <c r="B286" i="45"/>
  <c r="B289" i="45" s="1"/>
  <c r="A286" i="45"/>
  <c r="G285" i="45"/>
  <c r="G286" i="45" s="1"/>
  <c r="G287" i="45" s="1"/>
  <c r="G288" i="45" s="1"/>
  <c r="G289" i="45" s="1"/>
  <c r="F281" i="45"/>
  <c r="F282" i="45" s="1"/>
  <c r="F283" i="45" s="1"/>
  <c r="F284" i="45" s="1"/>
  <c r="F276" i="45"/>
  <c r="F277" i="45" s="1"/>
  <c r="F278" i="45" s="1"/>
  <c r="F279" i="45" s="1"/>
  <c r="F271" i="45"/>
  <c r="F272" i="45" s="1"/>
  <c r="F273" i="45" s="1"/>
  <c r="F266" i="45"/>
  <c r="E266" i="45"/>
  <c r="M266" i="45" s="1"/>
  <c r="D266" i="45"/>
  <c r="B266" i="45"/>
  <c r="A266" i="45"/>
  <c r="A269" i="45" s="1"/>
  <c r="A272" i="45" s="1"/>
  <c r="A275" i="45" s="1"/>
  <c r="G265" i="45"/>
  <c r="G266" i="45" s="1"/>
  <c r="G267" i="45" s="1"/>
  <c r="G268" i="45" s="1"/>
  <c r="G269" i="45" s="1"/>
  <c r="F241" i="45"/>
  <c r="F242" i="45" s="1"/>
  <c r="F243" i="45" s="1"/>
  <c r="F244" i="45" s="1"/>
  <c r="F236" i="45"/>
  <c r="F237" i="45" s="1"/>
  <c r="F238" i="45" s="1"/>
  <c r="F239" i="45" s="1"/>
  <c r="F231" i="45"/>
  <c r="F226" i="45"/>
  <c r="F229" i="45" s="1"/>
  <c r="E226" i="45"/>
  <c r="D226" i="45"/>
  <c r="D227" i="45" s="1"/>
  <c r="B226" i="45"/>
  <c r="B229" i="45" s="1"/>
  <c r="A226" i="45"/>
  <c r="G225" i="45"/>
  <c r="G226" i="45" s="1"/>
  <c r="G227" i="45" s="1"/>
  <c r="G228" i="45" s="1"/>
  <c r="G229" i="45" s="1"/>
  <c r="C225" i="45"/>
  <c r="M225" i="45" s="1"/>
  <c r="F201" i="45"/>
  <c r="F202" i="45" s="1"/>
  <c r="F203" i="45" s="1"/>
  <c r="F204" i="45" s="1"/>
  <c r="F196" i="45"/>
  <c r="F197" i="45" s="1"/>
  <c r="F198" i="45" s="1"/>
  <c r="F199" i="45" s="1"/>
  <c r="F191" i="45"/>
  <c r="F194" i="45" s="1"/>
  <c r="F186" i="45"/>
  <c r="F189" i="45" s="1"/>
  <c r="E186" i="45"/>
  <c r="D186" i="45"/>
  <c r="D189" i="45" s="1"/>
  <c r="D192" i="45" s="1"/>
  <c r="D195" i="45" s="1"/>
  <c r="D198" i="45" s="1"/>
  <c r="D201" i="45" s="1"/>
  <c r="B186" i="45"/>
  <c r="B189" i="45" s="1"/>
  <c r="A186" i="45"/>
  <c r="A189" i="45" s="1"/>
  <c r="A192" i="45" s="1"/>
  <c r="A195" i="45" s="1"/>
  <c r="G185" i="45"/>
  <c r="G186" i="45" s="1"/>
  <c r="G187" i="45" s="1"/>
  <c r="G188" i="45" s="1"/>
  <c r="G189" i="45" s="1"/>
  <c r="C185" i="45"/>
  <c r="M185" i="45" s="1"/>
  <c r="F181" i="45"/>
  <c r="F182" i="45" s="1"/>
  <c r="F183" i="45" s="1"/>
  <c r="F184" i="45" s="1"/>
  <c r="F176" i="45"/>
  <c r="F177" i="45" s="1"/>
  <c r="F178" i="45" s="1"/>
  <c r="F179" i="45" s="1"/>
  <c r="F171" i="45"/>
  <c r="F174" i="45" s="1"/>
  <c r="F166" i="45"/>
  <c r="F169" i="45" s="1"/>
  <c r="E166" i="45"/>
  <c r="D166" i="45"/>
  <c r="D169" i="45" s="1"/>
  <c r="D172" i="45" s="1"/>
  <c r="D175" i="45" s="1"/>
  <c r="D178" i="45" s="1"/>
  <c r="D181" i="45" s="1"/>
  <c r="B166" i="45"/>
  <c r="C166" i="45" s="1"/>
  <c r="A166" i="45"/>
  <c r="A169" i="45" s="1"/>
  <c r="A172" i="45" s="1"/>
  <c r="A175" i="45" s="1"/>
  <c r="G165" i="45"/>
  <c r="G166" i="45" s="1"/>
  <c r="G167" i="45" s="1"/>
  <c r="G168" i="45" s="1"/>
  <c r="G169" i="45" s="1"/>
  <c r="F161" i="45"/>
  <c r="F162" i="45" s="1"/>
  <c r="F163" i="45" s="1"/>
  <c r="F164" i="45" s="1"/>
  <c r="F156" i="45"/>
  <c r="F157" i="45" s="1"/>
  <c r="F158" i="45" s="1"/>
  <c r="F159" i="45" s="1"/>
  <c r="F151" i="45"/>
  <c r="F154" i="45" s="1"/>
  <c r="F146" i="45"/>
  <c r="F149" i="45" s="1"/>
  <c r="E146" i="45"/>
  <c r="D146" i="45"/>
  <c r="D149" i="45" s="1"/>
  <c r="D152" i="45" s="1"/>
  <c r="D155" i="45" s="1"/>
  <c r="D158" i="45" s="1"/>
  <c r="D161" i="45" s="1"/>
  <c r="B146" i="45"/>
  <c r="C146" i="45" s="1"/>
  <c r="A146" i="45"/>
  <c r="A149" i="45" s="1"/>
  <c r="A152" i="45" s="1"/>
  <c r="A155" i="45" s="1"/>
  <c r="G145" i="45"/>
  <c r="G146" i="45" s="1"/>
  <c r="G147" i="45" s="1"/>
  <c r="G148" i="45" s="1"/>
  <c r="G149" i="45" s="1"/>
  <c r="F141" i="45"/>
  <c r="F142" i="45" s="1"/>
  <c r="F143" i="45" s="1"/>
  <c r="F144" i="45" s="1"/>
  <c r="F136" i="45"/>
  <c r="F137" i="45" s="1"/>
  <c r="F138" i="45" s="1"/>
  <c r="F139" i="45" s="1"/>
  <c r="F131" i="45"/>
  <c r="F134" i="45" s="1"/>
  <c r="F126" i="45"/>
  <c r="F129" i="45" s="1"/>
  <c r="E126" i="45"/>
  <c r="D126" i="45"/>
  <c r="D129" i="45" s="1"/>
  <c r="D132" i="45" s="1"/>
  <c r="D135" i="45" s="1"/>
  <c r="D138" i="45" s="1"/>
  <c r="D141" i="45" s="1"/>
  <c r="B126" i="45"/>
  <c r="C126" i="45" s="1"/>
  <c r="A126" i="45"/>
  <c r="A129" i="45" s="1"/>
  <c r="A132" i="45" s="1"/>
  <c r="A135" i="45" s="1"/>
  <c r="G125" i="45"/>
  <c r="G126" i="45" s="1"/>
  <c r="G127" i="45" s="1"/>
  <c r="G128" i="45" s="1"/>
  <c r="G129" i="45" s="1"/>
  <c r="F121" i="45"/>
  <c r="F122" i="45" s="1"/>
  <c r="F123" i="45" s="1"/>
  <c r="F124" i="45" s="1"/>
  <c r="F116" i="45"/>
  <c r="F117" i="45" s="1"/>
  <c r="F118" i="45" s="1"/>
  <c r="F119" i="45" s="1"/>
  <c r="F111" i="45"/>
  <c r="F114" i="45" s="1"/>
  <c r="F106" i="45"/>
  <c r="F109" i="45" s="1"/>
  <c r="E106" i="45"/>
  <c r="D106" i="45"/>
  <c r="D109" i="45" s="1"/>
  <c r="D112" i="45" s="1"/>
  <c r="D115" i="45" s="1"/>
  <c r="D118" i="45" s="1"/>
  <c r="D121" i="45" s="1"/>
  <c r="B106" i="45"/>
  <c r="C106" i="45" s="1"/>
  <c r="A106" i="45"/>
  <c r="A109" i="45" s="1"/>
  <c r="A112" i="45" s="1"/>
  <c r="A115" i="45" s="1"/>
  <c r="G105" i="45"/>
  <c r="G106" i="45" s="1"/>
  <c r="G107" i="45" s="1"/>
  <c r="G108" i="45" s="1"/>
  <c r="G109" i="45" s="1"/>
  <c r="F101" i="45"/>
  <c r="F102" i="45" s="1"/>
  <c r="F103" i="45" s="1"/>
  <c r="F104" i="45" s="1"/>
  <c r="F96" i="45"/>
  <c r="F97" i="45" s="1"/>
  <c r="F98" i="45" s="1"/>
  <c r="F99" i="45" s="1"/>
  <c r="F91" i="45"/>
  <c r="F94" i="45" s="1"/>
  <c r="F86" i="45"/>
  <c r="F89" i="45" s="1"/>
  <c r="E86" i="45"/>
  <c r="D86" i="45"/>
  <c r="D89" i="45" s="1"/>
  <c r="D92" i="45" s="1"/>
  <c r="D95" i="45" s="1"/>
  <c r="D98" i="45" s="1"/>
  <c r="D101" i="45" s="1"/>
  <c r="B86" i="45"/>
  <c r="C86" i="45" s="1"/>
  <c r="A86" i="45"/>
  <c r="A89" i="45" s="1"/>
  <c r="A92" i="45" s="1"/>
  <c r="A95" i="45" s="1"/>
  <c r="G85" i="45"/>
  <c r="G86" i="45" s="1"/>
  <c r="G87" i="45" s="1"/>
  <c r="G88" i="45" s="1"/>
  <c r="G89" i="45" s="1"/>
  <c r="F61" i="45"/>
  <c r="F62" i="45" s="1"/>
  <c r="F63" i="45" s="1"/>
  <c r="F64" i="45" s="1"/>
  <c r="F56" i="45"/>
  <c r="F57" i="45" s="1"/>
  <c r="F58" i="45" s="1"/>
  <c r="F59" i="45" s="1"/>
  <c r="F51" i="45"/>
  <c r="F46" i="45"/>
  <c r="F49" i="45" s="1"/>
  <c r="E46" i="45"/>
  <c r="D46" i="45"/>
  <c r="D49" i="45" s="1"/>
  <c r="D52" i="45" s="1"/>
  <c r="D55" i="45" s="1"/>
  <c r="D58" i="45" s="1"/>
  <c r="D61" i="45" s="1"/>
  <c r="B46" i="45"/>
  <c r="B49" i="45" s="1"/>
  <c r="A46" i="45"/>
  <c r="G45" i="45"/>
  <c r="G46" i="45" s="1"/>
  <c r="G47" i="45" s="1"/>
  <c r="G48" i="45" s="1"/>
  <c r="G49" i="45" s="1"/>
  <c r="C45" i="45"/>
  <c r="M45" i="45" s="1"/>
  <c r="G5" i="45"/>
  <c r="G6" i="45" s="1"/>
  <c r="G7" i="45" s="1"/>
  <c r="G8" i="45" s="1"/>
  <c r="G9" i="45" s="1"/>
  <c r="F21" i="45"/>
  <c r="F22" i="45" s="1"/>
  <c r="F23" i="45" s="1"/>
  <c r="F24" i="45" s="1"/>
  <c r="F16" i="45"/>
  <c r="F17" i="45" s="1"/>
  <c r="F18" i="45" s="1"/>
  <c r="F19" i="45" s="1"/>
  <c r="F11" i="45"/>
  <c r="F14" i="45" s="1"/>
  <c r="F6" i="45"/>
  <c r="F9" i="45" s="1"/>
  <c r="E6" i="45"/>
  <c r="D6" i="45"/>
  <c r="D7" i="45" s="1"/>
  <c r="B6" i="45"/>
  <c r="B9" i="45" s="1"/>
  <c r="A6" i="45"/>
  <c r="C5" i="45"/>
  <c r="M5" i="45" s="1"/>
  <c r="L81" i="31"/>
  <c r="M81" i="31" s="1"/>
  <c r="L80" i="31"/>
  <c r="M80" i="31" s="1"/>
  <c r="L82" i="31"/>
  <c r="M82" i="31" s="1"/>
  <c r="F82" i="31"/>
  <c r="K79" i="31"/>
  <c r="H79" i="31"/>
  <c r="F79" i="31"/>
  <c r="K78" i="31"/>
  <c r="L4" i="31"/>
  <c r="E678" i="45" l="1"/>
  <c r="M678" i="45" s="1"/>
  <c r="E794" i="45"/>
  <c r="E797" i="45" s="1"/>
  <c r="M797" i="45" s="1"/>
  <c r="E984" i="45"/>
  <c r="E801" i="45"/>
  <c r="M801" i="45" s="1"/>
  <c r="E1122" i="45"/>
  <c r="M1122" i="45" s="1"/>
  <c r="E1183" i="45"/>
  <c r="M1183" i="45" s="1"/>
  <c r="M415" i="45"/>
  <c r="E1064" i="45"/>
  <c r="N65" i="45"/>
  <c r="E691" i="45"/>
  <c r="E694" i="45" s="1"/>
  <c r="E697" i="45" s="1"/>
  <c r="M697" i="45" s="1"/>
  <c r="E1042" i="45"/>
  <c r="M1042" i="45" s="1"/>
  <c r="E633" i="45"/>
  <c r="M633" i="45" s="1"/>
  <c r="E1022" i="45"/>
  <c r="M1022" i="45" s="1"/>
  <c r="E761" i="45"/>
  <c r="M761" i="45" s="1"/>
  <c r="E1184" i="45"/>
  <c r="E693" i="45"/>
  <c r="M693" i="45" s="1"/>
  <c r="E713" i="45"/>
  <c r="M713" i="45" s="1"/>
  <c r="Q710" i="45" s="1"/>
  <c r="E616" i="45"/>
  <c r="M616" i="45" s="1"/>
  <c r="Q615" i="45" s="1"/>
  <c r="N610" i="45"/>
  <c r="P610" i="45"/>
  <c r="D662" i="45"/>
  <c r="E821" i="45"/>
  <c r="M821" i="45" s="1"/>
  <c r="E861" i="45"/>
  <c r="M861" i="45" s="1"/>
  <c r="E1243" i="45"/>
  <c r="M1243" i="45" s="1"/>
  <c r="Q1240" i="45" s="1"/>
  <c r="M367" i="45"/>
  <c r="E718" i="45"/>
  <c r="M718" i="45" s="1"/>
  <c r="M372" i="45"/>
  <c r="E558" i="45"/>
  <c r="M558" i="45" s="1"/>
  <c r="E854" i="45"/>
  <c r="E857" i="45" s="1"/>
  <c r="M857" i="45" s="1"/>
  <c r="P830" i="45"/>
  <c r="P770" i="45"/>
  <c r="P730" i="45"/>
  <c r="Q895" i="45"/>
  <c r="Q790" i="45"/>
  <c r="Q850" i="45"/>
  <c r="Q250" i="45"/>
  <c r="Q390" i="45"/>
  <c r="Q875" i="45"/>
  <c r="Q810" i="45"/>
  <c r="Q750" i="45"/>
  <c r="Q430" i="45"/>
  <c r="Q65" i="45"/>
  <c r="Q545" i="45"/>
  <c r="P1080" i="45"/>
  <c r="Q585" i="45"/>
  <c r="Q685" i="45"/>
  <c r="Q1080" i="45"/>
  <c r="Q770" i="45"/>
  <c r="Q730" i="45"/>
  <c r="Q570" i="45"/>
  <c r="Q830" i="45"/>
  <c r="P895" i="45"/>
  <c r="P875" i="45"/>
  <c r="P810" i="45"/>
  <c r="P750" i="45"/>
  <c r="P250" i="45"/>
  <c r="P430" i="45"/>
  <c r="P790" i="45"/>
  <c r="P850" i="45"/>
  <c r="P390" i="45"/>
  <c r="P585" i="45"/>
  <c r="N245" i="45"/>
  <c r="P245" i="45"/>
  <c r="N1255" i="45"/>
  <c r="P1255" i="45"/>
  <c r="N845" i="45"/>
  <c r="P845" i="45"/>
  <c r="N425" i="45"/>
  <c r="P425" i="45"/>
  <c r="N865" i="45"/>
  <c r="P865" i="45"/>
  <c r="P685" i="45"/>
  <c r="P65" i="45"/>
  <c r="N785" i="45"/>
  <c r="P785" i="45"/>
  <c r="N805" i="45"/>
  <c r="P805" i="45"/>
  <c r="P545" i="45"/>
  <c r="N885" i="45"/>
  <c r="P885" i="45"/>
  <c r="N825" i="45"/>
  <c r="P825" i="45"/>
  <c r="M86" i="45"/>
  <c r="M106" i="45"/>
  <c r="M146" i="45"/>
  <c r="M691" i="45"/>
  <c r="M648" i="45"/>
  <c r="Q645" i="45" s="1"/>
  <c r="M708" i="45"/>
  <c r="Q705" i="45" s="1"/>
  <c r="M628" i="45"/>
  <c r="Q625" i="45" s="1"/>
  <c r="M38" i="45"/>
  <c r="M78" i="45"/>
  <c r="M871" i="45"/>
  <c r="Q870" i="45" s="1"/>
  <c r="M412" i="45"/>
  <c r="M70" i="45"/>
  <c r="M28" i="45"/>
  <c r="P25" i="45" s="1"/>
  <c r="M406" i="45"/>
  <c r="M126" i="45"/>
  <c r="M166" i="45"/>
  <c r="M1182" i="45"/>
  <c r="M893" i="45"/>
  <c r="Q890" i="45" s="1"/>
  <c r="M213" i="45"/>
  <c r="Q210" i="45" s="1"/>
  <c r="M668" i="45"/>
  <c r="Q665" i="45" s="1"/>
  <c r="M30" i="45"/>
  <c r="M366" i="45"/>
  <c r="N770" i="45"/>
  <c r="N730" i="45"/>
  <c r="N895" i="45"/>
  <c r="N750" i="45"/>
  <c r="N875" i="45"/>
  <c r="N810" i="45"/>
  <c r="N850" i="45"/>
  <c r="N430" i="45"/>
  <c r="N390" i="45"/>
  <c r="N830" i="45"/>
  <c r="N1080" i="45"/>
  <c r="N790" i="45"/>
  <c r="N250" i="45"/>
  <c r="E375" i="45"/>
  <c r="M375" i="45" s="1"/>
  <c r="E535" i="45"/>
  <c r="M535" i="45" s="1"/>
  <c r="E673" i="45"/>
  <c r="M673" i="45" s="1"/>
  <c r="P670" i="45" s="1"/>
  <c r="N585" i="45"/>
  <c r="N545" i="45"/>
  <c r="E495" i="45"/>
  <c r="M495" i="45" s="1"/>
  <c r="E515" i="45"/>
  <c r="M515" i="45" s="1"/>
  <c r="E574" i="45"/>
  <c r="E577" i="45" s="1"/>
  <c r="E580" i="45" s="1"/>
  <c r="M580" i="45" s="1"/>
  <c r="N570" i="45"/>
  <c r="E1142" i="45"/>
  <c r="M1142" i="45" s="1"/>
  <c r="E1224" i="45"/>
  <c r="E1162" i="45"/>
  <c r="M1162" i="45" s="1"/>
  <c r="E109" i="45"/>
  <c r="E112" i="45" s="1"/>
  <c r="E149" i="45"/>
  <c r="E152" i="45" s="1"/>
  <c r="E155" i="45" s="1"/>
  <c r="C186" i="45"/>
  <c r="C187" i="45" s="1"/>
  <c r="C188" i="45" s="1"/>
  <c r="C189" i="45" s="1"/>
  <c r="C190" i="45" s="1"/>
  <c r="C191" i="45" s="1"/>
  <c r="C192" i="45" s="1"/>
  <c r="C193" i="45" s="1"/>
  <c r="C194" i="45" s="1"/>
  <c r="C195" i="45" s="1"/>
  <c r="C196" i="45" s="1"/>
  <c r="C197" i="45" s="1"/>
  <c r="C198" i="45" s="1"/>
  <c r="C199" i="45" s="1"/>
  <c r="C200" i="45" s="1"/>
  <c r="C201" i="45" s="1"/>
  <c r="C202" i="45" s="1"/>
  <c r="C203" i="45" s="1"/>
  <c r="C204" i="45" s="1"/>
  <c r="C226" i="45"/>
  <c r="C227" i="45" s="1"/>
  <c r="C228" i="45" s="1"/>
  <c r="C229" i="45" s="1"/>
  <c r="C230" i="45" s="1"/>
  <c r="C231" i="45" s="1"/>
  <c r="C232" i="45" s="1"/>
  <c r="C233" i="45" s="1"/>
  <c r="C234" i="45" s="1"/>
  <c r="C235" i="45" s="1"/>
  <c r="C236" i="45" s="1"/>
  <c r="C237" i="45" s="1"/>
  <c r="C238" i="45" s="1"/>
  <c r="C239" i="45" s="1"/>
  <c r="C240" i="45" s="1"/>
  <c r="C241" i="45" s="1"/>
  <c r="C242" i="45" s="1"/>
  <c r="C243" i="45" s="1"/>
  <c r="C244" i="45" s="1"/>
  <c r="E269" i="45"/>
  <c r="E272" i="45" s="1"/>
  <c r="M272" i="45" s="1"/>
  <c r="E307" i="45"/>
  <c r="M307" i="45" s="1"/>
  <c r="E349" i="45"/>
  <c r="E352" i="45" s="1"/>
  <c r="M352" i="45" s="1"/>
  <c r="E510" i="45"/>
  <c r="M510" i="45" s="1"/>
  <c r="E448" i="45"/>
  <c r="E370" i="45"/>
  <c r="M370" i="45" s="1"/>
  <c r="E408" i="45"/>
  <c r="M408" i="45" s="1"/>
  <c r="E551" i="45"/>
  <c r="M551" i="45" s="1"/>
  <c r="E631" i="45"/>
  <c r="E634" i="45" s="1"/>
  <c r="E637" i="45" s="1"/>
  <c r="M637" i="45" s="1"/>
  <c r="E856" i="45"/>
  <c r="E621" i="45"/>
  <c r="M621" i="45" s="1"/>
  <c r="E796" i="45"/>
  <c r="E261" i="45"/>
  <c r="M261" i="45" s="1"/>
  <c r="E221" i="45"/>
  <c r="M221" i="45" s="1"/>
  <c r="E81" i="45"/>
  <c r="M81" i="45" s="1"/>
  <c r="E254" i="45"/>
  <c r="E257" i="45" s="1"/>
  <c r="M257" i="45" s="1"/>
  <c r="E434" i="45"/>
  <c r="E437" i="45" s="1"/>
  <c r="M437" i="45" s="1"/>
  <c r="E441" i="45"/>
  <c r="M441" i="45" s="1"/>
  <c r="E401" i="45"/>
  <c r="M401" i="45" s="1"/>
  <c r="E89" i="45"/>
  <c r="E92" i="45" s="1"/>
  <c r="E129" i="45"/>
  <c r="E132" i="45" s="1"/>
  <c r="E135" i="45" s="1"/>
  <c r="E169" i="45"/>
  <c r="E172" i="45" s="1"/>
  <c r="E189" i="45"/>
  <c r="E192" i="45" s="1"/>
  <c r="M192" i="45" s="1"/>
  <c r="E327" i="45"/>
  <c r="M327" i="45" s="1"/>
  <c r="E528" i="45"/>
  <c r="E488" i="45"/>
  <c r="E491" i="45" s="1"/>
  <c r="M491" i="45" s="1"/>
  <c r="E76" i="45"/>
  <c r="E881" i="45"/>
  <c r="M881" i="45" s="1"/>
  <c r="E581" i="45"/>
  <c r="M581" i="45" s="1"/>
  <c r="E455" i="45"/>
  <c r="M455" i="45" s="1"/>
  <c r="E638" i="45"/>
  <c r="M638" i="45" s="1"/>
  <c r="E216" i="45"/>
  <c r="E396" i="45"/>
  <c r="M396" i="45" s="1"/>
  <c r="E901" i="45"/>
  <c r="M901" i="45" s="1"/>
  <c r="E394" i="45"/>
  <c r="E397" i="45" s="1"/>
  <c r="M397" i="45" s="1"/>
  <c r="E698" i="45"/>
  <c r="M698" i="45" s="1"/>
  <c r="E553" i="45"/>
  <c r="M553" i="45" s="1"/>
  <c r="E943" i="45"/>
  <c r="M943" i="45" s="1"/>
  <c r="E962" i="45"/>
  <c r="M962" i="45" s="1"/>
  <c r="E1204" i="45"/>
  <c r="E1102" i="45"/>
  <c r="M1102" i="45" s="1"/>
  <c r="E924" i="45"/>
  <c r="E41" i="45"/>
  <c r="M41" i="45" s="1"/>
  <c r="E942" i="45"/>
  <c r="E944" i="45"/>
  <c r="E1263" i="45"/>
  <c r="M1263" i="45" s="1"/>
  <c r="C2942" i="45"/>
  <c r="M2942" i="45" s="1"/>
  <c r="C2902" i="45"/>
  <c r="M2902" i="45" s="1"/>
  <c r="C2922" i="45"/>
  <c r="M2922" i="45" s="1"/>
  <c r="C2762" i="45"/>
  <c r="M2762" i="45" s="1"/>
  <c r="C2742" i="45"/>
  <c r="M2742" i="45" s="1"/>
  <c r="C2722" i="45"/>
  <c r="M2722" i="45" s="1"/>
  <c r="C2562" i="45"/>
  <c r="M2562" i="45" s="1"/>
  <c r="C2542" i="45"/>
  <c r="M2542" i="45" s="1"/>
  <c r="C2382" i="45"/>
  <c r="M2382" i="45" s="1"/>
  <c r="C2402" i="45"/>
  <c r="M2402" i="45" s="1"/>
  <c r="C2362" i="45"/>
  <c r="M2362" i="45" s="1"/>
  <c r="E368" i="45"/>
  <c r="M368" i="45" s="1"/>
  <c r="E923" i="45"/>
  <c r="E1063" i="45"/>
  <c r="E983" i="45"/>
  <c r="E1043" i="45"/>
  <c r="E1103" i="45"/>
  <c r="M1103" i="45" s="1"/>
  <c r="E1223" i="45"/>
  <c r="E1123" i="45"/>
  <c r="E1163" i="45"/>
  <c r="M1163" i="45" s="1"/>
  <c r="E1203" i="45"/>
  <c r="E1143" i="45"/>
  <c r="M1143" i="45" s="1"/>
  <c r="E963" i="45"/>
  <c r="M963" i="45" s="1"/>
  <c r="E1023" i="45"/>
  <c r="E1003" i="45"/>
  <c r="E1264" i="45"/>
  <c r="E1262" i="45"/>
  <c r="M1262" i="45" s="1"/>
  <c r="E508" i="45"/>
  <c r="E450" i="45"/>
  <c r="M450" i="45" s="1"/>
  <c r="A368" i="45"/>
  <c r="A371" i="45" s="1"/>
  <c r="A374" i="45" s="1"/>
  <c r="A377" i="45" s="1"/>
  <c r="A380" i="45" s="1"/>
  <c r="A383" i="45" s="1"/>
  <c r="A490" i="45"/>
  <c r="A493" i="45" s="1"/>
  <c r="A496" i="45" s="1"/>
  <c r="A499" i="45" s="1"/>
  <c r="G630" i="45"/>
  <c r="G631" i="45" s="1"/>
  <c r="G632" i="45" s="1"/>
  <c r="G633" i="45" s="1"/>
  <c r="G634" i="45" s="1"/>
  <c r="E530" i="45"/>
  <c r="M530" i="45" s="1"/>
  <c r="A510" i="45"/>
  <c r="A513" i="45" s="1"/>
  <c r="A516" i="45" s="1"/>
  <c r="A519" i="45" s="1"/>
  <c r="E490" i="45"/>
  <c r="M490" i="45" s="1"/>
  <c r="D468" i="45"/>
  <c r="D471" i="45" s="1"/>
  <c r="D474" i="45" s="1"/>
  <c r="D477" i="45" s="1"/>
  <c r="D480" i="45" s="1"/>
  <c r="D483" i="45" s="1"/>
  <c r="E774" i="45"/>
  <c r="E777" i="45" s="1"/>
  <c r="M777" i="45" s="1"/>
  <c r="E880" i="45"/>
  <c r="M880" i="45" s="1"/>
  <c r="E879" i="45"/>
  <c r="E776" i="45"/>
  <c r="M776" i="45" s="1"/>
  <c r="E736" i="45"/>
  <c r="M736" i="45" s="1"/>
  <c r="A844" i="45"/>
  <c r="A842" i="45"/>
  <c r="A824" i="45"/>
  <c r="A822" i="45"/>
  <c r="A784" i="45"/>
  <c r="A782" i="45"/>
  <c r="A764" i="45"/>
  <c r="A762" i="45"/>
  <c r="A744" i="45"/>
  <c r="A742" i="45"/>
  <c r="E900" i="45"/>
  <c r="M900" i="45" s="1"/>
  <c r="B864" i="45"/>
  <c r="B862" i="45"/>
  <c r="E834" i="45"/>
  <c r="E837" i="45" s="1"/>
  <c r="M837" i="45" s="1"/>
  <c r="E816" i="45"/>
  <c r="M816" i="45" s="1"/>
  <c r="E756" i="45"/>
  <c r="M756" i="45" s="1"/>
  <c r="E734" i="45"/>
  <c r="E737" i="45" s="1"/>
  <c r="M737" i="45" s="1"/>
  <c r="E899" i="45"/>
  <c r="E836" i="45"/>
  <c r="M836" i="45" s="1"/>
  <c r="E814" i="45"/>
  <c r="E817" i="45" s="1"/>
  <c r="M817" i="45" s="1"/>
  <c r="B804" i="45"/>
  <c r="B802" i="45"/>
  <c r="E754" i="45"/>
  <c r="E757" i="45" s="1"/>
  <c r="M757" i="45" s="1"/>
  <c r="E620" i="45"/>
  <c r="M620" i="45" s="1"/>
  <c r="E579" i="45"/>
  <c r="G710" i="45"/>
  <c r="G711" i="45" s="1"/>
  <c r="G712" i="45" s="1"/>
  <c r="G713" i="45" s="1"/>
  <c r="G714" i="45" s="1"/>
  <c r="E436" i="45"/>
  <c r="B444" i="45"/>
  <c r="B442" i="45"/>
  <c r="A410" i="45"/>
  <c r="A413" i="45" s="1"/>
  <c r="A416" i="45" s="1"/>
  <c r="A419" i="45" s="1"/>
  <c r="B404" i="45"/>
  <c r="B402" i="45"/>
  <c r="E256" i="45"/>
  <c r="M256" i="45" s="1"/>
  <c r="B264" i="45"/>
  <c r="B262" i="45"/>
  <c r="B224" i="45"/>
  <c r="B222" i="45"/>
  <c r="E220" i="45"/>
  <c r="M220" i="45" s="1"/>
  <c r="B76" i="45"/>
  <c r="C73" i="45"/>
  <c r="C71" i="45"/>
  <c r="B74" i="45"/>
  <c r="E80" i="45"/>
  <c r="C31" i="45"/>
  <c r="B34" i="45"/>
  <c r="B36" i="45"/>
  <c r="C33" i="45"/>
  <c r="A44" i="45"/>
  <c r="A42" i="45"/>
  <c r="E36" i="45"/>
  <c r="E34" i="45"/>
  <c r="E37" i="45" s="1"/>
  <c r="D564" i="45"/>
  <c r="D562" i="45"/>
  <c r="A603" i="45"/>
  <c r="G600" i="45"/>
  <c r="G601" i="45" s="1"/>
  <c r="G602" i="45" s="1"/>
  <c r="G603" i="45" s="1"/>
  <c r="G604" i="45" s="1"/>
  <c r="E593" i="45"/>
  <c r="M593" i="45" s="1"/>
  <c r="G680" i="45"/>
  <c r="G681" i="45" s="1"/>
  <c r="G682" i="45" s="1"/>
  <c r="G683" i="45" s="1"/>
  <c r="G684" i="45" s="1"/>
  <c r="E714" i="45"/>
  <c r="E717" i="45" s="1"/>
  <c r="M717" i="45" s="1"/>
  <c r="E598" i="45"/>
  <c r="M598" i="45" s="1"/>
  <c r="B642" i="45"/>
  <c r="B644" i="45"/>
  <c r="D644" i="45"/>
  <c r="D642" i="45"/>
  <c r="A663" i="45"/>
  <c r="G660" i="45"/>
  <c r="G661" i="45" s="1"/>
  <c r="G662" i="45" s="1"/>
  <c r="G663" i="45" s="1"/>
  <c r="G664" i="45" s="1"/>
  <c r="E653" i="45"/>
  <c r="M653" i="45" s="1"/>
  <c r="G670" i="45"/>
  <c r="G671" i="45" s="1"/>
  <c r="G672" i="45" s="1"/>
  <c r="G673" i="45" s="1"/>
  <c r="G674" i="45" s="1"/>
  <c r="G690" i="45"/>
  <c r="G691" i="45" s="1"/>
  <c r="G692" i="45" s="1"/>
  <c r="G693" i="45" s="1"/>
  <c r="G694" i="45" s="1"/>
  <c r="G720" i="45"/>
  <c r="G721" i="45" s="1"/>
  <c r="G722" i="45" s="1"/>
  <c r="G723" i="45" s="1"/>
  <c r="G724" i="45" s="1"/>
  <c r="E681" i="45"/>
  <c r="M681" i="45" s="1"/>
  <c r="A593" i="45"/>
  <c r="A596" i="45" s="1"/>
  <c r="A599" i="45" s="1"/>
  <c r="G590" i="45"/>
  <c r="G591" i="45" s="1"/>
  <c r="G592" i="45" s="1"/>
  <c r="G593" i="45" s="1"/>
  <c r="G594" i="45" s="1"/>
  <c r="E591" i="45"/>
  <c r="M591" i="45" s="1"/>
  <c r="A644" i="45"/>
  <c r="A642" i="45"/>
  <c r="E658" i="45"/>
  <c r="M658" i="45" s="1"/>
  <c r="B684" i="45"/>
  <c r="B682" i="45"/>
  <c r="D684" i="45"/>
  <c r="D682" i="45"/>
  <c r="E674" i="45"/>
  <c r="E677" i="45" s="1"/>
  <c r="M677" i="45" s="1"/>
  <c r="B704" i="45"/>
  <c r="B702" i="45"/>
  <c r="D704" i="45"/>
  <c r="D702" i="45"/>
  <c r="G700" i="45"/>
  <c r="G701" i="45" s="1"/>
  <c r="G702" i="45" s="1"/>
  <c r="G703" i="45" s="1"/>
  <c r="G704" i="45" s="1"/>
  <c r="B553" i="45"/>
  <c r="B556" i="45" s="1"/>
  <c r="B559" i="45" s="1"/>
  <c r="G550" i="45"/>
  <c r="G551" i="45" s="1"/>
  <c r="G552" i="45" s="1"/>
  <c r="G553" i="45" s="1"/>
  <c r="G554" i="45" s="1"/>
  <c r="G560" i="45"/>
  <c r="G561" i="45" s="1"/>
  <c r="G562" i="45" s="1"/>
  <c r="G563" i="45" s="1"/>
  <c r="G564" i="45" s="1"/>
  <c r="G640" i="45"/>
  <c r="G641" i="45" s="1"/>
  <c r="G642" i="45" s="1"/>
  <c r="G643" i="45" s="1"/>
  <c r="G644" i="45" s="1"/>
  <c r="A653" i="45"/>
  <c r="A656" i="45" s="1"/>
  <c r="A659" i="45" s="1"/>
  <c r="G650" i="45"/>
  <c r="G651" i="45" s="1"/>
  <c r="G652" i="45" s="1"/>
  <c r="G653" i="45" s="1"/>
  <c r="G654" i="45" s="1"/>
  <c r="E651" i="45"/>
  <c r="A682" i="45"/>
  <c r="A684" i="45"/>
  <c r="A704" i="45"/>
  <c r="A702" i="45"/>
  <c r="A724" i="45"/>
  <c r="A722" i="45"/>
  <c r="B722" i="45"/>
  <c r="B724" i="45"/>
  <c r="D724" i="45"/>
  <c r="D722" i="45"/>
  <c r="A267" i="45"/>
  <c r="A268" i="45" s="1"/>
  <c r="A271" i="45" s="1"/>
  <c r="A274" i="45" s="1"/>
  <c r="A277" i="45" s="1"/>
  <c r="A280" i="45" s="1"/>
  <c r="F332" i="45"/>
  <c r="F333" i="45" s="1"/>
  <c r="D229" i="45"/>
  <c r="D232" i="45" s="1"/>
  <c r="D235" i="45" s="1"/>
  <c r="D238" i="45" s="1"/>
  <c r="D241" i="45" s="1"/>
  <c r="B227" i="45"/>
  <c r="B230" i="45" s="1"/>
  <c r="E410" i="45"/>
  <c r="M410" i="45" s="1"/>
  <c r="F107" i="45"/>
  <c r="F108" i="45" s="1"/>
  <c r="F227" i="45"/>
  <c r="F228" i="45" s="1"/>
  <c r="B287" i="45"/>
  <c r="B288" i="45" s="1"/>
  <c r="E329" i="45"/>
  <c r="E332" i="45" s="1"/>
  <c r="M332" i="45" s="1"/>
  <c r="F287" i="45"/>
  <c r="F288" i="45" s="1"/>
  <c r="F7" i="45"/>
  <c r="F8" i="45" s="1"/>
  <c r="F274" i="45"/>
  <c r="D289" i="45"/>
  <c r="D292" i="45" s="1"/>
  <c r="D295" i="45" s="1"/>
  <c r="D298" i="45" s="1"/>
  <c r="D301" i="45" s="1"/>
  <c r="E309" i="45"/>
  <c r="E312" i="45" s="1"/>
  <c r="M312" i="45" s="1"/>
  <c r="E347" i="45"/>
  <c r="M347" i="45" s="1"/>
  <c r="F354" i="45"/>
  <c r="C6" i="45"/>
  <c r="M6" i="45" s="1"/>
  <c r="B7" i="45"/>
  <c r="C7" i="45" s="1"/>
  <c r="D9" i="45"/>
  <c r="D12" i="45" s="1"/>
  <c r="D15" i="45" s="1"/>
  <c r="D18" i="45" s="1"/>
  <c r="D21" i="45" s="1"/>
  <c r="E267" i="45"/>
  <c r="M267" i="45" s="1"/>
  <c r="A533" i="45"/>
  <c r="A536" i="45" s="1"/>
  <c r="A539" i="45" s="1"/>
  <c r="B528" i="45"/>
  <c r="B530" i="45"/>
  <c r="B510" i="45"/>
  <c r="B508" i="45"/>
  <c r="B475" i="45"/>
  <c r="G475" i="45" s="1"/>
  <c r="G476" i="45" s="1"/>
  <c r="G477" i="45" s="1"/>
  <c r="G478" i="45" s="1"/>
  <c r="G479" i="45" s="1"/>
  <c r="D484" i="45"/>
  <c r="D482" i="45"/>
  <c r="B450" i="45"/>
  <c r="B448" i="45"/>
  <c r="D410" i="45"/>
  <c r="D413" i="45" s="1"/>
  <c r="D416" i="45" s="1"/>
  <c r="D419" i="45" s="1"/>
  <c r="D408" i="45"/>
  <c r="D411" i="45" s="1"/>
  <c r="D414" i="45" s="1"/>
  <c r="D417" i="45" s="1"/>
  <c r="D420" i="45" s="1"/>
  <c r="D423" i="45" s="1"/>
  <c r="D370" i="45"/>
  <c r="D373" i="45" s="1"/>
  <c r="D376" i="45" s="1"/>
  <c r="D379" i="45" s="1"/>
  <c r="D368" i="45"/>
  <c r="D371" i="45" s="1"/>
  <c r="D374" i="45" s="1"/>
  <c r="D377" i="45" s="1"/>
  <c r="D380" i="45" s="1"/>
  <c r="D383" i="45" s="1"/>
  <c r="B490" i="45"/>
  <c r="B488" i="45"/>
  <c r="B473" i="45"/>
  <c r="E470" i="45"/>
  <c r="M470" i="45" s="1"/>
  <c r="E468" i="45"/>
  <c r="A470" i="45"/>
  <c r="A468" i="45"/>
  <c r="A471" i="45" s="1"/>
  <c r="A474" i="45" s="1"/>
  <c r="A477" i="45" s="1"/>
  <c r="A480" i="45" s="1"/>
  <c r="A463" i="45"/>
  <c r="D450" i="45"/>
  <c r="D453" i="45" s="1"/>
  <c r="D456" i="45" s="1"/>
  <c r="D459" i="45" s="1"/>
  <c r="D448" i="45"/>
  <c r="D451" i="45" s="1"/>
  <c r="D454" i="45" s="1"/>
  <c r="D457" i="45" s="1"/>
  <c r="D460" i="45" s="1"/>
  <c r="D463" i="45" s="1"/>
  <c r="A384" i="45"/>
  <c r="A382" i="45"/>
  <c r="B375" i="45"/>
  <c r="B413" i="45"/>
  <c r="A543" i="45"/>
  <c r="D530" i="45"/>
  <c r="D533" i="45" s="1"/>
  <c r="D536" i="45" s="1"/>
  <c r="D539" i="45" s="1"/>
  <c r="D528" i="45"/>
  <c r="D531" i="45" s="1"/>
  <c r="D534" i="45" s="1"/>
  <c r="D537" i="45" s="1"/>
  <c r="D540" i="45" s="1"/>
  <c r="D543" i="45" s="1"/>
  <c r="B532" i="45"/>
  <c r="A523" i="45"/>
  <c r="D510" i="45"/>
  <c r="D513" i="45" s="1"/>
  <c r="D516" i="45" s="1"/>
  <c r="D519" i="45" s="1"/>
  <c r="D508" i="45"/>
  <c r="D511" i="45" s="1"/>
  <c r="D514" i="45" s="1"/>
  <c r="D517" i="45" s="1"/>
  <c r="D520" i="45" s="1"/>
  <c r="D523" i="45" s="1"/>
  <c r="B512" i="45"/>
  <c r="A503" i="45"/>
  <c r="D490" i="45"/>
  <c r="D493" i="45" s="1"/>
  <c r="D496" i="45" s="1"/>
  <c r="D499" i="45" s="1"/>
  <c r="D488" i="45"/>
  <c r="D491" i="45" s="1"/>
  <c r="D494" i="45" s="1"/>
  <c r="D497" i="45" s="1"/>
  <c r="D500" i="45" s="1"/>
  <c r="D503" i="45" s="1"/>
  <c r="B452" i="45"/>
  <c r="B370" i="45"/>
  <c r="B368" i="45"/>
  <c r="B492" i="45"/>
  <c r="B471" i="45"/>
  <c r="E475" i="45"/>
  <c r="M475" i="45" s="1"/>
  <c r="A478" i="45"/>
  <c r="A481" i="45" s="1"/>
  <c r="A453" i="45"/>
  <c r="A456" i="45" s="1"/>
  <c r="A459" i="45" s="1"/>
  <c r="B412" i="45"/>
  <c r="E418" i="45"/>
  <c r="M418" i="45" s="1"/>
  <c r="B411" i="45"/>
  <c r="A347" i="45"/>
  <c r="A350" i="45" s="1"/>
  <c r="A327" i="45"/>
  <c r="A328" i="45" s="1"/>
  <c r="A331" i="45" s="1"/>
  <c r="A334" i="45" s="1"/>
  <c r="A337" i="45" s="1"/>
  <c r="A340" i="45" s="1"/>
  <c r="A307" i="45"/>
  <c r="A310" i="45" s="1"/>
  <c r="B192" i="45"/>
  <c r="A278" i="45"/>
  <c r="A281" i="45" s="1"/>
  <c r="A198" i="45"/>
  <c r="A201" i="45" s="1"/>
  <c r="A187" i="45"/>
  <c r="E187" i="45"/>
  <c r="F192" i="45"/>
  <c r="F193" i="45" s="1"/>
  <c r="A229" i="45"/>
  <c r="A232" i="45" s="1"/>
  <c r="A235" i="45" s="1"/>
  <c r="A227" i="45"/>
  <c r="E229" i="45"/>
  <c r="E232" i="45" s="1"/>
  <c r="M232" i="45" s="1"/>
  <c r="E227" i="45"/>
  <c r="F234" i="45"/>
  <c r="F232" i="45"/>
  <c r="F233" i="45" s="1"/>
  <c r="B269" i="45"/>
  <c r="B267" i="45"/>
  <c r="D290" i="45"/>
  <c r="D293" i="45" s="1"/>
  <c r="D296" i="45" s="1"/>
  <c r="D299" i="45" s="1"/>
  <c r="D288" i="45"/>
  <c r="D291" i="45" s="1"/>
  <c r="D294" i="45" s="1"/>
  <c r="D297" i="45" s="1"/>
  <c r="D300" i="45" s="1"/>
  <c r="D303" i="45" s="1"/>
  <c r="B292" i="45"/>
  <c r="D309" i="45"/>
  <c r="D312" i="45" s="1"/>
  <c r="D315" i="45" s="1"/>
  <c r="D318" i="45" s="1"/>
  <c r="D321" i="45" s="1"/>
  <c r="D307" i="45"/>
  <c r="F309" i="45"/>
  <c r="F307" i="45"/>
  <c r="F308" i="45" s="1"/>
  <c r="A318" i="45"/>
  <c r="A321" i="45" s="1"/>
  <c r="A338" i="45"/>
  <c r="A341" i="45" s="1"/>
  <c r="B349" i="45"/>
  <c r="B347" i="45"/>
  <c r="B187" i="45"/>
  <c r="D187" i="45"/>
  <c r="F187" i="45"/>
  <c r="F188" i="45" s="1"/>
  <c r="D230" i="45"/>
  <c r="D233" i="45" s="1"/>
  <c r="D236" i="45" s="1"/>
  <c r="D239" i="45" s="1"/>
  <c r="D228" i="45"/>
  <c r="D231" i="45" s="1"/>
  <c r="D234" i="45" s="1"/>
  <c r="D237" i="45" s="1"/>
  <c r="D240" i="45" s="1"/>
  <c r="D243" i="45" s="1"/>
  <c r="B232" i="45"/>
  <c r="D269" i="45"/>
  <c r="D272" i="45" s="1"/>
  <c r="D275" i="45" s="1"/>
  <c r="D278" i="45" s="1"/>
  <c r="D281" i="45" s="1"/>
  <c r="D267" i="45"/>
  <c r="F269" i="45"/>
  <c r="F267" i="45"/>
  <c r="F268" i="45" s="1"/>
  <c r="A289" i="45"/>
  <c r="A292" i="45" s="1"/>
  <c r="A295" i="45" s="1"/>
  <c r="A287" i="45"/>
  <c r="E289" i="45"/>
  <c r="E292" i="45" s="1"/>
  <c r="M292" i="45" s="1"/>
  <c r="E287" i="45"/>
  <c r="M287" i="45" s="1"/>
  <c r="F294" i="45"/>
  <c r="F292" i="45"/>
  <c r="F293" i="45" s="1"/>
  <c r="B309" i="45"/>
  <c r="B307" i="45"/>
  <c r="F314" i="45"/>
  <c r="F312" i="45"/>
  <c r="F313" i="45" s="1"/>
  <c r="B329" i="45"/>
  <c r="B327" i="45"/>
  <c r="D329" i="45"/>
  <c r="D332" i="45" s="1"/>
  <c r="D335" i="45" s="1"/>
  <c r="D338" i="45" s="1"/>
  <c r="D341" i="45" s="1"/>
  <c r="D327" i="45"/>
  <c r="F329" i="45"/>
  <c r="F327" i="45"/>
  <c r="F328" i="45" s="1"/>
  <c r="E330" i="45"/>
  <c r="M330" i="45" s="1"/>
  <c r="A358" i="45"/>
  <c r="A361" i="45" s="1"/>
  <c r="D349" i="45"/>
  <c r="D352" i="45" s="1"/>
  <c r="D355" i="45" s="1"/>
  <c r="D358" i="45" s="1"/>
  <c r="D361" i="45" s="1"/>
  <c r="D347" i="45"/>
  <c r="F349" i="45"/>
  <c r="F347" i="45"/>
  <c r="F348" i="45" s="1"/>
  <c r="C9" i="45"/>
  <c r="B12" i="45"/>
  <c r="C12" i="45" s="1"/>
  <c r="D8" i="45"/>
  <c r="D11" i="45" s="1"/>
  <c r="D14" i="45" s="1"/>
  <c r="D17" i="45" s="1"/>
  <c r="D20" i="45" s="1"/>
  <c r="D23" i="45" s="1"/>
  <c r="D10" i="45"/>
  <c r="D13" i="45" s="1"/>
  <c r="D16" i="45" s="1"/>
  <c r="D19" i="45" s="1"/>
  <c r="D22" i="45" s="1"/>
  <c r="F12" i="45"/>
  <c r="F13" i="45" s="1"/>
  <c r="C46" i="45"/>
  <c r="B47" i="45"/>
  <c r="C47" i="45" s="1"/>
  <c r="F87" i="45"/>
  <c r="F88" i="45" s="1"/>
  <c r="F127" i="45"/>
  <c r="F128" i="45" s="1"/>
  <c r="F167" i="45"/>
  <c r="F168" i="45" s="1"/>
  <c r="F47" i="45"/>
  <c r="F48" i="45" s="1"/>
  <c r="A178" i="45"/>
  <c r="A181" i="45" s="1"/>
  <c r="B167" i="45"/>
  <c r="B169" i="45"/>
  <c r="D167" i="45"/>
  <c r="A167" i="45"/>
  <c r="E167" i="45"/>
  <c r="F172" i="45"/>
  <c r="F173" i="45" s="1"/>
  <c r="A158" i="45"/>
  <c r="A161" i="45" s="1"/>
  <c r="B147" i="45"/>
  <c r="F147" i="45"/>
  <c r="F148" i="45" s="1"/>
  <c r="B149" i="45"/>
  <c r="D147" i="45"/>
  <c r="A147" i="45"/>
  <c r="E147" i="45"/>
  <c r="F152" i="45"/>
  <c r="F153" i="45" s="1"/>
  <c r="A138" i="45"/>
  <c r="A141" i="45" s="1"/>
  <c r="B127" i="45"/>
  <c r="B129" i="45"/>
  <c r="D127" i="45"/>
  <c r="A127" i="45"/>
  <c r="E127" i="45"/>
  <c r="F132" i="45"/>
  <c r="F133" i="45" s="1"/>
  <c r="A118" i="45"/>
  <c r="A121" i="45" s="1"/>
  <c r="B107" i="45"/>
  <c r="B109" i="45"/>
  <c r="D107" i="45"/>
  <c r="A107" i="45"/>
  <c r="E107" i="45"/>
  <c r="F112" i="45"/>
  <c r="F113" i="45" s="1"/>
  <c r="A98" i="45"/>
  <c r="A101" i="45" s="1"/>
  <c r="B87" i="45"/>
  <c r="B89" i="45"/>
  <c r="D87" i="45"/>
  <c r="A87" i="45"/>
  <c r="E87" i="45"/>
  <c r="F92" i="45"/>
  <c r="F93" i="45" s="1"/>
  <c r="D47" i="45"/>
  <c r="D48" i="45" s="1"/>
  <c r="D51" i="45" s="1"/>
  <c r="D54" i="45" s="1"/>
  <c r="D57" i="45" s="1"/>
  <c r="D60" i="45" s="1"/>
  <c r="D63" i="45" s="1"/>
  <c r="A49" i="45"/>
  <c r="A52" i="45" s="1"/>
  <c r="A55" i="45" s="1"/>
  <c r="A47" i="45"/>
  <c r="E49" i="45"/>
  <c r="E52" i="45" s="1"/>
  <c r="E47" i="45"/>
  <c r="B52" i="45"/>
  <c r="C49" i="45"/>
  <c r="F54" i="45"/>
  <c r="F52" i="45"/>
  <c r="F53" i="45" s="1"/>
  <c r="A9" i="45"/>
  <c r="A12" i="45" s="1"/>
  <c r="A15" i="45" s="1"/>
  <c r="A7" i="45"/>
  <c r="E9" i="45"/>
  <c r="E12" i="45" s="1"/>
  <c r="E7" i="45"/>
  <c r="M7" i="45" s="1"/>
  <c r="P521" i="1"/>
  <c r="AK521" i="1" s="1"/>
  <c r="AA521" i="1"/>
  <c r="P519" i="1"/>
  <c r="AA519" i="1"/>
  <c r="P520" i="1"/>
  <c r="AK520" i="1" s="1"/>
  <c r="AA520" i="1"/>
  <c r="AK2" i="1"/>
  <c r="AK3" i="1"/>
  <c r="AK4" i="1"/>
  <c r="AK5" i="1"/>
  <c r="AK6" i="1"/>
  <c r="AK7" i="1"/>
  <c r="AK8" i="1"/>
  <c r="AK9" i="1"/>
  <c r="AK10" i="1"/>
  <c r="AK11" i="1"/>
  <c r="AK12" i="1"/>
  <c r="AK34" i="1"/>
  <c r="AK51" i="1"/>
  <c r="AK144" i="1"/>
  <c r="AK145" i="1"/>
  <c r="AK178" i="1"/>
  <c r="AK183" i="1"/>
  <c r="AK212" i="1"/>
  <c r="AK231" i="1"/>
  <c r="AK233" i="1"/>
  <c r="AK298" i="1"/>
  <c r="AK299" i="1"/>
  <c r="AK306" i="1"/>
  <c r="AK333" i="1"/>
  <c r="AK413" i="1"/>
  <c r="AK416" i="1"/>
  <c r="AK417" i="1"/>
  <c r="AK435" i="1"/>
  <c r="AK445" i="1"/>
  <c r="AK450" i="1"/>
  <c r="AK453" i="1"/>
  <c r="AK477" i="1"/>
  <c r="AK478" i="1"/>
  <c r="AK498" i="1"/>
  <c r="AK499" i="1"/>
  <c r="E800" i="45" l="1"/>
  <c r="M800" i="45" s="1"/>
  <c r="E619" i="45"/>
  <c r="Q1180" i="45"/>
  <c r="E721" i="45"/>
  <c r="M721" i="45" s="1"/>
  <c r="M227" i="45"/>
  <c r="E716" i="45"/>
  <c r="M716" i="45" s="1"/>
  <c r="Q715" i="45" s="1"/>
  <c r="N690" i="45"/>
  <c r="E860" i="45"/>
  <c r="M860" i="45" s="1"/>
  <c r="N710" i="45"/>
  <c r="P710" i="45"/>
  <c r="M186" i="45"/>
  <c r="E308" i="45"/>
  <c r="M308" i="45" s="1"/>
  <c r="Q305" i="45" s="1"/>
  <c r="E696" i="45"/>
  <c r="M696" i="45" s="1"/>
  <c r="N695" i="45" s="1"/>
  <c r="E636" i="45"/>
  <c r="M636" i="45" s="1"/>
  <c r="N635" i="45" s="1"/>
  <c r="E355" i="45"/>
  <c r="M355" i="45" s="1"/>
  <c r="M187" i="45"/>
  <c r="E378" i="45"/>
  <c r="M378" i="45" s="1"/>
  <c r="N1240" i="45"/>
  <c r="E518" i="45"/>
  <c r="M518" i="45" s="1"/>
  <c r="E561" i="45"/>
  <c r="M561" i="45" s="1"/>
  <c r="P1240" i="45"/>
  <c r="E676" i="45"/>
  <c r="M676" i="45" s="1"/>
  <c r="Q675" i="45" s="1"/>
  <c r="E498" i="45"/>
  <c r="M498" i="45" s="1"/>
  <c r="E554" i="45"/>
  <c r="E557" i="45" s="1"/>
  <c r="M557" i="45" s="1"/>
  <c r="N25" i="45"/>
  <c r="P590" i="45"/>
  <c r="P1260" i="45"/>
  <c r="Q755" i="45"/>
  <c r="Q735" i="45"/>
  <c r="Q1100" i="45"/>
  <c r="Q960" i="45"/>
  <c r="Q550" i="45"/>
  <c r="Q1160" i="45"/>
  <c r="Q1140" i="45"/>
  <c r="P255" i="45"/>
  <c r="Q255" i="45"/>
  <c r="Q835" i="45"/>
  <c r="Q815" i="45"/>
  <c r="Q775" i="45"/>
  <c r="Q405" i="45"/>
  <c r="Q670" i="45"/>
  <c r="Q690" i="45"/>
  <c r="Q25" i="45"/>
  <c r="Q1260" i="45"/>
  <c r="Q590" i="45"/>
  <c r="Q395" i="45"/>
  <c r="Q365" i="45"/>
  <c r="P835" i="45"/>
  <c r="P815" i="45"/>
  <c r="P775" i="45"/>
  <c r="P1100" i="45"/>
  <c r="P960" i="45"/>
  <c r="P395" i="45"/>
  <c r="P550" i="45"/>
  <c r="P1160" i="45"/>
  <c r="P1140" i="45"/>
  <c r="P755" i="45"/>
  <c r="P735" i="45"/>
  <c r="N210" i="45"/>
  <c r="P210" i="45"/>
  <c r="N1180" i="45"/>
  <c r="P1180" i="45"/>
  <c r="P405" i="45"/>
  <c r="N870" i="45"/>
  <c r="P870" i="45"/>
  <c r="N705" i="45"/>
  <c r="P705" i="45"/>
  <c r="N645" i="45"/>
  <c r="P645" i="45"/>
  <c r="P690" i="45"/>
  <c r="P365" i="45"/>
  <c r="N665" i="45"/>
  <c r="P665" i="45"/>
  <c r="N890" i="45"/>
  <c r="P890" i="45"/>
  <c r="N625" i="45"/>
  <c r="P625" i="45"/>
  <c r="N615" i="45"/>
  <c r="P615" i="45"/>
  <c r="M12" i="45"/>
  <c r="M436" i="45"/>
  <c r="Q435" i="45" s="1"/>
  <c r="M508" i="45"/>
  <c r="Q505" i="45" s="1"/>
  <c r="M1023" i="45"/>
  <c r="Q1020" i="45" s="1"/>
  <c r="M1223" i="45"/>
  <c r="Q1220" i="45" s="1"/>
  <c r="M1043" i="45"/>
  <c r="Q1040" i="45" s="1"/>
  <c r="M1063" i="45"/>
  <c r="Q1060" i="45" s="1"/>
  <c r="M942" i="45"/>
  <c r="Q940" i="45" s="1"/>
  <c r="M488" i="45"/>
  <c r="Q485" i="45" s="1"/>
  <c r="M856" i="45"/>
  <c r="Q855" i="45" s="1"/>
  <c r="M631" i="45"/>
  <c r="Q630" i="45" s="1"/>
  <c r="M448" i="45"/>
  <c r="Q445" i="45" s="1"/>
  <c r="M71" i="45"/>
  <c r="M31" i="45"/>
  <c r="M46" i="45"/>
  <c r="M47" i="45"/>
  <c r="M468" i="45"/>
  <c r="Q465" i="45" s="1"/>
  <c r="M651" i="45"/>
  <c r="Q650" i="45" s="1"/>
  <c r="M1003" i="45"/>
  <c r="Q1000" i="45" s="1"/>
  <c r="M1203" i="45"/>
  <c r="Q1200" i="45" s="1"/>
  <c r="M1123" i="45"/>
  <c r="Q1120" i="45" s="1"/>
  <c r="M983" i="45"/>
  <c r="Q980" i="45" s="1"/>
  <c r="M923" i="45"/>
  <c r="Q920" i="45" s="1"/>
  <c r="M216" i="45"/>
  <c r="Q215" i="45" s="1"/>
  <c r="M528" i="45"/>
  <c r="Q525" i="45" s="1"/>
  <c r="E175" i="45"/>
  <c r="E178" i="45" s="1"/>
  <c r="E95" i="45"/>
  <c r="E98" i="45" s="1"/>
  <c r="M796" i="45"/>
  <c r="Q795" i="45" s="1"/>
  <c r="E115" i="45"/>
  <c r="E118" i="45" s="1"/>
  <c r="M577" i="45"/>
  <c r="Q575" i="45" s="1"/>
  <c r="M73" i="45"/>
  <c r="M226" i="45"/>
  <c r="M33" i="45"/>
  <c r="E531" i="45"/>
  <c r="M531" i="45" s="1"/>
  <c r="E451" i="45"/>
  <c r="M451" i="45" s="1"/>
  <c r="E538" i="45"/>
  <c r="M538" i="45" s="1"/>
  <c r="N1260" i="45"/>
  <c r="N590" i="45"/>
  <c r="N735" i="45"/>
  <c r="N550" i="45"/>
  <c r="N1140" i="45"/>
  <c r="N670" i="45"/>
  <c r="N1100" i="45"/>
  <c r="N960" i="45"/>
  <c r="N305" i="45"/>
  <c r="E328" i="45"/>
  <c r="E331" i="45" s="1"/>
  <c r="M331" i="45" s="1"/>
  <c r="E310" i="45"/>
  <c r="M310" i="45" s="1"/>
  <c r="E513" i="45"/>
  <c r="M513" i="45" s="1"/>
  <c r="N255" i="45"/>
  <c r="N835" i="45"/>
  <c r="N815" i="45"/>
  <c r="N775" i="45"/>
  <c r="N405" i="45"/>
  <c r="N755" i="45"/>
  <c r="E533" i="45"/>
  <c r="M533" i="45" s="1"/>
  <c r="N395" i="45"/>
  <c r="N1160" i="45"/>
  <c r="N365" i="45"/>
  <c r="E55" i="45"/>
  <c r="E350" i="45"/>
  <c r="M350" i="45" s="1"/>
  <c r="E335" i="45"/>
  <c r="M335" i="45" s="1"/>
  <c r="E413" i="45"/>
  <c r="M413" i="45" s="1"/>
  <c r="E493" i="45"/>
  <c r="E453" i="45"/>
  <c r="E556" i="45"/>
  <c r="E701" i="45"/>
  <c r="M701" i="45" s="1"/>
  <c r="E400" i="45"/>
  <c r="M400" i="45" s="1"/>
  <c r="E399" i="45"/>
  <c r="E641" i="45"/>
  <c r="M641" i="45" s="1"/>
  <c r="E458" i="45"/>
  <c r="M458" i="45" s="1"/>
  <c r="E79" i="45"/>
  <c r="E799" i="45"/>
  <c r="E859" i="45"/>
  <c r="E275" i="45"/>
  <c r="M275" i="45" s="1"/>
  <c r="E268" i="45"/>
  <c r="E315" i="45"/>
  <c r="M315" i="45" s="1"/>
  <c r="E511" i="45"/>
  <c r="E371" i="45"/>
  <c r="M371" i="45" s="1"/>
  <c r="E219" i="45"/>
  <c r="E195" i="45"/>
  <c r="M195" i="45" s="1"/>
  <c r="E440" i="45"/>
  <c r="M440" i="45" s="1"/>
  <c r="E260" i="45"/>
  <c r="M260" i="45" s="1"/>
  <c r="E411" i="45"/>
  <c r="E373" i="45"/>
  <c r="M373" i="45" s="1"/>
  <c r="AK519" i="1"/>
  <c r="AI519" i="1" s="1"/>
  <c r="E348" i="45"/>
  <c r="E15" i="45"/>
  <c r="C2923" i="45"/>
  <c r="C2903" i="45"/>
  <c r="C2943" i="45"/>
  <c r="C2723" i="45"/>
  <c r="C2743" i="45"/>
  <c r="C2763" i="45"/>
  <c r="C2543" i="45"/>
  <c r="C2563" i="45"/>
  <c r="C2363" i="45"/>
  <c r="C2403" i="45"/>
  <c r="C2383" i="45"/>
  <c r="A330" i="45"/>
  <c r="A333" i="45" s="1"/>
  <c r="A336" i="45" s="1"/>
  <c r="A339" i="45" s="1"/>
  <c r="E270" i="45"/>
  <c r="M270" i="45" s="1"/>
  <c r="B8" i="45"/>
  <c r="C8" i="45" s="1"/>
  <c r="E760" i="45"/>
  <c r="M760" i="45" s="1"/>
  <c r="E884" i="45"/>
  <c r="E882" i="45"/>
  <c r="M882" i="45" s="1"/>
  <c r="E883" i="45"/>
  <c r="M883" i="45" s="1"/>
  <c r="E820" i="45"/>
  <c r="M820" i="45" s="1"/>
  <c r="E839" i="45"/>
  <c r="E904" i="45"/>
  <c r="E902" i="45"/>
  <c r="M902" i="45" s="1"/>
  <c r="E740" i="45"/>
  <c r="M740" i="45" s="1"/>
  <c r="E759" i="45"/>
  <c r="E819" i="45"/>
  <c r="E840" i="45"/>
  <c r="M840" i="45" s="1"/>
  <c r="E903" i="45"/>
  <c r="M903" i="45" s="1"/>
  <c r="E803" i="45"/>
  <c r="M803" i="45" s="1"/>
  <c r="E739" i="45"/>
  <c r="E779" i="45"/>
  <c r="E780" i="45"/>
  <c r="M780" i="45" s="1"/>
  <c r="E623" i="45"/>
  <c r="M623" i="45" s="1"/>
  <c r="E624" i="45"/>
  <c r="E622" i="45"/>
  <c r="B228" i="45"/>
  <c r="B231" i="45" s="1"/>
  <c r="E583" i="45"/>
  <c r="M583" i="45" s="1"/>
  <c r="E584" i="45"/>
  <c r="E582" i="45"/>
  <c r="B10" i="45"/>
  <c r="B13" i="45" s="1"/>
  <c r="B16" i="45" s="1"/>
  <c r="B290" i="45"/>
  <c r="B293" i="45" s="1"/>
  <c r="A348" i="45"/>
  <c r="A351" i="45" s="1"/>
  <c r="A354" i="45" s="1"/>
  <c r="A357" i="45" s="1"/>
  <c r="A360" i="45" s="1"/>
  <c r="A363" i="45" s="1"/>
  <c r="G410" i="45"/>
  <c r="G411" i="45" s="1"/>
  <c r="G412" i="45" s="1"/>
  <c r="G413" i="45" s="1"/>
  <c r="G414" i="45" s="1"/>
  <c r="E439" i="45"/>
  <c r="B48" i="45"/>
  <c r="C48" i="45" s="1"/>
  <c r="E259" i="45"/>
  <c r="A270" i="45"/>
  <c r="A273" i="45" s="1"/>
  <c r="A276" i="45" s="1"/>
  <c r="A279" i="45" s="1"/>
  <c r="E223" i="45"/>
  <c r="M223" i="45" s="1"/>
  <c r="E83" i="45"/>
  <c r="B77" i="45"/>
  <c r="C74" i="45"/>
  <c r="B79" i="45"/>
  <c r="C76" i="45"/>
  <c r="E40" i="45"/>
  <c r="E39" i="45"/>
  <c r="B39" i="45"/>
  <c r="C36" i="45"/>
  <c r="B37" i="45"/>
  <c r="C34" i="45"/>
  <c r="B15" i="45"/>
  <c r="G15" i="45" s="1"/>
  <c r="G16" i="45" s="1"/>
  <c r="G17" i="45" s="1"/>
  <c r="G18" i="45" s="1"/>
  <c r="G19" i="45" s="1"/>
  <c r="E654" i="45"/>
  <c r="E657" i="45" s="1"/>
  <c r="M657" i="45" s="1"/>
  <c r="A664" i="45"/>
  <c r="A662" i="45"/>
  <c r="E640" i="45"/>
  <c r="M640" i="45" s="1"/>
  <c r="B564" i="45"/>
  <c r="B562" i="45"/>
  <c r="E700" i="45"/>
  <c r="M700" i="45" s="1"/>
  <c r="E661" i="45"/>
  <c r="M661" i="45" s="1"/>
  <c r="E594" i="45"/>
  <c r="E597" i="45" s="1"/>
  <c r="M597" i="45" s="1"/>
  <c r="A604" i="45"/>
  <c r="A602" i="45"/>
  <c r="E719" i="45"/>
  <c r="E656" i="45"/>
  <c r="E720" i="45"/>
  <c r="M720" i="45" s="1"/>
  <c r="E680" i="45"/>
  <c r="M680" i="45" s="1"/>
  <c r="E601" i="45"/>
  <c r="M601" i="45" s="1"/>
  <c r="E596" i="45"/>
  <c r="D24" i="45"/>
  <c r="G450" i="45"/>
  <c r="G451" i="45" s="1"/>
  <c r="G452" i="45" s="1"/>
  <c r="G453" i="45" s="1"/>
  <c r="G454" i="45" s="1"/>
  <c r="B50" i="45"/>
  <c r="C50" i="45" s="1"/>
  <c r="A308" i="45"/>
  <c r="A311" i="45" s="1"/>
  <c r="A314" i="45" s="1"/>
  <c r="A317" i="45" s="1"/>
  <c r="A320" i="45" s="1"/>
  <c r="A323" i="45" s="1"/>
  <c r="B414" i="45"/>
  <c r="A424" i="45"/>
  <c r="A422" i="45"/>
  <c r="A464" i="45"/>
  <c r="A462" i="45"/>
  <c r="E478" i="45"/>
  <c r="M478" i="45" s="1"/>
  <c r="B495" i="45"/>
  <c r="B373" i="45"/>
  <c r="G370" i="45"/>
  <c r="G371" i="45" s="1"/>
  <c r="G372" i="45" s="1"/>
  <c r="G373" i="45" s="1"/>
  <c r="G374" i="45" s="1"/>
  <c r="B455" i="45"/>
  <c r="D504" i="45"/>
  <c r="D502" i="45"/>
  <c r="B535" i="45"/>
  <c r="D544" i="45"/>
  <c r="D542" i="45"/>
  <c r="B378" i="45"/>
  <c r="G375" i="45"/>
  <c r="G376" i="45" s="1"/>
  <c r="G377" i="45" s="1"/>
  <c r="G378" i="45" s="1"/>
  <c r="G379" i="45" s="1"/>
  <c r="D462" i="45"/>
  <c r="D464" i="45"/>
  <c r="A483" i="45"/>
  <c r="E471" i="45"/>
  <c r="M471" i="45" s="1"/>
  <c r="E473" i="45"/>
  <c r="M473" i="45" s="1"/>
  <c r="B476" i="45"/>
  <c r="B491" i="45"/>
  <c r="B453" i="45"/>
  <c r="B478" i="45"/>
  <c r="A502" i="45"/>
  <c r="A504" i="45"/>
  <c r="B513" i="45"/>
  <c r="A522" i="45"/>
  <c r="A524" i="45"/>
  <c r="B533" i="45"/>
  <c r="G530" i="45"/>
  <c r="G531" i="45" s="1"/>
  <c r="G532" i="45" s="1"/>
  <c r="G533" i="45" s="1"/>
  <c r="G534" i="45" s="1"/>
  <c r="B415" i="45"/>
  <c r="E421" i="45"/>
  <c r="M421" i="45" s="1"/>
  <c r="B474" i="45"/>
  <c r="B371" i="45"/>
  <c r="E494" i="45"/>
  <c r="E497" i="45" s="1"/>
  <c r="M497" i="45" s="1"/>
  <c r="B515" i="45"/>
  <c r="D524" i="45"/>
  <c r="D522" i="45"/>
  <c r="B416" i="45"/>
  <c r="A473" i="45"/>
  <c r="A476" i="45" s="1"/>
  <c r="A479" i="45" s="1"/>
  <c r="G470" i="45"/>
  <c r="G471" i="45" s="1"/>
  <c r="G472" i="45" s="1"/>
  <c r="G473" i="45" s="1"/>
  <c r="G474" i="45" s="1"/>
  <c r="B493" i="45"/>
  <c r="D384" i="45"/>
  <c r="D382" i="45"/>
  <c r="D424" i="45"/>
  <c r="D422" i="45"/>
  <c r="B451" i="45"/>
  <c r="G490" i="45"/>
  <c r="G491" i="45" s="1"/>
  <c r="G492" i="45" s="1"/>
  <c r="G493" i="45" s="1"/>
  <c r="G494" i="45" s="1"/>
  <c r="B511" i="45"/>
  <c r="G510" i="45"/>
  <c r="G511" i="45" s="1"/>
  <c r="G512" i="45" s="1"/>
  <c r="G513" i="45" s="1"/>
  <c r="G514" i="45" s="1"/>
  <c r="B531" i="45"/>
  <c r="A544" i="45"/>
  <c r="A542" i="45"/>
  <c r="A353" i="45"/>
  <c r="A356" i="45" s="1"/>
  <c r="A359" i="45" s="1"/>
  <c r="A343" i="45"/>
  <c r="D330" i="45"/>
  <c r="D333" i="45" s="1"/>
  <c r="D336" i="45" s="1"/>
  <c r="D339" i="45" s="1"/>
  <c r="D328" i="45"/>
  <c r="D331" i="45" s="1"/>
  <c r="D334" i="45" s="1"/>
  <c r="D337" i="45" s="1"/>
  <c r="D340" i="45" s="1"/>
  <c r="D343" i="45" s="1"/>
  <c r="B332" i="45"/>
  <c r="B310" i="45"/>
  <c r="B308" i="45"/>
  <c r="E288" i="45"/>
  <c r="E290" i="45"/>
  <c r="M290" i="45" s="1"/>
  <c r="A288" i="45"/>
  <c r="A291" i="45" s="1"/>
  <c r="A294" i="45" s="1"/>
  <c r="A297" i="45" s="1"/>
  <c r="A300" i="45" s="1"/>
  <c r="A290" i="45"/>
  <c r="A283" i="45"/>
  <c r="D270" i="45"/>
  <c r="D273" i="45" s="1"/>
  <c r="D276" i="45" s="1"/>
  <c r="D279" i="45" s="1"/>
  <c r="D268" i="45"/>
  <c r="D271" i="45" s="1"/>
  <c r="D274" i="45" s="1"/>
  <c r="D277" i="45" s="1"/>
  <c r="D280" i="45" s="1"/>
  <c r="D283" i="45" s="1"/>
  <c r="B188" i="45"/>
  <c r="B190" i="45"/>
  <c r="B350" i="45"/>
  <c r="B348" i="45"/>
  <c r="A313" i="45"/>
  <c r="A316" i="45" s="1"/>
  <c r="A319" i="45" s="1"/>
  <c r="B295" i="45"/>
  <c r="D304" i="45"/>
  <c r="D302" i="45"/>
  <c r="B272" i="45"/>
  <c r="E235" i="45"/>
  <c r="M235" i="45" s="1"/>
  <c r="A238" i="45"/>
  <c r="A241" i="45" s="1"/>
  <c r="E190" i="45"/>
  <c r="M190" i="45" s="1"/>
  <c r="E188" i="45"/>
  <c r="M188" i="45" s="1"/>
  <c r="B195" i="45"/>
  <c r="D350" i="45"/>
  <c r="D353" i="45" s="1"/>
  <c r="D356" i="45" s="1"/>
  <c r="D359" i="45" s="1"/>
  <c r="D348" i="45"/>
  <c r="D351" i="45" s="1"/>
  <c r="D354" i="45" s="1"/>
  <c r="D357" i="45" s="1"/>
  <c r="D360" i="45" s="1"/>
  <c r="D363" i="45" s="1"/>
  <c r="E333" i="45"/>
  <c r="M333" i="45" s="1"/>
  <c r="B330" i="45"/>
  <c r="B328" i="45"/>
  <c r="B312" i="45"/>
  <c r="B291" i="45"/>
  <c r="E295" i="45"/>
  <c r="M295" i="45" s="1"/>
  <c r="A298" i="45"/>
  <c r="A301" i="45" s="1"/>
  <c r="B235" i="45"/>
  <c r="D244" i="45"/>
  <c r="D242" i="45"/>
  <c r="D188" i="45"/>
  <c r="D191" i="45" s="1"/>
  <c r="D194" i="45" s="1"/>
  <c r="D197" i="45" s="1"/>
  <c r="D200" i="45" s="1"/>
  <c r="D203" i="45" s="1"/>
  <c r="D190" i="45"/>
  <c r="D193" i="45" s="1"/>
  <c r="D196" i="45" s="1"/>
  <c r="D199" i="45" s="1"/>
  <c r="B352" i="45"/>
  <c r="D310" i="45"/>
  <c r="D313" i="45" s="1"/>
  <c r="D316" i="45" s="1"/>
  <c r="D319" i="45" s="1"/>
  <c r="D308" i="45"/>
  <c r="D311" i="45" s="1"/>
  <c r="D314" i="45" s="1"/>
  <c r="D317" i="45" s="1"/>
  <c r="D320" i="45" s="1"/>
  <c r="D323" i="45" s="1"/>
  <c r="B270" i="45"/>
  <c r="B268" i="45"/>
  <c r="B233" i="45"/>
  <c r="E230" i="45"/>
  <c r="M230" i="45" s="1"/>
  <c r="E228" i="45"/>
  <c r="M228" i="45" s="1"/>
  <c r="A230" i="45"/>
  <c r="A228" i="45"/>
  <c r="A231" i="45" s="1"/>
  <c r="A234" i="45" s="1"/>
  <c r="A237" i="45" s="1"/>
  <c r="A240" i="45" s="1"/>
  <c r="A190" i="45"/>
  <c r="A188" i="45"/>
  <c r="A191" i="45" s="1"/>
  <c r="A194" i="45" s="1"/>
  <c r="A197" i="45" s="1"/>
  <c r="A200" i="45" s="1"/>
  <c r="A18" i="45"/>
  <c r="A21" i="45" s="1"/>
  <c r="A170" i="45"/>
  <c r="A168" i="45"/>
  <c r="A171" i="45" s="1"/>
  <c r="A174" i="45" s="1"/>
  <c r="A177" i="45" s="1"/>
  <c r="A180" i="45" s="1"/>
  <c r="B172" i="45"/>
  <c r="C169" i="45"/>
  <c r="E170" i="45"/>
  <c r="E168" i="45"/>
  <c r="D170" i="45"/>
  <c r="D173" i="45" s="1"/>
  <c r="D176" i="45" s="1"/>
  <c r="D179" i="45" s="1"/>
  <c r="D168" i="45"/>
  <c r="D171" i="45" s="1"/>
  <c r="D174" i="45" s="1"/>
  <c r="D177" i="45" s="1"/>
  <c r="D180" i="45" s="1"/>
  <c r="D183" i="45" s="1"/>
  <c r="C167" i="45"/>
  <c r="B168" i="45"/>
  <c r="B170" i="45"/>
  <c r="E150" i="45"/>
  <c r="E148" i="45"/>
  <c r="E158" i="45"/>
  <c r="A150" i="45"/>
  <c r="A148" i="45"/>
  <c r="A151" i="45" s="1"/>
  <c r="A154" i="45" s="1"/>
  <c r="A157" i="45" s="1"/>
  <c r="A160" i="45" s="1"/>
  <c r="D150" i="45"/>
  <c r="D153" i="45" s="1"/>
  <c r="D156" i="45" s="1"/>
  <c r="D159" i="45" s="1"/>
  <c r="D148" i="45"/>
  <c r="D151" i="45" s="1"/>
  <c r="D154" i="45" s="1"/>
  <c r="D157" i="45" s="1"/>
  <c r="D160" i="45" s="1"/>
  <c r="D163" i="45" s="1"/>
  <c r="B152" i="45"/>
  <c r="C149" i="45"/>
  <c r="C147" i="45"/>
  <c r="B148" i="45"/>
  <c r="B150" i="45"/>
  <c r="E130" i="45"/>
  <c r="E128" i="45"/>
  <c r="D130" i="45"/>
  <c r="D133" i="45" s="1"/>
  <c r="D136" i="45" s="1"/>
  <c r="D139" i="45" s="1"/>
  <c r="D128" i="45"/>
  <c r="D131" i="45" s="1"/>
  <c r="D134" i="45" s="1"/>
  <c r="D137" i="45" s="1"/>
  <c r="D140" i="45" s="1"/>
  <c r="D143" i="45" s="1"/>
  <c r="C127" i="45"/>
  <c r="B128" i="45"/>
  <c r="B130" i="45"/>
  <c r="A130" i="45"/>
  <c r="A128" i="45"/>
  <c r="A131" i="45" s="1"/>
  <c r="A134" i="45" s="1"/>
  <c r="A137" i="45" s="1"/>
  <c r="A140" i="45" s="1"/>
  <c r="B132" i="45"/>
  <c r="C129" i="45"/>
  <c r="E138" i="45"/>
  <c r="A110" i="45"/>
  <c r="A108" i="45"/>
  <c r="A111" i="45" s="1"/>
  <c r="A114" i="45" s="1"/>
  <c r="A117" i="45" s="1"/>
  <c r="A120" i="45" s="1"/>
  <c r="B112" i="45"/>
  <c r="C109" i="45"/>
  <c r="E110" i="45"/>
  <c r="E108" i="45"/>
  <c r="D110" i="45"/>
  <c r="D113" i="45" s="1"/>
  <c r="D116" i="45" s="1"/>
  <c r="D119" i="45" s="1"/>
  <c r="D108" i="45"/>
  <c r="D111" i="45" s="1"/>
  <c r="D114" i="45" s="1"/>
  <c r="D117" i="45" s="1"/>
  <c r="D120" i="45" s="1"/>
  <c r="D123" i="45" s="1"/>
  <c r="C107" i="45"/>
  <c r="B108" i="45"/>
  <c r="B110" i="45"/>
  <c r="E90" i="45"/>
  <c r="E88" i="45"/>
  <c r="D90" i="45"/>
  <c r="D93" i="45" s="1"/>
  <c r="D96" i="45" s="1"/>
  <c r="D99" i="45" s="1"/>
  <c r="D88" i="45"/>
  <c r="D91" i="45" s="1"/>
  <c r="D94" i="45" s="1"/>
  <c r="D97" i="45" s="1"/>
  <c r="D100" i="45" s="1"/>
  <c r="D103" i="45" s="1"/>
  <c r="C87" i="45"/>
  <c r="B88" i="45"/>
  <c r="B90" i="45"/>
  <c r="A90" i="45"/>
  <c r="A88" i="45"/>
  <c r="A91" i="45" s="1"/>
  <c r="A94" i="45" s="1"/>
  <c r="A97" i="45" s="1"/>
  <c r="A100" i="45" s="1"/>
  <c r="B92" i="45"/>
  <c r="C89" i="45"/>
  <c r="D50" i="45"/>
  <c r="D53" i="45" s="1"/>
  <c r="D56" i="45" s="1"/>
  <c r="D59" i="45" s="1"/>
  <c r="D64" i="45" s="1"/>
  <c r="E50" i="45"/>
  <c r="E48" i="45"/>
  <c r="A50" i="45"/>
  <c r="A48" i="45"/>
  <c r="A51" i="45" s="1"/>
  <c r="A54" i="45" s="1"/>
  <c r="A57" i="45" s="1"/>
  <c r="A60" i="45" s="1"/>
  <c r="B55" i="45"/>
  <c r="G55" i="45" s="1"/>
  <c r="G56" i="45" s="1"/>
  <c r="G57" i="45" s="1"/>
  <c r="G58" i="45" s="1"/>
  <c r="G59" i="45" s="1"/>
  <c r="C52" i="45"/>
  <c r="A58" i="45"/>
  <c r="A61" i="45" s="1"/>
  <c r="E10" i="45"/>
  <c r="E8" i="45"/>
  <c r="A10" i="45"/>
  <c r="A8" i="45"/>
  <c r="AF521" i="1"/>
  <c r="AD521" i="1"/>
  <c r="AE521" i="1" s="1"/>
  <c r="AI521" i="1"/>
  <c r="AG521" i="1"/>
  <c r="AH521" i="1" s="1"/>
  <c r="AF520" i="1"/>
  <c r="AD520" i="1"/>
  <c r="AE520" i="1" s="1"/>
  <c r="AI520" i="1"/>
  <c r="AG520" i="1"/>
  <c r="AH520" i="1" s="1"/>
  <c r="Z551" i="1"/>
  <c r="P551" i="1"/>
  <c r="AA551" i="1"/>
  <c r="D145" i="43"/>
  <c r="D140" i="43"/>
  <c r="D120" i="43"/>
  <c r="D115" i="43"/>
  <c r="D105" i="43"/>
  <c r="D100" i="43"/>
  <c r="D95" i="43"/>
  <c r="D90" i="43"/>
  <c r="D85" i="43"/>
  <c r="D80" i="43"/>
  <c r="D75" i="43"/>
  <c r="D70" i="43"/>
  <c r="D65" i="43"/>
  <c r="D58" i="43"/>
  <c r="D53" i="43"/>
  <c r="D43" i="43"/>
  <c r="D38" i="43"/>
  <c r="D33" i="43"/>
  <c r="D28" i="43"/>
  <c r="D23" i="43"/>
  <c r="D18" i="43"/>
  <c r="D13" i="43"/>
  <c r="D48" i="43"/>
  <c r="E311" i="45" l="1"/>
  <c r="M311" i="45" s="1"/>
  <c r="E863" i="45"/>
  <c r="M863" i="45" s="1"/>
  <c r="E381" i="45"/>
  <c r="M381" i="45" s="1"/>
  <c r="P305" i="45"/>
  <c r="P695" i="45"/>
  <c r="E501" i="45"/>
  <c r="M501" i="45" s="1"/>
  <c r="N675" i="45"/>
  <c r="E541" i="45"/>
  <c r="M541" i="45" s="1"/>
  <c r="Q695" i="45"/>
  <c r="P635" i="45"/>
  <c r="E521" i="45"/>
  <c r="M521" i="45" s="1"/>
  <c r="B11" i="45"/>
  <c r="B14" i="45" s="1"/>
  <c r="C14" i="45" s="1"/>
  <c r="E358" i="45"/>
  <c r="M358" i="45" s="1"/>
  <c r="M8" i="45"/>
  <c r="M48" i="45"/>
  <c r="Q45" i="45" s="1"/>
  <c r="E639" i="45"/>
  <c r="E642" i="45" s="1"/>
  <c r="M642" i="45" s="1"/>
  <c r="E536" i="45"/>
  <c r="M536" i="45" s="1"/>
  <c r="E699" i="45"/>
  <c r="E704" i="45" s="1"/>
  <c r="P675" i="45"/>
  <c r="Q635" i="45"/>
  <c r="E516" i="45"/>
  <c r="M516" i="45" s="1"/>
  <c r="E679" i="45"/>
  <c r="E682" i="45" s="1"/>
  <c r="M682" i="45" s="1"/>
  <c r="C13" i="45"/>
  <c r="E534" i="45"/>
  <c r="E537" i="45" s="1"/>
  <c r="M537" i="45" s="1"/>
  <c r="E560" i="45"/>
  <c r="M560" i="45" s="1"/>
  <c r="E454" i="45"/>
  <c r="E457" i="45" s="1"/>
  <c r="M457" i="45" s="1"/>
  <c r="N30" i="45"/>
  <c r="E318" i="45"/>
  <c r="M318" i="45" s="1"/>
  <c r="E313" i="45"/>
  <c r="M313" i="45" s="1"/>
  <c r="Q310" i="45" s="1"/>
  <c r="E353" i="45"/>
  <c r="M353" i="45" s="1"/>
  <c r="Q370" i="45"/>
  <c r="Q530" i="45"/>
  <c r="Q30" i="45"/>
  <c r="Q330" i="45"/>
  <c r="Q470" i="45"/>
  <c r="Q900" i="45"/>
  <c r="Q70" i="45"/>
  <c r="P880" i="45"/>
  <c r="Q225" i="45"/>
  <c r="Q185" i="45"/>
  <c r="Q880" i="45"/>
  <c r="P330" i="45"/>
  <c r="P470" i="45"/>
  <c r="P900" i="45"/>
  <c r="P30" i="45"/>
  <c r="P370" i="45"/>
  <c r="P530" i="45"/>
  <c r="P70" i="45"/>
  <c r="P225" i="45"/>
  <c r="N575" i="45"/>
  <c r="P575" i="45"/>
  <c r="N795" i="45"/>
  <c r="P795" i="45"/>
  <c r="N215" i="45"/>
  <c r="P215" i="45"/>
  <c r="N980" i="45"/>
  <c r="P980" i="45"/>
  <c r="N1200" i="45"/>
  <c r="P1200" i="45"/>
  <c r="N715" i="45"/>
  <c r="P715" i="45"/>
  <c r="N465" i="45"/>
  <c r="P465" i="45"/>
  <c r="N855" i="45"/>
  <c r="P855" i="45"/>
  <c r="N485" i="45"/>
  <c r="P485" i="45"/>
  <c r="N1060" i="45"/>
  <c r="P1060" i="45"/>
  <c r="N1220" i="45"/>
  <c r="P1220" i="45"/>
  <c r="N505" i="45"/>
  <c r="P505" i="45"/>
  <c r="P185" i="45"/>
  <c r="M50" i="45"/>
  <c r="E374" i="45"/>
  <c r="E377" i="45" s="1"/>
  <c r="M377" i="45" s="1"/>
  <c r="N525" i="45"/>
  <c r="P525" i="45"/>
  <c r="N920" i="45"/>
  <c r="P920" i="45"/>
  <c r="N1120" i="45"/>
  <c r="P1120" i="45"/>
  <c r="N1000" i="45"/>
  <c r="P1000" i="45"/>
  <c r="N650" i="45"/>
  <c r="P650" i="45"/>
  <c r="N445" i="45"/>
  <c r="P445" i="45"/>
  <c r="N630" i="45"/>
  <c r="P630" i="45"/>
  <c r="N940" i="45"/>
  <c r="P940" i="45"/>
  <c r="N1040" i="45"/>
  <c r="P1040" i="45"/>
  <c r="N1020" i="45"/>
  <c r="P1020" i="45"/>
  <c r="N435" i="45"/>
  <c r="P435" i="45"/>
  <c r="M656" i="45"/>
  <c r="Q655" i="45" s="1"/>
  <c r="M582" i="45"/>
  <c r="Q580" i="45" s="1"/>
  <c r="M622" i="45"/>
  <c r="Q620" i="45" s="1"/>
  <c r="M2383" i="45"/>
  <c r="Q2380" i="45" s="1"/>
  <c r="M2363" i="45"/>
  <c r="Q2360" i="45" s="1"/>
  <c r="M2543" i="45"/>
  <c r="Q2540" i="45" s="1"/>
  <c r="M2743" i="45"/>
  <c r="Q2740" i="45" s="1"/>
  <c r="M2943" i="45"/>
  <c r="Q2940" i="45" s="1"/>
  <c r="M2923" i="45"/>
  <c r="Q2920" i="45" s="1"/>
  <c r="M348" i="45"/>
  <c r="Q345" i="45" s="1"/>
  <c r="M411" i="45"/>
  <c r="Q410" i="45" s="1"/>
  <c r="M511" i="45"/>
  <c r="Q510" i="45" s="1"/>
  <c r="M268" i="45"/>
  <c r="Q265" i="45" s="1"/>
  <c r="M556" i="45"/>
  <c r="Q555" i="45" s="1"/>
  <c r="M493" i="45"/>
  <c r="Q490" i="45" s="1"/>
  <c r="M328" i="45"/>
  <c r="Q325" i="45" s="1"/>
  <c r="M76" i="45"/>
  <c r="M147" i="45"/>
  <c r="M127" i="45"/>
  <c r="M288" i="45"/>
  <c r="Q285" i="45" s="1"/>
  <c r="M596" i="45"/>
  <c r="Q595" i="45" s="1"/>
  <c r="M2403" i="45"/>
  <c r="Q2400" i="45" s="1"/>
  <c r="M2563" i="45"/>
  <c r="Q2560" i="45" s="1"/>
  <c r="M2763" i="45"/>
  <c r="Q2760" i="45" s="1"/>
  <c r="M2723" i="45"/>
  <c r="Q2720" i="45" s="1"/>
  <c r="M2903" i="45"/>
  <c r="Q2900" i="45" s="1"/>
  <c r="M453" i="45"/>
  <c r="N450" i="45" s="1"/>
  <c r="M36" i="45"/>
  <c r="M87" i="45"/>
  <c r="M107" i="45"/>
  <c r="M167" i="45"/>
  <c r="M52" i="45"/>
  <c r="E456" i="45"/>
  <c r="M456" i="45" s="1"/>
  <c r="E416" i="45"/>
  <c r="M416" i="45" s="1"/>
  <c r="N70" i="45"/>
  <c r="N900" i="45"/>
  <c r="N880" i="45"/>
  <c r="N330" i="45"/>
  <c r="N470" i="45"/>
  <c r="N370" i="45"/>
  <c r="N530" i="45"/>
  <c r="N45" i="45"/>
  <c r="B51" i="45"/>
  <c r="B54" i="45" s="1"/>
  <c r="E338" i="45"/>
  <c r="M338" i="45" s="1"/>
  <c r="E351" i="45"/>
  <c r="E354" i="45" s="1"/>
  <c r="E357" i="45" s="1"/>
  <c r="M357" i="45" s="1"/>
  <c r="E271" i="45"/>
  <c r="M271" i="45" s="1"/>
  <c r="E496" i="45"/>
  <c r="E499" i="45" s="1"/>
  <c r="E514" i="45"/>
  <c r="E517" i="45" s="1"/>
  <c r="E520" i="45" s="1"/>
  <c r="M520" i="45" s="1"/>
  <c r="N185" i="45"/>
  <c r="N225" i="45"/>
  <c r="E376" i="45"/>
  <c r="E263" i="45"/>
  <c r="M263" i="45" s="1"/>
  <c r="E443" i="45"/>
  <c r="M443" i="45" s="1"/>
  <c r="E864" i="45"/>
  <c r="E862" i="45"/>
  <c r="E802" i="45"/>
  <c r="E804" i="45"/>
  <c r="E82" i="45"/>
  <c r="E84" i="45"/>
  <c r="E404" i="45"/>
  <c r="E402" i="45"/>
  <c r="M402" i="45" s="1"/>
  <c r="E403" i="45"/>
  <c r="M403" i="45" s="1"/>
  <c r="E559" i="45"/>
  <c r="E58" i="45"/>
  <c r="E273" i="45"/>
  <c r="M273" i="45" s="1"/>
  <c r="E414" i="45"/>
  <c r="E417" i="45" s="1"/>
  <c r="E198" i="45"/>
  <c r="M198" i="45" s="1"/>
  <c r="E222" i="45"/>
  <c r="E224" i="45"/>
  <c r="E278" i="45"/>
  <c r="M278" i="45" s="1"/>
  <c r="E461" i="45"/>
  <c r="M461" i="45" s="1"/>
  <c r="AG519" i="1"/>
  <c r="AH519" i="1" s="1"/>
  <c r="AD519" i="1"/>
  <c r="AE519" i="1" s="1"/>
  <c r="AF519" i="1"/>
  <c r="AK551" i="1"/>
  <c r="AD551" i="1" s="1"/>
  <c r="AE551" i="1" s="1"/>
  <c r="E13" i="45"/>
  <c r="E11" i="45"/>
  <c r="E18" i="45"/>
  <c r="C2944" i="45"/>
  <c r="C2904" i="45"/>
  <c r="C2924" i="45"/>
  <c r="C2764" i="45"/>
  <c r="C2744" i="45"/>
  <c r="C2724" i="45"/>
  <c r="C2564" i="45"/>
  <c r="C2544" i="45"/>
  <c r="C2384" i="45"/>
  <c r="C2404" i="45"/>
  <c r="C2364" i="45"/>
  <c r="C10" i="45"/>
  <c r="C15" i="45"/>
  <c r="B18" i="45"/>
  <c r="B21" i="45" s="1"/>
  <c r="C21" i="45" s="1"/>
  <c r="B53" i="45"/>
  <c r="C53" i="45" s="1"/>
  <c r="E783" i="45"/>
  <c r="M783" i="45" s="1"/>
  <c r="E784" i="45"/>
  <c r="E782" i="45"/>
  <c r="E744" i="45"/>
  <c r="E742" i="45"/>
  <c r="M742" i="45" s="1"/>
  <c r="E843" i="45"/>
  <c r="M843" i="45" s="1"/>
  <c r="E824" i="45"/>
  <c r="E822" i="45"/>
  <c r="M822" i="45" s="1"/>
  <c r="E764" i="45"/>
  <c r="E762" i="45"/>
  <c r="M762" i="45" s="1"/>
  <c r="E743" i="45"/>
  <c r="M743" i="45" s="1"/>
  <c r="E844" i="45"/>
  <c r="E842" i="45"/>
  <c r="M842" i="45" s="1"/>
  <c r="E823" i="45"/>
  <c r="M823" i="45" s="1"/>
  <c r="E763" i="45"/>
  <c r="M763" i="45" s="1"/>
  <c r="E444" i="45"/>
  <c r="E442" i="45"/>
  <c r="E264" i="45"/>
  <c r="E262" i="45"/>
  <c r="B84" i="45"/>
  <c r="C84" i="45" s="1"/>
  <c r="B82" i="45"/>
  <c r="C82" i="45" s="1"/>
  <c r="C79" i="45"/>
  <c r="B80" i="45"/>
  <c r="G80" i="45" s="1"/>
  <c r="C77" i="45"/>
  <c r="M77" i="45" s="1"/>
  <c r="B40" i="45"/>
  <c r="C37" i="45"/>
  <c r="M37" i="45" s="1"/>
  <c r="B44" i="45"/>
  <c r="C44" i="45" s="1"/>
  <c r="B42" i="45"/>
  <c r="C42" i="45" s="1"/>
  <c r="C39" i="45"/>
  <c r="E44" i="45"/>
  <c r="E42" i="45"/>
  <c r="E43" i="45"/>
  <c r="E644" i="45"/>
  <c r="E724" i="45"/>
  <c r="E722" i="45"/>
  <c r="M722" i="45" s="1"/>
  <c r="E600" i="45"/>
  <c r="M600" i="45" s="1"/>
  <c r="E703" i="45"/>
  <c r="M703" i="45" s="1"/>
  <c r="E643" i="45"/>
  <c r="M643" i="45" s="1"/>
  <c r="E660" i="45"/>
  <c r="M660" i="45" s="1"/>
  <c r="E599" i="45"/>
  <c r="E683" i="45"/>
  <c r="M683" i="45" s="1"/>
  <c r="E723" i="45"/>
  <c r="M723" i="45" s="1"/>
  <c r="E659" i="45"/>
  <c r="G350" i="45"/>
  <c r="G351" i="45" s="1"/>
  <c r="G352" i="45" s="1"/>
  <c r="G353" i="45" s="1"/>
  <c r="G354" i="45" s="1"/>
  <c r="B534" i="45"/>
  <c r="B454" i="45"/>
  <c r="B496" i="45"/>
  <c r="B536" i="45"/>
  <c r="B516" i="45"/>
  <c r="B481" i="45"/>
  <c r="B456" i="45"/>
  <c r="B494" i="45"/>
  <c r="B479" i="45"/>
  <c r="E476" i="45"/>
  <c r="M476" i="45" s="1"/>
  <c r="E474" i="45"/>
  <c r="E477" i="45" s="1"/>
  <c r="M477" i="45" s="1"/>
  <c r="B376" i="45"/>
  <c r="B498" i="45"/>
  <c r="G495" i="45"/>
  <c r="G496" i="45" s="1"/>
  <c r="G497" i="45" s="1"/>
  <c r="G498" i="45" s="1"/>
  <c r="G499" i="45" s="1"/>
  <c r="B417" i="45"/>
  <c r="B514" i="45"/>
  <c r="A482" i="45"/>
  <c r="A484" i="45"/>
  <c r="B419" i="45"/>
  <c r="B518" i="45"/>
  <c r="G515" i="45"/>
  <c r="G516" i="45" s="1"/>
  <c r="G517" i="45" s="1"/>
  <c r="G518" i="45" s="1"/>
  <c r="G519" i="45" s="1"/>
  <c r="E500" i="45"/>
  <c r="M500" i="45" s="1"/>
  <c r="B374" i="45"/>
  <c r="B477" i="45"/>
  <c r="B418" i="45"/>
  <c r="G415" i="45"/>
  <c r="G416" i="45" s="1"/>
  <c r="G417" i="45" s="1"/>
  <c r="G418" i="45" s="1"/>
  <c r="G419" i="45" s="1"/>
  <c r="B381" i="45"/>
  <c r="B538" i="45"/>
  <c r="G535" i="45"/>
  <c r="G536" i="45" s="1"/>
  <c r="G537" i="45" s="1"/>
  <c r="G538" i="45" s="1"/>
  <c r="G539" i="45" s="1"/>
  <c r="B458" i="45"/>
  <c r="G455" i="45"/>
  <c r="G456" i="45" s="1"/>
  <c r="G457" i="45" s="1"/>
  <c r="G458" i="45" s="1"/>
  <c r="G459" i="45" s="1"/>
  <c r="E481" i="45"/>
  <c r="M481" i="45" s="1"/>
  <c r="A203" i="45"/>
  <c r="A243" i="45"/>
  <c r="E231" i="45"/>
  <c r="M231" i="45" s="1"/>
  <c r="E233" i="45"/>
  <c r="M233" i="45" s="1"/>
  <c r="B236" i="45"/>
  <c r="B271" i="45"/>
  <c r="B355" i="45"/>
  <c r="B238" i="45"/>
  <c r="A284" i="45"/>
  <c r="A282" i="45"/>
  <c r="E298" i="45"/>
  <c r="M298" i="45" s="1"/>
  <c r="B294" i="45"/>
  <c r="B315" i="45"/>
  <c r="B333" i="45"/>
  <c r="A342" i="45"/>
  <c r="A344" i="45"/>
  <c r="E336" i="45"/>
  <c r="M336" i="45" s="1"/>
  <c r="E191" i="45"/>
  <c r="M191" i="45" s="1"/>
  <c r="G235" i="45"/>
  <c r="G236" i="45" s="1"/>
  <c r="G237" i="45" s="1"/>
  <c r="G238" i="45" s="1"/>
  <c r="G239" i="45" s="1"/>
  <c r="B234" i="45"/>
  <c r="B275" i="45"/>
  <c r="B298" i="45"/>
  <c r="A322" i="45"/>
  <c r="A324" i="45"/>
  <c r="B351" i="45"/>
  <c r="B191" i="45"/>
  <c r="D284" i="45"/>
  <c r="D282" i="45"/>
  <c r="A303" i="45"/>
  <c r="E293" i="45"/>
  <c r="M293" i="45" s="1"/>
  <c r="B296" i="45"/>
  <c r="B313" i="45"/>
  <c r="E334" i="45"/>
  <c r="E337" i="45" s="1"/>
  <c r="M337" i="45" s="1"/>
  <c r="A193" i="45"/>
  <c r="A196" i="45" s="1"/>
  <c r="A199" i="45" s="1"/>
  <c r="G190" i="45"/>
  <c r="G191" i="45" s="1"/>
  <c r="G192" i="45" s="1"/>
  <c r="G193" i="45" s="1"/>
  <c r="G194" i="45" s="1"/>
  <c r="A233" i="45"/>
  <c r="A236" i="45" s="1"/>
  <c r="A239" i="45" s="1"/>
  <c r="G230" i="45"/>
  <c r="G231" i="45" s="1"/>
  <c r="G232" i="45" s="1"/>
  <c r="G233" i="45" s="1"/>
  <c r="G234" i="45" s="1"/>
  <c r="B273" i="45"/>
  <c r="D324" i="45"/>
  <c r="D322" i="45"/>
  <c r="E314" i="45"/>
  <c r="E317" i="45" s="1"/>
  <c r="M317" i="45" s="1"/>
  <c r="D204" i="45"/>
  <c r="D202" i="45"/>
  <c r="G270" i="45"/>
  <c r="G271" i="45" s="1"/>
  <c r="G272" i="45" s="1"/>
  <c r="G273" i="45" s="1"/>
  <c r="G274" i="45" s="1"/>
  <c r="G295" i="45"/>
  <c r="G296" i="45" s="1"/>
  <c r="G297" i="45" s="1"/>
  <c r="G298" i="45" s="1"/>
  <c r="G299" i="45" s="1"/>
  <c r="B331" i="45"/>
  <c r="G330" i="45"/>
  <c r="G331" i="45" s="1"/>
  <c r="G332" i="45" s="1"/>
  <c r="G333" i="45" s="1"/>
  <c r="G334" i="45" s="1"/>
  <c r="D364" i="45"/>
  <c r="D362" i="45"/>
  <c r="B198" i="45"/>
  <c r="G195" i="45"/>
  <c r="G196" i="45" s="1"/>
  <c r="G197" i="45" s="1"/>
  <c r="G198" i="45" s="1"/>
  <c r="G199" i="45" s="1"/>
  <c r="E193" i="45"/>
  <c r="M193" i="45" s="1"/>
  <c r="E238" i="45"/>
  <c r="M238" i="45" s="1"/>
  <c r="G310" i="45"/>
  <c r="G311" i="45" s="1"/>
  <c r="G312" i="45" s="1"/>
  <c r="G313" i="45" s="1"/>
  <c r="G314" i="45" s="1"/>
  <c r="B353" i="45"/>
  <c r="B193" i="45"/>
  <c r="A293" i="45"/>
  <c r="A296" i="45" s="1"/>
  <c r="A299" i="45" s="1"/>
  <c r="G290" i="45"/>
  <c r="G291" i="45" s="1"/>
  <c r="G292" i="45" s="1"/>
  <c r="G293" i="45" s="1"/>
  <c r="G294" i="45" s="1"/>
  <c r="E291" i="45"/>
  <c r="B311" i="45"/>
  <c r="B335" i="45"/>
  <c r="D344" i="45"/>
  <c r="D342" i="45"/>
  <c r="A364" i="45"/>
  <c r="A362" i="45"/>
  <c r="A13" i="45"/>
  <c r="A16" i="45" s="1"/>
  <c r="A19" i="45" s="1"/>
  <c r="A22" i="45" s="1"/>
  <c r="G10" i="45"/>
  <c r="G11" i="45" s="1"/>
  <c r="D62" i="45"/>
  <c r="C16" i="45"/>
  <c r="B19" i="45"/>
  <c r="B171" i="45"/>
  <c r="C168" i="45"/>
  <c r="E171" i="45"/>
  <c r="A183" i="45"/>
  <c r="B173" i="45"/>
  <c r="C170" i="45"/>
  <c r="D184" i="45"/>
  <c r="D182" i="45"/>
  <c r="E173" i="45"/>
  <c r="E181" i="45"/>
  <c r="B175" i="45"/>
  <c r="C172" i="45"/>
  <c r="M172" i="45" s="1"/>
  <c r="A173" i="45"/>
  <c r="A176" i="45" s="1"/>
  <c r="A179" i="45" s="1"/>
  <c r="G170" i="45"/>
  <c r="G171" i="45" s="1"/>
  <c r="G172" i="45" s="1"/>
  <c r="G173" i="45" s="1"/>
  <c r="G174" i="45" s="1"/>
  <c r="B151" i="45"/>
  <c r="C148" i="45"/>
  <c r="A163" i="45"/>
  <c r="E153" i="45"/>
  <c r="B153" i="45"/>
  <c r="C150" i="45"/>
  <c r="B155" i="45"/>
  <c r="C152" i="45"/>
  <c r="M152" i="45" s="1"/>
  <c r="D164" i="45"/>
  <c r="D162" i="45"/>
  <c r="A153" i="45"/>
  <c r="A156" i="45" s="1"/>
  <c r="A159" i="45" s="1"/>
  <c r="G150" i="45"/>
  <c r="G151" i="45" s="1"/>
  <c r="G152" i="45" s="1"/>
  <c r="G153" i="45" s="1"/>
  <c r="G154" i="45" s="1"/>
  <c r="E161" i="45"/>
  <c r="E151" i="45"/>
  <c r="A143" i="45"/>
  <c r="B133" i="45"/>
  <c r="C130" i="45"/>
  <c r="D144" i="45"/>
  <c r="D142" i="45"/>
  <c r="E133" i="45"/>
  <c r="E141" i="45"/>
  <c r="B135" i="45"/>
  <c r="C132" i="45"/>
  <c r="M132" i="45" s="1"/>
  <c r="A133" i="45"/>
  <c r="A136" i="45" s="1"/>
  <c r="A139" i="45" s="1"/>
  <c r="G130" i="45"/>
  <c r="G131" i="45" s="1"/>
  <c r="G132" i="45" s="1"/>
  <c r="G133" i="45" s="1"/>
  <c r="G134" i="45" s="1"/>
  <c r="B131" i="45"/>
  <c r="C128" i="45"/>
  <c r="M128" i="45" s="1"/>
  <c r="E131" i="45"/>
  <c r="B111" i="45"/>
  <c r="C108" i="45"/>
  <c r="E111" i="45"/>
  <c r="A123" i="45"/>
  <c r="B113" i="45"/>
  <c r="C110" i="45"/>
  <c r="D124" i="45"/>
  <c r="D122" i="45"/>
  <c r="E113" i="45"/>
  <c r="E121" i="45"/>
  <c r="B115" i="45"/>
  <c r="C112" i="45"/>
  <c r="M112" i="45" s="1"/>
  <c r="A113" i="45"/>
  <c r="A116" i="45" s="1"/>
  <c r="A119" i="45" s="1"/>
  <c r="G110" i="45"/>
  <c r="G111" i="45" s="1"/>
  <c r="G112" i="45" s="1"/>
  <c r="G113" i="45" s="1"/>
  <c r="G114" i="45" s="1"/>
  <c r="B95" i="45"/>
  <c r="C92" i="45"/>
  <c r="M92" i="45" s="1"/>
  <c r="A93" i="45"/>
  <c r="A96" i="45" s="1"/>
  <c r="A99" i="45" s="1"/>
  <c r="G90" i="45"/>
  <c r="G91" i="45" s="1"/>
  <c r="G92" i="45" s="1"/>
  <c r="G93" i="45" s="1"/>
  <c r="G94" i="45" s="1"/>
  <c r="E101" i="45"/>
  <c r="B91" i="45"/>
  <c r="C88" i="45"/>
  <c r="E93" i="45"/>
  <c r="A103" i="45"/>
  <c r="B93" i="45"/>
  <c r="C90" i="45"/>
  <c r="M90" i="45" s="1"/>
  <c r="D104" i="45"/>
  <c r="D102" i="45"/>
  <c r="E91" i="45"/>
  <c r="A53" i="45"/>
  <c r="A56" i="45" s="1"/>
  <c r="A59" i="45" s="1"/>
  <c r="G50" i="45"/>
  <c r="G51" i="45" s="1"/>
  <c r="G52" i="45" s="1"/>
  <c r="G53" i="45" s="1"/>
  <c r="G54" i="45" s="1"/>
  <c r="E51" i="45"/>
  <c r="C55" i="45"/>
  <c r="B58" i="45"/>
  <c r="A63" i="45"/>
  <c r="E53" i="45"/>
  <c r="A11" i="45"/>
  <c r="A14" i="45" s="1"/>
  <c r="A17" i="45" s="1"/>
  <c r="A20" i="45" s="1"/>
  <c r="Z549" i="1"/>
  <c r="AA549" i="1" s="1"/>
  <c r="Z550" i="1"/>
  <c r="AA550" i="1" s="1"/>
  <c r="Z547" i="1"/>
  <c r="Z546" i="1"/>
  <c r="AA546" i="1" s="1"/>
  <c r="Z545" i="1"/>
  <c r="Z543" i="1"/>
  <c r="AA543" i="1" s="1"/>
  <c r="Z542" i="1"/>
  <c r="Z541" i="1"/>
  <c r="AA541" i="1" s="1"/>
  <c r="Z540" i="1"/>
  <c r="Z539" i="1"/>
  <c r="AA539" i="1" s="1"/>
  <c r="Z548" i="1"/>
  <c r="P548" i="1"/>
  <c r="P539" i="1"/>
  <c r="P540" i="1"/>
  <c r="P541" i="1"/>
  <c r="P542" i="1"/>
  <c r="P543" i="1"/>
  <c r="P544" i="1"/>
  <c r="P545" i="1"/>
  <c r="P546" i="1"/>
  <c r="AK546" i="1" s="1"/>
  <c r="P547" i="1"/>
  <c r="AK547" i="1" s="1"/>
  <c r="P550" i="1"/>
  <c r="AK550" i="1" s="1"/>
  <c r="P549" i="1"/>
  <c r="AK549" i="1" s="1"/>
  <c r="AA548" i="1"/>
  <c r="AA540" i="1"/>
  <c r="AA542" i="1"/>
  <c r="AA544" i="1"/>
  <c r="AA545" i="1"/>
  <c r="AA547" i="1"/>
  <c r="AK548" i="1"/>
  <c r="AK539" i="1"/>
  <c r="AK540" i="1"/>
  <c r="AK541" i="1"/>
  <c r="AK542" i="1"/>
  <c r="AK543" i="1"/>
  <c r="AK544" i="1"/>
  <c r="AK545" i="1"/>
  <c r="N5" i="45" l="1"/>
  <c r="P5" i="45"/>
  <c r="E540" i="45"/>
  <c r="M540" i="45" s="1"/>
  <c r="C18" i="45"/>
  <c r="E341" i="45"/>
  <c r="M341" i="45" s="1"/>
  <c r="E321" i="45"/>
  <c r="M321" i="45" s="1"/>
  <c r="B17" i="45"/>
  <c r="C17" i="45" s="1"/>
  <c r="C11" i="45"/>
  <c r="Q535" i="45"/>
  <c r="P45" i="45"/>
  <c r="E459" i="45"/>
  <c r="E464" i="45" s="1"/>
  <c r="N535" i="45"/>
  <c r="M53" i="45"/>
  <c r="E361" i="45"/>
  <c r="M361" i="45" s="1"/>
  <c r="E276" i="45"/>
  <c r="M276" i="45" s="1"/>
  <c r="E356" i="45"/>
  <c r="M356" i="45" s="1"/>
  <c r="P355" i="45" s="1"/>
  <c r="Q5" i="45"/>
  <c r="E274" i="45"/>
  <c r="E277" i="45" s="1"/>
  <c r="M277" i="45" s="1"/>
  <c r="E539" i="45"/>
  <c r="E542" i="45" s="1"/>
  <c r="C51" i="45"/>
  <c r="M51" i="45" s="1"/>
  <c r="E460" i="45"/>
  <c r="M460" i="45" s="1"/>
  <c r="E684" i="45"/>
  <c r="E702" i="45"/>
  <c r="M702" i="45" s="1"/>
  <c r="Q700" i="45" s="1"/>
  <c r="E519" i="45"/>
  <c r="E524" i="45" s="1"/>
  <c r="M13" i="45"/>
  <c r="Q455" i="45"/>
  <c r="P535" i="45"/>
  <c r="E563" i="45"/>
  <c r="M563" i="45" s="1"/>
  <c r="E316" i="45"/>
  <c r="M316" i="45" s="1"/>
  <c r="P315" i="45" s="1"/>
  <c r="E380" i="45"/>
  <c r="M380" i="45" s="1"/>
  <c r="E419" i="45"/>
  <c r="E424" i="45" s="1"/>
  <c r="N310" i="45"/>
  <c r="P310" i="45"/>
  <c r="P840" i="45"/>
  <c r="P400" i="45"/>
  <c r="Q335" i="45"/>
  <c r="Q230" i="45"/>
  <c r="Q760" i="45"/>
  <c r="Q820" i="45"/>
  <c r="Q400" i="45"/>
  <c r="Q190" i="45"/>
  <c r="Q720" i="45"/>
  <c r="Q640" i="45"/>
  <c r="Q740" i="45"/>
  <c r="Q270" i="45"/>
  <c r="Q35" i="45"/>
  <c r="Q840" i="45"/>
  <c r="Q450" i="45"/>
  <c r="P475" i="45"/>
  <c r="Q475" i="45"/>
  <c r="P680" i="45"/>
  <c r="Q125" i="45"/>
  <c r="Q75" i="45"/>
  <c r="Q680" i="45"/>
  <c r="P190" i="45"/>
  <c r="P720" i="45"/>
  <c r="P640" i="45"/>
  <c r="P740" i="45"/>
  <c r="P335" i="45"/>
  <c r="P230" i="45"/>
  <c r="P760" i="45"/>
  <c r="P820" i="45"/>
  <c r="P270" i="45"/>
  <c r="P35" i="45"/>
  <c r="N2900" i="45"/>
  <c r="P2900" i="45"/>
  <c r="N2760" i="45"/>
  <c r="P2760" i="45"/>
  <c r="N2400" i="45"/>
  <c r="P2400" i="45"/>
  <c r="N285" i="45"/>
  <c r="P285" i="45"/>
  <c r="N325" i="45"/>
  <c r="P325" i="45"/>
  <c r="N555" i="45"/>
  <c r="P555" i="45"/>
  <c r="N510" i="45"/>
  <c r="P510" i="45"/>
  <c r="N345" i="45"/>
  <c r="P345" i="45"/>
  <c r="N2940" i="45"/>
  <c r="P2940" i="45"/>
  <c r="N2540" i="45"/>
  <c r="P2540" i="45"/>
  <c r="N2380" i="45"/>
  <c r="P2380" i="45"/>
  <c r="N580" i="45"/>
  <c r="P580" i="45"/>
  <c r="N455" i="45"/>
  <c r="P455" i="45"/>
  <c r="N2720" i="45"/>
  <c r="P2720" i="45"/>
  <c r="N2560" i="45"/>
  <c r="P2560" i="45"/>
  <c r="N595" i="45"/>
  <c r="P595" i="45"/>
  <c r="P125" i="45"/>
  <c r="P75" i="45"/>
  <c r="N490" i="45"/>
  <c r="P490" i="45"/>
  <c r="N265" i="45"/>
  <c r="P265" i="45"/>
  <c r="N410" i="45"/>
  <c r="P410" i="45"/>
  <c r="N2920" i="45"/>
  <c r="P2920" i="45"/>
  <c r="N2740" i="45"/>
  <c r="P2740" i="45"/>
  <c r="N2360" i="45"/>
  <c r="P2360" i="45"/>
  <c r="N620" i="45"/>
  <c r="P620" i="45"/>
  <c r="N655" i="45"/>
  <c r="P655" i="45"/>
  <c r="P450" i="45"/>
  <c r="M42" i="45"/>
  <c r="M262" i="45"/>
  <c r="Q260" i="45" s="1"/>
  <c r="M442" i="45"/>
  <c r="Q440" i="45" s="1"/>
  <c r="M782" i="45"/>
  <c r="Q780" i="45" s="1"/>
  <c r="M18" i="45"/>
  <c r="M82" i="45"/>
  <c r="M802" i="45"/>
  <c r="Q800" i="45" s="1"/>
  <c r="M376" i="45"/>
  <c r="Q375" i="45" s="1"/>
  <c r="M496" i="45"/>
  <c r="Q495" i="45" s="1"/>
  <c r="M351" i="45"/>
  <c r="Q350" i="45" s="1"/>
  <c r="M15" i="45"/>
  <c r="M150" i="45"/>
  <c r="M130" i="45"/>
  <c r="M108" i="45"/>
  <c r="N105" i="45" s="1"/>
  <c r="M170" i="45"/>
  <c r="M291" i="45"/>
  <c r="Q290" i="45" s="1"/>
  <c r="M11" i="45"/>
  <c r="M222" i="45"/>
  <c r="Q220" i="45" s="1"/>
  <c r="M417" i="45"/>
  <c r="N415" i="45" s="1"/>
  <c r="M862" i="45"/>
  <c r="Q860" i="45" s="1"/>
  <c r="M517" i="45"/>
  <c r="Q515" i="45" s="1"/>
  <c r="M55" i="45"/>
  <c r="M168" i="45"/>
  <c r="P165" i="45" s="1"/>
  <c r="M110" i="45"/>
  <c r="M148" i="45"/>
  <c r="P145" i="45" s="1"/>
  <c r="M88" i="45"/>
  <c r="P85" i="45" s="1"/>
  <c r="M10" i="45"/>
  <c r="N475" i="45"/>
  <c r="N335" i="45"/>
  <c r="N230" i="45"/>
  <c r="N680" i="45"/>
  <c r="N760" i="45"/>
  <c r="N820" i="45"/>
  <c r="N270" i="45"/>
  <c r="N190" i="45"/>
  <c r="N720" i="45"/>
  <c r="N640" i="45"/>
  <c r="N840" i="45"/>
  <c r="N740" i="45"/>
  <c r="N400" i="45"/>
  <c r="N75" i="45"/>
  <c r="N125" i="45"/>
  <c r="N35" i="45"/>
  <c r="E281" i="45"/>
  <c r="M281" i="45" s="1"/>
  <c r="E201" i="45"/>
  <c r="M201" i="45" s="1"/>
  <c r="E61" i="45"/>
  <c r="E564" i="45"/>
  <c r="E562" i="45"/>
  <c r="E379" i="45"/>
  <c r="E420" i="45"/>
  <c r="M420" i="45" s="1"/>
  <c r="AF551" i="1"/>
  <c r="AI551" i="1"/>
  <c r="AG551" i="1"/>
  <c r="AH551" i="1" s="1"/>
  <c r="E14" i="45"/>
  <c r="E17" i="45" s="1"/>
  <c r="E16" i="45"/>
  <c r="M16" i="45" s="1"/>
  <c r="E21" i="45"/>
  <c r="M21" i="45" s="1"/>
  <c r="B56" i="45"/>
  <c r="B59" i="45" s="1"/>
  <c r="G12" i="45"/>
  <c r="G13" i="45" s="1"/>
  <c r="G14" i="45" s="1"/>
  <c r="C80" i="45"/>
  <c r="M80" i="45" s="1"/>
  <c r="B83" i="45"/>
  <c r="C83" i="45" s="1"/>
  <c r="M83" i="45" s="1"/>
  <c r="G81" i="45"/>
  <c r="G82" i="45" s="1"/>
  <c r="G83" i="45" s="1"/>
  <c r="G84" i="45" s="1"/>
  <c r="C40" i="45"/>
  <c r="M40" i="45" s="1"/>
  <c r="B43" i="45"/>
  <c r="C43" i="45" s="1"/>
  <c r="G40" i="45"/>
  <c r="G41" i="45" s="1"/>
  <c r="G42" i="45" s="1"/>
  <c r="G43" i="45" s="1"/>
  <c r="G44" i="45" s="1"/>
  <c r="E664" i="45"/>
  <c r="E662" i="45"/>
  <c r="M662" i="45" s="1"/>
  <c r="E604" i="45"/>
  <c r="E602" i="45"/>
  <c r="M602" i="45" s="1"/>
  <c r="E663" i="45"/>
  <c r="M663" i="45" s="1"/>
  <c r="E603" i="45"/>
  <c r="M603" i="45" s="1"/>
  <c r="E523" i="45"/>
  <c r="M523" i="45" s="1"/>
  <c r="E480" i="45"/>
  <c r="M480" i="45" s="1"/>
  <c r="E479" i="45"/>
  <c r="B484" i="45"/>
  <c r="B482" i="45"/>
  <c r="B497" i="45"/>
  <c r="B459" i="45"/>
  <c r="E502" i="45"/>
  <c r="M502" i="45" s="1"/>
  <c r="E504" i="45"/>
  <c r="B480" i="45"/>
  <c r="B377" i="45"/>
  <c r="B461" i="45"/>
  <c r="B541" i="45"/>
  <c r="B421" i="45"/>
  <c r="E503" i="45"/>
  <c r="M503" i="45" s="1"/>
  <c r="B521" i="45"/>
  <c r="E543" i="45"/>
  <c r="M543" i="45" s="1"/>
  <c r="B424" i="45"/>
  <c r="B422" i="45"/>
  <c r="B517" i="45"/>
  <c r="B420" i="45"/>
  <c r="B501" i="45"/>
  <c r="B379" i="45"/>
  <c r="B519" i="45"/>
  <c r="B539" i="45"/>
  <c r="B499" i="45"/>
  <c r="B457" i="45"/>
  <c r="B537" i="45"/>
  <c r="B356" i="45"/>
  <c r="E241" i="45"/>
  <c r="M241" i="45" s="1"/>
  <c r="B314" i="45"/>
  <c r="B196" i="45"/>
  <c r="E196" i="45"/>
  <c r="M196" i="45" s="1"/>
  <c r="B334" i="45"/>
  <c r="E320" i="45"/>
  <c r="M320" i="45" s="1"/>
  <c r="B276" i="45"/>
  <c r="A242" i="45"/>
  <c r="A244" i="45"/>
  <c r="A204" i="45"/>
  <c r="A202" i="45"/>
  <c r="E194" i="45"/>
  <c r="E197" i="45" s="1"/>
  <c r="M197" i="45" s="1"/>
  <c r="E360" i="45"/>
  <c r="M360" i="45" s="1"/>
  <c r="E339" i="45"/>
  <c r="B336" i="45"/>
  <c r="B318" i="45"/>
  <c r="G315" i="45"/>
  <c r="G316" i="45" s="1"/>
  <c r="G317" i="45" s="1"/>
  <c r="G318" i="45" s="1"/>
  <c r="G319" i="45" s="1"/>
  <c r="B297" i="45"/>
  <c r="B241" i="45"/>
  <c r="B358" i="45"/>
  <c r="G355" i="45"/>
  <c r="G356" i="45" s="1"/>
  <c r="G357" i="45" s="1"/>
  <c r="G358" i="45" s="1"/>
  <c r="G359" i="45" s="1"/>
  <c r="B274" i="45"/>
  <c r="B239" i="45"/>
  <c r="E236" i="45"/>
  <c r="M236" i="45" s="1"/>
  <c r="E234" i="45"/>
  <c r="E237" i="45" s="1"/>
  <c r="M237" i="45" s="1"/>
  <c r="B338" i="45"/>
  <c r="G335" i="45"/>
  <c r="G336" i="45" s="1"/>
  <c r="G337" i="45" s="1"/>
  <c r="G338" i="45" s="1"/>
  <c r="G339" i="45" s="1"/>
  <c r="E294" i="45"/>
  <c r="E297" i="45" s="1"/>
  <c r="M297" i="45" s="1"/>
  <c r="A304" i="45"/>
  <c r="A302" i="45"/>
  <c r="B201" i="45"/>
  <c r="E340" i="45"/>
  <c r="M340" i="45" s="1"/>
  <c r="B316" i="45"/>
  <c r="B299" i="45"/>
  <c r="E296" i="45"/>
  <c r="B194" i="45"/>
  <c r="B354" i="45"/>
  <c r="B301" i="45"/>
  <c r="B278" i="45"/>
  <c r="G275" i="45"/>
  <c r="G276" i="45" s="1"/>
  <c r="G277" i="45" s="1"/>
  <c r="G278" i="45" s="1"/>
  <c r="G279" i="45" s="1"/>
  <c r="B237" i="45"/>
  <c r="E301" i="45"/>
  <c r="M301" i="45" s="1"/>
  <c r="A23" i="45"/>
  <c r="B22" i="45"/>
  <c r="C22" i="45" s="1"/>
  <c r="C19" i="45"/>
  <c r="A184" i="45"/>
  <c r="A182" i="45"/>
  <c r="B178" i="45"/>
  <c r="C175" i="45"/>
  <c r="M175" i="45" s="1"/>
  <c r="G175" i="45"/>
  <c r="G176" i="45" s="1"/>
  <c r="G177" i="45" s="1"/>
  <c r="G178" i="45" s="1"/>
  <c r="G179" i="45" s="1"/>
  <c r="B176" i="45"/>
  <c r="C173" i="45"/>
  <c r="B174" i="45"/>
  <c r="C171" i="45"/>
  <c r="M171" i="45" s="1"/>
  <c r="E176" i="45"/>
  <c r="E174" i="45"/>
  <c r="E177" i="45" s="1"/>
  <c r="E154" i="45"/>
  <c r="E157" i="45" s="1"/>
  <c r="E156" i="45"/>
  <c r="A164" i="45"/>
  <c r="A162" i="45"/>
  <c r="B158" i="45"/>
  <c r="C155" i="45"/>
  <c r="M155" i="45" s="1"/>
  <c r="G155" i="45"/>
  <c r="G156" i="45" s="1"/>
  <c r="G157" i="45" s="1"/>
  <c r="G158" i="45" s="1"/>
  <c r="G159" i="45" s="1"/>
  <c r="B156" i="45"/>
  <c r="C153" i="45"/>
  <c r="M153" i="45" s="1"/>
  <c r="B154" i="45"/>
  <c r="C151" i="45"/>
  <c r="M151" i="45" s="1"/>
  <c r="E134" i="45"/>
  <c r="E137" i="45" s="1"/>
  <c r="E136" i="45"/>
  <c r="B134" i="45"/>
  <c r="C131" i="45"/>
  <c r="M131" i="45" s="1"/>
  <c r="A144" i="45"/>
  <c r="A142" i="45"/>
  <c r="B138" i="45"/>
  <c r="C135" i="45"/>
  <c r="M135" i="45" s="1"/>
  <c r="G135" i="45"/>
  <c r="G136" i="45" s="1"/>
  <c r="G137" i="45" s="1"/>
  <c r="G138" i="45" s="1"/>
  <c r="G139" i="45" s="1"/>
  <c r="B136" i="45"/>
  <c r="C133" i="45"/>
  <c r="A124" i="45"/>
  <c r="A122" i="45"/>
  <c r="B118" i="45"/>
  <c r="C115" i="45"/>
  <c r="M115" i="45" s="1"/>
  <c r="G115" i="45"/>
  <c r="G116" i="45" s="1"/>
  <c r="G117" i="45" s="1"/>
  <c r="G118" i="45" s="1"/>
  <c r="G119" i="45" s="1"/>
  <c r="B116" i="45"/>
  <c r="C113" i="45"/>
  <c r="B114" i="45"/>
  <c r="C111" i="45"/>
  <c r="E116" i="45"/>
  <c r="E114" i="45"/>
  <c r="E117" i="45" s="1"/>
  <c r="E94" i="45"/>
  <c r="E97" i="45" s="1"/>
  <c r="E96" i="45"/>
  <c r="B96" i="45"/>
  <c r="C93" i="45"/>
  <c r="B94" i="45"/>
  <c r="C91" i="45"/>
  <c r="A104" i="45"/>
  <c r="A102" i="45"/>
  <c r="B98" i="45"/>
  <c r="C95" i="45"/>
  <c r="M95" i="45" s="1"/>
  <c r="G95" i="45"/>
  <c r="G96" i="45" s="1"/>
  <c r="G97" i="45" s="1"/>
  <c r="G98" i="45" s="1"/>
  <c r="G99" i="45" s="1"/>
  <c r="B57" i="45"/>
  <c r="C54" i="45"/>
  <c r="E56" i="45"/>
  <c r="C58" i="45"/>
  <c r="B61" i="45"/>
  <c r="C61" i="45" s="1"/>
  <c r="E54" i="45"/>
  <c r="E57" i="45" s="1"/>
  <c r="A64" i="45"/>
  <c r="A62" i="45"/>
  <c r="B24" i="45"/>
  <c r="C24" i="45" s="1"/>
  <c r="AI546" i="1"/>
  <c r="AG540" i="1"/>
  <c r="AH540" i="1" s="1"/>
  <c r="AI545" i="1"/>
  <c r="AG539" i="1"/>
  <c r="AH539" i="1" s="1"/>
  <c r="AG550" i="1"/>
  <c r="AH550" i="1" s="1"/>
  <c r="AI550" i="1"/>
  <c r="AG544" i="1"/>
  <c r="AG548" i="1"/>
  <c r="AH548" i="1" s="1"/>
  <c r="AI548" i="1"/>
  <c r="AG546" i="1"/>
  <c r="AH546" i="1" s="1"/>
  <c r="AG542" i="1"/>
  <c r="AH542" i="1"/>
  <c r="AI542" i="1"/>
  <c r="AG549" i="1"/>
  <c r="AH549" i="1" s="1"/>
  <c r="AI549" i="1"/>
  <c r="AG547" i="1"/>
  <c r="AH547" i="1" s="1"/>
  <c r="AI547" i="1"/>
  <c r="AG543" i="1"/>
  <c r="AH543" i="1"/>
  <c r="AI543" i="1"/>
  <c r="AG541" i="1"/>
  <c r="AH541" i="1"/>
  <c r="AI541" i="1"/>
  <c r="AD550" i="1"/>
  <c r="AD544" i="1"/>
  <c r="AE542" i="1"/>
  <c r="AD548" i="1"/>
  <c r="AD547" i="1"/>
  <c r="AE547" i="1" s="1"/>
  <c r="AD543" i="1"/>
  <c r="AE541" i="1"/>
  <c r="AE548" i="1"/>
  <c r="AE550" i="1"/>
  <c r="AF549" i="1"/>
  <c r="AF541" i="1"/>
  <c r="AD549" i="1"/>
  <c r="AE549" i="1" s="1"/>
  <c r="AD541" i="1"/>
  <c r="AF550" i="1"/>
  <c r="AF547" i="1"/>
  <c r="AE543" i="1"/>
  <c r="AF542" i="1"/>
  <c r="AD542" i="1"/>
  <c r="AF548" i="1"/>
  <c r="AF543"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70"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112"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65" i="1"/>
  <c r="P111" i="1"/>
  <c r="P166" i="1"/>
  <c r="P113" i="1"/>
  <c r="P114" i="1"/>
  <c r="P167" i="1"/>
  <c r="P116" i="1"/>
  <c r="P117" i="1"/>
  <c r="P118" i="1"/>
  <c r="P168" i="1"/>
  <c r="P120" i="1"/>
  <c r="P121" i="1"/>
  <c r="P122" i="1"/>
  <c r="P123" i="1"/>
  <c r="P124" i="1"/>
  <c r="P125" i="1"/>
  <c r="P126" i="1"/>
  <c r="P127" i="1"/>
  <c r="P128" i="1"/>
  <c r="P129" i="1"/>
  <c r="P171" i="1"/>
  <c r="P172" i="1"/>
  <c r="P173" i="1"/>
  <c r="P174" i="1"/>
  <c r="P175" i="1"/>
  <c r="P176" i="1"/>
  <c r="P177" i="1"/>
  <c r="P186" i="1"/>
  <c r="P138" i="1"/>
  <c r="P139" i="1"/>
  <c r="P187" i="1"/>
  <c r="P141" i="1"/>
  <c r="P216" i="1"/>
  <c r="P217" i="1"/>
  <c r="P144" i="1"/>
  <c r="P145" i="1"/>
  <c r="P146" i="1"/>
  <c r="P147" i="1"/>
  <c r="P148" i="1"/>
  <c r="P149" i="1"/>
  <c r="P150" i="1"/>
  <c r="P151" i="1"/>
  <c r="P152" i="1"/>
  <c r="P153" i="1"/>
  <c r="P154" i="1"/>
  <c r="P155" i="1"/>
  <c r="P156" i="1"/>
  <c r="P157" i="1"/>
  <c r="P158" i="1"/>
  <c r="P159" i="1"/>
  <c r="P160" i="1"/>
  <c r="P219" i="1"/>
  <c r="P220" i="1"/>
  <c r="P222" i="1"/>
  <c r="P223" i="1"/>
  <c r="P224" i="1"/>
  <c r="P225" i="1"/>
  <c r="P226" i="1"/>
  <c r="P228" i="1"/>
  <c r="P169" i="1"/>
  <c r="P448" i="1"/>
  <c r="P449" i="1"/>
  <c r="P454" i="1"/>
  <c r="P485" i="1"/>
  <c r="P489" i="1"/>
  <c r="P490" i="1"/>
  <c r="P491" i="1"/>
  <c r="P506" i="1"/>
  <c r="P178" i="1"/>
  <c r="P179" i="1"/>
  <c r="P180" i="1"/>
  <c r="P181" i="1"/>
  <c r="P182" i="1"/>
  <c r="P183" i="1"/>
  <c r="P184" i="1"/>
  <c r="P185" i="1"/>
  <c r="P513" i="1"/>
  <c r="P516"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517" i="1"/>
  <c r="P518" i="1"/>
  <c r="P221" i="1"/>
  <c r="P531" i="1"/>
  <c r="P532" i="1"/>
  <c r="P533" i="1"/>
  <c r="P534" i="1"/>
  <c r="P535" i="1"/>
  <c r="P227" i="1"/>
  <c r="P536" i="1"/>
  <c r="P537" i="1"/>
  <c r="P538" i="1"/>
  <c r="P231" i="1"/>
  <c r="P232" i="1"/>
  <c r="P233" i="1"/>
  <c r="P234" i="1"/>
  <c r="P235" i="1"/>
  <c r="P236" i="1"/>
  <c r="P237" i="1"/>
  <c r="P238" i="1"/>
  <c r="P239" i="1"/>
  <c r="P240" i="1"/>
  <c r="P241" i="1"/>
  <c r="P242" i="1"/>
  <c r="P243" i="1"/>
  <c r="P244" i="1"/>
  <c r="P245" i="1"/>
  <c r="P246" i="1"/>
  <c r="P522"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523" i="1"/>
  <c r="P524" i="1"/>
  <c r="P525" i="1"/>
  <c r="P526" i="1"/>
  <c r="P527" i="1"/>
  <c r="P528" i="1"/>
  <c r="P529" i="1"/>
  <c r="P530" i="1"/>
  <c r="P288" i="1"/>
  <c r="P289" i="1"/>
  <c r="P290" i="1"/>
  <c r="P291" i="1"/>
  <c r="P292" i="1"/>
  <c r="P293" i="1"/>
  <c r="P294" i="1"/>
  <c r="P295" i="1"/>
  <c r="P296" i="1"/>
  <c r="P297" i="1"/>
  <c r="P298" i="1"/>
  <c r="P299" i="1"/>
  <c r="P300" i="1"/>
  <c r="P301" i="1"/>
  <c r="P302" i="1"/>
  <c r="P303" i="1"/>
  <c r="P304" i="1"/>
  <c r="P305" i="1"/>
  <c r="P306" i="1"/>
  <c r="P307" i="1"/>
  <c r="P308" i="1"/>
  <c r="P309" i="1"/>
  <c r="P591" i="1"/>
  <c r="P554" i="1"/>
  <c r="P312" i="1"/>
  <c r="P313" i="1"/>
  <c r="P314" i="1"/>
  <c r="P315" i="1"/>
  <c r="P316" i="1"/>
  <c r="P317" i="1"/>
  <c r="P318" i="1"/>
  <c r="P319" i="1"/>
  <c r="P320" i="1"/>
  <c r="P321" i="1"/>
  <c r="P570" i="1"/>
  <c r="P323" i="1"/>
  <c r="P571" i="1"/>
  <c r="P572" i="1"/>
  <c r="P573" i="1"/>
  <c r="P576" i="1"/>
  <c r="P577" i="1"/>
  <c r="P578" i="1"/>
  <c r="P580" i="1"/>
  <c r="P581" i="1"/>
  <c r="P582" i="1"/>
  <c r="P333" i="1"/>
  <c r="P584" i="1"/>
  <c r="P335" i="1"/>
  <c r="P336" i="1"/>
  <c r="P337" i="1"/>
  <c r="P338" i="1"/>
  <c r="P339" i="1"/>
  <c r="P585" i="1"/>
  <c r="P586" i="1"/>
  <c r="P342" i="1"/>
  <c r="P588" i="1"/>
  <c r="P589" i="1"/>
  <c r="P345" i="1"/>
  <c r="P346" i="1"/>
  <c r="P347" i="1"/>
  <c r="P348" i="1"/>
  <c r="P349" i="1"/>
  <c r="P350" i="1"/>
  <c r="P351" i="1"/>
  <c r="P352" i="1"/>
  <c r="P353" i="1"/>
  <c r="P354" i="1"/>
  <c r="P355" i="1"/>
  <c r="P356" i="1"/>
  <c r="P357" i="1"/>
  <c r="P358" i="1"/>
  <c r="P359" i="1"/>
  <c r="P360" i="1"/>
  <c r="P361" i="1"/>
  <c r="P362" i="1"/>
  <c r="P363" i="1"/>
  <c r="P364" i="1"/>
  <c r="P365" i="1"/>
  <c r="P592" i="1"/>
  <c r="P367" i="1"/>
  <c r="P368" i="1"/>
  <c r="P369" i="1"/>
  <c r="P370" i="1"/>
  <c r="P371" i="1"/>
  <c r="P372" i="1"/>
  <c r="P373" i="1"/>
  <c r="P374" i="1"/>
  <c r="P375" i="1"/>
  <c r="P594" i="1"/>
  <c r="P595" i="1"/>
  <c r="P378" i="1"/>
  <c r="P379" i="1"/>
  <c r="P380" i="1"/>
  <c r="P381" i="1"/>
  <c r="P382" i="1"/>
  <c r="P383" i="1"/>
  <c r="P596" i="1"/>
  <c r="P598" i="1"/>
  <c r="P386" i="1"/>
  <c r="P387" i="1"/>
  <c r="P388" i="1"/>
  <c r="P389" i="1"/>
  <c r="P390" i="1"/>
  <c r="P391" i="1"/>
  <c r="P392" i="1"/>
  <c r="P393" i="1"/>
  <c r="P394" i="1"/>
  <c r="P395" i="1"/>
  <c r="P396" i="1"/>
  <c r="P397" i="1"/>
  <c r="P398" i="1"/>
  <c r="P399" i="1"/>
  <c r="P400" i="1"/>
  <c r="P401" i="1"/>
  <c r="P402" i="1"/>
  <c r="P403" i="1"/>
  <c r="P404" i="1"/>
  <c r="P405" i="1"/>
  <c r="P406" i="1"/>
  <c r="P407" i="1"/>
  <c r="P408" i="1"/>
  <c r="P600" i="1"/>
  <c r="P602" i="1"/>
  <c r="P603" i="1"/>
  <c r="P604" i="1"/>
  <c r="P413" i="1"/>
  <c r="P606" i="1"/>
  <c r="P607" i="1"/>
  <c r="P416" i="1"/>
  <c r="P417" i="1"/>
  <c r="P608" i="1"/>
  <c r="P419" i="1"/>
  <c r="P420" i="1"/>
  <c r="P421" i="1"/>
  <c r="P422" i="1"/>
  <c r="P423" i="1"/>
  <c r="P424" i="1"/>
  <c r="P425" i="1"/>
  <c r="P426" i="1"/>
  <c r="P427" i="1"/>
  <c r="P428" i="1"/>
  <c r="P429" i="1"/>
  <c r="P430" i="1"/>
  <c r="P431" i="1"/>
  <c r="P432" i="1"/>
  <c r="P433" i="1"/>
  <c r="P434" i="1"/>
  <c r="P435" i="1"/>
  <c r="P436" i="1"/>
  <c r="P437" i="1"/>
  <c r="P438" i="1"/>
  <c r="P439" i="1"/>
  <c r="P440" i="1"/>
  <c r="P441" i="1"/>
  <c r="P610" i="1"/>
  <c r="P443" i="1"/>
  <c r="P444" i="1"/>
  <c r="P445" i="1"/>
  <c r="P446" i="1"/>
  <c r="P447" i="1"/>
  <c r="P611" i="1"/>
  <c r="P612" i="1"/>
  <c r="P450" i="1"/>
  <c r="P451" i="1"/>
  <c r="P452" i="1"/>
  <c r="P453" i="1"/>
  <c r="P61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616" i="1"/>
  <c r="P486" i="1"/>
  <c r="P487" i="1"/>
  <c r="P488" i="1"/>
  <c r="P618" i="1"/>
  <c r="P619" i="1"/>
  <c r="P620" i="1"/>
  <c r="P492" i="1"/>
  <c r="P493" i="1"/>
  <c r="P494" i="1"/>
  <c r="P495" i="1"/>
  <c r="P496" i="1"/>
  <c r="P497" i="1"/>
  <c r="P498" i="1"/>
  <c r="P499" i="1"/>
  <c r="P500" i="1"/>
  <c r="P501" i="1"/>
  <c r="P502" i="1"/>
  <c r="P503" i="1"/>
  <c r="P504" i="1"/>
  <c r="P505" i="1"/>
  <c r="P622" i="1"/>
  <c r="P507" i="1"/>
  <c r="P508" i="1"/>
  <c r="P509" i="1"/>
  <c r="P510" i="1"/>
  <c r="P511" i="1"/>
  <c r="P512" i="1"/>
  <c r="P623" i="1"/>
  <c r="P514" i="1"/>
  <c r="P515" i="1"/>
  <c r="P115" i="1"/>
  <c r="P110" i="1"/>
  <c r="P615" i="1"/>
  <c r="P442" i="1"/>
  <c r="P556" i="1"/>
  <c r="P119" i="1"/>
  <c r="P557" i="1"/>
  <c r="P130" i="1"/>
  <c r="P558" i="1"/>
  <c r="P131" i="1"/>
  <c r="P559" i="1"/>
  <c r="P331" i="1"/>
  <c r="P332" i="1"/>
  <c r="P334" i="1"/>
  <c r="P340" i="1"/>
  <c r="P230" i="1"/>
  <c r="P247" i="1"/>
  <c r="P280" i="1"/>
  <c r="P281" i="1"/>
  <c r="P567" i="1"/>
  <c r="P568" i="1"/>
  <c r="P569" i="1"/>
  <c r="N355" i="45" l="1"/>
  <c r="Q315" i="45"/>
  <c r="P50" i="45"/>
  <c r="E463" i="45"/>
  <c r="M463" i="45" s="1"/>
  <c r="N315" i="45"/>
  <c r="B20" i="45"/>
  <c r="E462" i="45"/>
  <c r="E280" i="45"/>
  <c r="M280" i="45" s="1"/>
  <c r="Q275" i="45"/>
  <c r="E522" i="45"/>
  <c r="M522" i="45" s="1"/>
  <c r="Q520" i="45" s="1"/>
  <c r="E359" i="45"/>
  <c r="Q355" i="45"/>
  <c r="N275" i="45"/>
  <c r="P275" i="45"/>
  <c r="E544" i="45"/>
  <c r="N700" i="45"/>
  <c r="E279" i="45"/>
  <c r="E282" i="45" s="1"/>
  <c r="M282" i="45" s="1"/>
  <c r="P700" i="45"/>
  <c r="E383" i="45"/>
  <c r="M383" i="45" s="1"/>
  <c r="E319" i="45"/>
  <c r="E322" i="45" s="1"/>
  <c r="M322" i="45" s="1"/>
  <c r="E422" i="45"/>
  <c r="M422" i="45" s="1"/>
  <c r="N50" i="45"/>
  <c r="N145" i="45"/>
  <c r="Q500" i="45"/>
  <c r="N85" i="45"/>
  <c r="N165" i="45"/>
  <c r="Q600" i="45"/>
  <c r="P660" i="45"/>
  <c r="Q50" i="45"/>
  <c r="Q165" i="45"/>
  <c r="Q145" i="45"/>
  <c r="Q105" i="45"/>
  <c r="Q660" i="45"/>
  <c r="Q235" i="45"/>
  <c r="Q195" i="45"/>
  <c r="Q80" i="45"/>
  <c r="P10" i="45"/>
  <c r="Q10" i="45"/>
  <c r="Q150" i="45"/>
  <c r="Q85" i="45"/>
  <c r="Q415" i="45"/>
  <c r="P500" i="45"/>
  <c r="P600" i="45"/>
  <c r="P235" i="45"/>
  <c r="P195" i="45"/>
  <c r="P80" i="45"/>
  <c r="N515" i="45"/>
  <c r="P515" i="45"/>
  <c r="P150" i="45"/>
  <c r="N350" i="45"/>
  <c r="P350" i="45"/>
  <c r="N375" i="45"/>
  <c r="P375" i="45"/>
  <c r="N780" i="45"/>
  <c r="P780" i="45"/>
  <c r="N260" i="45"/>
  <c r="P260" i="45"/>
  <c r="P415" i="45"/>
  <c r="N860" i="45"/>
  <c r="P860" i="45"/>
  <c r="N220" i="45"/>
  <c r="P220" i="45"/>
  <c r="N290" i="45"/>
  <c r="P290" i="45"/>
  <c r="N495" i="45"/>
  <c r="P495" i="45"/>
  <c r="N800" i="45"/>
  <c r="P800" i="45"/>
  <c r="N440" i="45"/>
  <c r="P440" i="45"/>
  <c r="P105" i="45"/>
  <c r="M542" i="45"/>
  <c r="Q540" i="45" s="1"/>
  <c r="M462" i="45"/>
  <c r="Q460" i="45" s="1"/>
  <c r="M17" i="45"/>
  <c r="P15" i="45" s="1"/>
  <c r="M562" i="45"/>
  <c r="Q560" i="45" s="1"/>
  <c r="M43" i="45"/>
  <c r="N40" i="45" s="1"/>
  <c r="M173" i="45"/>
  <c r="N170" i="45" s="1"/>
  <c r="M113" i="45"/>
  <c r="M58" i="45"/>
  <c r="M296" i="45"/>
  <c r="Q295" i="45" s="1"/>
  <c r="M61" i="45"/>
  <c r="M111" i="45"/>
  <c r="M133" i="45"/>
  <c r="N130" i="45" s="1"/>
  <c r="M93" i="45"/>
  <c r="M91" i="45"/>
  <c r="N235" i="45"/>
  <c r="N500" i="45"/>
  <c r="N80" i="45"/>
  <c r="N600" i="45"/>
  <c r="N660" i="45"/>
  <c r="N150" i="45"/>
  <c r="N195" i="45"/>
  <c r="N10" i="45"/>
  <c r="E423" i="45"/>
  <c r="E382" i="45"/>
  <c r="E384" i="45"/>
  <c r="C56" i="45"/>
  <c r="E19" i="45"/>
  <c r="E20" i="45"/>
  <c r="B540" i="45"/>
  <c r="B460" i="45"/>
  <c r="B504" i="45"/>
  <c r="B502" i="45"/>
  <c r="B542" i="45"/>
  <c r="B544" i="45"/>
  <c r="B524" i="45"/>
  <c r="B522" i="45"/>
  <c r="B384" i="45"/>
  <c r="B382" i="45"/>
  <c r="B423" i="45"/>
  <c r="G420" i="45"/>
  <c r="G421" i="45" s="1"/>
  <c r="G422" i="45" s="1"/>
  <c r="G423" i="45" s="1"/>
  <c r="G424" i="45" s="1"/>
  <c r="B520" i="45"/>
  <c r="B380" i="45"/>
  <c r="B483" i="45"/>
  <c r="G480" i="45"/>
  <c r="G481" i="45" s="1"/>
  <c r="G482" i="45" s="1"/>
  <c r="G483" i="45" s="1"/>
  <c r="G484" i="45" s="1"/>
  <c r="B464" i="45"/>
  <c r="B462" i="45"/>
  <c r="B500" i="45"/>
  <c r="E482" i="45"/>
  <c r="M482" i="45" s="1"/>
  <c r="E484" i="45"/>
  <c r="E483" i="45"/>
  <c r="M483" i="45" s="1"/>
  <c r="B281" i="45"/>
  <c r="B357" i="45"/>
  <c r="B304" i="45"/>
  <c r="B302" i="45"/>
  <c r="B319" i="45"/>
  <c r="E343" i="45"/>
  <c r="M343" i="45" s="1"/>
  <c r="E364" i="45"/>
  <c r="E362" i="45"/>
  <c r="M362" i="45" s="1"/>
  <c r="B341" i="45"/>
  <c r="E240" i="45"/>
  <c r="M240" i="45" s="1"/>
  <c r="E239" i="45"/>
  <c r="B244" i="45"/>
  <c r="B242" i="45"/>
  <c r="B277" i="45"/>
  <c r="B300" i="45"/>
  <c r="B321" i="45"/>
  <c r="E342" i="45"/>
  <c r="M342" i="45" s="1"/>
  <c r="E344" i="45"/>
  <c r="E363" i="45"/>
  <c r="M363" i="45" s="1"/>
  <c r="B279" i="45"/>
  <c r="B359" i="45"/>
  <c r="B240" i="45"/>
  <c r="B197" i="45"/>
  <c r="E299" i="45"/>
  <c r="E300" i="45"/>
  <c r="M300" i="45" s="1"/>
  <c r="B361" i="45"/>
  <c r="B339" i="45"/>
  <c r="E200" i="45"/>
  <c r="M200" i="45" s="1"/>
  <c r="E323" i="45"/>
  <c r="M323" i="45" s="1"/>
  <c r="B337" i="45"/>
  <c r="E199" i="45"/>
  <c r="B199" i="45"/>
  <c r="B317" i="45"/>
  <c r="B23" i="45"/>
  <c r="C23" i="45" s="1"/>
  <c r="C20" i="45"/>
  <c r="G20" i="45"/>
  <c r="G21" i="45" s="1"/>
  <c r="G22" i="45" s="1"/>
  <c r="G23" i="45" s="1"/>
  <c r="G24" i="45" s="1"/>
  <c r="E180" i="45"/>
  <c r="E179" i="45"/>
  <c r="B177" i="45"/>
  <c r="C174" i="45"/>
  <c r="C176" i="45"/>
  <c r="M176" i="45" s="1"/>
  <c r="B179" i="45"/>
  <c r="B181" i="45"/>
  <c r="C181" i="45" s="1"/>
  <c r="M181" i="45" s="1"/>
  <c r="C178" i="45"/>
  <c r="M178" i="45" s="1"/>
  <c r="B161" i="45"/>
  <c r="C161" i="45" s="1"/>
  <c r="M161" i="45" s="1"/>
  <c r="C158" i="45"/>
  <c r="M158" i="45" s="1"/>
  <c r="E159" i="45"/>
  <c r="E160" i="45"/>
  <c r="B157" i="45"/>
  <c r="C154" i="45"/>
  <c r="C156" i="45"/>
  <c r="B159" i="45"/>
  <c r="B141" i="45"/>
  <c r="C141" i="45" s="1"/>
  <c r="M141" i="45" s="1"/>
  <c r="C138" i="45"/>
  <c r="M138" i="45" s="1"/>
  <c r="B137" i="45"/>
  <c r="C134" i="45"/>
  <c r="E139" i="45"/>
  <c r="C136" i="45"/>
  <c r="M136" i="45" s="1"/>
  <c r="B139" i="45"/>
  <c r="E140" i="45"/>
  <c r="E120" i="45"/>
  <c r="E119" i="45"/>
  <c r="B117" i="45"/>
  <c r="C114" i="45"/>
  <c r="C116" i="45"/>
  <c r="B119" i="45"/>
  <c r="B121" i="45"/>
  <c r="C121" i="45" s="1"/>
  <c r="M121" i="45" s="1"/>
  <c r="C118" i="45"/>
  <c r="M118" i="45" s="1"/>
  <c r="E99" i="45"/>
  <c r="E100" i="45"/>
  <c r="B101" i="45"/>
  <c r="C101" i="45" s="1"/>
  <c r="M101" i="45" s="1"/>
  <c r="C98" i="45"/>
  <c r="M98" i="45" s="1"/>
  <c r="B97" i="45"/>
  <c r="C94" i="45"/>
  <c r="C96" i="45"/>
  <c r="B99" i="45"/>
  <c r="E59" i="45"/>
  <c r="C57" i="45"/>
  <c r="B60" i="45"/>
  <c r="B64" i="45"/>
  <c r="C64" i="45" s="1"/>
  <c r="B62" i="45"/>
  <c r="C62" i="45" s="1"/>
  <c r="C59" i="45"/>
  <c r="E60" i="45"/>
  <c r="A24" i="45"/>
  <c r="AD539" i="1"/>
  <c r="AF546" i="1"/>
  <c r="AD546" i="1"/>
  <c r="AE546" i="1" s="1"/>
  <c r="AE545" i="1"/>
  <c r="AD545" i="1"/>
  <c r="AF540" i="1"/>
  <c r="AH544" i="1"/>
  <c r="AF544" i="1"/>
  <c r="AF545" i="1"/>
  <c r="AG545" i="1"/>
  <c r="AH545" i="1" s="1"/>
  <c r="AI544" i="1"/>
  <c r="AE544" i="1"/>
  <c r="AF539" i="1"/>
  <c r="AE539" i="1"/>
  <c r="AD540" i="1"/>
  <c r="AE540" i="1" s="1"/>
  <c r="AI539" i="1"/>
  <c r="AI540" i="1"/>
  <c r="E283" i="45" l="1"/>
  <c r="M283" i="45" s="1"/>
  <c r="P280" i="45" s="1"/>
  <c r="E324" i="45"/>
  <c r="E284" i="45"/>
  <c r="P360" i="45"/>
  <c r="N15" i="45"/>
  <c r="Q110" i="45"/>
  <c r="Q320" i="45"/>
  <c r="Q480" i="45"/>
  <c r="Q340" i="45"/>
  <c r="Q130" i="45"/>
  <c r="Q360" i="45"/>
  <c r="Q90" i="45"/>
  <c r="Q15" i="45"/>
  <c r="Q170" i="45"/>
  <c r="Q40" i="45"/>
  <c r="Q280" i="45"/>
  <c r="P320" i="45"/>
  <c r="P480" i="45"/>
  <c r="P130" i="45"/>
  <c r="P340" i="45"/>
  <c r="P110" i="45"/>
  <c r="P90" i="45"/>
  <c r="N295" i="45"/>
  <c r="P295" i="45"/>
  <c r="N540" i="45"/>
  <c r="P540" i="45"/>
  <c r="P170" i="45"/>
  <c r="N520" i="45"/>
  <c r="P520" i="45"/>
  <c r="N560" i="45"/>
  <c r="P560" i="45"/>
  <c r="N460" i="45"/>
  <c r="P460" i="45"/>
  <c r="P40" i="45"/>
  <c r="M116" i="45"/>
  <c r="M156" i="45"/>
  <c r="M96" i="45"/>
  <c r="M423" i="45"/>
  <c r="Q420" i="45" s="1"/>
  <c r="M57" i="45"/>
  <c r="M20" i="45"/>
  <c r="M382" i="45"/>
  <c r="Q380" i="45" s="1"/>
  <c r="M56" i="45"/>
  <c r="N110" i="45"/>
  <c r="N280" i="45"/>
  <c r="N360" i="45"/>
  <c r="N340" i="45"/>
  <c r="N320" i="45"/>
  <c r="N480" i="45"/>
  <c r="N90" i="45"/>
  <c r="E23" i="45"/>
  <c r="M23" i="45" s="1"/>
  <c r="E22" i="45"/>
  <c r="M22" i="45" s="1"/>
  <c r="E24" i="45"/>
  <c r="B503" i="45"/>
  <c r="G500" i="45"/>
  <c r="G501" i="45" s="1"/>
  <c r="G502" i="45" s="1"/>
  <c r="G503" i="45" s="1"/>
  <c r="G504" i="45" s="1"/>
  <c r="B383" i="45"/>
  <c r="G380" i="45"/>
  <c r="G381" i="45" s="1"/>
  <c r="G382" i="45" s="1"/>
  <c r="G383" i="45" s="1"/>
  <c r="G384" i="45" s="1"/>
  <c r="B463" i="45"/>
  <c r="G460" i="45"/>
  <c r="G461" i="45" s="1"/>
  <c r="G462" i="45" s="1"/>
  <c r="G463" i="45" s="1"/>
  <c r="G464" i="45" s="1"/>
  <c r="B543" i="45"/>
  <c r="G540" i="45"/>
  <c r="G541" i="45" s="1"/>
  <c r="G542" i="45" s="1"/>
  <c r="G543" i="45" s="1"/>
  <c r="G544" i="45" s="1"/>
  <c r="B523" i="45"/>
  <c r="G520" i="45"/>
  <c r="G521" i="45" s="1"/>
  <c r="G522" i="45" s="1"/>
  <c r="G523" i="45" s="1"/>
  <c r="G524" i="45" s="1"/>
  <c r="B320" i="45"/>
  <c r="B204" i="45"/>
  <c r="B202" i="45"/>
  <c r="E204" i="45"/>
  <c r="E202" i="45"/>
  <c r="M202" i="45" s="1"/>
  <c r="B340" i="45"/>
  <c r="E203" i="45"/>
  <c r="M203" i="45" s="1"/>
  <c r="B344" i="45"/>
  <c r="B342" i="45"/>
  <c r="E303" i="45"/>
  <c r="M303" i="45" s="1"/>
  <c r="E304" i="45"/>
  <c r="E302" i="45"/>
  <c r="B200" i="45"/>
  <c r="B280" i="45"/>
  <c r="B360" i="45"/>
  <c r="B243" i="45"/>
  <c r="G240" i="45"/>
  <c r="G241" i="45" s="1"/>
  <c r="G242" i="45" s="1"/>
  <c r="G243" i="45" s="1"/>
  <c r="G244" i="45" s="1"/>
  <c r="B362" i="45"/>
  <c r="B364" i="45"/>
  <c r="B282" i="45"/>
  <c r="B284" i="45"/>
  <c r="B303" i="45"/>
  <c r="G300" i="45"/>
  <c r="G301" i="45" s="1"/>
  <c r="G302" i="45" s="1"/>
  <c r="G303" i="45" s="1"/>
  <c r="G304" i="45" s="1"/>
  <c r="E242" i="45"/>
  <c r="M242" i="45" s="1"/>
  <c r="E244" i="45"/>
  <c r="E243" i="45"/>
  <c r="M243" i="45" s="1"/>
  <c r="B324" i="45"/>
  <c r="B322" i="45"/>
  <c r="C177" i="45"/>
  <c r="B180" i="45"/>
  <c r="B184" i="45"/>
  <c r="C184" i="45" s="1"/>
  <c r="B182" i="45"/>
  <c r="C182" i="45" s="1"/>
  <c r="C179" i="45"/>
  <c r="E184" i="45"/>
  <c r="E182" i="45"/>
  <c r="E183" i="45"/>
  <c r="C157" i="45"/>
  <c r="M157" i="45" s="1"/>
  <c r="B160" i="45"/>
  <c r="E163" i="45"/>
  <c r="E164" i="45"/>
  <c r="E162" i="45"/>
  <c r="B164" i="45"/>
  <c r="C164" i="45" s="1"/>
  <c r="B162" i="45"/>
  <c r="C162" i="45" s="1"/>
  <c r="C159" i="45"/>
  <c r="E143" i="45"/>
  <c r="B144" i="45"/>
  <c r="C144" i="45" s="1"/>
  <c r="B142" i="45"/>
  <c r="C142" i="45" s="1"/>
  <c r="C139" i="45"/>
  <c r="E144" i="45"/>
  <c r="E142" i="45"/>
  <c r="C137" i="45"/>
  <c r="B140" i="45"/>
  <c r="C117" i="45"/>
  <c r="M117" i="45" s="1"/>
  <c r="B120" i="45"/>
  <c r="B124" i="45"/>
  <c r="C124" i="45" s="1"/>
  <c r="B122" i="45"/>
  <c r="C122" i="45" s="1"/>
  <c r="C119" i="45"/>
  <c r="E124" i="45"/>
  <c r="E122" i="45"/>
  <c r="E123" i="45"/>
  <c r="C97" i="45"/>
  <c r="M97" i="45" s="1"/>
  <c r="B100" i="45"/>
  <c r="E103" i="45"/>
  <c r="E104" i="45"/>
  <c r="E102" i="45"/>
  <c r="B104" i="45"/>
  <c r="C104" i="45" s="1"/>
  <c r="B102" i="45"/>
  <c r="C102" i="45" s="1"/>
  <c r="C99" i="45"/>
  <c r="B63" i="45"/>
  <c r="C63" i="45" s="1"/>
  <c r="C60" i="45"/>
  <c r="M60" i="45" s="1"/>
  <c r="G60" i="45"/>
  <c r="G61" i="45" s="1"/>
  <c r="G62" i="45" s="1"/>
  <c r="G63" i="45" s="1"/>
  <c r="G64" i="45" s="1"/>
  <c r="E63" i="45"/>
  <c r="E64" i="45"/>
  <c r="E62" i="45"/>
  <c r="M62" i="45" s="1"/>
  <c r="L1490" i="31"/>
  <c r="M1490" i="31" s="1"/>
  <c r="F1489" i="31"/>
  <c r="F1490" i="31" s="1"/>
  <c r="E1489" i="31"/>
  <c r="E1490" i="31" s="1"/>
  <c r="D1489" i="31"/>
  <c r="D1490" i="31" s="1"/>
  <c r="B1489" i="31"/>
  <c r="B1490" i="31" s="1"/>
  <c r="C1490" i="31" s="1"/>
  <c r="A1489" i="31"/>
  <c r="G1488" i="31"/>
  <c r="C1488" i="31"/>
  <c r="L1480" i="31"/>
  <c r="M1480" i="31" s="1"/>
  <c r="F1479" i="31"/>
  <c r="F1480" i="31" s="1"/>
  <c r="E1479" i="31"/>
  <c r="E1480" i="31" s="1"/>
  <c r="D1479" i="31"/>
  <c r="D1480" i="31" s="1"/>
  <c r="B1479" i="31"/>
  <c r="B1480" i="31" s="1"/>
  <c r="C1480" i="31" s="1"/>
  <c r="A1479" i="31"/>
  <c r="G1478" i="31"/>
  <c r="C1478" i="31"/>
  <c r="L1470" i="31"/>
  <c r="M1470" i="31" s="1"/>
  <c r="H1470" i="31"/>
  <c r="F1469" i="31"/>
  <c r="F1470" i="31" s="1"/>
  <c r="E1469" i="31"/>
  <c r="E1470" i="31" s="1"/>
  <c r="D1469" i="31"/>
  <c r="D1470" i="31" s="1"/>
  <c r="B1469" i="31"/>
  <c r="B1470" i="31" s="1"/>
  <c r="C1470" i="31" s="1"/>
  <c r="A1469" i="31"/>
  <c r="A1470" i="31" s="1"/>
  <c r="G1468" i="31"/>
  <c r="C1468" i="31"/>
  <c r="L1460" i="31"/>
  <c r="M1460" i="31" s="1"/>
  <c r="F1459" i="31"/>
  <c r="F1460" i="31" s="1"/>
  <c r="E1459" i="31"/>
  <c r="E1460" i="31" s="1"/>
  <c r="D1459" i="31"/>
  <c r="D1460" i="31" s="1"/>
  <c r="B1459" i="31"/>
  <c r="B1460" i="31" s="1"/>
  <c r="C1460" i="31" s="1"/>
  <c r="A1459" i="31"/>
  <c r="G1458" i="31"/>
  <c r="C1458" i="31"/>
  <c r="L1450" i="31"/>
  <c r="M1450" i="31" s="1"/>
  <c r="F1449" i="31"/>
  <c r="F1450" i="31" s="1"/>
  <c r="E1449" i="31"/>
  <c r="E1450" i="31" s="1"/>
  <c r="D1449" i="31"/>
  <c r="D1450" i="31" s="1"/>
  <c r="B1449" i="31"/>
  <c r="B1450" i="31" s="1"/>
  <c r="C1450" i="31" s="1"/>
  <c r="A1449" i="31"/>
  <c r="G1448" i="31"/>
  <c r="C1448" i="31"/>
  <c r="L1440" i="31"/>
  <c r="M1440" i="31" s="1"/>
  <c r="F1439" i="31"/>
  <c r="F1440" i="31" s="1"/>
  <c r="E1439" i="31"/>
  <c r="D1439" i="31"/>
  <c r="D1440" i="31" s="1"/>
  <c r="B1439" i="31"/>
  <c r="A1439" i="31"/>
  <c r="G1438" i="31"/>
  <c r="C1438" i="31"/>
  <c r="L1500" i="31"/>
  <c r="M1500" i="31" s="1"/>
  <c r="F1499" i="31"/>
  <c r="F1500" i="31" s="1"/>
  <c r="E1499" i="31"/>
  <c r="E1500" i="31" s="1"/>
  <c r="D1499" i="31"/>
  <c r="D1500" i="31" s="1"/>
  <c r="B1499" i="31"/>
  <c r="B1500" i="31" s="1"/>
  <c r="C1500" i="31" s="1"/>
  <c r="A1499" i="31"/>
  <c r="A1500" i="31" s="1"/>
  <c r="G1498" i="31"/>
  <c r="C1498" i="31"/>
  <c r="L1430" i="31"/>
  <c r="M1430" i="31" s="1"/>
  <c r="F1429" i="31"/>
  <c r="F1430" i="31" s="1"/>
  <c r="E1429" i="31"/>
  <c r="E1430" i="31" s="1"/>
  <c r="D1429" i="31"/>
  <c r="D1430" i="31" s="1"/>
  <c r="B1429" i="31"/>
  <c r="B1430" i="31" s="1"/>
  <c r="C1430" i="31" s="1"/>
  <c r="A1429" i="31"/>
  <c r="A1430" i="31" s="1"/>
  <c r="G1428" i="31"/>
  <c r="C1428" i="31"/>
  <c r="L1420" i="31"/>
  <c r="M1420" i="31" s="1"/>
  <c r="F1419" i="31"/>
  <c r="F1420" i="31" s="1"/>
  <c r="E1419" i="31"/>
  <c r="E1420" i="31" s="1"/>
  <c r="D1419" i="31"/>
  <c r="D1420" i="31" s="1"/>
  <c r="B1419" i="31"/>
  <c r="B1420" i="31" s="1"/>
  <c r="C1420" i="31" s="1"/>
  <c r="A1419" i="31"/>
  <c r="A1420" i="31" s="1"/>
  <c r="G1418" i="31"/>
  <c r="C1418" i="31"/>
  <c r="L1410" i="31"/>
  <c r="M1410" i="31" s="1"/>
  <c r="F1409" i="31"/>
  <c r="F1410" i="31" s="1"/>
  <c r="E1409" i="31"/>
  <c r="E1410" i="31" s="1"/>
  <c r="D1409" i="31"/>
  <c r="D1410" i="31" s="1"/>
  <c r="B1409" i="31"/>
  <c r="B1410" i="31" s="1"/>
  <c r="C1410" i="31" s="1"/>
  <c r="A1409" i="31"/>
  <c r="A1410" i="31" s="1"/>
  <c r="G1408" i="31"/>
  <c r="C1408" i="31"/>
  <c r="L1400" i="31"/>
  <c r="M1400" i="31" s="1"/>
  <c r="H1400" i="31"/>
  <c r="F1399" i="31"/>
  <c r="F1400" i="31" s="1"/>
  <c r="E1399" i="31"/>
  <c r="E1400" i="31" s="1"/>
  <c r="D1399" i="31"/>
  <c r="D1400" i="31" s="1"/>
  <c r="B1399" i="31"/>
  <c r="B1400" i="31" s="1"/>
  <c r="C1400" i="31" s="1"/>
  <c r="A1399" i="31"/>
  <c r="A1400" i="31" s="1"/>
  <c r="G1398" i="31"/>
  <c r="C1398" i="31"/>
  <c r="L1390" i="31"/>
  <c r="M1390" i="31" s="1"/>
  <c r="F1389" i="31"/>
  <c r="F1390" i="31" s="1"/>
  <c r="E1389" i="31"/>
  <c r="E1390" i="31" s="1"/>
  <c r="D1389" i="31"/>
  <c r="D1390" i="31" s="1"/>
  <c r="B1389" i="31"/>
  <c r="B1390" i="31" s="1"/>
  <c r="C1390" i="31" s="1"/>
  <c r="A1389" i="31"/>
  <c r="A1390" i="31" s="1"/>
  <c r="G1388" i="31"/>
  <c r="C1388" i="31"/>
  <c r="L1380" i="31"/>
  <c r="M1380" i="31" s="1"/>
  <c r="F1379" i="31"/>
  <c r="F1380" i="31" s="1"/>
  <c r="E1379" i="31"/>
  <c r="E1380" i="31" s="1"/>
  <c r="D1379" i="31"/>
  <c r="D1380" i="31" s="1"/>
  <c r="B1379" i="31"/>
  <c r="B1380" i="31" s="1"/>
  <c r="C1380" i="31" s="1"/>
  <c r="A1379" i="31"/>
  <c r="A1380" i="31" s="1"/>
  <c r="G1378" i="31"/>
  <c r="C1378" i="31"/>
  <c r="L1370" i="31"/>
  <c r="M1370" i="31" s="1"/>
  <c r="F1369" i="31"/>
  <c r="F1370" i="31" s="1"/>
  <c r="E1369" i="31"/>
  <c r="E1370" i="31" s="1"/>
  <c r="D1369" i="31"/>
  <c r="D1370" i="31" s="1"/>
  <c r="B1369" i="31"/>
  <c r="B1370" i="31" s="1"/>
  <c r="C1370" i="31" s="1"/>
  <c r="A1369" i="31"/>
  <c r="A1370" i="31" s="1"/>
  <c r="G1368" i="31"/>
  <c r="C1368" i="31"/>
  <c r="L1360" i="31"/>
  <c r="M1360" i="31" s="1"/>
  <c r="F1359" i="31"/>
  <c r="F1360" i="31" s="1"/>
  <c r="E1359" i="31"/>
  <c r="E1360" i="31" s="1"/>
  <c r="D1359" i="31"/>
  <c r="D1360" i="31" s="1"/>
  <c r="B1359" i="31"/>
  <c r="B1360" i="31" s="1"/>
  <c r="C1360" i="31" s="1"/>
  <c r="A1359" i="31"/>
  <c r="G1358" i="31"/>
  <c r="C1358" i="31"/>
  <c r="L1350" i="31"/>
  <c r="M1350" i="31" s="1"/>
  <c r="F1349" i="31"/>
  <c r="F1350" i="31" s="1"/>
  <c r="E1349" i="31"/>
  <c r="E1350" i="31" s="1"/>
  <c r="D1349" i="31"/>
  <c r="D1350" i="31" s="1"/>
  <c r="B1349" i="31"/>
  <c r="B1350" i="31" s="1"/>
  <c r="C1350" i="31" s="1"/>
  <c r="A1349" i="31"/>
  <c r="G1348" i="31"/>
  <c r="C1348" i="31"/>
  <c r="L1340" i="31"/>
  <c r="M1340" i="31" s="1"/>
  <c r="F1339" i="31"/>
  <c r="F1340" i="31" s="1"/>
  <c r="E1339" i="31"/>
  <c r="E1340" i="31" s="1"/>
  <c r="D1339" i="31"/>
  <c r="D1340" i="31" s="1"/>
  <c r="B1339" i="31"/>
  <c r="B1340" i="31" s="1"/>
  <c r="C1340" i="31" s="1"/>
  <c r="A1339" i="31"/>
  <c r="A1340" i="31" s="1"/>
  <c r="G1338" i="31"/>
  <c r="C1338" i="31"/>
  <c r="F1325" i="31"/>
  <c r="F1326" i="31" s="1"/>
  <c r="E1325" i="31"/>
  <c r="E1326" i="31" s="1"/>
  <c r="D1325" i="31"/>
  <c r="D1326" i="31" s="1"/>
  <c r="B1325" i="31"/>
  <c r="A1325" i="31"/>
  <c r="A1326" i="31" s="1"/>
  <c r="L1330" i="31"/>
  <c r="M1330" i="31" s="1"/>
  <c r="F1329" i="31"/>
  <c r="F1330" i="31" s="1"/>
  <c r="E1329" i="31"/>
  <c r="E1330" i="31" s="1"/>
  <c r="D1329" i="31"/>
  <c r="D1330" i="31" s="1"/>
  <c r="B1329" i="31"/>
  <c r="B1330" i="31" s="1"/>
  <c r="C1330" i="31" s="1"/>
  <c r="A1329" i="31"/>
  <c r="A1330" i="31" s="1"/>
  <c r="G1328" i="31"/>
  <c r="C1328" i="31"/>
  <c r="L1320" i="31"/>
  <c r="M1320" i="31" s="1"/>
  <c r="H1320" i="31"/>
  <c r="F1319" i="31"/>
  <c r="F1320" i="31" s="1"/>
  <c r="E1319" i="31"/>
  <c r="E1320" i="31" s="1"/>
  <c r="D1319" i="31"/>
  <c r="D1320" i="31" s="1"/>
  <c r="B1319" i="31"/>
  <c r="A1319" i="31"/>
  <c r="A1320" i="31" s="1"/>
  <c r="G1318" i="31"/>
  <c r="C1318" i="31"/>
  <c r="L1310" i="31"/>
  <c r="M1310" i="31" s="1"/>
  <c r="F1309" i="31"/>
  <c r="F1310" i="31" s="1"/>
  <c r="E1309" i="31"/>
  <c r="E1310" i="31" s="1"/>
  <c r="D1309" i="31"/>
  <c r="D1310" i="31" s="1"/>
  <c r="B1309" i="31"/>
  <c r="B1310" i="31" s="1"/>
  <c r="C1310" i="31" s="1"/>
  <c r="A1309" i="31"/>
  <c r="G1308" i="31"/>
  <c r="C1308" i="31"/>
  <c r="L1300" i="31"/>
  <c r="M1300" i="31" s="1"/>
  <c r="F1299" i="31"/>
  <c r="F1300" i="31" s="1"/>
  <c r="E1299" i="31"/>
  <c r="E1300" i="31" s="1"/>
  <c r="D1299" i="31"/>
  <c r="D1300" i="31" s="1"/>
  <c r="B1299" i="31"/>
  <c r="B1300" i="31" s="1"/>
  <c r="C1300" i="31" s="1"/>
  <c r="A1299" i="31"/>
  <c r="A1300" i="31" s="1"/>
  <c r="G1298" i="31"/>
  <c r="C1298" i="31"/>
  <c r="L1290" i="31"/>
  <c r="M1290" i="31" s="1"/>
  <c r="F1289" i="31"/>
  <c r="F1290" i="31" s="1"/>
  <c r="E1289" i="31"/>
  <c r="E1290" i="31" s="1"/>
  <c r="D1289" i="31"/>
  <c r="D1290" i="31" s="1"/>
  <c r="B1289" i="31"/>
  <c r="B1290" i="31" s="1"/>
  <c r="C1290" i="31" s="1"/>
  <c r="A1289" i="31"/>
  <c r="A1290" i="31" s="1"/>
  <c r="G1288" i="31"/>
  <c r="C1288" i="31"/>
  <c r="L1280" i="31"/>
  <c r="M1280" i="31" s="1"/>
  <c r="F1279" i="31"/>
  <c r="F1280" i="31" s="1"/>
  <c r="E1279" i="31"/>
  <c r="E1280" i="31" s="1"/>
  <c r="D1279" i="31"/>
  <c r="D1280" i="31" s="1"/>
  <c r="B1279" i="31"/>
  <c r="B1280" i="31" s="1"/>
  <c r="C1280" i="31" s="1"/>
  <c r="A1279" i="31"/>
  <c r="G1278" i="31"/>
  <c r="C1278" i="31"/>
  <c r="L1270" i="31"/>
  <c r="M1270" i="31" s="1"/>
  <c r="F1269" i="31"/>
  <c r="F1270" i="31" s="1"/>
  <c r="E1269" i="31"/>
  <c r="E1270" i="31" s="1"/>
  <c r="D1269" i="31"/>
  <c r="D1270" i="31" s="1"/>
  <c r="B1269" i="31"/>
  <c r="B1270" i="31" s="1"/>
  <c r="C1270" i="31" s="1"/>
  <c r="A1269" i="31"/>
  <c r="A1270" i="31" s="1"/>
  <c r="G1268" i="31"/>
  <c r="C1268" i="31"/>
  <c r="L1260" i="31"/>
  <c r="M1260" i="31" s="1"/>
  <c r="F1259" i="31"/>
  <c r="F1260" i="31" s="1"/>
  <c r="E1259" i="31"/>
  <c r="E1260" i="31" s="1"/>
  <c r="D1259" i="31"/>
  <c r="D1260" i="31" s="1"/>
  <c r="B1259" i="31"/>
  <c r="B1260" i="31" s="1"/>
  <c r="C1260" i="31" s="1"/>
  <c r="A1259" i="31"/>
  <c r="G1258" i="31"/>
  <c r="C1258" i="31"/>
  <c r="L1250" i="31"/>
  <c r="M1250" i="31" s="1"/>
  <c r="H1250" i="31"/>
  <c r="F1249" i="31"/>
  <c r="F1250" i="31" s="1"/>
  <c r="E1249" i="31"/>
  <c r="E1250" i="31" s="1"/>
  <c r="D1249" i="31"/>
  <c r="D1250" i="31" s="1"/>
  <c r="B1249" i="31"/>
  <c r="B1250" i="31" s="1"/>
  <c r="C1250" i="31" s="1"/>
  <c r="A1249" i="31"/>
  <c r="A1250" i="31" s="1"/>
  <c r="G1248" i="31"/>
  <c r="C1248" i="31"/>
  <c r="L1240" i="31"/>
  <c r="M1240" i="31" s="1"/>
  <c r="F1239" i="31"/>
  <c r="F1240" i="31" s="1"/>
  <c r="E1239" i="31"/>
  <c r="E1240" i="31" s="1"/>
  <c r="D1239" i="31"/>
  <c r="D1240" i="31" s="1"/>
  <c r="B1239" i="31"/>
  <c r="B1240" i="31" s="1"/>
  <c r="C1240" i="31" s="1"/>
  <c r="A1239" i="31"/>
  <c r="A1240" i="31" s="1"/>
  <c r="G1238" i="31"/>
  <c r="C1238" i="31"/>
  <c r="L1230" i="31"/>
  <c r="M1230" i="31" s="1"/>
  <c r="F1229" i="31"/>
  <c r="F1230" i="31" s="1"/>
  <c r="E1229" i="31"/>
  <c r="E1230" i="31" s="1"/>
  <c r="D1229" i="31"/>
  <c r="D1230" i="31" s="1"/>
  <c r="B1229" i="31"/>
  <c r="B1230" i="31" s="1"/>
  <c r="C1230" i="31" s="1"/>
  <c r="A1229" i="31"/>
  <c r="G1228" i="31"/>
  <c r="C1228" i="31"/>
  <c r="L1220" i="31"/>
  <c r="M1220" i="31" s="1"/>
  <c r="F1219" i="31"/>
  <c r="F1220" i="31" s="1"/>
  <c r="E1219" i="31"/>
  <c r="D1219" i="31"/>
  <c r="D1220" i="31" s="1"/>
  <c r="B1219" i="31"/>
  <c r="B1220" i="31" s="1"/>
  <c r="C1220" i="31" s="1"/>
  <c r="A1219" i="31"/>
  <c r="G1218" i="31"/>
  <c r="C1218" i="31"/>
  <c r="L1210" i="31"/>
  <c r="M1210" i="31" s="1"/>
  <c r="F1209" i="31"/>
  <c r="F1210" i="31" s="1"/>
  <c r="E1209" i="31"/>
  <c r="E1210" i="31" s="1"/>
  <c r="D1209" i="31"/>
  <c r="D1210" i="31" s="1"/>
  <c r="B1209" i="31"/>
  <c r="B1210" i="31" s="1"/>
  <c r="C1210" i="31" s="1"/>
  <c r="A1209" i="31"/>
  <c r="G1208" i="31"/>
  <c r="C1208" i="31"/>
  <c r="L1200" i="31"/>
  <c r="M1200" i="31" s="1"/>
  <c r="F1199" i="31"/>
  <c r="F1200" i="31" s="1"/>
  <c r="E1199" i="31"/>
  <c r="E1200" i="31" s="1"/>
  <c r="D1199" i="31"/>
  <c r="D1200" i="31" s="1"/>
  <c r="B1199" i="31"/>
  <c r="B1200" i="31" s="1"/>
  <c r="C1200" i="31" s="1"/>
  <c r="A1199" i="31"/>
  <c r="A1200" i="31" s="1"/>
  <c r="G1198" i="31"/>
  <c r="C1198" i="31"/>
  <c r="L1190" i="31"/>
  <c r="M1190" i="31" s="1"/>
  <c r="F1189" i="31"/>
  <c r="F1190" i="31" s="1"/>
  <c r="E1189" i="31"/>
  <c r="E1190" i="31" s="1"/>
  <c r="D1189" i="31"/>
  <c r="D1190" i="31" s="1"/>
  <c r="B1189" i="31"/>
  <c r="B1190" i="31" s="1"/>
  <c r="C1190" i="31" s="1"/>
  <c r="A1189" i="31"/>
  <c r="A1190" i="31" s="1"/>
  <c r="G1188" i="31"/>
  <c r="C1188" i="31"/>
  <c r="L1180" i="31"/>
  <c r="M1180" i="31" s="1"/>
  <c r="H1180" i="31"/>
  <c r="F1179" i="31"/>
  <c r="F1180" i="31" s="1"/>
  <c r="E1179" i="31"/>
  <c r="E1180" i="31" s="1"/>
  <c r="D1179" i="31"/>
  <c r="D1180" i="31" s="1"/>
  <c r="B1179" i="31"/>
  <c r="B1180" i="31" s="1"/>
  <c r="C1180" i="31" s="1"/>
  <c r="A1179" i="31"/>
  <c r="A1180" i="31" s="1"/>
  <c r="G1178" i="31"/>
  <c r="C1178" i="31"/>
  <c r="L1170" i="31"/>
  <c r="M1170" i="31" s="1"/>
  <c r="F1169" i="31"/>
  <c r="F1170" i="31" s="1"/>
  <c r="E1169" i="31"/>
  <c r="E1170" i="31" s="1"/>
  <c r="D1169" i="31"/>
  <c r="D1170" i="31" s="1"/>
  <c r="B1169" i="31"/>
  <c r="B1170" i="31" s="1"/>
  <c r="C1170" i="31" s="1"/>
  <c r="A1169" i="31"/>
  <c r="A1170" i="31" s="1"/>
  <c r="G1168" i="31"/>
  <c r="C1168" i="31"/>
  <c r="L1160" i="31"/>
  <c r="M1160" i="31" s="1"/>
  <c r="F1159" i="31"/>
  <c r="F1160" i="31" s="1"/>
  <c r="E1159" i="31"/>
  <c r="E1160" i="31" s="1"/>
  <c r="D1159" i="31"/>
  <c r="D1160" i="31" s="1"/>
  <c r="B1159" i="31"/>
  <c r="B1160" i="31" s="1"/>
  <c r="C1160" i="31" s="1"/>
  <c r="A1159" i="31"/>
  <c r="G1158" i="31"/>
  <c r="C1158" i="31"/>
  <c r="L1150" i="31"/>
  <c r="M1150" i="31" s="1"/>
  <c r="F1149" i="31"/>
  <c r="F1150" i="31" s="1"/>
  <c r="E1149" i="31"/>
  <c r="E1150" i="31" s="1"/>
  <c r="D1149" i="31"/>
  <c r="D1150" i="31" s="1"/>
  <c r="B1149" i="31"/>
  <c r="B1150" i="31" s="1"/>
  <c r="C1150" i="31" s="1"/>
  <c r="A1149" i="31"/>
  <c r="G1148" i="31"/>
  <c r="C1148" i="31"/>
  <c r="L1130" i="31"/>
  <c r="M1130" i="31" s="1"/>
  <c r="F1129" i="31"/>
  <c r="F1130" i="31" s="1"/>
  <c r="E1129" i="31"/>
  <c r="E1130" i="31" s="1"/>
  <c r="D1129" i="31"/>
  <c r="D1130" i="31" s="1"/>
  <c r="B1129" i="31"/>
  <c r="B1130" i="31" s="1"/>
  <c r="C1130" i="31" s="1"/>
  <c r="A1129" i="31"/>
  <c r="G1128" i="31"/>
  <c r="C1128" i="31"/>
  <c r="L1120" i="31"/>
  <c r="M1120" i="31" s="1"/>
  <c r="F1119" i="31"/>
  <c r="F1120" i="31" s="1"/>
  <c r="E1119" i="31"/>
  <c r="E1120" i="31" s="1"/>
  <c r="D1119" i="31"/>
  <c r="D1120" i="31" s="1"/>
  <c r="B1119" i="31"/>
  <c r="B1120" i="31" s="1"/>
  <c r="C1120" i="31" s="1"/>
  <c r="A1119" i="31"/>
  <c r="A1120" i="31" s="1"/>
  <c r="G1118" i="31"/>
  <c r="C1118" i="31"/>
  <c r="L1110" i="31"/>
  <c r="M1110" i="31" s="1"/>
  <c r="H1110" i="31"/>
  <c r="F1109" i="31"/>
  <c r="F1110" i="31" s="1"/>
  <c r="E1109" i="31"/>
  <c r="E1110" i="31" s="1"/>
  <c r="D1109" i="31"/>
  <c r="D1110" i="31" s="1"/>
  <c r="B1109" i="31"/>
  <c r="B1110" i="31" s="1"/>
  <c r="C1110" i="31" s="1"/>
  <c r="A1109" i="31"/>
  <c r="A1110" i="31" s="1"/>
  <c r="G1108" i="31"/>
  <c r="C1108" i="31"/>
  <c r="L1100" i="31"/>
  <c r="M1100" i="31" s="1"/>
  <c r="F1099" i="31"/>
  <c r="F1100" i="31" s="1"/>
  <c r="E1099" i="31"/>
  <c r="E1100" i="31" s="1"/>
  <c r="D1099" i="31"/>
  <c r="D1100" i="31" s="1"/>
  <c r="B1099" i="31"/>
  <c r="B1100" i="31" s="1"/>
  <c r="C1100" i="31" s="1"/>
  <c r="A1099" i="31"/>
  <c r="A1100" i="31" s="1"/>
  <c r="G1098" i="31"/>
  <c r="C1098" i="31"/>
  <c r="L1090" i="31"/>
  <c r="M1090" i="31" s="1"/>
  <c r="F1089" i="31"/>
  <c r="F1090" i="31" s="1"/>
  <c r="E1089" i="31"/>
  <c r="D1089" i="31"/>
  <c r="D1090" i="31" s="1"/>
  <c r="B1089" i="31"/>
  <c r="B1090" i="31" s="1"/>
  <c r="C1090" i="31" s="1"/>
  <c r="A1089" i="31"/>
  <c r="G1088" i="31"/>
  <c r="C1088" i="31"/>
  <c r="L1080" i="31"/>
  <c r="M1080" i="31" s="1"/>
  <c r="F1079" i="31"/>
  <c r="F1080" i="31" s="1"/>
  <c r="E1079" i="31"/>
  <c r="E1080" i="31" s="1"/>
  <c r="D1079" i="31"/>
  <c r="D1080" i="31" s="1"/>
  <c r="B1079" i="31"/>
  <c r="B1080" i="31" s="1"/>
  <c r="C1080" i="31" s="1"/>
  <c r="A1079" i="31"/>
  <c r="G1078" i="31"/>
  <c r="C1078" i="31"/>
  <c r="L1140" i="31"/>
  <c r="M1140" i="31" s="1"/>
  <c r="F1139" i="31"/>
  <c r="F1140" i="31" s="1"/>
  <c r="E1139" i="31"/>
  <c r="E1140" i="31" s="1"/>
  <c r="D1139" i="31"/>
  <c r="D1140" i="31" s="1"/>
  <c r="B1139" i="31"/>
  <c r="B1140" i="31" s="1"/>
  <c r="C1140" i="31" s="1"/>
  <c r="A1139" i="31"/>
  <c r="G1138" i="31"/>
  <c r="C1138" i="31"/>
  <c r="L1070" i="31"/>
  <c r="M1070" i="31" s="1"/>
  <c r="F1069" i="31"/>
  <c r="F1070" i="31" s="1"/>
  <c r="E1069" i="31"/>
  <c r="E1070" i="31" s="1"/>
  <c r="D1069" i="31"/>
  <c r="D1070" i="31" s="1"/>
  <c r="B1069" i="31"/>
  <c r="B1070" i="31" s="1"/>
  <c r="C1070" i="31" s="1"/>
  <c r="A1069" i="31"/>
  <c r="A1070" i="31" s="1"/>
  <c r="G1068" i="31"/>
  <c r="C1068" i="31"/>
  <c r="L1060" i="31"/>
  <c r="M1060" i="31" s="1"/>
  <c r="F1059" i="31"/>
  <c r="F1060" i="31" s="1"/>
  <c r="E1059" i="31"/>
  <c r="E1060" i="31" s="1"/>
  <c r="D1059" i="31"/>
  <c r="D1060" i="31" s="1"/>
  <c r="B1059" i="31"/>
  <c r="B1060" i="31" s="1"/>
  <c r="C1060" i="31" s="1"/>
  <c r="A1059" i="31"/>
  <c r="G1058" i="31"/>
  <c r="C1058" i="31"/>
  <c r="L1050" i="31"/>
  <c r="M1050" i="31" s="1"/>
  <c r="F1049" i="31"/>
  <c r="F1050" i="31" s="1"/>
  <c r="E1049" i="31"/>
  <c r="E1050" i="31" s="1"/>
  <c r="D1049" i="31"/>
  <c r="D1050" i="31" s="1"/>
  <c r="B1049" i="31"/>
  <c r="B1050" i="31" s="1"/>
  <c r="C1050" i="31" s="1"/>
  <c r="A1049" i="31"/>
  <c r="A1050" i="31" s="1"/>
  <c r="G1048" i="31"/>
  <c r="C1048" i="31"/>
  <c r="L1040" i="31"/>
  <c r="M1040" i="31" s="1"/>
  <c r="H1040" i="31"/>
  <c r="F1039" i="31"/>
  <c r="F1040" i="31" s="1"/>
  <c r="E1039" i="31"/>
  <c r="E1040" i="31" s="1"/>
  <c r="D1039" i="31"/>
  <c r="D1040" i="31" s="1"/>
  <c r="B1039" i="31"/>
  <c r="B1040" i="31" s="1"/>
  <c r="C1040" i="31" s="1"/>
  <c r="A1039" i="31"/>
  <c r="A1040" i="31" s="1"/>
  <c r="G1038" i="31"/>
  <c r="C1038" i="31"/>
  <c r="L1030" i="31"/>
  <c r="M1030" i="31" s="1"/>
  <c r="F1029" i="31"/>
  <c r="F1030" i="31" s="1"/>
  <c r="E1029" i="31"/>
  <c r="E1030" i="31" s="1"/>
  <c r="D1029" i="31"/>
  <c r="D1030" i="31" s="1"/>
  <c r="B1029" i="31"/>
  <c r="B1030" i="31" s="1"/>
  <c r="C1030" i="31" s="1"/>
  <c r="A1029" i="31"/>
  <c r="A1030" i="31" s="1"/>
  <c r="G1028" i="31"/>
  <c r="C1028" i="31"/>
  <c r="L1020" i="31"/>
  <c r="M1020" i="31" s="1"/>
  <c r="F1019" i="31"/>
  <c r="F1020" i="31" s="1"/>
  <c r="E1019" i="31"/>
  <c r="D1019" i="31"/>
  <c r="D1020" i="31" s="1"/>
  <c r="B1019" i="31"/>
  <c r="B1020" i="31" s="1"/>
  <c r="C1020" i="31" s="1"/>
  <c r="A1019" i="31"/>
  <c r="G1018" i="31"/>
  <c r="C1018" i="31"/>
  <c r="L1010" i="31"/>
  <c r="M1010" i="31" s="1"/>
  <c r="F1009" i="31"/>
  <c r="F1010" i="31" s="1"/>
  <c r="E1009" i="31"/>
  <c r="E1010" i="31" s="1"/>
  <c r="D1009" i="31"/>
  <c r="D1010" i="31" s="1"/>
  <c r="B1009" i="31"/>
  <c r="B1010" i="31" s="1"/>
  <c r="C1010" i="31" s="1"/>
  <c r="A1009" i="31"/>
  <c r="G1008" i="31"/>
  <c r="C1008" i="31"/>
  <c r="L1000" i="31"/>
  <c r="M1000" i="31" s="1"/>
  <c r="F999" i="31"/>
  <c r="F1000" i="31" s="1"/>
  <c r="E999" i="31"/>
  <c r="E1000" i="31" s="1"/>
  <c r="D999" i="31"/>
  <c r="D1000" i="31" s="1"/>
  <c r="B999" i="31"/>
  <c r="B1000" i="31" s="1"/>
  <c r="C1000" i="31" s="1"/>
  <c r="A999" i="31"/>
  <c r="G998" i="31"/>
  <c r="C998" i="31"/>
  <c r="L990" i="31"/>
  <c r="M990" i="31" s="1"/>
  <c r="F989" i="31"/>
  <c r="F990" i="31" s="1"/>
  <c r="E989" i="31"/>
  <c r="E990" i="31" s="1"/>
  <c r="D989" i="31"/>
  <c r="D990" i="31" s="1"/>
  <c r="B989" i="31"/>
  <c r="B990" i="31" s="1"/>
  <c r="C990" i="31" s="1"/>
  <c r="A989" i="31"/>
  <c r="A990" i="31" s="1"/>
  <c r="G988" i="31"/>
  <c r="C988" i="31"/>
  <c r="L987" i="31"/>
  <c r="M987" i="31" s="1"/>
  <c r="L977" i="31"/>
  <c r="M977" i="31" s="1"/>
  <c r="L980" i="31"/>
  <c r="L983" i="31"/>
  <c r="M980" i="31"/>
  <c r="F979" i="31"/>
  <c r="F980" i="31" s="1"/>
  <c r="E979" i="31"/>
  <c r="E980" i="31" s="1"/>
  <c r="D979" i="31"/>
  <c r="D980" i="31" s="1"/>
  <c r="B979" i="31"/>
  <c r="B980" i="31" s="1"/>
  <c r="C980" i="31" s="1"/>
  <c r="A979" i="31"/>
  <c r="A980" i="31" s="1"/>
  <c r="G978" i="31"/>
  <c r="C978" i="31"/>
  <c r="L970" i="31"/>
  <c r="M970" i="31" s="1"/>
  <c r="H970" i="31"/>
  <c r="F969" i="31"/>
  <c r="F970" i="31" s="1"/>
  <c r="E969" i="31"/>
  <c r="E970" i="31" s="1"/>
  <c r="D969" i="31"/>
  <c r="D970" i="31" s="1"/>
  <c r="B969" i="31"/>
  <c r="B970" i="31" s="1"/>
  <c r="C970" i="31" s="1"/>
  <c r="A969" i="31"/>
  <c r="A970" i="31" s="1"/>
  <c r="G968" i="31"/>
  <c r="C968" i="31"/>
  <c r="L963" i="31"/>
  <c r="L967" i="31"/>
  <c r="M967" i="31" s="1"/>
  <c r="L960" i="31"/>
  <c r="M960" i="31" s="1"/>
  <c r="F959" i="31"/>
  <c r="F960" i="31" s="1"/>
  <c r="E959" i="31"/>
  <c r="E960" i="31" s="1"/>
  <c r="D959" i="31"/>
  <c r="D960" i="31" s="1"/>
  <c r="B959" i="31"/>
  <c r="B960" i="31" s="1"/>
  <c r="C960" i="31" s="1"/>
  <c r="A959" i="31"/>
  <c r="G958" i="31"/>
  <c r="C958" i="31"/>
  <c r="L947" i="31"/>
  <c r="L950" i="31"/>
  <c r="L953" i="31"/>
  <c r="L957" i="31"/>
  <c r="N55" i="45" l="1"/>
  <c r="M122" i="45"/>
  <c r="Q240" i="45"/>
  <c r="Q200" i="45"/>
  <c r="P55" i="45"/>
  <c r="Q55" i="45"/>
  <c r="Q20" i="45"/>
  <c r="Q155" i="45"/>
  <c r="Q95" i="45"/>
  <c r="Q115" i="45"/>
  <c r="P240" i="45"/>
  <c r="P200" i="45"/>
  <c r="N380" i="45"/>
  <c r="P380" i="45"/>
  <c r="P95" i="45"/>
  <c r="P115" i="45"/>
  <c r="P20" i="45"/>
  <c r="N420" i="45"/>
  <c r="P420" i="45"/>
  <c r="P155" i="45"/>
  <c r="M182" i="45"/>
  <c r="M102" i="45"/>
  <c r="M137" i="45"/>
  <c r="Q135" i="45" s="1"/>
  <c r="M162" i="45"/>
  <c r="M177" i="45"/>
  <c r="Q175" i="45" s="1"/>
  <c r="M63" i="45"/>
  <c r="P60" i="45" s="1"/>
  <c r="M142" i="45"/>
  <c r="M302" i="45"/>
  <c r="Q300" i="45" s="1"/>
  <c r="N240" i="45"/>
  <c r="N200" i="45"/>
  <c r="N155" i="45"/>
  <c r="N95" i="45"/>
  <c r="N20" i="45"/>
  <c r="N115" i="45"/>
  <c r="B343" i="45"/>
  <c r="G340" i="45"/>
  <c r="G341" i="45" s="1"/>
  <c r="G342" i="45" s="1"/>
  <c r="G343" i="45" s="1"/>
  <c r="G344" i="45" s="1"/>
  <c r="B363" i="45"/>
  <c r="G360" i="45"/>
  <c r="G361" i="45" s="1"/>
  <c r="G362" i="45" s="1"/>
  <c r="G363" i="45" s="1"/>
  <c r="G364" i="45" s="1"/>
  <c r="B283" i="45"/>
  <c r="G280" i="45"/>
  <c r="G281" i="45" s="1"/>
  <c r="G282" i="45" s="1"/>
  <c r="G283" i="45" s="1"/>
  <c r="G284" i="45" s="1"/>
  <c r="B203" i="45"/>
  <c r="G200" i="45"/>
  <c r="G201" i="45" s="1"/>
  <c r="G202" i="45" s="1"/>
  <c r="G203" i="45" s="1"/>
  <c r="G204" i="45" s="1"/>
  <c r="B323" i="45"/>
  <c r="G320" i="45"/>
  <c r="G321" i="45" s="1"/>
  <c r="G322" i="45" s="1"/>
  <c r="G323" i="45" s="1"/>
  <c r="G324" i="45" s="1"/>
  <c r="B183" i="45"/>
  <c r="C183" i="45" s="1"/>
  <c r="C180" i="45"/>
  <c r="M180" i="45" s="1"/>
  <c r="G180" i="45"/>
  <c r="G181" i="45" s="1"/>
  <c r="G182" i="45" s="1"/>
  <c r="G183" i="45" s="1"/>
  <c r="G184" i="45" s="1"/>
  <c r="B163" i="45"/>
  <c r="C163" i="45" s="1"/>
  <c r="M163" i="45" s="1"/>
  <c r="C160" i="45"/>
  <c r="M160" i="45" s="1"/>
  <c r="G160" i="45"/>
  <c r="G161" i="45" s="1"/>
  <c r="G162" i="45" s="1"/>
  <c r="G163" i="45" s="1"/>
  <c r="G164" i="45" s="1"/>
  <c r="B143" i="45"/>
  <c r="C143" i="45" s="1"/>
  <c r="M143" i="45" s="1"/>
  <c r="C140" i="45"/>
  <c r="M140" i="45" s="1"/>
  <c r="G140" i="45"/>
  <c r="G141" i="45" s="1"/>
  <c r="G142" i="45" s="1"/>
  <c r="G143" i="45" s="1"/>
  <c r="G144" i="45" s="1"/>
  <c r="B123" i="45"/>
  <c r="C123" i="45" s="1"/>
  <c r="C120" i="45"/>
  <c r="M120" i="45" s="1"/>
  <c r="G120" i="45"/>
  <c r="G121" i="45" s="1"/>
  <c r="G122" i="45" s="1"/>
  <c r="G123" i="45" s="1"/>
  <c r="G124" i="45" s="1"/>
  <c r="B103" i="45"/>
  <c r="C103" i="45" s="1"/>
  <c r="C100" i="45"/>
  <c r="M100" i="45" s="1"/>
  <c r="G100" i="45"/>
  <c r="G101" i="45" s="1"/>
  <c r="G102" i="45" s="1"/>
  <c r="G103" i="45" s="1"/>
  <c r="G104" i="45" s="1"/>
  <c r="G1309" i="31"/>
  <c r="C1469" i="31"/>
  <c r="G1349" i="31"/>
  <c r="B1326" i="31"/>
  <c r="C1326" i="31" s="1"/>
  <c r="C1325" i="31"/>
  <c r="G1459" i="31"/>
  <c r="A1460" i="31"/>
  <c r="G1479" i="31"/>
  <c r="A1480" i="31"/>
  <c r="B1320" i="31"/>
  <c r="C1320" i="31" s="1"/>
  <c r="C1319" i="31"/>
  <c r="B1440" i="31"/>
  <c r="C1440" i="31" s="1"/>
  <c r="C1439" i="31"/>
  <c r="G1449" i="31"/>
  <c r="A1450" i="31"/>
  <c r="G1489" i="31"/>
  <c r="A1490" i="31"/>
  <c r="G1259" i="31"/>
  <c r="G1279" i="31"/>
  <c r="G1359" i="31"/>
  <c r="G1499" i="31"/>
  <c r="G1490" i="31"/>
  <c r="C1489" i="31"/>
  <c r="G1480" i="31"/>
  <c r="C1479" i="31"/>
  <c r="G1470" i="31"/>
  <c r="G1469" i="31"/>
  <c r="G1460" i="31"/>
  <c r="C1459" i="31"/>
  <c r="G1450" i="31"/>
  <c r="C1449" i="31"/>
  <c r="G1429" i="31"/>
  <c r="G1439" i="31"/>
  <c r="A1440" i="31"/>
  <c r="G1440" i="31" s="1"/>
  <c r="E1440" i="31"/>
  <c r="G1500" i="31"/>
  <c r="C1499" i="31"/>
  <c r="G1419" i="31"/>
  <c r="G1430" i="31"/>
  <c r="C1429" i="31"/>
  <c r="G1409" i="31"/>
  <c r="G1420" i="31"/>
  <c r="C1419" i="31"/>
  <c r="C1399" i="31"/>
  <c r="G1410" i="31"/>
  <c r="C1409" i="31"/>
  <c r="G1389" i="31"/>
  <c r="G1400" i="31"/>
  <c r="G1399" i="31"/>
  <c r="G1379" i="31"/>
  <c r="G1390" i="31"/>
  <c r="C1389" i="31"/>
  <c r="G1369" i="31"/>
  <c r="G1380" i="31"/>
  <c r="C1379" i="31"/>
  <c r="A1360" i="31"/>
  <c r="G1370" i="31"/>
  <c r="C1369" i="31"/>
  <c r="A1350" i="31"/>
  <c r="G1350" i="31" s="1"/>
  <c r="G1360" i="31"/>
  <c r="C1359" i="31"/>
  <c r="G1339" i="31"/>
  <c r="C1349" i="31"/>
  <c r="G1326" i="31"/>
  <c r="G1329" i="31"/>
  <c r="G1340" i="31"/>
  <c r="C1339" i="31"/>
  <c r="G1325" i="31"/>
  <c r="G1330" i="31"/>
  <c r="C1329" i="31"/>
  <c r="A1310" i="31"/>
  <c r="G1320" i="31"/>
  <c r="G1319" i="31"/>
  <c r="G1299" i="31"/>
  <c r="G1310" i="31"/>
  <c r="C1309" i="31"/>
  <c r="G1289" i="31"/>
  <c r="G1300" i="31"/>
  <c r="C1299" i="31"/>
  <c r="A1280" i="31"/>
  <c r="G1290" i="31"/>
  <c r="C1289" i="31"/>
  <c r="G1269" i="31"/>
  <c r="G1280" i="31"/>
  <c r="C1279" i="31"/>
  <c r="A1260" i="31"/>
  <c r="G1270" i="31"/>
  <c r="C1269" i="31"/>
  <c r="C1249" i="31"/>
  <c r="G1260" i="31"/>
  <c r="C1259" i="31"/>
  <c r="G1239" i="31"/>
  <c r="G1250" i="31"/>
  <c r="G1249" i="31"/>
  <c r="G1240" i="31"/>
  <c r="C1239" i="31"/>
  <c r="G1229" i="31"/>
  <c r="A1230" i="31"/>
  <c r="G1230" i="31" s="1"/>
  <c r="C1229" i="31"/>
  <c r="G959" i="31"/>
  <c r="G999" i="31"/>
  <c r="G1009" i="31"/>
  <c r="C1019" i="31"/>
  <c r="G1149" i="31"/>
  <c r="G1209" i="31"/>
  <c r="G1139" i="31"/>
  <c r="C1089" i="31"/>
  <c r="G1059" i="31"/>
  <c r="G1079" i="31"/>
  <c r="G1129" i="31"/>
  <c r="G1159" i="31"/>
  <c r="C1179" i="31"/>
  <c r="A1210" i="31"/>
  <c r="C1219" i="31"/>
  <c r="G1219" i="31"/>
  <c r="A1220" i="31"/>
  <c r="G1220" i="31" s="1"/>
  <c r="E1220" i="31"/>
  <c r="G1199" i="31"/>
  <c r="G1210" i="31"/>
  <c r="C1209" i="31"/>
  <c r="G1189" i="31"/>
  <c r="G1200" i="31"/>
  <c r="C1199" i="31"/>
  <c r="G1190" i="31"/>
  <c r="C1189" i="31"/>
  <c r="G1169" i="31"/>
  <c r="G1180" i="31"/>
  <c r="G1179" i="31"/>
  <c r="A1160" i="31"/>
  <c r="G1170" i="31"/>
  <c r="C1169" i="31"/>
  <c r="A1150" i="31"/>
  <c r="G1150" i="31" s="1"/>
  <c r="G1160" i="31"/>
  <c r="C1159" i="31"/>
  <c r="A1140" i="31"/>
  <c r="G1140" i="31" s="1"/>
  <c r="A1130" i="31"/>
  <c r="G1130" i="31" s="1"/>
  <c r="C1149" i="31"/>
  <c r="G1119" i="31"/>
  <c r="C1129" i="31"/>
  <c r="C1109" i="31"/>
  <c r="G1120" i="31"/>
  <c r="C1119" i="31"/>
  <c r="G1099" i="31"/>
  <c r="G1110" i="31"/>
  <c r="G1109" i="31"/>
  <c r="G1100" i="31"/>
  <c r="C1099" i="31"/>
  <c r="G1069" i="31"/>
  <c r="A1080" i="31"/>
  <c r="G1089" i="31"/>
  <c r="A1090" i="31"/>
  <c r="G1090" i="31" s="1"/>
  <c r="E1090" i="31"/>
  <c r="G1080" i="31"/>
  <c r="C1079" i="31"/>
  <c r="C1139" i="31"/>
  <c r="A1060" i="31"/>
  <c r="G1070" i="31"/>
  <c r="C1069" i="31"/>
  <c r="G1049" i="31"/>
  <c r="G1060" i="31"/>
  <c r="C1059" i="31"/>
  <c r="C1039" i="31"/>
  <c r="G1050" i="31"/>
  <c r="C1049" i="31"/>
  <c r="G1029" i="31"/>
  <c r="G1040" i="31"/>
  <c r="G1039" i="31"/>
  <c r="G1030" i="31"/>
  <c r="C1029" i="31"/>
  <c r="C969" i="31"/>
  <c r="A1010" i="31"/>
  <c r="G1010" i="31" s="1"/>
  <c r="G1019" i="31"/>
  <c r="A1020" i="31"/>
  <c r="G1020" i="31" s="1"/>
  <c r="E1020" i="31"/>
  <c r="A1000" i="31"/>
  <c r="G1000" i="31" s="1"/>
  <c r="C1009" i="31"/>
  <c r="G989" i="31"/>
  <c r="C999" i="31"/>
  <c r="G979" i="31"/>
  <c r="G990" i="31"/>
  <c r="C989" i="31"/>
  <c r="G980" i="31"/>
  <c r="C979" i="31"/>
  <c r="A960" i="31"/>
  <c r="G960" i="31" s="1"/>
  <c r="G970" i="31"/>
  <c r="G969" i="31"/>
  <c r="C959" i="31"/>
  <c r="Q140" i="45" l="1"/>
  <c r="N60" i="45"/>
  <c r="Q160" i="45"/>
  <c r="Q60" i="45"/>
  <c r="P160" i="45"/>
  <c r="P140" i="45"/>
  <c r="N175" i="45"/>
  <c r="P175" i="45"/>
  <c r="N135" i="45"/>
  <c r="P135" i="45"/>
  <c r="N300" i="45"/>
  <c r="P300" i="45"/>
  <c r="M103" i="45"/>
  <c r="P100" i="45" s="1"/>
  <c r="M183" i="45"/>
  <c r="N180" i="45" s="1"/>
  <c r="M123" i="45"/>
  <c r="P120" i="45" s="1"/>
  <c r="N140" i="45"/>
  <c r="N100" i="45"/>
  <c r="N160" i="45"/>
  <c r="M950" i="31"/>
  <c r="F949" i="31"/>
  <c r="F950" i="31" s="1"/>
  <c r="E949" i="31"/>
  <c r="E950" i="31" s="1"/>
  <c r="D949" i="31"/>
  <c r="D950" i="31" s="1"/>
  <c r="B949" i="31"/>
  <c r="B950" i="31" s="1"/>
  <c r="C950" i="31" s="1"/>
  <c r="A949" i="31"/>
  <c r="G948" i="31"/>
  <c r="C948" i="31"/>
  <c r="L940" i="31"/>
  <c r="M940" i="31" s="1"/>
  <c r="F939" i="31"/>
  <c r="F940" i="31" s="1"/>
  <c r="E939" i="31"/>
  <c r="D939" i="31"/>
  <c r="D940" i="31" s="1"/>
  <c r="B939" i="31"/>
  <c r="B940" i="31" s="1"/>
  <c r="C940" i="31" s="1"/>
  <c r="A939" i="31"/>
  <c r="G938" i="31"/>
  <c r="C938" i="31"/>
  <c r="L930" i="31"/>
  <c r="M930" i="31" s="1"/>
  <c r="F929" i="31"/>
  <c r="F930" i="31" s="1"/>
  <c r="E929" i="31"/>
  <c r="E930" i="31" s="1"/>
  <c r="D929" i="31"/>
  <c r="D930" i="31" s="1"/>
  <c r="B929" i="31"/>
  <c r="B930" i="31" s="1"/>
  <c r="C930" i="31" s="1"/>
  <c r="A929" i="31"/>
  <c r="A930" i="31" s="1"/>
  <c r="G928" i="31"/>
  <c r="C928" i="31"/>
  <c r="L920" i="31"/>
  <c r="M920" i="31" s="1"/>
  <c r="F919" i="31"/>
  <c r="F920" i="31" s="1"/>
  <c r="E919" i="31"/>
  <c r="E920" i="31" s="1"/>
  <c r="D919" i="31"/>
  <c r="D920" i="31" s="1"/>
  <c r="B919" i="31"/>
  <c r="B920" i="31" s="1"/>
  <c r="C920" i="31" s="1"/>
  <c r="A919" i="31"/>
  <c r="A920" i="31" s="1"/>
  <c r="G918" i="31"/>
  <c r="C918" i="31"/>
  <c r="L910" i="31"/>
  <c r="M910" i="31" s="1"/>
  <c r="F909" i="31"/>
  <c r="F910" i="31" s="1"/>
  <c r="E909" i="31"/>
  <c r="D909" i="31"/>
  <c r="D910" i="31" s="1"/>
  <c r="B909" i="31"/>
  <c r="B910" i="31" s="1"/>
  <c r="C910" i="31" s="1"/>
  <c r="A909" i="31"/>
  <c r="G908" i="31"/>
  <c r="C908" i="31"/>
  <c r="L900" i="31"/>
  <c r="M900" i="31" s="1"/>
  <c r="H900" i="31"/>
  <c r="F899" i="31"/>
  <c r="F900" i="31" s="1"/>
  <c r="E899" i="31"/>
  <c r="E900" i="31" s="1"/>
  <c r="D899" i="31"/>
  <c r="D900" i="31" s="1"/>
  <c r="B899" i="31"/>
  <c r="B900" i="31" s="1"/>
  <c r="C900" i="31" s="1"/>
  <c r="A899" i="31"/>
  <c r="A900" i="31" s="1"/>
  <c r="G898" i="31"/>
  <c r="C898" i="31"/>
  <c r="L890" i="31"/>
  <c r="M890" i="31" s="1"/>
  <c r="F889" i="31"/>
  <c r="F890" i="31" s="1"/>
  <c r="E889" i="31"/>
  <c r="E890" i="31" s="1"/>
  <c r="D889" i="31"/>
  <c r="D890" i="31" s="1"/>
  <c r="B889" i="31"/>
  <c r="B890" i="31" s="1"/>
  <c r="C890" i="31" s="1"/>
  <c r="A889" i="31"/>
  <c r="A890" i="31" s="1"/>
  <c r="G888" i="31"/>
  <c r="C888" i="31"/>
  <c r="L880" i="31"/>
  <c r="M880" i="31" s="1"/>
  <c r="F879" i="31"/>
  <c r="F880" i="31" s="1"/>
  <c r="E879" i="31"/>
  <c r="E880" i="31" s="1"/>
  <c r="D879" i="31"/>
  <c r="D880" i="31" s="1"/>
  <c r="B879" i="31"/>
  <c r="B880" i="31" s="1"/>
  <c r="C880" i="31" s="1"/>
  <c r="A879" i="31"/>
  <c r="A880" i="31" s="1"/>
  <c r="G878" i="31"/>
  <c r="C878" i="31"/>
  <c r="L870" i="31"/>
  <c r="M870" i="31" s="1"/>
  <c r="F869" i="31"/>
  <c r="F870" i="31" s="1"/>
  <c r="E869" i="31"/>
  <c r="E870" i="31" s="1"/>
  <c r="D869" i="31"/>
  <c r="D870" i="31" s="1"/>
  <c r="B869" i="31"/>
  <c r="B870" i="31" s="1"/>
  <c r="C870" i="31" s="1"/>
  <c r="A869" i="31"/>
  <c r="A870" i="31" s="1"/>
  <c r="G868" i="31"/>
  <c r="C868" i="31"/>
  <c r="L860" i="31"/>
  <c r="M860" i="31" s="1"/>
  <c r="F859" i="31"/>
  <c r="F860" i="31" s="1"/>
  <c r="E859" i="31"/>
  <c r="E860" i="31" s="1"/>
  <c r="D859" i="31"/>
  <c r="D860" i="31" s="1"/>
  <c r="B859" i="31"/>
  <c r="B860" i="31" s="1"/>
  <c r="C860" i="31" s="1"/>
  <c r="A859" i="31"/>
  <c r="G858" i="31"/>
  <c r="C858" i="31"/>
  <c r="L850" i="31"/>
  <c r="M850" i="31" s="1"/>
  <c r="F849" i="31"/>
  <c r="F850" i="31" s="1"/>
  <c r="E849" i="31"/>
  <c r="E850" i="31" s="1"/>
  <c r="D849" i="31"/>
  <c r="D850" i="31" s="1"/>
  <c r="B849" i="31"/>
  <c r="B850" i="31" s="1"/>
  <c r="C850" i="31" s="1"/>
  <c r="A849" i="31"/>
  <c r="A850" i="31" s="1"/>
  <c r="G848" i="31"/>
  <c r="C848" i="31"/>
  <c r="L840" i="31"/>
  <c r="M840" i="31" s="1"/>
  <c r="F839" i="31"/>
  <c r="F840" i="31" s="1"/>
  <c r="E839" i="31"/>
  <c r="E840" i="31" s="1"/>
  <c r="D839" i="31"/>
  <c r="D840" i="31" s="1"/>
  <c r="B839" i="31"/>
  <c r="B840" i="31" s="1"/>
  <c r="C840" i="31" s="1"/>
  <c r="A839" i="31"/>
  <c r="A840" i="31" s="1"/>
  <c r="G838" i="31"/>
  <c r="C838" i="31"/>
  <c r="L830" i="31"/>
  <c r="M830" i="31" s="1"/>
  <c r="H830" i="31"/>
  <c r="F829" i="31"/>
  <c r="F830" i="31" s="1"/>
  <c r="E829" i="31"/>
  <c r="E830" i="31" s="1"/>
  <c r="D829" i="31"/>
  <c r="D830" i="31" s="1"/>
  <c r="B829" i="31"/>
  <c r="B830" i="31" s="1"/>
  <c r="C830" i="31" s="1"/>
  <c r="A829" i="31"/>
  <c r="A830" i="31" s="1"/>
  <c r="G828" i="31"/>
  <c r="C828" i="31"/>
  <c r="L820" i="31"/>
  <c r="M820" i="31" s="1"/>
  <c r="F819" i="31"/>
  <c r="F820" i="31" s="1"/>
  <c r="E819" i="31"/>
  <c r="E820" i="31" s="1"/>
  <c r="D819" i="31"/>
  <c r="D820" i="31" s="1"/>
  <c r="B819" i="31"/>
  <c r="B820" i="31" s="1"/>
  <c r="C820" i="31" s="1"/>
  <c r="A819" i="31"/>
  <c r="G818" i="31"/>
  <c r="C818" i="31"/>
  <c r="L810" i="31"/>
  <c r="M810" i="31" s="1"/>
  <c r="F809" i="31"/>
  <c r="F810" i="31" s="1"/>
  <c r="E809" i="31"/>
  <c r="D809" i="31"/>
  <c r="D810" i="31" s="1"/>
  <c r="B809" i="31"/>
  <c r="B810" i="31" s="1"/>
  <c r="C810" i="31" s="1"/>
  <c r="A809" i="31"/>
  <c r="G808" i="31"/>
  <c r="C808" i="31"/>
  <c r="L800" i="31"/>
  <c r="M800" i="31" s="1"/>
  <c r="F799" i="31"/>
  <c r="F800" i="31" s="1"/>
  <c r="E799" i="31"/>
  <c r="E800" i="31" s="1"/>
  <c r="D799" i="31"/>
  <c r="D800" i="31" s="1"/>
  <c r="B799" i="31"/>
  <c r="B800" i="31" s="1"/>
  <c r="C800" i="31" s="1"/>
  <c r="A799" i="31"/>
  <c r="G798" i="31"/>
  <c r="C798" i="31"/>
  <c r="L790" i="31"/>
  <c r="M790" i="31" s="1"/>
  <c r="F789" i="31"/>
  <c r="F790" i="31" s="1"/>
  <c r="E789" i="31"/>
  <c r="E790" i="31" s="1"/>
  <c r="D789" i="31"/>
  <c r="D790" i="31" s="1"/>
  <c r="B789" i="31"/>
  <c r="B790" i="31" s="1"/>
  <c r="C790" i="31" s="1"/>
  <c r="A789" i="31"/>
  <c r="A790" i="31" s="1"/>
  <c r="G788" i="31"/>
  <c r="C788" i="31"/>
  <c r="L780" i="31"/>
  <c r="M780" i="31" s="1"/>
  <c r="F779" i="31"/>
  <c r="F780" i="31" s="1"/>
  <c r="E779" i="31"/>
  <c r="E780" i="31" s="1"/>
  <c r="D779" i="31"/>
  <c r="D780" i="31" s="1"/>
  <c r="B779" i="31"/>
  <c r="B780" i="31" s="1"/>
  <c r="C780" i="31" s="1"/>
  <c r="A779" i="31"/>
  <c r="A780" i="31" s="1"/>
  <c r="G778" i="31"/>
  <c r="C778" i="31"/>
  <c r="L770" i="31"/>
  <c r="M770" i="31" s="1"/>
  <c r="F769" i="31"/>
  <c r="F770" i="31" s="1"/>
  <c r="E769" i="31"/>
  <c r="E770" i="31" s="1"/>
  <c r="D769" i="31"/>
  <c r="D770" i="31" s="1"/>
  <c r="B769" i="31"/>
  <c r="B770" i="31" s="1"/>
  <c r="C770" i="31" s="1"/>
  <c r="A769" i="31"/>
  <c r="A770" i="31" s="1"/>
  <c r="G768" i="31"/>
  <c r="C768" i="31"/>
  <c r="L760" i="31"/>
  <c r="M760" i="31" s="1"/>
  <c r="H760" i="31"/>
  <c r="F759" i="31"/>
  <c r="F760" i="31" s="1"/>
  <c r="E759" i="31"/>
  <c r="E760" i="31" s="1"/>
  <c r="D759" i="31"/>
  <c r="D760" i="31" s="1"/>
  <c r="B759" i="31"/>
  <c r="B760" i="31" s="1"/>
  <c r="C760" i="31" s="1"/>
  <c r="A759" i="31"/>
  <c r="A760" i="31" s="1"/>
  <c r="G758" i="31"/>
  <c r="C758" i="31"/>
  <c r="L750" i="31"/>
  <c r="M750" i="31" s="1"/>
  <c r="F749" i="31"/>
  <c r="F750" i="31" s="1"/>
  <c r="E749" i="31"/>
  <c r="E750" i="31" s="1"/>
  <c r="D749" i="31"/>
  <c r="D750" i="31" s="1"/>
  <c r="B749" i="31"/>
  <c r="B750" i="31" s="1"/>
  <c r="C750" i="31" s="1"/>
  <c r="A749" i="31"/>
  <c r="G748" i="31"/>
  <c r="C748" i="31"/>
  <c r="L740" i="31"/>
  <c r="M740" i="31" s="1"/>
  <c r="H739" i="31"/>
  <c r="H740" i="31" s="1"/>
  <c r="F739" i="31"/>
  <c r="F740" i="31" s="1"/>
  <c r="E739" i="31"/>
  <c r="E740" i="31" s="1"/>
  <c r="D739" i="31"/>
  <c r="D740" i="31" s="1"/>
  <c r="B739" i="31"/>
  <c r="C739" i="31" s="1"/>
  <c r="A739" i="31"/>
  <c r="A740" i="31" s="1"/>
  <c r="G738" i="31"/>
  <c r="C738" i="31"/>
  <c r="L730" i="31"/>
  <c r="M730" i="31" s="1"/>
  <c r="F729" i="31"/>
  <c r="F730" i="31" s="1"/>
  <c r="E729" i="31"/>
  <c r="D729" i="31"/>
  <c r="D730" i="31" s="1"/>
  <c r="B729" i="31"/>
  <c r="B730" i="31" s="1"/>
  <c r="C730" i="31" s="1"/>
  <c r="A729" i="31"/>
  <c r="G728" i="31"/>
  <c r="C728" i="31"/>
  <c r="L720" i="31"/>
  <c r="M720" i="31" s="1"/>
  <c r="F719" i="31"/>
  <c r="F720" i="31" s="1"/>
  <c r="E719" i="31"/>
  <c r="E720" i="31" s="1"/>
  <c r="D719" i="31"/>
  <c r="D720" i="31" s="1"/>
  <c r="B719" i="31"/>
  <c r="B720" i="31" s="1"/>
  <c r="C720" i="31" s="1"/>
  <c r="A719" i="31"/>
  <c r="A720" i="31" s="1"/>
  <c r="G718" i="31"/>
  <c r="C718" i="31"/>
  <c r="L710" i="31"/>
  <c r="M710" i="31" s="1"/>
  <c r="F709" i="31"/>
  <c r="F710" i="31" s="1"/>
  <c r="E709" i="31"/>
  <c r="E710" i="31" s="1"/>
  <c r="D709" i="31"/>
  <c r="D710" i="31" s="1"/>
  <c r="B709" i="31"/>
  <c r="B710" i="31" s="1"/>
  <c r="C710" i="31" s="1"/>
  <c r="A709" i="31"/>
  <c r="A710" i="31" s="1"/>
  <c r="G708" i="31"/>
  <c r="C708" i="31"/>
  <c r="L700" i="31"/>
  <c r="M700" i="31" s="1"/>
  <c r="F699" i="31"/>
  <c r="F700" i="31" s="1"/>
  <c r="E699" i="31"/>
  <c r="E700" i="31" s="1"/>
  <c r="D699" i="31"/>
  <c r="D700" i="31" s="1"/>
  <c r="B699" i="31"/>
  <c r="B700" i="31" s="1"/>
  <c r="C700" i="31" s="1"/>
  <c r="A699" i="31"/>
  <c r="A700" i="31" s="1"/>
  <c r="G698" i="31"/>
  <c r="C698" i="31"/>
  <c r="L690" i="31"/>
  <c r="M690" i="31" s="1"/>
  <c r="H690" i="31"/>
  <c r="F689" i="31"/>
  <c r="F690" i="31" s="1"/>
  <c r="E689" i="31"/>
  <c r="E690" i="31" s="1"/>
  <c r="D689" i="31"/>
  <c r="D690" i="31" s="1"/>
  <c r="B689" i="31"/>
  <c r="B690" i="31" s="1"/>
  <c r="C690" i="31" s="1"/>
  <c r="A689" i="31"/>
  <c r="A690" i="31" s="1"/>
  <c r="G688" i="31"/>
  <c r="C688" i="31"/>
  <c r="L680" i="31"/>
  <c r="M680" i="31" s="1"/>
  <c r="F679" i="31"/>
  <c r="F680" i="31" s="1"/>
  <c r="E679" i="31"/>
  <c r="E680" i="31" s="1"/>
  <c r="D679" i="31"/>
  <c r="D680" i="31" s="1"/>
  <c r="B679" i="31"/>
  <c r="C679" i="31" s="1"/>
  <c r="A679" i="31"/>
  <c r="A680" i="31" s="1"/>
  <c r="G678" i="31"/>
  <c r="C678" i="31"/>
  <c r="L670" i="31"/>
  <c r="M670" i="31" s="1"/>
  <c r="H669" i="31"/>
  <c r="H670" i="31" s="1"/>
  <c r="F669" i="31"/>
  <c r="F670" i="31" s="1"/>
  <c r="E669" i="31"/>
  <c r="E670" i="31" s="1"/>
  <c r="D669" i="31"/>
  <c r="D670" i="31" s="1"/>
  <c r="B669" i="31"/>
  <c r="B670" i="31" s="1"/>
  <c r="C670" i="31" s="1"/>
  <c r="A669" i="31"/>
  <c r="A670" i="31" s="1"/>
  <c r="G668" i="31"/>
  <c r="C668" i="31"/>
  <c r="L660" i="31"/>
  <c r="M660" i="31" s="1"/>
  <c r="H660" i="31"/>
  <c r="F659" i="31"/>
  <c r="F660" i="31" s="1"/>
  <c r="E659" i="31"/>
  <c r="E660" i="31" s="1"/>
  <c r="D659" i="31"/>
  <c r="D660" i="31" s="1"/>
  <c r="B659" i="31"/>
  <c r="B660" i="31" s="1"/>
  <c r="C660" i="31" s="1"/>
  <c r="A659" i="31"/>
  <c r="A660" i="31" s="1"/>
  <c r="G658" i="31"/>
  <c r="C658" i="31"/>
  <c r="L650" i="31"/>
  <c r="M650" i="31" s="1"/>
  <c r="H649" i="31"/>
  <c r="H650" i="31" s="1"/>
  <c r="F649" i="31"/>
  <c r="F650" i="31" s="1"/>
  <c r="E649" i="31"/>
  <c r="E650" i="31" s="1"/>
  <c r="D649" i="31"/>
  <c r="D650" i="31" s="1"/>
  <c r="B649" i="31"/>
  <c r="C649" i="31" s="1"/>
  <c r="A649" i="31"/>
  <c r="A650" i="31" s="1"/>
  <c r="G648" i="31"/>
  <c r="C648" i="31"/>
  <c r="L640" i="31"/>
  <c r="M640" i="31" s="1"/>
  <c r="F639" i="31"/>
  <c r="F640" i="31" s="1"/>
  <c r="E639" i="31"/>
  <c r="E640" i="31" s="1"/>
  <c r="D639" i="31"/>
  <c r="D640" i="31" s="1"/>
  <c r="B639" i="31"/>
  <c r="B640" i="31" s="1"/>
  <c r="C640" i="31" s="1"/>
  <c r="A639" i="31"/>
  <c r="G638" i="31"/>
  <c r="C638" i="31"/>
  <c r="L630" i="31"/>
  <c r="M630" i="31" s="1"/>
  <c r="H629" i="31"/>
  <c r="H630" i="31" s="1"/>
  <c r="F629" i="31"/>
  <c r="F630" i="31" s="1"/>
  <c r="E629" i="31"/>
  <c r="E630" i="31" s="1"/>
  <c r="D629" i="31"/>
  <c r="D630" i="31" s="1"/>
  <c r="B629" i="31"/>
  <c r="C629" i="31" s="1"/>
  <c r="A629" i="31"/>
  <c r="A630" i="31" s="1"/>
  <c r="G628" i="31"/>
  <c r="C628" i="31"/>
  <c r="L620" i="31"/>
  <c r="M620" i="31" s="1"/>
  <c r="H619" i="31"/>
  <c r="H620" i="31" s="1"/>
  <c r="F619" i="31"/>
  <c r="F620" i="31" s="1"/>
  <c r="E619" i="31"/>
  <c r="E620" i="31" s="1"/>
  <c r="D619" i="31"/>
  <c r="D620" i="31" s="1"/>
  <c r="B619" i="31"/>
  <c r="C619" i="31" s="1"/>
  <c r="A619" i="31"/>
  <c r="A620" i="31" s="1"/>
  <c r="G618" i="31"/>
  <c r="C618" i="31"/>
  <c r="L610" i="31"/>
  <c r="M610" i="31" s="1"/>
  <c r="F609" i="31"/>
  <c r="F610" i="31" s="1"/>
  <c r="E609" i="31"/>
  <c r="E610" i="31" s="1"/>
  <c r="D609" i="31"/>
  <c r="D610" i="31" s="1"/>
  <c r="B609" i="31"/>
  <c r="B610" i="31" s="1"/>
  <c r="C610" i="31" s="1"/>
  <c r="A609" i="31"/>
  <c r="G608" i="31"/>
  <c r="C608" i="31"/>
  <c r="L590" i="31"/>
  <c r="M590" i="31" s="1"/>
  <c r="L600" i="31"/>
  <c r="M600" i="31" s="1"/>
  <c r="H599" i="31"/>
  <c r="H600" i="31" s="1"/>
  <c r="F599" i="31"/>
  <c r="F600" i="31" s="1"/>
  <c r="E599" i="31"/>
  <c r="D599" i="31"/>
  <c r="D600" i="31" s="1"/>
  <c r="B599" i="31"/>
  <c r="B600" i="31" s="1"/>
  <c r="C600" i="31" s="1"/>
  <c r="A599" i="31"/>
  <c r="G598" i="31"/>
  <c r="C598" i="31"/>
  <c r="H590" i="31"/>
  <c r="F589" i="31"/>
  <c r="F590" i="31" s="1"/>
  <c r="E589" i="31"/>
  <c r="E590" i="31" s="1"/>
  <c r="D589" i="31"/>
  <c r="D590" i="31" s="1"/>
  <c r="B589" i="31"/>
  <c r="B590" i="31" s="1"/>
  <c r="C590" i="31" s="1"/>
  <c r="A589" i="31"/>
  <c r="G588" i="31"/>
  <c r="C588" i="31"/>
  <c r="L500" i="31"/>
  <c r="M500" i="31" s="1"/>
  <c r="H499" i="31"/>
  <c r="H500" i="31" s="1"/>
  <c r="F499" i="31"/>
  <c r="F500" i="31" s="1"/>
  <c r="E499" i="31"/>
  <c r="E500" i="31" s="1"/>
  <c r="D499" i="31"/>
  <c r="D500" i="31" s="1"/>
  <c r="B499" i="31"/>
  <c r="C499" i="31" s="1"/>
  <c r="A499" i="31"/>
  <c r="A500" i="31" s="1"/>
  <c r="G498" i="31"/>
  <c r="C498" i="31"/>
  <c r="L490" i="31"/>
  <c r="M490" i="31" s="1"/>
  <c r="H489" i="31"/>
  <c r="H490" i="31" s="1"/>
  <c r="F489" i="31"/>
  <c r="F490" i="31" s="1"/>
  <c r="E489" i="31"/>
  <c r="E490" i="31" s="1"/>
  <c r="D489" i="31"/>
  <c r="D490" i="31" s="1"/>
  <c r="B489" i="31"/>
  <c r="C489" i="31" s="1"/>
  <c r="A489" i="31"/>
  <c r="A490" i="31" s="1"/>
  <c r="G488" i="31"/>
  <c r="C488" i="31"/>
  <c r="L480" i="31"/>
  <c r="M480" i="31" s="1"/>
  <c r="F479" i="31"/>
  <c r="F480" i="31" s="1"/>
  <c r="E479" i="31"/>
  <c r="E480" i="31" s="1"/>
  <c r="D479" i="31"/>
  <c r="D480" i="31" s="1"/>
  <c r="B479" i="31"/>
  <c r="B480" i="31" s="1"/>
  <c r="C480" i="31" s="1"/>
  <c r="A479" i="31"/>
  <c r="G478" i="31"/>
  <c r="C478" i="31"/>
  <c r="L470" i="31"/>
  <c r="M470" i="31" s="1"/>
  <c r="H469" i="31"/>
  <c r="H470" i="31" s="1"/>
  <c r="F469" i="31"/>
  <c r="F470" i="31" s="1"/>
  <c r="E469" i="31"/>
  <c r="E470" i="31" s="1"/>
  <c r="D469" i="31"/>
  <c r="D470" i="31" s="1"/>
  <c r="B469" i="31"/>
  <c r="C469" i="31" s="1"/>
  <c r="A469" i="31"/>
  <c r="A470" i="31" s="1"/>
  <c r="G468" i="31"/>
  <c r="C468" i="31"/>
  <c r="L460" i="31"/>
  <c r="M460" i="31" s="1"/>
  <c r="F459" i="31"/>
  <c r="F460" i="31" s="1"/>
  <c r="E459" i="31"/>
  <c r="E460" i="31" s="1"/>
  <c r="D459" i="31"/>
  <c r="D460" i="31" s="1"/>
  <c r="B459" i="31"/>
  <c r="C459" i="31" s="1"/>
  <c r="A459" i="31"/>
  <c r="A460" i="31" s="1"/>
  <c r="G458" i="31"/>
  <c r="C458" i="31"/>
  <c r="L450" i="31"/>
  <c r="M450" i="31" s="1"/>
  <c r="H449" i="31"/>
  <c r="H450" i="31" s="1"/>
  <c r="F449" i="31"/>
  <c r="F450" i="31" s="1"/>
  <c r="E449" i="31"/>
  <c r="E450" i="31" s="1"/>
  <c r="D449" i="31"/>
  <c r="D450" i="31" s="1"/>
  <c r="B449" i="31"/>
  <c r="C449" i="31" s="1"/>
  <c r="A449" i="31"/>
  <c r="A450" i="31" s="1"/>
  <c r="G448" i="31"/>
  <c r="C448" i="31"/>
  <c r="L437" i="31"/>
  <c r="L440" i="31"/>
  <c r="M440" i="31" s="1"/>
  <c r="H439" i="31"/>
  <c r="H440" i="31" s="1"/>
  <c r="F439" i="31"/>
  <c r="F440" i="31" s="1"/>
  <c r="E439" i="31"/>
  <c r="E440" i="31" s="1"/>
  <c r="D439" i="31"/>
  <c r="D440" i="31" s="1"/>
  <c r="B439" i="31"/>
  <c r="B440" i="31" s="1"/>
  <c r="C440" i="31" s="1"/>
  <c r="A439" i="31"/>
  <c r="A440" i="31" s="1"/>
  <c r="G438" i="31"/>
  <c r="C438" i="31"/>
  <c r="L430" i="31"/>
  <c r="M430" i="31" s="1"/>
  <c r="H429" i="31"/>
  <c r="H430" i="31" s="1"/>
  <c r="F429" i="31"/>
  <c r="F430" i="31" s="1"/>
  <c r="E429" i="31"/>
  <c r="E430" i="31" s="1"/>
  <c r="D429" i="31"/>
  <c r="D430" i="31" s="1"/>
  <c r="B429" i="31"/>
  <c r="C429" i="31" s="1"/>
  <c r="A429" i="31"/>
  <c r="A430" i="31" s="1"/>
  <c r="G428" i="31"/>
  <c r="C428" i="31"/>
  <c r="L420" i="31"/>
  <c r="M420" i="31" s="1"/>
  <c r="H419" i="31"/>
  <c r="H420" i="31" s="1"/>
  <c r="F419" i="31"/>
  <c r="F420" i="31" s="1"/>
  <c r="E419" i="31"/>
  <c r="E420" i="31" s="1"/>
  <c r="D419" i="31"/>
  <c r="D420" i="31" s="1"/>
  <c r="B419" i="31"/>
  <c r="C419" i="31" s="1"/>
  <c r="A419" i="31"/>
  <c r="A420" i="31" s="1"/>
  <c r="G418" i="31"/>
  <c r="C418" i="31"/>
  <c r="L410" i="31"/>
  <c r="M410" i="31" s="1"/>
  <c r="H409" i="31"/>
  <c r="H410" i="31" s="1"/>
  <c r="F409" i="31"/>
  <c r="F410" i="31" s="1"/>
  <c r="E409" i="31"/>
  <c r="E410" i="31" s="1"/>
  <c r="D409" i="31"/>
  <c r="D410" i="31" s="1"/>
  <c r="B409" i="31"/>
  <c r="C409" i="31" s="1"/>
  <c r="A409" i="31"/>
  <c r="A410" i="31" s="1"/>
  <c r="G408" i="31"/>
  <c r="C408" i="31"/>
  <c r="L400" i="31"/>
  <c r="M400" i="31" s="1"/>
  <c r="H400" i="31"/>
  <c r="F399" i="31"/>
  <c r="F400" i="31" s="1"/>
  <c r="E399" i="31"/>
  <c r="E400" i="31" s="1"/>
  <c r="D399" i="31"/>
  <c r="D400" i="31" s="1"/>
  <c r="B399" i="31"/>
  <c r="B400" i="31" s="1"/>
  <c r="C400" i="31" s="1"/>
  <c r="A399" i="31"/>
  <c r="A400" i="31" s="1"/>
  <c r="G398" i="31"/>
  <c r="C398" i="31"/>
  <c r="L390" i="31"/>
  <c r="M390" i="31" s="1"/>
  <c r="F389" i="31"/>
  <c r="F390" i="31" s="1"/>
  <c r="E389" i="31"/>
  <c r="E390" i="31" s="1"/>
  <c r="D389" i="31"/>
  <c r="D390" i="31" s="1"/>
  <c r="B389" i="31"/>
  <c r="B390" i="31" s="1"/>
  <c r="C390" i="31" s="1"/>
  <c r="A389" i="31"/>
  <c r="A390" i="31" s="1"/>
  <c r="G388" i="31"/>
  <c r="C388" i="31"/>
  <c r="L380" i="31"/>
  <c r="M380" i="31" s="1"/>
  <c r="H379" i="31"/>
  <c r="H380" i="31" s="1"/>
  <c r="F379" i="31"/>
  <c r="F380" i="31" s="1"/>
  <c r="E379" i="31"/>
  <c r="E380" i="31" s="1"/>
  <c r="D379" i="31"/>
  <c r="D380" i="31" s="1"/>
  <c r="B379" i="31"/>
  <c r="C379" i="31" s="1"/>
  <c r="A379" i="31"/>
  <c r="A380" i="31" s="1"/>
  <c r="G378" i="31"/>
  <c r="C378" i="31"/>
  <c r="L370" i="31"/>
  <c r="M370" i="31" s="1"/>
  <c r="H369" i="31"/>
  <c r="H370" i="31" s="1"/>
  <c r="F369" i="31"/>
  <c r="F370" i="31" s="1"/>
  <c r="E369" i="31"/>
  <c r="E370" i="31" s="1"/>
  <c r="D369" i="31"/>
  <c r="D370" i="31" s="1"/>
  <c r="B369" i="31"/>
  <c r="C369" i="31" s="1"/>
  <c r="A369" i="31"/>
  <c r="A370" i="31" s="1"/>
  <c r="G368" i="31"/>
  <c r="C368" i="31"/>
  <c r="L360" i="31"/>
  <c r="M360" i="31" s="1"/>
  <c r="H359" i="31"/>
  <c r="H360" i="31" s="1"/>
  <c r="F359" i="31"/>
  <c r="F360" i="31" s="1"/>
  <c r="E359" i="31"/>
  <c r="E360" i="31" s="1"/>
  <c r="D359" i="31"/>
  <c r="D360" i="31" s="1"/>
  <c r="B359" i="31"/>
  <c r="C359" i="31" s="1"/>
  <c r="A359" i="31"/>
  <c r="A360" i="31" s="1"/>
  <c r="G358" i="31"/>
  <c r="C358" i="31"/>
  <c r="L350" i="31"/>
  <c r="M350" i="31" s="1"/>
  <c r="H349" i="31"/>
  <c r="H350" i="31" s="1"/>
  <c r="F349" i="31"/>
  <c r="F350" i="31" s="1"/>
  <c r="E349" i="31"/>
  <c r="E350" i="31" s="1"/>
  <c r="D349" i="31"/>
  <c r="D350" i="31" s="1"/>
  <c r="B349" i="31"/>
  <c r="C349" i="31" s="1"/>
  <c r="A349" i="31"/>
  <c r="A350" i="31" s="1"/>
  <c r="G348" i="31"/>
  <c r="C348" i="31"/>
  <c r="L340" i="31"/>
  <c r="M340" i="31" s="1"/>
  <c r="F339" i="31"/>
  <c r="F340" i="31" s="1"/>
  <c r="E339" i="31"/>
  <c r="E340" i="31" s="1"/>
  <c r="D339" i="31"/>
  <c r="D340" i="31" s="1"/>
  <c r="B339" i="31"/>
  <c r="B340" i="31" s="1"/>
  <c r="C340" i="31" s="1"/>
  <c r="A339" i="31"/>
  <c r="G338" i="31"/>
  <c r="C338" i="31"/>
  <c r="L330" i="31"/>
  <c r="M330" i="31" s="1"/>
  <c r="H329" i="31"/>
  <c r="H330" i="31" s="1"/>
  <c r="F329" i="31"/>
  <c r="F330" i="31" s="1"/>
  <c r="E329" i="31"/>
  <c r="E330" i="31" s="1"/>
  <c r="D329" i="31"/>
  <c r="D330" i="31" s="1"/>
  <c r="B329" i="31"/>
  <c r="C329" i="31" s="1"/>
  <c r="A329" i="31"/>
  <c r="A330" i="31" s="1"/>
  <c r="G328" i="31"/>
  <c r="C328" i="31"/>
  <c r="L320" i="31"/>
  <c r="M320" i="31" s="1"/>
  <c r="F319" i="31"/>
  <c r="F320" i="31" s="1"/>
  <c r="E319" i="31"/>
  <c r="E320" i="31" s="1"/>
  <c r="D319" i="31"/>
  <c r="D320" i="31" s="1"/>
  <c r="B319" i="31"/>
  <c r="B320" i="31" s="1"/>
  <c r="C320" i="31" s="1"/>
  <c r="A319" i="31"/>
  <c r="G318" i="31"/>
  <c r="C318" i="31"/>
  <c r="L310" i="31"/>
  <c r="M310" i="31" s="1"/>
  <c r="F309" i="31"/>
  <c r="F310" i="31" s="1"/>
  <c r="E309" i="31"/>
  <c r="E310" i="31" s="1"/>
  <c r="D309" i="31"/>
  <c r="D310" i="31" s="1"/>
  <c r="B309" i="31"/>
  <c r="B310" i="31" s="1"/>
  <c r="C310" i="31" s="1"/>
  <c r="A309" i="31"/>
  <c r="A310" i="31" s="1"/>
  <c r="G308" i="31"/>
  <c r="C308" i="31"/>
  <c r="L297" i="31"/>
  <c r="L300" i="31"/>
  <c r="M300" i="31" s="1"/>
  <c r="H299" i="31"/>
  <c r="H300" i="31" s="1"/>
  <c r="F299" i="31"/>
  <c r="F300" i="31" s="1"/>
  <c r="E299" i="31"/>
  <c r="E300" i="31" s="1"/>
  <c r="D299" i="31"/>
  <c r="D300" i="31" s="1"/>
  <c r="B299" i="31"/>
  <c r="B300" i="31" s="1"/>
  <c r="C300" i="31" s="1"/>
  <c r="A299" i="31"/>
  <c r="A300" i="31" s="1"/>
  <c r="G298" i="31"/>
  <c r="C298" i="31"/>
  <c r="L290" i="31"/>
  <c r="M290" i="31" s="1"/>
  <c r="H289" i="31"/>
  <c r="H290" i="31" s="1"/>
  <c r="F289" i="31"/>
  <c r="F290" i="31" s="1"/>
  <c r="E289" i="31"/>
  <c r="E290" i="31" s="1"/>
  <c r="D289" i="31"/>
  <c r="D290" i="31" s="1"/>
  <c r="B289" i="31"/>
  <c r="C289" i="31" s="1"/>
  <c r="A289" i="31"/>
  <c r="A290" i="31" s="1"/>
  <c r="G288" i="31"/>
  <c r="C288" i="31"/>
  <c r="L280" i="31"/>
  <c r="M280" i="31" s="1"/>
  <c r="F279" i="31"/>
  <c r="F280" i="31" s="1"/>
  <c r="E279" i="31"/>
  <c r="E280" i="31" s="1"/>
  <c r="D279" i="31"/>
  <c r="D280" i="31" s="1"/>
  <c r="B279" i="31"/>
  <c r="B280" i="31" s="1"/>
  <c r="C280" i="31" s="1"/>
  <c r="A279" i="31"/>
  <c r="A280" i="31" s="1"/>
  <c r="G278" i="31"/>
  <c r="C278" i="31"/>
  <c r="L270" i="31"/>
  <c r="M270" i="31" s="1"/>
  <c r="F269" i="31"/>
  <c r="F270" i="31" s="1"/>
  <c r="E269" i="31"/>
  <c r="E270" i="31" s="1"/>
  <c r="D269" i="31"/>
  <c r="D270" i="31" s="1"/>
  <c r="B269" i="31"/>
  <c r="B270" i="31" s="1"/>
  <c r="C270" i="31" s="1"/>
  <c r="A269" i="31"/>
  <c r="G268" i="31"/>
  <c r="C268" i="31"/>
  <c r="L260" i="31"/>
  <c r="M260" i="31" s="1"/>
  <c r="H259" i="31"/>
  <c r="H260" i="31" s="1"/>
  <c r="F259" i="31"/>
  <c r="F260" i="31" s="1"/>
  <c r="E259" i="31"/>
  <c r="E260" i="31" s="1"/>
  <c r="D259" i="31"/>
  <c r="D260" i="31" s="1"/>
  <c r="B259" i="31"/>
  <c r="C259" i="31" s="1"/>
  <c r="A259" i="31"/>
  <c r="A260" i="31" s="1"/>
  <c r="G258" i="31"/>
  <c r="C258" i="31"/>
  <c r="L250" i="31"/>
  <c r="M250" i="31" s="1"/>
  <c r="F249" i="31"/>
  <c r="F250" i="31" s="1"/>
  <c r="E249" i="31"/>
  <c r="E250" i="31" s="1"/>
  <c r="D249" i="31"/>
  <c r="D250" i="31" s="1"/>
  <c r="B249" i="31"/>
  <c r="B250" i="31" s="1"/>
  <c r="C250" i="31" s="1"/>
  <c r="A249" i="31"/>
  <c r="G248" i="31"/>
  <c r="C248" i="31"/>
  <c r="L240" i="31"/>
  <c r="M240" i="31" s="1"/>
  <c r="H239" i="31"/>
  <c r="H240" i="31" s="1"/>
  <c r="F239" i="31"/>
  <c r="F240" i="31" s="1"/>
  <c r="E239" i="31"/>
  <c r="E240" i="31" s="1"/>
  <c r="D239" i="31"/>
  <c r="D240" i="31" s="1"/>
  <c r="B239" i="31"/>
  <c r="C239" i="31" s="1"/>
  <c r="A239" i="31"/>
  <c r="A240" i="31" s="1"/>
  <c r="G238" i="31"/>
  <c r="C238" i="31"/>
  <c r="L230" i="31"/>
  <c r="M230" i="31" s="1"/>
  <c r="H229" i="31"/>
  <c r="H230" i="31" s="1"/>
  <c r="F229" i="31"/>
  <c r="F230" i="31" s="1"/>
  <c r="E229" i="31"/>
  <c r="E230" i="31" s="1"/>
  <c r="D229" i="31"/>
  <c r="D230" i="31" s="1"/>
  <c r="B229" i="31"/>
  <c r="B230" i="31" s="1"/>
  <c r="C230" i="31" s="1"/>
  <c r="A229" i="31"/>
  <c r="A230" i="31" s="1"/>
  <c r="G228" i="31"/>
  <c r="C228" i="31"/>
  <c r="L220" i="31"/>
  <c r="M220" i="31" s="1"/>
  <c r="H219" i="31"/>
  <c r="H220" i="31" s="1"/>
  <c r="F219" i="31"/>
  <c r="F220" i="31" s="1"/>
  <c r="E219" i="31"/>
  <c r="E220" i="31" s="1"/>
  <c r="D219" i="31"/>
  <c r="D220" i="31" s="1"/>
  <c r="B219" i="31"/>
  <c r="C219" i="31" s="1"/>
  <c r="A219" i="31"/>
  <c r="A220" i="31" s="1"/>
  <c r="G218" i="31"/>
  <c r="C218" i="31"/>
  <c r="L210" i="31"/>
  <c r="M210" i="31" s="1"/>
  <c r="B210" i="31"/>
  <c r="C210" i="31" s="1"/>
  <c r="H209" i="31"/>
  <c r="H210" i="31" s="1"/>
  <c r="F209" i="31"/>
  <c r="F210" i="31" s="1"/>
  <c r="E209" i="31"/>
  <c r="E210" i="31" s="1"/>
  <c r="D209" i="31"/>
  <c r="D210" i="31" s="1"/>
  <c r="C209" i="31"/>
  <c r="A209" i="31"/>
  <c r="A210" i="31" s="1"/>
  <c r="G208" i="31"/>
  <c r="C208" i="31"/>
  <c r="L200" i="31"/>
  <c r="M200" i="31" s="1"/>
  <c r="H199" i="31"/>
  <c r="H200" i="31" s="1"/>
  <c r="F199" i="31"/>
  <c r="F200" i="31" s="1"/>
  <c r="E199" i="31"/>
  <c r="E200" i="31" s="1"/>
  <c r="D199" i="31"/>
  <c r="D200" i="31" s="1"/>
  <c r="B199" i="31"/>
  <c r="C199" i="31" s="1"/>
  <c r="A199" i="31"/>
  <c r="A200" i="31" s="1"/>
  <c r="G198" i="31"/>
  <c r="C198" i="31"/>
  <c r="L190" i="31"/>
  <c r="M190" i="31" s="1"/>
  <c r="H189" i="31"/>
  <c r="H190" i="31" s="1"/>
  <c r="F189" i="31"/>
  <c r="F190" i="31" s="1"/>
  <c r="E189" i="31"/>
  <c r="E190" i="31" s="1"/>
  <c r="D189" i="31"/>
  <c r="D190" i="31" s="1"/>
  <c r="B189" i="31"/>
  <c r="C189" i="31" s="1"/>
  <c r="A189" i="31"/>
  <c r="A190" i="31" s="1"/>
  <c r="G188" i="31"/>
  <c r="C188" i="31"/>
  <c r="L180" i="31"/>
  <c r="M180" i="31" s="1"/>
  <c r="F179" i="31"/>
  <c r="F180" i="31" s="1"/>
  <c r="E179" i="31"/>
  <c r="E180" i="31" s="1"/>
  <c r="D179" i="31"/>
  <c r="D180" i="31" s="1"/>
  <c r="B179" i="31"/>
  <c r="B180" i="31" s="1"/>
  <c r="C180" i="31" s="1"/>
  <c r="A179" i="31"/>
  <c r="G178" i="31"/>
  <c r="C178" i="31"/>
  <c r="L170" i="31"/>
  <c r="M170" i="31" s="1"/>
  <c r="H169" i="31"/>
  <c r="H170" i="31" s="1"/>
  <c r="F169" i="31"/>
  <c r="F170" i="31" s="1"/>
  <c r="E169" i="31"/>
  <c r="E170" i="31" s="1"/>
  <c r="D169" i="31"/>
  <c r="D170" i="31" s="1"/>
  <c r="B169" i="31"/>
  <c r="C169" i="31" s="1"/>
  <c r="A169" i="31"/>
  <c r="A170" i="31" s="1"/>
  <c r="G168" i="31"/>
  <c r="C168" i="31"/>
  <c r="L160" i="31"/>
  <c r="M160" i="31" s="1"/>
  <c r="H159" i="31"/>
  <c r="H160" i="31" s="1"/>
  <c r="F159" i="31"/>
  <c r="F160" i="31" s="1"/>
  <c r="E159" i="31"/>
  <c r="E160" i="31" s="1"/>
  <c r="D159" i="31"/>
  <c r="D160" i="31" s="1"/>
  <c r="B159" i="31"/>
  <c r="B160" i="31" s="1"/>
  <c r="C160" i="31" s="1"/>
  <c r="A159" i="31"/>
  <c r="A160" i="31" s="1"/>
  <c r="G158" i="31"/>
  <c r="C158" i="31"/>
  <c r="L150" i="31"/>
  <c r="M150" i="31" s="1"/>
  <c r="H149" i="31"/>
  <c r="H150" i="31" s="1"/>
  <c r="F149" i="31"/>
  <c r="F150" i="31" s="1"/>
  <c r="E149" i="31"/>
  <c r="E150" i="31" s="1"/>
  <c r="D149" i="31"/>
  <c r="D150" i="31" s="1"/>
  <c r="B149" i="31"/>
  <c r="C149" i="31" s="1"/>
  <c r="A149" i="31"/>
  <c r="A150" i="31" s="1"/>
  <c r="G148" i="31"/>
  <c r="C148" i="31"/>
  <c r="L140" i="31"/>
  <c r="M140" i="31" s="1"/>
  <c r="H139" i="31"/>
  <c r="H140" i="31" s="1"/>
  <c r="F139" i="31"/>
  <c r="F140" i="31" s="1"/>
  <c r="E139" i="31"/>
  <c r="E140" i="31" s="1"/>
  <c r="D139" i="31"/>
  <c r="D140" i="31" s="1"/>
  <c r="B139" i="31"/>
  <c r="C139" i="31" s="1"/>
  <c r="A139" i="31"/>
  <c r="A140" i="31" s="1"/>
  <c r="G138" i="31"/>
  <c r="C138" i="31"/>
  <c r="L130" i="31"/>
  <c r="M130" i="31" s="1"/>
  <c r="F130" i="31"/>
  <c r="E130" i="31"/>
  <c r="D130" i="31"/>
  <c r="B130" i="31"/>
  <c r="C130" i="31" s="1"/>
  <c r="A130" i="31"/>
  <c r="H129" i="31"/>
  <c r="F129" i="31"/>
  <c r="E129" i="31"/>
  <c r="D129" i="31"/>
  <c r="B129" i="31"/>
  <c r="C129" i="31" s="1"/>
  <c r="A129" i="31"/>
  <c r="G128" i="31"/>
  <c r="L120" i="31"/>
  <c r="M120" i="31" s="1"/>
  <c r="F120" i="31"/>
  <c r="E120" i="31"/>
  <c r="D120" i="31"/>
  <c r="B120" i="31"/>
  <c r="C120" i="31" s="1"/>
  <c r="A120" i="31"/>
  <c r="H119" i="31"/>
  <c r="F119" i="31"/>
  <c r="E119" i="31"/>
  <c r="D119" i="31"/>
  <c r="B119" i="31"/>
  <c r="C119" i="31" s="1"/>
  <c r="A119" i="31"/>
  <c r="G118" i="31"/>
  <c r="L110" i="31"/>
  <c r="M110" i="31" s="1"/>
  <c r="F110" i="31"/>
  <c r="E110" i="31"/>
  <c r="D110" i="31"/>
  <c r="B110" i="31"/>
  <c r="C110" i="31" s="1"/>
  <c r="A110" i="31"/>
  <c r="H109" i="31"/>
  <c r="F109" i="31"/>
  <c r="E109" i="31"/>
  <c r="D109" i="31"/>
  <c r="B109" i="31"/>
  <c r="C109" i="31" s="1"/>
  <c r="A109" i="31"/>
  <c r="G108" i="31"/>
  <c r="L100" i="31"/>
  <c r="M100" i="31" s="1"/>
  <c r="F100" i="31"/>
  <c r="E100" i="31"/>
  <c r="D100" i="31"/>
  <c r="B100" i="31"/>
  <c r="C100" i="31" s="1"/>
  <c r="A100" i="31"/>
  <c r="H99" i="31"/>
  <c r="F99" i="31"/>
  <c r="E99" i="31"/>
  <c r="D99" i="31"/>
  <c r="B99" i="31"/>
  <c r="C99" i="31" s="1"/>
  <c r="A99" i="31"/>
  <c r="G98" i="31"/>
  <c r="L77" i="31"/>
  <c r="L87" i="31"/>
  <c r="M87" i="31" s="1"/>
  <c r="F87" i="31"/>
  <c r="H84" i="31"/>
  <c r="F84" i="31"/>
  <c r="L580" i="31"/>
  <c r="M580" i="31" s="1"/>
  <c r="F580" i="31"/>
  <c r="E580" i="31"/>
  <c r="D580" i="31"/>
  <c r="B580" i="31"/>
  <c r="C580" i="31" s="1"/>
  <c r="A580" i="31"/>
  <c r="H579" i="31"/>
  <c r="F579" i="31"/>
  <c r="E579" i="31"/>
  <c r="D579" i="31"/>
  <c r="B579" i="31"/>
  <c r="C579" i="31" s="1"/>
  <c r="A579" i="31"/>
  <c r="G578" i="31"/>
  <c r="L570" i="31"/>
  <c r="M570" i="31" s="1"/>
  <c r="F570" i="31"/>
  <c r="E570" i="31"/>
  <c r="D570" i="31"/>
  <c r="B570" i="31"/>
  <c r="C570" i="31" s="1"/>
  <c r="A570" i="31"/>
  <c r="H569" i="31"/>
  <c r="F569" i="31"/>
  <c r="E569" i="31"/>
  <c r="D569" i="31"/>
  <c r="B569" i="31"/>
  <c r="C569" i="31" s="1"/>
  <c r="A569" i="31"/>
  <c r="G568" i="31"/>
  <c r="L560" i="31"/>
  <c r="M560" i="31" s="1"/>
  <c r="F560" i="31"/>
  <c r="E560" i="31"/>
  <c r="D560" i="31"/>
  <c r="B560" i="31"/>
  <c r="C560" i="31" s="1"/>
  <c r="A560" i="31"/>
  <c r="H559" i="31"/>
  <c r="F559" i="31"/>
  <c r="E559" i="31"/>
  <c r="D559" i="31"/>
  <c r="B559" i="31"/>
  <c r="C559" i="31" s="1"/>
  <c r="A559" i="31"/>
  <c r="G558" i="31"/>
  <c r="L550" i="31"/>
  <c r="M550" i="31" s="1"/>
  <c r="F550" i="31"/>
  <c r="E550" i="31"/>
  <c r="D550" i="31"/>
  <c r="B550" i="31"/>
  <c r="C550" i="31" s="1"/>
  <c r="A550" i="31"/>
  <c r="H549" i="31"/>
  <c r="F549" i="31"/>
  <c r="E549" i="31"/>
  <c r="D549" i="31"/>
  <c r="B549" i="31"/>
  <c r="C549" i="31" s="1"/>
  <c r="A549" i="31"/>
  <c r="G548" i="31"/>
  <c r="N120" i="45" l="1"/>
  <c r="Q180" i="45"/>
  <c r="Q120" i="45"/>
  <c r="Q100" i="45"/>
  <c r="P180" i="45"/>
  <c r="G570" i="31"/>
  <c r="G249" i="31"/>
  <c r="C299" i="31"/>
  <c r="G319" i="31"/>
  <c r="C399" i="31"/>
  <c r="G440" i="31"/>
  <c r="G479" i="31"/>
  <c r="G599" i="31"/>
  <c r="G609" i="31"/>
  <c r="C899" i="31"/>
  <c r="G859" i="31"/>
  <c r="G269" i="31"/>
  <c r="G339" i="31"/>
  <c r="G179" i="31"/>
  <c r="C229" i="31"/>
  <c r="G589" i="31"/>
  <c r="G639" i="31"/>
  <c r="G749" i="31"/>
  <c r="G799" i="31"/>
  <c r="C829" i="31"/>
  <c r="C909" i="31"/>
  <c r="G949" i="31"/>
  <c r="A950" i="31"/>
  <c r="C939" i="31"/>
  <c r="G950" i="31"/>
  <c r="C949" i="31"/>
  <c r="G929" i="31"/>
  <c r="G939" i="31"/>
  <c r="A940" i="31"/>
  <c r="G940" i="31" s="1"/>
  <c r="E940" i="31"/>
  <c r="G919" i="31"/>
  <c r="G930" i="31"/>
  <c r="C929" i="31"/>
  <c r="G920" i="31"/>
  <c r="C919" i="31"/>
  <c r="G909" i="31"/>
  <c r="A910" i="31"/>
  <c r="G910" i="31" s="1"/>
  <c r="E910" i="31"/>
  <c r="G889" i="31"/>
  <c r="G900" i="31"/>
  <c r="G899" i="31"/>
  <c r="G879" i="31"/>
  <c r="G890" i="31"/>
  <c r="C889" i="31"/>
  <c r="G869" i="31"/>
  <c r="G880" i="31"/>
  <c r="C879" i="31"/>
  <c r="A860" i="31"/>
  <c r="G870" i="31"/>
  <c r="C869" i="31"/>
  <c r="G849" i="31"/>
  <c r="G860" i="31"/>
  <c r="C859" i="31"/>
  <c r="G839" i="31"/>
  <c r="G850" i="31"/>
  <c r="C849" i="31"/>
  <c r="G840" i="31"/>
  <c r="C839" i="31"/>
  <c r="G819" i="31"/>
  <c r="G830" i="31"/>
  <c r="A820" i="31"/>
  <c r="G820" i="31" s="1"/>
  <c r="G829" i="31"/>
  <c r="C809" i="31"/>
  <c r="C819" i="31"/>
  <c r="G809" i="31"/>
  <c r="A810" i="31"/>
  <c r="G810" i="31" s="1"/>
  <c r="E810" i="31"/>
  <c r="G789" i="31"/>
  <c r="A800" i="31"/>
  <c r="G800" i="31" s="1"/>
  <c r="C799" i="31"/>
  <c r="G779" i="31"/>
  <c r="G790" i="31"/>
  <c r="C789" i="31"/>
  <c r="G769" i="31"/>
  <c r="G780" i="31"/>
  <c r="C779" i="31"/>
  <c r="C759" i="31"/>
  <c r="G770" i="31"/>
  <c r="C769" i="31"/>
  <c r="G760" i="31"/>
  <c r="G759" i="31"/>
  <c r="A750" i="31"/>
  <c r="G750" i="31" s="1"/>
  <c r="C749" i="31"/>
  <c r="C729" i="31"/>
  <c r="B740" i="31"/>
  <c r="C740" i="31" s="1"/>
  <c r="G739" i="31"/>
  <c r="G719" i="31"/>
  <c r="G729" i="31"/>
  <c r="A730" i="31"/>
  <c r="G730" i="31" s="1"/>
  <c r="E730" i="31"/>
  <c r="G709" i="31"/>
  <c r="G720" i="31"/>
  <c r="C719" i="31"/>
  <c r="G699" i="31"/>
  <c r="G710" i="31"/>
  <c r="C709" i="31"/>
  <c r="C689" i="31"/>
  <c r="G700" i="31"/>
  <c r="C699" i="31"/>
  <c r="G690" i="31"/>
  <c r="G689" i="31"/>
  <c r="C669" i="31"/>
  <c r="B680" i="31"/>
  <c r="C680" i="31" s="1"/>
  <c r="G679" i="31"/>
  <c r="G659" i="31"/>
  <c r="G670" i="31"/>
  <c r="G669" i="31"/>
  <c r="G660" i="31"/>
  <c r="C659" i="31"/>
  <c r="A640" i="31"/>
  <c r="G640" i="31" s="1"/>
  <c r="B650" i="31"/>
  <c r="C650" i="31" s="1"/>
  <c r="G649" i="31"/>
  <c r="C639" i="31"/>
  <c r="B630" i="31"/>
  <c r="C630" i="31" s="1"/>
  <c r="G629" i="31"/>
  <c r="A610" i="31"/>
  <c r="G610" i="31" s="1"/>
  <c r="B620" i="31"/>
  <c r="C620" i="31" s="1"/>
  <c r="G619" i="31"/>
  <c r="A600" i="31"/>
  <c r="G600" i="31" s="1"/>
  <c r="E600" i="31"/>
  <c r="C609" i="31"/>
  <c r="A590" i="31"/>
  <c r="G590" i="31" s="1"/>
  <c r="C599" i="31"/>
  <c r="C589" i="31"/>
  <c r="B500" i="31"/>
  <c r="C500" i="31" s="1"/>
  <c r="G499" i="31"/>
  <c r="A480" i="31"/>
  <c r="G480" i="31" s="1"/>
  <c r="B490" i="31"/>
  <c r="C490" i="31" s="1"/>
  <c r="G489" i="31"/>
  <c r="C479" i="31"/>
  <c r="B470" i="31"/>
  <c r="C470" i="31" s="1"/>
  <c r="G469" i="31"/>
  <c r="B460" i="31"/>
  <c r="C460" i="31" s="1"/>
  <c r="G459" i="31"/>
  <c r="B450" i="31"/>
  <c r="C450" i="31" s="1"/>
  <c r="G449" i="31"/>
  <c r="C439" i="31"/>
  <c r="G439" i="31"/>
  <c r="B430" i="31"/>
  <c r="C430" i="31" s="1"/>
  <c r="G429" i="31"/>
  <c r="B420" i="31"/>
  <c r="C420" i="31" s="1"/>
  <c r="G419" i="31"/>
  <c r="B410" i="31"/>
  <c r="C410" i="31" s="1"/>
  <c r="G409" i="31"/>
  <c r="G389" i="31"/>
  <c r="G400" i="31"/>
  <c r="G399" i="31"/>
  <c r="G390" i="31"/>
  <c r="C389" i="31"/>
  <c r="B380" i="31"/>
  <c r="C380" i="31" s="1"/>
  <c r="G379" i="31"/>
  <c r="B370" i="31"/>
  <c r="C370" i="31" s="1"/>
  <c r="G369" i="31"/>
  <c r="B360" i="31"/>
  <c r="C360" i="31" s="1"/>
  <c r="G359" i="31"/>
  <c r="A340" i="31"/>
  <c r="G340" i="31" s="1"/>
  <c r="B350" i="31"/>
  <c r="C350" i="31" s="1"/>
  <c r="G349" i="31"/>
  <c r="C339" i="31"/>
  <c r="A320" i="31"/>
  <c r="B330" i="31"/>
  <c r="C330" i="31" s="1"/>
  <c r="G329" i="31"/>
  <c r="G309" i="31"/>
  <c r="G320" i="31"/>
  <c r="C319" i="31"/>
  <c r="G310" i="31"/>
  <c r="C309" i="31"/>
  <c r="G300" i="31"/>
  <c r="G299" i="31"/>
  <c r="C279" i="31"/>
  <c r="B290" i="31"/>
  <c r="C290" i="31" s="1"/>
  <c r="G289" i="31"/>
  <c r="A270" i="31"/>
  <c r="G270" i="31" s="1"/>
  <c r="G280" i="31"/>
  <c r="G279" i="31"/>
  <c r="C269" i="31"/>
  <c r="A250" i="31"/>
  <c r="G250" i="31" s="1"/>
  <c r="B260" i="31"/>
  <c r="C260" i="31" s="1"/>
  <c r="G259" i="31"/>
  <c r="C249" i="31"/>
  <c r="B240" i="31"/>
  <c r="C240" i="31" s="1"/>
  <c r="G239" i="31"/>
  <c r="G230" i="31"/>
  <c r="G229" i="31"/>
  <c r="G210" i="31"/>
  <c r="B220" i="31"/>
  <c r="C220" i="31" s="1"/>
  <c r="G219" i="31"/>
  <c r="G209" i="31"/>
  <c r="B200" i="31"/>
  <c r="C200" i="31" s="1"/>
  <c r="G199" i="31"/>
  <c r="A180" i="31"/>
  <c r="G180" i="31" s="1"/>
  <c r="B190" i="31"/>
  <c r="C190" i="31" s="1"/>
  <c r="G189" i="31"/>
  <c r="C179" i="31"/>
  <c r="C159" i="31"/>
  <c r="B170" i="31"/>
  <c r="C170" i="31" s="1"/>
  <c r="G169" i="31"/>
  <c r="G160" i="31"/>
  <c r="G159" i="31"/>
  <c r="B140" i="31"/>
  <c r="C140" i="31" s="1"/>
  <c r="G139" i="31"/>
  <c r="B150" i="31"/>
  <c r="C150" i="31" s="1"/>
  <c r="G149" i="31"/>
  <c r="G130" i="31"/>
  <c r="G129" i="31"/>
  <c r="G119" i="31"/>
  <c r="G120" i="31"/>
  <c r="G99" i="31"/>
  <c r="G100" i="31"/>
  <c r="G109" i="31"/>
  <c r="G110" i="31"/>
  <c r="G569" i="31"/>
  <c r="G559" i="31"/>
  <c r="G560" i="31"/>
  <c r="G579" i="31"/>
  <c r="G580" i="31"/>
  <c r="G549" i="31"/>
  <c r="G550" i="31"/>
  <c r="L540" i="31"/>
  <c r="M540" i="31" s="1"/>
  <c r="F540" i="31"/>
  <c r="E540" i="31"/>
  <c r="D540" i="31"/>
  <c r="B540" i="31"/>
  <c r="C540" i="31" s="1"/>
  <c r="A540" i="31"/>
  <c r="H539" i="31"/>
  <c r="F539" i="31"/>
  <c r="E539" i="31"/>
  <c r="D539" i="31"/>
  <c r="B539" i="31"/>
  <c r="C539" i="31" s="1"/>
  <c r="A539" i="31"/>
  <c r="G538" i="31"/>
  <c r="L530" i="31"/>
  <c r="M530" i="31" s="1"/>
  <c r="F530" i="31"/>
  <c r="E530" i="31"/>
  <c r="D530" i="31"/>
  <c r="B530" i="31"/>
  <c r="C530" i="31" s="1"/>
  <c r="A530" i="31"/>
  <c r="H529" i="31"/>
  <c r="F529" i="31"/>
  <c r="E529" i="31"/>
  <c r="D529" i="31"/>
  <c r="B529" i="31"/>
  <c r="C529" i="31" s="1"/>
  <c r="A529" i="31"/>
  <c r="G528" i="31"/>
  <c r="L520" i="31"/>
  <c r="M520" i="31" s="1"/>
  <c r="F520" i="31"/>
  <c r="E520" i="31"/>
  <c r="D520" i="31"/>
  <c r="B520" i="31"/>
  <c r="C520" i="31" s="1"/>
  <c r="A520" i="31"/>
  <c r="H519" i="31"/>
  <c r="F519" i="31"/>
  <c r="E519" i="31"/>
  <c r="D519" i="31"/>
  <c r="B519" i="31"/>
  <c r="C519" i="31" s="1"/>
  <c r="A519" i="31"/>
  <c r="G518" i="31"/>
  <c r="G508" i="31"/>
  <c r="L510" i="31"/>
  <c r="M510" i="31" s="1"/>
  <c r="F510" i="31"/>
  <c r="E510" i="31"/>
  <c r="D510" i="31"/>
  <c r="B510" i="31"/>
  <c r="C510" i="31" s="1"/>
  <c r="A510" i="31"/>
  <c r="H509" i="31"/>
  <c r="F509" i="31"/>
  <c r="E509" i="31"/>
  <c r="D509" i="31"/>
  <c r="B509" i="31"/>
  <c r="C509" i="31" s="1"/>
  <c r="A509" i="31"/>
  <c r="D102" i="43"/>
  <c r="D101" i="43"/>
  <c r="D99" i="43"/>
  <c r="D98" i="43"/>
  <c r="G140" i="31" l="1"/>
  <c r="G410" i="31"/>
  <c r="G520" i="31"/>
  <c r="G740" i="31"/>
  <c r="G680" i="31"/>
  <c r="G650" i="31"/>
  <c r="G630" i="31"/>
  <c r="G620" i="31"/>
  <c r="G500" i="31"/>
  <c r="G490" i="31"/>
  <c r="G470" i="31"/>
  <c r="G460" i="31"/>
  <c r="G450" i="31"/>
  <c r="G430" i="31"/>
  <c r="G420" i="31"/>
  <c r="G380" i="31"/>
  <c r="G360" i="31"/>
  <c r="G370" i="31"/>
  <c r="G350" i="31"/>
  <c r="G330" i="31"/>
  <c r="G290" i="31"/>
  <c r="G260" i="31"/>
  <c r="G240" i="31"/>
  <c r="G220" i="31"/>
  <c r="G200" i="31"/>
  <c r="G190" i="31"/>
  <c r="G170" i="31"/>
  <c r="G150" i="31"/>
  <c r="G529" i="31"/>
  <c r="G519" i="31"/>
  <c r="G530" i="31"/>
  <c r="G539" i="31"/>
  <c r="G540" i="31"/>
  <c r="G509" i="31"/>
  <c r="G510" i="31"/>
  <c r="AG498" i="1" l="1"/>
  <c r="AH498" i="1"/>
  <c r="AI498" i="1"/>
  <c r="AG477" i="1"/>
  <c r="AH477" i="1"/>
  <c r="AI477" i="1"/>
  <c r="AG450" i="1"/>
  <c r="AH450" i="1"/>
  <c r="AI450" i="1"/>
  <c r="AG435" i="1"/>
  <c r="AH435" i="1"/>
  <c r="AI435" i="1"/>
  <c r="AG416" i="1"/>
  <c r="AH416" i="1"/>
  <c r="AI416" i="1"/>
  <c r="AG333" i="1"/>
  <c r="AH333" i="1"/>
  <c r="AI333" i="1"/>
  <c r="AG299" i="1"/>
  <c r="AH299" i="1"/>
  <c r="AI299" i="1"/>
  <c r="AG233" i="1"/>
  <c r="AH233" i="1"/>
  <c r="AI233" i="1"/>
  <c r="AG212" i="1"/>
  <c r="AH212" i="1"/>
  <c r="AI212" i="1"/>
  <c r="AG178" i="1"/>
  <c r="AH178" i="1"/>
  <c r="AI178" i="1"/>
  <c r="AG144" i="1"/>
  <c r="AH144" i="1"/>
  <c r="AI144" i="1"/>
  <c r="AG34" i="1"/>
  <c r="AH34" i="1"/>
  <c r="AI34" i="1"/>
  <c r="AG11" i="1"/>
  <c r="AH11" i="1"/>
  <c r="AI11" i="1"/>
  <c r="AG9" i="1"/>
  <c r="AH9" i="1"/>
  <c r="AI9" i="1"/>
  <c r="AG7" i="1"/>
  <c r="AH7" i="1"/>
  <c r="AI7" i="1"/>
  <c r="AG5" i="1"/>
  <c r="AH5" i="1"/>
  <c r="AI5" i="1"/>
  <c r="AG3" i="1"/>
  <c r="AH3" i="1"/>
  <c r="AI3" i="1"/>
  <c r="AG499" i="1"/>
  <c r="AH499" i="1"/>
  <c r="AI499" i="1"/>
  <c r="AG478" i="1"/>
  <c r="AH478" i="1"/>
  <c r="AI478" i="1"/>
  <c r="AG453" i="1"/>
  <c r="AH453" i="1"/>
  <c r="AI453" i="1"/>
  <c r="AG445" i="1"/>
  <c r="AH445" i="1"/>
  <c r="AI445" i="1"/>
  <c r="AG417" i="1"/>
  <c r="AH417" i="1"/>
  <c r="AI417" i="1"/>
  <c r="AG413" i="1"/>
  <c r="AH413" i="1"/>
  <c r="AI413" i="1"/>
  <c r="AG306" i="1"/>
  <c r="AH306" i="1"/>
  <c r="AI306" i="1"/>
  <c r="AG298" i="1"/>
  <c r="AH298" i="1"/>
  <c r="AI298" i="1"/>
  <c r="AG231" i="1"/>
  <c r="AH231" i="1"/>
  <c r="AI231" i="1"/>
  <c r="AG183" i="1"/>
  <c r="AH183" i="1"/>
  <c r="AI183" i="1"/>
  <c r="AG145" i="1"/>
  <c r="AH145" i="1"/>
  <c r="AI145" i="1"/>
  <c r="AG51" i="1"/>
  <c r="AH51" i="1"/>
  <c r="AI51" i="1"/>
  <c r="AG12" i="1"/>
  <c r="AH12" i="1"/>
  <c r="AI12" i="1"/>
  <c r="AG10" i="1"/>
  <c r="AH10" i="1"/>
  <c r="AI10" i="1"/>
  <c r="AG8" i="1"/>
  <c r="AH8" i="1"/>
  <c r="AI8" i="1"/>
  <c r="AG6" i="1"/>
  <c r="AH6" i="1"/>
  <c r="AI6" i="1"/>
  <c r="AG4" i="1"/>
  <c r="AH4" i="1"/>
  <c r="AI4" i="1"/>
  <c r="AG2" i="1"/>
  <c r="AH2" i="1"/>
  <c r="AI2" i="1"/>
  <c r="AA292" i="1"/>
  <c r="L517" i="31" l="1"/>
  <c r="M517" i="31" s="1"/>
  <c r="H516" i="31"/>
  <c r="F515" i="31"/>
  <c r="F516" i="31" s="1"/>
  <c r="E515" i="31"/>
  <c r="E517" i="31" s="1"/>
  <c r="D515" i="31"/>
  <c r="D516" i="31" s="1"/>
  <c r="B515" i="31"/>
  <c r="B516" i="31" s="1"/>
  <c r="C516" i="31" s="1"/>
  <c r="A515" i="31"/>
  <c r="A517" i="31" s="1"/>
  <c r="G514" i="31"/>
  <c r="C514" i="31"/>
  <c r="L513" i="31"/>
  <c r="M513" i="31" s="1"/>
  <c r="F512" i="31"/>
  <c r="F513" i="31" s="1"/>
  <c r="E512" i="31"/>
  <c r="E513" i="31" s="1"/>
  <c r="D512" i="31"/>
  <c r="D513" i="31" s="1"/>
  <c r="B512" i="31"/>
  <c r="C512" i="31" s="1"/>
  <c r="A512" i="31"/>
  <c r="A513" i="31" s="1"/>
  <c r="G511" i="31"/>
  <c r="C511" i="31"/>
  <c r="L1367" i="31"/>
  <c r="M1367" i="31" s="1"/>
  <c r="F1365" i="31"/>
  <c r="F1367" i="31" s="1"/>
  <c r="E1365" i="31"/>
  <c r="E1367" i="31" s="1"/>
  <c r="D1365" i="31"/>
  <c r="D1367" i="31" s="1"/>
  <c r="B1365" i="31"/>
  <c r="C1365" i="31" s="1"/>
  <c r="A1365" i="31"/>
  <c r="A1367" i="31" s="1"/>
  <c r="G1364" i="31"/>
  <c r="C1364" i="31"/>
  <c r="L1363" i="31"/>
  <c r="M1363" i="31" s="1"/>
  <c r="F1362" i="31"/>
  <c r="F1363" i="31" s="1"/>
  <c r="E1362" i="31"/>
  <c r="E1363" i="31" s="1"/>
  <c r="D1362" i="31"/>
  <c r="D1363" i="31" s="1"/>
  <c r="B1362" i="31"/>
  <c r="B1363" i="31" s="1"/>
  <c r="C1363" i="31" s="1"/>
  <c r="A1362" i="31"/>
  <c r="A1363" i="31" s="1"/>
  <c r="G1361" i="31"/>
  <c r="C1361" i="31"/>
  <c r="L1417" i="31"/>
  <c r="M1417" i="31" s="1"/>
  <c r="L1407" i="31"/>
  <c r="M1407" i="31" s="1"/>
  <c r="L1397" i="31"/>
  <c r="M1397" i="31" s="1"/>
  <c r="L1387" i="31"/>
  <c r="M1387" i="31" s="1"/>
  <c r="L1377" i="31"/>
  <c r="M1377" i="31" s="1"/>
  <c r="L1357" i="31"/>
  <c r="M1357" i="31" s="1"/>
  <c r="L937" i="31"/>
  <c r="M937" i="31" s="1"/>
  <c r="L1347" i="31"/>
  <c r="M1347" i="31" s="1"/>
  <c r="L1337" i="31"/>
  <c r="M1337" i="31" s="1"/>
  <c r="L1327" i="31"/>
  <c r="M1327" i="31" s="1"/>
  <c r="L1317" i="31"/>
  <c r="M1317" i="31" s="1"/>
  <c r="L1307" i="31"/>
  <c r="M1307" i="31" s="1"/>
  <c r="L1297" i="31"/>
  <c r="M1297" i="31" s="1"/>
  <c r="L1287" i="31"/>
  <c r="M1287" i="31" s="1"/>
  <c r="L1277" i="31"/>
  <c r="M1277" i="31" s="1"/>
  <c r="L1267" i="31"/>
  <c r="M1267" i="31" s="1"/>
  <c r="L1257" i="31"/>
  <c r="M1257" i="31" s="1"/>
  <c r="L1247" i="31"/>
  <c r="M1247" i="31" s="1"/>
  <c r="L1237" i="31"/>
  <c r="M1237" i="31" s="1"/>
  <c r="L1227" i="31"/>
  <c r="M1227" i="31" s="1"/>
  <c r="L1217" i="31"/>
  <c r="M1217" i="31" s="1"/>
  <c r="L1207" i="31"/>
  <c r="M1207" i="31" s="1"/>
  <c r="L1197" i="31"/>
  <c r="M1197" i="31" s="1"/>
  <c r="L1187" i="31"/>
  <c r="M1187" i="31" s="1"/>
  <c r="L1177" i="31"/>
  <c r="M1177" i="31" s="1"/>
  <c r="L1167" i="31"/>
  <c r="M1167" i="31" s="1"/>
  <c r="L1157" i="31"/>
  <c r="M1157" i="31" s="1"/>
  <c r="L1147" i="31"/>
  <c r="M1147" i="31" s="1"/>
  <c r="L1137" i="31"/>
  <c r="M1137" i="31" s="1"/>
  <c r="L1127" i="31"/>
  <c r="M1127" i="31" s="1"/>
  <c r="L1117" i="31"/>
  <c r="M1117" i="31" s="1"/>
  <c r="L1107" i="31"/>
  <c r="M1107" i="31" s="1"/>
  <c r="L1097" i="31"/>
  <c r="M1097" i="31" s="1"/>
  <c r="L1087" i="31"/>
  <c r="M1087" i="31" s="1"/>
  <c r="L1077" i="31"/>
  <c r="M1077" i="31" s="1"/>
  <c r="L1067" i="31"/>
  <c r="M1067" i="31" s="1"/>
  <c r="L1057" i="31"/>
  <c r="M1057" i="31" s="1"/>
  <c r="L1047" i="31"/>
  <c r="M1047" i="31" s="1"/>
  <c r="L1037" i="31"/>
  <c r="M1037" i="31" s="1"/>
  <c r="L1027" i="31"/>
  <c r="M1027" i="31" s="1"/>
  <c r="L1017" i="31"/>
  <c r="M1017" i="31" s="1"/>
  <c r="L1007" i="31"/>
  <c r="M1007" i="31" s="1"/>
  <c r="L997" i="31"/>
  <c r="M997" i="31" s="1"/>
  <c r="M957" i="31"/>
  <c r="M947" i="31"/>
  <c r="L927" i="31"/>
  <c r="M927" i="31" s="1"/>
  <c r="L917" i="31"/>
  <c r="M917" i="31" s="1"/>
  <c r="L907" i="31"/>
  <c r="M907" i="31" s="1"/>
  <c r="L897" i="31"/>
  <c r="M897" i="31" s="1"/>
  <c r="L887" i="31"/>
  <c r="M887" i="31" s="1"/>
  <c r="L877" i="31"/>
  <c r="M877" i="31" s="1"/>
  <c r="L867" i="31"/>
  <c r="M867" i="31" s="1"/>
  <c r="L857" i="31"/>
  <c r="M857" i="31" s="1"/>
  <c r="L847" i="31"/>
  <c r="M847" i="31" s="1"/>
  <c r="L837" i="31"/>
  <c r="M837" i="31" s="1"/>
  <c r="L827" i="31"/>
  <c r="M827" i="31" s="1"/>
  <c r="L817" i="31"/>
  <c r="M817" i="31" s="1"/>
  <c r="L807" i="31"/>
  <c r="M807" i="31" s="1"/>
  <c r="L797" i="31"/>
  <c r="M797" i="31" s="1"/>
  <c r="L787" i="31"/>
  <c r="M787" i="31" s="1"/>
  <c r="L777" i="31"/>
  <c r="M777" i="31" s="1"/>
  <c r="L767" i="31"/>
  <c r="M767" i="31" s="1"/>
  <c r="L757" i="31"/>
  <c r="M757" i="31" s="1"/>
  <c r="L747" i="31"/>
  <c r="L737" i="31"/>
  <c r="M737" i="31" s="1"/>
  <c r="L727" i="31"/>
  <c r="M727" i="31" s="1"/>
  <c r="L717" i="31"/>
  <c r="M717" i="31" s="1"/>
  <c r="H676" i="31"/>
  <c r="H706" i="31"/>
  <c r="H716" i="31"/>
  <c r="H726" i="31"/>
  <c r="H736" i="31"/>
  <c r="H746" i="31"/>
  <c r="H756" i="31"/>
  <c r="H696" i="31"/>
  <c r="H686" i="31"/>
  <c r="H656" i="31"/>
  <c r="H636" i="31"/>
  <c r="L1467" i="31"/>
  <c r="M1467" i="31" s="1"/>
  <c r="L1457" i="31"/>
  <c r="M1457" i="31" s="1"/>
  <c r="L1447" i="31"/>
  <c r="M1447" i="31" s="1"/>
  <c r="L1437" i="31"/>
  <c r="M1437" i="31" s="1"/>
  <c r="L1427" i="31"/>
  <c r="M1427" i="31" s="1"/>
  <c r="M747" i="31"/>
  <c r="L707" i="31"/>
  <c r="M707" i="31" s="1"/>
  <c r="L697" i="31"/>
  <c r="M697" i="31" s="1"/>
  <c r="L687" i="31"/>
  <c r="M687" i="31" s="1"/>
  <c r="L677" i="31"/>
  <c r="M677" i="31" s="1"/>
  <c r="L667" i="31"/>
  <c r="M667" i="31" s="1"/>
  <c r="L657" i="31"/>
  <c r="M657" i="31" s="1"/>
  <c r="L647" i="31"/>
  <c r="M647" i="31" s="1"/>
  <c r="L637" i="31"/>
  <c r="M637" i="31" s="1"/>
  <c r="L627" i="31"/>
  <c r="M627" i="31" s="1"/>
  <c r="L617" i="31"/>
  <c r="L1497" i="31"/>
  <c r="M1497" i="31" s="1"/>
  <c r="L1487" i="31"/>
  <c r="M1487" i="31" s="1"/>
  <c r="L1477" i="31"/>
  <c r="M1477" i="31" s="1"/>
  <c r="L607" i="31"/>
  <c r="L597" i="31"/>
  <c r="M597" i="31" s="1"/>
  <c r="L587" i="31"/>
  <c r="L577" i="31"/>
  <c r="L567" i="31"/>
  <c r="L557" i="31"/>
  <c r="L547" i="31"/>
  <c r="L537" i="31"/>
  <c r="L527" i="31"/>
  <c r="L507" i="31"/>
  <c r="L497" i="31"/>
  <c r="L487" i="31"/>
  <c r="L477" i="31"/>
  <c r="L467" i="31"/>
  <c r="L457" i="31"/>
  <c r="L447" i="31"/>
  <c r="L427" i="31"/>
  <c r="L417" i="31"/>
  <c r="L407" i="31"/>
  <c r="L397" i="31"/>
  <c r="L387" i="31"/>
  <c r="L377" i="31"/>
  <c r="L367" i="31"/>
  <c r="L357" i="31"/>
  <c r="L347" i="31"/>
  <c r="L337" i="31"/>
  <c r="L327" i="31"/>
  <c r="L317" i="31"/>
  <c r="L307" i="31"/>
  <c r="L72" i="31"/>
  <c r="L90" i="31"/>
  <c r="L94" i="31"/>
  <c r="L103" i="31"/>
  <c r="L107" i="31"/>
  <c r="L113" i="31"/>
  <c r="L117" i="31"/>
  <c r="L123" i="31"/>
  <c r="L127" i="31"/>
  <c r="L133" i="31"/>
  <c r="L137" i="31"/>
  <c r="L143" i="31"/>
  <c r="M143" i="31" s="1"/>
  <c r="L147" i="31"/>
  <c r="M147" i="31" s="1"/>
  <c r="L153" i="31"/>
  <c r="L157" i="31"/>
  <c r="M157" i="31" s="1"/>
  <c r="L163" i="31"/>
  <c r="M163" i="31" s="1"/>
  <c r="L167" i="31"/>
  <c r="L173" i="31"/>
  <c r="M173" i="31" s="1"/>
  <c r="L177" i="31"/>
  <c r="L183" i="31"/>
  <c r="M183" i="31" s="1"/>
  <c r="L187" i="31"/>
  <c r="L193" i="31"/>
  <c r="M193" i="31" s="1"/>
  <c r="L197" i="31"/>
  <c r="L203" i="31"/>
  <c r="M203" i="31" s="1"/>
  <c r="L207" i="31"/>
  <c r="L213" i="31"/>
  <c r="M213" i="31" s="1"/>
  <c r="L217" i="31"/>
  <c r="L223" i="31"/>
  <c r="M223" i="31" s="1"/>
  <c r="L227" i="31"/>
  <c r="L233" i="31"/>
  <c r="M233" i="31" s="1"/>
  <c r="L237" i="31"/>
  <c r="L243" i="31"/>
  <c r="M243" i="31" s="1"/>
  <c r="L247" i="31"/>
  <c r="L253" i="31"/>
  <c r="M253" i="31" s="1"/>
  <c r="L257" i="31"/>
  <c r="L263" i="31"/>
  <c r="M263" i="31" s="1"/>
  <c r="L267" i="31"/>
  <c r="L273" i="31"/>
  <c r="M273" i="31" s="1"/>
  <c r="L277" i="31"/>
  <c r="L283" i="31"/>
  <c r="M283" i="31" s="1"/>
  <c r="L287" i="31"/>
  <c r="L293" i="31"/>
  <c r="M293" i="31" s="1"/>
  <c r="L303" i="31"/>
  <c r="M303" i="31" s="1"/>
  <c r="L313" i="31"/>
  <c r="M313" i="31" s="1"/>
  <c r="L323" i="31"/>
  <c r="L333" i="31"/>
  <c r="M333" i="31" s="1"/>
  <c r="L343" i="31"/>
  <c r="M343" i="31" s="1"/>
  <c r="L353" i="31"/>
  <c r="M353" i="31" s="1"/>
  <c r="L363" i="31"/>
  <c r="M363" i="31" s="1"/>
  <c r="L373" i="31"/>
  <c r="M373" i="31" s="1"/>
  <c r="L383" i="31"/>
  <c r="M383" i="31" s="1"/>
  <c r="L393" i="31"/>
  <c r="M393" i="31" s="1"/>
  <c r="L403" i="31"/>
  <c r="M403" i="31" s="1"/>
  <c r="L413" i="31"/>
  <c r="M413" i="31" s="1"/>
  <c r="L423" i="31"/>
  <c r="M423" i="31" s="1"/>
  <c r="L433" i="31"/>
  <c r="M433" i="31" s="1"/>
  <c r="L443" i="31"/>
  <c r="M443" i="31" s="1"/>
  <c r="L453" i="31"/>
  <c r="M453" i="31" s="1"/>
  <c r="L463" i="31"/>
  <c r="M463" i="31" s="1"/>
  <c r="L473" i="31"/>
  <c r="M473" i="31" s="1"/>
  <c r="L483" i="31"/>
  <c r="M483" i="31" s="1"/>
  <c r="L493" i="31"/>
  <c r="M493" i="31" s="1"/>
  <c r="L1493" i="31"/>
  <c r="M1493" i="31" s="1"/>
  <c r="L1483" i="31"/>
  <c r="M1483" i="31" s="1"/>
  <c r="L1473" i="31"/>
  <c r="M1473" i="31" s="1"/>
  <c r="L1463" i="31"/>
  <c r="M1463" i="31" s="1"/>
  <c r="L1453" i="31"/>
  <c r="M1453" i="31" s="1"/>
  <c r="L1443" i="31"/>
  <c r="M1443" i="31" s="1"/>
  <c r="L1433" i="31"/>
  <c r="M1433" i="31" s="1"/>
  <c r="L1423" i="31"/>
  <c r="M1423" i="31" s="1"/>
  <c r="L1413" i="31"/>
  <c r="M1413" i="31" s="1"/>
  <c r="L1403" i="31"/>
  <c r="M1403" i="31" s="1"/>
  <c r="L1393" i="31"/>
  <c r="M1393" i="31" s="1"/>
  <c r="L1383" i="31"/>
  <c r="M1383" i="31" s="1"/>
  <c r="L1373" i="31"/>
  <c r="M1373" i="31" s="1"/>
  <c r="L1353" i="31"/>
  <c r="M1353" i="31" s="1"/>
  <c r="L1343" i="31"/>
  <c r="M1343" i="31" s="1"/>
  <c r="L1333" i="31"/>
  <c r="M1333" i="31" s="1"/>
  <c r="L1323" i="31"/>
  <c r="M1323" i="31" s="1"/>
  <c r="L1313" i="31"/>
  <c r="M1313" i="31" s="1"/>
  <c r="L1303" i="31"/>
  <c r="M1303" i="31" s="1"/>
  <c r="L1293" i="31"/>
  <c r="M1293" i="31" s="1"/>
  <c r="L1283" i="31"/>
  <c r="M1283" i="31" s="1"/>
  <c r="L1273" i="31"/>
  <c r="M1273" i="31" s="1"/>
  <c r="L1263" i="31"/>
  <c r="M1263" i="31" s="1"/>
  <c r="L1253" i="31"/>
  <c r="M1253" i="31" s="1"/>
  <c r="L1243" i="31"/>
  <c r="M1243" i="31" s="1"/>
  <c r="L1233" i="31"/>
  <c r="M1233" i="31" s="1"/>
  <c r="L1223" i="31"/>
  <c r="M1223" i="31" s="1"/>
  <c r="L1213" i="31"/>
  <c r="M1213" i="31" s="1"/>
  <c r="L1203" i="31"/>
  <c r="M1203" i="31" s="1"/>
  <c r="L1193" i="31"/>
  <c r="M1193" i="31" s="1"/>
  <c r="L1183" i="31"/>
  <c r="M1183" i="31" s="1"/>
  <c r="L1173" i="31"/>
  <c r="M1173" i="31" s="1"/>
  <c r="L1163" i="31"/>
  <c r="M1163" i="31" s="1"/>
  <c r="L1153" i="31"/>
  <c r="M1153" i="31" s="1"/>
  <c r="L1143" i="31"/>
  <c r="M1143" i="31" s="1"/>
  <c r="L1133" i="31"/>
  <c r="M1133" i="31" s="1"/>
  <c r="L1123" i="31"/>
  <c r="M1123" i="31" s="1"/>
  <c r="L1113" i="31"/>
  <c r="M1113" i="31" s="1"/>
  <c r="L1103" i="31"/>
  <c r="M1103" i="31" s="1"/>
  <c r="L1093" i="31"/>
  <c r="M1093" i="31" s="1"/>
  <c r="L1083" i="31"/>
  <c r="M1083" i="31" s="1"/>
  <c r="L1073" i="31"/>
  <c r="M1073" i="31" s="1"/>
  <c r="L1063" i="31"/>
  <c r="M1063" i="31" s="1"/>
  <c r="L1053" i="31"/>
  <c r="M1053" i="31" s="1"/>
  <c r="L1043" i="31"/>
  <c r="M1043" i="31" s="1"/>
  <c r="L1033" i="31"/>
  <c r="M1033" i="31" s="1"/>
  <c r="L1023" i="31"/>
  <c r="M1023" i="31" s="1"/>
  <c r="L1013" i="31"/>
  <c r="M1013" i="31" s="1"/>
  <c r="L1003" i="31"/>
  <c r="M1003" i="31" s="1"/>
  <c r="L993" i="31"/>
  <c r="M993" i="31" s="1"/>
  <c r="M983" i="31"/>
  <c r="L973" i="31"/>
  <c r="M973" i="31" s="1"/>
  <c r="M963" i="31"/>
  <c r="M953" i="31"/>
  <c r="L943" i="31"/>
  <c r="M943" i="31" s="1"/>
  <c r="L933" i="31"/>
  <c r="M933" i="31" s="1"/>
  <c r="L923" i="31"/>
  <c r="M923" i="31" s="1"/>
  <c r="L913" i="31"/>
  <c r="M913" i="31" s="1"/>
  <c r="L903" i="31"/>
  <c r="M903" i="31" s="1"/>
  <c r="L893" i="31"/>
  <c r="M893" i="31" s="1"/>
  <c r="L883" i="31"/>
  <c r="M883" i="31" s="1"/>
  <c r="L873" i="31"/>
  <c r="M873" i="31" s="1"/>
  <c r="L863" i="31"/>
  <c r="M863" i="31" s="1"/>
  <c r="L853" i="31"/>
  <c r="M853" i="31" s="1"/>
  <c r="L843" i="31"/>
  <c r="M843" i="31" s="1"/>
  <c r="L833" i="31"/>
  <c r="M833" i="31" s="1"/>
  <c r="L823" i="31"/>
  <c r="M823" i="31" s="1"/>
  <c r="L813" i="31"/>
  <c r="M813" i="31" s="1"/>
  <c r="L803" i="31"/>
  <c r="M803" i="31" s="1"/>
  <c r="L793" i="31"/>
  <c r="M793" i="31" s="1"/>
  <c r="L783" i="31"/>
  <c r="M783" i="31" s="1"/>
  <c r="L773" i="31"/>
  <c r="M773" i="31" s="1"/>
  <c r="L763" i="31"/>
  <c r="M763" i="31" s="1"/>
  <c r="L753" i="31"/>
  <c r="M753" i="31" s="1"/>
  <c r="L743" i="31"/>
  <c r="M743" i="31" s="1"/>
  <c r="L733" i="31"/>
  <c r="M733" i="31" s="1"/>
  <c r="L723" i="31"/>
  <c r="M723" i="31" s="1"/>
  <c r="L713" i="31"/>
  <c r="M713" i="31" s="1"/>
  <c r="L703" i="31"/>
  <c r="M703" i="31" s="1"/>
  <c r="L693" i="31"/>
  <c r="M693" i="31" s="1"/>
  <c r="L683" i="31"/>
  <c r="M683" i="31" s="1"/>
  <c r="L673" i="31"/>
  <c r="M673" i="31" s="1"/>
  <c r="L663" i="31"/>
  <c r="M663" i="31" s="1"/>
  <c r="L653" i="31"/>
  <c r="M653" i="31" s="1"/>
  <c r="L643" i="31"/>
  <c r="M643" i="31" s="1"/>
  <c r="L633" i="31"/>
  <c r="M633" i="31" s="1"/>
  <c r="L623" i="31"/>
  <c r="M623" i="31" s="1"/>
  <c r="L613" i="31"/>
  <c r="M613" i="31" s="1"/>
  <c r="L603" i="31"/>
  <c r="M603" i="31" s="1"/>
  <c r="L593" i="31"/>
  <c r="M593" i="31" s="1"/>
  <c r="L583" i="31"/>
  <c r="M583" i="31" s="1"/>
  <c r="L573" i="31"/>
  <c r="M573" i="31" s="1"/>
  <c r="L563" i="31"/>
  <c r="M563" i="31" s="1"/>
  <c r="L553" i="31"/>
  <c r="M553" i="31" s="1"/>
  <c r="L543" i="31"/>
  <c r="M543" i="31" s="1"/>
  <c r="L533" i="31"/>
  <c r="M533" i="31" s="1"/>
  <c r="L523" i="31"/>
  <c r="M523" i="31" s="1"/>
  <c r="L503" i="31"/>
  <c r="M503" i="31" s="1"/>
  <c r="M323" i="31"/>
  <c r="H142" i="31"/>
  <c r="H143" i="31" s="1"/>
  <c r="F142" i="31"/>
  <c r="F143" i="31" s="1"/>
  <c r="E142" i="31"/>
  <c r="E143" i="31" s="1"/>
  <c r="D142" i="31"/>
  <c r="D143" i="31" s="1"/>
  <c r="B142" i="31"/>
  <c r="C142" i="31" s="1"/>
  <c r="A142" i="31"/>
  <c r="G154" i="31"/>
  <c r="F155" i="31"/>
  <c r="D87" i="43"/>
  <c r="D86" i="43"/>
  <c r="D84" i="43"/>
  <c r="D83" i="43"/>
  <c r="D82" i="43"/>
  <c r="D81" i="43"/>
  <c r="D79" i="43"/>
  <c r="D78" i="43"/>
  <c r="E1475" i="31"/>
  <c r="E1405" i="31"/>
  <c r="E1407" i="31" s="1"/>
  <c r="E1327" i="31"/>
  <c r="E1255" i="31"/>
  <c r="E1185" i="31"/>
  <c r="E1115" i="31"/>
  <c r="E1045" i="31"/>
  <c r="E975" i="31"/>
  <c r="E905" i="31"/>
  <c r="E907" i="31" s="1"/>
  <c r="E835" i="31"/>
  <c r="E837" i="31" s="1"/>
  <c r="E765" i="31"/>
  <c r="E767" i="31" s="1"/>
  <c r="E695" i="31"/>
  <c r="E697" i="31" s="1"/>
  <c r="E625" i="31"/>
  <c r="E627" i="31" s="1"/>
  <c r="E632" i="31"/>
  <c r="E633" i="31" s="1"/>
  <c r="E555" i="31"/>
  <c r="E557" i="31" s="1"/>
  <c r="E475" i="31"/>
  <c r="E477" i="31" s="1"/>
  <c r="E405" i="31"/>
  <c r="E407" i="31" s="1"/>
  <c r="E335" i="31"/>
  <c r="E337" i="31" s="1"/>
  <c r="E265" i="31"/>
  <c r="E267" i="31" s="1"/>
  <c r="E195" i="31"/>
  <c r="E197" i="31" s="1"/>
  <c r="E1485" i="31"/>
  <c r="E1455" i="31"/>
  <c r="E1435" i="31"/>
  <c r="E1415" i="31"/>
  <c r="E1417" i="31" s="1"/>
  <c r="E1385" i="31"/>
  <c r="E1387" i="31" s="1"/>
  <c r="E1355" i="31"/>
  <c r="E1357" i="31" s="1"/>
  <c r="E1335" i="31"/>
  <c r="E1305" i="31"/>
  <c r="E1285" i="31"/>
  <c r="E1265" i="31"/>
  <c r="E1235" i="31"/>
  <c r="E1215" i="31"/>
  <c r="E1195" i="31"/>
  <c r="E1165" i="31"/>
  <c r="E1145" i="31"/>
  <c r="E1125" i="31"/>
  <c r="E1095" i="31"/>
  <c r="E1075" i="31"/>
  <c r="E1055" i="31"/>
  <c r="E1025" i="31"/>
  <c r="E1005" i="31"/>
  <c r="E985" i="31"/>
  <c r="E955" i="31"/>
  <c r="E935" i="31"/>
  <c r="E937" i="31" s="1"/>
  <c r="E915" i="31"/>
  <c r="E917" i="31" s="1"/>
  <c r="E885" i="31"/>
  <c r="E887" i="31" s="1"/>
  <c r="E865" i="31"/>
  <c r="E867" i="31" s="1"/>
  <c r="E845" i="31"/>
  <c r="E847" i="31" s="1"/>
  <c r="E815" i="31"/>
  <c r="E817" i="31" s="1"/>
  <c r="E795" i="31"/>
  <c r="E797" i="31" s="1"/>
  <c r="E775" i="31"/>
  <c r="E777" i="31" s="1"/>
  <c r="E745" i="31"/>
  <c r="E747" i="31" s="1"/>
  <c r="E725" i="31"/>
  <c r="E727" i="31" s="1"/>
  <c r="E705" i="31"/>
  <c r="E707" i="31" s="1"/>
  <c r="E675" i="31"/>
  <c r="E677" i="31" s="1"/>
  <c r="E655" i="31"/>
  <c r="E657" i="31" s="1"/>
  <c r="E635" i="31"/>
  <c r="E637" i="31" s="1"/>
  <c r="E642" i="31"/>
  <c r="E643" i="31" s="1"/>
  <c r="E605" i="31"/>
  <c r="E607" i="31" s="1"/>
  <c r="E585" i="31"/>
  <c r="E587" i="31" s="1"/>
  <c r="E565" i="31"/>
  <c r="E567" i="31" s="1"/>
  <c r="E535" i="31"/>
  <c r="E537" i="31" s="1"/>
  <c r="E505" i="31"/>
  <c r="E507" i="31" s="1"/>
  <c r="E485" i="31"/>
  <c r="E487" i="31" s="1"/>
  <c r="E455" i="31"/>
  <c r="E457" i="31" s="1"/>
  <c r="E435" i="31"/>
  <c r="E437" i="31" s="1"/>
  <c r="E415" i="31"/>
  <c r="E417" i="31" s="1"/>
  <c r="E385" i="31"/>
  <c r="E365" i="31"/>
  <c r="E367" i="31" s="1"/>
  <c r="E345" i="31"/>
  <c r="E347" i="31" s="1"/>
  <c r="E315" i="31"/>
  <c r="E317" i="31" s="1"/>
  <c r="E295" i="31"/>
  <c r="E297" i="31" s="1"/>
  <c r="E275" i="31"/>
  <c r="E277" i="31" s="1"/>
  <c r="E245" i="31"/>
  <c r="E247" i="31" s="1"/>
  <c r="E225" i="31"/>
  <c r="E227" i="31" s="1"/>
  <c r="E205" i="31"/>
  <c r="E207" i="31" s="1"/>
  <c r="E175" i="31"/>
  <c r="E177" i="31" s="1"/>
  <c r="E155" i="31"/>
  <c r="E157" i="31" s="1"/>
  <c r="E135" i="31"/>
  <c r="E137" i="31" s="1"/>
  <c r="E1495" i="31"/>
  <c r="E1465" i="31"/>
  <c r="E1445" i="31"/>
  <c r="E1425" i="31"/>
  <c r="E1427" i="31" s="1"/>
  <c r="E1395" i="31"/>
  <c r="E1397" i="31" s="1"/>
  <c r="E1375" i="31"/>
  <c r="E1377" i="31" s="1"/>
  <c r="E1345" i="31"/>
  <c r="E1315" i="31"/>
  <c r="E1295" i="31"/>
  <c r="E1275" i="31"/>
  <c r="E1245" i="31"/>
  <c r="E1225" i="31"/>
  <c r="E1205" i="31"/>
  <c r="E1175" i="31"/>
  <c r="E1155" i="31"/>
  <c r="E1135" i="31"/>
  <c r="E1105" i="31"/>
  <c r="E1085" i="31"/>
  <c r="E1065" i="31"/>
  <c r="E1035" i="31"/>
  <c r="E1015" i="31"/>
  <c r="E995" i="31"/>
  <c r="E965" i="31"/>
  <c r="E966" i="31" s="1"/>
  <c r="E945" i="31"/>
  <c r="E925" i="31"/>
  <c r="E927" i="31" s="1"/>
  <c r="E895" i="31"/>
  <c r="E897" i="31" s="1"/>
  <c r="E875" i="31"/>
  <c r="E877" i="31" s="1"/>
  <c r="E855" i="31"/>
  <c r="E857" i="31" s="1"/>
  <c r="E825" i="31"/>
  <c r="E827" i="31" s="1"/>
  <c r="E805" i="31"/>
  <c r="E807" i="31" s="1"/>
  <c r="E785" i="31"/>
  <c r="E787" i="31" s="1"/>
  <c r="E755" i="31"/>
  <c r="E757" i="31" s="1"/>
  <c r="E735" i="31"/>
  <c r="E737" i="31" s="1"/>
  <c r="E715" i="31"/>
  <c r="E717" i="31" s="1"/>
  <c r="E665" i="31"/>
  <c r="E667" i="31" s="1"/>
  <c r="E645" i="31"/>
  <c r="E647" i="31" s="1"/>
  <c r="E652" i="31"/>
  <c r="E653" i="31" s="1"/>
  <c r="E615" i="31"/>
  <c r="E617" i="31" s="1"/>
  <c r="E595" i="31"/>
  <c r="E597" i="31" s="1"/>
  <c r="E575" i="31"/>
  <c r="E577" i="31" s="1"/>
  <c r="E545" i="31"/>
  <c r="E547" i="31" s="1"/>
  <c r="E525" i="31"/>
  <c r="E527" i="31" s="1"/>
  <c r="E495" i="31"/>
  <c r="E497" i="31" s="1"/>
  <c r="E465" i="31"/>
  <c r="E467" i="31" s="1"/>
  <c r="E445" i="31"/>
  <c r="E447" i="31" s="1"/>
  <c r="E425" i="31"/>
  <c r="E427" i="31" s="1"/>
  <c r="E395" i="31"/>
  <c r="E397" i="31" s="1"/>
  <c r="E375" i="31"/>
  <c r="E377" i="31" s="1"/>
  <c r="E355" i="31"/>
  <c r="E357" i="31" s="1"/>
  <c r="E325" i="31"/>
  <c r="E327" i="31" s="1"/>
  <c r="E305" i="31"/>
  <c r="E307" i="31" s="1"/>
  <c r="E285" i="31"/>
  <c r="E287" i="31" s="1"/>
  <c r="E255" i="31"/>
  <c r="E257" i="31" s="1"/>
  <c r="E235" i="31"/>
  <c r="E237" i="31" s="1"/>
  <c r="E215" i="31"/>
  <c r="E217" i="31" s="1"/>
  <c r="E185" i="31"/>
  <c r="E187" i="31" s="1"/>
  <c r="E165" i="31"/>
  <c r="E167" i="31" s="1"/>
  <c r="E145" i="31"/>
  <c r="E147" i="31" s="1"/>
  <c r="H606" i="31"/>
  <c r="H586" i="31"/>
  <c r="H556" i="31"/>
  <c r="H546" i="31"/>
  <c r="H536" i="31"/>
  <c r="H526" i="31"/>
  <c r="H506" i="31"/>
  <c r="H476" i="31"/>
  <c r="H456" i="31"/>
  <c r="H396" i="31"/>
  <c r="H386" i="31"/>
  <c r="H336" i="31"/>
  <c r="H316" i="31"/>
  <c r="H306" i="31"/>
  <c r="H276" i="31"/>
  <c r="H266" i="31"/>
  <c r="H246" i="31"/>
  <c r="H176" i="31"/>
  <c r="E1472" i="31"/>
  <c r="E1473" i="31" s="1"/>
  <c r="E1402" i="31"/>
  <c r="E1403" i="31" s="1"/>
  <c r="E1322" i="31"/>
  <c r="E1323" i="31" s="1"/>
  <c r="E1252" i="31"/>
  <c r="E1253" i="31" s="1"/>
  <c r="E1182" i="31"/>
  <c r="E1183" i="31" s="1"/>
  <c r="E1112" i="31"/>
  <c r="E1113" i="31" s="1"/>
  <c r="E1042" i="31"/>
  <c r="E1043" i="31" s="1"/>
  <c r="E972" i="31"/>
  <c r="E973" i="31" s="1"/>
  <c r="E902" i="31"/>
  <c r="E903" i="31" s="1"/>
  <c r="E832" i="31"/>
  <c r="E833" i="31" s="1"/>
  <c r="E762" i="31"/>
  <c r="E763" i="31" s="1"/>
  <c r="E692" i="31"/>
  <c r="E693" i="31" s="1"/>
  <c r="E622" i="31"/>
  <c r="E623" i="31" s="1"/>
  <c r="E552" i="31"/>
  <c r="E553" i="31" s="1"/>
  <c r="E472" i="31"/>
  <c r="E473" i="31" s="1"/>
  <c r="E402" i="31"/>
  <c r="E403" i="31" s="1"/>
  <c r="E332" i="31"/>
  <c r="E333" i="31" s="1"/>
  <c r="E262" i="31"/>
  <c r="E263" i="31" s="1"/>
  <c r="E1482" i="31"/>
  <c r="E1483" i="31" s="1"/>
  <c r="E1452" i="31"/>
  <c r="E1453" i="31" s="1"/>
  <c r="E1432" i="31"/>
  <c r="E1433" i="31" s="1"/>
  <c r="E1412" i="31"/>
  <c r="E1413" i="31" s="1"/>
  <c r="E1382" i="31"/>
  <c r="E1383" i="31" s="1"/>
  <c r="E1352" i="31"/>
  <c r="E1353" i="31" s="1"/>
  <c r="E1332" i="31"/>
  <c r="E1333" i="31" s="1"/>
  <c r="E1302" i="31"/>
  <c r="E1303" i="31" s="1"/>
  <c r="E1282" i="31"/>
  <c r="E1283" i="31" s="1"/>
  <c r="E1262" i="31"/>
  <c r="E1263" i="31" s="1"/>
  <c r="E1232" i="31"/>
  <c r="E1233" i="31" s="1"/>
  <c r="E1212" i="31"/>
  <c r="E1213" i="31" s="1"/>
  <c r="E1192" i="31"/>
  <c r="E1193" i="31" s="1"/>
  <c r="E1162" i="31"/>
  <c r="E1163" i="31" s="1"/>
  <c r="E1142" i="31"/>
  <c r="E1143" i="31" s="1"/>
  <c r="E1122" i="31"/>
  <c r="E1123" i="31" s="1"/>
  <c r="E1092" i="31"/>
  <c r="E1093" i="31" s="1"/>
  <c r="E1072" i="31"/>
  <c r="E1073" i="31" s="1"/>
  <c r="E1052" i="31"/>
  <c r="E1053" i="31" s="1"/>
  <c r="E1022" i="31"/>
  <c r="E1023" i="31" s="1"/>
  <c r="E1002" i="31"/>
  <c r="E1003" i="31" s="1"/>
  <c r="E982" i="31"/>
  <c r="E983" i="31" s="1"/>
  <c r="E952" i="31"/>
  <c r="E953" i="31" s="1"/>
  <c r="E932" i="31"/>
  <c r="E933" i="31" s="1"/>
  <c r="E912" i="31"/>
  <c r="E913" i="31" s="1"/>
  <c r="E882" i="31"/>
  <c r="E883" i="31" s="1"/>
  <c r="E862" i="31"/>
  <c r="E863" i="31" s="1"/>
  <c r="E842" i="31"/>
  <c r="E843" i="31" s="1"/>
  <c r="E812" i="31"/>
  <c r="E813" i="31" s="1"/>
  <c r="E792" i="31"/>
  <c r="E793" i="31" s="1"/>
  <c r="E772" i="31"/>
  <c r="E773" i="31" s="1"/>
  <c r="E742" i="31"/>
  <c r="E743" i="31" s="1"/>
  <c r="E722" i="31"/>
  <c r="E723" i="31" s="1"/>
  <c r="E702" i="31"/>
  <c r="E703" i="31" s="1"/>
  <c r="E672" i="31"/>
  <c r="E673" i="31" s="1"/>
  <c r="E602" i="31"/>
  <c r="E603" i="31" s="1"/>
  <c r="E582" i="31"/>
  <c r="E583" i="31" s="1"/>
  <c r="E562" i="31"/>
  <c r="E563" i="31" s="1"/>
  <c r="E532" i="31"/>
  <c r="E533" i="31" s="1"/>
  <c r="E502" i="31"/>
  <c r="E503" i="31" s="1"/>
  <c r="E482" i="31"/>
  <c r="E483" i="31" s="1"/>
  <c r="E452" i="31"/>
  <c r="E453" i="31" s="1"/>
  <c r="E432" i="31"/>
  <c r="E433" i="31" s="1"/>
  <c r="E412" i="31"/>
  <c r="E413" i="31" s="1"/>
  <c r="E382" i="31"/>
  <c r="E383" i="31" s="1"/>
  <c r="E362" i="31"/>
  <c r="E363" i="31" s="1"/>
  <c r="E342" i="31"/>
  <c r="E343" i="31" s="1"/>
  <c r="E312" i="31"/>
  <c r="E313" i="31" s="1"/>
  <c r="E292" i="31"/>
  <c r="E293" i="31" s="1"/>
  <c r="E272" i="31"/>
  <c r="E273" i="31" s="1"/>
  <c r="E242" i="31"/>
  <c r="E243" i="31" s="1"/>
  <c r="E222" i="31"/>
  <c r="E223" i="31" s="1"/>
  <c r="E202" i="31"/>
  <c r="E203" i="31" s="1"/>
  <c r="E1492" i="31"/>
  <c r="E1493" i="31" s="1"/>
  <c r="E1462" i="31"/>
  <c r="E1463" i="31" s="1"/>
  <c r="E1442" i="31"/>
  <c r="E1443" i="31" s="1"/>
  <c r="E1422" i="31"/>
  <c r="E1423" i="31" s="1"/>
  <c r="E1392" i="31"/>
  <c r="E1393" i="31" s="1"/>
  <c r="E1372" i="31"/>
  <c r="E1373" i="31" s="1"/>
  <c r="E1342" i="31"/>
  <c r="E1343" i="31" s="1"/>
  <c r="E1312" i="31"/>
  <c r="E1313" i="31" s="1"/>
  <c r="E1292" i="31"/>
  <c r="E1293" i="31" s="1"/>
  <c r="E1272" i="31"/>
  <c r="E1273" i="31" s="1"/>
  <c r="E1242" i="31"/>
  <c r="E1243" i="31" s="1"/>
  <c r="E1222" i="31"/>
  <c r="E1223" i="31" s="1"/>
  <c r="E1202" i="31"/>
  <c r="E1203" i="31" s="1"/>
  <c r="E1172" i="31"/>
  <c r="E1173" i="31" s="1"/>
  <c r="E1152" i="31"/>
  <c r="E1153" i="31" s="1"/>
  <c r="E1132" i="31"/>
  <c r="E1133" i="31" s="1"/>
  <c r="E1102" i="31"/>
  <c r="E1103" i="31" s="1"/>
  <c r="E1082" i="31"/>
  <c r="E1083" i="31" s="1"/>
  <c r="E1062" i="31"/>
  <c r="E1063" i="31" s="1"/>
  <c r="E1032" i="31"/>
  <c r="E1033" i="31" s="1"/>
  <c r="E1012" i="31"/>
  <c r="E1013" i="31" s="1"/>
  <c r="E992" i="31"/>
  <c r="E993" i="31" s="1"/>
  <c r="E962" i="31"/>
  <c r="E963" i="31" s="1"/>
  <c r="E942" i="31"/>
  <c r="E943" i="31" s="1"/>
  <c r="E922" i="31"/>
  <c r="E923" i="31" s="1"/>
  <c r="E892" i="31"/>
  <c r="E893" i="31" s="1"/>
  <c r="E872" i="31"/>
  <c r="E873" i="31" s="1"/>
  <c r="E852" i="31"/>
  <c r="E853" i="31" s="1"/>
  <c r="E822" i="31"/>
  <c r="E823" i="31" s="1"/>
  <c r="E802" i="31"/>
  <c r="E803" i="31" s="1"/>
  <c r="E782" i="31"/>
  <c r="E783" i="31" s="1"/>
  <c r="E752" i="31"/>
  <c r="E753" i="31" s="1"/>
  <c r="E732" i="31"/>
  <c r="E733" i="31" s="1"/>
  <c r="E712" i="31"/>
  <c r="E713" i="31" s="1"/>
  <c r="E682" i="31"/>
  <c r="E683" i="31" s="1"/>
  <c r="E662" i="31"/>
  <c r="E663" i="31" s="1"/>
  <c r="E612" i="31"/>
  <c r="E613" i="31" s="1"/>
  <c r="E592" i="31"/>
  <c r="E593" i="31" s="1"/>
  <c r="E572" i="31"/>
  <c r="E573" i="31" s="1"/>
  <c r="L3" i="31"/>
  <c r="L2" i="31"/>
  <c r="E1447" i="31" l="1"/>
  <c r="E1446" i="31"/>
  <c r="E1497" i="31"/>
  <c r="E1496" i="31"/>
  <c r="E1457" i="31"/>
  <c r="E1456" i="31"/>
  <c r="E1467" i="31"/>
  <c r="E1466" i="31"/>
  <c r="E1487" i="31"/>
  <c r="E1486" i="31"/>
  <c r="E1477" i="31"/>
  <c r="E1476" i="31"/>
  <c r="E1437" i="31"/>
  <c r="E1436" i="31"/>
  <c r="E1347" i="31"/>
  <c r="E1346" i="31"/>
  <c r="E1337" i="31"/>
  <c r="E1336" i="31"/>
  <c r="E1317" i="31"/>
  <c r="E1316" i="31"/>
  <c r="E1307" i="31"/>
  <c r="E1306" i="31"/>
  <c r="E1297" i="31"/>
  <c r="E1296" i="31"/>
  <c r="E1287" i="31"/>
  <c r="E1286" i="31"/>
  <c r="E1277" i="31"/>
  <c r="E1276" i="31"/>
  <c r="E1267" i="31"/>
  <c r="E1266" i="31"/>
  <c r="E1257" i="31"/>
  <c r="E1256" i="31"/>
  <c r="E1247" i="31"/>
  <c r="E1246" i="31"/>
  <c r="E1237" i="31"/>
  <c r="E1236" i="31"/>
  <c r="E1227" i="31"/>
  <c r="E1226" i="31"/>
  <c r="E1217" i="31"/>
  <c r="E1216" i="31"/>
  <c r="E1207" i="31"/>
  <c r="E1206" i="31"/>
  <c r="E1197" i="31"/>
  <c r="E1196" i="31"/>
  <c r="E1187" i="31"/>
  <c r="E1186" i="31"/>
  <c r="E1177" i="31"/>
  <c r="E1176" i="31"/>
  <c r="E1167" i="31"/>
  <c r="E1166" i="31"/>
  <c r="E1157" i="31"/>
  <c r="E1156" i="31"/>
  <c r="E1147" i="31"/>
  <c r="E1146" i="31"/>
  <c r="E1087" i="31"/>
  <c r="E1086" i="31"/>
  <c r="E1137" i="31"/>
  <c r="E1136" i="31"/>
  <c r="E1097" i="31"/>
  <c r="E1096" i="31"/>
  <c r="E1107" i="31"/>
  <c r="E1106" i="31"/>
  <c r="E1077" i="31"/>
  <c r="E1076" i="31"/>
  <c r="E1127" i="31"/>
  <c r="E1126" i="31"/>
  <c r="E1117" i="31"/>
  <c r="E1116" i="31"/>
  <c r="E1067" i="31"/>
  <c r="E1066" i="31"/>
  <c r="E1057" i="31"/>
  <c r="E1056" i="31"/>
  <c r="E1047" i="31"/>
  <c r="E1046" i="31"/>
  <c r="E1037" i="31"/>
  <c r="E1036" i="31"/>
  <c r="E1017" i="31"/>
  <c r="E1016" i="31"/>
  <c r="E1027" i="31"/>
  <c r="E1026" i="31"/>
  <c r="E1007" i="31"/>
  <c r="E1006" i="31"/>
  <c r="E997" i="31"/>
  <c r="E996" i="31"/>
  <c r="E987" i="31"/>
  <c r="E986" i="31"/>
  <c r="E977" i="31"/>
  <c r="E976" i="31"/>
  <c r="E967" i="31"/>
  <c r="E947" i="31"/>
  <c r="E946" i="31"/>
  <c r="E957" i="31"/>
  <c r="E956" i="31"/>
  <c r="C1362" i="31"/>
  <c r="B517" i="31"/>
  <c r="C517" i="31" s="1"/>
  <c r="F517" i="31"/>
  <c r="C515" i="31"/>
  <c r="D517" i="31"/>
  <c r="B513" i="31"/>
  <c r="C513" i="31" s="1"/>
  <c r="G515" i="31"/>
  <c r="A516" i="31"/>
  <c r="G516" i="31" s="1"/>
  <c r="E516" i="31"/>
  <c r="G512" i="31"/>
  <c r="G1363" i="31"/>
  <c r="G1362" i="31"/>
  <c r="B1366" i="31"/>
  <c r="C1366" i="31" s="1"/>
  <c r="D1366" i="31"/>
  <c r="F1366" i="31"/>
  <c r="B1367" i="31"/>
  <c r="C1367" i="31" s="1"/>
  <c r="G1365" i="31"/>
  <c r="A1366" i="31"/>
  <c r="E1366" i="31"/>
  <c r="E1386" i="31"/>
  <c r="E1426" i="31"/>
  <c r="E1356" i="31"/>
  <c r="E1406" i="31"/>
  <c r="E1376" i="31"/>
  <c r="E1396" i="31"/>
  <c r="E1416" i="31"/>
  <c r="E936" i="31"/>
  <c r="E856" i="31"/>
  <c r="E916" i="31"/>
  <c r="E896" i="31"/>
  <c r="E876" i="31"/>
  <c r="E766" i="31"/>
  <c r="E866" i="31"/>
  <c r="E886" i="31"/>
  <c r="E906" i="31"/>
  <c r="E926" i="31"/>
  <c r="E826" i="31"/>
  <c r="E786" i="31"/>
  <c r="E846" i="31"/>
  <c r="E806" i="31"/>
  <c r="E776" i="31"/>
  <c r="E796" i="31"/>
  <c r="E816" i="31"/>
  <c r="E836" i="31"/>
  <c r="E676" i="31"/>
  <c r="E666" i="31"/>
  <c r="E746" i="31"/>
  <c r="E626" i="31"/>
  <c r="E646" i="31"/>
  <c r="E756" i="31"/>
  <c r="E726" i="31"/>
  <c r="E636" i="31"/>
  <c r="E656" i="31"/>
  <c r="E696" i="31"/>
  <c r="E736" i="31"/>
  <c r="E716" i="31"/>
  <c r="E706" i="31"/>
  <c r="E146" i="31"/>
  <c r="E136" i="31"/>
  <c r="E387" i="31"/>
  <c r="B143" i="31"/>
  <c r="C143" i="31" s="1"/>
  <c r="G142" i="31"/>
  <c r="A143" i="31"/>
  <c r="G143" i="31" s="1"/>
  <c r="F156" i="31"/>
  <c r="E196" i="31"/>
  <c r="E266" i="31"/>
  <c r="E336" i="31"/>
  <c r="E406" i="31"/>
  <c r="E476" i="31"/>
  <c r="E556" i="31"/>
  <c r="E156" i="31"/>
  <c r="E176" i="31"/>
  <c r="E206" i="31"/>
  <c r="E226" i="31"/>
  <c r="E246" i="31"/>
  <c r="E276" i="31"/>
  <c r="E296" i="31"/>
  <c r="E316" i="31"/>
  <c r="E346" i="31"/>
  <c r="E366" i="31"/>
  <c r="E386" i="31"/>
  <c r="E416" i="31"/>
  <c r="E436" i="31"/>
  <c r="E456" i="31"/>
  <c r="E486" i="31"/>
  <c r="E506" i="31"/>
  <c r="E536" i="31"/>
  <c r="E566" i="31"/>
  <c r="E586" i="31"/>
  <c r="E606" i="31"/>
  <c r="E166" i="31"/>
  <c r="E186" i="31"/>
  <c r="E216" i="31"/>
  <c r="E236" i="31"/>
  <c r="E256" i="31"/>
  <c r="E286" i="31"/>
  <c r="E306" i="31"/>
  <c r="E326" i="31"/>
  <c r="E356" i="31"/>
  <c r="E376" i="31"/>
  <c r="E396" i="31"/>
  <c r="E426" i="31"/>
  <c r="E446" i="31"/>
  <c r="E466" i="31"/>
  <c r="E496" i="31"/>
  <c r="E526" i="31"/>
  <c r="E546" i="31"/>
  <c r="E576" i="31"/>
  <c r="E596" i="31"/>
  <c r="E616" i="31"/>
  <c r="D12" i="43"/>
  <c r="D147" i="43"/>
  <c r="D146" i="43"/>
  <c r="D144" i="43"/>
  <c r="D143" i="43"/>
  <c r="D142" i="43"/>
  <c r="D141" i="43"/>
  <c r="D139" i="43"/>
  <c r="D138" i="43"/>
  <c r="D122" i="43"/>
  <c r="D121" i="43"/>
  <c r="D119" i="43"/>
  <c r="D118" i="43"/>
  <c r="D117" i="43"/>
  <c r="D116" i="43"/>
  <c r="D114" i="43"/>
  <c r="D113" i="43"/>
  <c r="D107" i="43"/>
  <c r="D106" i="43"/>
  <c r="D104" i="43"/>
  <c r="D103" i="43"/>
  <c r="D97" i="43"/>
  <c r="D96" i="43"/>
  <c r="D94" i="43"/>
  <c r="D93" i="43"/>
  <c r="D92" i="43"/>
  <c r="D91" i="43"/>
  <c r="D89" i="43"/>
  <c r="D88" i="43"/>
  <c r="D77" i="43"/>
  <c r="D76" i="43"/>
  <c r="D74" i="43"/>
  <c r="D73" i="43"/>
  <c r="D72" i="43"/>
  <c r="D71" i="43"/>
  <c r="D69" i="43"/>
  <c r="D68" i="43"/>
  <c r="D67" i="43"/>
  <c r="D66" i="43"/>
  <c r="D64" i="43"/>
  <c r="D63" i="43"/>
  <c r="D60" i="43"/>
  <c r="D59" i="43"/>
  <c r="D57" i="43"/>
  <c r="D56" i="43"/>
  <c r="D55" i="43"/>
  <c r="D54" i="43"/>
  <c r="D52" i="43"/>
  <c r="D51" i="43"/>
  <c r="D50" i="43"/>
  <c r="D49" i="43"/>
  <c r="D47" i="43"/>
  <c r="D46" i="43"/>
  <c r="D45" i="43"/>
  <c r="D44" i="43"/>
  <c r="D42" i="43"/>
  <c r="D41" i="43"/>
  <c r="D40" i="43"/>
  <c r="D39" i="43"/>
  <c r="D37" i="43"/>
  <c r="D36" i="43"/>
  <c r="D35" i="43"/>
  <c r="D34" i="43"/>
  <c r="D32" i="43"/>
  <c r="D31" i="43"/>
  <c r="D30" i="43"/>
  <c r="D29" i="43"/>
  <c r="D27" i="43"/>
  <c r="D26" i="43"/>
  <c r="D25" i="43"/>
  <c r="D24" i="43"/>
  <c r="D22" i="43"/>
  <c r="D21" i="43"/>
  <c r="D20" i="43"/>
  <c r="D19" i="43"/>
  <c r="D17" i="43"/>
  <c r="D16" i="43"/>
  <c r="D15" i="43"/>
  <c r="D14" i="43"/>
  <c r="D11" i="43"/>
  <c r="E4" i="19"/>
  <c r="G517" i="31" l="1"/>
  <c r="G1367" i="31"/>
  <c r="G513" i="31"/>
  <c r="G1366" i="31"/>
  <c r="AA568" i="1"/>
  <c r="AA569" i="1"/>
  <c r="AK568" i="1"/>
  <c r="AK569" i="1"/>
  <c r="AA247" i="1"/>
  <c r="AA280" i="1"/>
  <c r="AA281" i="1"/>
  <c r="AK247" i="1"/>
  <c r="AK280" i="1"/>
  <c r="AK281" i="1"/>
  <c r="AA332" i="1"/>
  <c r="AA334" i="1"/>
  <c r="AA340" i="1"/>
  <c r="AK332" i="1"/>
  <c r="AK334" i="1"/>
  <c r="AK340" i="1"/>
  <c r="AA567" i="1"/>
  <c r="AK567" i="1"/>
  <c r="AA230" i="1"/>
  <c r="AK230" i="1"/>
  <c r="AA331" i="1"/>
  <c r="AK331" i="1"/>
  <c r="AA119" i="1"/>
  <c r="AA557" i="1"/>
  <c r="AA556" i="1"/>
  <c r="AA559" i="1"/>
  <c r="AK559" i="1"/>
  <c r="AA131" i="1"/>
  <c r="AK131" i="1"/>
  <c r="AA558" i="1"/>
  <c r="AK558" i="1"/>
  <c r="AA130" i="1"/>
  <c r="AK130" i="1"/>
  <c r="AK557" i="1"/>
  <c r="AK119" i="1"/>
  <c r="AK556" i="1"/>
  <c r="H442" i="1"/>
  <c r="H615" i="1"/>
  <c r="H110" i="1"/>
  <c r="AA442" i="1"/>
  <c r="AK442" i="1"/>
  <c r="AA615" i="1"/>
  <c r="AK615" i="1"/>
  <c r="AA110" i="1"/>
  <c r="AK110" i="1"/>
  <c r="H115" i="1"/>
  <c r="AA115" i="1"/>
  <c r="AK115" i="1"/>
  <c r="Z497" i="1"/>
  <c r="AA497" i="1" s="1"/>
  <c r="Z496" i="1"/>
  <c r="Z495" i="1"/>
  <c r="AA495" i="1" s="1"/>
  <c r="I497" i="1"/>
  <c r="I496" i="1"/>
  <c r="I495" i="1"/>
  <c r="AK495" i="1"/>
  <c r="AK497" i="1"/>
  <c r="AK483" i="1"/>
  <c r="AG497" i="1" l="1"/>
  <c r="AH497" i="1"/>
  <c r="AI497" i="1"/>
  <c r="AG115" i="1"/>
  <c r="AH115" i="1" s="1"/>
  <c r="AI115" i="1"/>
  <c r="AG556" i="1"/>
  <c r="AH556" i="1" s="1"/>
  <c r="AI556" i="1"/>
  <c r="AG557" i="1"/>
  <c r="AH557" i="1" s="1"/>
  <c r="AI557" i="1"/>
  <c r="AG331" i="1"/>
  <c r="AH331" i="1" s="1"/>
  <c r="AI331" i="1"/>
  <c r="AG230" i="1"/>
  <c r="AH230" i="1" s="1"/>
  <c r="AI230" i="1"/>
  <c r="AG567" i="1"/>
  <c r="AH567" i="1" s="1"/>
  <c r="AI567" i="1"/>
  <c r="AG340" i="1"/>
  <c r="AH340" i="1" s="1"/>
  <c r="AI340" i="1"/>
  <c r="AG332" i="1"/>
  <c r="AH332" i="1" s="1"/>
  <c r="AI332" i="1"/>
  <c r="AG281" i="1"/>
  <c r="AH281" i="1" s="1"/>
  <c r="AI281" i="1"/>
  <c r="AG247" i="1"/>
  <c r="AH247" i="1" s="1"/>
  <c r="AI247" i="1"/>
  <c r="AG569" i="1"/>
  <c r="AH569" i="1" s="1"/>
  <c r="AI569" i="1"/>
  <c r="AG483" i="1"/>
  <c r="AH483" i="1"/>
  <c r="AI483" i="1"/>
  <c r="AG495" i="1"/>
  <c r="AH495" i="1"/>
  <c r="AI495" i="1"/>
  <c r="AG110" i="1"/>
  <c r="AH110" i="1" s="1"/>
  <c r="AI110" i="1"/>
  <c r="AG615" i="1"/>
  <c r="AH615" i="1" s="1"/>
  <c r="AI615" i="1"/>
  <c r="AG442" i="1"/>
  <c r="AH442" i="1" s="1"/>
  <c r="AI442" i="1"/>
  <c r="AG119" i="1"/>
  <c r="AH119" i="1" s="1"/>
  <c r="AI119" i="1"/>
  <c r="AG130" i="1"/>
  <c r="AH130" i="1" s="1"/>
  <c r="AI130" i="1"/>
  <c r="AG558" i="1"/>
  <c r="AH558" i="1" s="1"/>
  <c r="AI558" i="1"/>
  <c r="AG131" i="1"/>
  <c r="AH131" i="1" s="1"/>
  <c r="AI131" i="1"/>
  <c r="AG559" i="1"/>
  <c r="AH559" i="1" s="1"/>
  <c r="AI559" i="1"/>
  <c r="AG334" i="1"/>
  <c r="AH334" i="1" s="1"/>
  <c r="AI334" i="1"/>
  <c r="AG280" i="1"/>
  <c r="AH280" i="1" s="1"/>
  <c r="AI280" i="1"/>
  <c r="AG568" i="1"/>
  <c r="AH568" i="1" s="1"/>
  <c r="AI568" i="1"/>
  <c r="AF331" i="1"/>
  <c r="AD247" i="1"/>
  <c r="AD568" i="1"/>
  <c r="AD334" i="1"/>
  <c r="AD280" i="1"/>
  <c r="AF556" i="1"/>
  <c r="AF131" i="1"/>
  <c r="AD559" i="1"/>
  <c r="AE559" i="1" s="1"/>
  <c r="AF558" i="1"/>
  <c r="AD557" i="1"/>
  <c r="AE557" i="1" s="1"/>
  <c r="AF130" i="1"/>
  <c r="AF119" i="1"/>
  <c r="AF115" i="1"/>
  <c r="AF442" i="1"/>
  <c r="AD110" i="1"/>
  <c r="AE110" i="1" s="1"/>
  <c r="AE497" i="1"/>
  <c r="AE495" i="1"/>
  <c r="AF615" i="1"/>
  <c r="AF334" i="1" l="1"/>
  <c r="AE247" i="1"/>
  <c r="AE280" i="1"/>
  <c r="AF559" i="1"/>
  <c r="AD130" i="1"/>
  <c r="AE130" i="1" s="1"/>
  <c r="AF247" i="1"/>
  <c r="AD119" i="1"/>
  <c r="AE119" i="1" s="1"/>
  <c r="AF557" i="1"/>
  <c r="AD230" i="1"/>
  <c r="AE230" i="1" s="1"/>
  <c r="AD281" i="1"/>
  <c r="AE281" i="1" s="1"/>
  <c r="AF568" i="1"/>
  <c r="AE568" i="1"/>
  <c r="AD131" i="1"/>
  <c r="AE131" i="1" s="1"/>
  <c r="AF567" i="1"/>
  <c r="AF332" i="1"/>
  <c r="AF569" i="1"/>
  <c r="AD558" i="1"/>
  <c r="AE558" i="1" s="1"/>
  <c r="AD331" i="1"/>
  <c r="AE331" i="1" s="1"/>
  <c r="AD567" i="1"/>
  <c r="AE567" i="1" s="1"/>
  <c r="AD332" i="1"/>
  <c r="AE332" i="1" s="1"/>
  <c r="AE334" i="1"/>
  <c r="AD569" i="1"/>
  <c r="AE569" i="1" s="1"/>
  <c r="AF497" i="1"/>
  <c r="AD556" i="1"/>
  <c r="AE556" i="1" s="1"/>
  <c r="AF230" i="1"/>
  <c r="AD340" i="1"/>
  <c r="AE340" i="1" s="1"/>
  <c r="AF340" i="1"/>
  <c r="AF280" i="1"/>
  <c r="AF281" i="1"/>
  <c r="AD495" i="1"/>
  <c r="AD497" i="1"/>
  <c r="AF495" i="1"/>
  <c r="AF110" i="1"/>
  <c r="AD615" i="1"/>
  <c r="AE615" i="1" s="1"/>
  <c r="AD442" i="1"/>
  <c r="AE442" i="1" s="1"/>
  <c r="AD115" i="1"/>
  <c r="AE115" i="1" s="1"/>
  <c r="H1497" i="31" l="1"/>
  <c r="F1495" i="31"/>
  <c r="D1495" i="31"/>
  <c r="B1495" i="31"/>
  <c r="A1495" i="31"/>
  <c r="G1494" i="31"/>
  <c r="C1494" i="31"/>
  <c r="F1492" i="31"/>
  <c r="F1493" i="31" s="1"/>
  <c r="D1492" i="31"/>
  <c r="D1493" i="31" s="1"/>
  <c r="B1492" i="31"/>
  <c r="B1493" i="31" s="1"/>
  <c r="C1493" i="31" s="1"/>
  <c r="A1492" i="31"/>
  <c r="A1493" i="31" s="1"/>
  <c r="G1491" i="31"/>
  <c r="C1491" i="31"/>
  <c r="F1485" i="31"/>
  <c r="D1485" i="31"/>
  <c r="B1485" i="31"/>
  <c r="A1485" i="31"/>
  <c r="G1484" i="31"/>
  <c r="C1484" i="31"/>
  <c r="F1482" i="31"/>
  <c r="F1483" i="31" s="1"/>
  <c r="D1482" i="31"/>
  <c r="D1483" i="31" s="1"/>
  <c r="B1482" i="31"/>
  <c r="B1483" i="31" s="1"/>
  <c r="C1483" i="31" s="1"/>
  <c r="A1482" i="31"/>
  <c r="A1483" i="31" s="1"/>
  <c r="G1481" i="31"/>
  <c r="C1481" i="31"/>
  <c r="F1475" i="31"/>
  <c r="D1475" i="31"/>
  <c r="B1475" i="31"/>
  <c r="A1475" i="31"/>
  <c r="G1474" i="31"/>
  <c r="C1474" i="31"/>
  <c r="F1472" i="31"/>
  <c r="F1473" i="31" s="1"/>
  <c r="D1472" i="31"/>
  <c r="D1473" i="31" s="1"/>
  <c r="B1472" i="31"/>
  <c r="B1473" i="31" s="1"/>
  <c r="C1473" i="31" s="1"/>
  <c r="A1472" i="31"/>
  <c r="A1473" i="31" s="1"/>
  <c r="G1471" i="31"/>
  <c r="C1471" i="31"/>
  <c r="F1465" i="31"/>
  <c r="D1465" i="31"/>
  <c r="B1465" i="31"/>
  <c r="A1465" i="31"/>
  <c r="G1464" i="31"/>
  <c r="C1464" i="31"/>
  <c r="H1463" i="31"/>
  <c r="F1462" i="31"/>
  <c r="F1463" i="31" s="1"/>
  <c r="D1462" i="31"/>
  <c r="D1463" i="31" s="1"/>
  <c r="B1462" i="31"/>
  <c r="C1462" i="31" s="1"/>
  <c r="A1462" i="31"/>
  <c r="A1463" i="31" s="1"/>
  <c r="G1461" i="31"/>
  <c r="C1461" i="31"/>
  <c r="F1455" i="31"/>
  <c r="D1455" i="31"/>
  <c r="B1455" i="31"/>
  <c r="A1455" i="31"/>
  <c r="G1454" i="31"/>
  <c r="C1454" i="31"/>
  <c r="F1452" i="31"/>
  <c r="F1453" i="31" s="1"/>
  <c r="D1452" i="31"/>
  <c r="D1453" i="31" s="1"/>
  <c r="B1452" i="31"/>
  <c r="B1453" i="31" s="1"/>
  <c r="C1453" i="31" s="1"/>
  <c r="A1452" i="31"/>
  <c r="A1453" i="31" s="1"/>
  <c r="G1451" i="31"/>
  <c r="C1451" i="31"/>
  <c r="F1445" i="31"/>
  <c r="D1445" i="31"/>
  <c r="B1445" i="31"/>
  <c r="A1445" i="31"/>
  <c r="G1444" i="31"/>
  <c r="C1444" i="31"/>
  <c r="F1442" i="31"/>
  <c r="F1443" i="31" s="1"/>
  <c r="D1442" i="31"/>
  <c r="D1443" i="31" s="1"/>
  <c r="B1442" i="31"/>
  <c r="B1443" i="31" s="1"/>
  <c r="C1443" i="31" s="1"/>
  <c r="A1442" i="31"/>
  <c r="A1443" i="31" s="1"/>
  <c r="G1441" i="31"/>
  <c r="C1441" i="31"/>
  <c r="F1435" i="31"/>
  <c r="D1435" i="31"/>
  <c r="B1435" i="31"/>
  <c r="A1435" i="31"/>
  <c r="G1434" i="31"/>
  <c r="C1434" i="31"/>
  <c r="F1432" i="31"/>
  <c r="F1433" i="31" s="1"/>
  <c r="D1432" i="31"/>
  <c r="D1433" i="31" s="1"/>
  <c r="B1432" i="31"/>
  <c r="B1433" i="31" s="1"/>
  <c r="C1433" i="31" s="1"/>
  <c r="A1432" i="31"/>
  <c r="A1433" i="31" s="1"/>
  <c r="G1431" i="31"/>
  <c r="C1431" i="31"/>
  <c r="H1427" i="31"/>
  <c r="F1425" i="31"/>
  <c r="D1425" i="31"/>
  <c r="B1425" i="31"/>
  <c r="A1425" i="31"/>
  <c r="G1424" i="31"/>
  <c r="C1424" i="31"/>
  <c r="F1422" i="31"/>
  <c r="F1423" i="31" s="1"/>
  <c r="D1422" i="31"/>
  <c r="D1423" i="31" s="1"/>
  <c r="B1422" i="31"/>
  <c r="B1423" i="31" s="1"/>
  <c r="C1423" i="31" s="1"/>
  <c r="A1422" i="31"/>
  <c r="A1423" i="31" s="1"/>
  <c r="G1421" i="31"/>
  <c r="C1421" i="31"/>
  <c r="F1415" i="31"/>
  <c r="D1415" i="31"/>
  <c r="B1415" i="31"/>
  <c r="A1415" i="31"/>
  <c r="G1414" i="31"/>
  <c r="C1414" i="31"/>
  <c r="F1412" i="31"/>
  <c r="F1413" i="31" s="1"/>
  <c r="D1412" i="31"/>
  <c r="D1413" i="31" s="1"/>
  <c r="B1412" i="31"/>
  <c r="B1413" i="31" s="1"/>
  <c r="C1413" i="31" s="1"/>
  <c r="A1412" i="31"/>
  <c r="A1413" i="31" s="1"/>
  <c r="G1411" i="31"/>
  <c r="C1411" i="31"/>
  <c r="F1405" i="31"/>
  <c r="D1405" i="31"/>
  <c r="B1405" i="31"/>
  <c r="A1405" i="31"/>
  <c r="G1404" i="31"/>
  <c r="C1404" i="31"/>
  <c r="F1402" i="31"/>
  <c r="F1403" i="31" s="1"/>
  <c r="D1402" i="31"/>
  <c r="D1403" i="31" s="1"/>
  <c r="B1402" i="31"/>
  <c r="B1403" i="31" s="1"/>
  <c r="C1403" i="31" s="1"/>
  <c r="A1402" i="31"/>
  <c r="A1403" i="31" s="1"/>
  <c r="G1401" i="31"/>
  <c r="C1401" i="31"/>
  <c r="F1395" i="31"/>
  <c r="D1395" i="31"/>
  <c r="B1395" i="31"/>
  <c r="A1395" i="31"/>
  <c r="G1394" i="31"/>
  <c r="C1394" i="31"/>
  <c r="H1393" i="31"/>
  <c r="F1392" i="31"/>
  <c r="F1393" i="31" s="1"/>
  <c r="D1392" i="31"/>
  <c r="D1393" i="31" s="1"/>
  <c r="B1392" i="31"/>
  <c r="C1392" i="31" s="1"/>
  <c r="A1392" i="31"/>
  <c r="A1393" i="31" s="1"/>
  <c r="G1391" i="31"/>
  <c r="C1391" i="31"/>
  <c r="F1385" i="31"/>
  <c r="D1385" i="31"/>
  <c r="B1385" i="31"/>
  <c r="A1385" i="31"/>
  <c r="G1384" i="31"/>
  <c r="C1384" i="31"/>
  <c r="F1382" i="31"/>
  <c r="F1383" i="31" s="1"/>
  <c r="D1382" i="31"/>
  <c r="D1383" i="31" s="1"/>
  <c r="B1382" i="31"/>
  <c r="B1383" i="31" s="1"/>
  <c r="C1383" i="31" s="1"/>
  <c r="A1382" i="31"/>
  <c r="A1383" i="31" s="1"/>
  <c r="G1381" i="31"/>
  <c r="C1381" i="31"/>
  <c r="F1375" i="31"/>
  <c r="D1375" i="31"/>
  <c r="B1375" i="31"/>
  <c r="A1375" i="31"/>
  <c r="G1374" i="31"/>
  <c r="C1374" i="31"/>
  <c r="F1372" i="31"/>
  <c r="F1373" i="31" s="1"/>
  <c r="D1372" i="31"/>
  <c r="D1373" i="31" s="1"/>
  <c r="B1372" i="31"/>
  <c r="B1373" i="31" s="1"/>
  <c r="C1373" i="31" s="1"/>
  <c r="A1372" i="31"/>
  <c r="A1373" i="31" s="1"/>
  <c r="G1371" i="31"/>
  <c r="C1371" i="31"/>
  <c r="F1355" i="31"/>
  <c r="D1355" i="31"/>
  <c r="B1355" i="31"/>
  <c r="A1355" i="31"/>
  <c r="G1354" i="31"/>
  <c r="C1354" i="31"/>
  <c r="F1352" i="31"/>
  <c r="F1353" i="31" s="1"/>
  <c r="D1352" i="31"/>
  <c r="D1353" i="31" s="1"/>
  <c r="B1352" i="31"/>
  <c r="B1353" i="31" s="1"/>
  <c r="C1353" i="31" s="1"/>
  <c r="A1352" i="31"/>
  <c r="G1351" i="31"/>
  <c r="C1351" i="31"/>
  <c r="H1347" i="31"/>
  <c r="F1345" i="31"/>
  <c r="D1345" i="31"/>
  <c r="B1345" i="31"/>
  <c r="A1345" i="31"/>
  <c r="G1344" i="31"/>
  <c r="C1344" i="31"/>
  <c r="F1342" i="31"/>
  <c r="F1343" i="31" s="1"/>
  <c r="D1342" i="31"/>
  <c r="D1343" i="31" s="1"/>
  <c r="B1342" i="31"/>
  <c r="B1343" i="31" s="1"/>
  <c r="C1343" i="31" s="1"/>
  <c r="A1342" i="31"/>
  <c r="A1343" i="31" s="1"/>
  <c r="G1341" i="31"/>
  <c r="C1341" i="31"/>
  <c r="F1335" i="31"/>
  <c r="D1335" i="31"/>
  <c r="B1335" i="31"/>
  <c r="A1335" i="31"/>
  <c r="G1334" i="31"/>
  <c r="C1334" i="31"/>
  <c r="F1332" i="31"/>
  <c r="F1333" i="31" s="1"/>
  <c r="D1332" i="31"/>
  <c r="D1333" i="31" s="1"/>
  <c r="B1332" i="31"/>
  <c r="B1333" i="31" s="1"/>
  <c r="C1333" i="31" s="1"/>
  <c r="A1332" i="31"/>
  <c r="A1333" i="31" s="1"/>
  <c r="G1331" i="31"/>
  <c r="C1331" i="31"/>
  <c r="F1327" i="31"/>
  <c r="D1327" i="31"/>
  <c r="A1327" i="31"/>
  <c r="G1324" i="31"/>
  <c r="C1324" i="31"/>
  <c r="F1322" i="31"/>
  <c r="F1323" i="31" s="1"/>
  <c r="D1322" i="31"/>
  <c r="D1323" i="31" s="1"/>
  <c r="B1322" i="31"/>
  <c r="B1323" i="31" s="1"/>
  <c r="C1323" i="31" s="1"/>
  <c r="A1322" i="31"/>
  <c r="A1323" i="31" s="1"/>
  <c r="G1321" i="31"/>
  <c r="C1321" i="31"/>
  <c r="F1315" i="31"/>
  <c r="D1315" i="31"/>
  <c r="B1315" i="31"/>
  <c r="A1315" i="31"/>
  <c r="G1314" i="31"/>
  <c r="C1314" i="31"/>
  <c r="H1313" i="31"/>
  <c r="F1312" i="31"/>
  <c r="F1313" i="31" s="1"/>
  <c r="D1312" i="31"/>
  <c r="D1313" i="31" s="1"/>
  <c r="B1312" i="31"/>
  <c r="C1312" i="31" s="1"/>
  <c r="A1312" i="31"/>
  <c r="A1313" i="31" s="1"/>
  <c r="G1311" i="31"/>
  <c r="C1311" i="31"/>
  <c r="F1305" i="31"/>
  <c r="D1305" i="31"/>
  <c r="B1305" i="31"/>
  <c r="A1305" i="31"/>
  <c r="G1304" i="31"/>
  <c r="C1304" i="31"/>
  <c r="F1302" i="31"/>
  <c r="F1303" i="31" s="1"/>
  <c r="D1302" i="31"/>
  <c r="D1303" i="31" s="1"/>
  <c r="B1302" i="31"/>
  <c r="B1303" i="31" s="1"/>
  <c r="C1303" i="31" s="1"/>
  <c r="A1302" i="31"/>
  <c r="A1303" i="31" s="1"/>
  <c r="G1301" i="31"/>
  <c r="C1301" i="31"/>
  <c r="F1295" i="31"/>
  <c r="D1295" i="31"/>
  <c r="B1295" i="31"/>
  <c r="A1295" i="31"/>
  <c r="G1294" i="31"/>
  <c r="C1294" i="31"/>
  <c r="F1292" i="31"/>
  <c r="F1293" i="31" s="1"/>
  <c r="D1292" i="31"/>
  <c r="D1293" i="31" s="1"/>
  <c r="B1292" i="31"/>
  <c r="B1293" i="31" s="1"/>
  <c r="C1293" i="31" s="1"/>
  <c r="A1292" i="31"/>
  <c r="A1293" i="31" s="1"/>
  <c r="G1291" i="31"/>
  <c r="C1291" i="31"/>
  <c r="F1285" i="31"/>
  <c r="D1285" i="31"/>
  <c r="B1285" i="31"/>
  <c r="A1285" i="31"/>
  <c r="G1284" i="31"/>
  <c r="C1284" i="31"/>
  <c r="F1282" i="31"/>
  <c r="F1283" i="31" s="1"/>
  <c r="D1282" i="31"/>
  <c r="D1283" i="31" s="1"/>
  <c r="B1282" i="31"/>
  <c r="B1283" i="31" s="1"/>
  <c r="C1283" i="31" s="1"/>
  <c r="A1282" i="31"/>
  <c r="A1283" i="31" s="1"/>
  <c r="G1281" i="31"/>
  <c r="C1281" i="31"/>
  <c r="H1277" i="31"/>
  <c r="F1275" i="31"/>
  <c r="D1275" i="31"/>
  <c r="B1275" i="31"/>
  <c r="A1275" i="31"/>
  <c r="G1274" i="31"/>
  <c r="C1274" i="31"/>
  <c r="F1272" i="31"/>
  <c r="F1273" i="31" s="1"/>
  <c r="D1272" i="31"/>
  <c r="D1273" i="31" s="1"/>
  <c r="B1272" i="31"/>
  <c r="B1273" i="31" s="1"/>
  <c r="C1273" i="31" s="1"/>
  <c r="A1272" i="31"/>
  <c r="A1273" i="31" s="1"/>
  <c r="G1271" i="31"/>
  <c r="C1271" i="31"/>
  <c r="F1265" i="31"/>
  <c r="D1265" i="31"/>
  <c r="B1265" i="31"/>
  <c r="A1265" i="31"/>
  <c r="G1264" i="31"/>
  <c r="C1264" i="31"/>
  <c r="F1262" i="31"/>
  <c r="F1263" i="31" s="1"/>
  <c r="D1262" i="31"/>
  <c r="D1263" i="31" s="1"/>
  <c r="B1262" i="31"/>
  <c r="B1263" i="31" s="1"/>
  <c r="C1263" i="31" s="1"/>
  <c r="A1262" i="31"/>
  <c r="A1263" i="31" s="1"/>
  <c r="G1261" i="31"/>
  <c r="C1261" i="31"/>
  <c r="F1255" i="31"/>
  <c r="D1255" i="31"/>
  <c r="B1255" i="31"/>
  <c r="A1255" i="31"/>
  <c r="G1254" i="31"/>
  <c r="C1254" i="31"/>
  <c r="F1252" i="31"/>
  <c r="F1253" i="31" s="1"/>
  <c r="D1252" i="31"/>
  <c r="D1253" i="31" s="1"/>
  <c r="B1252" i="31"/>
  <c r="B1253" i="31" s="1"/>
  <c r="C1253" i="31" s="1"/>
  <c r="A1252" i="31"/>
  <c r="A1253" i="31" s="1"/>
  <c r="G1251" i="31"/>
  <c r="C1251" i="31"/>
  <c r="F1245" i="31"/>
  <c r="D1245" i="31"/>
  <c r="B1245" i="31"/>
  <c r="A1245" i="31"/>
  <c r="G1244" i="31"/>
  <c r="C1244" i="31"/>
  <c r="H1243" i="31"/>
  <c r="F1242" i="31"/>
  <c r="F1243" i="31" s="1"/>
  <c r="D1242" i="31"/>
  <c r="D1243" i="31" s="1"/>
  <c r="B1242" i="31"/>
  <c r="C1242" i="31" s="1"/>
  <c r="A1242" i="31"/>
  <c r="A1243" i="31" s="1"/>
  <c r="G1241" i="31"/>
  <c r="C1241" i="31"/>
  <c r="F1235" i="31"/>
  <c r="D1235" i="31"/>
  <c r="B1235" i="31"/>
  <c r="A1235" i="31"/>
  <c r="G1234" i="31"/>
  <c r="C1234" i="31"/>
  <c r="F1232" i="31"/>
  <c r="F1233" i="31" s="1"/>
  <c r="D1232" i="31"/>
  <c r="D1233" i="31" s="1"/>
  <c r="B1232" i="31"/>
  <c r="B1233" i="31" s="1"/>
  <c r="C1233" i="31" s="1"/>
  <c r="A1232" i="31"/>
  <c r="A1233" i="31" s="1"/>
  <c r="G1231" i="31"/>
  <c r="C1231" i="31"/>
  <c r="F1225" i="31"/>
  <c r="D1225" i="31"/>
  <c r="B1225" i="31"/>
  <c r="A1225" i="31"/>
  <c r="G1224" i="31"/>
  <c r="C1224" i="31"/>
  <c r="F1222" i="31"/>
  <c r="F1223" i="31" s="1"/>
  <c r="D1222" i="31"/>
  <c r="D1223" i="31" s="1"/>
  <c r="B1222" i="31"/>
  <c r="B1223" i="31" s="1"/>
  <c r="C1223" i="31" s="1"/>
  <c r="A1222" i="31"/>
  <c r="A1223" i="31" s="1"/>
  <c r="G1221" i="31"/>
  <c r="C1221" i="31"/>
  <c r="F1215" i="31"/>
  <c r="D1215" i="31"/>
  <c r="B1215" i="31"/>
  <c r="A1215" i="31"/>
  <c r="G1214" i="31"/>
  <c r="C1214" i="31"/>
  <c r="F1212" i="31"/>
  <c r="F1213" i="31" s="1"/>
  <c r="D1212" i="31"/>
  <c r="D1213" i="31" s="1"/>
  <c r="B1212" i="31"/>
  <c r="B1213" i="31" s="1"/>
  <c r="C1213" i="31" s="1"/>
  <c r="A1212" i="31"/>
  <c r="A1213" i="31" s="1"/>
  <c r="G1211" i="31"/>
  <c r="C1211" i="31"/>
  <c r="H1207" i="31"/>
  <c r="F1205" i="31"/>
  <c r="D1205" i="31"/>
  <c r="B1205" i="31"/>
  <c r="A1205" i="31"/>
  <c r="G1204" i="31"/>
  <c r="C1204" i="31"/>
  <c r="F1202" i="31"/>
  <c r="F1203" i="31" s="1"/>
  <c r="D1202" i="31"/>
  <c r="D1203" i="31" s="1"/>
  <c r="B1202" i="31"/>
  <c r="B1203" i="31" s="1"/>
  <c r="C1203" i="31" s="1"/>
  <c r="A1202" i="31"/>
  <c r="A1203" i="31" s="1"/>
  <c r="G1201" i="31"/>
  <c r="C1201" i="31"/>
  <c r="F1195" i="31"/>
  <c r="D1195" i="31"/>
  <c r="B1195" i="31"/>
  <c r="A1195" i="31"/>
  <c r="G1194" i="31"/>
  <c r="C1194" i="31"/>
  <c r="F1192" i="31"/>
  <c r="F1193" i="31" s="1"/>
  <c r="D1192" i="31"/>
  <c r="D1193" i="31" s="1"/>
  <c r="B1192" i="31"/>
  <c r="B1193" i="31" s="1"/>
  <c r="C1193" i="31" s="1"/>
  <c r="A1192" i="31"/>
  <c r="G1191" i="31"/>
  <c r="C1191" i="31"/>
  <c r="F1185" i="31"/>
  <c r="D1185" i="31"/>
  <c r="B1185" i="31"/>
  <c r="A1185" i="31"/>
  <c r="G1184" i="31"/>
  <c r="C1184" i="31"/>
  <c r="F1182" i="31"/>
  <c r="F1183" i="31" s="1"/>
  <c r="D1182" i="31"/>
  <c r="D1183" i="31" s="1"/>
  <c r="B1182" i="31"/>
  <c r="B1183" i="31" s="1"/>
  <c r="C1183" i="31" s="1"/>
  <c r="A1182" i="31"/>
  <c r="A1183" i="31" s="1"/>
  <c r="G1181" i="31"/>
  <c r="C1181" i="31"/>
  <c r="F1175" i="31"/>
  <c r="D1175" i="31"/>
  <c r="B1175" i="31"/>
  <c r="A1175" i="31"/>
  <c r="G1174" i="31"/>
  <c r="C1174" i="31"/>
  <c r="H1173" i="31"/>
  <c r="F1172" i="31"/>
  <c r="F1173" i="31" s="1"/>
  <c r="D1172" i="31"/>
  <c r="D1173" i="31" s="1"/>
  <c r="B1172" i="31"/>
  <c r="C1172" i="31" s="1"/>
  <c r="A1172" i="31"/>
  <c r="A1173" i="31" s="1"/>
  <c r="G1171" i="31"/>
  <c r="C1171" i="31"/>
  <c r="F1165" i="31"/>
  <c r="D1165" i="31"/>
  <c r="B1165" i="31"/>
  <c r="A1165" i="31"/>
  <c r="G1164" i="31"/>
  <c r="C1164" i="31"/>
  <c r="F1162" i="31"/>
  <c r="F1163" i="31" s="1"/>
  <c r="D1162" i="31"/>
  <c r="D1163" i="31" s="1"/>
  <c r="B1162" i="31"/>
  <c r="B1163" i="31" s="1"/>
  <c r="C1163" i="31" s="1"/>
  <c r="A1162" i="31"/>
  <c r="A1163" i="31" s="1"/>
  <c r="G1161" i="31"/>
  <c r="C1161" i="31"/>
  <c r="F1155" i="31"/>
  <c r="D1155" i="31"/>
  <c r="B1155" i="31"/>
  <c r="A1155" i="31"/>
  <c r="G1154" i="31"/>
  <c r="C1154" i="31"/>
  <c r="F1152" i="31"/>
  <c r="F1153" i="31" s="1"/>
  <c r="D1152" i="31"/>
  <c r="D1153" i="31" s="1"/>
  <c r="B1152" i="31"/>
  <c r="B1153" i="31" s="1"/>
  <c r="C1153" i="31" s="1"/>
  <c r="A1152" i="31"/>
  <c r="A1153" i="31" s="1"/>
  <c r="G1151" i="31"/>
  <c r="C1151" i="31"/>
  <c r="F1145" i="31"/>
  <c r="D1145" i="31"/>
  <c r="B1145" i="31"/>
  <c r="A1145" i="31"/>
  <c r="G1144" i="31"/>
  <c r="C1144" i="31"/>
  <c r="F1142" i="31"/>
  <c r="F1143" i="31" s="1"/>
  <c r="D1142" i="31"/>
  <c r="D1143" i="31" s="1"/>
  <c r="B1142" i="31"/>
  <c r="B1143" i="31" s="1"/>
  <c r="C1143" i="31" s="1"/>
  <c r="A1142" i="31"/>
  <c r="A1143" i="31" s="1"/>
  <c r="G1141" i="31"/>
  <c r="C1141" i="31"/>
  <c r="H1137" i="31"/>
  <c r="F1135" i="31"/>
  <c r="D1135" i="31"/>
  <c r="B1135" i="31"/>
  <c r="A1135" i="31"/>
  <c r="G1134" i="31"/>
  <c r="C1134" i="31"/>
  <c r="F1132" i="31"/>
  <c r="F1133" i="31" s="1"/>
  <c r="D1132" i="31"/>
  <c r="D1133" i="31" s="1"/>
  <c r="B1132" i="31"/>
  <c r="B1133" i="31" s="1"/>
  <c r="C1133" i="31" s="1"/>
  <c r="A1132" i="31"/>
  <c r="A1133" i="31" s="1"/>
  <c r="G1131" i="31"/>
  <c r="C1131" i="31"/>
  <c r="F1125" i="31"/>
  <c r="D1125" i="31"/>
  <c r="B1125" i="31"/>
  <c r="A1125" i="31"/>
  <c r="G1124" i="31"/>
  <c r="C1124" i="31"/>
  <c r="F1122" i="31"/>
  <c r="F1123" i="31" s="1"/>
  <c r="D1122" i="31"/>
  <c r="D1123" i="31" s="1"/>
  <c r="B1122" i="31"/>
  <c r="B1123" i="31" s="1"/>
  <c r="C1123" i="31" s="1"/>
  <c r="A1122" i="31"/>
  <c r="A1123" i="31" s="1"/>
  <c r="G1121" i="31"/>
  <c r="C1121" i="31"/>
  <c r="F1115" i="31"/>
  <c r="D1115" i="31"/>
  <c r="B1115" i="31"/>
  <c r="A1115" i="31"/>
  <c r="G1114" i="31"/>
  <c r="C1114" i="31"/>
  <c r="F1112" i="31"/>
  <c r="F1113" i="31" s="1"/>
  <c r="D1112" i="31"/>
  <c r="D1113" i="31" s="1"/>
  <c r="B1112" i="31"/>
  <c r="B1113" i="31" s="1"/>
  <c r="C1113" i="31" s="1"/>
  <c r="A1112" i="31"/>
  <c r="A1113" i="31" s="1"/>
  <c r="G1111" i="31"/>
  <c r="C1111" i="31"/>
  <c r="F1105" i="31"/>
  <c r="D1105" i="31"/>
  <c r="B1105" i="31"/>
  <c r="A1105" i="31"/>
  <c r="G1104" i="31"/>
  <c r="C1104" i="31"/>
  <c r="H1103" i="31"/>
  <c r="F1102" i="31"/>
  <c r="F1103" i="31" s="1"/>
  <c r="D1102" i="31"/>
  <c r="D1103" i="31" s="1"/>
  <c r="B1102" i="31"/>
  <c r="C1102" i="31" s="1"/>
  <c r="A1102" i="31"/>
  <c r="A1103" i="31" s="1"/>
  <c r="G1101" i="31"/>
  <c r="C1101" i="31"/>
  <c r="F1095" i="31"/>
  <c r="D1095" i="31"/>
  <c r="B1095" i="31"/>
  <c r="A1095" i="31"/>
  <c r="G1094" i="31"/>
  <c r="C1094" i="31"/>
  <c r="F1092" i="31"/>
  <c r="F1093" i="31" s="1"/>
  <c r="D1092" i="31"/>
  <c r="D1093" i="31" s="1"/>
  <c r="B1092" i="31"/>
  <c r="B1093" i="31" s="1"/>
  <c r="C1093" i="31" s="1"/>
  <c r="A1092" i="31"/>
  <c r="G1091" i="31"/>
  <c r="C1091" i="31"/>
  <c r="F1085" i="31"/>
  <c r="D1085" i="31"/>
  <c r="B1085" i="31"/>
  <c r="A1085" i="31"/>
  <c r="G1084" i="31"/>
  <c r="C1084" i="31"/>
  <c r="F1082" i="31"/>
  <c r="F1083" i="31" s="1"/>
  <c r="D1082" i="31"/>
  <c r="D1083" i="31" s="1"/>
  <c r="B1082" i="31"/>
  <c r="B1083" i="31" s="1"/>
  <c r="C1083" i="31" s="1"/>
  <c r="A1082" i="31"/>
  <c r="A1083" i="31" s="1"/>
  <c r="G1081" i="31"/>
  <c r="C1081" i="31"/>
  <c r="F1075" i="31"/>
  <c r="D1075" i="31"/>
  <c r="B1075" i="31"/>
  <c r="A1075" i="31"/>
  <c r="G1074" i="31"/>
  <c r="C1074" i="31"/>
  <c r="F1072" i="31"/>
  <c r="F1073" i="31" s="1"/>
  <c r="D1072" i="31"/>
  <c r="D1073" i="31" s="1"/>
  <c r="B1072" i="31"/>
  <c r="B1073" i="31" s="1"/>
  <c r="C1073" i="31" s="1"/>
  <c r="A1072" i="31"/>
  <c r="A1073" i="31" s="1"/>
  <c r="G1071" i="31"/>
  <c r="C1071" i="31"/>
  <c r="H1067" i="31"/>
  <c r="F1065" i="31"/>
  <c r="D1065" i="31"/>
  <c r="B1065" i="31"/>
  <c r="A1065" i="31"/>
  <c r="G1064" i="31"/>
  <c r="C1064" i="31"/>
  <c r="F1062" i="31"/>
  <c r="F1063" i="31" s="1"/>
  <c r="D1062" i="31"/>
  <c r="D1063" i="31" s="1"/>
  <c r="B1062" i="31"/>
  <c r="B1063" i="31" s="1"/>
  <c r="C1063" i="31" s="1"/>
  <c r="A1062" i="31"/>
  <c r="A1063" i="31" s="1"/>
  <c r="G1061" i="31"/>
  <c r="C1061" i="31"/>
  <c r="F1055" i="31"/>
  <c r="D1055" i="31"/>
  <c r="B1055" i="31"/>
  <c r="A1055" i="31"/>
  <c r="G1054" i="31"/>
  <c r="C1054" i="31"/>
  <c r="F1052" i="31"/>
  <c r="F1053" i="31" s="1"/>
  <c r="D1052" i="31"/>
  <c r="D1053" i="31" s="1"/>
  <c r="B1052" i="31"/>
  <c r="B1053" i="31" s="1"/>
  <c r="C1053" i="31" s="1"/>
  <c r="A1052" i="31"/>
  <c r="A1053" i="31" s="1"/>
  <c r="G1051" i="31"/>
  <c r="C1051" i="31"/>
  <c r="F1045" i="31"/>
  <c r="D1045" i="31"/>
  <c r="B1045" i="31"/>
  <c r="A1045" i="31"/>
  <c r="G1044" i="31"/>
  <c r="C1044" i="31"/>
  <c r="F1042" i="31"/>
  <c r="F1043" i="31" s="1"/>
  <c r="D1042" i="31"/>
  <c r="D1043" i="31" s="1"/>
  <c r="B1042" i="31"/>
  <c r="B1043" i="31" s="1"/>
  <c r="C1043" i="31" s="1"/>
  <c r="A1042" i="31"/>
  <c r="A1043" i="31" s="1"/>
  <c r="G1041" i="31"/>
  <c r="C1041" i="31"/>
  <c r="F1035" i="31"/>
  <c r="D1035" i="31"/>
  <c r="B1035" i="31"/>
  <c r="A1035" i="31"/>
  <c r="G1034" i="31"/>
  <c r="C1034" i="31"/>
  <c r="H1033" i="31"/>
  <c r="F1032" i="31"/>
  <c r="F1033" i="31" s="1"/>
  <c r="D1032" i="31"/>
  <c r="D1033" i="31" s="1"/>
  <c r="B1032" i="31"/>
  <c r="C1032" i="31" s="1"/>
  <c r="A1032" i="31"/>
  <c r="A1033" i="31" s="1"/>
  <c r="G1031" i="31"/>
  <c r="C1031" i="31"/>
  <c r="F1025" i="31"/>
  <c r="D1025" i="31"/>
  <c r="B1025" i="31"/>
  <c r="A1025" i="31"/>
  <c r="G1024" i="31"/>
  <c r="C1024" i="31"/>
  <c r="F1022" i="31"/>
  <c r="F1023" i="31" s="1"/>
  <c r="D1022" i="31"/>
  <c r="D1023" i="31" s="1"/>
  <c r="B1022" i="31"/>
  <c r="C1022" i="31" s="1"/>
  <c r="A1022" i="31"/>
  <c r="A1023" i="31" s="1"/>
  <c r="G1021" i="31"/>
  <c r="C1021" i="31"/>
  <c r="F1015" i="31"/>
  <c r="D1015" i="31"/>
  <c r="B1015" i="31"/>
  <c r="A1015" i="31"/>
  <c r="G1014" i="31"/>
  <c r="C1014" i="31"/>
  <c r="F1012" i="31"/>
  <c r="F1013" i="31" s="1"/>
  <c r="D1012" i="31"/>
  <c r="D1013" i="31" s="1"/>
  <c r="B1012" i="31"/>
  <c r="C1012" i="31" s="1"/>
  <c r="A1012" i="31"/>
  <c r="A1013" i="31" s="1"/>
  <c r="G1011" i="31"/>
  <c r="C1011" i="31"/>
  <c r="F1005" i="31"/>
  <c r="D1005" i="31"/>
  <c r="B1005" i="31"/>
  <c r="A1005" i="31"/>
  <c r="G1004" i="31"/>
  <c r="C1004" i="31"/>
  <c r="F1002" i="31"/>
  <c r="F1003" i="31" s="1"/>
  <c r="D1002" i="31"/>
  <c r="D1003" i="31" s="1"/>
  <c r="B1002" i="31"/>
  <c r="C1002" i="31" s="1"/>
  <c r="A1002" i="31"/>
  <c r="A1003" i="31" s="1"/>
  <c r="G1001" i="31"/>
  <c r="C1001" i="31"/>
  <c r="H997" i="31"/>
  <c r="F995" i="31"/>
  <c r="D995" i="31"/>
  <c r="B995" i="31"/>
  <c r="A995" i="31"/>
  <c r="G994" i="31"/>
  <c r="C994" i="31"/>
  <c r="F992" i="31"/>
  <c r="F993" i="31" s="1"/>
  <c r="D992" i="31"/>
  <c r="D993" i="31" s="1"/>
  <c r="B992" i="31"/>
  <c r="B993" i="31" s="1"/>
  <c r="C993" i="31" s="1"/>
  <c r="A992" i="31"/>
  <c r="A993" i="31" s="1"/>
  <c r="G991" i="31"/>
  <c r="C991" i="31"/>
  <c r="F985" i="31"/>
  <c r="D985" i="31"/>
  <c r="B985" i="31"/>
  <c r="A985" i="31"/>
  <c r="G984" i="31"/>
  <c r="C984" i="31"/>
  <c r="F982" i="31"/>
  <c r="F983" i="31" s="1"/>
  <c r="D982" i="31"/>
  <c r="D983" i="31" s="1"/>
  <c r="B982" i="31"/>
  <c r="B983" i="31" s="1"/>
  <c r="C983" i="31" s="1"/>
  <c r="A982" i="31"/>
  <c r="A983" i="31" s="1"/>
  <c r="G981" i="31"/>
  <c r="C981" i="31"/>
  <c r="F975" i="31"/>
  <c r="D975" i="31"/>
  <c r="B975" i="31"/>
  <c r="A975" i="31"/>
  <c r="G974" i="31"/>
  <c r="C974" i="31"/>
  <c r="F972" i="31"/>
  <c r="F973" i="31" s="1"/>
  <c r="D972" i="31"/>
  <c r="D973" i="31" s="1"/>
  <c r="B972" i="31"/>
  <c r="B973" i="31" s="1"/>
  <c r="C973" i="31" s="1"/>
  <c r="A972" i="31"/>
  <c r="A973" i="31" s="1"/>
  <c r="G971" i="31"/>
  <c r="C971" i="31"/>
  <c r="F965" i="31"/>
  <c r="F966" i="31" s="1"/>
  <c r="D965" i="31"/>
  <c r="D966" i="31" s="1"/>
  <c r="B965" i="31"/>
  <c r="B966" i="31" s="1"/>
  <c r="C966" i="31" s="1"/>
  <c r="A965" i="31"/>
  <c r="A966" i="31" s="1"/>
  <c r="G964" i="31"/>
  <c r="C964" i="31"/>
  <c r="H963" i="31"/>
  <c r="F962" i="31"/>
  <c r="F963" i="31" s="1"/>
  <c r="D962" i="31"/>
  <c r="D963" i="31" s="1"/>
  <c r="B962" i="31"/>
  <c r="C962" i="31" s="1"/>
  <c r="A962" i="31"/>
  <c r="A963" i="31" s="1"/>
  <c r="G961" i="31"/>
  <c r="C961" i="31"/>
  <c r="F955" i="31"/>
  <c r="D955" i="31"/>
  <c r="B955" i="31"/>
  <c r="A955" i="31"/>
  <c r="G954" i="31"/>
  <c r="C954" i="31"/>
  <c r="F952" i="31"/>
  <c r="F953" i="31" s="1"/>
  <c r="D952" i="31"/>
  <c r="D953" i="31" s="1"/>
  <c r="B952" i="31"/>
  <c r="B953" i="31" s="1"/>
  <c r="C953" i="31" s="1"/>
  <c r="A952" i="31"/>
  <c r="A953" i="31" s="1"/>
  <c r="G951" i="31"/>
  <c r="C951" i="31"/>
  <c r="F945" i="31"/>
  <c r="D945" i="31"/>
  <c r="B945" i="31"/>
  <c r="A945" i="31"/>
  <c r="G944" i="31"/>
  <c r="C944" i="31"/>
  <c r="F942" i="31"/>
  <c r="F943" i="31" s="1"/>
  <c r="D942" i="31"/>
  <c r="D943" i="31" s="1"/>
  <c r="B942" i="31"/>
  <c r="B943" i="31" s="1"/>
  <c r="C943" i="31" s="1"/>
  <c r="A942" i="31"/>
  <c r="A943" i="31" s="1"/>
  <c r="G941" i="31"/>
  <c r="C941" i="31"/>
  <c r="F935" i="31"/>
  <c r="D935" i="31"/>
  <c r="B935" i="31"/>
  <c r="A935" i="31"/>
  <c r="G934" i="31"/>
  <c r="C934" i="31"/>
  <c r="F932" i="31"/>
  <c r="F933" i="31" s="1"/>
  <c r="D932" i="31"/>
  <c r="D933" i="31" s="1"/>
  <c r="B932" i="31"/>
  <c r="B933" i="31" s="1"/>
  <c r="C933" i="31" s="1"/>
  <c r="A932" i="31"/>
  <c r="A933" i="31" s="1"/>
  <c r="G931" i="31"/>
  <c r="C931" i="31"/>
  <c r="H927" i="31"/>
  <c r="F925" i="31"/>
  <c r="D925" i="31"/>
  <c r="B925" i="31"/>
  <c r="A925" i="31"/>
  <c r="G924" i="31"/>
  <c r="C924" i="31"/>
  <c r="F922" i="31"/>
  <c r="F923" i="31" s="1"/>
  <c r="D922" i="31"/>
  <c r="D923" i="31" s="1"/>
  <c r="B922" i="31"/>
  <c r="B923" i="31" s="1"/>
  <c r="C923" i="31" s="1"/>
  <c r="A922" i="31"/>
  <c r="A923" i="31" s="1"/>
  <c r="G921" i="31"/>
  <c r="C921" i="31"/>
  <c r="F915" i="31"/>
  <c r="D915" i="31"/>
  <c r="B915" i="31"/>
  <c r="A915" i="31"/>
  <c r="G914" i="31"/>
  <c r="C914" i="31"/>
  <c r="F912" i="31"/>
  <c r="F913" i="31" s="1"/>
  <c r="D912" i="31"/>
  <c r="D913" i="31" s="1"/>
  <c r="B912" i="31"/>
  <c r="B913" i="31" s="1"/>
  <c r="C913" i="31" s="1"/>
  <c r="A912" i="31"/>
  <c r="A913" i="31" s="1"/>
  <c r="G911" i="31"/>
  <c r="C911" i="31"/>
  <c r="F905" i="31"/>
  <c r="D905" i="31"/>
  <c r="B905" i="31"/>
  <c r="A905" i="31"/>
  <c r="G904" i="31"/>
  <c r="C904" i="31"/>
  <c r="F902" i="31"/>
  <c r="F903" i="31" s="1"/>
  <c r="D902" i="31"/>
  <c r="D903" i="31" s="1"/>
  <c r="B902" i="31"/>
  <c r="B903" i="31" s="1"/>
  <c r="C903" i="31" s="1"/>
  <c r="A902" i="31"/>
  <c r="A903" i="31" s="1"/>
  <c r="G901" i="31"/>
  <c r="C901" i="31"/>
  <c r="F895" i="31"/>
  <c r="D895" i="31"/>
  <c r="B895" i="31"/>
  <c r="A895" i="31"/>
  <c r="G894" i="31"/>
  <c r="C894" i="31"/>
  <c r="H893" i="31"/>
  <c r="F892" i="31"/>
  <c r="F893" i="31" s="1"/>
  <c r="D892" i="31"/>
  <c r="D893" i="31" s="1"/>
  <c r="B892" i="31"/>
  <c r="C892" i="31" s="1"/>
  <c r="A892" i="31"/>
  <c r="A893" i="31" s="1"/>
  <c r="G891" i="31"/>
  <c r="C891" i="31"/>
  <c r="F885" i="31"/>
  <c r="D885" i="31"/>
  <c r="B885" i="31"/>
  <c r="A885" i="31"/>
  <c r="G884" i="31"/>
  <c r="C884" i="31"/>
  <c r="F882" i="31"/>
  <c r="F883" i="31" s="1"/>
  <c r="D882" i="31"/>
  <c r="D883" i="31" s="1"/>
  <c r="B882" i="31"/>
  <c r="B883" i="31" s="1"/>
  <c r="C883" i="31" s="1"/>
  <c r="A882" i="31"/>
  <c r="A883" i="31" s="1"/>
  <c r="G881" i="31"/>
  <c r="C881" i="31"/>
  <c r="F875" i="31"/>
  <c r="D875" i="31"/>
  <c r="B875" i="31"/>
  <c r="A875" i="31"/>
  <c r="G874" i="31"/>
  <c r="C874" i="31"/>
  <c r="F872" i="31"/>
  <c r="F873" i="31" s="1"/>
  <c r="D872" i="31"/>
  <c r="D873" i="31" s="1"/>
  <c r="B872" i="31"/>
  <c r="B873" i="31" s="1"/>
  <c r="C873" i="31" s="1"/>
  <c r="A872" i="31"/>
  <c r="A873" i="31" s="1"/>
  <c r="G871" i="31"/>
  <c r="C871" i="31"/>
  <c r="F865" i="31"/>
  <c r="D865" i="31"/>
  <c r="B865" i="31"/>
  <c r="A865" i="31"/>
  <c r="G864" i="31"/>
  <c r="C864" i="31"/>
  <c r="F862" i="31"/>
  <c r="F863" i="31" s="1"/>
  <c r="D862" i="31"/>
  <c r="D863" i="31" s="1"/>
  <c r="B862" i="31"/>
  <c r="B863" i="31" s="1"/>
  <c r="C863" i="31" s="1"/>
  <c r="A862" i="31"/>
  <c r="A863" i="31" s="1"/>
  <c r="G861" i="31"/>
  <c r="C861" i="31"/>
  <c r="F335" i="31"/>
  <c r="D335" i="31"/>
  <c r="B335" i="31"/>
  <c r="A335" i="31"/>
  <c r="G334" i="31"/>
  <c r="C334" i="31"/>
  <c r="F332" i="31"/>
  <c r="F333" i="31" s="1"/>
  <c r="D332" i="31"/>
  <c r="D333" i="31" s="1"/>
  <c r="B332" i="31"/>
  <c r="C332" i="31" s="1"/>
  <c r="A332" i="31"/>
  <c r="A333" i="31" s="1"/>
  <c r="G331" i="31"/>
  <c r="C331" i="31"/>
  <c r="G304" i="31"/>
  <c r="F315" i="31"/>
  <c r="D315" i="31"/>
  <c r="B315" i="31"/>
  <c r="A315" i="31"/>
  <c r="G314" i="31"/>
  <c r="C314" i="31"/>
  <c r="F312" i="31"/>
  <c r="F313" i="31" s="1"/>
  <c r="D312" i="31"/>
  <c r="D313" i="31" s="1"/>
  <c r="B312" i="31"/>
  <c r="B313" i="31" s="1"/>
  <c r="C313" i="31" s="1"/>
  <c r="A312" i="31"/>
  <c r="A313" i="31" s="1"/>
  <c r="G311" i="31"/>
  <c r="C311" i="31"/>
  <c r="F305" i="31"/>
  <c r="D305" i="31"/>
  <c r="B305" i="31"/>
  <c r="A305" i="31"/>
  <c r="C304" i="31"/>
  <c r="F302" i="31"/>
  <c r="F303" i="31" s="1"/>
  <c r="E302" i="31"/>
  <c r="D302" i="31"/>
  <c r="D303" i="31" s="1"/>
  <c r="B302" i="31"/>
  <c r="B303" i="31" s="1"/>
  <c r="C303" i="31" s="1"/>
  <c r="A302" i="31"/>
  <c r="A303" i="31" s="1"/>
  <c r="G301" i="31"/>
  <c r="C301" i="31"/>
  <c r="F275" i="31"/>
  <c r="D275" i="31"/>
  <c r="B275" i="31"/>
  <c r="A275" i="31"/>
  <c r="G274" i="31"/>
  <c r="C274" i="31"/>
  <c r="F272" i="31"/>
  <c r="F273" i="31" s="1"/>
  <c r="D272" i="31"/>
  <c r="D273" i="31" s="1"/>
  <c r="B272" i="31"/>
  <c r="C272" i="31" s="1"/>
  <c r="A272" i="31"/>
  <c r="A273" i="31" s="1"/>
  <c r="G271" i="31"/>
  <c r="C271" i="31"/>
  <c r="F265" i="31"/>
  <c r="D265" i="31"/>
  <c r="B265" i="31"/>
  <c r="A265" i="31"/>
  <c r="G264" i="31"/>
  <c r="C264" i="31"/>
  <c r="F262" i="31"/>
  <c r="F263" i="31" s="1"/>
  <c r="D262" i="31"/>
  <c r="D263" i="31" s="1"/>
  <c r="B262" i="31"/>
  <c r="C262" i="31" s="1"/>
  <c r="A262" i="31"/>
  <c r="A263" i="31" s="1"/>
  <c r="G261" i="31"/>
  <c r="C261" i="31"/>
  <c r="AA166" i="1"/>
  <c r="F395" i="31"/>
  <c r="D395" i="31"/>
  <c r="B395" i="31"/>
  <c r="A395" i="31"/>
  <c r="G394" i="31"/>
  <c r="C394" i="31"/>
  <c r="H393" i="31"/>
  <c r="F392" i="31"/>
  <c r="F393" i="31" s="1"/>
  <c r="E392" i="31"/>
  <c r="D392" i="31"/>
  <c r="D393" i="31" s="1"/>
  <c r="B392" i="31"/>
  <c r="B393" i="31" s="1"/>
  <c r="C393" i="31" s="1"/>
  <c r="A392" i="31"/>
  <c r="A393" i="31" s="1"/>
  <c r="G391" i="31"/>
  <c r="C391" i="31"/>
  <c r="F385" i="31"/>
  <c r="D385" i="31"/>
  <c r="B385" i="31"/>
  <c r="A385" i="31"/>
  <c r="G384" i="31"/>
  <c r="C384" i="31"/>
  <c r="F382" i="31"/>
  <c r="F383" i="31" s="1"/>
  <c r="D382" i="31"/>
  <c r="D383" i="31" s="1"/>
  <c r="B382" i="31"/>
  <c r="B383" i="31" s="1"/>
  <c r="C383" i="31" s="1"/>
  <c r="A382" i="31"/>
  <c r="A383" i="31" s="1"/>
  <c r="G381" i="31"/>
  <c r="C381" i="31"/>
  <c r="F475" i="31"/>
  <c r="D475" i="31"/>
  <c r="B475" i="31"/>
  <c r="A475" i="31"/>
  <c r="G474" i="31"/>
  <c r="C474" i="31"/>
  <c r="F472" i="31"/>
  <c r="F473" i="31" s="1"/>
  <c r="D472" i="31"/>
  <c r="D473" i="31" s="1"/>
  <c r="B472" i="31"/>
  <c r="B473" i="31" s="1"/>
  <c r="C473" i="31" s="1"/>
  <c r="A472" i="31"/>
  <c r="A473" i="31" s="1"/>
  <c r="G471" i="31"/>
  <c r="C471" i="31"/>
  <c r="F455" i="31"/>
  <c r="D455" i="31"/>
  <c r="B455" i="31"/>
  <c r="A455" i="31"/>
  <c r="G454" i="31"/>
  <c r="C454" i="31"/>
  <c r="F452" i="31"/>
  <c r="F453" i="31" s="1"/>
  <c r="D452" i="31"/>
  <c r="D453" i="31" s="1"/>
  <c r="B452" i="31"/>
  <c r="B453" i="31" s="1"/>
  <c r="C453" i="31" s="1"/>
  <c r="A452" i="31"/>
  <c r="A453" i="31" s="1"/>
  <c r="G451" i="31"/>
  <c r="C451" i="31"/>
  <c r="F545" i="31"/>
  <c r="D545" i="31"/>
  <c r="B545" i="31"/>
  <c r="A545" i="31"/>
  <c r="G544" i="31"/>
  <c r="C544" i="31"/>
  <c r="H543" i="31"/>
  <c r="F542" i="31"/>
  <c r="F543" i="31" s="1"/>
  <c r="E542" i="31"/>
  <c r="D542" i="31"/>
  <c r="D543" i="31" s="1"/>
  <c r="B542" i="31"/>
  <c r="B543" i="31" s="1"/>
  <c r="C543" i="31" s="1"/>
  <c r="A542" i="31"/>
  <c r="A543" i="31" s="1"/>
  <c r="G541" i="31"/>
  <c r="C541" i="31"/>
  <c r="F535" i="31"/>
  <c r="D535" i="31"/>
  <c r="B535" i="31"/>
  <c r="A535" i="31"/>
  <c r="G534" i="31"/>
  <c r="C534" i="31"/>
  <c r="F532" i="31"/>
  <c r="F533" i="31" s="1"/>
  <c r="D532" i="31"/>
  <c r="D533" i="31" s="1"/>
  <c r="B532" i="31"/>
  <c r="B533" i="31" s="1"/>
  <c r="C533" i="31" s="1"/>
  <c r="A532" i="31"/>
  <c r="A533" i="31" s="1"/>
  <c r="G531" i="31"/>
  <c r="C531" i="31"/>
  <c r="F525" i="31"/>
  <c r="D525" i="31"/>
  <c r="B525" i="31"/>
  <c r="A525" i="31"/>
  <c r="G524" i="31"/>
  <c r="C524" i="31"/>
  <c r="F522" i="31"/>
  <c r="F523" i="31" s="1"/>
  <c r="E522" i="31"/>
  <c r="D522" i="31"/>
  <c r="D523" i="31" s="1"/>
  <c r="B522" i="31"/>
  <c r="B523" i="31" s="1"/>
  <c r="C523" i="31" s="1"/>
  <c r="A522" i="31"/>
  <c r="A523" i="31" s="1"/>
  <c r="G521" i="31"/>
  <c r="C521" i="31"/>
  <c r="F505" i="31"/>
  <c r="D505" i="31"/>
  <c r="B505" i="31"/>
  <c r="A505" i="31"/>
  <c r="G504" i="31"/>
  <c r="C504" i="31"/>
  <c r="F502" i="31"/>
  <c r="F503" i="31" s="1"/>
  <c r="D502" i="31"/>
  <c r="D503" i="31" s="1"/>
  <c r="B502" i="31"/>
  <c r="B503" i="31" s="1"/>
  <c r="C503" i="31" s="1"/>
  <c r="A502" i="31"/>
  <c r="A503" i="31" s="1"/>
  <c r="G501" i="31"/>
  <c r="C501" i="31"/>
  <c r="F585" i="31"/>
  <c r="D585" i="31"/>
  <c r="B585" i="31"/>
  <c r="A585" i="31"/>
  <c r="G584" i="31"/>
  <c r="C584" i="31"/>
  <c r="F582" i="31"/>
  <c r="F583" i="31" s="1"/>
  <c r="D582" i="31"/>
  <c r="D583" i="31" s="1"/>
  <c r="B582" i="31"/>
  <c r="B583" i="31" s="1"/>
  <c r="C583" i="31" s="1"/>
  <c r="A582" i="31"/>
  <c r="A583" i="31" s="1"/>
  <c r="G581" i="31"/>
  <c r="C581" i="31"/>
  <c r="F635" i="31"/>
  <c r="D635" i="31"/>
  <c r="B635" i="31"/>
  <c r="A635" i="31"/>
  <c r="G634" i="31"/>
  <c r="C634" i="31"/>
  <c r="F632" i="31"/>
  <c r="F633" i="31" s="1"/>
  <c r="D632" i="31"/>
  <c r="D633" i="31" s="1"/>
  <c r="B632" i="31"/>
  <c r="B633" i="31" s="1"/>
  <c r="C633" i="31" s="1"/>
  <c r="A632" i="31"/>
  <c r="A633" i="31" s="1"/>
  <c r="G631" i="31"/>
  <c r="C631" i="31"/>
  <c r="H665" i="31"/>
  <c r="H666" i="31" s="1"/>
  <c r="H662" i="31"/>
  <c r="H663" i="31" s="1"/>
  <c r="H717" i="31"/>
  <c r="F715" i="31"/>
  <c r="D715" i="31"/>
  <c r="B715" i="31"/>
  <c r="A715" i="31"/>
  <c r="G714" i="31"/>
  <c r="C714" i="31"/>
  <c r="F712" i="31"/>
  <c r="F713" i="31" s="1"/>
  <c r="D712" i="31"/>
  <c r="D713" i="31" s="1"/>
  <c r="B712" i="31"/>
  <c r="B713" i="31" s="1"/>
  <c r="C713" i="31" s="1"/>
  <c r="A712" i="31"/>
  <c r="A713" i="31" s="1"/>
  <c r="G711" i="31"/>
  <c r="C711" i="31"/>
  <c r="F705" i="31"/>
  <c r="D705" i="31"/>
  <c r="B705" i="31"/>
  <c r="A705" i="31"/>
  <c r="G704" i="31"/>
  <c r="C704" i="31"/>
  <c r="F702" i="31"/>
  <c r="F703" i="31" s="1"/>
  <c r="D702" i="31"/>
  <c r="D703" i="31" s="1"/>
  <c r="B702" i="31"/>
  <c r="B703" i="31" s="1"/>
  <c r="C703" i="31" s="1"/>
  <c r="A702" i="31"/>
  <c r="A703" i="31" s="1"/>
  <c r="G701" i="31"/>
  <c r="C701" i="31"/>
  <c r="F695" i="31"/>
  <c r="D695" i="31"/>
  <c r="B695" i="31"/>
  <c r="A695" i="31"/>
  <c r="G694" i="31"/>
  <c r="C694" i="31"/>
  <c r="F692" i="31"/>
  <c r="F693" i="31" s="1"/>
  <c r="D692" i="31"/>
  <c r="D693" i="31" s="1"/>
  <c r="B692" i="31"/>
  <c r="B693" i="31" s="1"/>
  <c r="C693" i="31" s="1"/>
  <c r="A692" i="31"/>
  <c r="A693" i="31" s="1"/>
  <c r="G691" i="31"/>
  <c r="C691" i="31"/>
  <c r="F685" i="31"/>
  <c r="E685" i="31"/>
  <c r="D685" i="31"/>
  <c r="B685" i="31"/>
  <c r="A685" i="31"/>
  <c r="G684" i="31"/>
  <c r="C684" i="31"/>
  <c r="H683" i="31"/>
  <c r="F682" i="31"/>
  <c r="F683" i="31" s="1"/>
  <c r="D682" i="31"/>
  <c r="D683" i="31" s="1"/>
  <c r="B682" i="31"/>
  <c r="C682" i="31" s="1"/>
  <c r="A682" i="31"/>
  <c r="A683" i="31" s="1"/>
  <c r="G681" i="31"/>
  <c r="C681" i="31"/>
  <c r="F675" i="31"/>
  <c r="D675" i="31"/>
  <c r="B675" i="31"/>
  <c r="A675" i="31"/>
  <c r="G674" i="31"/>
  <c r="C674" i="31"/>
  <c r="F672" i="31"/>
  <c r="F673" i="31" s="1"/>
  <c r="D672" i="31"/>
  <c r="D673" i="31" s="1"/>
  <c r="B672" i="31"/>
  <c r="B673" i="31" s="1"/>
  <c r="C673" i="31" s="1"/>
  <c r="A672" i="31"/>
  <c r="A673" i="31" s="1"/>
  <c r="G671" i="31"/>
  <c r="C671" i="31"/>
  <c r="F665" i="31"/>
  <c r="D665" i="31"/>
  <c r="B665" i="31"/>
  <c r="A665" i="31"/>
  <c r="G664" i="31"/>
  <c r="C664" i="31"/>
  <c r="F662" i="31"/>
  <c r="F663" i="31" s="1"/>
  <c r="D662" i="31"/>
  <c r="D663" i="31" s="1"/>
  <c r="B662" i="31"/>
  <c r="B663" i="31" s="1"/>
  <c r="C663" i="31" s="1"/>
  <c r="A662" i="31"/>
  <c r="A663" i="31" s="1"/>
  <c r="G661" i="31"/>
  <c r="C661" i="31"/>
  <c r="F655" i="31"/>
  <c r="D655" i="31"/>
  <c r="B655" i="31"/>
  <c r="A655" i="31"/>
  <c r="G654" i="31"/>
  <c r="C654" i="31"/>
  <c r="F652" i="31"/>
  <c r="F653" i="31" s="1"/>
  <c r="D652" i="31"/>
  <c r="D653" i="31" s="1"/>
  <c r="B652" i="31"/>
  <c r="B653" i="31" s="1"/>
  <c r="C653" i="31" s="1"/>
  <c r="A652" i="31"/>
  <c r="A653" i="31" s="1"/>
  <c r="G651" i="31"/>
  <c r="C651" i="31"/>
  <c r="H732" i="31"/>
  <c r="H733" i="31" s="1"/>
  <c r="H857" i="31"/>
  <c r="F855" i="31"/>
  <c r="D855" i="31"/>
  <c r="B855" i="31"/>
  <c r="A855" i="31"/>
  <c r="G854" i="31"/>
  <c r="C854" i="31"/>
  <c r="F852" i="31"/>
  <c r="F853" i="31" s="1"/>
  <c r="D852" i="31"/>
  <c r="D853" i="31" s="1"/>
  <c r="B852" i="31"/>
  <c r="B853" i="31" s="1"/>
  <c r="C853" i="31" s="1"/>
  <c r="A852" i="31"/>
  <c r="A853" i="31" s="1"/>
  <c r="G851" i="31"/>
  <c r="C851" i="31"/>
  <c r="F845" i="31"/>
  <c r="D845" i="31"/>
  <c r="B845" i="31"/>
  <c r="A845" i="31"/>
  <c r="G844" i="31"/>
  <c r="C844" i="31"/>
  <c r="F842" i="31"/>
  <c r="F843" i="31" s="1"/>
  <c r="D842" i="31"/>
  <c r="D843" i="31" s="1"/>
  <c r="B842" i="31"/>
  <c r="B843" i="31" s="1"/>
  <c r="C843" i="31" s="1"/>
  <c r="A842" i="31"/>
  <c r="A843" i="31" s="1"/>
  <c r="G841" i="31"/>
  <c r="C841" i="31"/>
  <c r="F835" i="31"/>
  <c r="D835" i="31"/>
  <c r="B835" i="31"/>
  <c r="A835" i="31"/>
  <c r="G834" i="31"/>
  <c r="C834" i="31"/>
  <c r="F832" i="31"/>
  <c r="F833" i="31" s="1"/>
  <c r="D832" i="31"/>
  <c r="D833" i="31" s="1"/>
  <c r="B832" i="31"/>
  <c r="B833" i="31" s="1"/>
  <c r="C833" i="31" s="1"/>
  <c r="A832" i="31"/>
  <c r="A833" i="31" s="1"/>
  <c r="G831" i="31"/>
  <c r="C831" i="31"/>
  <c r="F825" i="31"/>
  <c r="D825" i="31"/>
  <c r="B825" i="31"/>
  <c r="A825" i="31"/>
  <c r="G824" i="31"/>
  <c r="C824" i="31"/>
  <c r="H823" i="31"/>
  <c r="F822" i="31"/>
  <c r="F823" i="31" s="1"/>
  <c r="D822" i="31"/>
  <c r="D823" i="31" s="1"/>
  <c r="B822" i="31"/>
  <c r="C822" i="31" s="1"/>
  <c r="A822" i="31"/>
  <c r="A823" i="31" s="1"/>
  <c r="G821" i="31"/>
  <c r="C821" i="31"/>
  <c r="F815" i="31"/>
  <c r="D815" i="31"/>
  <c r="B815" i="31"/>
  <c r="A815" i="31"/>
  <c r="A816" i="31" s="1"/>
  <c r="G814" i="31"/>
  <c r="C814" i="31"/>
  <c r="F812" i="31"/>
  <c r="F813" i="31" s="1"/>
  <c r="D812" i="31"/>
  <c r="D813" i="31" s="1"/>
  <c r="B812" i="31"/>
  <c r="B813" i="31" s="1"/>
  <c r="C813" i="31" s="1"/>
  <c r="A812" i="31"/>
  <c r="A813" i="31" s="1"/>
  <c r="G811" i="31"/>
  <c r="C811" i="31"/>
  <c r="F805" i="31"/>
  <c r="D805" i="31"/>
  <c r="B805" i="31"/>
  <c r="A805" i="31"/>
  <c r="G804" i="31"/>
  <c r="C804" i="31"/>
  <c r="F802" i="31"/>
  <c r="F803" i="31" s="1"/>
  <c r="D802" i="31"/>
  <c r="D803" i="31" s="1"/>
  <c r="B802" i="31"/>
  <c r="B803" i="31" s="1"/>
  <c r="C803" i="31" s="1"/>
  <c r="A802" i="31"/>
  <c r="A803" i="31" s="1"/>
  <c r="G801" i="31"/>
  <c r="C801" i="31"/>
  <c r="F795" i="31"/>
  <c r="D795" i="31"/>
  <c r="B795" i="31"/>
  <c r="A795" i="31"/>
  <c r="G794" i="31"/>
  <c r="C794" i="31"/>
  <c r="F792" i="31"/>
  <c r="F793" i="31" s="1"/>
  <c r="D792" i="31"/>
  <c r="D793" i="31" s="1"/>
  <c r="B792" i="31"/>
  <c r="B793" i="31" s="1"/>
  <c r="C793" i="31" s="1"/>
  <c r="A792" i="31"/>
  <c r="A793" i="31" s="1"/>
  <c r="G791" i="31"/>
  <c r="C791" i="31"/>
  <c r="F175" i="31"/>
  <c r="D175" i="31"/>
  <c r="B175" i="31"/>
  <c r="A175" i="31"/>
  <c r="G174" i="31"/>
  <c r="C174" i="31"/>
  <c r="F172" i="31"/>
  <c r="E172" i="31"/>
  <c r="D172" i="31"/>
  <c r="B172" i="31"/>
  <c r="A172" i="31"/>
  <c r="G171" i="31"/>
  <c r="C171" i="31"/>
  <c r="H787" i="31"/>
  <c r="F785" i="31"/>
  <c r="D785" i="31"/>
  <c r="B785" i="31"/>
  <c r="A785" i="31"/>
  <c r="G784" i="31"/>
  <c r="C784" i="31"/>
  <c r="F782" i="31"/>
  <c r="F783" i="31" s="1"/>
  <c r="D782" i="31"/>
  <c r="D783" i="31" s="1"/>
  <c r="B782" i="31"/>
  <c r="B783" i="31" s="1"/>
  <c r="C783" i="31" s="1"/>
  <c r="A782" i="31"/>
  <c r="A783" i="31" s="1"/>
  <c r="G781" i="31"/>
  <c r="C781" i="31"/>
  <c r="F775" i="31"/>
  <c r="D775" i="31"/>
  <c r="B775" i="31"/>
  <c r="A775" i="31"/>
  <c r="G774" i="31"/>
  <c r="C774" i="31"/>
  <c r="F772" i="31"/>
  <c r="F773" i="31" s="1"/>
  <c r="D772" i="31"/>
  <c r="D773" i="31" s="1"/>
  <c r="B772" i="31"/>
  <c r="B773" i="31" s="1"/>
  <c r="C773" i="31" s="1"/>
  <c r="A772" i="31"/>
  <c r="A773" i="31" s="1"/>
  <c r="G771" i="31"/>
  <c r="C771" i="31"/>
  <c r="F765" i="31"/>
  <c r="D765" i="31"/>
  <c r="B765" i="31"/>
  <c r="A765" i="31"/>
  <c r="G764" i="31"/>
  <c r="C764" i="31"/>
  <c r="F762" i="31"/>
  <c r="F763" i="31" s="1"/>
  <c r="D762" i="31"/>
  <c r="D763" i="31" s="1"/>
  <c r="B762" i="31"/>
  <c r="B763" i="31" s="1"/>
  <c r="C763" i="31" s="1"/>
  <c r="A762" i="31"/>
  <c r="A763" i="31" s="1"/>
  <c r="G761" i="31"/>
  <c r="C761" i="31"/>
  <c r="F755" i="31"/>
  <c r="D755" i="31"/>
  <c r="B755" i="31"/>
  <c r="A755" i="31"/>
  <c r="G754" i="31"/>
  <c r="C754" i="31"/>
  <c r="H753" i="31"/>
  <c r="F752" i="31"/>
  <c r="F753" i="31" s="1"/>
  <c r="D752" i="31"/>
  <c r="D753" i="31" s="1"/>
  <c r="B752" i="31"/>
  <c r="B753" i="31" s="1"/>
  <c r="C753" i="31" s="1"/>
  <c r="A752" i="31"/>
  <c r="A753" i="31" s="1"/>
  <c r="G751" i="31"/>
  <c r="C751" i="31"/>
  <c r="F745" i="31"/>
  <c r="D745" i="31"/>
  <c r="B745" i="31"/>
  <c r="B746" i="31" s="1"/>
  <c r="C746" i="31" s="1"/>
  <c r="A745" i="31"/>
  <c r="G744" i="31"/>
  <c r="C744" i="31"/>
  <c r="F742" i="31"/>
  <c r="F743" i="31" s="1"/>
  <c r="D742" i="31"/>
  <c r="D743" i="31" s="1"/>
  <c r="B742" i="31"/>
  <c r="B743" i="31" s="1"/>
  <c r="C743" i="31" s="1"/>
  <c r="A742" i="31"/>
  <c r="G741" i="31"/>
  <c r="C741" i="31"/>
  <c r="F735" i="31"/>
  <c r="D735" i="31"/>
  <c r="B735" i="31"/>
  <c r="A735" i="31"/>
  <c r="G734" i="31"/>
  <c r="C734" i="31"/>
  <c r="F732" i="31"/>
  <c r="F733" i="31" s="1"/>
  <c r="D732" i="31"/>
  <c r="D733" i="31" s="1"/>
  <c r="B732" i="31"/>
  <c r="C732" i="31" s="1"/>
  <c r="A732" i="31"/>
  <c r="A733" i="31" s="1"/>
  <c r="G731" i="31"/>
  <c r="C731" i="31"/>
  <c r="F725" i="31"/>
  <c r="D725" i="31"/>
  <c r="B725" i="31"/>
  <c r="A725" i="31"/>
  <c r="G724" i="31"/>
  <c r="C724" i="31"/>
  <c r="F722" i="31"/>
  <c r="F723" i="31" s="1"/>
  <c r="D722" i="31"/>
  <c r="D723" i="31" s="1"/>
  <c r="B722" i="31"/>
  <c r="C722" i="31" s="1"/>
  <c r="A722" i="31"/>
  <c r="A723" i="31" s="1"/>
  <c r="G721" i="31"/>
  <c r="C721" i="31"/>
  <c r="F105" i="31"/>
  <c r="E105" i="31"/>
  <c r="D105" i="31"/>
  <c r="B105" i="31"/>
  <c r="A105" i="31"/>
  <c r="A106" i="31" s="1"/>
  <c r="G104" i="31"/>
  <c r="C104" i="31"/>
  <c r="F102" i="31"/>
  <c r="E102" i="31"/>
  <c r="D102" i="31"/>
  <c r="B102" i="31"/>
  <c r="A102" i="31"/>
  <c r="G101" i="31"/>
  <c r="C101" i="31"/>
  <c r="C1435" i="31" l="1"/>
  <c r="B1436" i="31"/>
  <c r="C1436" i="31" s="1"/>
  <c r="C1445" i="31"/>
  <c r="B1446" i="31"/>
  <c r="C1446" i="31" s="1"/>
  <c r="F1447" i="31"/>
  <c r="F1446" i="31"/>
  <c r="B1457" i="31"/>
  <c r="C1457" i="31" s="1"/>
  <c r="B1456" i="31"/>
  <c r="C1456" i="31" s="1"/>
  <c r="F1457" i="31"/>
  <c r="F1456" i="31"/>
  <c r="A1467" i="31"/>
  <c r="A1466" i="31"/>
  <c r="D1467" i="31"/>
  <c r="D1466" i="31"/>
  <c r="A1477" i="31"/>
  <c r="A1476" i="31"/>
  <c r="D1477" i="31"/>
  <c r="D1476" i="31"/>
  <c r="A1487" i="31"/>
  <c r="A1486" i="31"/>
  <c r="D1487" i="31"/>
  <c r="D1486" i="31"/>
  <c r="A1497" i="31"/>
  <c r="A1496" i="31"/>
  <c r="D1497" i="31"/>
  <c r="D1496" i="31"/>
  <c r="A1437" i="31"/>
  <c r="A1436" i="31"/>
  <c r="A1447" i="31"/>
  <c r="A1446" i="31"/>
  <c r="D1447" i="31"/>
  <c r="D1446" i="31"/>
  <c r="A1457" i="31"/>
  <c r="A1456" i="31"/>
  <c r="D1457" i="31"/>
  <c r="D1456" i="31"/>
  <c r="C1465" i="31"/>
  <c r="B1466" i="31"/>
  <c r="C1466" i="31" s="1"/>
  <c r="F1467" i="31"/>
  <c r="F1466" i="31"/>
  <c r="C1475" i="31"/>
  <c r="B1476" i="31"/>
  <c r="C1476" i="31" s="1"/>
  <c r="F1477" i="31"/>
  <c r="F1476" i="31"/>
  <c r="C1485" i="31"/>
  <c r="B1486" i="31"/>
  <c r="C1486" i="31" s="1"/>
  <c r="F1487" i="31"/>
  <c r="F1486" i="31"/>
  <c r="C1495" i="31"/>
  <c r="B1496" i="31"/>
  <c r="C1496" i="31" s="1"/>
  <c r="F1497" i="31"/>
  <c r="F1496" i="31"/>
  <c r="F1437" i="31"/>
  <c r="F1436" i="31"/>
  <c r="D1437" i="31"/>
  <c r="D1436" i="31"/>
  <c r="G1436" i="31" s="1"/>
  <c r="C1345" i="31"/>
  <c r="B1346" i="31"/>
  <c r="C1346" i="31" s="1"/>
  <c r="A1347" i="31"/>
  <c r="A1346" i="31"/>
  <c r="D1347" i="31"/>
  <c r="D1346" i="31"/>
  <c r="F1347" i="31"/>
  <c r="F1346" i="31"/>
  <c r="A1337" i="31"/>
  <c r="A1336" i="31"/>
  <c r="C1335" i="31"/>
  <c r="B1336" i="31"/>
  <c r="C1336" i="31" s="1"/>
  <c r="D1337" i="31"/>
  <c r="D1336" i="31"/>
  <c r="F1337" i="31"/>
  <c r="F1336" i="31"/>
  <c r="A1317" i="31"/>
  <c r="A1316" i="31"/>
  <c r="C1315" i="31"/>
  <c r="B1316" i="31"/>
  <c r="C1316" i="31" s="1"/>
  <c r="D1317" i="31"/>
  <c r="D1316" i="31"/>
  <c r="F1317" i="31"/>
  <c r="F1316" i="31"/>
  <c r="B1307" i="31"/>
  <c r="C1307" i="31" s="1"/>
  <c r="B1306" i="31"/>
  <c r="C1306" i="31" s="1"/>
  <c r="A1307" i="31"/>
  <c r="A1306" i="31"/>
  <c r="F1307" i="31"/>
  <c r="F1306" i="31"/>
  <c r="D1307" i="31"/>
  <c r="D1306" i="31"/>
  <c r="G1306" i="31" s="1"/>
  <c r="C1295" i="31"/>
  <c r="B1296" i="31"/>
  <c r="C1296" i="31" s="1"/>
  <c r="A1297" i="31"/>
  <c r="A1296" i="31"/>
  <c r="F1297" i="31"/>
  <c r="F1296" i="31"/>
  <c r="D1297" i="31"/>
  <c r="D1296" i="31"/>
  <c r="C1285" i="31"/>
  <c r="B1286" i="31"/>
  <c r="C1286" i="31" s="1"/>
  <c r="A1287" i="31"/>
  <c r="A1286" i="31"/>
  <c r="F1287" i="31"/>
  <c r="F1286" i="31"/>
  <c r="D1287" i="31"/>
  <c r="D1286" i="31"/>
  <c r="G1286" i="31" s="1"/>
  <c r="A1277" i="31"/>
  <c r="A1276" i="31"/>
  <c r="C1275" i="31"/>
  <c r="B1276" i="31"/>
  <c r="C1276" i="31" s="1"/>
  <c r="D1277" i="31"/>
  <c r="D1276" i="31"/>
  <c r="F1277" i="31"/>
  <c r="F1276" i="31"/>
  <c r="A1267" i="31"/>
  <c r="A1266" i="31"/>
  <c r="C1265" i="31"/>
  <c r="B1266" i="31"/>
  <c r="C1266" i="31" s="1"/>
  <c r="D1267" i="31"/>
  <c r="D1266" i="31"/>
  <c r="F1267" i="31"/>
  <c r="F1266" i="31"/>
  <c r="A1257" i="31"/>
  <c r="A1256" i="31"/>
  <c r="C1255" i="31"/>
  <c r="B1256" i="31"/>
  <c r="C1256" i="31" s="1"/>
  <c r="D1257" i="31"/>
  <c r="D1256" i="31"/>
  <c r="F1257" i="31"/>
  <c r="F1256" i="31"/>
  <c r="C1245" i="31"/>
  <c r="B1246" i="31"/>
  <c r="C1246" i="31" s="1"/>
  <c r="A1247" i="31"/>
  <c r="A1246" i="31"/>
  <c r="D1247" i="31"/>
  <c r="D1246" i="31"/>
  <c r="F1247" i="31"/>
  <c r="F1246" i="31"/>
  <c r="B1237" i="31"/>
  <c r="C1237" i="31" s="1"/>
  <c r="B1236" i="31"/>
  <c r="C1236" i="31" s="1"/>
  <c r="A1237" i="31"/>
  <c r="A1236" i="31"/>
  <c r="F1237" i="31"/>
  <c r="F1236" i="31"/>
  <c r="D1237" i="31"/>
  <c r="D1236" i="31"/>
  <c r="G1236" i="31" s="1"/>
  <c r="C1225" i="31"/>
  <c r="B1226" i="31"/>
  <c r="C1226" i="31" s="1"/>
  <c r="A1227" i="31"/>
  <c r="A1226" i="31"/>
  <c r="F1227" i="31"/>
  <c r="F1226" i="31"/>
  <c r="D1227" i="31"/>
  <c r="D1226" i="31"/>
  <c r="G1226" i="31" s="1"/>
  <c r="C1215" i="31"/>
  <c r="B1216" i="31"/>
  <c r="C1216" i="31" s="1"/>
  <c r="F1217" i="31"/>
  <c r="F1216" i="31"/>
  <c r="A1217" i="31"/>
  <c r="A1216" i="31"/>
  <c r="D1217" i="31"/>
  <c r="D1216" i="31"/>
  <c r="C1205" i="31"/>
  <c r="B1206" i="31"/>
  <c r="C1206" i="31" s="1"/>
  <c r="A1207" i="31"/>
  <c r="A1206" i="31"/>
  <c r="F1207" i="31"/>
  <c r="F1206" i="31"/>
  <c r="D1207" i="31"/>
  <c r="D1206" i="31"/>
  <c r="G1206" i="31" s="1"/>
  <c r="C1195" i="31"/>
  <c r="B1196" i="31"/>
  <c r="C1196" i="31" s="1"/>
  <c r="A1197" i="31"/>
  <c r="A1196" i="31"/>
  <c r="F1197" i="31"/>
  <c r="F1196" i="31"/>
  <c r="D1197" i="31"/>
  <c r="D1196" i="31"/>
  <c r="G1196" i="31" s="1"/>
  <c r="C1185" i="31"/>
  <c r="B1186" i="31"/>
  <c r="C1186" i="31" s="1"/>
  <c r="A1187" i="31"/>
  <c r="A1186" i="31"/>
  <c r="F1187" i="31"/>
  <c r="F1186" i="31"/>
  <c r="D1187" i="31"/>
  <c r="D1186" i="31"/>
  <c r="G1186" i="31" s="1"/>
  <c r="C1175" i="31"/>
  <c r="B1176" i="31"/>
  <c r="C1176" i="31" s="1"/>
  <c r="A1177" i="31"/>
  <c r="A1176" i="31"/>
  <c r="F1177" i="31"/>
  <c r="F1176" i="31"/>
  <c r="D1177" i="31"/>
  <c r="D1176" i="31"/>
  <c r="G1176" i="31" s="1"/>
  <c r="A1167" i="31"/>
  <c r="A1166" i="31"/>
  <c r="B1167" i="31"/>
  <c r="C1167" i="31" s="1"/>
  <c r="B1166" i="31"/>
  <c r="C1166" i="31" s="1"/>
  <c r="D1167" i="31"/>
  <c r="D1166" i="31"/>
  <c r="F1167" i="31"/>
  <c r="F1166" i="31"/>
  <c r="C1155" i="31"/>
  <c r="B1156" i="31"/>
  <c r="C1156" i="31" s="1"/>
  <c r="A1157" i="31"/>
  <c r="A1156" i="31"/>
  <c r="D1157" i="31"/>
  <c r="D1156" i="31"/>
  <c r="F1157" i="31"/>
  <c r="F1156" i="31"/>
  <c r="A1147" i="31"/>
  <c r="A1146" i="31"/>
  <c r="C1145" i="31"/>
  <c r="B1146" i="31"/>
  <c r="C1146" i="31" s="1"/>
  <c r="D1147" i="31"/>
  <c r="D1146" i="31"/>
  <c r="F1147" i="31"/>
  <c r="F1146" i="31"/>
  <c r="A1007" i="31"/>
  <c r="A1006" i="31"/>
  <c r="A1017" i="31"/>
  <c r="A1016" i="31"/>
  <c r="A1027" i="31"/>
  <c r="A1026" i="31"/>
  <c r="C1035" i="31"/>
  <c r="B1036" i="31"/>
  <c r="C1036" i="31" s="1"/>
  <c r="C1045" i="31"/>
  <c r="B1046" i="31"/>
  <c r="C1046" i="31" s="1"/>
  <c r="C1055" i="31"/>
  <c r="B1056" i="31"/>
  <c r="C1056" i="31" s="1"/>
  <c r="C1065" i="31"/>
  <c r="B1066" i="31"/>
  <c r="C1066" i="31" s="1"/>
  <c r="A1077" i="31"/>
  <c r="A1076" i="31"/>
  <c r="D1077" i="31"/>
  <c r="D1076" i="31"/>
  <c r="A1087" i="31"/>
  <c r="A1086" i="31"/>
  <c r="D1087" i="31"/>
  <c r="D1086" i="31"/>
  <c r="A1097" i="31"/>
  <c r="A1096" i="31"/>
  <c r="D1097" i="31"/>
  <c r="D1096" i="31"/>
  <c r="C1105" i="31"/>
  <c r="B1106" i="31"/>
  <c r="C1106" i="31" s="1"/>
  <c r="F1107" i="31"/>
  <c r="F1106" i="31"/>
  <c r="C1115" i="31"/>
  <c r="B1116" i="31"/>
  <c r="C1116" i="31" s="1"/>
  <c r="F1117" i="31"/>
  <c r="F1116" i="31"/>
  <c r="C1125" i="31"/>
  <c r="B1126" i="31"/>
  <c r="C1126" i="31" s="1"/>
  <c r="F1127" i="31"/>
  <c r="F1126" i="31"/>
  <c r="C1135" i="31"/>
  <c r="B1136" i="31"/>
  <c r="C1136" i="31" s="1"/>
  <c r="F1137" i="31"/>
  <c r="F1136" i="31"/>
  <c r="B1007" i="31"/>
  <c r="C1007" i="31" s="1"/>
  <c r="B1006" i="31"/>
  <c r="C1006" i="31" s="1"/>
  <c r="B1017" i="31"/>
  <c r="C1017" i="31" s="1"/>
  <c r="B1016" i="31"/>
  <c r="C1016" i="31" s="1"/>
  <c r="B1027" i="31"/>
  <c r="C1027" i="31" s="1"/>
  <c r="B1026" i="31"/>
  <c r="C1026" i="31" s="1"/>
  <c r="A1037" i="31"/>
  <c r="A1036" i="31"/>
  <c r="A1047" i="31"/>
  <c r="A1046" i="31"/>
  <c r="A1057" i="31"/>
  <c r="A1056" i="31"/>
  <c r="A1067" i="31"/>
  <c r="A1066" i="31"/>
  <c r="C1075" i="31"/>
  <c r="B1076" i="31"/>
  <c r="C1076" i="31" s="1"/>
  <c r="F1077" i="31"/>
  <c r="F1076" i="31"/>
  <c r="C1085" i="31"/>
  <c r="B1086" i="31"/>
  <c r="C1086" i="31" s="1"/>
  <c r="F1087" i="31"/>
  <c r="F1086" i="31"/>
  <c r="B1097" i="31"/>
  <c r="C1097" i="31" s="1"/>
  <c r="B1096" i="31"/>
  <c r="C1096" i="31" s="1"/>
  <c r="F1097" i="31"/>
  <c r="G1097" i="31" s="1"/>
  <c r="F1096" i="31"/>
  <c r="A1107" i="31"/>
  <c r="A1106" i="31"/>
  <c r="D1107" i="31"/>
  <c r="D1106" i="31"/>
  <c r="A1117" i="31"/>
  <c r="A1116" i="31"/>
  <c r="D1117" i="31"/>
  <c r="D1116" i="31"/>
  <c r="A1127" i="31"/>
  <c r="A1126" i="31"/>
  <c r="D1127" i="31"/>
  <c r="D1126" i="31"/>
  <c r="A1137" i="31"/>
  <c r="A1136" i="31"/>
  <c r="D1137" i="31"/>
  <c r="D1136" i="31"/>
  <c r="C995" i="31"/>
  <c r="B996" i="31"/>
  <c r="C996" i="31" s="1"/>
  <c r="A997" i="31"/>
  <c r="A996" i="31"/>
  <c r="F1057" i="31"/>
  <c r="F1056" i="31"/>
  <c r="F1067" i="31"/>
  <c r="F1066" i="31"/>
  <c r="D1057" i="31"/>
  <c r="D1056" i="31"/>
  <c r="G1056" i="31" s="1"/>
  <c r="D1067" i="31"/>
  <c r="D1066" i="31"/>
  <c r="G1066" i="31" s="1"/>
  <c r="F1047" i="31"/>
  <c r="F1046" i="31"/>
  <c r="D1047" i="31"/>
  <c r="D1046" i="31"/>
  <c r="G1046" i="31" s="1"/>
  <c r="F1037" i="31"/>
  <c r="F1036" i="31"/>
  <c r="D1037" i="31"/>
  <c r="D1036" i="31"/>
  <c r="G1036" i="31" s="1"/>
  <c r="F1017" i="31"/>
  <c r="F1016" i="31"/>
  <c r="F1027" i="31"/>
  <c r="F1026" i="31"/>
  <c r="D1017" i="31"/>
  <c r="G1017" i="31" s="1"/>
  <c r="D1016" i="31"/>
  <c r="G1016" i="31" s="1"/>
  <c r="D1027" i="31"/>
  <c r="G1027" i="31" s="1"/>
  <c r="D1026" i="31"/>
  <c r="G1026" i="31" s="1"/>
  <c r="D1007" i="31"/>
  <c r="D1006" i="31"/>
  <c r="F1007" i="31"/>
  <c r="F1006" i="31"/>
  <c r="F997" i="31"/>
  <c r="F996" i="31"/>
  <c r="D997" i="31"/>
  <c r="D996" i="31"/>
  <c r="G996" i="31" s="1"/>
  <c r="C985" i="31"/>
  <c r="B986" i="31"/>
  <c r="C986" i="31" s="1"/>
  <c r="A987" i="31"/>
  <c r="A986" i="31"/>
  <c r="F987" i="31"/>
  <c r="F986" i="31"/>
  <c r="D987" i="31"/>
  <c r="D986" i="31"/>
  <c r="G986" i="31" s="1"/>
  <c r="C975" i="31"/>
  <c r="B976" i="31"/>
  <c r="C976" i="31" s="1"/>
  <c r="A977" i="31"/>
  <c r="A976" i="31"/>
  <c r="F977" i="31"/>
  <c r="F976" i="31"/>
  <c r="D977" i="31"/>
  <c r="D976" i="31"/>
  <c r="G976" i="31" s="1"/>
  <c r="G966" i="31"/>
  <c r="A947" i="31"/>
  <c r="A946" i="31"/>
  <c r="A957" i="31"/>
  <c r="A956" i="31"/>
  <c r="C965" i="31"/>
  <c r="F967" i="31"/>
  <c r="C945" i="31"/>
  <c r="B946" i="31"/>
  <c r="C946" i="31" s="1"/>
  <c r="B957" i="31"/>
  <c r="C957" i="31" s="1"/>
  <c r="B956" i="31"/>
  <c r="C956" i="31" s="1"/>
  <c r="A967" i="31"/>
  <c r="D967" i="31"/>
  <c r="D947" i="31"/>
  <c r="D946" i="31"/>
  <c r="D957" i="31"/>
  <c r="D956" i="31"/>
  <c r="F947" i="31"/>
  <c r="F946" i="31"/>
  <c r="F957" i="31"/>
  <c r="F956" i="31"/>
  <c r="C1355" i="31"/>
  <c r="B1356" i="31"/>
  <c r="C1356" i="31" s="1"/>
  <c r="F1357" i="31"/>
  <c r="F1356" i="31"/>
  <c r="C1375" i="31"/>
  <c r="B1376" i="31"/>
  <c r="C1376" i="31" s="1"/>
  <c r="F1377" i="31"/>
  <c r="F1376" i="31"/>
  <c r="B1387" i="31"/>
  <c r="C1387" i="31" s="1"/>
  <c r="B1386" i="31"/>
  <c r="C1386" i="31" s="1"/>
  <c r="F1387" i="31"/>
  <c r="F1386" i="31"/>
  <c r="A1397" i="31"/>
  <c r="A1396" i="31"/>
  <c r="D1397" i="31"/>
  <c r="D1396" i="31"/>
  <c r="A1407" i="31"/>
  <c r="A1406" i="31"/>
  <c r="D1407" i="31"/>
  <c r="D1406" i="31"/>
  <c r="A1417" i="31"/>
  <c r="A1416" i="31"/>
  <c r="D1417" i="31"/>
  <c r="D1416" i="31"/>
  <c r="A1427" i="31"/>
  <c r="A1426" i="31"/>
  <c r="D1427" i="31"/>
  <c r="D1426" i="31"/>
  <c r="A1357" i="31"/>
  <c r="A1356" i="31"/>
  <c r="D1357" i="31"/>
  <c r="D1356" i="31"/>
  <c r="A1377" i="31"/>
  <c r="A1376" i="31"/>
  <c r="D1377" i="31"/>
  <c r="D1376" i="31"/>
  <c r="A1387" i="31"/>
  <c r="A1386" i="31"/>
  <c r="D1387" i="31"/>
  <c r="D1386" i="31"/>
  <c r="C1395" i="31"/>
  <c r="B1396" i="31"/>
  <c r="C1396" i="31" s="1"/>
  <c r="F1397" i="31"/>
  <c r="F1396" i="31"/>
  <c r="C1405" i="31"/>
  <c r="B1406" i="31"/>
  <c r="C1406" i="31" s="1"/>
  <c r="F1407" i="31"/>
  <c r="F1406" i="31"/>
  <c r="C1415" i="31"/>
  <c r="B1416" i="31"/>
  <c r="C1416" i="31" s="1"/>
  <c r="F1417" i="31"/>
  <c r="F1416" i="31"/>
  <c r="C1425" i="31"/>
  <c r="B1426" i="31"/>
  <c r="C1426" i="31" s="1"/>
  <c r="F1427" i="31"/>
  <c r="F1426" i="31"/>
  <c r="A937" i="31"/>
  <c r="A936" i="31"/>
  <c r="D937" i="31"/>
  <c r="D936" i="31"/>
  <c r="C935" i="31"/>
  <c r="B936" i="31"/>
  <c r="C936" i="31" s="1"/>
  <c r="F937" i="31"/>
  <c r="F936" i="31"/>
  <c r="C765" i="31"/>
  <c r="B766" i="31"/>
  <c r="C766" i="31" s="1"/>
  <c r="F767" i="31"/>
  <c r="F766" i="31"/>
  <c r="C785" i="31"/>
  <c r="B786" i="31"/>
  <c r="C786" i="31" s="1"/>
  <c r="C795" i="31"/>
  <c r="B796" i="31"/>
  <c r="C796" i="31" s="1"/>
  <c r="C805" i="31"/>
  <c r="B806" i="31"/>
  <c r="C806" i="31" s="1"/>
  <c r="B817" i="31"/>
  <c r="C817" i="31" s="1"/>
  <c r="B816" i="31"/>
  <c r="C816" i="31" s="1"/>
  <c r="A867" i="31"/>
  <c r="A866" i="31"/>
  <c r="D867" i="31"/>
  <c r="D866" i="31"/>
  <c r="C895" i="31"/>
  <c r="B896" i="31"/>
  <c r="C896" i="31" s="1"/>
  <c r="F897" i="31"/>
  <c r="F896" i="31"/>
  <c r="C905" i="31"/>
  <c r="B906" i="31"/>
  <c r="C906" i="31" s="1"/>
  <c r="F907" i="31"/>
  <c r="F906" i="31"/>
  <c r="C925" i="31"/>
  <c r="B926" i="31"/>
  <c r="C926" i="31" s="1"/>
  <c r="F927" i="31"/>
  <c r="F926" i="31"/>
  <c r="C775" i="31"/>
  <c r="B776" i="31"/>
  <c r="C776" i="31" s="1"/>
  <c r="A827" i="31"/>
  <c r="A826" i="31"/>
  <c r="A837" i="31"/>
  <c r="A836" i="31"/>
  <c r="A847" i="31"/>
  <c r="A846" i="31"/>
  <c r="A857" i="31"/>
  <c r="A856" i="31"/>
  <c r="D857" i="31"/>
  <c r="D856" i="31"/>
  <c r="A877" i="31"/>
  <c r="A876" i="31"/>
  <c r="D877" i="31"/>
  <c r="D876" i="31"/>
  <c r="A887" i="31"/>
  <c r="A886" i="31"/>
  <c r="D887" i="31"/>
  <c r="D886" i="31"/>
  <c r="C915" i="31"/>
  <c r="B916" i="31"/>
  <c r="C916" i="31" s="1"/>
  <c r="F917" i="31"/>
  <c r="F916" i="31"/>
  <c r="A767" i="31"/>
  <c r="A766" i="31"/>
  <c r="D767" i="31"/>
  <c r="D766" i="31"/>
  <c r="A777" i="31"/>
  <c r="A776" i="31"/>
  <c r="A787" i="31"/>
  <c r="A786" i="31"/>
  <c r="A797" i="31"/>
  <c r="A796" i="31"/>
  <c r="A807" i="31"/>
  <c r="A806" i="31"/>
  <c r="C825" i="31"/>
  <c r="B826" i="31"/>
  <c r="C826" i="31" s="1"/>
  <c r="C835" i="31"/>
  <c r="B836" i="31"/>
  <c r="C836" i="31" s="1"/>
  <c r="C845" i="31"/>
  <c r="B846" i="31"/>
  <c r="C846" i="31" s="1"/>
  <c r="C855" i="31"/>
  <c r="B856" i="31"/>
  <c r="C856" i="31" s="1"/>
  <c r="F857" i="31"/>
  <c r="F856" i="31"/>
  <c r="C865" i="31"/>
  <c r="B866" i="31"/>
  <c r="C866" i="31" s="1"/>
  <c r="F867" i="31"/>
  <c r="F866" i="31"/>
  <c r="C875" i="31"/>
  <c r="B876" i="31"/>
  <c r="C876" i="31" s="1"/>
  <c r="F877" i="31"/>
  <c r="F876" i="31"/>
  <c r="B887" i="31"/>
  <c r="C887" i="31" s="1"/>
  <c r="B886" i="31"/>
  <c r="C886" i="31" s="1"/>
  <c r="F887" i="31"/>
  <c r="F886" i="31"/>
  <c r="A897" i="31"/>
  <c r="A896" i="31"/>
  <c r="D897" i="31"/>
  <c r="D896" i="31"/>
  <c r="A907" i="31"/>
  <c r="A906" i="31"/>
  <c r="D907" i="31"/>
  <c r="D906" i="31"/>
  <c r="A917" i="31"/>
  <c r="A916" i="31"/>
  <c r="D917" i="31"/>
  <c r="D916" i="31"/>
  <c r="A927" i="31"/>
  <c r="A926" i="31"/>
  <c r="D927" i="31"/>
  <c r="D926" i="31"/>
  <c r="F777" i="31"/>
  <c r="F776" i="31"/>
  <c r="F787" i="31"/>
  <c r="F786" i="31"/>
  <c r="F797" i="31"/>
  <c r="F796" i="31"/>
  <c r="F807" i="31"/>
  <c r="F806" i="31"/>
  <c r="F817" i="31"/>
  <c r="F816" i="31"/>
  <c r="D827" i="31"/>
  <c r="D826" i="31"/>
  <c r="D837" i="31"/>
  <c r="D836" i="31"/>
  <c r="D847" i="31"/>
  <c r="D846" i="31"/>
  <c r="D777" i="31"/>
  <c r="D776" i="31"/>
  <c r="G776" i="31" s="1"/>
  <c r="D787" i="31"/>
  <c r="D786" i="31"/>
  <c r="G786" i="31" s="1"/>
  <c r="D797" i="31"/>
  <c r="D796" i="31"/>
  <c r="G796" i="31" s="1"/>
  <c r="D807" i="31"/>
  <c r="D806" i="31"/>
  <c r="G806" i="31" s="1"/>
  <c r="D817" i="31"/>
  <c r="D816" i="31"/>
  <c r="G816" i="31" s="1"/>
  <c r="F827" i="31"/>
  <c r="F826" i="31"/>
  <c r="F837" i="31"/>
  <c r="F836" i="31"/>
  <c r="F847" i="31"/>
  <c r="F846" i="31"/>
  <c r="A677" i="31"/>
  <c r="A676" i="31"/>
  <c r="D677" i="31"/>
  <c r="D676" i="31"/>
  <c r="B677" i="31"/>
  <c r="C677" i="31" s="1"/>
  <c r="B676" i="31"/>
  <c r="C676" i="31" s="1"/>
  <c r="F677" i="31"/>
  <c r="F676" i="31"/>
  <c r="A727" i="31"/>
  <c r="A726" i="31"/>
  <c r="D727" i="31"/>
  <c r="D726" i="31"/>
  <c r="C755" i="31"/>
  <c r="B756" i="31"/>
  <c r="C756" i="31" s="1"/>
  <c r="F757" i="31"/>
  <c r="F756" i="31"/>
  <c r="A667" i="31"/>
  <c r="A666" i="31"/>
  <c r="D667" i="31"/>
  <c r="D666" i="31"/>
  <c r="B637" i="31"/>
  <c r="C637" i="31" s="1"/>
  <c r="B636" i="31"/>
  <c r="C636" i="31" s="1"/>
  <c r="F637" i="31"/>
  <c r="F636" i="31"/>
  <c r="A737" i="31"/>
  <c r="A736" i="31"/>
  <c r="D737" i="31"/>
  <c r="D736" i="31"/>
  <c r="A747" i="31"/>
  <c r="A746" i="31"/>
  <c r="D747" i="31"/>
  <c r="D746" i="31"/>
  <c r="A657" i="31"/>
  <c r="A656" i="31"/>
  <c r="D657" i="31"/>
  <c r="D656" i="31"/>
  <c r="C685" i="31"/>
  <c r="B686" i="31"/>
  <c r="C686" i="31" s="1"/>
  <c r="E687" i="31"/>
  <c r="E686" i="31"/>
  <c r="A697" i="31"/>
  <c r="A696" i="31"/>
  <c r="D697" i="31"/>
  <c r="D696" i="31"/>
  <c r="A707" i="31"/>
  <c r="A706" i="31"/>
  <c r="D707" i="31"/>
  <c r="D706" i="31"/>
  <c r="A717" i="31"/>
  <c r="A716" i="31"/>
  <c r="D717" i="31"/>
  <c r="D716" i="31"/>
  <c r="B727" i="31"/>
  <c r="C727" i="31" s="1"/>
  <c r="B726" i="31"/>
  <c r="C726" i="31" s="1"/>
  <c r="F727" i="31"/>
  <c r="F726" i="31"/>
  <c r="B737" i="31"/>
  <c r="C737" i="31" s="1"/>
  <c r="B736" i="31"/>
  <c r="C736" i="31" s="1"/>
  <c r="F737" i="31"/>
  <c r="F736" i="31"/>
  <c r="F747" i="31"/>
  <c r="F746" i="31"/>
  <c r="A757" i="31"/>
  <c r="A756" i="31"/>
  <c r="D757" i="31"/>
  <c r="D756" i="31"/>
  <c r="C655" i="31"/>
  <c r="B656" i="31"/>
  <c r="C656" i="31" s="1"/>
  <c r="F657" i="31"/>
  <c r="F656" i="31"/>
  <c r="C665" i="31"/>
  <c r="B666" i="31"/>
  <c r="C666" i="31" s="1"/>
  <c r="F667" i="31"/>
  <c r="F666" i="31"/>
  <c r="A687" i="31"/>
  <c r="A686" i="31"/>
  <c r="D687" i="31"/>
  <c r="D686" i="31"/>
  <c r="F687" i="31"/>
  <c r="F686" i="31"/>
  <c r="C695" i="31"/>
  <c r="B696" i="31"/>
  <c r="C696" i="31" s="1"/>
  <c r="F697" i="31"/>
  <c r="F696" i="31"/>
  <c r="C705" i="31"/>
  <c r="B706" i="31"/>
  <c r="C706" i="31" s="1"/>
  <c r="F707" i="31"/>
  <c r="F706" i="31"/>
  <c r="C715" i="31"/>
  <c r="B716" i="31"/>
  <c r="C716" i="31" s="1"/>
  <c r="F717" i="31"/>
  <c r="F716" i="31"/>
  <c r="A637" i="31"/>
  <c r="A636" i="31"/>
  <c r="D637" i="31"/>
  <c r="G637" i="31" s="1"/>
  <c r="D636" i="31"/>
  <c r="B177" i="31"/>
  <c r="C177" i="31" s="1"/>
  <c r="B176" i="31"/>
  <c r="C176" i="31" s="1"/>
  <c r="A587" i="31"/>
  <c r="A586" i="31"/>
  <c r="D587" i="31"/>
  <c r="D586" i="31"/>
  <c r="F587" i="31"/>
  <c r="F586" i="31"/>
  <c r="C505" i="31"/>
  <c r="B506" i="31"/>
  <c r="C506" i="31" s="1"/>
  <c r="A537" i="31"/>
  <c r="A536" i="31"/>
  <c r="D537" i="31"/>
  <c r="D536" i="31"/>
  <c r="F537" i="31"/>
  <c r="F536" i="31"/>
  <c r="B547" i="31"/>
  <c r="C547" i="31" s="1"/>
  <c r="B546" i="31"/>
  <c r="C546" i="31" s="1"/>
  <c r="B477" i="31"/>
  <c r="C477" i="31" s="1"/>
  <c r="B476" i="31"/>
  <c r="C476" i="31" s="1"/>
  <c r="M477" i="31"/>
  <c r="D387" i="31"/>
  <c r="D386" i="31"/>
  <c r="C525" i="31"/>
  <c r="B526" i="31"/>
  <c r="C526" i="31" s="1"/>
  <c r="A457" i="31"/>
  <c r="A456" i="31"/>
  <c r="D457" i="31"/>
  <c r="D456" i="31"/>
  <c r="F457" i="31"/>
  <c r="F456" i="31"/>
  <c r="A387" i="31"/>
  <c r="A386" i="31"/>
  <c r="F387" i="31"/>
  <c r="F386" i="31"/>
  <c r="B397" i="31"/>
  <c r="C397" i="31" s="1"/>
  <c r="M397" i="31" s="1"/>
  <c r="B396" i="31"/>
  <c r="C396" i="31" s="1"/>
  <c r="B267" i="31"/>
  <c r="C267" i="31" s="1"/>
  <c r="M267" i="31" s="1"/>
  <c r="B266" i="31"/>
  <c r="C266" i="31" s="1"/>
  <c r="A277" i="31"/>
  <c r="A276" i="31"/>
  <c r="D277" i="31"/>
  <c r="D276" i="31"/>
  <c r="F277" i="31"/>
  <c r="F276" i="31"/>
  <c r="C305" i="31"/>
  <c r="B306" i="31"/>
  <c r="C306" i="31" s="1"/>
  <c r="A317" i="31"/>
  <c r="A316" i="31"/>
  <c r="D317" i="31"/>
  <c r="D316" i="31"/>
  <c r="F317" i="31"/>
  <c r="F316" i="31"/>
  <c r="A337" i="31"/>
  <c r="A336" i="31"/>
  <c r="D337" i="31"/>
  <c r="D336" i="31"/>
  <c r="F337" i="31"/>
  <c r="F336" i="31"/>
  <c r="B107" i="31"/>
  <c r="C107" i="31" s="1"/>
  <c r="B106" i="31"/>
  <c r="C106" i="31" s="1"/>
  <c r="A177" i="31"/>
  <c r="A176" i="31"/>
  <c r="D177" i="31"/>
  <c r="D176" i="31"/>
  <c r="F177" i="31"/>
  <c r="F176" i="31"/>
  <c r="B587" i="31"/>
  <c r="C587" i="31" s="1"/>
  <c r="M587" i="31" s="1"/>
  <c r="B586" i="31"/>
  <c r="C586" i="31" s="1"/>
  <c r="A507" i="31"/>
  <c r="A506" i="31"/>
  <c r="D507" i="31"/>
  <c r="D506" i="31"/>
  <c r="F507" i="31"/>
  <c r="F506" i="31"/>
  <c r="A527" i="31"/>
  <c r="A526" i="31"/>
  <c r="D527" i="31"/>
  <c r="D526" i="31"/>
  <c r="F527" i="31"/>
  <c r="F526" i="31"/>
  <c r="C535" i="31"/>
  <c r="B536" i="31"/>
  <c r="C536" i="31" s="1"/>
  <c r="A547" i="31"/>
  <c r="A546" i="31"/>
  <c r="D547" i="31"/>
  <c r="D546" i="31"/>
  <c r="F547" i="31"/>
  <c r="F546" i="31"/>
  <c r="B457" i="31"/>
  <c r="C457" i="31" s="1"/>
  <c r="B456" i="31"/>
  <c r="C456" i="31" s="1"/>
  <c r="M457" i="31"/>
  <c r="A477" i="31"/>
  <c r="A476" i="31"/>
  <c r="D477" i="31"/>
  <c r="D476" i="31"/>
  <c r="F477" i="31"/>
  <c r="F476" i="31"/>
  <c r="C385" i="31"/>
  <c r="B386" i="31"/>
  <c r="C386" i="31" s="1"/>
  <c r="A397" i="31"/>
  <c r="A396" i="31"/>
  <c r="D397" i="31"/>
  <c r="D396" i="31"/>
  <c r="F397" i="31"/>
  <c r="F396" i="31"/>
  <c r="A267" i="31"/>
  <c r="A266" i="31"/>
  <c r="D267" i="31"/>
  <c r="D266" i="31"/>
  <c r="F267" i="31"/>
  <c r="F266" i="31"/>
  <c r="B277" i="31"/>
  <c r="C277" i="31" s="1"/>
  <c r="B276" i="31"/>
  <c r="C276" i="31" s="1"/>
  <c r="A307" i="31"/>
  <c r="A306" i="31"/>
  <c r="D307" i="31"/>
  <c r="D306" i="31"/>
  <c r="F307" i="31"/>
  <c r="F306" i="31"/>
  <c r="C315" i="31"/>
  <c r="B316" i="31"/>
  <c r="C316" i="31" s="1"/>
  <c r="B337" i="31"/>
  <c r="C337" i="31" s="1"/>
  <c r="M337" i="31" s="1"/>
  <c r="B336" i="31"/>
  <c r="C336" i="31" s="1"/>
  <c r="D107" i="31"/>
  <c r="D106" i="31"/>
  <c r="F107" i="31"/>
  <c r="F106" i="31"/>
  <c r="E107" i="31"/>
  <c r="E106" i="31"/>
  <c r="A173" i="31"/>
  <c r="B173" i="31"/>
  <c r="C173" i="31" s="1"/>
  <c r="D173" i="31"/>
  <c r="F173" i="31"/>
  <c r="E173" i="31"/>
  <c r="A103" i="31"/>
  <c r="B103" i="31"/>
  <c r="C103" i="31" s="1"/>
  <c r="D103" i="31"/>
  <c r="F103" i="31"/>
  <c r="E103" i="31"/>
  <c r="C1025" i="31"/>
  <c r="C335" i="31"/>
  <c r="C862" i="31"/>
  <c r="G1113" i="31"/>
  <c r="C1112" i="31"/>
  <c r="G1333" i="31"/>
  <c r="C1332" i="31"/>
  <c r="G1192" i="31"/>
  <c r="C1192" i="31"/>
  <c r="G1263" i="31"/>
  <c r="C1262" i="31"/>
  <c r="G1443" i="31"/>
  <c r="C1442" i="31"/>
  <c r="G1457" i="31"/>
  <c r="C1455" i="31"/>
  <c r="G913" i="31"/>
  <c r="C912" i="31"/>
  <c r="G1092" i="31"/>
  <c r="C1092" i="31"/>
  <c r="G1133" i="31"/>
  <c r="C1132" i="31"/>
  <c r="C1142" i="31"/>
  <c r="G1213" i="31"/>
  <c r="C1212" i="31"/>
  <c r="C275" i="31"/>
  <c r="C882" i="31"/>
  <c r="G903" i="31"/>
  <c r="C902" i="31"/>
  <c r="G923" i="31"/>
  <c r="C922" i="31"/>
  <c r="G943" i="31"/>
  <c r="C942" i="31"/>
  <c r="C955" i="31"/>
  <c r="G1053" i="31"/>
  <c r="C1052" i="31"/>
  <c r="G1073" i="31"/>
  <c r="C1072" i="31"/>
  <c r="G1123" i="31"/>
  <c r="C1122" i="31"/>
  <c r="C1162" i="31"/>
  <c r="G1183" i="31"/>
  <c r="C1182" i="31"/>
  <c r="G1203" i="31"/>
  <c r="C1202" i="31"/>
  <c r="G1233" i="31"/>
  <c r="C1232" i="31"/>
  <c r="G1253" i="31"/>
  <c r="C1252" i="31"/>
  <c r="G1273" i="31"/>
  <c r="C1272" i="31"/>
  <c r="G1303" i="31"/>
  <c r="C1302" i="31"/>
  <c r="G1323" i="31"/>
  <c r="C1322" i="31"/>
  <c r="G1343" i="31"/>
  <c r="C1342" i="31"/>
  <c r="G1373" i="31"/>
  <c r="C1372" i="31"/>
  <c r="C1385" i="31"/>
  <c r="C1432" i="31"/>
  <c r="C1452" i="31"/>
  <c r="G1473" i="31"/>
  <c r="C1472" i="31"/>
  <c r="G1483" i="31"/>
  <c r="C1482" i="31"/>
  <c r="G1493" i="31"/>
  <c r="C1492" i="31"/>
  <c r="G1352" i="31"/>
  <c r="C1352" i="31"/>
  <c r="C1382" i="31"/>
  <c r="G1403" i="31"/>
  <c r="C1402" i="31"/>
  <c r="G1413" i="31"/>
  <c r="C1412" i="31"/>
  <c r="G1423" i="31"/>
  <c r="C1422" i="31"/>
  <c r="C1282" i="31"/>
  <c r="C1292" i="31"/>
  <c r="G1307" i="31"/>
  <c r="C1305" i="31"/>
  <c r="C1222" i="31"/>
  <c r="G1237" i="31"/>
  <c r="C1235" i="31"/>
  <c r="G1153" i="31"/>
  <c r="C1152" i="31"/>
  <c r="G1167" i="31"/>
  <c r="C1165" i="31"/>
  <c r="G1433" i="31"/>
  <c r="G1453" i="31"/>
  <c r="G1432" i="31"/>
  <c r="B1437" i="31"/>
  <c r="C1437" i="31" s="1"/>
  <c r="G1442" i="31"/>
  <c r="B1447" i="31"/>
  <c r="C1447" i="31" s="1"/>
  <c r="G1452" i="31"/>
  <c r="G1455" i="31"/>
  <c r="B1463" i="31"/>
  <c r="C1463" i="31" s="1"/>
  <c r="B1467" i="31"/>
  <c r="C1467" i="31" s="1"/>
  <c r="G1472" i="31"/>
  <c r="B1477" i="31"/>
  <c r="C1477" i="31" s="1"/>
  <c r="G1482" i="31"/>
  <c r="B1487" i="31"/>
  <c r="C1487" i="31" s="1"/>
  <c r="G1492" i="31"/>
  <c r="B1497" i="31"/>
  <c r="C1497" i="31" s="1"/>
  <c r="G1435" i="31"/>
  <c r="G1445" i="31"/>
  <c r="G1462" i="31"/>
  <c r="G1465" i="31"/>
  <c r="G1475" i="31"/>
  <c r="G1485" i="31"/>
  <c r="G1495" i="31"/>
  <c r="G1383" i="31"/>
  <c r="A1353" i="31"/>
  <c r="G1353" i="31" s="1"/>
  <c r="B1357" i="31"/>
  <c r="C1357" i="31" s="1"/>
  <c r="G1372" i="31"/>
  <c r="B1377" i="31"/>
  <c r="C1377" i="31" s="1"/>
  <c r="G1382" i="31"/>
  <c r="G1385" i="31"/>
  <c r="B1393" i="31"/>
  <c r="C1393" i="31" s="1"/>
  <c r="B1397" i="31"/>
  <c r="C1397" i="31" s="1"/>
  <c r="G1402" i="31"/>
  <c r="B1407" i="31"/>
  <c r="C1407" i="31" s="1"/>
  <c r="G1412" i="31"/>
  <c r="B1417" i="31"/>
  <c r="C1417" i="31" s="1"/>
  <c r="G1422" i="31"/>
  <c r="B1427" i="31"/>
  <c r="C1427" i="31" s="1"/>
  <c r="G1355" i="31"/>
  <c r="G1375" i="31"/>
  <c r="G1392" i="31"/>
  <c r="G1395" i="31"/>
  <c r="G1405" i="31"/>
  <c r="G1415" i="31"/>
  <c r="G1425" i="31"/>
  <c r="G1283" i="31"/>
  <c r="G1293" i="31"/>
  <c r="G1282" i="31"/>
  <c r="B1287" i="31"/>
  <c r="C1287" i="31" s="1"/>
  <c r="G1292" i="31"/>
  <c r="B1297" i="31"/>
  <c r="C1297" i="31" s="1"/>
  <c r="G1302" i="31"/>
  <c r="G1305" i="31"/>
  <c r="B1313" i="31"/>
  <c r="C1313" i="31" s="1"/>
  <c r="B1317" i="31"/>
  <c r="C1317" i="31" s="1"/>
  <c r="G1322" i="31"/>
  <c r="B1327" i="31"/>
  <c r="C1327" i="31" s="1"/>
  <c r="G1332" i="31"/>
  <c r="B1337" i="31"/>
  <c r="C1337" i="31" s="1"/>
  <c r="G1342" i="31"/>
  <c r="B1347" i="31"/>
  <c r="C1347" i="31" s="1"/>
  <c r="G1285" i="31"/>
  <c r="G1295" i="31"/>
  <c r="G1312" i="31"/>
  <c r="G1315" i="31"/>
  <c r="G1335" i="31"/>
  <c r="G1345" i="31"/>
  <c r="G1223" i="31"/>
  <c r="G1212" i="31"/>
  <c r="B1217" i="31"/>
  <c r="C1217" i="31" s="1"/>
  <c r="G1222" i="31"/>
  <c r="B1227" i="31"/>
  <c r="C1227" i="31" s="1"/>
  <c r="G1232" i="31"/>
  <c r="G1235" i="31"/>
  <c r="B1243" i="31"/>
  <c r="C1243" i="31" s="1"/>
  <c r="B1247" i="31"/>
  <c r="C1247" i="31" s="1"/>
  <c r="G1252" i="31"/>
  <c r="B1257" i="31"/>
  <c r="C1257" i="31" s="1"/>
  <c r="G1262" i="31"/>
  <c r="B1267" i="31"/>
  <c r="C1267" i="31" s="1"/>
  <c r="G1272" i="31"/>
  <c r="B1277" i="31"/>
  <c r="C1277" i="31" s="1"/>
  <c r="G1215" i="31"/>
  <c r="G1225" i="31"/>
  <c r="G1242" i="31"/>
  <c r="G1245" i="31"/>
  <c r="G1255" i="31"/>
  <c r="G1265" i="31"/>
  <c r="G1275" i="31"/>
  <c r="C1082" i="31"/>
  <c r="C1095" i="31"/>
  <c r="C1005" i="31"/>
  <c r="C1015" i="31"/>
  <c r="G1043" i="31"/>
  <c r="C1042" i="31"/>
  <c r="G1063" i="31"/>
  <c r="C1062" i="31"/>
  <c r="C932" i="31"/>
  <c r="C952" i="31"/>
  <c r="G973" i="31"/>
  <c r="C972" i="31"/>
  <c r="G983" i="31"/>
  <c r="C982" i="31"/>
  <c r="G993" i="31"/>
  <c r="C992" i="31"/>
  <c r="G873" i="31"/>
  <c r="C872" i="31"/>
  <c r="C885" i="31"/>
  <c r="G1143" i="31"/>
  <c r="G1163" i="31"/>
  <c r="G1152" i="31"/>
  <c r="B1173" i="31"/>
  <c r="C1173" i="31" s="1"/>
  <c r="B1177" i="31"/>
  <c r="C1177" i="31" s="1"/>
  <c r="G1182" i="31"/>
  <c r="B1187" i="31"/>
  <c r="C1187" i="31" s="1"/>
  <c r="A1193" i="31"/>
  <c r="G1193" i="31" s="1"/>
  <c r="G1202" i="31"/>
  <c r="B1207" i="31"/>
  <c r="C1207" i="31" s="1"/>
  <c r="G1142" i="31"/>
  <c r="B1147" i="31"/>
  <c r="C1147" i="31" s="1"/>
  <c r="B1157" i="31"/>
  <c r="C1157" i="31" s="1"/>
  <c r="G1162" i="31"/>
  <c r="G1165" i="31"/>
  <c r="B1197" i="31"/>
  <c r="C1197" i="31" s="1"/>
  <c r="G1145" i="31"/>
  <c r="G1155" i="31"/>
  <c r="G1172" i="31"/>
  <c r="G1175" i="31"/>
  <c r="G1185" i="31"/>
  <c r="G1195" i="31"/>
  <c r="G1205" i="31"/>
  <c r="G1083" i="31"/>
  <c r="G1072" i="31"/>
  <c r="B1077" i="31"/>
  <c r="C1077" i="31" s="1"/>
  <c r="A1093" i="31"/>
  <c r="G1093" i="31" s="1"/>
  <c r="B1107" i="31"/>
  <c r="C1107" i="31" s="1"/>
  <c r="G1112" i="31"/>
  <c r="B1117" i="31"/>
  <c r="C1117" i="31" s="1"/>
  <c r="G1122" i="31"/>
  <c r="B1127" i="31"/>
  <c r="C1127" i="31" s="1"/>
  <c r="G1132" i="31"/>
  <c r="B1137" i="31"/>
  <c r="C1137" i="31" s="1"/>
  <c r="G1082" i="31"/>
  <c r="B1087" i="31"/>
  <c r="C1087" i="31" s="1"/>
  <c r="G1095" i="31"/>
  <c r="B1103" i="31"/>
  <c r="C1103" i="31" s="1"/>
  <c r="G1075" i="31"/>
  <c r="G1085" i="31"/>
  <c r="G1102" i="31"/>
  <c r="G1105" i="31"/>
  <c r="G1115" i="31"/>
  <c r="G1125" i="31"/>
  <c r="G1135" i="31"/>
  <c r="B1003" i="31"/>
  <c r="C1003" i="31" s="1"/>
  <c r="G1005" i="31"/>
  <c r="B1013" i="31"/>
  <c r="C1013" i="31" s="1"/>
  <c r="G1015" i="31"/>
  <c r="B1023" i="31"/>
  <c r="C1023" i="31" s="1"/>
  <c r="G1002" i="31"/>
  <c r="G1012" i="31"/>
  <c r="G1022" i="31"/>
  <c r="G1025" i="31"/>
  <c r="B1033" i="31"/>
  <c r="C1033" i="31" s="1"/>
  <c r="B1037" i="31"/>
  <c r="C1037" i="31" s="1"/>
  <c r="G1042" i="31"/>
  <c r="B1047" i="31"/>
  <c r="C1047" i="31" s="1"/>
  <c r="G1052" i="31"/>
  <c r="B1057" i="31"/>
  <c r="C1057" i="31" s="1"/>
  <c r="G1062" i="31"/>
  <c r="B1067" i="31"/>
  <c r="C1067" i="31" s="1"/>
  <c r="G1032" i="31"/>
  <c r="G1035" i="31"/>
  <c r="G1045" i="31"/>
  <c r="G1055" i="31"/>
  <c r="G1065" i="31"/>
  <c r="G933" i="31"/>
  <c r="G953" i="31"/>
  <c r="G932" i="31"/>
  <c r="G942" i="31"/>
  <c r="B947" i="31"/>
  <c r="C947" i="31" s="1"/>
  <c r="B963" i="31"/>
  <c r="C963" i="31" s="1"/>
  <c r="B967" i="31"/>
  <c r="C967" i="31" s="1"/>
  <c r="G972" i="31"/>
  <c r="B977" i="31"/>
  <c r="C977" i="31" s="1"/>
  <c r="G982" i="31"/>
  <c r="B987" i="31"/>
  <c r="C987" i="31" s="1"/>
  <c r="G992" i="31"/>
  <c r="B997" i="31"/>
  <c r="C997" i="31" s="1"/>
  <c r="B937" i="31"/>
  <c r="C937" i="31" s="1"/>
  <c r="G952" i="31"/>
  <c r="G955" i="31"/>
  <c r="G935" i="31"/>
  <c r="G945" i="31"/>
  <c r="G962" i="31"/>
  <c r="G965" i="31"/>
  <c r="G975" i="31"/>
  <c r="G985" i="31"/>
  <c r="G995" i="31"/>
  <c r="G863" i="31"/>
  <c r="G883" i="31"/>
  <c r="G862" i="31"/>
  <c r="B867" i="31"/>
  <c r="C867" i="31" s="1"/>
  <c r="G872" i="31"/>
  <c r="B877" i="31"/>
  <c r="C877" i="31" s="1"/>
  <c r="G882" i="31"/>
  <c r="G885" i="31"/>
  <c r="B893" i="31"/>
  <c r="C893" i="31" s="1"/>
  <c r="B897" i="31"/>
  <c r="C897" i="31" s="1"/>
  <c r="G902" i="31"/>
  <c r="B907" i="31"/>
  <c r="C907" i="31" s="1"/>
  <c r="G912" i="31"/>
  <c r="B917" i="31"/>
  <c r="C917" i="31" s="1"/>
  <c r="G922" i="31"/>
  <c r="B927" i="31"/>
  <c r="C927" i="31" s="1"/>
  <c r="G865" i="31"/>
  <c r="G875" i="31"/>
  <c r="G892" i="31"/>
  <c r="G895" i="31"/>
  <c r="G905" i="31"/>
  <c r="G915" i="31"/>
  <c r="G925" i="31"/>
  <c r="C302" i="31"/>
  <c r="G313" i="31"/>
  <c r="C312" i="31"/>
  <c r="B333" i="31"/>
  <c r="C333" i="31" s="1"/>
  <c r="G335" i="31"/>
  <c r="G332" i="31"/>
  <c r="G303" i="31"/>
  <c r="G302" i="31"/>
  <c r="E303" i="31"/>
  <c r="B307" i="31"/>
  <c r="C307" i="31" s="1"/>
  <c r="G312" i="31"/>
  <c r="B317" i="31"/>
  <c r="C317" i="31" s="1"/>
  <c r="G305" i="31"/>
  <c r="G315" i="31"/>
  <c r="C265" i="31"/>
  <c r="B263" i="31"/>
  <c r="C263" i="31" s="1"/>
  <c r="G265" i="31"/>
  <c r="B273" i="31"/>
  <c r="C273" i="31" s="1"/>
  <c r="G275" i="31"/>
  <c r="M277" i="31"/>
  <c r="G262" i="31"/>
  <c r="G272" i="31"/>
  <c r="C395" i="31"/>
  <c r="G383" i="31"/>
  <c r="C382" i="31"/>
  <c r="C392" i="31"/>
  <c r="G393" i="31"/>
  <c r="G382" i="31"/>
  <c r="B387" i="31"/>
  <c r="C387" i="31" s="1"/>
  <c r="G392" i="31"/>
  <c r="E393" i="31"/>
  <c r="G395" i="31"/>
  <c r="G385" i="31"/>
  <c r="C545" i="31"/>
  <c r="G453" i="31"/>
  <c r="C452" i="31"/>
  <c r="G473" i="31"/>
  <c r="C472" i="31"/>
  <c r="C475" i="31"/>
  <c r="G475" i="31"/>
  <c r="G472" i="31"/>
  <c r="C455" i="31"/>
  <c r="G455" i="31"/>
  <c r="G452" i="31"/>
  <c r="G503" i="31"/>
  <c r="C502" i="31"/>
  <c r="G533" i="31"/>
  <c r="C532" i="31"/>
  <c r="G523" i="31"/>
  <c r="C522" i="31"/>
  <c r="C542" i="31"/>
  <c r="G502" i="31"/>
  <c r="B507" i="31"/>
  <c r="C507" i="31" s="1"/>
  <c r="G522" i="31"/>
  <c r="E523" i="31"/>
  <c r="B527" i="31"/>
  <c r="C527" i="31" s="1"/>
  <c r="G532" i="31"/>
  <c r="B537" i="31"/>
  <c r="C537" i="31" s="1"/>
  <c r="G543" i="31"/>
  <c r="E543" i="31"/>
  <c r="G542" i="31"/>
  <c r="G545" i="31"/>
  <c r="M547" i="31"/>
  <c r="G505" i="31"/>
  <c r="G525" i="31"/>
  <c r="G535" i="31"/>
  <c r="G583" i="31"/>
  <c r="C582" i="31"/>
  <c r="G633" i="31"/>
  <c r="C632" i="31"/>
  <c r="C585" i="31"/>
  <c r="G585" i="31"/>
  <c r="G582" i="31"/>
  <c r="C635" i="31"/>
  <c r="G635" i="31"/>
  <c r="G632" i="31"/>
  <c r="C652" i="31"/>
  <c r="G703" i="31"/>
  <c r="C702" i="31"/>
  <c r="C672" i="31"/>
  <c r="G693" i="31"/>
  <c r="C692" i="31"/>
  <c r="G713" i="31"/>
  <c r="C712" i="31"/>
  <c r="G783" i="31"/>
  <c r="C782" i="31"/>
  <c r="C792" i="31"/>
  <c r="G663" i="31"/>
  <c r="C662" i="31"/>
  <c r="C675" i="31"/>
  <c r="G653" i="31"/>
  <c r="G673" i="31"/>
  <c r="B657" i="31"/>
  <c r="C657" i="31" s="1"/>
  <c r="G692" i="31"/>
  <c r="G652" i="31"/>
  <c r="G662" i="31"/>
  <c r="B667" i="31"/>
  <c r="C667" i="31" s="1"/>
  <c r="G672" i="31"/>
  <c r="G675" i="31"/>
  <c r="B683" i="31"/>
  <c r="C683" i="31" s="1"/>
  <c r="B687" i="31"/>
  <c r="C687" i="31" s="1"/>
  <c r="B697" i="31"/>
  <c r="C697" i="31" s="1"/>
  <c r="G702" i="31"/>
  <c r="B707" i="31"/>
  <c r="C707" i="31" s="1"/>
  <c r="G712" i="31"/>
  <c r="B717" i="31"/>
  <c r="C717" i="31" s="1"/>
  <c r="G655" i="31"/>
  <c r="G665" i="31"/>
  <c r="G682" i="31"/>
  <c r="G685" i="31"/>
  <c r="G695" i="31"/>
  <c r="G705" i="31"/>
  <c r="G715" i="31"/>
  <c r="G843" i="31"/>
  <c r="C842" i="31"/>
  <c r="C812" i="31"/>
  <c r="G833" i="31"/>
  <c r="C832" i="31"/>
  <c r="G853" i="31"/>
  <c r="C852" i="31"/>
  <c r="G763" i="31"/>
  <c r="C762" i="31"/>
  <c r="G803" i="31"/>
  <c r="C802" i="31"/>
  <c r="G815" i="31"/>
  <c r="C815" i="31"/>
  <c r="G793" i="31"/>
  <c r="G813" i="31"/>
  <c r="G792" i="31"/>
  <c r="G802" i="31"/>
  <c r="G812" i="31"/>
  <c r="A817" i="31"/>
  <c r="B823" i="31"/>
  <c r="C823" i="31" s="1"/>
  <c r="G832" i="31"/>
  <c r="B837" i="31"/>
  <c r="C837" i="31" s="1"/>
  <c r="G842" i="31"/>
  <c r="B847" i="31"/>
  <c r="C847" i="31" s="1"/>
  <c r="G852" i="31"/>
  <c r="B857" i="31"/>
  <c r="C857" i="31" s="1"/>
  <c r="B797" i="31"/>
  <c r="C797" i="31" s="1"/>
  <c r="B807" i="31"/>
  <c r="C807" i="31" s="1"/>
  <c r="B827" i="31"/>
  <c r="C827" i="31" s="1"/>
  <c r="G795" i="31"/>
  <c r="G805" i="31"/>
  <c r="G822" i="31"/>
  <c r="G825" i="31"/>
  <c r="G835" i="31"/>
  <c r="G845" i="31"/>
  <c r="G855" i="31"/>
  <c r="C172" i="31"/>
  <c r="C175" i="31"/>
  <c r="G175" i="31"/>
  <c r="M177" i="31"/>
  <c r="G172" i="31"/>
  <c r="G105" i="31"/>
  <c r="C102" i="31"/>
  <c r="C725" i="31"/>
  <c r="C735" i="31"/>
  <c r="G742" i="31"/>
  <c r="A743" i="31"/>
  <c r="G743" i="31" s="1"/>
  <c r="G753" i="31"/>
  <c r="C752" i="31"/>
  <c r="G773" i="31"/>
  <c r="C772" i="31"/>
  <c r="B723" i="31"/>
  <c r="C723" i="31" s="1"/>
  <c r="G725" i="31"/>
  <c r="B733" i="31"/>
  <c r="C733" i="31" s="1"/>
  <c r="G735" i="31"/>
  <c r="B747" i="31"/>
  <c r="C747" i="31" s="1"/>
  <c r="C745" i="31"/>
  <c r="G762" i="31"/>
  <c r="B767" i="31"/>
  <c r="C767" i="31" s="1"/>
  <c r="G782" i="31"/>
  <c r="B787" i="31"/>
  <c r="C787" i="31" s="1"/>
  <c r="G722" i="31"/>
  <c r="G732" i="31"/>
  <c r="C742" i="31"/>
  <c r="G745" i="31"/>
  <c r="G752" i="31"/>
  <c r="B757" i="31"/>
  <c r="C757" i="31" s="1"/>
  <c r="G772" i="31"/>
  <c r="B777" i="31"/>
  <c r="C777" i="31" s="1"/>
  <c r="G755" i="31"/>
  <c r="G765" i="31"/>
  <c r="G775" i="31"/>
  <c r="G785" i="31"/>
  <c r="A107" i="31"/>
  <c r="G102" i="31"/>
  <c r="C105" i="31"/>
  <c r="H405" i="31"/>
  <c r="F405" i="31"/>
  <c r="D405" i="31"/>
  <c r="B405" i="31"/>
  <c r="A405" i="31"/>
  <c r="G404" i="31"/>
  <c r="C404" i="31"/>
  <c r="H402" i="31"/>
  <c r="H403" i="31" s="1"/>
  <c r="F402" i="31"/>
  <c r="F403" i="31" s="1"/>
  <c r="D402" i="31"/>
  <c r="D403" i="31" s="1"/>
  <c r="B402" i="31"/>
  <c r="B403" i="31" s="1"/>
  <c r="C403" i="31" s="1"/>
  <c r="A402" i="31"/>
  <c r="A403" i="31" s="1"/>
  <c r="G401" i="31"/>
  <c r="C401" i="31"/>
  <c r="H195" i="31"/>
  <c r="F195" i="31"/>
  <c r="D195" i="31"/>
  <c r="B195" i="31"/>
  <c r="A195" i="31"/>
  <c r="G194" i="31"/>
  <c r="C194" i="31"/>
  <c r="H192" i="31"/>
  <c r="F192" i="31"/>
  <c r="E192" i="31"/>
  <c r="D192" i="31"/>
  <c r="B192" i="31"/>
  <c r="A192" i="31"/>
  <c r="G191" i="31"/>
  <c r="C191" i="31"/>
  <c r="H625" i="31"/>
  <c r="F625" i="31"/>
  <c r="D625" i="31"/>
  <c r="B625" i="31"/>
  <c r="A625" i="31"/>
  <c r="G624" i="31"/>
  <c r="C624" i="31"/>
  <c r="H622" i="31"/>
  <c r="H623" i="31" s="1"/>
  <c r="F622" i="31"/>
  <c r="F623" i="31" s="1"/>
  <c r="D622" i="31"/>
  <c r="D623" i="31" s="1"/>
  <c r="B622" i="31"/>
  <c r="B623" i="31" s="1"/>
  <c r="C623" i="31" s="1"/>
  <c r="A622" i="31"/>
  <c r="A623" i="31" s="1"/>
  <c r="G621" i="31"/>
  <c r="C621" i="31"/>
  <c r="F605" i="31"/>
  <c r="D605" i="31"/>
  <c r="B605" i="31"/>
  <c r="A605" i="31"/>
  <c r="A606" i="31" s="1"/>
  <c r="G604" i="31"/>
  <c r="C604" i="31"/>
  <c r="F602" i="31"/>
  <c r="F603" i="31" s="1"/>
  <c r="D602" i="31"/>
  <c r="D603" i="31" s="1"/>
  <c r="B602" i="31"/>
  <c r="B603" i="31" s="1"/>
  <c r="C603" i="31" s="1"/>
  <c r="A602" i="31"/>
  <c r="A603" i="31" s="1"/>
  <c r="G601" i="31"/>
  <c r="C601" i="31"/>
  <c r="C88" i="31"/>
  <c r="C91" i="31"/>
  <c r="C111" i="31"/>
  <c r="C114" i="31"/>
  <c r="C121" i="31"/>
  <c r="C124" i="31"/>
  <c r="C131" i="31"/>
  <c r="C134" i="31"/>
  <c r="C141" i="31"/>
  <c r="C144" i="31"/>
  <c r="C151" i="31"/>
  <c r="C154" i="31"/>
  <c r="C161" i="31"/>
  <c r="C164" i="31"/>
  <c r="C181" i="31"/>
  <c r="C184" i="31"/>
  <c r="C201" i="31"/>
  <c r="C202" i="31"/>
  <c r="C204" i="31"/>
  <c r="C211" i="31"/>
  <c r="C214" i="31"/>
  <c r="C221" i="31"/>
  <c r="C224" i="31"/>
  <c r="C231" i="31"/>
  <c r="C234" i="31"/>
  <c r="C241" i="31"/>
  <c r="C244" i="31"/>
  <c r="C251" i="31"/>
  <c r="C254" i="31"/>
  <c r="C281" i="31"/>
  <c r="C284" i="31"/>
  <c r="C291" i="31"/>
  <c r="C294" i="31"/>
  <c r="C321" i="31"/>
  <c r="C324" i="31"/>
  <c r="C341" i="31"/>
  <c r="C344" i="31"/>
  <c r="C351" i="31"/>
  <c r="C354" i="31"/>
  <c r="C361" i="31"/>
  <c r="C364" i="31"/>
  <c r="C371" i="31"/>
  <c r="C374" i="31"/>
  <c r="C411" i="31"/>
  <c r="C414" i="31"/>
  <c r="C421" i="31"/>
  <c r="C424" i="31"/>
  <c r="C431" i="31"/>
  <c r="C434" i="31"/>
  <c r="C441" i="31"/>
  <c r="C444" i="31"/>
  <c r="C461" i="31"/>
  <c r="C464" i="31"/>
  <c r="C481" i="31"/>
  <c r="C484" i="31"/>
  <c r="C491" i="31"/>
  <c r="C494" i="31"/>
  <c r="C551" i="31"/>
  <c r="C554" i="31"/>
  <c r="C561" i="31"/>
  <c r="C564" i="31"/>
  <c r="C571" i="31"/>
  <c r="C574" i="31"/>
  <c r="C591" i="31"/>
  <c r="C594" i="31"/>
  <c r="C611" i="31"/>
  <c r="C614" i="31"/>
  <c r="C641" i="31"/>
  <c r="C644" i="31"/>
  <c r="C68" i="31"/>
  <c r="F245" i="31"/>
  <c r="D245" i="31"/>
  <c r="B245" i="31"/>
  <c r="A245" i="31"/>
  <c r="G244" i="31"/>
  <c r="F242" i="31"/>
  <c r="F243" i="31" s="1"/>
  <c r="D242" i="31"/>
  <c r="D243" i="31" s="1"/>
  <c r="B242" i="31"/>
  <c r="C242" i="31" s="1"/>
  <c r="A242" i="31"/>
  <c r="A243" i="31" s="1"/>
  <c r="G241" i="31"/>
  <c r="F555" i="31"/>
  <c r="D555" i="31"/>
  <c r="B555" i="31"/>
  <c r="A555" i="31"/>
  <c r="G554" i="31"/>
  <c r="F552" i="31"/>
  <c r="F553" i="31" s="1"/>
  <c r="D552" i="31"/>
  <c r="D553" i="31" s="1"/>
  <c r="B552" i="31"/>
  <c r="B553" i="31" s="1"/>
  <c r="C553" i="31" s="1"/>
  <c r="A552" i="31"/>
  <c r="A553" i="31" s="1"/>
  <c r="G551" i="31"/>
  <c r="H645" i="31"/>
  <c r="F645" i="31"/>
  <c r="D645" i="31"/>
  <c r="B645" i="31"/>
  <c r="A645" i="31"/>
  <c r="G644" i="31"/>
  <c r="H642" i="31"/>
  <c r="H643" i="31" s="1"/>
  <c r="F642" i="31"/>
  <c r="F643" i="31" s="1"/>
  <c r="D642" i="31"/>
  <c r="D643" i="31" s="1"/>
  <c r="B642" i="31"/>
  <c r="B643" i="31" s="1"/>
  <c r="C643" i="31" s="1"/>
  <c r="A642" i="31"/>
  <c r="G641" i="31"/>
  <c r="H615" i="31"/>
  <c r="F615" i="31"/>
  <c r="D615" i="31"/>
  <c r="B615" i="31"/>
  <c r="A615" i="31"/>
  <c r="G614" i="31"/>
  <c r="H612" i="31"/>
  <c r="H613" i="31" s="1"/>
  <c r="F612" i="31"/>
  <c r="F613" i="31" s="1"/>
  <c r="D612" i="31"/>
  <c r="D613" i="31" s="1"/>
  <c r="B612" i="31"/>
  <c r="B613" i="31" s="1"/>
  <c r="C613" i="31" s="1"/>
  <c r="A612" i="31"/>
  <c r="A613" i="31" s="1"/>
  <c r="G611" i="31"/>
  <c r="H595" i="31"/>
  <c r="F595" i="31"/>
  <c r="D595" i="31"/>
  <c r="B595" i="31"/>
  <c r="B596" i="31" s="1"/>
  <c r="C596" i="31" s="1"/>
  <c r="A595" i="31"/>
  <c r="A596" i="31" s="1"/>
  <c r="G594" i="31"/>
  <c r="H592" i="31"/>
  <c r="H593" i="31" s="1"/>
  <c r="F592" i="31"/>
  <c r="F593" i="31" s="1"/>
  <c r="D592" i="31"/>
  <c r="D593" i="31" s="1"/>
  <c r="B592" i="31"/>
  <c r="B593" i="31" s="1"/>
  <c r="C593" i="31" s="1"/>
  <c r="A592" i="31"/>
  <c r="G591" i="31"/>
  <c r="H565" i="31"/>
  <c r="H575" i="31"/>
  <c r="F575" i="31"/>
  <c r="D575" i="31"/>
  <c r="B575" i="31"/>
  <c r="A575" i="31"/>
  <c r="G574" i="31"/>
  <c r="H572" i="31"/>
  <c r="H573" i="31" s="1"/>
  <c r="F572" i="31"/>
  <c r="F573" i="31" s="1"/>
  <c r="D572" i="31"/>
  <c r="D573" i="31" s="1"/>
  <c r="B572" i="31"/>
  <c r="B573" i="31" s="1"/>
  <c r="C573" i="31" s="1"/>
  <c r="A572" i="31"/>
  <c r="A573" i="31" s="1"/>
  <c r="G571" i="31"/>
  <c r="F565" i="31"/>
  <c r="D565" i="31"/>
  <c r="B565" i="31"/>
  <c r="A565" i="31"/>
  <c r="G564" i="31"/>
  <c r="H562" i="31"/>
  <c r="H563" i="31" s="1"/>
  <c r="F562" i="31"/>
  <c r="F563" i="31" s="1"/>
  <c r="D562" i="31"/>
  <c r="D563" i="31" s="1"/>
  <c r="B562" i="31"/>
  <c r="B563" i="31" s="1"/>
  <c r="C563" i="31" s="1"/>
  <c r="A562" i="31"/>
  <c r="A563" i="31" s="1"/>
  <c r="G561" i="31"/>
  <c r="H465" i="31"/>
  <c r="F465" i="31"/>
  <c r="D465" i="31"/>
  <c r="B465" i="31"/>
  <c r="A465" i="31"/>
  <c r="G464" i="31"/>
  <c r="H462" i="31"/>
  <c r="H463" i="31" s="1"/>
  <c r="F462" i="31"/>
  <c r="F463" i="31" s="1"/>
  <c r="E462" i="31"/>
  <c r="D462" i="31"/>
  <c r="D463" i="31" s="1"/>
  <c r="B462" i="31"/>
  <c r="B463" i="31" s="1"/>
  <c r="C463" i="31" s="1"/>
  <c r="A462" i="31"/>
  <c r="A463" i="31" s="1"/>
  <c r="G461" i="31"/>
  <c r="H495" i="31"/>
  <c r="F495" i="31"/>
  <c r="D495" i="31"/>
  <c r="B495" i="31"/>
  <c r="A495" i="31"/>
  <c r="G494" i="31"/>
  <c r="H492" i="31"/>
  <c r="H493" i="31" s="1"/>
  <c r="F492" i="31"/>
  <c r="F493" i="31" s="1"/>
  <c r="E492" i="31"/>
  <c r="D492" i="31"/>
  <c r="D493" i="31" s="1"/>
  <c r="B492" i="31"/>
  <c r="B493" i="31" s="1"/>
  <c r="C493" i="31" s="1"/>
  <c r="A492" i="31"/>
  <c r="A493" i="31" s="1"/>
  <c r="G491" i="31"/>
  <c r="H485" i="31"/>
  <c r="F485" i="31"/>
  <c r="D485" i="31"/>
  <c r="B485" i="31"/>
  <c r="A485" i="31"/>
  <c r="G484" i="31"/>
  <c r="H482" i="31"/>
  <c r="H483" i="31" s="1"/>
  <c r="F482" i="31"/>
  <c r="F483" i="31" s="1"/>
  <c r="D482" i="31"/>
  <c r="D483" i="31" s="1"/>
  <c r="B482" i="31"/>
  <c r="B483" i="31" s="1"/>
  <c r="C483" i="31" s="1"/>
  <c r="A482" i="31"/>
  <c r="A483" i="31" s="1"/>
  <c r="G481" i="31"/>
  <c r="H445" i="31"/>
  <c r="F445" i="31"/>
  <c r="D445" i="31"/>
  <c r="B445" i="31"/>
  <c r="B446" i="31" s="1"/>
  <c r="C446" i="31" s="1"/>
  <c r="A445" i="31"/>
  <c r="G444" i="31"/>
  <c r="H442" i="31"/>
  <c r="H443" i="31" s="1"/>
  <c r="F442" i="31"/>
  <c r="F443" i="31" s="1"/>
  <c r="E442" i="31"/>
  <c r="D442" i="31"/>
  <c r="D443" i="31" s="1"/>
  <c r="B442" i="31"/>
  <c r="B443" i="31" s="1"/>
  <c r="C443" i="31" s="1"/>
  <c r="A442" i="31"/>
  <c r="A443" i="31" s="1"/>
  <c r="G441" i="31"/>
  <c r="H435" i="31"/>
  <c r="F435" i="31"/>
  <c r="D435" i="31"/>
  <c r="B435" i="31"/>
  <c r="A435" i="31"/>
  <c r="G434" i="31"/>
  <c r="H432" i="31"/>
  <c r="H433" i="31" s="1"/>
  <c r="F432" i="31"/>
  <c r="F433" i="31" s="1"/>
  <c r="D432" i="31"/>
  <c r="D433" i="31" s="1"/>
  <c r="B432" i="31"/>
  <c r="B433" i="31" s="1"/>
  <c r="C433" i="31" s="1"/>
  <c r="A432" i="31"/>
  <c r="G431" i="31"/>
  <c r="H425" i="31"/>
  <c r="F425" i="31"/>
  <c r="D425" i="31"/>
  <c r="B425" i="31"/>
  <c r="B426" i="31" s="1"/>
  <c r="C426" i="31" s="1"/>
  <c r="A425" i="31"/>
  <c r="A426" i="31" s="1"/>
  <c r="G424" i="31"/>
  <c r="H422" i="31"/>
  <c r="H423" i="31" s="1"/>
  <c r="F422" i="31"/>
  <c r="F423" i="31" s="1"/>
  <c r="E422" i="31"/>
  <c r="E423" i="31" s="1"/>
  <c r="D422" i="31"/>
  <c r="D423" i="31" s="1"/>
  <c r="B422" i="31"/>
  <c r="B423" i="31" s="1"/>
  <c r="C423" i="31" s="1"/>
  <c r="A422" i="31"/>
  <c r="G421" i="31"/>
  <c r="H375" i="31"/>
  <c r="F375" i="31"/>
  <c r="D375" i="31"/>
  <c r="B375" i="31"/>
  <c r="A375" i="31"/>
  <c r="G374" i="31"/>
  <c r="H372" i="31"/>
  <c r="H373" i="31" s="1"/>
  <c r="F372" i="31"/>
  <c r="F373" i="31" s="1"/>
  <c r="E372" i="31"/>
  <c r="E373" i="31" s="1"/>
  <c r="D372" i="31"/>
  <c r="D373" i="31" s="1"/>
  <c r="B372" i="31"/>
  <c r="B373" i="31" s="1"/>
  <c r="C373" i="31" s="1"/>
  <c r="A372" i="31"/>
  <c r="G371" i="31"/>
  <c r="H415" i="31"/>
  <c r="F415" i="31"/>
  <c r="D415" i="31"/>
  <c r="B415" i="31"/>
  <c r="A415" i="31"/>
  <c r="G414" i="31"/>
  <c r="H412" i="31"/>
  <c r="H413" i="31" s="1"/>
  <c r="F412" i="31"/>
  <c r="F413" i="31" s="1"/>
  <c r="D412" i="31"/>
  <c r="D413" i="31" s="1"/>
  <c r="B412" i="31"/>
  <c r="B413" i="31" s="1"/>
  <c r="C413" i="31" s="1"/>
  <c r="A412" i="31"/>
  <c r="G411" i="31"/>
  <c r="H365" i="31"/>
  <c r="F365" i="31"/>
  <c r="D365" i="31"/>
  <c r="B365" i="31"/>
  <c r="A365" i="31"/>
  <c r="G364" i="31"/>
  <c r="H362" i="31"/>
  <c r="H363" i="31" s="1"/>
  <c r="F362" i="31"/>
  <c r="F363" i="31" s="1"/>
  <c r="D362" i="31"/>
  <c r="D363" i="31" s="1"/>
  <c r="B362" i="31"/>
  <c r="B363" i="31" s="1"/>
  <c r="C363" i="31" s="1"/>
  <c r="A362" i="31"/>
  <c r="G361" i="31"/>
  <c r="H342" i="31"/>
  <c r="H343" i="31" s="1"/>
  <c r="H345" i="31"/>
  <c r="F345" i="31"/>
  <c r="D345" i="31"/>
  <c r="B345" i="31"/>
  <c r="A345" i="31"/>
  <c r="G344" i="31"/>
  <c r="F342" i="31"/>
  <c r="F343" i="31" s="1"/>
  <c r="D342" i="31"/>
  <c r="D343" i="31" s="1"/>
  <c r="B342" i="31"/>
  <c r="B343" i="31" s="1"/>
  <c r="C343" i="31" s="1"/>
  <c r="A342" i="31"/>
  <c r="A343" i="31" s="1"/>
  <c r="G341" i="31"/>
  <c r="H325" i="31"/>
  <c r="F325" i="31"/>
  <c r="D325" i="31"/>
  <c r="B325" i="31"/>
  <c r="A325" i="31"/>
  <c r="G324" i="31"/>
  <c r="H322" i="31"/>
  <c r="H323" i="31" s="1"/>
  <c r="F322" i="31"/>
  <c r="F323" i="31" s="1"/>
  <c r="E322" i="31"/>
  <c r="D322" i="31"/>
  <c r="D323" i="31" s="1"/>
  <c r="B322" i="31"/>
  <c r="B323" i="31" s="1"/>
  <c r="C323" i="31" s="1"/>
  <c r="A322" i="31"/>
  <c r="A323" i="31" s="1"/>
  <c r="G321" i="31"/>
  <c r="H292" i="31"/>
  <c r="H293" i="31" s="1"/>
  <c r="H355" i="31"/>
  <c r="F355" i="31"/>
  <c r="D355" i="31"/>
  <c r="B355" i="31"/>
  <c r="A355" i="31"/>
  <c r="A356" i="31" s="1"/>
  <c r="G354" i="31"/>
  <c r="H352" i="31"/>
  <c r="H353" i="31" s="1"/>
  <c r="F352" i="31"/>
  <c r="F353" i="31" s="1"/>
  <c r="E352" i="31"/>
  <c r="E353" i="31" s="1"/>
  <c r="D352" i="31"/>
  <c r="D353" i="31" s="1"/>
  <c r="B352" i="31"/>
  <c r="B353" i="31" s="1"/>
  <c r="C353" i="31" s="1"/>
  <c r="A352" i="31"/>
  <c r="G351" i="31"/>
  <c r="H295" i="31"/>
  <c r="F295" i="31"/>
  <c r="D295" i="31"/>
  <c r="B295" i="31"/>
  <c r="A295" i="31"/>
  <c r="G294" i="31"/>
  <c r="F292" i="31"/>
  <c r="F293" i="31" s="1"/>
  <c r="D292" i="31"/>
  <c r="D293" i="31" s="1"/>
  <c r="B292" i="31"/>
  <c r="B293" i="31" s="1"/>
  <c r="C293" i="31" s="1"/>
  <c r="A292" i="31"/>
  <c r="G291" i="31"/>
  <c r="H255" i="31"/>
  <c r="F255" i="31"/>
  <c r="D255" i="31"/>
  <c r="B255" i="31"/>
  <c r="A255" i="31"/>
  <c r="G254" i="31"/>
  <c r="H252" i="31"/>
  <c r="H253" i="31" s="1"/>
  <c r="F252" i="31"/>
  <c r="F253" i="31" s="1"/>
  <c r="E252" i="31"/>
  <c r="D252" i="31"/>
  <c r="D253" i="31" s="1"/>
  <c r="B252" i="31"/>
  <c r="B253" i="31" s="1"/>
  <c r="C253" i="31" s="1"/>
  <c r="A252" i="31"/>
  <c r="A253" i="31" s="1"/>
  <c r="G251" i="31"/>
  <c r="H235" i="31"/>
  <c r="F235" i="31"/>
  <c r="D235" i="31"/>
  <c r="B235" i="31"/>
  <c r="A235" i="31"/>
  <c r="G234" i="31"/>
  <c r="H232" i="31"/>
  <c r="H233" i="31" s="1"/>
  <c r="F232" i="31"/>
  <c r="F233" i="31" s="1"/>
  <c r="E232" i="31"/>
  <c r="D232" i="31"/>
  <c r="D233" i="31" s="1"/>
  <c r="B232" i="31"/>
  <c r="B233" i="31" s="1"/>
  <c r="C233" i="31" s="1"/>
  <c r="A232" i="31"/>
  <c r="A233" i="31" s="1"/>
  <c r="G231" i="31"/>
  <c r="H285" i="31"/>
  <c r="F285" i="31"/>
  <c r="D285" i="31"/>
  <c r="B285" i="31"/>
  <c r="B286" i="31" s="1"/>
  <c r="C286" i="31" s="1"/>
  <c r="A285" i="31"/>
  <c r="G284" i="31"/>
  <c r="H282" i="31"/>
  <c r="H283" i="31" s="1"/>
  <c r="F282" i="31"/>
  <c r="F283" i="31" s="1"/>
  <c r="E282" i="31"/>
  <c r="D282" i="31"/>
  <c r="D283" i="31" s="1"/>
  <c r="B282" i="31"/>
  <c r="B283" i="31" s="1"/>
  <c r="C283" i="31" s="1"/>
  <c r="A282" i="31"/>
  <c r="A283" i="31" s="1"/>
  <c r="G281" i="31"/>
  <c r="H225" i="31"/>
  <c r="F225" i="31"/>
  <c r="D225" i="31"/>
  <c r="B225" i="31"/>
  <c r="A225" i="31"/>
  <c r="G224" i="31"/>
  <c r="H222" i="31"/>
  <c r="H223" i="31" s="1"/>
  <c r="F222" i="31"/>
  <c r="F223" i="31" s="1"/>
  <c r="D222" i="31"/>
  <c r="D223" i="31" s="1"/>
  <c r="B222" i="31"/>
  <c r="B223" i="31" s="1"/>
  <c r="C223" i="31" s="1"/>
  <c r="A222" i="31"/>
  <c r="A223" i="31" s="1"/>
  <c r="G221" i="31"/>
  <c r="G1456" i="31" l="1"/>
  <c r="G1446" i="31"/>
  <c r="G1496" i="31"/>
  <c r="G1486" i="31"/>
  <c r="G1476" i="31"/>
  <c r="G1466" i="31"/>
  <c r="G1007" i="31"/>
  <c r="G1346" i="31"/>
  <c r="G1336" i="31"/>
  <c r="G1316" i="31"/>
  <c r="G1296" i="31"/>
  <c r="G1276" i="31"/>
  <c r="G1266" i="31"/>
  <c r="G1256" i="31"/>
  <c r="G1246" i="31"/>
  <c r="G1387" i="31"/>
  <c r="G1216" i="31"/>
  <c r="G727" i="31"/>
  <c r="G1166" i="31"/>
  <c r="G1156" i="31"/>
  <c r="G817" i="31"/>
  <c r="G1146" i="31"/>
  <c r="G737" i="31"/>
  <c r="G957" i="31"/>
  <c r="G1136" i="31"/>
  <c r="G1126" i="31"/>
  <c r="G1116" i="31"/>
  <c r="G1106" i="31"/>
  <c r="G1096" i="31"/>
  <c r="G1086" i="31"/>
  <c r="G1076" i="31"/>
  <c r="G687" i="31"/>
  <c r="G1006" i="31"/>
  <c r="G956" i="31"/>
  <c r="G946" i="31"/>
  <c r="G677" i="31"/>
  <c r="G887" i="31"/>
  <c r="G1386" i="31"/>
  <c r="G1376" i="31"/>
  <c r="G1356" i="31"/>
  <c r="G1426" i="31"/>
  <c r="G1416" i="31"/>
  <c r="G1406" i="31"/>
  <c r="G1396" i="31"/>
  <c r="G936" i="31"/>
  <c r="G907" i="31"/>
  <c r="G926" i="31"/>
  <c r="G916" i="31"/>
  <c r="G906" i="31"/>
  <c r="G896" i="31"/>
  <c r="G766" i="31"/>
  <c r="G886" i="31"/>
  <c r="G876" i="31"/>
  <c r="G856" i="31"/>
  <c r="G866" i="31"/>
  <c r="G846" i="31"/>
  <c r="G836" i="31"/>
  <c r="G826" i="31"/>
  <c r="G676" i="31"/>
  <c r="C645" i="31"/>
  <c r="B646" i="31"/>
  <c r="C646" i="31" s="1"/>
  <c r="F647" i="31"/>
  <c r="F646" i="31"/>
  <c r="A627" i="31"/>
  <c r="A626" i="31"/>
  <c r="D627" i="31"/>
  <c r="D626" i="31"/>
  <c r="H627" i="31"/>
  <c r="H626" i="31"/>
  <c r="G636" i="31"/>
  <c r="G686" i="31"/>
  <c r="G756" i="31"/>
  <c r="G716" i="31"/>
  <c r="G706" i="31"/>
  <c r="G696" i="31"/>
  <c r="G656" i="31"/>
  <c r="G746" i="31"/>
  <c r="G736" i="31"/>
  <c r="G666" i="31"/>
  <c r="G726" i="31"/>
  <c r="A647" i="31"/>
  <c r="A646" i="31"/>
  <c r="D647" i="31"/>
  <c r="D646" i="31"/>
  <c r="H647" i="31"/>
  <c r="H646" i="31"/>
  <c r="C625" i="31"/>
  <c r="B626" i="31"/>
  <c r="C626" i="31" s="1"/>
  <c r="F627" i="31"/>
  <c r="F626" i="31"/>
  <c r="G1427" i="31"/>
  <c r="G477" i="31"/>
  <c r="G897" i="31"/>
  <c r="G1407" i="31"/>
  <c r="G967" i="31"/>
  <c r="G1177" i="31"/>
  <c r="G1417" i="31"/>
  <c r="G1397" i="31"/>
  <c r="G107" i="31"/>
  <c r="G277" i="31"/>
  <c r="G547" i="31"/>
  <c r="G457" i="31"/>
  <c r="G397" i="31"/>
  <c r="G587" i="31"/>
  <c r="G267" i="31"/>
  <c r="G337" i="31"/>
  <c r="M107" i="31"/>
  <c r="G177" i="31"/>
  <c r="A227" i="31"/>
  <c r="A226" i="31"/>
  <c r="D227" i="31"/>
  <c r="D226" i="31"/>
  <c r="F227" i="31"/>
  <c r="F226" i="31"/>
  <c r="B227" i="31"/>
  <c r="C227" i="31" s="1"/>
  <c r="M227" i="31" s="1"/>
  <c r="B226" i="31"/>
  <c r="C226" i="31" s="1"/>
  <c r="H227" i="31"/>
  <c r="H226" i="31"/>
  <c r="H287" i="31"/>
  <c r="H286" i="31"/>
  <c r="C235" i="31"/>
  <c r="B236" i="31"/>
  <c r="C236" i="31" s="1"/>
  <c r="H237" i="31"/>
  <c r="H236" i="31"/>
  <c r="C255" i="31"/>
  <c r="B256" i="31"/>
  <c r="C256" i="31" s="1"/>
  <c r="H257" i="31"/>
  <c r="H256" i="31"/>
  <c r="B297" i="31"/>
  <c r="C297" i="31" s="1"/>
  <c r="B296" i="31"/>
  <c r="C296" i="31" s="1"/>
  <c r="M297" i="31"/>
  <c r="H297" i="31"/>
  <c r="H296" i="31"/>
  <c r="B357" i="31"/>
  <c r="C357" i="31" s="1"/>
  <c r="M357" i="31" s="1"/>
  <c r="B356" i="31"/>
  <c r="C356" i="31" s="1"/>
  <c r="H357" i="31"/>
  <c r="H356" i="31"/>
  <c r="A327" i="31"/>
  <c r="A326" i="31"/>
  <c r="D327" i="31"/>
  <c r="D326" i="31"/>
  <c r="F327" i="31"/>
  <c r="F326" i="31"/>
  <c r="A347" i="31"/>
  <c r="A346" i="31"/>
  <c r="D347" i="31"/>
  <c r="D346" i="31"/>
  <c r="F347" i="31"/>
  <c r="F346" i="31"/>
  <c r="A367" i="31"/>
  <c r="A366" i="31"/>
  <c r="D367" i="31"/>
  <c r="D366" i="31"/>
  <c r="F367" i="31"/>
  <c r="F366" i="31"/>
  <c r="C415" i="31"/>
  <c r="B416" i="31"/>
  <c r="C416" i="31" s="1"/>
  <c r="H417" i="31"/>
  <c r="H416" i="31"/>
  <c r="C375" i="31"/>
  <c r="B376" i="31"/>
  <c r="C376" i="31" s="1"/>
  <c r="H377" i="31"/>
  <c r="H376" i="31"/>
  <c r="H427" i="31"/>
  <c r="H426" i="31"/>
  <c r="A437" i="31"/>
  <c r="A436" i="31"/>
  <c r="D437" i="31"/>
  <c r="D436" i="31"/>
  <c r="F437" i="31"/>
  <c r="F436" i="31"/>
  <c r="A447" i="31"/>
  <c r="A446" i="31"/>
  <c r="D447" i="31"/>
  <c r="D446" i="31"/>
  <c r="F447" i="31"/>
  <c r="F446" i="31"/>
  <c r="C485" i="31"/>
  <c r="B486" i="31"/>
  <c r="C486" i="31" s="1"/>
  <c r="H487" i="31"/>
  <c r="H486" i="31"/>
  <c r="C495" i="31"/>
  <c r="B496" i="31"/>
  <c r="C496" i="31" s="1"/>
  <c r="H497" i="31"/>
  <c r="H496" i="31"/>
  <c r="C465" i="31"/>
  <c r="B466" i="31"/>
  <c r="C466" i="31" s="1"/>
  <c r="H467" i="31"/>
  <c r="H466" i="31"/>
  <c r="A567" i="31"/>
  <c r="A566" i="31"/>
  <c r="D567" i="31"/>
  <c r="D566" i="31"/>
  <c r="F567" i="31"/>
  <c r="F566" i="31"/>
  <c r="A577" i="31"/>
  <c r="A576" i="31"/>
  <c r="D577" i="31"/>
  <c r="D576" i="31"/>
  <c r="F577" i="31"/>
  <c r="F576" i="31"/>
  <c r="H567" i="31"/>
  <c r="H566" i="31"/>
  <c r="D597" i="31"/>
  <c r="D596" i="31"/>
  <c r="F597" i="31"/>
  <c r="F596" i="31"/>
  <c r="C615" i="31"/>
  <c r="B616" i="31"/>
  <c r="C616" i="31" s="1"/>
  <c r="H617" i="31"/>
  <c r="H616" i="31"/>
  <c r="A557" i="31"/>
  <c r="A556" i="31"/>
  <c r="D557" i="31"/>
  <c r="D556" i="31"/>
  <c r="F557" i="31"/>
  <c r="F556" i="31"/>
  <c r="B247" i="31"/>
  <c r="C247" i="31" s="1"/>
  <c r="B246" i="31"/>
  <c r="C246" i="31" s="1"/>
  <c r="M247" i="31"/>
  <c r="B607" i="31"/>
  <c r="C607" i="31" s="1"/>
  <c r="M607" i="31" s="1"/>
  <c r="B606" i="31"/>
  <c r="C606" i="31" s="1"/>
  <c r="C195" i="31"/>
  <c r="B196" i="31"/>
  <c r="C196" i="31" s="1"/>
  <c r="H197" i="31"/>
  <c r="H196" i="31"/>
  <c r="A407" i="31"/>
  <c r="A406" i="31"/>
  <c r="D407" i="31"/>
  <c r="D406" i="31"/>
  <c r="F407" i="31"/>
  <c r="F406" i="31"/>
  <c r="G173" i="31"/>
  <c r="G306" i="31"/>
  <c r="G266" i="31"/>
  <c r="G396" i="31"/>
  <c r="M387" i="31"/>
  <c r="G546" i="31"/>
  <c r="M537" i="31"/>
  <c r="G336" i="31"/>
  <c r="G316" i="31"/>
  <c r="M307" i="31"/>
  <c r="G586" i="31"/>
  <c r="A287" i="31"/>
  <c r="A286" i="31"/>
  <c r="D287" i="31"/>
  <c r="D286" i="31"/>
  <c r="F287" i="31"/>
  <c r="F286" i="31"/>
  <c r="A237" i="31"/>
  <c r="A236" i="31"/>
  <c r="D237" i="31"/>
  <c r="D236" i="31"/>
  <c r="F237" i="31"/>
  <c r="F236" i="31"/>
  <c r="A257" i="31"/>
  <c r="A256" i="31"/>
  <c r="D257" i="31"/>
  <c r="D256" i="31"/>
  <c r="F257" i="31"/>
  <c r="F256" i="31"/>
  <c r="A297" i="31"/>
  <c r="A296" i="31"/>
  <c r="D297" i="31"/>
  <c r="D296" i="31"/>
  <c r="F297" i="31"/>
  <c r="F296" i="31"/>
  <c r="D357" i="31"/>
  <c r="D356" i="31"/>
  <c r="F357" i="31"/>
  <c r="F356" i="31"/>
  <c r="C325" i="31"/>
  <c r="B326" i="31"/>
  <c r="C326" i="31" s="1"/>
  <c r="H327" i="31"/>
  <c r="H326" i="31"/>
  <c r="C345" i="31"/>
  <c r="B346" i="31"/>
  <c r="C346" i="31" s="1"/>
  <c r="H347" i="31"/>
  <c r="H346" i="31"/>
  <c r="B367" i="31"/>
  <c r="C367" i="31" s="1"/>
  <c r="B366" i="31"/>
  <c r="C366" i="31" s="1"/>
  <c r="M367" i="31"/>
  <c r="H367" i="31"/>
  <c r="H366" i="31"/>
  <c r="A417" i="31"/>
  <c r="A416" i="31"/>
  <c r="D417" i="31"/>
  <c r="D416" i="31"/>
  <c r="F417" i="31"/>
  <c r="F416" i="31"/>
  <c r="A377" i="31"/>
  <c r="A376" i="31"/>
  <c r="D377" i="31"/>
  <c r="D376" i="31"/>
  <c r="F377" i="31"/>
  <c r="F376" i="31"/>
  <c r="D427" i="31"/>
  <c r="D426" i="31"/>
  <c r="F427" i="31"/>
  <c r="F426" i="31"/>
  <c r="B437" i="31"/>
  <c r="C437" i="31" s="1"/>
  <c r="M437" i="31" s="1"/>
  <c r="B436" i="31"/>
  <c r="C436" i="31" s="1"/>
  <c r="H437" i="31"/>
  <c r="H436" i="31"/>
  <c r="H447" i="31"/>
  <c r="H446" i="31"/>
  <c r="A487" i="31"/>
  <c r="A486" i="31"/>
  <c r="D487" i="31"/>
  <c r="D486" i="31"/>
  <c r="F487" i="31"/>
  <c r="F486" i="31"/>
  <c r="A497" i="31"/>
  <c r="A496" i="31"/>
  <c r="D497" i="31"/>
  <c r="D496" i="31"/>
  <c r="F497" i="31"/>
  <c r="F496" i="31"/>
  <c r="A467" i="31"/>
  <c r="A466" i="31"/>
  <c r="D467" i="31"/>
  <c r="D466" i="31"/>
  <c r="F467" i="31"/>
  <c r="F466" i="31"/>
  <c r="C565" i="31"/>
  <c r="B566" i="31"/>
  <c r="C566" i="31" s="1"/>
  <c r="C575" i="31"/>
  <c r="B576" i="31"/>
  <c r="C576" i="31" s="1"/>
  <c r="H577" i="31"/>
  <c r="H576" i="31"/>
  <c r="H597" i="31"/>
  <c r="H596" i="31"/>
  <c r="A617" i="31"/>
  <c r="A616" i="31"/>
  <c r="D617" i="31"/>
  <c r="D616" i="31"/>
  <c r="F617" i="31"/>
  <c r="F616" i="31"/>
  <c r="C555" i="31"/>
  <c r="B556" i="31"/>
  <c r="C556" i="31" s="1"/>
  <c r="A247" i="31"/>
  <c r="A246" i="31"/>
  <c r="D247" i="31"/>
  <c r="D246" i="31"/>
  <c r="F247" i="31"/>
  <c r="F246" i="31"/>
  <c r="D607" i="31"/>
  <c r="D606" i="31"/>
  <c r="F607" i="31"/>
  <c r="F606" i="31"/>
  <c r="A197" i="31"/>
  <c r="A196" i="31"/>
  <c r="D197" i="31"/>
  <c r="D196" i="31"/>
  <c r="F197" i="31"/>
  <c r="F196" i="31"/>
  <c r="C405" i="31"/>
  <c r="B406" i="31"/>
  <c r="C406" i="31" s="1"/>
  <c r="H407" i="31"/>
  <c r="H406" i="31"/>
  <c r="M317" i="31"/>
  <c r="G476" i="31"/>
  <c r="G526" i="31"/>
  <c r="G506" i="31"/>
  <c r="G176" i="31"/>
  <c r="G276" i="31"/>
  <c r="G386" i="31"/>
  <c r="G456" i="31"/>
  <c r="M527" i="31"/>
  <c r="G536" i="31"/>
  <c r="M507" i="31"/>
  <c r="G103" i="31"/>
  <c r="G106" i="31"/>
  <c r="A193" i="31"/>
  <c r="B193" i="31"/>
  <c r="C193" i="31" s="1"/>
  <c r="H193" i="31"/>
  <c r="D193" i="31"/>
  <c r="F193" i="31"/>
  <c r="M103" i="31"/>
  <c r="G1477" i="31"/>
  <c r="G1277" i="31"/>
  <c r="G1497" i="31"/>
  <c r="G1463" i="31"/>
  <c r="G1313" i="31"/>
  <c r="G1117" i="31"/>
  <c r="G1013" i="31"/>
  <c r="G1137" i="31"/>
  <c r="G1103" i="31"/>
  <c r="G1187" i="31"/>
  <c r="G1243" i="31"/>
  <c r="G987" i="31"/>
  <c r="G1207" i="31"/>
  <c r="G1327" i="31"/>
  <c r="G893" i="31"/>
  <c r="G977" i="31"/>
  <c r="G963" i="31"/>
  <c r="G1023" i="31"/>
  <c r="G1127" i="31"/>
  <c r="G1107" i="31"/>
  <c r="G1173" i="31"/>
  <c r="G1347" i="31"/>
  <c r="G1317" i="31"/>
  <c r="G1393" i="31"/>
  <c r="G1487" i="31"/>
  <c r="G1467" i="31"/>
  <c r="G1337" i="31"/>
  <c r="G1257" i="31"/>
  <c r="G1437" i="31"/>
  <c r="G1447" i="31"/>
  <c r="G1377" i="31"/>
  <c r="G1357" i="31"/>
  <c r="G1297" i="31"/>
  <c r="G1287" i="31"/>
  <c r="G1227" i="31"/>
  <c r="G1267" i="31"/>
  <c r="G1247" i="31"/>
  <c r="G1217" i="31"/>
  <c r="G1057" i="31"/>
  <c r="G1037" i="31"/>
  <c r="G927" i="31"/>
  <c r="G1147" i="31"/>
  <c r="G1157" i="31"/>
  <c r="G1197" i="31"/>
  <c r="G1087" i="31"/>
  <c r="G1077" i="31"/>
  <c r="G1067" i="31"/>
  <c r="G1047" i="31"/>
  <c r="G1033" i="31"/>
  <c r="G1003" i="31"/>
  <c r="G997" i="31"/>
  <c r="G937" i="31"/>
  <c r="G947" i="31"/>
  <c r="G867" i="31"/>
  <c r="G877" i="31"/>
  <c r="G917" i="31"/>
  <c r="G333" i="31"/>
  <c r="G317" i="31"/>
  <c r="G307" i="31"/>
  <c r="G273" i="31"/>
  <c r="G263" i="31"/>
  <c r="G847" i="31"/>
  <c r="G537" i="31"/>
  <c r="G507" i="31"/>
  <c r="G707" i="31"/>
  <c r="G527" i="31"/>
  <c r="G387" i="31"/>
  <c r="G717" i="31"/>
  <c r="G697" i="31"/>
  <c r="G683" i="31"/>
  <c r="G823" i="31"/>
  <c r="G657" i="31"/>
  <c r="G667" i="31"/>
  <c r="G857" i="31"/>
  <c r="G837" i="31"/>
  <c r="G827" i="31"/>
  <c r="G787" i="31"/>
  <c r="G797" i="31"/>
  <c r="G807" i="31"/>
  <c r="G777" i="31"/>
  <c r="C602" i="31"/>
  <c r="G767" i="31"/>
  <c r="G733" i="31"/>
  <c r="G723" i="31"/>
  <c r="G757" i="31"/>
  <c r="G747" i="31"/>
  <c r="C562" i="31"/>
  <c r="C492" i="31"/>
  <c r="C462" i="31"/>
  <c r="C372" i="31"/>
  <c r="C342" i="31"/>
  <c r="C612" i="31"/>
  <c r="C422" i="31"/>
  <c r="C282" i="31"/>
  <c r="C642" i="31"/>
  <c r="C592" i="31"/>
  <c r="C552" i="31"/>
  <c r="C482" i="31"/>
  <c r="C442" i="31"/>
  <c r="C412" i="31"/>
  <c r="C322" i="31"/>
  <c r="C252" i="31"/>
  <c r="C192" i="31"/>
  <c r="B287" i="31"/>
  <c r="C287" i="31" s="1"/>
  <c r="M287" i="31" s="1"/>
  <c r="C285" i="31"/>
  <c r="B557" i="31"/>
  <c r="C557" i="31" s="1"/>
  <c r="M557" i="31" s="1"/>
  <c r="B237" i="31"/>
  <c r="C237" i="31" s="1"/>
  <c r="C572" i="31"/>
  <c r="C352" i="31"/>
  <c r="C245" i="31"/>
  <c r="B427" i="31"/>
  <c r="C427" i="31" s="1"/>
  <c r="C425" i="31"/>
  <c r="B447" i="31"/>
  <c r="C447" i="31" s="1"/>
  <c r="M447" i="31" s="1"/>
  <c r="C445" i="31"/>
  <c r="B597" i="31"/>
  <c r="C597" i="31" s="1"/>
  <c r="C595" i="31"/>
  <c r="B243" i="31"/>
  <c r="C243" i="31" s="1"/>
  <c r="G603" i="31"/>
  <c r="C355" i="31"/>
  <c r="C232" i="31"/>
  <c r="G605" i="31"/>
  <c r="G623" i="31"/>
  <c r="C622" i="31"/>
  <c r="C402" i="31"/>
  <c r="G403" i="31"/>
  <c r="G402" i="31"/>
  <c r="B407" i="31"/>
  <c r="C407" i="31" s="1"/>
  <c r="G405" i="31"/>
  <c r="G192" i="31"/>
  <c r="E193" i="31"/>
  <c r="B197" i="31"/>
  <c r="C197" i="31" s="1"/>
  <c r="G195" i="31"/>
  <c r="C362" i="31"/>
  <c r="C292" i="31"/>
  <c r="G622" i="31"/>
  <c r="B627" i="31"/>
  <c r="C627" i="31" s="1"/>
  <c r="G625" i="31"/>
  <c r="C432" i="31"/>
  <c r="A607" i="31"/>
  <c r="G602" i="31"/>
  <c r="C605" i="31"/>
  <c r="C225" i="31"/>
  <c r="C435" i="31"/>
  <c r="C365" i="31"/>
  <c r="C295" i="31"/>
  <c r="C222" i="31"/>
  <c r="G242" i="31"/>
  <c r="G245" i="31"/>
  <c r="G553" i="31"/>
  <c r="G552" i="31"/>
  <c r="G555" i="31"/>
  <c r="G595" i="31"/>
  <c r="G642" i="31"/>
  <c r="B647" i="31"/>
  <c r="G412" i="31"/>
  <c r="G592" i="31"/>
  <c r="A643" i="31"/>
  <c r="G643" i="31" s="1"/>
  <c r="G645" i="31"/>
  <c r="A597" i="31"/>
  <c r="A593" i="31"/>
  <c r="G593" i="31" s="1"/>
  <c r="G613" i="31"/>
  <c r="G612" i="31"/>
  <c r="B617" i="31"/>
  <c r="G615" i="31"/>
  <c r="G563" i="31"/>
  <c r="G573" i="31"/>
  <c r="G562" i="31"/>
  <c r="B567" i="31"/>
  <c r="G572" i="31"/>
  <c r="B577" i="31"/>
  <c r="G565" i="31"/>
  <c r="G575" i="31"/>
  <c r="G422" i="31"/>
  <c r="G362" i="31"/>
  <c r="G372" i="31"/>
  <c r="G432" i="31"/>
  <c r="G463" i="31"/>
  <c r="G462" i="31"/>
  <c r="E463" i="31"/>
  <c r="B467" i="31"/>
  <c r="G465" i="31"/>
  <c r="G493" i="31"/>
  <c r="G492" i="31"/>
  <c r="E493" i="31"/>
  <c r="B497" i="31"/>
  <c r="G495" i="31"/>
  <c r="G483" i="31"/>
  <c r="G482" i="31"/>
  <c r="B487" i="31"/>
  <c r="G485" i="31"/>
  <c r="G443" i="31"/>
  <c r="G442" i="31"/>
  <c r="E443" i="31"/>
  <c r="G445" i="31"/>
  <c r="B417" i="31"/>
  <c r="B377" i="31"/>
  <c r="C377" i="31" s="1"/>
  <c r="G367" i="31"/>
  <c r="G425" i="31"/>
  <c r="A433" i="31"/>
  <c r="G433" i="31" s="1"/>
  <c r="G435" i="31"/>
  <c r="A427" i="31"/>
  <c r="A423" i="31"/>
  <c r="G423" i="31" s="1"/>
  <c r="A373" i="31"/>
  <c r="G373" i="31" s="1"/>
  <c r="G375" i="31"/>
  <c r="A413" i="31"/>
  <c r="G413" i="31" s="1"/>
  <c r="G415" i="31"/>
  <c r="A363" i="31"/>
  <c r="G363" i="31" s="1"/>
  <c r="G365" i="31"/>
  <c r="G343" i="31"/>
  <c r="G342" i="31"/>
  <c r="B347" i="31"/>
  <c r="G345" i="31"/>
  <c r="G355" i="31"/>
  <c r="G323" i="31"/>
  <c r="G322" i="31"/>
  <c r="E323" i="31"/>
  <c r="B327" i="31"/>
  <c r="G325" i="31"/>
  <c r="G292" i="31"/>
  <c r="G352" i="31"/>
  <c r="A357" i="31"/>
  <c r="A353" i="31"/>
  <c r="G353" i="31" s="1"/>
  <c r="A293" i="31"/>
  <c r="G293" i="31" s="1"/>
  <c r="G295" i="31"/>
  <c r="G253" i="31"/>
  <c r="G252" i="31"/>
  <c r="E253" i="31"/>
  <c r="B257" i="31"/>
  <c r="G255" i="31"/>
  <c r="G233" i="31"/>
  <c r="G232" i="31"/>
  <c r="E233" i="31"/>
  <c r="G235" i="31"/>
  <c r="G283" i="31"/>
  <c r="G282" i="31"/>
  <c r="E283" i="31"/>
  <c r="G285" i="31"/>
  <c r="G223" i="31"/>
  <c r="G222" i="31"/>
  <c r="G225" i="31"/>
  <c r="H205" i="31"/>
  <c r="F205" i="31"/>
  <c r="D205" i="31"/>
  <c r="B205" i="31"/>
  <c r="B206" i="31" s="1"/>
  <c r="C206" i="31" s="1"/>
  <c r="A205" i="31"/>
  <c r="G204" i="31"/>
  <c r="H202" i="31"/>
  <c r="F202" i="31"/>
  <c r="D202" i="31"/>
  <c r="B203" i="31"/>
  <c r="C203" i="31" s="1"/>
  <c r="A202" i="31"/>
  <c r="G201" i="31"/>
  <c r="H165" i="31"/>
  <c r="F165" i="31"/>
  <c r="D165" i="31"/>
  <c r="B165" i="31"/>
  <c r="B166" i="31" s="1"/>
  <c r="C166" i="31" s="1"/>
  <c r="A165" i="31"/>
  <c r="G164" i="31"/>
  <c r="H162" i="31"/>
  <c r="F162" i="31"/>
  <c r="E162" i="31"/>
  <c r="D162" i="31"/>
  <c r="B162" i="31"/>
  <c r="A162" i="31"/>
  <c r="A185" i="31"/>
  <c r="A182" i="31"/>
  <c r="H185" i="31"/>
  <c r="F185" i="31"/>
  <c r="D185" i="31"/>
  <c r="B185" i="31"/>
  <c r="B186" i="31" s="1"/>
  <c r="C186" i="31" s="1"/>
  <c r="G184" i="31"/>
  <c r="H182" i="31"/>
  <c r="F182" i="31"/>
  <c r="E182" i="31"/>
  <c r="D182" i="31"/>
  <c r="B182" i="31"/>
  <c r="G181" i="31"/>
  <c r="H215" i="31"/>
  <c r="F215" i="31"/>
  <c r="D215" i="31"/>
  <c r="B215" i="31"/>
  <c r="A215" i="31"/>
  <c r="G214" i="31"/>
  <c r="H212" i="31"/>
  <c r="F212" i="31"/>
  <c r="E212" i="31"/>
  <c r="D212" i="31"/>
  <c r="B212" i="31"/>
  <c r="A212" i="31"/>
  <c r="G211" i="31"/>
  <c r="G151" i="31"/>
  <c r="H92" i="31"/>
  <c r="H93" i="31" s="1"/>
  <c r="F92" i="31"/>
  <c r="E92" i="31"/>
  <c r="D92" i="31"/>
  <c r="B92" i="31"/>
  <c r="B93" i="31" s="1"/>
  <c r="C93" i="31" s="1"/>
  <c r="A92" i="31"/>
  <c r="G91" i="31"/>
  <c r="H89" i="31"/>
  <c r="F89" i="31"/>
  <c r="E89" i="31"/>
  <c r="D89" i="31"/>
  <c r="B89" i="31"/>
  <c r="A89" i="31"/>
  <c r="H115" i="31"/>
  <c r="F115" i="31"/>
  <c r="E115" i="31"/>
  <c r="D115" i="31"/>
  <c r="B115" i="31"/>
  <c r="B116" i="31" s="1"/>
  <c r="C116" i="31" s="1"/>
  <c r="A115" i="31"/>
  <c r="G114" i="31"/>
  <c r="H112" i="31"/>
  <c r="F112" i="31"/>
  <c r="E112" i="31"/>
  <c r="D112" i="31"/>
  <c r="B112" i="31"/>
  <c r="A112" i="31"/>
  <c r="H125" i="31"/>
  <c r="F125" i="31"/>
  <c r="E125" i="31"/>
  <c r="D125" i="31"/>
  <c r="B125" i="31"/>
  <c r="B126" i="31" s="1"/>
  <c r="C126" i="31" s="1"/>
  <c r="A125" i="31"/>
  <c r="G124" i="31"/>
  <c r="H122" i="31"/>
  <c r="F122" i="31"/>
  <c r="E122" i="31"/>
  <c r="D122" i="31"/>
  <c r="B122" i="31"/>
  <c r="A122" i="31"/>
  <c r="E132" i="31"/>
  <c r="H145" i="31"/>
  <c r="H146" i="31" s="1"/>
  <c r="F145" i="31"/>
  <c r="F146" i="31" s="1"/>
  <c r="D145" i="31"/>
  <c r="D146" i="31" s="1"/>
  <c r="B145" i="31"/>
  <c r="B146" i="31" s="1"/>
  <c r="C146" i="31" s="1"/>
  <c r="A145" i="31"/>
  <c r="A146" i="31" s="1"/>
  <c r="H135" i="31"/>
  <c r="H136" i="31" s="1"/>
  <c r="F135" i="31"/>
  <c r="F136" i="31" s="1"/>
  <c r="D135" i="31"/>
  <c r="D136" i="31" s="1"/>
  <c r="B135" i="31"/>
  <c r="B136" i="31" s="1"/>
  <c r="C136" i="31" s="1"/>
  <c r="A135" i="31"/>
  <c r="A136" i="31" s="1"/>
  <c r="H132" i="31"/>
  <c r="F132" i="31"/>
  <c r="D132" i="31"/>
  <c r="B132" i="31"/>
  <c r="A132" i="31"/>
  <c r="D155" i="31"/>
  <c r="B155" i="31"/>
  <c r="B156" i="31" s="1"/>
  <c r="C156" i="31" s="1"/>
  <c r="A155" i="31"/>
  <c r="H155" i="31"/>
  <c r="F152" i="31"/>
  <c r="E152" i="31"/>
  <c r="D152" i="31"/>
  <c r="B152" i="31"/>
  <c r="A152" i="31"/>
  <c r="H152" i="31"/>
  <c r="F74" i="31"/>
  <c r="H74" i="31"/>
  <c r="F69" i="31"/>
  <c r="F70" i="31" s="1"/>
  <c r="F71" i="31" s="1"/>
  <c r="E69" i="31"/>
  <c r="E70" i="31" s="1"/>
  <c r="D69" i="31"/>
  <c r="D70" i="31" s="1"/>
  <c r="B69" i="31"/>
  <c r="B70" i="31" s="1"/>
  <c r="A69" i="31"/>
  <c r="A70" i="31" s="1"/>
  <c r="H69" i="31"/>
  <c r="G88" i="31"/>
  <c r="G161" i="31"/>
  <c r="G111" i="31"/>
  <c r="G121" i="31"/>
  <c r="G144" i="31"/>
  <c r="G141" i="31"/>
  <c r="G134" i="31"/>
  <c r="G131" i="31"/>
  <c r="G68" i="31"/>
  <c r="H72" i="31" l="1"/>
  <c r="H70" i="31"/>
  <c r="H71" i="31" s="1"/>
  <c r="C70" i="31"/>
  <c r="B71" i="31"/>
  <c r="B73" i="31"/>
  <c r="E71" i="31"/>
  <c r="E74" i="31" s="1"/>
  <c r="E78" i="31" s="1"/>
  <c r="E83" i="31" s="1"/>
  <c r="E73" i="31"/>
  <c r="E77" i="31" s="1"/>
  <c r="E82" i="31" s="1"/>
  <c r="E87" i="31" s="1"/>
  <c r="A73" i="31"/>
  <c r="A71" i="31"/>
  <c r="G70" i="31"/>
  <c r="D73" i="31"/>
  <c r="D77" i="31" s="1"/>
  <c r="D82" i="31" s="1"/>
  <c r="D87" i="31" s="1"/>
  <c r="D71" i="31"/>
  <c r="D74" i="31" s="1"/>
  <c r="D78" i="31" s="1"/>
  <c r="D83" i="31" s="1"/>
  <c r="G647" i="31"/>
  <c r="G247" i="31"/>
  <c r="G297" i="31"/>
  <c r="G626" i="31"/>
  <c r="G646" i="31"/>
  <c r="G136" i="31"/>
  <c r="G146" i="31"/>
  <c r="G607" i="31"/>
  <c r="G227" i="31"/>
  <c r="G357" i="31"/>
  <c r="G437" i="31"/>
  <c r="G155" i="31"/>
  <c r="G596" i="31"/>
  <c r="G606" i="31"/>
  <c r="G426" i="31"/>
  <c r="G356" i="31"/>
  <c r="A137" i="31"/>
  <c r="D137" i="31"/>
  <c r="F137" i="31"/>
  <c r="A147" i="31"/>
  <c r="D147" i="31"/>
  <c r="F147" i="31"/>
  <c r="D127" i="31"/>
  <c r="D126" i="31"/>
  <c r="E117" i="31"/>
  <c r="E116" i="31"/>
  <c r="H117" i="31"/>
  <c r="H116" i="31"/>
  <c r="D187" i="31"/>
  <c r="D186" i="31"/>
  <c r="H167" i="31"/>
  <c r="H166" i="31"/>
  <c r="D207" i="31"/>
  <c r="D206" i="31"/>
  <c r="M407" i="31"/>
  <c r="G246" i="31"/>
  <c r="G616" i="31"/>
  <c r="G466" i="31"/>
  <c r="G496" i="31"/>
  <c r="G486" i="31"/>
  <c r="G376" i="31"/>
  <c r="G416" i="31"/>
  <c r="G296" i="31"/>
  <c r="G256" i="31"/>
  <c r="G236" i="31"/>
  <c r="G286" i="31"/>
  <c r="G556" i="31"/>
  <c r="G446" i="31"/>
  <c r="G436" i="31"/>
  <c r="M427" i="31"/>
  <c r="M237" i="31"/>
  <c r="G226" i="31"/>
  <c r="H157" i="31"/>
  <c r="H156" i="31"/>
  <c r="A127" i="31"/>
  <c r="A126" i="31"/>
  <c r="F127" i="31"/>
  <c r="F126" i="31"/>
  <c r="A94" i="31"/>
  <c r="A93" i="31"/>
  <c r="A217" i="31"/>
  <c r="A216" i="31"/>
  <c r="D217" i="31"/>
  <c r="D216" i="31"/>
  <c r="F217" i="31"/>
  <c r="F216" i="31"/>
  <c r="F187" i="31"/>
  <c r="F186" i="31"/>
  <c r="A207" i="31"/>
  <c r="A206" i="31"/>
  <c r="F207" i="31"/>
  <c r="F206" i="31"/>
  <c r="A157" i="31"/>
  <c r="A156" i="31"/>
  <c r="D157" i="31"/>
  <c r="D156" i="31"/>
  <c r="F157" i="31"/>
  <c r="H137" i="31"/>
  <c r="H147" i="31"/>
  <c r="E127" i="31"/>
  <c r="E126" i="31"/>
  <c r="H127" i="31"/>
  <c r="H126" i="31"/>
  <c r="A117" i="31"/>
  <c r="A116" i="31"/>
  <c r="D117" i="31"/>
  <c r="D116" i="31"/>
  <c r="F117" i="31"/>
  <c r="F116" i="31"/>
  <c r="E93" i="31"/>
  <c r="H94" i="31"/>
  <c r="C215" i="31"/>
  <c r="B216" i="31"/>
  <c r="C216" i="31" s="1"/>
  <c r="H217" i="31"/>
  <c r="H216" i="31"/>
  <c r="H187" i="31"/>
  <c r="H186" i="31"/>
  <c r="A187" i="31"/>
  <c r="A186" i="31"/>
  <c r="A167" i="31"/>
  <c r="A166" i="31"/>
  <c r="D167" i="31"/>
  <c r="D166" i="31"/>
  <c r="F167" i="31"/>
  <c r="F166" i="31"/>
  <c r="H207" i="31"/>
  <c r="H206" i="31"/>
  <c r="G196" i="31"/>
  <c r="G406" i="31"/>
  <c r="M197" i="31"/>
  <c r="G576" i="31"/>
  <c r="G566" i="31"/>
  <c r="M377" i="31"/>
  <c r="G366" i="31"/>
  <c r="G346" i="31"/>
  <c r="G326" i="31"/>
  <c r="G193" i="31"/>
  <c r="D94" i="31"/>
  <c r="D93" i="31"/>
  <c r="F94" i="31"/>
  <c r="F93" i="31"/>
  <c r="C212" i="31"/>
  <c r="E213" i="31"/>
  <c r="H213" i="31"/>
  <c r="A183" i="31"/>
  <c r="A203" i="31"/>
  <c r="H203" i="31"/>
  <c r="A213" i="31"/>
  <c r="D213" i="31"/>
  <c r="F213" i="31"/>
  <c r="H183" i="31"/>
  <c r="D203" i="31"/>
  <c r="F203" i="31"/>
  <c r="D183" i="31"/>
  <c r="F183" i="31"/>
  <c r="E183" i="31"/>
  <c r="G377" i="31"/>
  <c r="H153" i="31"/>
  <c r="A113" i="31"/>
  <c r="H90" i="31"/>
  <c r="A163" i="31"/>
  <c r="D163" i="31"/>
  <c r="F163" i="31"/>
  <c r="H113" i="31"/>
  <c r="A90" i="31"/>
  <c r="H163" i="31"/>
  <c r="E163" i="31"/>
  <c r="A153" i="31"/>
  <c r="F153" i="31"/>
  <c r="D153" i="31"/>
  <c r="A133" i="31"/>
  <c r="H133" i="31"/>
  <c r="E153" i="31"/>
  <c r="F133" i="31"/>
  <c r="D133" i="31"/>
  <c r="E133" i="31"/>
  <c r="H123" i="31"/>
  <c r="A123" i="31"/>
  <c r="D123" i="31"/>
  <c r="F123" i="31"/>
  <c r="E123" i="31"/>
  <c r="E113" i="31"/>
  <c r="D113" i="31"/>
  <c r="F113" i="31"/>
  <c r="D90" i="31"/>
  <c r="F90" i="31"/>
  <c r="E94" i="31"/>
  <c r="E90" i="31"/>
  <c r="D72" i="31"/>
  <c r="D76" i="31" s="1"/>
  <c r="D79" i="31" s="1"/>
  <c r="D84" i="31" s="1"/>
  <c r="A72" i="31"/>
  <c r="A76" i="31" s="1"/>
  <c r="A79" i="31" s="1"/>
  <c r="F72" i="31"/>
  <c r="F77" i="31"/>
  <c r="F76" i="31"/>
  <c r="H77" i="31"/>
  <c r="H76" i="31"/>
  <c r="E72" i="31"/>
  <c r="E76" i="31" s="1"/>
  <c r="E79" i="31" s="1"/>
  <c r="G427" i="31"/>
  <c r="G243" i="31"/>
  <c r="G287" i="31"/>
  <c r="G597" i="31"/>
  <c r="G447" i="31"/>
  <c r="G237" i="31"/>
  <c r="G197" i="31"/>
  <c r="G557" i="31"/>
  <c r="B137" i="31"/>
  <c r="C137" i="31" s="1"/>
  <c r="C135" i="31"/>
  <c r="B147" i="31"/>
  <c r="C147" i="31" s="1"/>
  <c r="C145" i="31"/>
  <c r="B127" i="31"/>
  <c r="C127" i="31" s="1"/>
  <c r="C125" i="31"/>
  <c r="B113" i="31"/>
  <c r="C113" i="31" s="1"/>
  <c r="C112" i="31"/>
  <c r="B94" i="31"/>
  <c r="C94" i="31" s="1"/>
  <c r="C92" i="31"/>
  <c r="B183" i="31"/>
  <c r="C183" i="31" s="1"/>
  <c r="C182" i="31"/>
  <c r="B187" i="31"/>
  <c r="C187" i="31" s="1"/>
  <c r="C185" i="31"/>
  <c r="B163" i="31"/>
  <c r="C163" i="31" s="1"/>
  <c r="C162" i="31"/>
  <c r="C257" i="31"/>
  <c r="M257" i="31" s="1"/>
  <c r="C417" i="31"/>
  <c r="M417" i="31" s="1"/>
  <c r="C497" i="31"/>
  <c r="M497" i="31" s="1"/>
  <c r="C567" i="31"/>
  <c r="M567" i="31" s="1"/>
  <c r="C617" i="31"/>
  <c r="M617" i="31" s="1"/>
  <c r="B133" i="31"/>
  <c r="C133" i="31" s="1"/>
  <c r="C132" i="31"/>
  <c r="B123" i="31"/>
  <c r="C123" i="31" s="1"/>
  <c r="C122" i="31"/>
  <c r="B117" i="31"/>
  <c r="C117" i="31" s="1"/>
  <c r="C115" i="31"/>
  <c r="B90" i="31"/>
  <c r="C90" i="31" s="1"/>
  <c r="C89" i="31"/>
  <c r="B167" i="31"/>
  <c r="C167" i="31" s="1"/>
  <c r="C165" i="31"/>
  <c r="B207" i="31"/>
  <c r="C207" i="31" s="1"/>
  <c r="C205" i="31"/>
  <c r="C327" i="31"/>
  <c r="M327" i="31" s="1"/>
  <c r="C347" i="31"/>
  <c r="M347" i="31" s="1"/>
  <c r="C487" i="31"/>
  <c r="M487" i="31" s="1"/>
  <c r="C467" i="31"/>
  <c r="M467" i="31" s="1"/>
  <c r="C577" i="31"/>
  <c r="M577" i="31" s="1"/>
  <c r="C647" i="31"/>
  <c r="B72" i="31"/>
  <c r="C69" i="31"/>
  <c r="G407" i="31"/>
  <c r="G627" i="31"/>
  <c r="B153" i="31"/>
  <c r="C153" i="31" s="1"/>
  <c r="C152" i="31"/>
  <c r="B157" i="31"/>
  <c r="C157" i="31" s="1"/>
  <c r="C155" i="31"/>
  <c r="G617" i="31"/>
  <c r="G577" i="31"/>
  <c r="G567" i="31"/>
  <c r="G417" i="31"/>
  <c r="G467" i="31"/>
  <c r="G497" i="31"/>
  <c r="G487" i="31"/>
  <c r="G347" i="31"/>
  <c r="G327" i="31"/>
  <c r="G257" i="31"/>
  <c r="G202" i="31"/>
  <c r="G205" i="31"/>
  <c r="G165" i="31"/>
  <c r="G162" i="31"/>
  <c r="G182" i="31"/>
  <c r="G185" i="31"/>
  <c r="B213" i="31"/>
  <c r="C213" i="31" s="1"/>
  <c r="B217" i="31"/>
  <c r="C217" i="31" s="1"/>
  <c r="G212" i="31"/>
  <c r="G215" i="31"/>
  <c r="G92" i="31"/>
  <c r="G89" i="31"/>
  <c r="G115" i="31"/>
  <c r="G112" i="31"/>
  <c r="G125" i="31"/>
  <c r="G122" i="31"/>
  <c r="G145" i="31"/>
  <c r="G135" i="31"/>
  <c r="G132" i="31"/>
  <c r="G152" i="31"/>
  <c r="G69" i="31"/>
  <c r="C72" i="31" l="1"/>
  <c r="B76" i="31"/>
  <c r="E84" i="31"/>
  <c r="A84" i="31"/>
  <c r="A77" i="31"/>
  <c r="A82" i="31" s="1"/>
  <c r="G73" i="31"/>
  <c r="C71" i="31"/>
  <c r="B74" i="31"/>
  <c r="A74" i="31"/>
  <c r="G71" i="31"/>
  <c r="C73" i="31"/>
  <c r="B77" i="31"/>
  <c r="G203" i="31"/>
  <c r="G156" i="31"/>
  <c r="G186" i="31"/>
  <c r="M94" i="31"/>
  <c r="G166" i="31"/>
  <c r="M187" i="31"/>
  <c r="G116" i="31"/>
  <c r="M127" i="31"/>
  <c r="M137" i="31"/>
  <c r="G216" i="31"/>
  <c r="G126" i="31"/>
  <c r="M207" i="31"/>
  <c r="M217" i="31"/>
  <c r="G206" i="31"/>
  <c r="M167" i="31"/>
  <c r="M117" i="31"/>
  <c r="G93" i="31"/>
  <c r="M77" i="31"/>
  <c r="M153" i="31"/>
  <c r="M133" i="31"/>
  <c r="M123" i="31"/>
  <c r="M113" i="31"/>
  <c r="M72" i="31"/>
  <c r="M90" i="31"/>
  <c r="G76" i="31"/>
  <c r="G183" i="31"/>
  <c r="G163" i="31"/>
  <c r="G133" i="31"/>
  <c r="G123" i="31"/>
  <c r="G117" i="31"/>
  <c r="G90" i="31"/>
  <c r="G77" i="31"/>
  <c r="G207" i="31"/>
  <c r="G72" i="31"/>
  <c r="G167" i="31"/>
  <c r="G153" i="31"/>
  <c r="G137" i="31"/>
  <c r="G127" i="31"/>
  <c r="G187" i="31"/>
  <c r="G113" i="31"/>
  <c r="G94" i="31"/>
  <c r="G157" i="31"/>
  <c r="G147" i="31"/>
  <c r="G213" i="31"/>
  <c r="G217" i="31"/>
  <c r="B82" i="31" l="1"/>
  <c r="C77" i="31"/>
  <c r="B78" i="31"/>
  <c r="C74" i="31"/>
  <c r="C76" i="31"/>
  <c r="B79" i="31"/>
  <c r="A78" i="31"/>
  <c r="G74" i="31"/>
  <c r="A87" i="31"/>
  <c r="G82" i="31"/>
  <c r="AK13" i="1"/>
  <c r="AK14" i="1"/>
  <c r="AK15" i="1"/>
  <c r="AK16" i="1"/>
  <c r="AK17" i="1"/>
  <c r="AK18" i="1"/>
  <c r="AK19" i="1"/>
  <c r="AK20" i="1"/>
  <c r="AK21" i="1"/>
  <c r="AK22" i="1"/>
  <c r="AK23" i="1"/>
  <c r="AK24" i="1"/>
  <c r="AK25" i="1"/>
  <c r="AK26" i="1"/>
  <c r="AK27" i="1"/>
  <c r="AK28" i="1"/>
  <c r="AK29" i="1"/>
  <c r="AK30" i="1"/>
  <c r="AK31" i="1"/>
  <c r="AK32" i="1"/>
  <c r="AK33" i="1"/>
  <c r="AK70" i="1"/>
  <c r="AK36" i="1"/>
  <c r="AK37" i="1"/>
  <c r="AK38" i="1"/>
  <c r="AK39" i="1"/>
  <c r="AK470" i="1"/>
  <c r="AK475" i="1"/>
  <c r="AK42" i="1"/>
  <c r="AK43" i="1"/>
  <c r="AK44" i="1"/>
  <c r="AK45" i="1"/>
  <c r="AK46" i="1"/>
  <c r="AK47" i="1"/>
  <c r="AK48" i="1"/>
  <c r="AK40" i="1"/>
  <c r="AK41" i="1"/>
  <c r="AK52" i="1"/>
  <c r="AK53" i="1"/>
  <c r="AK49" i="1"/>
  <c r="AK50" i="1"/>
  <c r="AK54" i="1"/>
  <c r="AK55" i="1"/>
  <c r="AK58" i="1"/>
  <c r="AK59" i="1"/>
  <c r="AK56" i="1"/>
  <c r="AK62" i="1"/>
  <c r="AK63" i="1"/>
  <c r="AK64" i="1"/>
  <c r="AK57" i="1"/>
  <c r="AK60" i="1"/>
  <c r="AK65" i="1"/>
  <c r="AK68" i="1"/>
  <c r="AK66" i="1"/>
  <c r="AK112" i="1"/>
  <c r="AK71" i="1"/>
  <c r="AK72" i="1"/>
  <c r="AK73" i="1"/>
  <c r="AK74" i="1"/>
  <c r="AK75" i="1"/>
  <c r="AK76" i="1"/>
  <c r="AK77" i="1"/>
  <c r="AK78" i="1"/>
  <c r="AK79" i="1"/>
  <c r="AK80" i="1"/>
  <c r="AK81" i="1"/>
  <c r="AK82" i="1"/>
  <c r="AK83" i="1"/>
  <c r="AK84" i="1"/>
  <c r="AK85" i="1"/>
  <c r="AK86" i="1"/>
  <c r="AK87" i="1"/>
  <c r="AK88" i="1"/>
  <c r="AK89" i="1"/>
  <c r="AK90" i="1"/>
  <c r="AK91" i="1"/>
  <c r="AK476" i="1"/>
  <c r="AK93" i="1"/>
  <c r="AK94" i="1"/>
  <c r="AK95" i="1"/>
  <c r="AK96" i="1"/>
  <c r="AK97" i="1"/>
  <c r="AK99" i="1"/>
  <c r="AK67" i="1"/>
  <c r="AK69" i="1"/>
  <c r="AK92" i="1"/>
  <c r="AK100" i="1"/>
  <c r="AK101" i="1"/>
  <c r="AK105" i="1"/>
  <c r="AK106" i="1"/>
  <c r="AK107" i="1"/>
  <c r="AK109" i="1"/>
  <c r="AK165" i="1"/>
  <c r="AK111" i="1"/>
  <c r="AK166" i="1"/>
  <c r="AK113" i="1"/>
  <c r="AK114" i="1"/>
  <c r="AK167" i="1"/>
  <c r="AK116" i="1"/>
  <c r="AK117" i="1"/>
  <c r="AK118" i="1"/>
  <c r="AK120" i="1"/>
  <c r="AK129" i="1"/>
  <c r="AK174" i="1"/>
  <c r="AK175" i="1"/>
  <c r="AK176" i="1"/>
  <c r="AK177" i="1"/>
  <c r="AK186" i="1"/>
  <c r="AK187" i="1"/>
  <c r="AK216" i="1"/>
  <c r="AK217" i="1"/>
  <c r="AK138" i="1"/>
  <c r="AK139" i="1"/>
  <c r="AK171" i="1"/>
  <c r="AK141" i="1"/>
  <c r="AK172" i="1"/>
  <c r="AK173" i="1"/>
  <c r="AK146" i="1"/>
  <c r="AK147" i="1"/>
  <c r="AK148" i="1"/>
  <c r="AK149" i="1"/>
  <c r="AK150" i="1"/>
  <c r="AK151" i="1"/>
  <c r="AK152" i="1"/>
  <c r="AK153" i="1"/>
  <c r="AK154" i="1"/>
  <c r="AK155" i="1"/>
  <c r="AK156" i="1"/>
  <c r="AK157" i="1"/>
  <c r="AK158" i="1"/>
  <c r="AK159" i="1"/>
  <c r="AK160" i="1"/>
  <c r="AK219" i="1"/>
  <c r="AK220" i="1"/>
  <c r="AK222" i="1"/>
  <c r="AK223" i="1"/>
  <c r="AK224" i="1"/>
  <c r="AK225" i="1"/>
  <c r="AK226" i="1"/>
  <c r="AK228" i="1"/>
  <c r="AK169" i="1"/>
  <c r="AK448" i="1"/>
  <c r="AK449" i="1"/>
  <c r="AK454" i="1"/>
  <c r="AK485" i="1"/>
  <c r="AK489" i="1"/>
  <c r="AK490" i="1"/>
  <c r="AK491" i="1"/>
  <c r="AK506" i="1"/>
  <c r="AK179" i="1"/>
  <c r="AK180" i="1"/>
  <c r="AK181" i="1"/>
  <c r="AK184" i="1"/>
  <c r="AK185" i="1"/>
  <c r="AK513" i="1"/>
  <c r="AK516" i="1"/>
  <c r="AK188" i="1"/>
  <c r="AK189" i="1"/>
  <c r="AK190" i="1"/>
  <c r="AK191" i="1"/>
  <c r="AK192" i="1"/>
  <c r="AK193" i="1"/>
  <c r="AK194" i="1"/>
  <c r="AK195" i="1"/>
  <c r="AK196" i="1"/>
  <c r="AK197" i="1"/>
  <c r="AK198" i="1"/>
  <c r="AK199" i="1"/>
  <c r="AK200" i="1"/>
  <c r="AK201" i="1"/>
  <c r="AK202" i="1"/>
  <c r="AK203" i="1"/>
  <c r="AK204" i="1"/>
  <c r="AK205" i="1"/>
  <c r="AK206" i="1"/>
  <c r="AK207" i="1"/>
  <c r="AK208" i="1"/>
  <c r="AK209" i="1"/>
  <c r="AK211" i="1"/>
  <c r="AK213" i="1"/>
  <c r="AK214" i="1"/>
  <c r="AK215" i="1"/>
  <c r="AK517" i="1"/>
  <c r="AK531" i="1"/>
  <c r="AK532" i="1"/>
  <c r="AK533" i="1"/>
  <c r="AK534" i="1"/>
  <c r="AK535" i="1"/>
  <c r="AK536" i="1"/>
  <c r="AK537" i="1"/>
  <c r="AK102" i="1"/>
  <c r="AK538" i="1"/>
  <c r="AK518" i="1"/>
  <c r="AK221" i="1"/>
  <c r="AK103" i="1"/>
  <c r="AK234" i="1"/>
  <c r="AK235" i="1"/>
  <c r="AK236" i="1"/>
  <c r="AK241" i="1"/>
  <c r="AK242" i="1"/>
  <c r="AK243" i="1"/>
  <c r="AK244" i="1"/>
  <c r="AK522"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523" i="1"/>
  <c r="AK524" i="1"/>
  <c r="AK525" i="1"/>
  <c r="AK526" i="1"/>
  <c r="AK527" i="1"/>
  <c r="AK528" i="1"/>
  <c r="AK529" i="1"/>
  <c r="AK530" i="1"/>
  <c r="AK288" i="1"/>
  <c r="AK289" i="1"/>
  <c r="AK290" i="1"/>
  <c r="AK291" i="1"/>
  <c r="AK292" i="1"/>
  <c r="AK104" i="1"/>
  <c r="AK294" i="1"/>
  <c r="AK295" i="1"/>
  <c r="AK296" i="1"/>
  <c r="AK297" i="1"/>
  <c r="AK300" i="1"/>
  <c r="AK227" i="1"/>
  <c r="AK302" i="1"/>
  <c r="AK303" i="1"/>
  <c r="AK304" i="1"/>
  <c r="AK305" i="1"/>
  <c r="AK307" i="1"/>
  <c r="AK308" i="1"/>
  <c r="AK309" i="1"/>
  <c r="AK591" i="1"/>
  <c r="AK554" i="1"/>
  <c r="AK312" i="1"/>
  <c r="AK313" i="1"/>
  <c r="AK314" i="1"/>
  <c r="AK315" i="1"/>
  <c r="AK316" i="1"/>
  <c r="AK317" i="1"/>
  <c r="AK461" i="1"/>
  <c r="AK462" i="1"/>
  <c r="AK321" i="1"/>
  <c r="AK570" i="1"/>
  <c r="AK323" i="1"/>
  <c r="AK571" i="1"/>
  <c r="AK572" i="1"/>
  <c r="AK573" i="1"/>
  <c r="AK576" i="1"/>
  <c r="AK577" i="1"/>
  <c r="AK578" i="1"/>
  <c r="AK580" i="1"/>
  <c r="AK581" i="1"/>
  <c r="AK582" i="1"/>
  <c r="AK584" i="1"/>
  <c r="AK342" i="1"/>
  <c r="AK588" i="1"/>
  <c r="AK589" i="1"/>
  <c r="AK232" i="1"/>
  <c r="AK293" i="1"/>
  <c r="AK463" i="1"/>
  <c r="AK348" i="1"/>
  <c r="AK349" i="1"/>
  <c r="AK350" i="1"/>
  <c r="AK351" i="1"/>
  <c r="AK352" i="1"/>
  <c r="AK353" i="1"/>
  <c r="AK354" i="1"/>
  <c r="AK355" i="1"/>
  <c r="AK356" i="1"/>
  <c r="AK357" i="1"/>
  <c r="AK358" i="1"/>
  <c r="AK359" i="1"/>
  <c r="AK360" i="1"/>
  <c r="AK361" i="1"/>
  <c r="AK362" i="1"/>
  <c r="AK363" i="1"/>
  <c r="AK364" i="1"/>
  <c r="AK301" i="1"/>
  <c r="AK592" i="1"/>
  <c r="AK367" i="1"/>
  <c r="AK368" i="1"/>
  <c r="AK371" i="1"/>
  <c r="AK372" i="1"/>
  <c r="AK373" i="1"/>
  <c r="AK374" i="1"/>
  <c r="AK594" i="1"/>
  <c r="AK595" i="1"/>
  <c r="AK319" i="1"/>
  <c r="AK386" i="1"/>
  <c r="AK387" i="1"/>
  <c r="AK388" i="1"/>
  <c r="AK389" i="1"/>
  <c r="AK390" i="1"/>
  <c r="AK391" i="1"/>
  <c r="AK392" i="1"/>
  <c r="AK320" i="1"/>
  <c r="AK394" i="1"/>
  <c r="AK395" i="1"/>
  <c r="AK345" i="1"/>
  <c r="AK397" i="1"/>
  <c r="AK398" i="1"/>
  <c r="AK346" i="1"/>
  <c r="AK347" i="1"/>
  <c r="AK365" i="1"/>
  <c r="AK383" i="1"/>
  <c r="AK403" i="1"/>
  <c r="AK404" i="1"/>
  <c r="AK405" i="1"/>
  <c r="AK406" i="1"/>
  <c r="AK407" i="1"/>
  <c r="AK408" i="1"/>
  <c r="AK600" i="1"/>
  <c r="AK602" i="1"/>
  <c r="AK606" i="1"/>
  <c r="AK419" i="1"/>
  <c r="AK420" i="1"/>
  <c r="AK421" i="1"/>
  <c r="AK393" i="1"/>
  <c r="AK396" i="1"/>
  <c r="AK424" i="1"/>
  <c r="AK399" i="1"/>
  <c r="AK400" i="1"/>
  <c r="AK427" i="1"/>
  <c r="AK428" i="1"/>
  <c r="AK429" i="1"/>
  <c r="AK430" i="1"/>
  <c r="AK431" i="1"/>
  <c r="AK432" i="1"/>
  <c r="AK401" i="1"/>
  <c r="AK402" i="1"/>
  <c r="AK422" i="1"/>
  <c r="AK423" i="1"/>
  <c r="AK425" i="1"/>
  <c r="AK426" i="1"/>
  <c r="AK433" i="1"/>
  <c r="AK460" i="1"/>
  <c r="AK612" i="1"/>
  <c r="AK443" i="1"/>
  <c r="AK434" i="1"/>
  <c r="AK446" i="1"/>
  <c r="AK447" i="1"/>
  <c r="AK610" i="1"/>
  <c r="AK611" i="1"/>
  <c r="AK436" i="1"/>
  <c r="AK437" i="1"/>
  <c r="AK614" i="1"/>
  <c r="AK500" i="1"/>
  <c r="AK456" i="1"/>
  <c r="AK457" i="1"/>
  <c r="AK438" i="1"/>
  <c r="AK439" i="1"/>
  <c r="AK440" i="1"/>
  <c r="AK441" i="1"/>
  <c r="AK444" i="1"/>
  <c r="AK451" i="1"/>
  <c r="AK464" i="1"/>
  <c r="AK465" i="1"/>
  <c r="AK466" i="1"/>
  <c r="AK467" i="1"/>
  <c r="AK468" i="1"/>
  <c r="AK469" i="1"/>
  <c r="AK452" i="1"/>
  <c r="AK471" i="1"/>
  <c r="AK472" i="1"/>
  <c r="AK473" i="1"/>
  <c r="AK474" i="1"/>
  <c r="AK455" i="1"/>
  <c r="AK479" i="1"/>
  <c r="AK480" i="1"/>
  <c r="AK481" i="1"/>
  <c r="AK482" i="1"/>
  <c r="AK484" i="1"/>
  <c r="AK616" i="1"/>
  <c r="AK486" i="1"/>
  <c r="AK487" i="1"/>
  <c r="AK488" i="1"/>
  <c r="AK618" i="1"/>
  <c r="AK619" i="1"/>
  <c r="AK620" i="1"/>
  <c r="AK492" i="1"/>
  <c r="AK493" i="1"/>
  <c r="AK494" i="1"/>
  <c r="AK496" i="1"/>
  <c r="AK458" i="1"/>
  <c r="AK501" i="1"/>
  <c r="AK502" i="1"/>
  <c r="AK503" i="1"/>
  <c r="AK504" i="1"/>
  <c r="AK505" i="1"/>
  <c r="AK507" i="1"/>
  <c r="AK508" i="1"/>
  <c r="AK459" i="1"/>
  <c r="AK623" i="1"/>
  <c r="AK514" i="1"/>
  <c r="AK515" i="1"/>
  <c r="B84" i="31" l="1"/>
  <c r="C79" i="31"/>
  <c r="L79" i="31" s="1"/>
  <c r="M79" i="31" s="1"/>
  <c r="G79" i="31"/>
  <c r="A83" i="31"/>
  <c r="G78" i="31"/>
  <c r="C78" i="31"/>
  <c r="L78" i="31" s="1"/>
  <c r="M78" i="31" s="1"/>
  <c r="B83" i="31"/>
  <c r="C83" i="31" s="1"/>
  <c r="B87" i="31"/>
  <c r="C87" i="31" s="1"/>
  <c r="C82" i="31"/>
  <c r="AG514" i="1"/>
  <c r="AH514" i="1"/>
  <c r="AI514" i="1"/>
  <c r="AG502" i="1"/>
  <c r="AI502" i="1"/>
  <c r="AG458" i="1"/>
  <c r="AH458" i="1"/>
  <c r="AI458" i="1"/>
  <c r="AG494" i="1"/>
  <c r="AH494" i="1"/>
  <c r="AI494" i="1"/>
  <c r="AG619" i="1"/>
  <c r="AI619" i="1"/>
  <c r="AG486" i="1"/>
  <c r="AI486" i="1"/>
  <c r="AG481" i="1"/>
  <c r="AH481" i="1"/>
  <c r="AI481" i="1"/>
  <c r="AG479" i="1"/>
  <c r="AH479" i="1"/>
  <c r="AI479" i="1"/>
  <c r="AG455" i="1"/>
  <c r="AH455" i="1"/>
  <c r="AI455" i="1"/>
  <c r="AG473" i="1"/>
  <c r="AI473" i="1"/>
  <c r="AG469" i="1"/>
  <c r="AH469" i="1"/>
  <c r="AI469" i="1"/>
  <c r="AG465" i="1"/>
  <c r="AI465" i="1"/>
  <c r="AG451" i="1"/>
  <c r="AH451" i="1"/>
  <c r="AI451" i="1"/>
  <c r="AG515" i="1"/>
  <c r="AH515" i="1"/>
  <c r="AI515" i="1"/>
  <c r="AG623" i="1"/>
  <c r="AI623" i="1"/>
  <c r="AG459" i="1"/>
  <c r="AH459" i="1"/>
  <c r="AI459" i="1"/>
  <c r="AG507" i="1"/>
  <c r="AH507" i="1"/>
  <c r="AI507" i="1"/>
  <c r="AG505" i="1"/>
  <c r="AI505" i="1"/>
  <c r="AG503" i="1"/>
  <c r="AH503" i="1"/>
  <c r="AI503" i="1"/>
  <c r="AG501" i="1"/>
  <c r="AI501" i="1"/>
  <c r="AG496" i="1"/>
  <c r="AH496" i="1"/>
  <c r="AI496" i="1"/>
  <c r="AG493" i="1"/>
  <c r="AH493" i="1"/>
  <c r="AI493" i="1"/>
  <c r="AG620" i="1"/>
  <c r="AI620" i="1"/>
  <c r="AG618" i="1"/>
  <c r="AI618" i="1"/>
  <c r="AG487" i="1"/>
  <c r="AI487" i="1"/>
  <c r="AG616" i="1"/>
  <c r="AI616" i="1"/>
  <c r="AG482" i="1"/>
  <c r="AH482" i="1"/>
  <c r="AI482" i="1"/>
  <c r="AG480" i="1"/>
  <c r="AH480" i="1"/>
  <c r="AI480" i="1"/>
  <c r="AG474" i="1"/>
  <c r="AI474" i="1"/>
  <c r="AG472" i="1"/>
  <c r="AI472" i="1"/>
  <c r="AG452" i="1"/>
  <c r="AH452" i="1"/>
  <c r="AI452" i="1"/>
  <c r="AG468" i="1"/>
  <c r="AH468" i="1" s="1"/>
  <c r="AI468" i="1"/>
  <c r="AG466" i="1"/>
  <c r="AH466" i="1" s="1"/>
  <c r="AI466" i="1"/>
  <c r="AG464" i="1"/>
  <c r="AI464" i="1"/>
  <c r="AG444" i="1"/>
  <c r="AH444" i="1"/>
  <c r="AI444" i="1"/>
  <c r="AG440" i="1"/>
  <c r="AH440" i="1"/>
  <c r="AI440" i="1"/>
  <c r="AG438" i="1"/>
  <c r="AH438" i="1"/>
  <c r="AI438" i="1"/>
  <c r="AG456" i="1"/>
  <c r="AI456" i="1"/>
  <c r="AG614" i="1"/>
  <c r="AI614" i="1"/>
  <c r="AG437" i="1"/>
  <c r="AH437" i="1"/>
  <c r="AI437" i="1"/>
  <c r="AG610" i="1"/>
  <c r="AI610" i="1"/>
  <c r="AG446" i="1"/>
  <c r="AH446" i="1"/>
  <c r="AI446" i="1"/>
  <c r="AG434" i="1"/>
  <c r="AH434" i="1"/>
  <c r="AI434" i="1"/>
  <c r="AG612" i="1"/>
  <c r="AI612" i="1"/>
  <c r="AG433" i="1"/>
  <c r="AH433" i="1"/>
  <c r="AI433" i="1"/>
  <c r="AG425" i="1"/>
  <c r="AH425" i="1"/>
  <c r="AI425" i="1"/>
  <c r="AG422" i="1"/>
  <c r="AH422" i="1"/>
  <c r="AI422" i="1"/>
  <c r="AG402" i="1"/>
  <c r="AH402" i="1"/>
  <c r="AI402" i="1"/>
  <c r="AG432" i="1"/>
  <c r="AI432" i="1"/>
  <c r="AG430" i="1"/>
  <c r="AH430" i="1"/>
  <c r="AI430" i="1"/>
  <c r="AG428" i="1"/>
  <c r="AH428" i="1"/>
  <c r="AI428" i="1"/>
  <c r="AG400" i="1"/>
  <c r="AH400" i="1"/>
  <c r="AI400" i="1"/>
  <c r="AG424" i="1"/>
  <c r="AI424" i="1"/>
  <c r="AG393" i="1"/>
  <c r="AH393" i="1"/>
  <c r="AI393" i="1"/>
  <c r="AG420" i="1"/>
  <c r="AI420" i="1"/>
  <c r="AG606" i="1"/>
  <c r="AI606" i="1"/>
  <c r="AG602" i="1"/>
  <c r="AI602" i="1"/>
  <c r="AG408" i="1"/>
  <c r="AH408" i="1"/>
  <c r="AI408" i="1"/>
  <c r="AG406" i="1"/>
  <c r="AH406" i="1"/>
  <c r="AI406" i="1"/>
  <c r="AG404" i="1"/>
  <c r="AI404" i="1"/>
  <c r="AG383" i="1"/>
  <c r="AH383" i="1"/>
  <c r="AI383" i="1"/>
  <c r="AG347" i="1"/>
  <c r="AH347" i="1"/>
  <c r="AI347" i="1"/>
  <c r="AG398" i="1"/>
  <c r="AI398" i="1"/>
  <c r="AG345" i="1"/>
  <c r="AH345" i="1"/>
  <c r="AI345" i="1"/>
  <c r="AG394" i="1"/>
  <c r="AH394" i="1"/>
  <c r="AI394" i="1"/>
  <c r="AG392" i="1"/>
  <c r="AI392" i="1"/>
  <c r="AG390" i="1"/>
  <c r="AI390" i="1"/>
  <c r="AG388" i="1"/>
  <c r="AI388" i="1"/>
  <c r="AG386" i="1"/>
  <c r="AI386" i="1"/>
  <c r="AG594" i="1"/>
  <c r="AI594" i="1"/>
  <c r="AG374" i="1"/>
  <c r="AH374" i="1"/>
  <c r="AI374" i="1"/>
  <c r="AG372" i="1"/>
  <c r="AH372" i="1"/>
  <c r="AI372" i="1"/>
  <c r="AG368" i="1"/>
  <c r="AH368" i="1"/>
  <c r="AI368" i="1"/>
  <c r="AG592" i="1"/>
  <c r="AI592" i="1"/>
  <c r="AG364" i="1"/>
  <c r="AH364" i="1"/>
  <c r="AI364" i="1"/>
  <c r="AG362" i="1"/>
  <c r="AI362" i="1"/>
  <c r="AG360" i="1"/>
  <c r="AI360" i="1"/>
  <c r="AG358" i="1"/>
  <c r="AI358" i="1"/>
  <c r="AG356" i="1"/>
  <c r="AI356" i="1"/>
  <c r="AG354" i="1"/>
  <c r="AI354" i="1"/>
  <c r="AG352" i="1"/>
  <c r="AI352" i="1"/>
  <c r="AG350" i="1"/>
  <c r="AI350" i="1"/>
  <c r="AG348" i="1"/>
  <c r="AI348" i="1"/>
  <c r="AG293" i="1"/>
  <c r="AH293" i="1"/>
  <c r="AI293" i="1"/>
  <c r="AG589" i="1"/>
  <c r="AI589" i="1"/>
  <c r="AG342" i="1"/>
  <c r="AH342" i="1"/>
  <c r="AI342" i="1"/>
  <c r="AG584" i="1"/>
  <c r="AI584" i="1"/>
  <c r="AG582" i="1"/>
  <c r="AI582" i="1"/>
  <c r="AG580" i="1"/>
  <c r="AI580" i="1"/>
  <c r="AG577" i="1"/>
  <c r="AI577" i="1"/>
  <c r="AG573" i="1"/>
  <c r="AI573" i="1"/>
  <c r="AG571" i="1"/>
  <c r="AI571" i="1"/>
  <c r="AG570" i="1"/>
  <c r="AI570" i="1"/>
  <c r="AG462" i="1"/>
  <c r="AH462" i="1"/>
  <c r="AI462" i="1"/>
  <c r="AG316" i="1"/>
  <c r="AH316" i="1"/>
  <c r="AI316" i="1"/>
  <c r="AG314" i="1"/>
  <c r="AI314" i="1"/>
  <c r="AG312" i="1"/>
  <c r="AI312" i="1"/>
  <c r="AG591" i="1"/>
  <c r="AI591" i="1"/>
  <c r="AG308" i="1"/>
  <c r="AH308" i="1"/>
  <c r="AI308" i="1"/>
  <c r="AG304" i="1"/>
  <c r="AH304" i="1" s="1"/>
  <c r="AI304" i="1"/>
  <c r="AG302" i="1"/>
  <c r="AH302" i="1" s="1"/>
  <c r="AI302" i="1"/>
  <c r="AG300" i="1"/>
  <c r="AH300" i="1"/>
  <c r="AI300" i="1"/>
  <c r="AG296" i="1"/>
  <c r="AH296" i="1"/>
  <c r="AI296" i="1"/>
  <c r="AG294" i="1"/>
  <c r="AH294" i="1"/>
  <c r="AI294" i="1"/>
  <c r="AG292" i="1"/>
  <c r="AH292" i="1" s="1"/>
  <c r="AI292" i="1"/>
  <c r="AG290" i="1"/>
  <c r="AH290" i="1"/>
  <c r="AI290" i="1"/>
  <c r="AG288" i="1"/>
  <c r="AH288" i="1"/>
  <c r="AI288" i="1"/>
  <c r="AG529" i="1"/>
  <c r="AI529" i="1"/>
  <c r="AG527" i="1"/>
  <c r="AI527" i="1"/>
  <c r="AG525" i="1"/>
  <c r="AI525" i="1"/>
  <c r="AG523" i="1"/>
  <c r="AI523" i="1"/>
  <c r="AG278" i="1"/>
  <c r="AI278" i="1"/>
  <c r="AG276" i="1"/>
  <c r="AI276" i="1"/>
  <c r="AG274" i="1"/>
  <c r="AH274" i="1"/>
  <c r="AI274" i="1"/>
  <c r="AG272" i="1"/>
  <c r="AH272" i="1"/>
  <c r="AI272" i="1"/>
  <c r="AG270" i="1"/>
  <c r="AH270" i="1"/>
  <c r="AI270" i="1"/>
  <c r="AG268" i="1"/>
  <c r="AI268" i="1"/>
  <c r="AG266" i="1"/>
  <c r="AI266" i="1"/>
  <c r="AG264" i="1"/>
  <c r="AH264" i="1"/>
  <c r="AI264" i="1"/>
  <c r="AG262" i="1"/>
  <c r="AH262" i="1"/>
  <c r="AI262" i="1"/>
  <c r="AG260" i="1"/>
  <c r="AH260" i="1"/>
  <c r="AI260" i="1"/>
  <c r="AG258" i="1"/>
  <c r="AH258" i="1"/>
  <c r="AI258" i="1"/>
  <c r="AG256" i="1"/>
  <c r="AH256" i="1"/>
  <c r="AI256" i="1"/>
  <c r="AG254" i="1"/>
  <c r="AH254" i="1"/>
  <c r="AI254" i="1"/>
  <c r="AG252" i="1"/>
  <c r="AH252" i="1"/>
  <c r="AI252" i="1"/>
  <c r="AG250" i="1"/>
  <c r="AI250" i="1"/>
  <c r="AG248" i="1"/>
  <c r="AI248" i="1"/>
  <c r="AG244" i="1"/>
  <c r="AH244" i="1"/>
  <c r="AI244" i="1"/>
  <c r="AG242" i="1"/>
  <c r="AH242" i="1"/>
  <c r="AI242" i="1"/>
  <c r="AG236" i="1"/>
  <c r="AH236" i="1"/>
  <c r="AI236" i="1"/>
  <c r="AG234" i="1"/>
  <c r="AH234" i="1"/>
  <c r="AI234" i="1"/>
  <c r="AG103" i="1"/>
  <c r="AH103" i="1"/>
  <c r="AI103" i="1"/>
  <c r="AG221" i="1"/>
  <c r="AI221" i="1"/>
  <c r="AG538" i="1"/>
  <c r="AI538" i="1"/>
  <c r="AG537" i="1"/>
  <c r="AI537" i="1"/>
  <c r="AG535" i="1"/>
  <c r="AI535" i="1"/>
  <c r="AG533" i="1"/>
  <c r="AI533" i="1"/>
  <c r="AG531" i="1"/>
  <c r="AI531" i="1"/>
  <c r="AG215" i="1"/>
  <c r="AI215" i="1"/>
  <c r="AG213" i="1"/>
  <c r="AI213" i="1"/>
  <c r="AG211" i="1"/>
  <c r="AH211" i="1"/>
  <c r="AI211" i="1"/>
  <c r="AG209" i="1"/>
  <c r="AH209" i="1"/>
  <c r="AI209" i="1"/>
  <c r="AG207" i="1"/>
  <c r="AH207" i="1"/>
  <c r="AI207" i="1"/>
  <c r="AG205" i="1"/>
  <c r="AH205" i="1"/>
  <c r="AI205" i="1"/>
  <c r="AG203" i="1"/>
  <c r="AI203" i="1"/>
  <c r="AG201" i="1"/>
  <c r="AH201" i="1"/>
  <c r="AI201" i="1"/>
  <c r="AG199" i="1"/>
  <c r="AH199" i="1"/>
  <c r="AI199" i="1"/>
  <c r="AG197" i="1"/>
  <c r="AI197" i="1"/>
  <c r="AG195" i="1"/>
  <c r="AH195" i="1"/>
  <c r="AI195" i="1"/>
  <c r="AG193" i="1"/>
  <c r="AH193" i="1"/>
  <c r="AI193" i="1"/>
  <c r="AG191" i="1"/>
  <c r="AI191" i="1"/>
  <c r="AG189" i="1"/>
  <c r="AI189" i="1"/>
  <c r="AG516" i="1"/>
  <c r="AI516" i="1"/>
  <c r="AG185" i="1"/>
  <c r="AH185" i="1"/>
  <c r="AI185" i="1"/>
  <c r="AG181" i="1"/>
  <c r="AI181" i="1"/>
  <c r="AG179" i="1"/>
  <c r="AI179" i="1"/>
  <c r="AG506" i="1"/>
  <c r="AI506" i="1"/>
  <c r="AG490" i="1"/>
  <c r="AI490" i="1"/>
  <c r="AG485" i="1"/>
  <c r="AI485" i="1"/>
  <c r="AG449" i="1"/>
  <c r="AI449" i="1"/>
  <c r="AG169" i="1"/>
  <c r="AH169" i="1"/>
  <c r="AI169" i="1"/>
  <c r="AG226" i="1"/>
  <c r="AI226" i="1"/>
  <c r="AG224" i="1"/>
  <c r="AI224" i="1"/>
  <c r="AG222" i="1"/>
  <c r="AI222" i="1"/>
  <c r="AG219" i="1"/>
  <c r="AI219" i="1"/>
  <c r="AG159" i="1"/>
  <c r="AI159" i="1"/>
  <c r="AG157" i="1"/>
  <c r="AH157" i="1"/>
  <c r="AI157" i="1"/>
  <c r="AG155" i="1"/>
  <c r="AH155" i="1"/>
  <c r="AI155" i="1"/>
  <c r="AG153" i="1"/>
  <c r="AH153" i="1"/>
  <c r="AI153" i="1"/>
  <c r="AG151" i="1"/>
  <c r="AH151" i="1"/>
  <c r="AI151" i="1"/>
  <c r="AG149" i="1"/>
  <c r="AI149" i="1"/>
  <c r="AG147" i="1"/>
  <c r="AH147" i="1"/>
  <c r="AI147" i="1"/>
  <c r="AG173" i="1"/>
  <c r="AI173" i="1"/>
  <c r="AG141" i="1"/>
  <c r="AH141" i="1"/>
  <c r="AI141" i="1"/>
  <c r="AG139" i="1"/>
  <c r="AH139" i="1"/>
  <c r="AI139" i="1"/>
  <c r="AG217" i="1"/>
  <c r="AI217" i="1"/>
  <c r="AG187" i="1"/>
  <c r="AI187" i="1"/>
  <c r="AG177" i="1"/>
  <c r="AI177" i="1"/>
  <c r="AG175" i="1"/>
  <c r="AI175" i="1"/>
  <c r="AG129" i="1"/>
  <c r="AH129" i="1"/>
  <c r="AI129" i="1"/>
  <c r="AG117" i="1"/>
  <c r="AI117" i="1"/>
  <c r="AG167" i="1"/>
  <c r="AI167" i="1"/>
  <c r="AG113" i="1"/>
  <c r="AI113" i="1"/>
  <c r="AG111" i="1"/>
  <c r="AI111" i="1"/>
  <c r="AG109" i="1"/>
  <c r="AH109" i="1"/>
  <c r="AI109" i="1"/>
  <c r="AG107" i="1"/>
  <c r="AH107" i="1"/>
  <c r="AI107" i="1"/>
  <c r="AG105" i="1"/>
  <c r="AH105" i="1"/>
  <c r="AI105" i="1"/>
  <c r="AG100" i="1"/>
  <c r="AH100" i="1"/>
  <c r="AI100" i="1"/>
  <c r="AG69" i="1"/>
  <c r="AH69" i="1"/>
  <c r="AI69" i="1"/>
  <c r="AG99" i="1"/>
  <c r="AH99" i="1"/>
  <c r="AI99" i="1"/>
  <c r="AG97" i="1"/>
  <c r="AI97" i="1"/>
  <c r="AG95" i="1"/>
  <c r="AI95" i="1"/>
  <c r="AG93" i="1"/>
  <c r="AI93" i="1"/>
  <c r="AG91" i="1"/>
  <c r="AH91" i="1"/>
  <c r="AI91" i="1"/>
  <c r="AG89" i="1"/>
  <c r="AH89" i="1"/>
  <c r="AI89" i="1"/>
  <c r="AG87" i="1"/>
  <c r="AH87" i="1"/>
  <c r="AI87" i="1"/>
  <c r="AG85" i="1"/>
  <c r="AH85" i="1"/>
  <c r="AI85" i="1"/>
  <c r="AG83" i="1"/>
  <c r="AI83" i="1"/>
  <c r="AG81" i="1"/>
  <c r="AI81" i="1"/>
  <c r="AG79" i="1"/>
  <c r="AI79" i="1"/>
  <c r="AG77" i="1"/>
  <c r="AI77" i="1"/>
  <c r="AG75" i="1"/>
  <c r="AH75" i="1"/>
  <c r="AI75" i="1"/>
  <c r="AG73" i="1"/>
  <c r="AH73" i="1"/>
  <c r="AI73" i="1"/>
  <c r="AG71" i="1"/>
  <c r="AI71" i="1"/>
  <c r="AG66" i="1"/>
  <c r="AH66" i="1"/>
  <c r="AI66" i="1"/>
  <c r="AG65" i="1"/>
  <c r="AH65" i="1"/>
  <c r="AI65" i="1"/>
  <c r="AG57" i="1"/>
  <c r="AH57" i="1"/>
  <c r="AI57" i="1"/>
  <c r="AG63" i="1"/>
  <c r="AH63" i="1"/>
  <c r="AI63" i="1"/>
  <c r="AG59" i="1"/>
  <c r="AI59" i="1"/>
  <c r="AG55" i="1"/>
  <c r="AH55" i="1"/>
  <c r="AI55" i="1"/>
  <c r="AG50" i="1"/>
  <c r="AH50" i="1"/>
  <c r="AI50" i="1"/>
  <c r="AG53" i="1"/>
  <c r="AH53" i="1"/>
  <c r="AI53" i="1"/>
  <c r="AG40" i="1"/>
  <c r="AH40" i="1"/>
  <c r="AI40" i="1"/>
  <c r="AG47" i="1"/>
  <c r="AI47" i="1"/>
  <c r="AG45" i="1"/>
  <c r="AI45" i="1"/>
  <c r="AG43" i="1"/>
  <c r="AI43" i="1"/>
  <c r="AG475" i="1"/>
  <c r="AH475" i="1"/>
  <c r="AI475" i="1"/>
  <c r="AG39" i="1"/>
  <c r="AI39" i="1"/>
  <c r="AG37" i="1"/>
  <c r="AI37" i="1"/>
  <c r="AG70" i="1"/>
  <c r="AI70" i="1"/>
  <c r="AG33" i="1"/>
  <c r="AH33" i="1"/>
  <c r="AI33" i="1"/>
  <c r="AG31" i="1"/>
  <c r="AH31" i="1"/>
  <c r="AI31" i="1"/>
  <c r="AG29" i="1"/>
  <c r="AH29" i="1"/>
  <c r="AI29" i="1"/>
  <c r="AG27" i="1"/>
  <c r="AH27" i="1"/>
  <c r="AI27" i="1"/>
  <c r="AG25" i="1"/>
  <c r="AH25" i="1"/>
  <c r="AI25" i="1"/>
  <c r="AG23" i="1"/>
  <c r="AH23" i="1"/>
  <c r="AI23" i="1"/>
  <c r="AG21" i="1"/>
  <c r="AH21" i="1"/>
  <c r="AI21" i="1"/>
  <c r="AG19" i="1"/>
  <c r="AI19" i="1"/>
  <c r="AG17" i="1"/>
  <c r="AH17" i="1"/>
  <c r="AI17" i="1"/>
  <c r="AG15" i="1"/>
  <c r="AH15" i="1"/>
  <c r="AI15" i="1"/>
  <c r="AG13" i="1"/>
  <c r="AH13" i="1"/>
  <c r="AI13" i="1"/>
  <c r="AG508" i="1"/>
  <c r="AH508" i="1"/>
  <c r="AI508" i="1"/>
  <c r="AG504" i="1"/>
  <c r="AH504" i="1"/>
  <c r="AI504" i="1"/>
  <c r="AG492" i="1"/>
  <c r="AH492" i="1"/>
  <c r="AI492" i="1"/>
  <c r="AG488" i="1"/>
  <c r="AI488" i="1"/>
  <c r="AG484" i="1"/>
  <c r="AH484" i="1" s="1"/>
  <c r="AI484" i="1"/>
  <c r="AG471" i="1"/>
  <c r="AI471" i="1"/>
  <c r="AG467" i="1"/>
  <c r="AH467" i="1" s="1"/>
  <c r="AI467" i="1"/>
  <c r="AG441" i="1"/>
  <c r="AH441" i="1"/>
  <c r="AI441" i="1"/>
  <c r="AG439" i="1"/>
  <c r="AH439" i="1"/>
  <c r="AI439" i="1"/>
  <c r="AG457" i="1"/>
  <c r="AI457" i="1"/>
  <c r="AG500" i="1"/>
  <c r="AH500" i="1"/>
  <c r="AI500" i="1"/>
  <c r="AG436" i="1"/>
  <c r="AH436" i="1"/>
  <c r="AI436" i="1"/>
  <c r="AG611" i="1"/>
  <c r="AI611" i="1"/>
  <c r="AG447" i="1"/>
  <c r="AH447" i="1"/>
  <c r="AI447" i="1"/>
  <c r="AG443" i="1"/>
  <c r="AH443" i="1"/>
  <c r="AI443" i="1"/>
  <c r="AG460" i="1"/>
  <c r="AH460" i="1"/>
  <c r="AI460" i="1"/>
  <c r="AG426" i="1"/>
  <c r="AH426" i="1"/>
  <c r="AI426" i="1"/>
  <c r="AG423" i="1"/>
  <c r="AH423" i="1"/>
  <c r="AI423" i="1"/>
  <c r="AG401" i="1"/>
  <c r="AH401" i="1"/>
  <c r="AI401" i="1"/>
  <c r="AG431" i="1"/>
  <c r="AH431" i="1"/>
  <c r="AI431" i="1"/>
  <c r="AG429" i="1"/>
  <c r="AH429" i="1"/>
  <c r="AI429" i="1"/>
  <c r="AG427" i="1"/>
  <c r="AH427" i="1"/>
  <c r="AI427" i="1"/>
  <c r="AG399" i="1"/>
  <c r="AH399" i="1"/>
  <c r="AI399" i="1"/>
  <c r="AG396" i="1"/>
  <c r="AH396" i="1"/>
  <c r="AI396" i="1"/>
  <c r="AG421" i="1"/>
  <c r="AI421" i="1"/>
  <c r="AG419" i="1"/>
  <c r="AI419" i="1"/>
  <c r="AG600" i="1"/>
  <c r="AI600" i="1"/>
  <c r="AG407" i="1"/>
  <c r="AH407" i="1"/>
  <c r="AI407" i="1"/>
  <c r="AG405" i="1"/>
  <c r="AH405" i="1"/>
  <c r="AI405" i="1"/>
  <c r="AG403" i="1"/>
  <c r="AH403" i="1"/>
  <c r="AI403" i="1"/>
  <c r="AG365" i="1"/>
  <c r="AH365" i="1"/>
  <c r="AI365" i="1"/>
  <c r="AG346" i="1"/>
  <c r="AH346" i="1"/>
  <c r="AI346" i="1"/>
  <c r="AG397" i="1"/>
  <c r="AI397" i="1"/>
  <c r="AG395" i="1"/>
  <c r="AH395" i="1"/>
  <c r="AI395" i="1"/>
  <c r="AG320" i="1"/>
  <c r="AH320" i="1"/>
  <c r="AI320" i="1"/>
  <c r="AG391" i="1"/>
  <c r="AI391" i="1"/>
  <c r="AG389" i="1"/>
  <c r="AI389" i="1"/>
  <c r="AG387" i="1"/>
  <c r="AI387" i="1"/>
  <c r="AG319" i="1"/>
  <c r="AH319" i="1"/>
  <c r="AI319" i="1"/>
  <c r="AG595" i="1"/>
  <c r="AI595" i="1"/>
  <c r="AG373" i="1"/>
  <c r="AH373" i="1"/>
  <c r="AI373" i="1"/>
  <c r="AG371" i="1"/>
  <c r="AH371" i="1"/>
  <c r="AI371" i="1"/>
  <c r="AG367" i="1"/>
  <c r="AH367" i="1"/>
  <c r="AI367" i="1"/>
  <c r="AG301" i="1"/>
  <c r="AH301" i="1"/>
  <c r="AI301" i="1"/>
  <c r="AG363" i="1"/>
  <c r="AI363" i="1"/>
  <c r="AG361" i="1"/>
  <c r="AI361" i="1"/>
  <c r="AG359" i="1"/>
  <c r="AI359" i="1"/>
  <c r="AG357" i="1"/>
  <c r="AI357" i="1"/>
  <c r="AG355" i="1"/>
  <c r="AI355" i="1"/>
  <c r="AG353" i="1"/>
  <c r="AI353" i="1"/>
  <c r="AG351" i="1"/>
  <c r="AI351" i="1"/>
  <c r="AG349" i="1"/>
  <c r="AI349" i="1"/>
  <c r="AG463" i="1"/>
  <c r="AH463" i="1"/>
  <c r="AI463" i="1"/>
  <c r="AG232" i="1"/>
  <c r="AH232" i="1"/>
  <c r="AI232" i="1"/>
  <c r="AG588" i="1"/>
  <c r="AI588" i="1"/>
  <c r="AG581" i="1"/>
  <c r="AI581" i="1"/>
  <c r="AG578" i="1"/>
  <c r="AI578" i="1"/>
  <c r="AG576" i="1"/>
  <c r="AI576" i="1"/>
  <c r="AG572" i="1"/>
  <c r="AI572" i="1"/>
  <c r="AG323" i="1"/>
  <c r="AH323" i="1"/>
  <c r="AI323" i="1"/>
  <c r="AG321" i="1"/>
  <c r="AI321" i="1"/>
  <c r="AG461" i="1"/>
  <c r="AH461" i="1"/>
  <c r="AI461" i="1"/>
  <c r="AG317" i="1"/>
  <c r="AH317" i="1"/>
  <c r="AI317" i="1"/>
  <c r="AG315" i="1"/>
  <c r="AI315" i="1"/>
  <c r="AG313" i="1"/>
  <c r="AI313" i="1"/>
  <c r="AG554" i="1"/>
  <c r="AI554" i="1"/>
  <c r="AG309" i="1"/>
  <c r="AH309" i="1"/>
  <c r="AI309" i="1"/>
  <c r="AG307" i="1"/>
  <c r="AH307" i="1"/>
  <c r="AI307" i="1"/>
  <c r="AG305" i="1"/>
  <c r="AI305" i="1"/>
  <c r="AG303" i="1"/>
  <c r="AH303" i="1" s="1"/>
  <c r="AI303" i="1"/>
  <c r="AG227" i="1"/>
  <c r="AH227" i="1"/>
  <c r="AI227" i="1"/>
  <c r="AG297" i="1"/>
  <c r="AH297" i="1"/>
  <c r="AI297" i="1"/>
  <c r="AG295" i="1"/>
  <c r="AH295" i="1"/>
  <c r="AI295" i="1"/>
  <c r="AG104" i="1"/>
  <c r="AH104" i="1"/>
  <c r="AI104" i="1"/>
  <c r="AG291" i="1"/>
  <c r="AH291" i="1"/>
  <c r="AI291" i="1"/>
  <c r="AG289" i="1"/>
  <c r="AH289" i="1"/>
  <c r="AI289" i="1"/>
  <c r="AG530" i="1"/>
  <c r="AI530" i="1"/>
  <c r="AG528" i="1"/>
  <c r="AI528" i="1"/>
  <c r="AG526" i="1"/>
  <c r="AI526" i="1"/>
  <c r="AG524" i="1"/>
  <c r="AI524" i="1"/>
  <c r="AG279" i="1"/>
  <c r="AI279" i="1"/>
  <c r="AG277" i="1"/>
  <c r="AI277" i="1"/>
  <c r="AG275" i="1"/>
  <c r="AI275" i="1"/>
  <c r="AG273" i="1"/>
  <c r="AH273" i="1"/>
  <c r="AI273" i="1"/>
  <c r="AG271" i="1"/>
  <c r="AH271" i="1"/>
  <c r="AI271" i="1"/>
  <c r="AG269" i="1"/>
  <c r="AH269" i="1"/>
  <c r="AI269" i="1"/>
  <c r="AG267" i="1"/>
  <c r="AI267" i="1"/>
  <c r="AG265" i="1"/>
  <c r="AH265" i="1"/>
  <c r="AI265" i="1"/>
  <c r="AG263" i="1"/>
  <c r="AH263" i="1"/>
  <c r="AI263" i="1"/>
  <c r="AG261" i="1"/>
  <c r="AH261" i="1"/>
  <c r="AI261" i="1"/>
  <c r="AG259" i="1"/>
  <c r="AH259" i="1"/>
  <c r="AI259" i="1"/>
  <c r="AG257" i="1"/>
  <c r="AH257" i="1"/>
  <c r="AI257" i="1"/>
  <c r="AG255" i="1"/>
  <c r="AH255" i="1"/>
  <c r="AI255" i="1"/>
  <c r="AG253" i="1"/>
  <c r="AH253" i="1"/>
  <c r="AI253" i="1"/>
  <c r="AG251" i="1"/>
  <c r="AH251" i="1"/>
  <c r="AI251" i="1"/>
  <c r="AG249" i="1"/>
  <c r="AI249" i="1"/>
  <c r="AG522" i="1"/>
  <c r="AI522" i="1"/>
  <c r="AG243" i="1"/>
  <c r="AH243" i="1"/>
  <c r="AI243" i="1"/>
  <c r="AG241" i="1"/>
  <c r="AH241" i="1"/>
  <c r="AI241" i="1"/>
  <c r="AG235" i="1"/>
  <c r="AH235" i="1"/>
  <c r="AI235" i="1"/>
  <c r="AG518" i="1"/>
  <c r="AI518" i="1"/>
  <c r="AG102" i="1"/>
  <c r="AH102" i="1"/>
  <c r="AI102" i="1"/>
  <c r="AG536" i="1"/>
  <c r="AI536" i="1"/>
  <c r="AG534" i="1"/>
  <c r="AI534" i="1"/>
  <c r="AG532" i="1"/>
  <c r="AI532" i="1"/>
  <c r="AG517" i="1"/>
  <c r="AI517" i="1"/>
  <c r="AG214" i="1"/>
  <c r="AI214" i="1"/>
  <c r="AG208" i="1"/>
  <c r="AH208" i="1"/>
  <c r="AI208" i="1"/>
  <c r="AG206" i="1"/>
  <c r="AH206" i="1"/>
  <c r="AI206" i="1"/>
  <c r="AG204" i="1"/>
  <c r="AI204" i="1"/>
  <c r="AG202" i="1"/>
  <c r="AI202" i="1"/>
  <c r="AG200" i="1"/>
  <c r="AH200" i="1"/>
  <c r="AI200" i="1"/>
  <c r="AG198" i="1"/>
  <c r="AH198" i="1"/>
  <c r="AI198" i="1"/>
  <c r="AG196" i="1"/>
  <c r="AI196" i="1"/>
  <c r="AG194" i="1"/>
  <c r="AH194" i="1"/>
  <c r="AI194" i="1"/>
  <c r="AG192" i="1"/>
  <c r="AH192" i="1"/>
  <c r="AI192" i="1"/>
  <c r="AG190" i="1"/>
  <c r="AH190" i="1"/>
  <c r="AI190" i="1"/>
  <c r="AG188" i="1"/>
  <c r="AH188" i="1"/>
  <c r="AI188" i="1"/>
  <c r="AG513" i="1"/>
  <c r="AI513" i="1"/>
  <c r="AG184" i="1"/>
  <c r="AH184" i="1"/>
  <c r="AI184" i="1"/>
  <c r="AG180" i="1"/>
  <c r="AI180" i="1"/>
  <c r="AG491" i="1"/>
  <c r="AI491" i="1"/>
  <c r="AG489" i="1"/>
  <c r="AI489" i="1"/>
  <c r="AG454" i="1"/>
  <c r="AI454" i="1"/>
  <c r="AG448" i="1"/>
  <c r="AI448" i="1"/>
  <c r="AG228" i="1"/>
  <c r="AI228" i="1"/>
  <c r="AG225" i="1"/>
  <c r="AI225" i="1"/>
  <c r="AG223" i="1"/>
  <c r="AI223" i="1"/>
  <c r="AG220" i="1"/>
  <c r="AI220" i="1"/>
  <c r="AG160" i="1"/>
  <c r="AI160" i="1"/>
  <c r="AG158" i="1"/>
  <c r="AI158" i="1"/>
  <c r="AG156" i="1"/>
  <c r="AH156" i="1"/>
  <c r="AI156" i="1"/>
  <c r="AG154" i="1"/>
  <c r="AH154" i="1"/>
  <c r="AI154" i="1"/>
  <c r="AG152" i="1"/>
  <c r="AI152" i="1"/>
  <c r="AG150" i="1"/>
  <c r="AH150" i="1"/>
  <c r="AI150" i="1"/>
  <c r="AG148" i="1"/>
  <c r="AI148" i="1"/>
  <c r="AG146" i="1"/>
  <c r="AH146" i="1"/>
  <c r="AI146" i="1"/>
  <c r="AG172" i="1"/>
  <c r="AI172" i="1"/>
  <c r="AG171" i="1"/>
  <c r="AI171" i="1"/>
  <c r="AG138" i="1"/>
  <c r="AH138" i="1"/>
  <c r="AI138" i="1"/>
  <c r="AG216" i="1"/>
  <c r="AI216" i="1"/>
  <c r="AG186" i="1"/>
  <c r="AI186" i="1"/>
  <c r="AG176" i="1"/>
  <c r="AI176" i="1"/>
  <c r="AG174" i="1"/>
  <c r="AI174" i="1"/>
  <c r="AG120" i="1"/>
  <c r="AI120" i="1"/>
  <c r="AG118" i="1"/>
  <c r="AI118" i="1"/>
  <c r="AG116" i="1"/>
  <c r="AI116" i="1"/>
  <c r="AG114" i="1"/>
  <c r="AI114" i="1"/>
  <c r="AG166" i="1"/>
  <c r="AH166" i="1" s="1"/>
  <c r="AI166" i="1"/>
  <c r="AG165" i="1"/>
  <c r="AI165" i="1"/>
  <c r="AG106" i="1"/>
  <c r="AH106" i="1"/>
  <c r="AI106" i="1"/>
  <c r="AG101" i="1"/>
  <c r="AH101" i="1"/>
  <c r="AI101" i="1"/>
  <c r="AG92" i="1"/>
  <c r="AH92" i="1"/>
  <c r="AI92" i="1"/>
  <c r="AG67" i="1"/>
  <c r="AH67" i="1"/>
  <c r="AI67" i="1"/>
  <c r="AG96" i="1"/>
  <c r="AI96" i="1"/>
  <c r="AG94" i="1"/>
  <c r="AI94" i="1"/>
  <c r="AG476" i="1"/>
  <c r="AH476" i="1"/>
  <c r="AI476" i="1"/>
  <c r="AG90" i="1"/>
  <c r="AH90" i="1"/>
  <c r="AI90" i="1"/>
  <c r="AG88" i="1"/>
  <c r="AH88" i="1"/>
  <c r="AI88" i="1"/>
  <c r="AG86" i="1"/>
  <c r="AH86" i="1"/>
  <c r="AI86" i="1"/>
  <c r="AG84" i="1"/>
  <c r="AH84" i="1"/>
  <c r="AI84" i="1"/>
  <c r="AG82" i="1"/>
  <c r="AI82" i="1"/>
  <c r="AG80" i="1"/>
  <c r="AI80" i="1"/>
  <c r="AG78" i="1"/>
  <c r="AI78" i="1"/>
  <c r="AG76" i="1"/>
  <c r="AI76" i="1"/>
  <c r="AG74" i="1"/>
  <c r="AH74" i="1"/>
  <c r="AI74" i="1"/>
  <c r="AG72" i="1"/>
  <c r="AI72" i="1"/>
  <c r="AG112" i="1"/>
  <c r="AI112" i="1"/>
  <c r="AG68" i="1"/>
  <c r="AI68" i="1"/>
  <c r="AG60" i="1"/>
  <c r="AH60" i="1"/>
  <c r="AI60" i="1"/>
  <c r="AG64" i="1"/>
  <c r="AH64" i="1"/>
  <c r="AI64" i="1"/>
  <c r="AG62" i="1"/>
  <c r="AI62" i="1"/>
  <c r="AG56" i="1"/>
  <c r="AH56" i="1"/>
  <c r="AI56" i="1"/>
  <c r="AG58" i="1"/>
  <c r="AI58" i="1"/>
  <c r="AG54" i="1"/>
  <c r="AH54" i="1"/>
  <c r="AI54" i="1"/>
  <c r="AG49" i="1"/>
  <c r="AH49" i="1"/>
  <c r="AI49" i="1"/>
  <c r="AG52" i="1"/>
  <c r="AH52" i="1"/>
  <c r="AI52" i="1"/>
  <c r="AG41" i="1"/>
  <c r="AH41" i="1"/>
  <c r="AI41" i="1"/>
  <c r="AG48" i="1"/>
  <c r="AH48" i="1"/>
  <c r="AI48" i="1"/>
  <c r="AG46" i="1"/>
  <c r="AI46" i="1"/>
  <c r="AG44" i="1"/>
  <c r="AI44" i="1"/>
  <c r="AG42" i="1"/>
  <c r="AI42" i="1"/>
  <c r="AG470" i="1"/>
  <c r="AH470" i="1"/>
  <c r="AI470" i="1"/>
  <c r="AG38" i="1"/>
  <c r="AI38" i="1"/>
  <c r="AG36" i="1"/>
  <c r="AI36" i="1"/>
  <c r="AG32" i="1"/>
  <c r="AH32" i="1"/>
  <c r="AI32" i="1"/>
  <c r="AG30" i="1"/>
  <c r="AH30" i="1"/>
  <c r="AI30" i="1"/>
  <c r="AG28" i="1"/>
  <c r="AH28" i="1"/>
  <c r="AI28" i="1"/>
  <c r="AG26" i="1"/>
  <c r="AH26" i="1"/>
  <c r="AI26" i="1"/>
  <c r="AG24" i="1"/>
  <c r="AI24" i="1"/>
  <c r="AG22" i="1"/>
  <c r="AH22" i="1"/>
  <c r="AI22" i="1"/>
  <c r="AG20" i="1"/>
  <c r="AI20" i="1"/>
  <c r="AG18" i="1"/>
  <c r="AI18" i="1"/>
  <c r="AG16" i="1"/>
  <c r="AH16" i="1"/>
  <c r="AI16" i="1"/>
  <c r="AG14" i="1"/>
  <c r="AH14" i="1"/>
  <c r="AI14" i="1"/>
  <c r="G87" i="31" l="1"/>
  <c r="N78" i="31"/>
  <c r="G83" i="31"/>
  <c r="C84" i="31"/>
  <c r="G84" i="31"/>
  <c r="I493" i="1"/>
  <c r="I494" i="1"/>
  <c r="I244" i="1"/>
  <c r="I243" i="1"/>
  <c r="I242" i="1"/>
  <c r="I241" i="1"/>
  <c r="I103" i="1"/>
  <c r="Z196" i="1" l="1"/>
  <c r="Z386" i="1"/>
  <c r="Z315" i="1"/>
  <c r="H196" i="1"/>
  <c r="H386" i="1"/>
  <c r="H315" i="1"/>
  <c r="AA196" i="1"/>
  <c r="AH196" i="1" s="1"/>
  <c r="AA386" i="1"/>
  <c r="AH386" i="1" s="1"/>
  <c r="AA515" i="1"/>
  <c r="H515" i="1"/>
  <c r="AA195" i="1"/>
  <c r="H195" i="1"/>
  <c r="AA12" i="1"/>
  <c r="H12" i="1"/>
  <c r="AA319" i="1"/>
  <c r="H319" i="1"/>
  <c r="H514" i="1"/>
  <c r="H194" i="1"/>
  <c r="H11" i="1"/>
  <c r="H301" i="1"/>
  <c r="AA514" i="1"/>
  <c r="AA194" i="1"/>
  <c r="AA11" i="1"/>
  <c r="H592" i="1"/>
  <c r="H320" i="1"/>
  <c r="AA75" i="1"/>
  <c r="AA74" i="1"/>
  <c r="AA73" i="1"/>
  <c r="AA483" i="1"/>
  <c r="AA10" i="1"/>
  <c r="Z227" i="1"/>
  <c r="H227" i="1"/>
  <c r="H9" i="1"/>
  <c r="Z9" i="1"/>
  <c r="H72" i="1"/>
  <c r="AA72" i="1"/>
  <c r="AH72" i="1" s="1"/>
  <c r="H37" i="1"/>
  <c r="AA37" i="1"/>
  <c r="AH37" i="1" s="1"/>
  <c r="AA493" i="1"/>
  <c r="AE493" i="1" l="1"/>
  <c r="AE483" i="1"/>
  <c r="AE10" i="1"/>
  <c r="AE73" i="1"/>
  <c r="AE75" i="1"/>
  <c r="AE12" i="1"/>
  <c r="AE74" i="1"/>
  <c r="AE11" i="1"/>
  <c r="AD386" i="1"/>
  <c r="AE386" i="1" s="1"/>
  <c r="AF319" i="1"/>
  <c r="AF515" i="1"/>
  <c r="AF72" i="1"/>
  <c r="AD196" i="1"/>
  <c r="AE196" i="1" s="1"/>
  <c r="AF386" i="1"/>
  <c r="AF12" i="1"/>
  <c r="AD12" i="1"/>
  <c r="AF11" i="1"/>
  <c r="AD11" i="1"/>
  <c r="AF75" i="1"/>
  <c r="AD75" i="1"/>
  <c r="AF74" i="1"/>
  <c r="AD74" i="1"/>
  <c r="AF73" i="1"/>
  <c r="AD73" i="1"/>
  <c r="AF483" i="1"/>
  <c r="AD483" i="1"/>
  <c r="AF10" i="1"/>
  <c r="AD10" i="1"/>
  <c r="AF493" i="1"/>
  <c r="AD493" i="1"/>
  <c r="AF196" i="1" l="1"/>
  <c r="AD72" i="1"/>
  <c r="AE72" i="1" s="1"/>
  <c r="AD319" i="1"/>
  <c r="AE319" i="1" s="1"/>
  <c r="AD515" i="1"/>
  <c r="AE514" i="1"/>
  <c r="AE194" i="1"/>
  <c r="AE195" i="1"/>
  <c r="AF37" i="1"/>
  <c r="AE515" i="1"/>
  <c r="AF194" i="1"/>
  <c r="AF195" i="1"/>
  <c r="AD194" i="1"/>
  <c r="AF514" i="1"/>
  <c r="AD195" i="1"/>
  <c r="AD514" i="1"/>
  <c r="AD37" i="1"/>
  <c r="AE37" i="1" s="1"/>
  <c r="AA301" i="1"/>
  <c r="AA315" i="1"/>
  <c r="AH315" i="1" s="1"/>
  <c r="AA592" i="1"/>
  <c r="AH592" i="1" s="1"/>
  <c r="AA320" i="1"/>
  <c r="AA227" i="1"/>
  <c r="AA9" i="1"/>
  <c r="AE9" i="1" l="1"/>
  <c r="AE227" i="1"/>
  <c r="AE320" i="1"/>
  <c r="AF301" i="1"/>
  <c r="AD301" i="1"/>
  <c r="AE301" i="1" s="1"/>
  <c r="AF315" i="1"/>
  <c r="AD315" i="1"/>
  <c r="AE315" i="1" s="1"/>
  <c r="AF592" i="1"/>
  <c r="AD592" i="1"/>
  <c r="AE592" i="1" s="1"/>
  <c r="AF320" i="1"/>
  <c r="AD320" i="1"/>
  <c r="AF227" i="1"/>
  <c r="AD227" i="1"/>
  <c r="AF9" i="1"/>
  <c r="AD9" i="1"/>
  <c r="Z65" i="1" l="1"/>
  <c r="AA65" i="1" s="1"/>
  <c r="Z60" i="1"/>
  <c r="AA60" i="1" s="1"/>
  <c r="Z57" i="1"/>
  <c r="AA57" i="1" s="1"/>
  <c r="Z56" i="1"/>
  <c r="AA56" i="1" s="1"/>
  <c r="H65" i="1"/>
  <c r="H60" i="1"/>
  <c r="H57" i="1"/>
  <c r="H56" i="1"/>
  <c r="H435" i="1"/>
  <c r="AD60" i="1" l="1"/>
  <c r="AE60" i="1" l="1"/>
  <c r="AF57" i="1"/>
  <c r="AE57" i="1"/>
  <c r="AD57" i="1"/>
  <c r="AD65" i="1"/>
  <c r="AF60" i="1"/>
  <c r="AF65" i="1"/>
  <c r="AE65" i="1"/>
  <c r="AF212" i="1" l="1"/>
  <c r="AE212" i="1"/>
  <c r="AD212" i="1"/>
  <c r="AD333" i="1"/>
  <c r="AD416" i="1"/>
  <c r="AE450" i="1"/>
  <c r="AD498" i="1"/>
  <c r="AD499" i="1"/>
  <c r="AE496" i="1" l="1"/>
  <c r="AD34" i="1"/>
  <c r="AD477" i="1"/>
  <c r="AE34" i="1"/>
  <c r="AE499" i="1"/>
  <c r="AE477" i="1"/>
  <c r="AE51" i="1"/>
  <c r="AE417" i="1"/>
  <c r="AE3" i="1"/>
  <c r="AE299" i="1"/>
  <c r="AE5" i="1"/>
  <c r="AF478" i="1"/>
  <c r="AD233" i="1"/>
  <c r="AD453" i="1"/>
  <c r="AD435" i="1"/>
  <c r="AD4" i="1"/>
  <c r="AD231" i="1"/>
  <c r="AD413" i="1"/>
  <c r="AF413" i="1"/>
  <c r="AE413" i="1"/>
  <c r="AD145" i="1"/>
  <c r="AF145" i="1"/>
  <c r="AE145" i="1"/>
  <c r="AE298" i="1"/>
  <c r="AD298" i="1"/>
  <c r="AF298" i="1"/>
  <c r="AF5" i="1"/>
  <c r="AD5" i="1"/>
  <c r="AD478" i="1"/>
  <c r="AE445" i="1"/>
  <c r="AD445" i="1"/>
  <c r="AF445" i="1"/>
  <c r="AD306" i="1"/>
  <c r="AF306" i="1"/>
  <c r="AE306" i="1"/>
  <c r="AD178" i="1"/>
  <c r="AF178" i="1"/>
  <c r="AE178" i="1"/>
  <c r="AE144" i="1"/>
  <c r="AF144" i="1"/>
  <c r="AD144" i="1"/>
  <c r="AF34" i="1"/>
  <c r="AF499" i="1"/>
  <c r="AE478" i="1"/>
  <c r="AF477" i="1"/>
  <c r="AE233" i="1"/>
  <c r="AE453" i="1"/>
  <c r="AE498" i="1"/>
  <c r="AE435" i="1"/>
  <c r="AF450" i="1"/>
  <c r="AD450" i="1"/>
  <c r="AE4" i="1"/>
  <c r="AE231" i="1"/>
  <c r="AF496" i="1"/>
  <c r="AF51" i="1"/>
  <c r="AD51" i="1"/>
  <c r="AF417" i="1"/>
  <c r="AD417" i="1"/>
  <c r="AE416" i="1"/>
  <c r="AF3" i="1"/>
  <c r="AD3" i="1"/>
  <c r="AE333" i="1"/>
  <c r="AF299" i="1"/>
  <c r="AD299" i="1"/>
  <c r="AE183" i="1"/>
  <c r="AD183" i="1"/>
  <c r="AF183" i="1"/>
  <c r="AF233" i="1"/>
  <c r="AF453" i="1"/>
  <c r="AF498" i="1"/>
  <c r="AF435" i="1"/>
  <c r="AF4" i="1"/>
  <c r="AF231" i="1"/>
  <c r="AF416" i="1"/>
  <c r="AF333" i="1"/>
  <c r="AA53" i="1"/>
  <c r="AA52" i="1"/>
  <c r="H52" i="1"/>
  <c r="AA244" i="1"/>
  <c r="H244" i="1"/>
  <c r="AA243" i="1"/>
  <c r="H243" i="1"/>
  <c r="AA242" i="1"/>
  <c r="H242" i="1"/>
  <c r="H241" i="1"/>
  <c r="H482" i="1"/>
  <c r="H481" i="1"/>
  <c r="H480" i="1"/>
  <c r="H479" i="1"/>
  <c r="AA480" i="1"/>
  <c r="AA481" i="1"/>
  <c r="AA482" i="1"/>
  <c r="H32" i="1"/>
  <c r="AA55" i="1"/>
  <c r="AA32" i="1"/>
  <c r="H436" i="1"/>
  <c r="H54" i="1"/>
  <c r="AA33" i="1"/>
  <c r="AA436" i="1"/>
  <c r="AA437" i="1"/>
  <c r="AA31" i="1"/>
  <c r="H49" i="1"/>
  <c r="H26" i="1"/>
  <c r="AA50" i="1"/>
  <c r="AA49" i="1"/>
  <c r="H51" i="1"/>
  <c r="AD496" i="1" l="1"/>
  <c r="AF56" i="1"/>
  <c r="AD56" i="1"/>
  <c r="AE56" i="1"/>
  <c r="AD159" i="1"/>
  <c r="AE159" i="1" s="1"/>
  <c r="AE481" i="1"/>
  <c r="AF481" i="1"/>
  <c r="AD481" i="1"/>
  <c r="AD527" i="1"/>
  <c r="AE272" i="1"/>
  <c r="AD272" i="1"/>
  <c r="AF272" i="1"/>
  <c r="AD390" i="1"/>
  <c r="AE390" i="1" s="1"/>
  <c r="AD27" i="1"/>
  <c r="AE27" i="1" s="1"/>
  <c r="AD24" i="1"/>
  <c r="AE24" i="1" s="1"/>
  <c r="AD38" i="1"/>
  <c r="AE38" i="1" s="1"/>
  <c r="AE470" i="1"/>
  <c r="AD470" i="1"/>
  <c r="AF470" i="1"/>
  <c r="AD62" i="1"/>
  <c r="AE62" i="1" s="1"/>
  <c r="AD47" i="1"/>
  <c r="AE47" i="1" s="1"/>
  <c r="AD48" i="1"/>
  <c r="AF48" i="1"/>
  <c r="AE48" i="1"/>
  <c r="AD66" i="1"/>
  <c r="AF66" i="1"/>
  <c r="AE66" i="1"/>
  <c r="AD93" i="1"/>
  <c r="AE93" i="1" s="1"/>
  <c r="AD77" i="1"/>
  <c r="AE77" i="1" s="1"/>
  <c r="AD81" i="1"/>
  <c r="AE81" i="1" s="1"/>
  <c r="AD97" i="1"/>
  <c r="AE97" i="1" s="1"/>
  <c r="AD88" i="1"/>
  <c r="AF88" i="1"/>
  <c r="AE88" i="1"/>
  <c r="AD96" i="1"/>
  <c r="AE96" i="1" s="1"/>
  <c r="AD69" i="1"/>
  <c r="AF69" i="1"/>
  <c r="AE69" i="1"/>
  <c r="AD165" i="1"/>
  <c r="AE165" i="1" s="1"/>
  <c r="AD111" i="1"/>
  <c r="AE111" i="1" s="1"/>
  <c r="AD114" i="1"/>
  <c r="AE114" i="1" s="1"/>
  <c r="AD175" i="1"/>
  <c r="AE175" i="1" s="1"/>
  <c r="AD187" i="1"/>
  <c r="AE187" i="1" s="1"/>
  <c r="AD139" i="1"/>
  <c r="AF139" i="1"/>
  <c r="AE139" i="1"/>
  <c r="AD173" i="1"/>
  <c r="AE173" i="1" s="1"/>
  <c r="AE153" i="1"/>
  <c r="AD153" i="1"/>
  <c r="AF153" i="1"/>
  <c r="AD219" i="1"/>
  <c r="AE219" i="1" s="1"/>
  <c r="AE480" i="1"/>
  <c r="AD480" i="1"/>
  <c r="AF480" i="1"/>
  <c r="AD190" i="1"/>
  <c r="AE190" i="1" s="1"/>
  <c r="AD491" i="1"/>
  <c r="AE491" i="1" s="1"/>
  <c r="AE241" i="1"/>
  <c r="AF241" i="1"/>
  <c r="AD241" i="1"/>
  <c r="AE155" i="1"/>
  <c r="AD155" i="1"/>
  <c r="AF155" i="1"/>
  <c r="AD513" i="1"/>
  <c r="AE513" i="1" s="1"/>
  <c r="AD179" i="1"/>
  <c r="AE179" i="1" s="1"/>
  <c r="AD197" i="1"/>
  <c r="AE197" i="1" s="1"/>
  <c r="AD248" i="1"/>
  <c r="AE294" i="1"/>
  <c r="AD294" i="1"/>
  <c r="AF294" i="1"/>
  <c r="AD529" i="1"/>
  <c r="AD538" i="1"/>
  <c r="AE274" i="1"/>
  <c r="AD274" i="1"/>
  <c r="AF274" i="1"/>
  <c r="AD2" i="1"/>
  <c r="AF2" i="1"/>
  <c r="AE2" i="1"/>
  <c r="AD389" i="1"/>
  <c r="AE389" i="1" s="1"/>
  <c r="AD19" i="1"/>
  <c r="AE19" i="1" s="1"/>
  <c r="AD23" i="1"/>
  <c r="AF23" i="1"/>
  <c r="AE23" i="1"/>
  <c r="AD30" i="1"/>
  <c r="AF30" i="1"/>
  <c r="AE30" i="1"/>
  <c r="AD70" i="1"/>
  <c r="AE70" i="1" s="1"/>
  <c r="AD44" i="1"/>
  <c r="AE44" i="1" s="1"/>
  <c r="AD475" i="1"/>
  <c r="AF475" i="1"/>
  <c r="AE475" i="1"/>
  <c r="AD64" i="1"/>
  <c r="AF64" i="1"/>
  <c r="AE64" i="1"/>
  <c r="AD391" i="1"/>
  <c r="AE391" i="1" s="1"/>
  <c r="AE41" i="1"/>
  <c r="AD41" i="1"/>
  <c r="AF41" i="1"/>
  <c r="AE84" i="1"/>
  <c r="AD84" i="1"/>
  <c r="AF84" i="1"/>
  <c r="AD91" i="1"/>
  <c r="AF91" i="1"/>
  <c r="AE91" i="1"/>
  <c r="AD80" i="1"/>
  <c r="AE80" i="1" s="1"/>
  <c r="AD83" i="1"/>
  <c r="AE83" i="1" s="1"/>
  <c r="AD87" i="1"/>
  <c r="AE87" i="1" s="1"/>
  <c r="AF87" i="1"/>
  <c r="AD95" i="1"/>
  <c r="AE95" i="1" s="1"/>
  <c r="AE67" i="1"/>
  <c r="AD67" i="1"/>
  <c r="AF67" i="1"/>
  <c r="AE101" i="1"/>
  <c r="AD101" i="1"/>
  <c r="AF101" i="1"/>
  <c r="AE107" i="1"/>
  <c r="AD107" i="1"/>
  <c r="AF107" i="1"/>
  <c r="AD113" i="1"/>
  <c r="AE113" i="1" s="1"/>
  <c r="AD118" i="1"/>
  <c r="AE118" i="1" s="1"/>
  <c r="AD174" i="1"/>
  <c r="AE174" i="1" s="1"/>
  <c r="AD186" i="1"/>
  <c r="AE186" i="1" s="1"/>
  <c r="AE138" i="1"/>
  <c r="AD138" i="1"/>
  <c r="AF138" i="1"/>
  <c r="AD172" i="1"/>
  <c r="AE172" i="1" s="1"/>
  <c r="AD147" i="1"/>
  <c r="AF147" i="1"/>
  <c r="AE147" i="1"/>
  <c r="AD151" i="1"/>
  <c r="AF151" i="1"/>
  <c r="AE151" i="1"/>
  <c r="AD154" i="1"/>
  <c r="AF154" i="1"/>
  <c r="AE154" i="1"/>
  <c r="AD158" i="1"/>
  <c r="AE158" i="1" s="1"/>
  <c r="AD220" i="1"/>
  <c r="AE220" i="1" s="1"/>
  <c r="AD225" i="1"/>
  <c r="AE225" i="1" s="1"/>
  <c r="AD185" i="1"/>
  <c r="AF185" i="1"/>
  <c r="AE185" i="1"/>
  <c r="AD191" i="1"/>
  <c r="AE191" i="1" s="1"/>
  <c r="AD193" i="1"/>
  <c r="AE193" i="1" s="1"/>
  <c r="AD485" i="1"/>
  <c r="AE485" i="1" s="1"/>
  <c r="AD506" i="1"/>
  <c r="AE506" i="1" s="1"/>
  <c r="AD482" i="1"/>
  <c r="AF482" i="1"/>
  <c r="AE482" i="1"/>
  <c r="AD244" i="1"/>
  <c r="AF244" i="1"/>
  <c r="AE244" i="1"/>
  <c r="AD202" i="1"/>
  <c r="AE202" i="1" s="1"/>
  <c r="AD443" i="1"/>
  <c r="AE443" i="1" s="1"/>
  <c r="AD235" i="1"/>
  <c r="AF235" i="1"/>
  <c r="AE235" i="1"/>
  <c r="AD214" i="1"/>
  <c r="AD517" i="1"/>
  <c r="AD526" i="1"/>
  <c r="AD531" i="1"/>
  <c r="AD535" i="1"/>
  <c r="AD102" i="1"/>
  <c r="AE102" i="1" s="1"/>
  <c r="AD271" i="1"/>
  <c r="AF271" i="1"/>
  <c r="AE271" i="1"/>
  <c r="AD275" i="1"/>
  <c r="AD8" i="1"/>
  <c r="AF8" i="1"/>
  <c r="AE8" i="1"/>
  <c r="AD13" i="1"/>
  <c r="AF13" i="1"/>
  <c r="AE13" i="1"/>
  <c r="AD251" i="1"/>
  <c r="AF251" i="1"/>
  <c r="AE251" i="1"/>
  <c r="AD255" i="1"/>
  <c r="AF255" i="1"/>
  <c r="AE255" i="1"/>
  <c r="AD264" i="1"/>
  <c r="AF264" i="1"/>
  <c r="AE264" i="1"/>
  <c r="AD263" i="1"/>
  <c r="AF263" i="1"/>
  <c r="AE263" i="1"/>
  <c r="AD109" i="1"/>
  <c r="AF109" i="1"/>
  <c r="AE109" i="1"/>
  <c r="AD300" i="1"/>
  <c r="AF300" i="1"/>
  <c r="AE300" i="1"/>
  <c r="AD184" i="1"/>
  <c r="AF184" i="1"/>
  <c r="AE184" i="1"/>
  <c r="AD303" i="1"/>
  <c r="AE303" i="1" s="1"/>
  <c r="AF303" i="1"/>
  <c r="AD308" i="1"/>
  <c r="AF308" i="1"/>
  <c r="AE308" i="1"/>
  <c r="AD313" i="1"/>
  <c r="AE313" i="1" s="1"/>
  <c r="AD461" i="1"/>
  <c r="AF461" i="1"/>
  <c r="AE461" i="1"/>
  <c r="AD323" i="1"/>
  <c r="AF323" i="1"/>
  <c r="AE323" i="1"/>
  <c r="AD589" i="1"/>
  <c r="AE589" i="1" s="1"/>
  <c r="AD573" i="1"/>
  <c r="AE573" i="1" s="1"/>
  <c r="AD580" i="1"/>
  <c r="AE580" i="1" s="1"/>
  <c r="AD198" i="1"/>
  <c r="AF198" i="1"/>
  <c r="AE198" i="1"/>
  <c r="AD348" i="1"/>
  <c r="AE348" i="1" s="1"/>
  <c r="AD352" i="1"/>
  <c r="AE352" i="1" s="1"/>
  <c r="AD356" i="1"/>
  <c r="AE356" i="1" s="1"/>
  <c r="AD360" i="1"/>
  <c r="AE360" i="1" s="1"/>
  <c r="AE364" i="1"/>
  <c r="AD364" i="1"/>
  <c r="AF364" i="1"/>
  <c r="AE374" i="1"/>
  <c r="AD374" i="1"/>
  <c r="AF374" i="1"/>
  <c r="AE199" i="1"/>
  <c r="AD199" i="1"/>
  <c r="AF199" i="1"/>
  <c r="AD345" i="1"/>
  <c r="AE345" i="1" s="1"/>
  <c r="AE405" i="1"/>
  <c r="AD405" i="1"/>
  <c r="AF405" i="1"/>
  <c r="AE403" i="1"/>
  <c r="AD403" i="1"/>
  <c r="AF403" i="1"/>
  <c r="AE407" i="1"/>
  <c r="AD407" i="1"/>
  <c r="AF407" i="1"/>
  <c r="AE211" i="1"/>
  <c r="AD211" i="1"/>
  <c r="AF211" i="1"/>
  <c r="AD602" i="1"/>
  <c r="AE602" i="1" s="1"/>
  <c r="AD419" i="1"/>
  <c r="AE419" i="1" s="1"/>
  <c r="AE427" i="1"/>
  <c r="AD427" i="1"/>
  <c r="AF427" i="1"/>
  <c r="AD393" i="1"/>
  <c r="AE393" i="1" s="1"/>
  <c r="AD399" i="1"/>
  <c r="AE399" i="1" s="1"/>
  <c r="AE394" i="1"/>
  <c r="AD394" i="1"/>
  <c r="AF394" i="1"/>
  <c r="AE492" i="1"/>
  <c r="AD492" i="1"/>
  <c r="AF492" i="1"/>
  <c r="AE433" i="1"/>
  <c r="AD433" i="1"/>
  <c r="AF433" i="1"/>
  <c r="AE447" i="1"/>
  <c r="AD447" i="1"/>
  <c r="AF447" i="1"/>
  <c r="AD464" i="1"/>
  <c r="AE464" i="1" s="1"/>
  <c r="AD468" i="1"/>
  <c r="AE468" i="1" s="1"/>
  <c r="AF468" i="1"/>
  <c r="AE441" i="1"/>
  <c r="AD441" i="1"/>
  <c r="AF441" i="1"/>
  <c r="AD473" i="1"/>
  <c r="AE473" i="1" s="1"/>
  <c r="AD616" i="1"/>
  <c r="AE616" i="1" s="1"/>
  <c r="AD487" i="1"/>
  <c r="AE487" i="1" s="1"/>
  <c r="AD268" i="1"/>
  <c r="AE494" i="1"/>
  <c r="AD494" i="1"/>
  <c r="AF494" i="1"/>
  <c r="AD623" i="1"/>
  <c r="AE623" i="1" s="1"/>
  <c r="AD502" i="1"/>
  <c r="AD431" i="1"/>
  <c r="AE431" i="1" s="1"/>
  <c r="AF431" i="1"/>
  <c r="AE31" i="1"/>
  <c r="AD31" i="1"/>
  <c r="AF31" i="1"/>
  <c r="AE55" i="1"/>
  <c r="AD55" i="1"/>
  <c r="AF55" i="1"/>
  <c r="AE33" i="1"/>
  <c r="AD33" i="1"/>
  <c r="AF33" i="1"/>
  <c r="AD277" i="1"/>
  <c r="AD252" i="1"/>
  <c r="AE252" i="1" s="1"/>
  <c r="AD256" i="1"/>
  <c r="AE256" i="1" s="1"/>
  <c r="AD259" i="1"/>
  <c r="AE259" i="1" s="1"/>
  <c r="AD265" i="1"/>
  <c r="AE265" i="1" s="1"/>
  <c r="AD530" i="1"/>
  <c r="AE146" i="1"/>
  <c r="AD146" i="1"/>
  <c r="AF146" i="1"/>
  <c r="AD292" i="1"/>
  <c r="AE292" i="1" s="1"/>
  <c r="AE290" i="1"/>
  <c r="AD290" i="1"/>
  <c r="AF290" i="1"/>
  <c r="AD304" i="1"/>
  <c r="AE304" i="1" s="1"/>
  <c r="AF304" i="1"/>
  <c r="AE309" i="1"/>
  <c r="AD309" i="1"/>
  <c r="AF309" i="1"/>
  <c r="AD312" i="1"/>
  <c r="AE312" i="1" s="1"/>
  <c r="AE342" i="1"/>
  <c r="AD342" i="1"/>
  <c r="AF342" i="1"/>
  <c r="AD588" i="1"/>
  <c r="AE588" i="1" s="1"/>
  <c r="AD572" i="1"/>
  <c r="AE572" i="1" s="1"/>
  <c r="AD578" i="1"/>
  <c r="AE578" i="1" s="1"/>
  <c r="AD584" i="1"/>
  <c r="AE584" i="1" s="1"/>
  <c r="AE463" i="1"/>
  <c r="AF463" i="1"/>
  <c r="AD463" i="1"/>
  <c r="AD351" i="1"/>
  <c r="AE351" i="1" s="1"/>
  <c r="AD355" i="1"/>
  <c r="AE355" i="1" s="1"/>
  <c r="AD359" i="1"/>
  <c r="AE359" i="1" s="1"/>
  <c r="AD363" i="1"/>
  <c r="AE363" i="1" s="1"/>
  <c r="AD373" i="1"/>
  <c r="AF373" i="1"/>
  <c r="AE373" i="1"/>
  <c r="AD594" i="1"/>
  <c r="AE594" i="1" s="1"/>
  <c r="AD395" i="1"/>
  <c r="AF395" i="1"/>
  <c r="AE395" i="1"/>
  <c r="AD346" i="1"/>
  <c r="AE346" i="1" s="1"/>
  <c r="AD383" i="1"/>
  <c r="AF383" i="1"/>
  <c r="AE383" i="1"/>
  <c r="AD406" i="1"/>
  <c r="AF406" i="1"/>
  <c r="AE406" i="1"/>
  <c r="AD208" i="1"/>
  <c r="AF208" i="1"/>
  <c r="AE208" i="1"/>
  <c r="AD600" i="1"/>
  <c r="AE600" i="1" s="1"/>
  <c r="AD420" i="1"/>
  <c r="AE420" i="1" s="1"/>
  <c r="AD428" i="1"/>
  <c r="AF428" i="1"/>
  <c r="AE428" i="1"/>
  <c r="AD396" i="1"/>
  <c r="AE396" i="1" s="1"/>
  <c r="AD400" i="1"/>
  <c r="AE400" i="1" s="1"/>
  <c r="AD425" i="1"/>
  <c r="AF425" i="1"/>
  <c r="AE425" i="1"/>
  <c r="AD469" i="1"/>
  <c r="AF469" i="1"/>
  <c r="AE469" i="1"/>
  <c r="AD426" i="1"/>
  <c r="AF426" i="1"/>
  <c r="AE426" i="1"/>
  <c r="AD446" i="1"/>
  <c r="AF446" i="1"/>
  <c r="AE446" i="1"/>
  <c r="AD440" i="1"/>
  <c r="AF440" i="1"/>
  <c r="AE440" i="1"/>
  <c r="AD467" i="1"/>
  <c r="AE467" i="1" s="1"/>
  <c r="AF467" i="1"/>
  <c r="AD500" i="1"/>
  <c r="AF500" i="1"/>
  <c r="AE500" i="1"/>
  <c r="AD518" i="1"/>
  <c r="AD472" i="1"/>
  <c r="AE472" i="1" s="1"/>
  <c r="AD484" i="1"/>
  <c r="AE484" i="1" s="1"/>
  <c r="AF484" i="1"/>
  <c r="AD619" i="1"/>
  <c r="AE619" i="1" s="1"/>
  <c r="AD267" i="1"/>
  <c r="AD458" i="1"/>
  <c r="AF458" i="1"/>
  <c r="AE458" i="1"/>
  <c r="AD459" i="1"/>
  <c r="AE459" i="1" s="1"/>
  <c r="AD505" i="1"/>
  <c r="AE505" i="1" s="1"/>
  <c r="AD52" i="1"/>
  <c r="AF52" i="1"/>
  <c r="AE52" i="1"/>
  <c r="AD49" i="1"/>
  <c r="AF49" i="1"/>
  <c r="AE49" i="1"/>
  <c r="AD32" i="1"/>
  <c r="AF32" i="1"/>
  <c r="AE32" i="1"/>
  <c r="AD188" i="1"/>
  <c r="AE188" i="1" s="1"/>
  <c r="AD434" i="1"/>
  <c r="AE434" i="1" s="1"/>
  <c r="AD215" i="1"/>
  <c r="AD536" i="1"/>
  <c r="AD20" i="1"/>
  <c r="AE20" i="1" s="1"/>
  <c r="AE479" i="1"/>
  <c r="AD479" i="1"/>
  <c r="AF479" i="1"/>
  <c r="AD226" i="1"/>
  <c r="AE226" i="1" s="1"/>
  <c r="AD489" i="1"/>
  <c r="AE489" i="1" s="1"/>
  <c r="AD203" i="1"/>
  <c r="AE203" i="1" s="1"/>
  <c r="AE234" i="1"/>
  <c r="AD234" i="1"/>
  <c r="AF234" i="1"/>
  <c r="AD523" i="1"/>
  <c r="AD532" i="1"/>
  <c r="AE6" i="1"/>
  <c r="AD6" i="1"/>
  <c r="AF6" i="1"/>
  <c r="AD250" i="1"/>
  <c r="AD388" i="1"/>
  <c r="AE388" i="1" s="1"/>
  <c r="AD18" i="1"/>
  <c r="AE18" i="1" s="1"/>
  <c r="AE22" i="1"/>
  <c r="AF22" i="1"/>
  <c r="AD22" i="1"/>
  <c r="AD29" i="1"/>
  <c r="AE29" i="1" s="1"/>
  <c r="AE25" i="1"/>
  <c r="AF25" i="1"/>
  <c r="AD25" i="1"/>
  <c r="AD42" i="1"/>
  <c r="AE42" i="1" s="1"/>
  <c r="AD45" i="1"/>
  <c r="AE45" i="1" s="1"/>
  <c r="AE63" i="1"/>
  <c r="AF63" i="1"/>
  <c r="AD63" i="1"/>
  <c r="AD71" i="1"/>
  <c r="AE71" i="1" s="1"/>
  <c r="AD40" i="1"/>
  <c r="AF40" i="1"/>
  <c r="AE40" i="1"/>
  <c r="AD68" i="1"/>
  <c r="AE68" i="1" s="1"/>
  <c r="AE476" i="1"/>
  <c r="AF476" i="1"/>
  <c r="AD476" i="1"/>
  <c r="AD79" i="1"/>
  <c r="AE79" i="1" s="1"/>
  <c r="AD392" i="1"/>
  <c r="AE392" i="1" s="1"/>
  <c r="AD86" i="1"/>
  <c r="AF86" i="1"/>
  <c r="AE86" i="1"/>
  <c r="AD76" i="1"/>
  <c r="AE76" i="1" s="1"/>
  <c r="AD90" i="1"/>
  <c r="AF90" i="1"/>
  <c r="AE90" i="1"/>
  <c r="AD100" i="1"/>
  <c r="AF100" i="1"/>
  <c r="AE100" i="1"/>
  <c r="AD106" i="1"/>
  <c r="AF106" i="1"/>
  <c r="AE106" i="1"/>
  <c r="AD167" i="1"/>
  <c r="AE167" i="1" s="1"/>
  <c r="AD117" i="1"/>
  <c r="AE117" i="1" s="1"/>
  <c r="AD177" i="1"/>
  <c r="AE177" i="1" s="1"/>
  <c r="AD217" i="1"/>
  <c r="AE217" i="1" s="1"/>
  <c r="AD141" i="1"/>
  <c r="AF141" i="1"/>
  <c r="AE141" i="1"/>
  <c r="AE150" i="1"/>
  <c r="AD150" i="1"/>
  <c r="AF150" i="1"/>
  <c r="AE157" i="1"/>
  <c r="AD157" i="1"/>
  <c r="AF157" i="1"/>
  <c r="AD224" i="1"/>
  <c r="AE224" i="1" s="1"/>
  <c r="AD516" i="1"/>
  <c r="AE516" i="1" s="1"/>
  <c r="AD454" i="1"/>
  <c r="AE454" i="1" s="1"/>
  <c r="AD181" i="1"/>
  <c r="AE181" i="1" s="1"/>
  <c r="AD148" i="1"/>
  <c r="AE148" i="1" s="1"/>
  <c r="AD222" i="1"/>
  <c r="AE222" i="1" s="1"/>
  <c r="AD448" i="1"/>
  <c r="AE448" i="1" s="1"/>
  <c r="AE243" i="1"/>
  <c r="AD243" i="1"/>
  <c r="AF243" i="1"/>
  <c r="AD104" i="1"/>
  <c r="AE104" i="1" s="1"/>
  <c r="AD213" i="1"/>
  <c r="AD525" i="1"/>
  <c r="AD534" i="1"/>
  <c r="AE270" i="1"/>
  <c r="AD270" i="1"/>
  <c r="AF270" i="1"/>
  <c r="AE7" i="1"/>
  <c r="AD7" i="1"/>
  <c r="AF7" i="1"/>
  <c r="AD387" i="1"/>
  <c r="AE387" i="1" s="1"/>
  <c r="AD17" i="1"/>
  <c r="AF17" i="1"/>
  <c r="AE17" i="1"/>
  <c r="AD14" i="1"/>
  <c r="AF14" i="1"/>
  <c r="AE14" i="1"/>
  <c r="AD28" i="1"/>
  <c r="AF28" i="1"/>
  <c r="AE28" i="1"/>
  <c r="AD36" i="1"/>
  <c r="AE36" i="1" s="1"/>
  <c r="AD39" i="1"/>
  <c r="AE39" i="1" s="1"/>
  <c r="AD43" i="1"/>
  <c r="AE43" i="1" s="1"/>
  <c r="AD46" i="1"/>
  <c r="AE46" i="1" s="1"/>
  <c r="AD58" i="1"/>
  <c r="AE58" i="1" s="1"/>
  <c r="AD59" i="1"/>
  <c r="AE59" i="1" s="1"/>
  <c r="AD112" i="1"/>
  <c r="AE112" i="1" s="1"/>
  <c r="AD94" i="1"/>
  <c r="AE94" i="1" s="1"/>
  <c r="AD78" i="1"/>
  <c r="AE78" i="1" s="1"/>
  <c r="AD82" i="1"/>
  <c r="AE82" i="1" s="1"/>
  <c r="AD85" i="1"/>
  <c r="AE85" i="1" s="1"/>
  <c r="AF85" i="1"/>
  <c r="AD89" i="1"/>
  <c r="AE89" i="1" s="1"/>
  <c r="AF89" i="1"/>
  <c r="AE99" i="1"/>
  <c r="AD99" i="1"/>
  <c r="AF99" i="1"/>
  <c r="AE92" i="1"/>
  <c r="AD92" i="1"/>
  <c r="AF92" i="1"/>
  <c r="AE105" i="1"/>
  <c r="AD105" i="1"/>
  <c r="AF105" i="1"/>
  <c r="AD166" i="1"/>
  <c r="AD116" i="1"/>
  <c r="AE116" i="1" s="1"/>
  <c r="AD120" i="1"/>
  <c r="AE120" i="1" s="1"/>
  <c r="AD176" i="1"/>
  <c r="AE176" i="1" s="1"/>
  <c r="AD216" i="1"/>
  <c r="AE216" i="1" s="1"/>
  <c r="AD171" i="1"/>
  <c r="AE171" i="1" s="1"/>
  <c r="AE129" i="1"/>
  <c r="AD129" i="1"/>
  <c r="AF129" i="1"/>
  <c r="AD149" i="1"/>
  <c r="AE149" i="1" s="1"/>
  <c r="AD152" i="1"/>
  <c r="AE152" i="1" s="1"/>
  <c r="AD156" i="1"/>
  <c r="AF156" i="1"/>
  <c r="AE156" i="1"/>
  <c r="AD160" i="1"/>
  <c r="AE160" i="1" s="1"/>
  <c r="AD223" i="1"/>
  <c r="AE223" i="1" s="1"/>
  <c r="AD228" i="1"/>
  <c r="AE228" i="1" s="1"/>
  <c r="AD189" i="1"/>
  <c r="AE189" i="1" s="1"/>
  <c r="AD192" i="1"/>
  <c r="AE192" i="1" s="1"/>
  <c r="AD449" i="1"/>
  <c r="AE449" i="1" s="1"/>
  <c r="AD490" i="1"/>
  <c r="AE490" i="1" s="1"/>
  <c r="AD180" i="1"/>
  <c r="AE180" i="1" s="1"/>
  <c r="AD242" i="1"/>
  <c r="AF242" i="1"/>
  <c r="AE242" i="1"/>
  <c r="AD209" i="1"/>
  <c r="AF209" i="1"/>
  <c r="AE209" i="1"/>
  <c r="AD204" i="1"/>
  <c r="AE204" i="1" s="1"/>
  <c r="AD522" i="1"/>
  <c r="AD236" i="1"/>
  <c r="AF236" i="1"/>
  <c r="AE236" i="1"/>
  <c r="AD455" i="1"/>
  <c r="AE455" i="1" s="1"/>
  <c r="AD524" i="1"/>
  <c r="AD528" i="1"/>
  <c r="AD533" i="1"/>
  <c r="AD537" i="1"/>
  <c r="AD249" i="1"/>
  <c r="AD273" i="1"/>
  <c r="AF273" i="1"/>
  <c r="AE273" i="1"/>
  <c r="AD276" i="1"/>
  <c r="AD278" i="1"/>
  <c r="AD253" i="1"/>
  <c r="AF253" i="1"/>
  <c r="AE253" i="1"/>
  <c r="AD257" i="1"/>
  <c r="AF257" i="1"/>
  <c r="AE257" i="1"/>
  <c r="AD260" i="1"/>
  <c r="AE260" i="1" s="1"/>
  <c r="AD269" i="1"/>
  <c r="AE269" i="1" s="1"/>
  <c r="AD15" i="1"/>
  <c r="AF15" i="1"/>
  <c r="AE15" i="1"/>
  <c r="AD169" i="1"/>
  <c r="AF169" i="1"/>
  <c r="AE169" i="1"/>
  <c r="AD296" i="1"/>
  <c r="AF296" i="1"/>
  <c r="AE296" i="1"/>
  <c r="AD291" i="1"/>
  <c r="AF291" i="1"/>
  <c r="AE291" i="1"/>
  <c r="AD305" i="1"/>
  <c r="AE305" i="1" s="1"/>
  <c r="AD591" i="1"/>
  <c r="AE591" i="1" s="1"/>
  <c r="AD317" i="1"/>
  <c r="AF317" i="1"/>
  <c r="AE317" i="1"/>
  <c r="AD570" i="1"/>
  <c r="AE570" i="1" s="1"/>
  <c r="AD321" i="1"/>
  <c r="AE321" i="1" s="1"/>
  <c r="AD571" i="1"/>
  <c r="AE571" i="1" s="1"/>
  <c r="AD577" i="1"/>
  <c r="AE577" i="1" s="1"/>
  <c r="AD582" i="1"/>
  <c r="AE582" i="1" s="1"/>
  <c r="AD205" i="1"/>
  <c r="AF205" i="1"/>
  <c r="AE205" i="1"/>
  <c r="AD350" i="1"/>
  <c r="AE350" i="1" s="1"/>
  <c r="AD354" i="1"/>
  <c r="AE354" i="1" s="1"/>
  <c r="AD358" i="1"/>
  <c r="AE358" i="1" s="1"/>
  <c r="AD362" i="1"/>
  <c r="AE362" i="1" s="1"/>
  <c r="AE372" i="1"/>
  <c r="AD372" i="1"/>
  <c r="AF372" i="1"/>
  <c r="AD595" i="1"/>
  <c r="AE595" i="1" s="1"/>
  <c r="AE200" i="1"/>
  <c r="AD200" i="1"/>
  <c r="AF200" i="1"/>
  <c r="AD398" i="1"/>
  <c r="AE398" i="1" s="1"/>
  <c r="AE365" i="1"/>
  <c r="AD365" i="1"/>
  <c r="AF365" i="1"/>
  <c r="AD606" i="1"/>
  <c r="AE606" i="1" s="1"/>
  <c r="AE201" i="1"/>
  <c r="AD201" i="1"/>
  <c r="AF201" i="1"/>
  <c r="AE289" i="1"/>
  <c r="AD289" i="1"/>
  <c r="AF289" i="1"/>
  <c r="AE316" i="1"/>
  <c r="AD316" i="1"/>
  <c r="AF316" i="1"/>
  <c r="AE367" i="1"/>
  <c r="AD367" i="1"/>
  <c r="AF367" i="1"/>
  <c r="AE429" i="1"/>
  <c r="AD429" i="1"/>
  <c r="AF429" i="1"/>
  <c r="AD424" i="1"/>
  <c r="AE424" i="1" s="1"/>
  <c r="AE423" i="1"/>
  <c r="AD423" i="1"/>
  <c r="AF423" i="1"/>
  <c r="AE460" i="1"/>
  <c r="AD460" i="1"/>
  <c r="AF460" i="1"/>
  <c r="AE507" i="1"/>
  <c r="AD507" i="1"/>
  <c r="AF507" i="1"/>
  <c r="AE402" i="1"/>
  <c r="AD402" i="1"/>
  <c r="AF402" i="1"/>
  <c r="AE439" i="1"/>
  <c r="AD439" i="1"/>
  <c r="AF439" i="1"/>
  <c r="AD466" i="1"/>
  <c r="AE466" i="1" s="1"/>
  <c r="AF466" i="1"/>
  <c r="AD457" i="1"/>
  <c r="AE457" i="1" s="1"/>
  <c r="AE451" i="1"/>
  <c r="AD451" i="1"/>
  <c r="AF451" i="1"/>
  <c r="AD471" i="1"/>
  <c r="AE471" i="1" s="1"/>
  <c r="AD266" i="1"/>
  <c r="AD486" i="1"/>
  <c r="AE486" i="1" s="1"/>
  <c r="AD488" i="1"/>
  <c r="AE488" i="1" s="1"/>
  <c r="AD611" i="1"/>
  <c r="AE611" i="1" s="1"/>
  <c r="AD501" i="1"/>
  <c r="AE508" i="1"/>
  <c r="AD508" i="1"/>
  <c r="AF508" i="1"/>
  <c r="AE504" i="1"/>
  <c r="AD504" i="1"/>
  <c r="AF504" i="1"/>
  <c r="AE53" i="1"/>
  <c r="AD53" i="1"/>
  <c r="AF53" i="1"/>
  <c r="AE50" i="1"/>
  <c r="AD50" i="1"/>
  <c r="AF50" i="1"/>
  <c r="AE103" i="1"/>
  <c r="AD103" i="1"/>
  <c r="AF103" i="1"/>
  <c r="AE437" i="1"/>
  <c r="AD437" i="1"/>
  <c r="AF437" i="1"/>
  <c r="AD279" i="1"/>
  <c r="AD254" i="1"/>
  <c r="AE254" i="1" s="1"/>
  <c r="AD258" i="1"/>
  <c r="AE258" i="1" s="1"/>
  <c r="AE261" i="1"/>
  <c r="AD261" i="1"/>
  <c r="AF261" i="1"/>
  <c r="AE262" i="1"/>
  <c r="AD262" i="1"/>
  <c r="AF262" i="1"/>
  <c r="AE21" i="1"/>
  <c r="AD21" i="1"/>
  <c r="AF21" i="1"/>
  <c r="AE295" i="1"/>
  <c r="AD295" i="1"/>
  <c r="AF295" i="1"/>
  <c r="AE297" i="1"/>
  <c r="AD297" i="1"/>
  <c r="AF297" i="1"/>
  <c r="AD302" i="1"/>
  <c r="AE302" i="1" s="1"/>
  <c r="AF302" i="1"/>
  <c r="AE307" i="1"/>
  <c r="AD307" i="1"/>
  <c r="AF307" i="1"/>
  <c r="AD554" i="1"/>
  <c r="AE554" i="1" s="1"/>
  <c r="AD314" i="1"/>
  <c r="AE314" i="1" s="1"/>
  <c r="AE462" i="1"/>
  <c r="AD462" i="1"/>
  <c r="AF462" i="1"/>
  <c r="AD232" i="1"/>
  <c r="AE232" i="1" s="1"/>
  <c r="AD576" i="1"/>
  <c r="AE576" i="1" s="1"/>
  <c r="AD581" i="1"/>
  <c r="AE581" i="1" s="1"/>
  <c r="AD293" i="1"/>
  <c r="AE293" i="1" s="1"/>
  <c r="AD349" i="1"/>
  <c r="AE349" i="1" s="1"/>
  <c r="AD353" i="1"/>
  <c r="AE353" i="1" s="1"/>
  <c r="AD357" i="1"/>
  <c r="AE357" i="1" s="1"/>
  <c r="AD361" i="1"/>
  <c r="AE361" i="1" s="1"/>
  <c r="AD371" i="1"/>
  <c r="AF371" i="1"/>
  <c r="AE371" i="1"/>
  <c r="AD368" i="1"/>
  <c r="AF368" i="1"/>
  <c r="AE368" i="1"/>
  <c r="AD206" i="1"/>
  <c r="AF206" i="1"/>
  <c r="AE206" i="1"/>
  <c r="AD397" i="1"/>
  <c r="AE397" i="1" s="1"/>
  <c r="AD347" i="1"/>
  <c r="AF347" i="1"/>
  <c r="AE347" i="1"/>
  <c r="AD404" i="1"/>
  <c r="AE404" i="1" s="1"/>
  <c r="AD207" i="1"/>
  <c r="AF207" i="1"/>
  <c r="AE207" i="1"/>
  <c r="AD288" i="1"/>
  <c r="AF288" i="1"/>
  <c r="AE288" i="1"/>
  <c r="AD408" i="1"/>
  <c r="AF408" i="1"/>
  <c r="AE408" i="1"/>
  <c r="AD432" i="1"/>
  <c r="AE432" i="1" s="1"/>
  <c r="AD430" i="1"/>
  <c r="AF430" i="1"/>
  <c r="AE430" i="1"/>
  <c r="AD421" i="1"/>
  <c r="AE421" i="1" s="1"/>
  <c r="AD422" i="1"/>
  <c r="AF422" i="1"/>
  <c r="AE422" i="1"/>
  <c r="AD614" i="1"/>
  <c r="AE614" i="1" s="1"/>
  <c r="AD612" i="1"/>
  <c r="AE612" i="1" s="1"/>
  <c r="AD401" i="1"/>
  <c r="AF401" i="1"/>
  <c r="AE401" i="1"/>
  <c r="AD438" i="1"/>
  <c r="AF438" i="1"/>
  <c r="AE438" i="1"/>
  <c r="AD465" i="1"/>
  <c r="AE465" i="1" s="1"/>
  <c r="AD456" i="1"/>
  <c r="AE456" i="1" s="1"/>
  <c r="AD444" i="1"/>
  <c r="AF444" i="1"/>
  <c r="AE444" i="1"/>
  <c r="AD221" i="1"/>
  <c r="AD474" i="1"/>
  <c r="AE474" i="1" s="1"/>
  <c r="AD618" i="1"/>
  <c r="AE618" i="1" s="1"/>
  <c r="AD620" i="1"/>
  <c r="AE620" i="1" s="1"/>
  <c r="AD610" i="1"/>
  <c r="AE610" i="1" s="1"/>
  <c r="AD452" i="1"/>
  <c r="AF452" i="1"/>
  <c r="AE452" i="1"/>
  <c r="AD503" i="1"/>
  <c r="AF503" i="1"/>
  <c r="AE503" i="1"/>
  <c r="AD16" i="1"/>
  <c r="AF16" i="1"/>
  <c r="AE16" i="1"/>
  <c r="AD26" i="1"/>
  <c r="AF26" i="1"/>
  <c r="AE26" i="1"/>
  <c r="AD54" i="1"/>
  <c r="AF54" i="1"/>
  <c r="AE54" i="1"/>
  <c r="AD436" i="1"/>
  <c r="AF436" i="1"/>
  <c r="AE436" i="1"/>
  <c r="AA447" i="1"/>
  <c r="H494" i="1"/>
  <c r="AA494" i="1"/>
  <c r="AA450" i="1"/>
  <c r="AA435" i="1"/>
  <c r="AA498" i="1"/>
  <c r="AA446" i="1"/>
  <c r="AA3" i="1"/>
  <c r="AA453" i="1"/>
  <c r="AA5" i="1"/>
  <c r="AA212" i="1"/>
  <c r="AA103" i="1"/>
  <c r="AA34" i="1"/>
  <c r="AA479" i="1"/>
  <c r="AA241" i="1"/>
  <c r="AA499" i="1"/>
  <c r="AA233" i="1"/>
  <c r="AA51" i="1"/>
  <c r="AA26" i="1"/>
  <c r="AA54" i="1"/>
  <c r="AA477" i="1"/>
  <c r="AA231" i="1"/>
  <c r="AA478" i="1"/>
  <c r="G210" i="1" l="1"/>
  <c r="AK210" i="1" s="1"/>
  <c r="G128" i="1"/>
  <c r="AK128" i="1" s="1"/>
  <c r="G127" i="1"/>
  <c r="AK127" i="1" s="1"/>
  <c r="G61" i="1"/>
  <c r="AK61" i="1" s="1"/>
  <c r="G375" i="1"/>
  <c r="AK375" i="1" s="1"/>
  <c r="G370" i="1"/>
  <c r="AK370" i="1" s="1"/>
  <c r="G369" i="1"/>
  <c r="AK369" i="1" s="1"/>
  <c r="G318" i="1"/>
  <c r="AK318" i="1" s="1"/>
  <c r="G382" i="1"/>
  <c r="AK382" i="1" s="1"/>
  <c r="G381" i="1"/>
  <c r="AK381" i="1" s="1"/>
  <c r="G380" i="1"/>
  <c r="AK380" i="1" s="1"/>
  <c r="G596" i="1"/>
  <c r="AK596" i="1" s="1"/>
  <c r="G378" i="1"/>
  <c r="AK378" i="1" s="1"/>
  <c r="G585" i="1"/>
  <c r="AK585" i="1" s="1"/>
  <c r="G338" i="1"/>
  <c r="AK338" i="1" s="1"/>
  <c r="G126" i="1"/>
  <c r="AK126" i="1" s="1"/>
  <c r="I277" i="1"/>
  <c r="AE277" i="1" s="1"/>
  <c r="I278" i="1"/>
  <c r="AE278" i="1" s="1"/>
  <c r="I279" i="1"/>
  <c r="AE279" i="1" s="1"/>
  <c r="I268" i="1"/>
  <c r="AE268" i="1" s="1"/>
  <c r="I252" i="1"/>
  <c r="I253" i="1"/>
  <c r="I254" i="1"/>
  <c r="I251" i="1"/>
  <c r="I256" i="1"/>
  <c r="I257" i="1"/>
  <c r="I258" i="1"/>
  <c r="I255" i="1"/>
  <c r="I259" i="1"/>
  <c r="I260" i="1"/>
  <c r="I261" i="1"/>
  <c r="I264" i="1"/>
  <c r="I265" i="1"/>
  <c r="I269" i="1"/>
  <c r="I262" i="1"/>
  <c r="I263" i="1"/>
  <c r="I267" i="1"/>
  <c r="AE267" i="1" s="1"/>
  <c r="I266" i="1"/>
  <c r="AE266" i="1" s="1"/>
  <c r="I276" i="1"/>
  <c r="AE276" i="1" s="1"/>
  <c r="I250" i="1"/>
  <c r="AE250" i="1" s="1"/>
  <c r="I275" i="1"/>
  <c r="AE275" i="1" s="1"/>
  <c r="I211" i="1"/>
  <c r="I274" i="1"/>
  <c r="I273" i="1"/>
  <c r="I272" i="1"/>
  <c r="I271" i="1"/>
  <c r="I270" i="1"/>
  <c r="I249" i="1"/>
  <c r="AE249" i="1" s="1"/>
  <c r="I535" i="1"/>
  <c r="AE535" i="1" s="1"/>
  <c r="I536" i="1"/>
  <c r="AE536" i="1" s="1"/>
  <c r="I537" i="1"/>
  <c r="AE537" i="1" s="1"/>
  <c r="I538" i="1"/>
  <c r="AE538" i="1" s="1"/>
  <c r="I534" i="1"/>
  <c r="AE534" i="1" s="1"/>
  <c r="I533" i="1"/>
  <c r="AE533" i="1" s="1"/>
  <c r="I532" i="1"/>
  <c r="AE532" i="1" s="1"/>
  <c r="I531" i="1"/>
  <c r="AE531" i="1" s="1"/>
  <c r="I529" i="1"/>
  <c r="AE529" i="1" s="1"/>
  <c r="I528" i="1"/>
  <c r="AE528" i="1" s="1"/>
  <c r="I527" i="1"/>
  <c r="AE527" i="1" s="1"/>
  <c r="I526" i="1"/>
  <c r="AE526" i="1" s="1"/>
  <c r="I525" i="1"/>
  <c r="AE525" i="1" s="1"/>
  <c r="I524" i="1"/>
  <c r="AE524" i="1" s="1"/>
  <c r="I523" i="1"/>
  <c r="AE523" i="1" s="1"/>
  <c r="I530" i="1"/>
  <c r="AE530" i="1" s="1"/>
  <c r="I517" i="1"/>
  <c r="AE517" i="1" s="1"/>
  <c r="I221" i="1"/>
  <c r="AE221" i="1" s="1"/>
  <c r="I518" i="1"/>
  <c r="AE518" i="1" s="1"/>
  <c r="I215" i="1"/>
  <c r="AE215" i="1" s="1"/>
  <c r="I214" i="1"/>
  <c r="AE214" i="1" s="1"/>
  <c r="I213" i="1"/>
  <c r="AE213" i="1" s="1"/>
  <c r="I236" i="1"/>
  <c r="I234" i="1"/>
  <c r="I235" i="1"/>
  <c r="I248" i="1"/>
  <c r="AE248" i="1" s="1"/>
  <c r="I522" i="1"/>
  <c r="AE522" i="1" s="1"/>
  <c r="I237" i="1"/>
  <c r="I238" i="1"/>
  <c r="I239" i="1"/>
  <c r="I240" i="1"/>
  <c r="I245" i="1"/>
  <c r="I246" i="1"/>
  <c r="I210" i="1"/>
  <c r="I458" i="1"/>
  <c r="I501" i="1"/>
  <c r="AE501" i="1" s="1"/>
  <c r="I502" i="1"/>
  <c r="AE502" i="1" s="1"/>
  <c r="I492" i="1"/>
  <c r="G512" i="1"/>
  <c r="AK512" i="1" s="1"/>
  <c r="G123" i="1"/>
  <c r="AK123" i="1" s="1"/>
  <c r="G124" i="1"/>
  <c r="AK124" i="1" s="1"/>
  <c r="G125" i="1"/>
  <c r="AK125" i="1" s="1"/>
  <c r="G121" i="1"/>
  <c r="AK121" i="1" s="1"/>
  <c r="G122" i="1"/>
  <c r="AK122" i="1" s="1"/>
  <c r="G168" i="1"/>
  <c r="AK168" i="1" s="1"/>
  <c r="G431" i="1"/>
  <c r="G511" i="1"/>
  <c r="AK511" i="1" s="1"/>
  <c r="G510" i="1"/>
  <c r="AK510" i="1" s="1"/>
  <c r="G246" i="1"/>
  <c r="AK246" i="1" s="1"/>
  <c r="G245" i="1"/>
  <c r="AK245" i="1" s="1"/>
  <c r="H246" i="1"/>
  <c r="H245" i="1"/>
  <c r="H240" i="1"/>
  <c r="H239" i="1"/>
  <c r="G240" i="1"/>
  <c r="AK240" i="1" s="1"/>
  <c r="G239" i="1"/>
  <c r="AK239" i="1" s="1"/>
  <c r="G238" i="1"/>
  <c r="AK238" i="1" s="1"/>
  <c r="G237" i="1"/>
  <c r="AK237" i="1" s="1"/>
  <c r="H238" i="1"/>
  <c r="H237" i="1"/>
  <c r="G182" i="1"/>
  <c r="AK182" i="1" s="1"/>
  <c r="H104" i="1"/>
  <c r="H102" i="1"/>
  <c r="H392" i="1"/>
  <c r="H391" i="1"/>
  <c r="H390" i="1"/>
  <c r="H389" i="1"/>
  <c r="H455" i="1"/>
  <c r="H434" i="1"/>
  <c r="H443" i="1"/>
  <c r="H602" i="1"/>
  <c r="H388" i="1"/>
  <c r="H387" i="1"/>
  <c r="H173" i="1"/>
  <c r="H171" i="1"/>
  <c r="H160" i="1"/>
  <c r="H158" i="1"/>
  <c r="H152" i="1"/>
  <c r="H149" i="1"/>
  <c r="H148" i="1"/>
  <c r="G598" i="1"/>
  <c r="AK598" i="1" s="1"/>
  <c r="G379" i="1"/>
  <c r="AK379" i="1" s="1"/>
  <c r="G586" i="1"/>
  <c r="AK586" i="1" s="1"/>
  <c r="G339" i="1"/>
  <c r="AK339" i="1" s="1"/>
  <c r="G337" i="1"/>
  <c r="AK337" i="1" s="1"/>
  <c r="G336" i="1"/>
  <c r="AK336" i="1" s="1"/>
  <c r="G335" i="1"/>
  <c r="AK335" i="1" s="1"/>
  <c r="G604" i="1"/>
  <c r="AK604" i="1" s="1"/>
  <c r="G603" i="1"/>
  <c r="AK603" i="1" s="1"/>
  <c r="G608" i="1"/>
  <c r="AK608" i="1" s="1"/>
  <c r="G607" i="1"/>
  <c r="AK607" i="1" s="1"/>
  <c r="G622" i="1"/>
  <c r="AK622" i="1" s="1"/>
  <c r="AG603" i="1" l="1"/>
  <c r="AH603" i="1" s="1"/>
  <c r="AI603" i="1"/>
  <c r="AI335" i="1"/>
  <c r="AG335" i="1"/>
  <c r="AI586" i="1"/>
  <c r="AG586" i="1"/>
  <c r="AG622" i="1"/>
  <c r="AI622" i="1"/>
  <c r="AG608" i="1"/>
  <c r="AI608" i="1"/>
  <c r="AI604" i="1"/>
  <c r="AG604" i="1"/>
  <c r="AG336" i="1"/>
  <c r="AI336" i="1"/>
  <c r="AI339" i="1"/>
  <c r="AG339" i="1"/>
  <c r="AI379" i="1"/>
  <c r="AG379" i="1"/>
  <c r="AI237" i="1"/>
  <c r="AG237" i="1"/>
  <c r="AI239" i="1"/>
  <c r="AG239" i="1"/>
  <c r="AI245" i="1"/>
  <c r="AG245" i="1"/>
  <c r="AG510" i="1"/>
  <c r="AI510" i="1"/>
  <c r="AG122" i="1"/>
  <c r="AI122" i="1"/>
  <c r="AG125" i="1"/>
  <c r="AI125" i="1"/>
  <c r="AG123" i="1"/>
  <c r="AI123" i="1"/>
  <c r="AG126" i="1"/>
  <c r="AI126" i="1"/>
  <c r="AG585" i="1"/>
  <c r="AI585" i="1"/>
  <c r="AI596" i="1"/>
  <c r="AG596" i="1"/>
  <c r="AI381" i="1"/>
  <c r="AG381" i="1"/>
  <c r="AI318" i="1"/>
  <c r="AG318" i="1"/>
  <c r="AG370" i="1"/>
  <c r="AI370" i="1"/>
  <c r="AG61" i="1"/>
  <c r="AI61" i="1"/>
  <c r="AH61" i="1"/>
  <c r="AF61" i="1"/>
  <c r="AE61" i="1"/>
  <c r="AD61" i="1"/>
  <c r="AG128" i="1"/>
  <c r="AI128" i="1"/>
  <c r="AI607" i="1"/>
  <c r="AG607" i="1"/>
  <c r="AI337" i="1"/>
  <c r="AG337" i="1"/>
  <c r="AG598" i="1"/>
  <c r="AI598" i="1"/>
  <c r="AI182" i="1"/>
  <c r="AG182" i="1"/>
  <c r="AI238" i="1"/>
  <c r="AG238" i="1"/>
  <c r="AI240" i="1"/>
  <c r="AG240" i="1"/>
  <c r="AI246" i="1"/>
  <c r="AG246" i="1"/>
  <c r="AG511" i="1"/>
  <c r="AI511" i="1"/>
  <c r="AG168" i="1"/>
  <c r="AI168" i="1"/>
  <c r="AG121" i="1"/>
  <c r="AI121" i="1"/>
  <c r="AG124" i="1"/>
  <c r="AI124" i="1"/>
  <c r="AI512" i="1"/>
  <c r="AG512" i="1"/>
  <c r="AG338" i="1"/>
  <c r="AI338" i="1"/>
  <c r="AG378" i="1"/>
  <c r="AI378" i="1"/>
  <c r="AG380" i="1"/>
  <c r="AI380" i="1"/>
  <c r="AG382" i="1"/>
  <c r="AI382" i="1"/>
  <c r="AI369" i="1"/>
  <c r="AG369" i="1"/>
  <c r="AI375" i="1"/>
  <c r="AG375" i="1"/>
  <c r="AI127" i="1"/>
  <c r="AG127" i="1"/>
  <c r="AG210" i="1"/>
  <c r="AI210" i="1"/>
  <c r="AD237" i="1"/>
  <c r="AE237" i="1" s="1"/>
  <c r="AD245" i="1"/>
  <c r="AE245" i="1" s="1"/>
  <c r="AD125" i="1"/>
  <c r="AE125" i="1" s="1"/>
  <c r="AD121" i="1"/>
  <c r="AE121" i="1" s="1"/>
  <c r="AD210" i="1"/>
  <c r="AE210" i="1" s="1"/>
  <c r="H511" i="1"/>
  <c r="H510" i="1"/>
  <c r="H512" i="1"/>
  <c r="H182" i="1"/>
  <c r="AD381" i="1" l="1"/>
  <c r="AE381" i="1" s="1"/>
  <c r="AD370" i="1"/>
  <c r="AE370" i="1" s="1"/>
  <c r="AD379" i="1"/>
  <c r="AE379" i="1" s="1"/>
  <c r="AD382" i="1"/>
  <c r="AE382" i="1" s="1"/>
  <c r="AD378" i="1"/>
  <c r="AE378" i="1" s="1"/>
  <c r="AD586" i="1"/>
  <c r="AE586" i="1" s="1"/>
  <c r="AD622" i="1"/>
  <c r="AE622" i="1" s="1"/>
  <c r="AD598" i="1"/>
  <c r="AE598" i="1" s="1"/>
  <c r="AD128" i="1"/>
  <c r="AE128" i="1" s="1"/>
  <c r="AD127" i="1"/>
  <c r="AE127" i="1" s="1"/>
  <c r="AD337" i="1"/>
  <c r="AE337" i="1" s="1"/>
  <c r="AD318" i="1"/>
  <c r="AE318" i="1" s="1"/>
  <c r="AD596" i="1"/>
  <c r="AE596" i="1" s="1"/>
  <c r="AD122" i="1"/>
  <c r="AE122" i="1" s="1"/>
  <c r="AD336" i="1"/>
  <c r="AE336" i="1" s="1"/>
  <c r="AD369" i="1"/>
  <c r="AE369" i="1" s="1"/>
  <c r="AD124" i="1"/>
  <c r="AE124" i="1" s="1"/>
  <c r="AD246" i="1"/>
  <c r="AE246" i="1" s="1"/>
  <c r="AD238" i="1"/>
  <c r="AE238" i="1" s="1"/>
  <c r="AD607" i="1"/>
  <c r="AD585" i="1"/>
  <c r="AE585" i="1" s="1"/>
  <c r="AD123" i="1"/>
  <c r="AE123" i="1" s="1"/>
  <c r="AD510" i="1"/>
  <c r="AE510" i="1" s="1"/>
  <c r="AD339" i="1"/>
  <c r="AE339" i="1" s="1"/>
  <c r="AD604" i="1"/>
  <c r="AD375" i="1"/>
  <c r="AE375" i="1" s="1"/>
  <c r="AD380" i="1"/>
  <c r="AE380" i="1" s="1"/>
  <c r="AD512" i="1"/>
  <c r="AE512" i="1" s="1"/>
  <c r="AD168" i="1"/>
  <c r="AE168" i="1" s="1"/>
  <c r="AD240" i="1"/>
  <c r="AE240" i="1" s="1"/>
  <c r="AD182" i="1"/>
  <c r="AE182" i="1" s="1"/>
  <c r="AD603" i="1"/>
  <c r="AF603" i="1"/>
  <c r="AD126" i="1"/>
  <c r="AE126" i="1" s="1"/>
  <c r="AD239" i="1"/>
  <c r="AE239" i="1" s="1"/>
  <c r="AD608" i="1"/>
  <c r="AD338" i="1"/>
  <c r="AE338" i="1" s="1"/>
  <c r="AD511" i="1"/>
  <c r="AE511" i="1" s="1"/>
  <c r="AD335" i="1"/>
  <c r="AE335" i="1" s="1"/>
  <c r="AA426" i="1"/>
  <c r="AA433" i="1"/>
  <c r="H433" i="1"/>
  <c r="H426" i="1"/>
  <c r="AA455" i="1"/>
  <c r="AA104" i="1"/>
  <c r="AA102" i="1"/>
  <c r="AA434" i="1"/>
  <c r="AA443" i="1"/>
  <c r="AA423" i="1"/>
  <c r="AA425" i="1"/>
  <c r="AA422" i="1"/>
  <c r="AA444" i="1"/>
  <c r="AA451" i="1"/>
  <c r="AA441" i="1"/>
  <c r="AA439" i="1"/>
  <c r="AA440" i="1"/>
  <c r="AA438" i="1"/>
  <c r="H440" i="1"/>
  <c r="H451" i="1"/>
  <c r="H425" i="1"/>
  <c r="H439" i="1"/>
  <c r="H444" i="1"/>
  <c r="H423" i="1"/>
  <c r="H438" i="1"/>
  <c r="H441" i="1"/>
  <c r="H422" i="1"/>
  <c r="AA210" i="1"/>
  <c r="AH210" i="1" s="1"/>
  <c r="AA246" i="1"/>
  <c r="AH246" i="1" s="1"/>
  <c r="AA240" i="1"/>
  <c r="AH240" i="1" s="1"/>
  <c r="AA238" i="1"/>
  <c r="AH238" i="1" s="1"/>
  <c r="AA245" i="1"/>
  <c r="AH245" i="1" s="1"/>
  <c r="AA239" i="1"/>
  <c r="AH239" i="1" s="1"/>
  <c r="Z612" i="1"/>
  <c r="Z460" i="1"/>
  <c r="Y612" i="1"/>
  <c r="AA612" i="1" s="1"/>
  <c r="AH612" i="1" s="1"/>
  <c r="Y460" i="1"/>
  <c r="H612" i="1"/>
  <c r="H460" i="1"/>
  <c r="AA317" i="1"/>
  <c r="AA318" i="1"/>
  <c r="AH318" i="1" s="1"/>
  <c r="AA370" i="1"/>
  <c r="AH370" i="1" s="1"/>
  <c r="AA369" i="1"/>
  <c r="AH369" i="1" s="1"/>
  <c r="AA517" i="1"/>
  <c r="AH517" i="1" s="1"/>
  <c r="H517" i="1"/>
  <c r="AA595" i="1"/>
  <c r="AH595" i="1" s="1"/>
  <c r="H595" i="1"/>
  <c r="AA594" i="1"/>
  <c r="AH594" i="1" s="1"/>
  <c r="H594" i="1"/>
  <c r="H571" i="1"/>
  <c r="H570" i="1"/>
  <c r="AA571" i="1"/>
  <c r="AH571" i="1" s="1"/>
  <c r="H589" i="1"/>
  <c r="H588" i="1"/>
  <c r="H614" i="1"/>
  <c r="H123" i="1"/>
  <c r="H124" i="1"/>
  <c r="H125" i="1"/>
  <c r="H121" i="1"/>
  <c r="H122" i="1"/>
  <c r="H168" i="1"/>
  <c r="H591" i="1"/>
  <c r="AF238" i="1" l="1"/>
  <c r="AF246" i="1"/>
  <c r="AF239" i="1"/>
  <c r="AF594" i="1"/>
  <c r="AF595" i="1"/>
  <c r="AF370" i="1"/>
  <c r="AF240" i="1"/>
  <c r="AF369" i="1"/>
  <c r="AF571" i="1"/>
  <c r="AF517" i="1"/>
  <c r="AF612" i="1"/>
  <c r="AF245" i="1"/>
  <c r="AF210" i="1"/>
  <c r="AF434" i="1"/>
  <c r="AF104" i="1"/>
  <c r="AF318" i="1"/>
  <c r="AF443" i="1"/>
  <c r="AF102" i="1"/>
  <c r="AF455" i="1"/>
  <c r="Z100" i="1" l="1"/>
  <c r="Z101" i="1"/>
  <c r="Z69" i="1"/>
  <c r="Z67" i="1"/>
  <c r="Z92" i="1"/>
  <c r="I67" i="1"/>
  <c r="H67" i="1"/>
  <c r="I69" i="1"/>
  <c r="H69" i="1"/>
  <c r="I101" i="1"/>
  <c r="H101" i="1"/>
  <c r="I100" i="1"/>
  <c r="H100" i="1"/>
  <c r="I92" i="1"/>
  <c r="H92" i="1"/>
  <c r="Z473" i="1"/>
  <c r="Z472" i="1"/>
  <c r="Z471" i="1"/>
  <c r="Z474" i="1"/>
  <c r="H473" i="1"/>
  <c r="H472" i="1"/>
  <c r="H471" i="1"/>
  <c r="H474" i="1"/>
  <c r="AA473" i="1"/>
  <c r="AH473" i="1" s="1"/>
  <c r="AA472" i="1"/>
  <c r="AH472" i="1" s="1"/>
  <c r="AA471" i="1"/>
  <c r="AH471" i="1" s="1"/>
  <c r="AA59" i="1"/>
  <c r="AH59" i="1" s="1"/>
  <c r="H59" i="1"/>
  <c r="H58" i="1"/>
  <c r="AA512" i="1"/>
  <c r="AH512" i="1" s="1"/>
  <c r="AA511" i="1"/>
  <c r="AA510" i="1"/>
  <c r="AH510" i="1" s="1"/>
  <c r="AA7" i="1"/>
  <c r="AA6" i="1"/>
  <c r="AA316" i="1"/>
  <c r="AA184" i="1"/>
  <c r="AA146" i="1"/>
  <c r="AA288" i="1"/>
  <c r="AA289" i="1"/>
  <c r="AA469" i="1"/>
  <c r="AA13" i="1"/>
  <c r="AA507" i="1"/>
  <c r="AA211" i="1"/>
  <c r="AA367" i="1"/>
  <c r="AA21" i="1"/>
  <c r="AA169" i="1"/>
  <c r="AA492" i="1"/>
  <c r="AA394" i="1"/>
  <c r="AH511" i="1" l="1"/>
  <c r="AF510" i="1"/>
  <c r="AF512" i="1"/>
  <c r="AF471" i="1"/>
  <c r="AF473" i="1"/>
  <c r="AF511" i="1"/>
  <c r="AF59" i="1"/>
  <c r="AF472" i="1"/>
  <c r="AA92" i="1"/>
  <c r="AA67" i="1"/>
  <c r="AA69" i="1"/>
  <c r="AA101" i="1"/>
  <c r="AA100" i="1"/>
  <c r="I17" i="1"/>
  <c r="H17" i="1"/>
  <c r="AA8" i="1" l="1"/>
  <c r="Z458" i="1" l="1"/>
  <c r="H458" i="1"/>
  <c r="AA461" i="1"/>
  <c r="AA463" i="1"/>
  <c r="AA314" i="1"/>
  <c r="AH314" i="1" s="1"/>
  <c r="AA313" i="1"/>
  <c r="AH313" i="1" s="1"/>
  <c r="AA554" i="1"/>
  <c r="AH554" i="1" s="1"/>
  <c r="AA312" i="1"/>
  <c r="AH312" i="1" s="1"/>
  <c r="H314" i="1"/>
  <c r="H313" i="1"/>
  <c r="H554" i="1"/>
  <c r="H312" i="1"/>
  <c r="H111" i="1"/>
  <c r="H509" i="1"/>
  <c r="H323" i="1"/>
  <c r="AA84" i="1"/>
  <c r="AA308" i="1"/>
  <c r="AA309" i="1"/>
  <c r="AA406" i="1"/>
  <c r="AA407" i="1"/>
  <c r="AA48" i="1"/>
  <c r="H321" i="1"/>
  <c r="H404" i="1"/>
  <c r="AF312" i="1" l="1"/>
  <c r="AF313" i="1"/>
  <c r="AF554" i="1"/>
  <c r="AF314" i="1"/>
  <c r="AA458" i="1"/>
  <c r="H290" i="1"/>
  <c r="H291" i="1"/>
  <c r="H250" i="1"/>
  <c r="H24" i="1"/>
  <c r="H47" i="1"/>
  <c r="H297" i="1"/>
  <c r="H296" i="1"/>
  <c r="H96" i="1"/>
  <c r="H95" i="1"/>
  <c r="H68" i="1"/>
  <c r="H36" i="1"/>
  <c r="H97" i="1"/>
  <c r="H71" i="1"/>
  <c r="H232" i="1"/>
  <c r="H293" i="1"/>
  <c r="Z432" i="1"/>
  <c r="Z606" i="1"/>
  <c r="H306" i="1"/>
  <c r="H432" i="1"/>
  <c r="Z120" i="1" l="1"/>
  <c r="H120" i="1"/>
  <c r="AA502" i="1"/>
  <c r="AH502" i="1" s="1"/>
  <c r="AA611" i="1"/>
  <c r="AH611" i="1" s="1"/>
  <c r="AA268" i="1"/>
  <c r="AH268" i="1" s="1"/>
  <c r="AA267" i="1"/>
  <c r="AH267" i="1" s="1"/>
  <c r="AA221" i="1"/>
  <c r="AH221" i="1" s="1"/>
  <c r="H501" i="1"/>
  <c r="H610" i="1"/>
  <c r="H266" i="1"/>
  <c r="H518" i="1"/>
  <c r="H584" i="1"/>
  <c r="AE166" i="1"/>
  <c r="H166" i="1"/>
  <c r="AF267" i="1" l="1"/>
  <c r="AF611" i="1"/>
  <c r="AF221" i="1"/>
  <c r="AF268" i="1"/>
  <c r="AF502" i="1"/>
  <c r="AA120" i="1"/>
  <c r="AH120" i="1" s="1"/>
  <c r="Z260" i="1"/>
  <c r="Z252" i="1"/>
  <c r="Z256" i="1"/>
  <c r="Z27" i="1"/>
  <c r="Z261" i="1"/>
  <c r="Z264" i="1"/>
  <c r="Z253" i="1"/>
  <c r="Z257" i="1"/>
  <c r="Z28" i="1"/>
  <c r="Z265" i="1"/>
  <c r="Z269" i="1"/>
  <c r="Z254" i="1"/>
  <c r="Z258" i="1"/>
  <c r="Z29" i="1"/>
  <c r="Z262" i="1"/>
  <c r="Z263" i="1"/>
  <c r="Z251" i="1"/>
  <c r="Z255" i="1"/>
  <c r="Z30" i="1"/>
  <c r="Z259" i="1"/>
  <c r="AF120" i="1" l="1"/>
  <c r="H86" i="1"/>
  <c r="H87" i="1"/>
  <c r="H88" i="1"/>
  <c r="H89" i="1"/>
  <c r="H90" i="1"/>
  <c r="H85" i="1"/>
  <c r="H403" i="1"/>
  <c r="H346" i="1"/>
  <c r="H459" i="1"/>
  <c r="Y273" i="1"/>
  <c r="Y234" i="1"/>
  <c r="Z452" i="1"/>
  <c r="Y272" i="1"/>
  <c r="Y271" i="1"/>
  <c r="AA197" i="1"/>
  <c r="AA167" i="1"/>
  <c r="AH167" i="1" s="1"/>
  <c r="AH197" i="1" l="1"/>
  <c r="AF167" i="1"/>
  <c r="AF197" i="1"/>
  <c r="H596" i="1"/>
  <c r="H585" i="1"/>
  <c r="H378" i="1"/>
  <c r="H338" i="1"/>
  <c r="AA598" i="1"/>
  <c r="AH598" i="1" s="1"/>
  <c r="AA596" i="1"/>
  <c r="AH596" i="1" s="1"/>
  <c r="AA586" i="1"/>
  <c r="AH586" i="1" s="1"/>
  <c r="AA585" i="1"/>
  <c r="AH585" i="1" s="1"/>
  <c r="AA382" i="1"/>
  <c r="AH382" i="1" s="1"/>
  <c r="AA381" i="1"/>
  <c r="AH381" i="1" s="1"/>
  <c r="AA380" i="1"/>
  <c r="AH380" i="1" s="1"/>
  <c r="AA337" i="1"/>
  <c r="AH337" i="1" s="1"/>
  <c r="AA336" i="1"/>
  <c r="AH336" i="1" s="1"/>
  <c r="AA335" i="1"/>
  <c r="AH335" i="1" s="1"/>
  <c r="Z208" i="1"/>
  <c r="Z207" i="1"/>
  <c r="Z206" i="1"/>
  <c r="Z205" i="1"/>
  <c r="Z201" i="1"/>
  <c r="Z200" i="1"/>
  <c r="Z199" i="1"/>
  <c r="Z198" i="1"/>
  <c r="H279" i="1"/>
  <c r="H278" i="1"/>
  <c r="H248" i="1"/>
  <c r="H275" i="1"/>
  <c r="H276" i="1"/>
  <c r="H277" i="1"/>
  <c r="H522" i="1"/>
  <c r="AF335" i="1" l="1"/>
  <c r="AF337" i="1"/>
  <c r="AF381" i="1"/>
  <c r="AF585" i="1"/>
  <c r="AF596" i="1"/>
  <c r="AF336" i="1"/>
  <c r="AF380" i="1"/>
  <c r="AF382" i="1"/>
  <c r="AF586" i="1"/>
  <c r="AF598" i="1"/>
  <c r="AA201" i="1"/>
  <c r="AA200" i="1"/>
  <c r="AA205" i="1"/>
  <c r="AA206" i="1"/>
  <c r="AA207" i="1"/>
  <c r="AA208" i="1"/>
  <c r="AA199" i="1"/>
  <c r="H616" i="1"/>
  <c r="H165" i="1"/>
  <c r="H475" i="1"/>
  <c r="H45" i="1"/>
  <c r="H43" i="1"/>
  <c r="H500" i="1"/>
  <c r="H457" i="1"/>
  <c r="H456" i="1"/>
  <c r="H476" i="1"/>
  <c r="H94" i="1"/>
  <c r="H93" i="1"/>
  <c r="H470" i="1"/>
  <c r="H44" i="1"/>
  <c r="H42" i="1"/>
  <c r="H424" i="1"/>
  <c r="H397" i="1"/>
  <c r="H18" i="1"/>
  <c r="AA18" i="1"/>
  <c r="AH18" i="1" s="1"/>
  <c r="H213" i="1"/>
  <c r="AA213" i="1"/>
  <c r="AH213" i="1" s="1"/>
  <c r="AA20" i="1"/>
  <c r="AH20" i="1" s="1"/>
  <c r="H20" i="1"/>
  <c r="H215" i="1"/>
  <c r="H118" i="1"/>
  <c r="H204" i="1"/>
  <c r="H181" i="1"/>
  <c r="AA215" i="1"/>
  <c r="AH215" i="1" s="1"/>
  <c r="H383" i="1"/>
  <c r="AA383" i="1"/>
  <c r="AA181" i="1"/>
  <c r="AH181" i="1" s="1"/>
  <c r="AA204" i="1"/>
  <c r="AH204" i="1" s="1"/>
  <c r="AA118" i="1"/>
  <c r="AH118" i="1" s="1"/>
  <c r="H19" i="1"/>
  <c r="H214" i="1"/>
  <c r="H117" i="1"/>
  <c r="H116" i="1"/>
  <c r="H203" i="1"/>
  <c r="H202" i="1"/>
  <c r="H180" i="1"/>
  <c r="H179" i="1"/>
  <c r="H365" i="1"/>
  <c r="H347" i="1"/>
  <c r="AA19" i="1"/>
  <c r="AH19" i="1" s="1"/>
  <c r="AA154" i="1"/>
  <c r="AA141" i="1"/>
  <c r="AA430" i="1"/>
  <c r="AA429" i="1"/>
  <c r="AA64" i="1"/>
  <c r="AA405" i="1"/>
  <c r="AA608" i="1"/>
  <c r="AH608" i="1" s="1"/>
  <c r="AA604" i="1"/>
  <c r="AH604" i="1" s="1"/>
  <c r="AA126" i="1"/>
  <c r="AH126" i="1" s="1"/>
  <c r="AA127" i="1"/>
  <c r="AH127" i="1" s="1"/>
  <c r="AA128" i="1"/>
  <c r="AH128" i="1" s="1"/>
  <c r="AA129" i="1"/>
  <c r="AA237" i="1"/>
  <c r="AH237" i="1" s="1"/>
  <c r="AA460" i="1"/>
  <c r="AA198" i="1"/>
  <c r="AA508" i="1"/>
  <c r="AA58" i="1"/>
  <c r="AH58" i="1" s="1"/>
  <c r="AA462" i="1"/>
  <c r="AA109" i="1"/>
  <c r="H82" i="1"/>
  <c r="H81" i="1"/>
  <c r="H80" i="1"/>
  <c r="H79" i="1"/>
  <c r="H78" i="1"/>
  <c r="H83" i="1"/>
  <c r="Z108" i="1"/>
  <c r="AA108" i="1" s="1"/>
  <c r="G108" i="1"/>
  <c r="AK108" i="1" s="1"/>
  <c r="G98" i="1"/>
  <c r="AK98" i="1" s="1"/>
  <c r="H46" i="1"/>
  <c r="H77" i="1"/>
  <c r="H400" i="1"/>
  <c r="H399" i="1"/>
  <c r="H396" i="1"/>
  <c r="H393" i="1"/>
  <c r="H345" i="1"/>
  <c r="AA399" i="1"/>
  <c r="AA345" i="1"/>
  <c r="AA400" i="1"/>
  <c r="AA396" i="1"/>
  <c r="H66" i="1"/>
  <c r="H112" i="1"/>
  <c r="H70" i="1"/>
  <c r="H606" i="1"/>
  <c r="H419" i="1"/>
  <c r="H421" i="1"/>
  <c r="H420" i="1"/>
  <c r="H398" i="1"/>
  <c r="AA401" i="1"/>
  <c r="AA402" i="1"/>
  <c r="H401" i="1"/>
  <c r="H402" i="1"/>
  <c r="H76" i="1"/>
  <c r="H39" i="1"/>
  <c r="H38" i="1"/>
  <c r="H159" i="1"/>
  <c r="H172" i="1"/>
  <c r="H600" i="1"/>
  <c r="AA600" i="1"/>
  <c r="AH600" i="1" s="1"/>
  <c r="AH98" i="1" l="1"/>
  <c r="AG98" i="1"/>
  <c r="AI98" i="1"/>
  <c r="AG108" i="1"/>
  <c r="AI108" i="1"/>
  <c r="AH108" i="1"/>
  <c r="AF600" i="1"/>
  <c r="AF400" i="1"/>
  <c r="AF399" i="1"/>
  <c r="AF127" i="1"/>
  <c r="AF604" i="1"/>
  <c r="AF19" i="1"/>
  <c r="AF204" i="1"/>
  <c r="AF215" i="1"/>
  <c r="AF20" i="1"/>
  <c r="AF396" i="1"/>
  <c r="AF345" i="1"/>
  <c r="AF58" i="1"/>
  <c r="AF237" i="1"/>
  <c r="AF128" i="1"/>
  <c r="AF126" i="1"/>
  <c r="AF608" i="1"/>
  <c r="AF118" i="1"/>
  <c r="AF181" i="1"/>
  <c r="AF213" i="1"/>
  <c r="AF18" i="1"/>
  <c r="H98" i="1"/>
  <c r="H108" i="1"/>
  <c r="I2" i="1"/>
  <c r="H408" i="1"/>
  <c r="H2" i="1"/>
  <c r="H395" i="1"/>
  <c r="AA2" i="1"/>
  <c r="AD108" i="1" l="1"/>
  <c r="AE108" i="1" s="1"/>
  <c r="AF108" i="1"/>
  <c r="AD98" i="1"/>
  <c r="AE98" i="1" s="1"/>
  <c r="AA607" i="1"/>
  <c r="AH607" i="1" s="1"/>
  <c r="AE607" i="1"/>
  <c r="AA30" i="1"/>
  <c r="AA255" i="1"/>
  <c r="AA251" i="1"/>
  <c r="AA263" i="1"/>
  <c r="AA262" i="1"/>
  <c r="AA29" i="1"/>
  <c r="AA258" i="1"/>
  <c r="AA254" i="1"/>
  <c r="AA269" i="1"/>
  <c r="AA265" i="1"/>
  <c r="AA28" i="1"/>
  <c r="AA257" i="1"/>
  <c r="AA253" i="1"/>
  <c r="AA264" i="1"/>
  <c r="AA261" i="1"/>
  <c r="AA27" i="1"/>
  <c r="AA256" i="1"/>
  <c r="AA252" i="1"/>
  <c r="AA260" i="1"/>
  <c r="AA259" i="1"/>
  <c r="H30" i="1"/>
  <c r="H255" i="1"/>
  <c r="H251" i="1"/>
  <c r="H263" i="1"/>
  <c r="H262" i="1"/>
  <c r="H29" i="1"/>
  <c r="H258" i="1"/>
  <c r="H254" i="1"/>
  <c r="H269" i="1"/>
  <c r="H265" i="1"/>
  <c r="H28" i="1"/>
  <c r="H257" i="1"/>
  <c r="H253" i="1"/>
  <c r="H264" i="1"/>
  <c r="H261" i="1"/>
  <c r="H260" i="1"/>
  <c r="H252" i="1"/>
  <c r="H256" i="1"/>
  <c r="H27" i="1"/>
  <c r="H259" i="1"/>
  <c r="AA452" i="1"/>
  <c r="Z192" i="1"/>
  <c r="Z188" i="1"/>
  <c r="Z193" i="1"/>
  <c r="Z190" i="1"/>
  <c r="H193" i="1"/>
  <c r="H190" i="1"/>
  <c r="H192" i="1"/>
  <c r="H188" i="1"/>
  <c r="Z189" i="1"/>
  <c r="Z513" i="1"/>
  <c r="Z516" i="1"/>
  <c r="Z191" i="1"/>
  <c r="H191" i="1"/>
  <c r="H516" i="1"/>
  <c r="H189" i="1"/>
  <c r="H513" i="1"/>
  <c r="AA114" i="1"/>
  <c r="AH114" i="1" s="1"/>
  <c r="AA465" i="1"/>
  <c r="AH465" i="1" s="1"/>
  <c r="AA464" i="1"/>
  <c r="AH464" i="1" s="1"/>
  <c r="AA505" i="1"/>
  <c r="AH505" i="1" s="1"/>
  <c r="AA113" i="1"/>
  <c r="AH113" i="1" s="1"/>
  <c r="AA305" i="1"/>
  <c r="AH305" i="1" s="1"/>
  <c r="H114" i="1"/>
  <c r="H468" i="1"/>
  <c r="H304" i="1"/>
  <c r="H465" i="1"/>
  <c r="H466" i="1"/>
  <c r="H302" i="1"/>
  <c r="H484" i="1"/>
  <c r="H303" i="1"/>
  <c r="H467" i="1"/>
  <c r="H113" i="1"/>
  <c r="H505" i="1"/>
  <c r="H305" i="1"/>
  <c r="H464" i="1"/>
  <c r="AF305" i="1" l="1"/>
  <c r="AF505" i="1"/>
  <c r="AF465" i="1"/>
  <c r="AF260" i="1"/>
  <c r="AF256" i="1"/>
  <c r="AF269" i="1"/>
  <c r="AF258" i="1"/>
  <c r="AF607" i="1"/>
  <c r="AF113" i="1"/>
  <c r="AF464" i="1"/>
  <c r="AF114" i="1"/>
  <c r="AF259" i="1"/>
  <c r="AF252" i="1"/>
  <c r="AF27" i="1"/>
  <c r="AF265" i="1"/>
  <c r="AF254" i="1"/>
  <c r="AF29" i="1"/>
  <c r="AA516" i="1"/>
  <c r="AH516" i="1" s="1"/>
  <c r="AA190" i="1"/>
  <c r="AA513" i="1"/>
  <c r="AH513" i="1" s="1"/>
  <c r="AA193" i="1"/>
  <c r="AA189" i="1"/>
  <c r="AH189" i="1" s="1"/>
  <c r="AA188" i="1"/>
  <c r="AA191" i="1"/>
  <c r="AH191" i="1" s="1"/>
  <c r="AA192" i="1"/>
  <c r="Z504" i="1"/>
  <c r="Z236" i="1"/>
  <c r="Z274" i="1"/>
  <c r="Z272" i="1"/>
  <c r="Z234" i="1"/>
  <c r="Z503" i="1"/>
  <c r="Z273" i="1"/>
  <c r="Z271" i="1"/>
  <c r="H236" i="1"/>
  <c r="H504" i="1"/>
  <c r="H274" i="1"/>
  <c r="H272" i="1"/>
  <c r="H271" i="1"/>
  <c r="H273" i="1"/>
  <c r="H234" i="1"/>
  <c r="H503" i="1"/>
  <c r="AF191" i="1" l="1"/>
  <c r="AF189" i="1"/>
  <c r="AF513" i="1"/>
  <c r="AF516" i="1"/>
  <c r="AF192" i="1"/>
  <c r="AF188" i="1"/>
  <c r="AF193" i="1"/>
  <c r="AF190" i="1"/>
  <c r="AA273" i="1"/>
  <c r="AA271" i="1"/>
  <c r="AA503" i="1"/>
  <c r="AA234" i="1"/>
  <c r="AA272" i="1"/>
  <c r="AA504" i="1"/>
  <c r="AA40" i="1"/>
  <c r="AA249" i="1"/>
  <c r="AH249" i="1" s="1"/>
  <c r="AE604" i="1"/>
  <c r="AE603" i="1"/>
  <c r="AE608" i="1"/>
  <c r="H604" i="1"/>
  <c r="H608" i="1"/>
  <c r="H603" i="1"/>
  <c r="H607" i="1"/>
  <c r="AF249" i="1" l="1"/>
  <c r="AA403" i="1"/>
  <c r="H292" i="1" l="1"/>
  <c r="Z62" i="1"/>
  <c r="Y62" i="1"/>
  <c r="AA419" i="1" l="1"/>
  <c r="AH419" i="1" s="1"/>
  <c r="AA421" i="1"/>
  <c r="AH421" i="1" s="1"/>
  <c r="AA420" i="1"/>
  <c r="AH420" i="1" s="1"/>
  <c r="AA398" i="1"/>
  <c r="AH398" i="1" s="1"/>
  <c r="AF398" i="1" l="1"/>
  <c r="AF421" i="1"/>
  <c r="AF420" i="1"/>
  <c r="AF419" i="1"/>
  <c r="AA388" i="1"/>
  <c r="AH388" i="1" s="1"/>
  <c r="Z387" i="1"/>
  <c r="Z391" i="1"/>
  <c r="AA392" i="1"/>
  <c r="AH392" i="1" s="1"/>
  <c r="Z390" i="1"/>
  <c r="AA389" i="1"/>
  <c r="AH389" i="1" s="1"/>
  <c r="AA66" i="1"/>
  <c r="AF389" i="1" l="1"/>
  <c r="AF392" i="1"/>
  <c r="AF388" i="1"/>
  <c r="AA390" i="1"/>
  <c r="AH390" i="1" s="1"/>
  <c r="AA391" i="1"/>
  <c r="AH391" i="1" s="1"/>
  <c r="AA387" i="1"/>
  <c r="AH387" i="1" s="1"/>
  <c r="AA165" i="1"/>
  <c r="AH165" i="1" s="1"/>
  <c r="AA616" i="1"/>
  <c r="AH616" i="1" s="1"/>
  <c r="AA522" i="1"/>
  <c r="AH522" i="1" s="1"/>
  <c r="AA277" i="1"/>
  <c r="AH277" i="1" s="1"/>
  <c r="AA276" i="1"/>
  <c r="AH276" i="1" s="1"/>
  <c r="AF276" i="1" l="1"/>
  <c r="AF277" i="1"/>
  <c r="AF616" i="1"/>
  <c r="AF165" i="1"/>
  <c r="AF391" i="1"/>
  <c r="AF522" i="1"/>
  <c r="AF292" i="1"/>
  <c r="AF387" i="1"/>
  <c r="AF390" i="1"/>
  <c r="AA297" i="1"/>
  <c r="AA296" i="1"/>
  <c r="AA77" i="1" l="1"/>
  <c r="AH77" i="1" s="1"/>
  <c r="AA46" i="1"/>
  <c r="AH46" i="1" s="1"/>
  <c r="AF46" i="1" l="1"/>
  <c r="AF77" i="1"/>
  <c r="AA68" i="1"/>
  <c r="AH68" i="1" s="1"/>
  <c r="AA95" i="1"/>
  <c r="AH95" i="1" s="1"/>
  <c r="AA96" i="1"/>
  <c r="AH96" i="1" s="1"/>
  <c r="AF95" i="1" l="1"/>
  <c r="AF96" i="1"/>
  <c r="AF68" i="1"/>
  <c r="Z614" i="1"/>
  <c r="Z70" i="1"/>
  <c r="Z112" i="1"/>
  <c r="AA112" i="1" l="1"/>
  <c r="AH112" i="1" s="1"/>
  <c r="AA70" i="1"/>
  <c r="AH70" i="1" s="1"/>
  <c r="AA614" i="1"/>
  <c r="AA76" i="1"/>
  <c r="AH76" i="1" s="1"/>
  <c r="AA39" i="1"/>
  <c r="AH39" i="1" s="1"/>
  <c r="AA38" i="1"/>
  <c r="AH38" i="1" s="1"/>
  <c r="AA290" i="1"/>
  <c r="AA291" i="1"/>
  <c r="AH614" i="1" l="1"/>
  <c r="AF38" i="1"/>
  <c r="AF76" i="1"/>
  <c r="AF70" i="1"/>
  <c r="AF39" i="1"/>
  <c r="AF614" i="1"/>
  <c r="AF112" i="1"/>
  <c r="AA42" i="1"/>
  <c r="AH42" i="1" s="1"/>
  <c r="AA44" i="1"/>
  <c r="AH44" i="1" s="1"/>
  <c r="AA470" i="1"/>
  <c r="AA93" i="1"/>
  <c r="AH93" i="1" s="1"/>
  <c r="AA94" i="1"/>
  <c r="AH94" i="1" s="1"/>
  <c r="AA476" i="1"/>
  <c r="AA456" i="1"/>
  <c r="AH456" i="1" s="1"/>
  <c r="AA457" i="1"/>
  <c r="AA500" i="1"/>
  <c r="AA43" i="1"/>
  <c r="AH43" i="1" s="1"/>
  <c r="AA45" i="1"/>
  <c r="AH45" i="1" s="1"/>
  <c r="AA475" i="1"/>
  <c r="AH457" i="1" l="1"/>
  <c r="AF457" i="1"/>
  <c r="AF93" i="1"/>
  <c r="AF44" i="1"/>
  <c r="AF43" i="1"/>
  <c r="AF45" i="1"/>
  <c r="AF456" i="1"/>
  <c r="AF94" i="1"/>
  <c r="AF42" i="1"/>
  <c r="AA78" i="1"/>
  <c r="AH78" i="1" s="1"/>
  <c r="AA79" i="1"/>
  <c r="AH79" i="1" s="1"/>
  <c r="AA80" i="1"/>
  <c r="AH80" i="1" s="1"/>
  <c r="AA81" i="1"/>
  <c r="AH81" i="1" s="1"/>
  <c r="AA82" i="1"/>
  <c r="AH82" i="1" s="1"/>
  <c r="AA83" i="1"/>
  <c r="AH83" i="1" s="1"/>
  <c r="AF83" i="1" l="1"/>
  <c r="AF81" i="1"/>
  <c r="AF79" i="1"/>
  <c r="AF82" i="1"/>
  <c r="AF80" i="1"/>
  <c r="AF78" i="1"/>
  <c r="AA474" i="1"/>
  <c r="Z509" i="1"/>
  <c r="AA509" i="1" s="1"/>
  <c r="G509" i="1"/>
  <c r="AK509" i="1" s="1"/>
  <c r="Z295" i="1"/>
  <c r="B13" i="19" l="1"/>
  <c r="B8" i="19"/>
  <c r="B12" i="19"/>
  <c r="B5" i="19"/>
  <c r="B10" i="19"/>
  <c r="B6" i="19"/>
  <c r="B9" i="19"/>
  <c r="B7" i="19"/>
  <c r="AG509" i="1"/>
  <c r="AI509" i="1"/>
  <c r="AH509" i="1"/>
  <c r="AD509" i="1"/>
  <c r="AE509" i="1"/>
  <c r="AF509" i="1"/>
  <c r="AH474" i="1"/>
  <c r="AF474" i="1"/>
  <c r="AA295" i="1"/>
  <c r="Z300" i="1"/>
  <c r="Z298" i="1"/>
  <c r="Z294" i="1"/>
  <c r="Z299" i="1"/>
  <c r="B11" i="19" l="1"/>
  <c r="B14" i="19" s="1"/>
  <c r="E111" i="43"/>
  <c r="E110" i="43"/>
  <c r="G110" i="43" s="1" a="1"/>
  <c r="G110" i="43" s="1"/>
  <c r="E109" i="43"/>
  <c r="E112" i="43"/>
  <c r="G112" i="43" s="1" a="1"/>
  <c r="G112" i="43" s="1"/>
  <c r="E108" i="43"/>
  <c r="E136" i="43"/>
  <c r="E124" i="43"/>
  <c r="E128" i="43"/>
  <c r="E133" i="43"/>
  <c r="E131" i="43"/>
  <c r="E135" i="43"/>
  <c r="E123" i="43"/>
  <c r="E125" i="43"/>
  <c r="E129" i="43"/>
  <c r="E134" i="43"/>
  <c r="G134" i="43" s="1" a="1"/>
  <c r="G134" i="43" s="1"/>
  <c r="E126" i="43"/>
  <c r="E130" i="43"/>
  <c r="E132" i="43"/>
  <c r="G132" i="43" s="1" a="1"/>
  <c r="G132" i="43" s="1"/>
  <c r="E127" i="43"/>
  <c r="G127" i="43" s="1" a="1"/>
  <c r="G127" i="43" s="1"/>
  <c r="E137" i="43"/>
  <c r="E115" i="43"/>
  <c r="E95" i="43"/>
  <c r="E58" i="43"/>
  <c r="E100" i="43"/>
  <c r="E85" i="43"/>
  <c r="E53" i="43"/>
  <c r="E90" i="43"/>
  <c r="E75" i="43"/>
  <c r="E13" i="43"/>
  <c r="E80" i="43"/>
  <c r="E65" i="43"/>
  <c r="E48" i="43"/>
  <c r="E70" i="43"/>
  <c r="E43" i="43"/>
  <c r="E33" i="43"/>
  <c r="E145" i="43"/>
  <c r="E23" i="43"/>
  <c r="E18" i="43"/>
  <c r="E120" i="43"/>
  <c r="E38" i="43"/>
  <c r="E140" i="43"/>
  <c r="E105" i="43"/>
  <c r="E28" i="43"/>
  <c r="E12" i="43"/>
  <c r="E102" i="43"/>
  <c r="E101" i="43"/>
  <c r="E84" i="43"/>
  <c r="E87" i="43"/>
  <c r="G87" i="43" s="1" a="1"/>
  <c r="G87" i="43" s="1"/>
  <c r="E79" i="43"/>
  <c r="E82" i="43"/>
  <c r="G82" i="43" s="1" a="1"/>
  <c r="G82" i="43" s="1"/>
  <c r="E141" i="43"/>
  <c r="E117" i="43"/>
  <c r="G117" i="43" s="1" a="1"/>
  <c r="G117" i="43" s="1"/>
  <c r="E71" i="43"/>
  <c r="E30" i="43"/>
  <c r="G30" i="43" s="1" a="1"/>
  <c r="G30" i="43" s="1"/>
  <c r="E29" i="43"/>
  <c r="E77" i="43"/>
  <c r="E138" i="43"/>
  <c r="E63" i="43"/>
  <c r="E143" i="43"/>
  <c r="E22" i="43"/>
  <c r="E55" i="43"/>
  <c r="G55" i="43" s="1" a="1"/>
  <c r="G55" i="43" s="1"/>
  <c r="E11" i="43"/>
  <c r="E66" i="43"/>
  <c r="E44" i="43"/>
  <c r="E97" i="43"/>
  <c r="E36" i="43"/>
  <c r="E64" i="43"/>
  <c r="G64" i="43" s="1" a="1"/>
  <c r="G64" i="43" s="1"/>
  <c r="E31" i="43"/>
  <c r="E113" i="43"/>
  <c r="E96" i="43"/>
  <c r="E73" i="43"/>
  <c r="E68" i="43"/>
  <c r="E16" i="43"/>
  <c r="E139" i="43"/>
  <c r="E20" i="43"/>
  <c r="G20" i="43" s="1" a="1"/>
  <c r="G20" i="43" s="1"/>
  <c r="E142" i="43"/>
  <c r="E59" i="43"/>
  <c r="E94" i="43"/>
  <c r="G94" i="43" s="1" a="1"/>
  <c r="G94" i="43" s="1"/>
  <c r="E114" i="43"/>
  <c r="G114" i="43" s="1" a="1"/>
  <c r="G114" i="43" s="1"/>
  <c r="E88" i="43"/>
  <c r="E14" i="43"/>
  <c r="E91" i="43"/>
  <c r="E40" i="43"/>
  <c r="G40" i="43" s="1" a="1"/>
  <c r="G40" i="43" s="1"/>
  <c r="E34" i="43"/>
  <c r="E92" i="43"/>
  <c r="G92" i="43" s="1" a="1"/>
  <c r="G92" i="43" s="1"/>
  <c r="E26" i="43"/>
  <c r="E74" i="43"/>
  <c r="G74" i="43" s="1" a="1"/>
  <c r="G74" i="43" s="1"/>
  <c r="E103" i="43"/>
  <c r="E69" i="43"/>
  <c r="E98" i="43"/>
  <c r="E99" i="43"/>
  <c r="G99" i="43" s="1" a="1"/>
  <c r="G99" i="43" s="1"/>
  <c r="E17" i="43"/>
  <c r="G17" i="43" s="1" a="1"/>
  <c r="G17" i="43" s="1"/>
  <c r="E83" i="43"/>
  <c r="E86" i="43"/>
  <c r="E78" i="43"/>
  <c r="E81" i="43"/>
  <c r="E47" i="43"/>
  <c r="G47" i="43" s="1" a="1"/>
  <c r="G47" i="43" s="1"/>
  <c r="E25" i="43"/>
  <c r="G25" i="43" s="1" a="1"/>
  <c r="G25" i="43" s="1"/>
  <c r="E15" i="43"/>
  <c r="E76" i="43"/>
  <c r="E49" i="43"/>
  <c r="E104" i="43"/>
  <c r="G104" i="43" s="1" a="1"/>
  <c r="G104" i="43" s="1"/>
  <c r="E146" i="43"/>
  <c r="E57" i="43"/>
  <c r="G57" i="43" s="1" a="1"/>
  <c r="G57" i="43" s="1"/>
  <c r="E42" i="43"/>
  <c r="G42" i="43" s="1" a="1"/>
  <c r="G42" i="43" s="1"/>
  <c r="E19" i="43"/>
  <c r="E144" i="43"/>
  <c r="G144" i="43" s="1" a="1"/>
  <c r="G144" i="43" s="1"/>
  <c r="E60" i="43"/>
  <c r="G60" i="43" s="1" a="1"/>
  <c r="G60" i="43" s="1"/>
  <c r="E147" i="43"/>
  <c r="G147" i="43" s="1" a="1"/>
  <c r="G147" i="43" s="1"/>
  <c r="E72" i="43"/>
  <c r="G72" i="43" s="1" a="1"/>
  <c r="G72" i="43" s="1"/>
  <c r="E121" i="43"/>
  <c r="E56" i="43"/>
  <c r="E93" i="43"/>
  <c r="E89" i="43"/>
  <c r="E41" i="43"/>
  <c r="E119" i="43"/>
  <c r="G119" i="43" s="1" a="1"/>
  <c r="G119" i="43" s="1"/>
  <c r="E27" i="43"/>
  <c r="G27" i="43" s="1" a="1"/>
  <c r="G27" i="43" s="1"/>
  <c r="E32" i="43"/>
  <c r="G32" i="43" s="1" a="1"/>
  <c r="G32" i="43" s="1"/>
  <c r="E45" i="43"/>
  <c r="G45" i="43" s="1" a="1"/>
  <c r="G45" i="43" s="1"/>
  <c r="E24" i="43"/>
  <c r="E50" i="43"/>
  <c r="G50" i="43" s="1" a="1"/>
  <c r="G50" i="43" s="1"/>
  <c r="E39" i="43"/>
  <c r="E67" i="43"/>
  <c r="E118" i="43"/>
  <c r="E37" i="43"/>
  <c r="G37" i="43" s="1" a="1"/>
  <c r="G37" i="43" s="1"/>
  <c r="E52" i="43"/>
  <c r="G52" i="43" s="1" a="1"/>
  <c r="G52" i="43" s="1"/>
  <c r="E35" i="43"/>
  <c r="G35" i="43" s="1" a="1"/>
  <c r="G35" i="43" s="1"/>
  <c r="E21" i="43"/>
  <c r="E116" i="43"/>
  <c r="E54" i="43"/>
  <c r="E107" i="43"/>
  <c r="E46" i="43"/>
  <c r="E51" i="43"/>
  <c r="E122" i="43"/>
  <c r="E106" i="43"/>
  <c r="AA299" i="1"/>
  <c r="AA294" i="1"/>
  <c r="AA298" i="1"/>
  <c r="Z105" i="1"/>
  <c r="Z106" i="1"/>
  <c r="Z99" i="1"/>
  <c r="Z107" i="1"/>
  <c r="AA22" i="1"/>
  <c r="AA23" i="1"/>
  <c r="G108" i="43" l="1" a="1"/>
  <c r="G108" i="43" s="1"/>
  <c r="G109" i="43" a="1"/>
  <c r="G109" i="43" s="1"/>
  <c r="G135" i="43" a="1"/>
  <c r="G135" i="43" s="1"/>
  <c r="G133" i="43" a="1"/>
  <c r="G133" i="43" s="1"/>
  <c r="G124" i="43" a="1"/>
  <c r="G124" i="43" s="1"/>
  <c r="G129" i="43" a="1"/>
  <c r="G129" i="43" s="1"/>
  <c r="G16" i="43" a="1"/>
  <c r="G16" i="43" s="1"/>
  <c r="G28" i="43" a="1"/>
  <c r="G28" i="43" s="1"/>
  <c r="G140" i="43" a="1"/>
  <c r="G140" i="43" s="1"/>
  <c r="G120" i="43" a="1"/>
  <c r="G120" i="43" s="1"/>
  <c r="G33" i="43" a="1"/>
  <c r="G33" i="43" s="1"/>
  <c r="G70" i="43" a="1"/>
  <c r="G70" i="43" s="1"/>
  <c r="G65" i="43" a="1"/>
  <c r="G65" i="43" s="1"/>
  <c r="G58" i="43" a="1"/>
  <c r="G58" i="43" s="1"/>
  <c r="G115" i="43" a="1"/>
  <c r="G115" i="43" s="1"/>
  <c r="G51" i="43" a="1"/>
  <c r="G51" i="43" s="1"/>
  <c r="G41" i="43" a="1"/>
  <c r="G41" i="43" s="1"/>
  <c r="G93" i="43" a="1"/>
  <c r="G93" i="43" s="1"/>
  <c r="G69" i="43" a="1"/>
  <c r="G69" i="43" s="1"/>
  <c r="G46" i="43" a="1"/>
  <c r="G46" i="43" s="1"/>
  <c r="G56" i="43" a="1"/>
  <c r="G56" i="43" s="1"/>
  <c r="G98" i="43" a="1"/>
  <c r="G98" i="43" s="1"/>
  <c r="G103" i="43" a="1"/>
  <c r="G103" i="43" s="1"/>
  <c r="G105" i="43" a="1"/>
  <c r="G105" i="43" s="1"/>
  <c r="G38" i="43" a="1"/>
  <c r="G38" i="43" s="1"/>
  <c r="G18" i="43" a="1"/>
  <c r="G18" i="43" s="1"/>
  <c r="G145" i="43" a="1"/>
  <c r="G145" i="43" s="1"/>
  <c r="G43" i="43" a="1"/>
  <c r="G43" i="43" s="1"/>
  <c r="G48" i="43" a="1"/>
  <c r="G48" i="43" s="1"/>
  <c r="G75" i="43" a="1"/>
  <c r="G75" i="43" s="1"/>
  <c r="G53" i="43" a="1"/>
  <c r="G53" i="43" s="1"/>
  <c r="G100" i="43" a="1"/>
  <c r="G100" i="43" s="1"/>
  <c r="G95" i="43" a="1"/>
  <c r="G95" i="43" s="1"/>
  <c r="G54" i="43" a="1"/>
  <c r="G54" i="43" s="1"/>
  <c r="E6" i="43"/>
  <c r="G59" i="43" a="1"/>
  <c r="G59" i="43" s="1"/>
  <c r="G13" i="43" a="1"/>
  <c r="G13" i="43" s="1"/>
  <c r="E5" i="43"/>
  <c r="E7" i="43"/>
  <c r="E3" i="43"/>
  <c r="E4" i="43"/>
  <c r="G12" i="43" a="1"/>
  <c r="G12" i="43" s="1"/>
  <c r="AA99" i="1"/>
  <c r="AA105" i="1"/>
  <c r="AA107" i="1"/>
  <c r="AA106" i="1"/>
  <c r="Z61" i="1"/>
  <c r="AA61" i="1" l="1"/>
  <c r="Z98" i="1"/>
  <c r="AA62" i="1"/>
  <c r="AH62" i="1" s="1"/>
  <c r="Z24" i="1"/>
  <c r="Z47" i="1"/>
  <c r="Z250" i="1"/>
  <c r="AA117" i="1"/>
  <c r="AH117" i="1" s="1"/>
  <c r="AA116" i="1"/>
  <c r="AA203" i="1"/>
  <c r="AH203" i="1" s="1"/>
  <c r="AA180" i="1"/>
  <c r="AH180" i="1" s="1"/>
  <c r="AA365" i="1"/>
  <c r="AA214" i="1"/>
  <c r="AH214" i="1" s="1"/>
  <c r="AH116" i="1" l="1"/>
  <c r="AF180" i="1"/>
  <c r="AF116" i="1"/>
  <c r="AF214" i="1"/>
  <c r="AF203" i="1"/>
  <c r="AF117" i="1"/>
  <c r="AF62" i="1"/>
  <c r="AA250" i="1"/>
  <c r="AH250" i="1" s="1"/>
  <c r="AA98" i="1"/>
  <c r="AA432" i="1"/>
  <c r="AH432" i="1" s="1"/>
  <c r="AF432" i="1" l="1"/>
  <c r="AF250" i="1"/>
  <c r="AF98" i="1"/>
  <c r="AA14" i="1"/>
  <c r="AA145" i="1" l="1"/>
  <c r="AA144" i="1"/>
  <c r="AA413" i="1"/>
  <c r="AA183" i="1"/>
  <c r="AA445" i="1"/>
  <c r="AA121" i="1"/>
  <c r="AH121" i="1" s="1"/>
  <c r="AA125" i="1"/>
  <c r="AH125" i="1" s="1"/>
  <c r="AA124" i="1"/>
  <c r="AH124" i="1" s="1"/>
  <c r="AA123" i="1"/>
  <c r="AH123" i="1" s="1"/>
  <c r="AA122" i="1"/>
  <c r="AH122" i="1" s="1"/>
  <c r="AA168" i="1"/>
  <c r="AH168" i="1" s="1"/>
  <c r="AA151" i="1"/>
  <c r="AA147" i="1"/>
  <c r="AA150" i="1"/>
  <c r="AA139" i="1"/>
  <c r="AA25" i="1"/>
  <c r="AA138" i="1"/>
  <c r="AA157" i="1"/>
  <c r="AA156" i="1"/>
  <c r="AA155" i="1"/>
  <c r="AA153" i="1"/>
  <c r="AH217" i="1"/>
  <c r="AA501" i="1"/>
  <c r="AH501" i="1" s="1"/>
  <c r="AA610" i="1"/>
  <c r="AA266" i="1"/>
  <c r="AA518" i="1"/>
  <c r="AH518" i="1" s="1"/>
  <c r="AA24" i="1"/>
  <c r="AH24" i="1" s="1"/>
  <c r="AA47" i="1"/>
  <c r="AH47" i="1" s="1"/>
  <c r="AH266" i="1" l="1"/>
  <c r="AH610" i="1"/>
  <c r="AF610" i="1"/>
  <c r="AF122" i="1"/>
  <c r="AF124" i="1"/>
  <c r="AF121" i="1"/>
  <c r="AF47" i="1"/>
  <c r="AF518" i="1"/>
  <c r="AF217" i="1"/>
  <c r="AF24" i="1"/>
  <c r="AF266" i="1"/>
  <c r="AF501" i="1"/>
  <c r="AF168" i="1"/>
  <c r="AF123" i="1"/>
  <c r="AF125" i="1"/>
  <c r="AA487" i="1"/>
  <c r="AH487" i="1" s="1"/>
  <c r="AA620" i="1"/>
  <c r="AH620" i="1" s="1"/>
  <c r="AA488" i="1"/>
  <c r="AH488" i="1" s="1"/>
  <c r="AA618" i="1"/>
  <c r="AH618" i="1" s="1"/>
  <c r="AA486" i="1"/>
  <c r="AA619" i="1"/>
  <c r="AH619" i="1" s="1"/>
  <c r="AH228" i="1"/>
  <c r="AH226" i="1"/>
  <c r="AH225" i="1"/>
  <c r="AH224" i="1"/>
  <c r="AH223" i="1"/>
  <c r="AH222" i="1"/>
  <c r="AH220" i="1"/>
  <c r="AH219" i="1"/>
  <c r="AH216" i="1"/>
  <c r="AH187" i="1"/>
  <c r="AH186" i="1"/>
  <c r="AH177" i="1"/>
  <c r="AH176" i="1"/>
  <c r="AH175" i="1"/>
  <c r="AH174" i="1"/>
  <c r="AH529" i="1"/>
  <c r="AH528" i="1"/>
  <c r="AH527" i="1"/>
  <c r="AH525" i="1"/>
  <c r="AH524" i="1"/>
  <c r="AH523" i="1"/>
  <c r="AH530" i="1"/>
  <c r="AH538" i="1"/>
  <c r="AH537" i="1"/>
  <c r="AH536" i="1"/>
  <c r="AH535" i="1"/>
  <c r="AH534" i="1"/>
  <c r="AH532" i="1"/>
  <c r="AH506" i="1"/>
  <c r="AH491" i="1"/>
  <c r="AH490" i="1"/>
  <c r="AH485" i="1"/>
  <c r="AH449" i="1"/>
  <c r="AH448" i="1"/>
  <c r="AH355" i="1"/>
  <c r="AH354" i="1"/>
  <c r="AH353" i="1"/>
  <c r="AH352" i="1"/>
  <c r="AH351" i="1"/>
  <c r="AH350" i="1"/>
  <c r="AH349" i="1"/>
  <c r="AH363" i="1"/>
  <c r="AH361" i="1"/>
  <c r="AH357" i="1"/>
  <c r="AH359" i="1"/>
  <c r="AH358" i="1"/>
  <c r="AH360" i="1"/>
  <c r="AH362" i="1"/>
  <c r="AH348" i="1"/>
  <c r="AH454" i="1"/>
  <c r="AH489" i="1"/>
  <c r="AH531" i="1"/>
  <c r="AH533" i="1"/>
  <c r="AH526" i="1"/>
  <c r="AH356" i="1"/>
  <c r="AH582" i="1"/>
  <c r="AH581" i="1"/>
  <c r="AH580" i="1"/>
  <c r="AH578" i="1"/>
  <c r="AH577" i="1"/>
  <c r="AH576" i="1"/>
  <c r="AH573" i="1"/>
  <c r="AH572" i="1"/>
  <c r="AA584" i="1"/>
  <c r="AH584" i="1" s="1"/>
  <c r="AA372" i="1"/>
  <c r="AA373" i="1"/>
  <c r="AA374" i="1"/>
  <c r="AA371" i="1"/>
  <c r="AA333" i="1"/>
  <c r="AA416" i="1"/>
  <c r="AA417" i="1"/>
  <c r="AA178" i="1"/>
  <c r="AA279" i="1"/>
  <c r="AH279" i="1" s="1"/>
  <c r="AA278" i="1"/>
  <c r="AH278" i="1" s="1"/>
  <c r="AA248" i="1"/>
  <c r="AH248" i="1" s="1"/>
  <c r="AA275" i="1"/>
  <c r="AH275" i="1" s="1"/>
  <c r="AA496" i="1"/>
  <c r="AA300" i="1"/>
  <c r="AA185" i="1"/>
  <c r="AA209" i="1"/>
  <c r="AA368" i="1"/>
  <c r="AA91" i="1"/>
  <c r="AA270" i="1"/>
  <c r="AA235" i="1"/>
  <c r="AA307" i="1"/>
  <c r="AA63" i="1"/>
  <c r="AA36" i="1"/>
  <c r="AH36" i="1" s="1"/>
  <c r="AA97" i="1"/>
  <c r="AH97" i="1" s="1"/>
  <c r="AA86" i="1"/>
  <c r="AA71" i="1"/>
  <c r="AH71" i="1" s="1"/>
  <c r="AH486" i="1" l="1"/>
  <c r="AF71" i="1"/>
  <c r="AF36" i="1"/>
  <c r="AF97" i="1"/>
  <c r="AF275" i="1"/>
  <c r="AF278" i="1"/>
  <c r="AF584" i="1"/>
  <c r="AF573" i="1"/>
  <c r="AF577" i="1"/>
  <c r="AF580" i="1"/>
  <c r="AF582" i="1"/>
  <c r="AF526" i="1"/>
  <c r="AF531" i="1"/>
  <c r="AF454" i="1"/>
  <c r="AF362" i="1"/>
  <c r="AF358" i="1"/>
  <c r="AF357" i="1"/>
  <c r="AF363" i="1"/>
  <c r="AF350" i="1"/>
  <c r="AF352" i="1"/>
  <c r="AF354" i="1"/>
  <c r="AF448" i="1"/>
  <c r="AF485" i="1"/>
  <c r="AF491" i="1"/>
  <c r="AF532" i="1"/>
  <c r="AF535" i="1"/>
  <c r="AF537" i="1"/>
  <c r="AF530" i="1"/>
  <c r="AF524" i="1"/>
  <c r="AF527" i="1"/>
  <c r="AF529" i="1"/>
  <c r="AF175" i="1"/>
  <c r="AF177" i="1"/>
  <c r="AF187" i="1"/>
  <c r="AF219" i="1"/>
  <c r="AF222" i="1"/>
  <c r="AF224" i="1"/>
  <c r="AF226" i="1"/>
  <c r="AF619" i="1"/>
  <c r="AF618" i="1"/>
  <c r="AF620" i="1"/>
  <c r="AF248" i="1"/>
  <c r="AF279" i="1"/>
  <c r="AF572" i="1"/>
  <c r="AF576" i="1"/>
  <c r="AF578" i="1"/>
  <c r="AF581" i="1"/>
  <c r="AF356" i="1"/>
  <c r="AF533" i="1"/>
  <c r="AF489" i="1"/>
  <c r="AF348" i="1"/>
  <c r="AF360" i="1"/>
  <c r="AF359" i="1"/>
  <c r="AF361" i="1"/>
  <c r="AF349" i="1"/>
  <c r="AF351" i="1"/>
  <c r="AF353" i="1"/>
  <c r="AF355" i="1"/>
  <c r="AF449" i="1"/>
  <c r="AF490" i="1"/>
  <c r="AF506" i="1"/>
  <c r="AF534" i="1"/>
  <c r="AF536" i="1"/>
  <c r="AF538" i="1"/>
  <c r="AF523" i="1"/>
  <c r="AF525" i="1"/>
  <c r="AF528" i="1"/>
  <c r="AF174" i="1"/>
  <c r="AF176" i="1"/>
  <c r="AF186" i="1"/>
  <c r="AF216" i="1"/>
  <c r="AF220" i="1"/>
  <c r="AF223" i="1"/>
  <c r="AF225" i="1"/>
  <c r="AF228" i="1"/>
  <c r="AF486" i="1"/>
  <c r="AF488" i="1"/>
  <c r="AF487" i="1"/>
  <c r="AA85" i="1"/>
  <c r="AA90" i="1"/>
  <c r="AA89" i="1"/>
  <c r="AA88" i="1"/>
  <c r="AA87" i="1"/>
  <c r="AA17" i="1"/>
  <c r="AH591" i="1"/>
  <c r="AA404" i="1"/>
  <c r="AH404" i="1" s="1"/>
  <c r="AA397" i="1"/>
  <c r="AH397" i="1" s="1"/>
  <c r="AA346" i="1"/>
  <c r="AA606" i="1"/>
  <c r="AH606" i="1" s="1"/>
  <c r="AA347" i="1"/>
  <c r="AA602" i="1"/>
  <c r="AH602" i="1" s="1"/>
  <c r="AA408" i="1"/>
  <c r="AA427" i="1"/>
  <c r="AA428" i="1"/>
  <c r="AA424" i="1"/>
  <c r="AH424" i="1" s="1"/>
  <c r="AA431" i="1"/>
  <c r="AA393" i="1"/>
  <c r="AA342" i="1"/>
  <c r="AA232" i="1"/>
  <c r="AA570" i="1"/>
  <c r="AH570" i="1" s="1"/>
  <c r="AA306" i="1"/>
  <c r="AA375" i="1"/>
  <c r="AA321" i="1"/>
  <c r="AH321" i="1" s="1"/>
  <c r="AA338" i="1"/>
  <c r="AH338" i="1" s="1"/>
  <c r="AA339" i="1"/>
  <c r="AH339" i="1" s="1"/>
  <c r="AA378" i="1"/>
  <c r="AH378" i="1" s="1"/>
  <c r="AA379" i="1"/>
  <c r="AH379" i="1" s="1"/>
  <c r="AA589" i="1"/>
  <c r="AH589" i="1" s="1"/>
  <c r="AA323" i="1"/>
  <c r="AA588" i="1"/>
  <c r="AH588" i="1" s="1"/>
  <c r="AA364" i="1"/>
  <c r="AA293" i="1"/>
  <c r="AA459" i="1"/>
  <c r="AA623" i="1"/>
  <c r="AA622" i="1"/>
  <c r="AH622" i="1" s="1"/>
  <c r="AA16" i="1"/>
  <c r="AA15" i="1"/>
  <c r="AA111" i="1"/>
  <c r="AH111" i="1" s="1"/>
  <c r="AA171" i="1"/>
  <c r="AH171" i="1" s="1"/>
  <c r="AA172" i="1"/>
  <c r="AH172" i="1" s="1"/>
  <c r="AA173" i="1"/>
  <c r="AH173" i="1" s="1"/>
  <c r="AA158" i="1"/>
  <c r="AH158" i="1" s="1"/>
  <c r="AA152" i="1"/>
  <c r="AH152" i="1" s="1"/>
  <c r="AA148" i="1"/>
  <c r="AH148" i="1" s="1"/>
  <c r="AA149" i="1"/>
  <c r="AH149" i="1" s="1"/>
  <c r="AA159" i="1"/>
  <c r="AH159" i="1" s="1"/>
  <c r="AA160" i="1"/>
  <c r="AH160" i="1" s="1"/>
  <c r="AA179" i="1"/>
  <c r="AH179" i="1" s="1"/>
  <c r="AA202" i="1"/>
  <c r="AH202" i="1" s="1"/>
  <c r="AA182" i="1"/>
  <c r="AA395" i="1"/>
  <c r="AH182" i="1" l="1"/>
  <c r="AH623" i="1"/>
  <c r="AH375" i="1"/>
  <c r="G84" i="43" a="1"/>
  <c r="G84" i="43" s="1"/>
  <c r="G79" i="43" a="1"/>
  <c r="G79" i="43" s="1"/>
  <c r="G31" i="43" a="1"/>
  <c r="G31" i="43" s="1"/>
  <c r="G22" i="43" a="1"/>
  <c r="G22" i="43" s="1"/>
  <c r="G89" i="43" a="1"/>
  <c r="G89" i="43" s="1"/>
  <c r="G15" i="43" a="1"/>
  <c r="G15" i="43" s="1"/>
  <c r="G21" i="43" a="1"/>
  <c r="G21" i="43" s="1"/>
  <c r="AF166" i="1"/>
  <c r="AF182" i="1"/>
  <c r="AF179" i="1"/>
  <c r="AF159" i="1"/>
  <c r="AF148" i="1"/>
  <c r="AF158" i="1"/>
  <c r="AF172" i="1"/>
  <c r="AF111" i="1"/>
  <c r="AF623" i="1"/>
  <c r="AF293" i="1"/>
  <c r="AF588" i="1"/>
  <c r="AF589" i="1"/>
  <c r="AF378" i="1"/>
  <c r="AF338" i="1"/>
  <c r="AF375" i="1"/>
  <c r="AF570" i="1"/>
  <c r="AF346" i="1"/>
  <c r="AF404" i="1"/>
  <c r="AF202" i="1"/>
  <c r="AF160" i="1"/>
  <c r="AF149" i="1"/>
  <c r="AF152" i="1"/>
  <c r="AF173" i="1"/>
  <c r="AF171" i="1"/>
  <c r="AF622" i="1"/>
  <c r="AF459" i="1"/>
  <c r="AF379" i="1"/>
  <c r="AF339" i="1"/>
  <c r="AF321" i="1"/>
  <c r="AF232" i="1"/>
  <c r="AF393" i="1"/>
  <c r="AF424" i="1"/>
  <c r="AF602" i="1"/>
  <c r="AF606" i="1"/>
  <c r="AF397" i="1"/>
  <c r="AF591" i="1"/>
  <c r="G118" i="43" l="1" a="1"/>
  <c r="G118" i="43" s="1"/>
  <c r="G141" i="43" a="1"/>
  <c r="G141" i="43" s="1"/>
  <c r="G116" i="43" a="1"/>
  <c r="G116" i="43" s="1"/>
  <c r="G123" i="43" a="1"/>
  <c r="G123" i="43" s="1"/>
  <c r="G83" i="43" a="1"/>
  <c r="G83" i="43" s="1"/>
  <c r="G128" i="43" a="1"/>
  <c r="G128" i="43" s="1"/>
  <c r="G78" i="43" a="1"/>
  <c r="G78" i="43" s="1"/>
  <c r="F73" i="43" a="1"/>
  <c r="F73" i="43" s="1"/>
  <c r="I73" i="43" s="1"/>
  <c r="K43" i="31" s="1"/>
  <c r="F55" i="43" a="1"/>
  <c r="F55" i="43" s="1"/>
  <c r="F40" i="43" a="1"/>
  <c r="F40" i="43" s="1"/>
  <c r="G67" i="43" a="1"/>
  <c r="G67" i="43" s="1"/>
  <c r="G71" i="43" a="1"/>
  <c r="G71" i="43" s="1"/>
  <c r="F46" i="43" a="1"/>
  <c r="F46" i="43" s="1"/>
  <c r="G91" i="43" a="1"/>
  <c r="G91" i="43" s="1"/>
  <c r="G19" i="43" a="1"/>
  <c r="G19" i="43" s="1"/>
  <c r="G142" i="43" a="1"/>
  <c r="G142" i="43" s="1"/>
  <c r="F47" i="43" a="1"/>
  <c r="F47" i="43" s="1"/>
  <c r="F54" i="43" a="1"/>
  <c r="F54" i="43" s="1"/>
  <c r="I51" i="43" s="1"/>
  <c r="F91" i="43" a="1"/>
  <c r="F91" i="43" s="1"/>
  <c r="I91" i="43" s="1"/>
  <c r="G73" i="43" a="1"/>
  <c r="G73" i="43" s="1"/>
  <c r="G34" i="43" a="1"/>
  <c r="G34" i="43" s="1"/>
  <c r="G39" i="43" a="1"/>
  <c r="G39" i="43" s="1"/>
  <c r="F31" i="43" a="1"/>
  <c r="F31" i="43" s="1"/>
  <c r="F66" i="43" a="1"/>
  <c r="F66" i="43" s="1"/>
  <c r="I66" i="43" s="1"/>
  <c r="F56" i="43" a="1"/>
  <c r="F56" i="43" s="1"/>
  <c r="I59" i="43" s="1"/>
  <c r="K23" i="31" s="1"/>
  <c r="K489" i="31" s="1"/>
  <c r="L489" i="31" s="1"/>
  <c r="M489" i="31" s="1"/>
  <c r="F30" i="43" a="1"/>
  <c r="F30" i="43" s="1"/>
  <c r="F64" i="43" a="1"/>
  <c r="F64" i="43" s="1"/>
  <c r="F141" i="43" a="1"/>
  <c r="F141" i="43" s="1"/>
  <c r="F102" i="43" a="1"/>
  <c r="F102" i="43" s="1"/>
  <c r="F104" i="43" a="1"/>
  <c r="F104" i="43" s="1"/>
  <c r="F35" i="43" a="1"/>
  <c r="F35" i="43" s="1"/>
  <c r="F57" i="43" a="1"/>
  <c r="F57" i="43" s="1"/>
  <c r="F92" i="43" a="1"/>
  <c r="F92" i="43" s="1"/>
  <c r="G26" i="43" a="1"/>
  <c r="G26" i="43" s="1"/>
  <c r="G88" i="43" a="1"/>
  <c r="G88" i="43" s="1"/>
  <c r="G139" i="43" a="1"/>
  <c r="G139" i="43" s="1"/>
  <c r="G76" i="43" a="1"/>
  <c r="G76" i="43" s="1"/>
  <c r="G24" i="43" a="1"/>
  <c r="G24" i="43" s="1"/>
  <c r="G121" i="43" a="1"/>
  <c r="G121" i="43" s="1"/>
  <c r="G44" i="43" a="1"/>
  <c r="G44" i="43" s="1"/>
  <c r="F76" i="43" a="1"/>
  <c r="F76" i="43" s="1"/>
  <c r="I76" i="43" s="1"/>
  <c r="F146" i="43" a="1"/>
  <c r="F146" i="43" s="1"/>
  <c r="I146" i="43" s="1"/>
  <c r="F97" i="43" a="1"/>
  <c r="F97" i="43" s="1"/>
  <c r="F138" i="43" a="1"/>
  <c r="F138" i="43" s="1"/>
  <c r="I138" i="43" s="1"/>
  <c r="F19" i="43" a="1"/>
  <c r="F19" i="43" s="1"/>
  <c r="I19" i="43" s="1"/>
  <c r="F78" i="43" a="1"/>
  <c r="F78" i="43" s="1"/>
  <c r="F113" i="43" a="1"/>
  <c r="F113" i="43" s="1"/>
  <c r="I113" i="43" s="1"/>
  <c r="F144" i="43" a="1"/>
  <c r="F144" i="43" s="1"/>
  <c r="F79" i="43" a="1"/>
  <c r="F79" i="43" s="1"/>
  <c r="F122" i="43" a="1"/>
  <c r="F122" i="43" s="1"/>
  <c r="F17" i="43" a="1"/>
  <c r="F17" i="43" s="1"/>
  <c r="F34" i="43" a="1"/>
  <c r="F34" i="43" s="1"/>
  <c r="I31" i="43" s="1"/>
  <c r="F81" i="43" a="1"/>
  <c r="F81" i="43" s="1"/>
  <c r="F26" i="43" a="1"/>
  <c r="F26" i="43" s="1"/>
  <c r="I26" i="43" s="1"/>
  <c r="F25" i="43" a="1"/>
  <c r="F25" i="43" s="1"/>
  <c r="F109" i="43" a="1"/>
  <c r="F109" i="43" s="1"/>
  <c r="F111" i="43" a="1"/>
  <c r="F111" i="43" s="1"/>
  <c r="G111" i="43" a="1"/>
  <c r="G111" i="43" s="1"/>
  <c r="F112" i="43" a="1"/>
  <c r="F112" i="43" s="1"/>
  <c r="F110" i="43" a="1"/>
  <c r="F110" i="43" s="1"/>
  <c r="F108" i="43" a="1"/>
  <c r="F108" i="43" s="1"/>
  <c r="G138" i="43" a="1"/>
  <c r="G138" i="43" s="1"/>
  <c r="G63" i="43" a="1"/>
  <c r="G63" i="43" s="1"/>
  <c r="G143" i="43" a="1"/>
  <c r="G143" i="43" s="1"/>
  <c r="G113" i="43" a="1"/>
  <c r="G113" i="43" s="1"/>
  <c r="G14" i="43" a="1"/>
  <c r="G14" i="43" s="1"/>
  <c r="G11" i="43" a="1"/>
  <c r="G11" i="43" s="1"/>
  <c r="G68" i="43" a="1"/>
  <c r="G68" i="43" s="1"/>
  <c r="G49" i="43" a="1"/>
  <c r="G49" i="43" s="1"/>
  <c r="G29" i="43" a="1"/>
  <c r="G29" i="43" s="1"/>
  <c r="G96" i="43" a="1"/>
  <c r="G96" i="43" s="1"/>
  <c r="G146" i="43" a="1"/>
  <c r="G146" i="43" s="1"/>
  <c r="G66" i="43" a="1"/>
  <c r="G66" i="43" s="1"/>
  <c r="G77" i="43" a="1"/>
  <c r="G77" i="43" s="1"/>
  <c r="G107" i="43" a="1"/>
  <c r="G107" i="43" s="1"/>
  <c r="G97" i="43" a="1"/>
  <c r="G97" i="43" s="1"/>
  <c r="G122" i="43" a="1"/>
  <c r="G122" i="43" s="1"/>
  <c r="G106" i="43" a="1"/>
  <c r="G106" i="43" s="1"/>
  <c r="F87" i="43" a="1"/>
  <c r="F87" i="43" s="1"/>
  <c r="F114" i="43" a="1"/>
  <c r="F114" i="43" s="1"/>
  <c r="F50" i="43" a="1"/>
  <c r="F50" i="43" s="1"/>
  <c r="F29" i="43" a="1"/>
  <c r="F29" i="43" s="1"/>
  <c r="I29" i="43" s="1"/>
  <c r="F68" i="43" a="1"/>
  <c r="F68" i="43" s="1"/>
  <c r="K40" i="31" s="1"/>
  <c r="F86" i="43" a="1"/>
  <c r="F86" i="43" s="1"/>
  <c r="I86" i="43" s="1"/>
  <c r="F94" i="43" a="1"/>
  <c r="F94" i="43" s="1"/>
  <c r="F21" i="43" a="1"/>
  <c r="F21" i="43" s="1"/>
  <c r="F121" i="43" a="1"/>
  <c r="F121" i="43" s="1"/>
  <c r="I121" i="43" s="1"/>
  <c r="F37" i="43" a="1"/>
  <c r="F37" i="43" s="1"/>
  <c r="F77" i="43" a="1"/>
  <c r="F77" i="43" s="1"/>
  <c r="G81" i="43" a="1"/>
  <c r="G81" i="43" s="1"/>
  <c r="F74" i="43" a="1"/>
  <c r="F74" i="43" s="1"/>
  <c r="F147" i="43" a="1"/>
  <c r="F147" i="43" s="1"/>
  <c r="F106" i="43" a="1"/>
  <c r="F106" i="43" s="1"/>
  <c r="I106" i="43" s="1"/>
  <c r="F27" i="43" a="1"/>
  <c r="F27" i="43" s="1"/>
  <c r="F67" i="43" a="1"/>
  <c r="F67" i="43" s="1"/>
  <c r="F44" i="43" a="1"/>
  <c r="F44" i="43" s="1"/>
  <c r="I44" i="43" s="1"/>
  <c r="F93" i="43" a="1"/>
  <c r="F93" i="43" s="1"/>
  <c r="F20" i="43" a="1"/>
  <c r="F20" i="43" s="1"/>
  <c r="F119" i="43" a="1"/>
  <c r="F119" i="43" s="1"/>
  <c r="F36" i="43" a="1"/>
  <c r="F36" i="43" s="1"/>
  <c r="F11" i="43" a="1"/>
  <c r="F11" i="43" s="1"/>
  <c r="I11" i="43" s="1"/>
  <c r="F52" i="43" a="1"/>
  <c r="F52" i="43" s="1"/>
  <c r="F107" i="43" a="1"/>
  <c r="F107" i="43" s="1"/>
  <c r="F71" i="43" a="1"/>
  <c r="F71" i="43" s="1"/>
  <c r="I71" i="43" s="1"/>
  <c r="F143" i="43" a="1"/>
  <c r="F143" i="43" s="1"/>
  <c r="I143" i="43" s="1"/>
  <c r="F45" i="43" a="1"/>
  <c r="F45" i="43" s="1"/>
  <c r="F42" i="43" a="1"/>
  <c r="F42" i="43" s="1"/>
  <c r="F59" i="43" a="1"/>
  <c r="F59" i="43" s="1"/>
  <c r="I56" i="43" s="1"/>
  <c r="F116" i="43" a="1"/>
  <c r="F116" i="43" s="1"/>
  <c r="F49" i="43" a="1"/>
  <c r="F49" i="43" s="1"/>
  <c r="I49" i="43" s="1"/>
  <c r="F24" i="43" a="1"/>
  <c r="F24" i="43" s="1"/>
  <c r="F63" i="43" a="1"/>
  <c r="F63" i="43" s="1"/>
  <c r="I63" i="43" s="1"/>
  <c r="K37" i="31" s="1"/>
  <c r="F82" i="43" a="1"/>
  <c r="F82" i="43" s="1"/>
  <c r="F118" i="43" a="1"/>
  <c r="F118" i="43" s="1"/>
  <c r="F32" i="43" a="1"/>
  <c r="F32" i="43" s="1"/>
  <c r="F12" i="43" a="1"/>
  <c r="F12" i="43" s="1"/>
  <c r="F41" i="43" a="1"/>
  <c r="F41" i="43" s="1"/>
  <c r="F124" i="43" a="1"/>
  <c r="F124" i="43" s="1"/>
  <c r="F123" i="43" a="1"/>
  <c r="F123" i="43" s="1"/>
  <c r="F133" i="43" a="1"/>
  <c r="F133" i="43" s="1"/>
  <c r="G136" i="43" a="1"/>
  <c r="G136" i="43" s="1"/>
  <c r="F129" i="43" a="1"/>
  <c r="F129" i="43" s="1"/>
  <c r="F137" i="43" a="1"/>
  <c r="F137" i="43" s="1"/>
  <c r="F134" i="43" a="1"/>
  <c r="F134" i="43" s="1"/>
  <c r="F125" i="43" a="1"/>
  <c r="F125" i="43" s="1"/>
  <c r="G131" i="43" a="1"/>
  <c r="G131" i="43" s="1"/>
  <c r="F131" i="43" a="1"/>
  <c r="F131" i="43" s="1"/>
  <c r="F132" i="43" a="1"/>
  <c r="F132" i="43" s="1"/>
  <c r="F72" i="43" a="1"/>
  <c r="F72" i="43" s="1"/>
  <c r="F103" i="43" a="1"/>
  <c r="F103" i="43" s="1"/>
  <c r="F139" i="43" a="1"/>
  <c r="F139" i="43" s="1"/>
  <c r="I140" i="43" s="1"/>
  <c r="F84" i="43" a="1"/>
  <c r="F84" i="43" s="1"/>
  <c r="F117" i="43" a="1"/>
  <c r="F117" i="43" s="1"/>
  <c r="G102" i="43" a="1"/>
  <c r="G102" i="43" s="1"/>
  <c r="F101" i="43" a="1"/>
  <c r="F101" i="43" s="1"/>
  <c r="I98" i="43" s="1"/>
  <c r="F53" i="43" a="1"/>
  <c r="F53" i="43" s="1"/>
  <c r="G137" i="43" a="1"/>
  <c r="G137" i="43" s="1"/>
  <c r="F128" i="43" a="1"/>
  <c r="F128" i="43" s="1"/>
  <c r="G130" i="43" a="1"/>
  <c r="G130" i="43" s="1"/>
  <c r="F136" i="43" a="1"/>
  <c r="F136" i="43" s="1"/>
  <c r="I133" i="43" s="1"/>
  <c r="F135" i="43" a="1"/>
  <c r="F135" i="43" s="1"/>
  <c r="F130" i="43" a="1"/>
  <c r="F130" i="43" s="1"/>
  <c r="F127" i="43" a="1"/>
  <c r="F127" i="43" s="1"/>
  <c r="G126" i="43" a="1"/>
  <c r="G126" i="43" s="1"/>
  <c r="G125" i="43" a="1"/>
  <c r="G125" i="43" s="1"/>
  <c r="F126" i="43" a="1"/>
  <c r="F126" i="43" s="1"/>
  <c r="G90" i="43" a="1"/>
  <c r="G90" i="43" s="1"/>
  <c r="G23" i="43" a="1"/>
  <c r="G23" i="43" s="1"/>
  <c r="F13" i="43" a="1"/>
  <c r="F13" i="43" s="1"/>
  <c r="F43" i="43" a="1"/>
  <c r="F43" i="43" s="1"/>
  <c r="F48" i="43" a="1"/>
  <c r="F48" i="43" s="1"/>
  <c r="F89" i="43" a="1"/>
  <c r="F89" i="43" s="1"/>
  <c r="F16" i="43" a="1"/>
  <c r="F16" i="43" s="1"/>
  <c r="F14" i="43" a="1"/>
  <c r="F14" i="43" s="1"/>
  <c r="F51" i="43" a="1"/>
  <c r="F51" i="43" s="1"/>
  <c r="I54" i="43" s="1"/>
  <c r="I239" i="44" s="1"/>
  <c r="F83" i="43" a="1"/>
  <c r="F83" i="43" s="1"/>
  <c r="I83" i="43" s="1"/>
  <c r="F69" i="43" a="1"/>
  <c r="F69" i="43" s="1"/>
  <c r="F142" i="43" a="1"/>
  <c r="F142" i="43" s="1"/>
  <c r="F96" i="43" a="1"/>
  <c r="F96" i="43" s="1"/>
  <c r="F22" i="43" a="1"/>
  <c r="F22" i="43" s="1"/>
  <c r="F60" i="43" a="1"/>
  <c r="F60" i="43" s="1"/>
  <c r="F39" i="43" a="1"/>
  <c r="F39" i="43" s="1"/>
  <c r="F88" i="43" a="1"/>
  <c r="F88" i="43" s="1"/>
  <c r="I88" i="43" s="1"/>
  <c r="F15" i="43" a="1"/>
  <c r="F15" i="43" s="1"/>
  <c r="G86" i="43" a="1"/>
  <c r="G86" i="43" s="1"/>
  <c r="F99" i="43" a="1"/>
  <c r="F99" i="43" s="1"/>
  <c r="G101" i="43" a="1"/>
  <c r="G101" i="43" s="1"/>
  <c r="F98" i="43" a="1"/>
  <c r="F98" i="43" s="1"/>
  <c r="F58" i="43" a="1"/>
  <c r="F58" i="43" s="1"/>
  <c r="F38" i="43" a="1"/>
  <c r="F38" i="43" s="1"/>
  <c r="F18" i="43" a="1"/>
  <c r="F18" i="43" s="1"/>
  <c r="G85" i="43" a="1"/>
  <c r="G85" i="43" s="1"/>
  <c r="F120" i="43" a="1"/>
  <c r="F120" i="43" s="1"/>
  <c r="F90" i="43" a="1"/>
  <c r="F90" i="43" s="1"/>
  <c r="F105" i="43" a="1"/>
  <c r="F105" i="43" s="1"/>
  <c r="F95" i="43" a="1"/>
  <c r="F95" i="43" s="1"/>
  <c r="F140" i="43" a="1"/>
  <c r="F140" i="43" s="1"/>
  <c r="F75" i="43" a="1"/>
  <c r="F75" i="43" s="1"/>
  <c r="F115" i="43" a="1"/>
  <c r="F115" i="43" s="1"/>
  <c r="F145" i="43" a="1"/>
  <c r="F145" i="43" s="1"/>
  <c r="G80" i="43" a="1"/>
  <c r="G80" i="43" s="1"/>
  <c r="F100" i="43" a="1"/>
  <c r="F100" i="43" s="1"/>
  <c r="F85" i="43" a="1"/>
  <c r="F85" i="43" s="1"/>
  <c r="F80" i="43" a="1"/>
  <c r="F80" i="43" s="1"/>
  <c r="F65" i="43" a="1"/>
  <c r="F65" i="43" s="1"/>
  <c r="F70" i="43" a="1"/>
  <c r="F70" i="43" s="1"/>
  <c r="F23" i="43" a="1"/>
  <c r="F23" i="43" s="1"/>
  <c r="G36" i="43" a="1"/>
  <c r="G36" i="43" s="1"/>
  <c r="F33" i="43" a="1"/>
  <c r="F33" i="43" s="1"/>
  <c r="F28" i="43" a="1"/>
  <c r="F28" i="43" s="1"/>
  <c r="K479" i="31"/>
  <c r="L479" i="31" s="1"/>
  <c r="M479" i="31" s="1"/>
  <c r="K499" i="31" l="1"/>
  <c r="L499" i="31" s="1"/>
  <c r="M499" i="31" s="1"/>
  <c r="K459" i="31"/>
  <c r="L459" i="31" s="1"/>
  <c r="M459" i="31" s="1"/>
  <c r="I34" i="43"/>
  <c r="I33" i="43" s="1"/>
  <c r="I34" i="44" s="1"/>
  <c r="I141" i="43"/>
  <c r="K62" i="31" s="1"/>
  <c r="K1429" i="31" s="1"/>
  <c r="L1429" i="31" s="1"/>
  <c r="M1429" i="31" s="1"/>
  <c r="K439" i="31"/>
  <c r="L439" i="31" s="1"/>
  <c r="M439" i="31" s="1"/>
  <c r="K449" i="31"/>
  <c r="L449" i="31" s="1"/>
  <c r="M449" i="31" s="1"/>
  <c r="K469" i="31"/>
  <c r="L469" i="31" s="1"/>
  <c r="M469" i="31" s="1"/>
  <c r="I144" i="43"/>
  <c r="I128" i="43"/>
  <c r="I78" i="43"/>
  <c r="I21" i="43"/>
  <c r="I116" i="43"/>
  <c r="I16" i="43"/>
  <c r="I9" i="44" s="1"/>
  <c r="I68" i="43"/>
  <c r="I69" i="43" s="1"/>
  <c r="I81" i="43"/>
  <c r="I41" i="43"/>
  <c r="I43" i="43" s="1"/>
  <c r="I46" i="43"/>
  <c r="I33" i="44" s="1"/>
  <c r="I28" i="43"/>
  <c r="I27" i="43"/>
  <c r="I103" i="43"/>
  <c r="I105" i="43" s="1"/>
  <c r="I145" i="43"/>
  <c r="I118" i="43"/>
  <c r="I24" i="43"/>
  <c r="I228" i="44"/>
  <c r="K22" i="31"/>
  <c r="K498" i="31" s="1"/>
  <c r="L498" i="31" s="1"/>
  <c r="M498" i="31" s="1"/>
  <c r="N498" i="31" s="1"/>
  <c r="I230" i="44"/>
  <c r="I37" i="44"/>
  <c r="I241" i="44"/>
  <c r="I111" i="43"/>
  <c r="I108" i="43"/>
  <c r="K19" i="31"/>
  <c r="K388" i="31" s="1"/>
  <c r="L388" i="31" s="1"/>
  <c r="M388" i="31" s="1"/>
  <c r="I139" i="43"/>
  <c r="K6" i="31"/>
  <c r="K138" i="31" s="1"/>
  <c r="L138" i="31" s="1"/>
  <c r="M138" i="31" s="1"/>
  <c r="I101" i="43"/>
  <c r="I100" i="43" s="1"/>
  <c r="I131" i="43"/>
  <c r="I126" i="43"/>
  <c r="I123" i="43"/>
  <c r="I129" i="43"/>
  <c r="I117" i="44" s="1"/>
  <c r="I130" i="43"/>
  <c r="I136" i="43"/>
  <c r="I134" i="43" s="1"/>
  <c r="I125" i="43"/>
  <c r="I124" i="43"/>
  <c r="I79" i="43"/>
  <c r="I80" i="43"/>
  <c r="I23" i="43"/>
  <c r="I22" i="43"/>
  <c r="I28" i="44" s="1"/>
  <c r="I84" i="43"/>
  <c r="I85" i="43"/>
  <c r="I90" i="43"/>
  <c r="I89" i="43"/>
  <c r="I36" i="43"/>
  <c r="I39" i="43"/>
  <c r="I14" i="43"/>
  <c r="I93" i="43"/>
  <c r="I96" i="43"/>
  <c r="K20" i="31"/>
  <c r="I57" i="43"/>
  <c r="I58" i="43"/>
  <c r="I74" i="43"/>
  <c r="I75" i="43"/>
  <c r="I32" i="43"/>
  <c r="I36" i="44" s="1"/>
  <c r="I52" i="43"/>
  <c r="I53" i="43"/>
  <c r="I64" i="43"/>
  <c r="I200" i="44" s="1"/>
  <c r="I65" i="43"/>
  <c r="I190" i="44" s="1"/>
  <c r="K55" i="31"/>
  <c r="K1278" i="31" s="1"/>
  <c r="L1278" i="31" s="1"/>
  <c r="M1278" i="31" s="1"/>
  <c r="K32" i="31"/>
  <c r="K719" i="31" s="1"/>
  <c r="L719" i="31" s="1"/>
  <c r="M719" i="31" s="1"/>
  <c r="K60" i="31"/>
  <c r="K1286" i="31" s="1"/>
  <c r="L1286" i="31" s="1"/>
  <c r="M1286" i="31" s="1"/>
  <c r="K46" i="31"/>
  <c r="K1058" i="31" s="1"/>
  <c r="L1058" i="31" s="1"/>
  <c r="M1058" i="31" s="1"/>
  <c r="K41" i="31"/>
  <c r="K919" i="31" s="1"/>
  <c r="L919" i="31" s="1"/>
  <c r="M919" i="31" s="1"/>
  <c r="K44" i="31"/>
  <c r="K989" i="31" s="1"/>
  <c r="L989" i="31" s="1"/>
  <c r="M989" i="31" s="1"/>
  <c r="K38" i="31"/>
  <c r="K829" i="31" s="1"/>
  <c r="L829" i="31" s="1"/>
  <c r="M829" i="31" s="1"/>
  <c r="K26" i="31"/>
  <c r="K569" i="31" s="1"/>
  <c r="L569" i="31" s="1"/>
  <c r="M569" i="31" s="1"/>
  <c r="K17" i="31"/>
  <c r="K339" i="31" s="1"/>
  <c r="L339" i="31" s="1"/>
  <c r="M339" i="31" s="1"/>
  <c r="K53" i="31"/>
  <c r="K1209" i="31" s="1"/>
  <c r="L1209" i="31" s="1"/>
  <c r="M1209" i="31" s="1"/>
  <c r="K64" i="31"/>
  <c r="K1468" i="31" s="1"/>
  <c r="L1468" i="31" s="1"/>
  <c r="M1468" i="31" s="1"/>
  <c r="K11" i="31"/>
  <c r="K199" i="31" s="1"/>
  <c r="L199" i="31" s="1"/>
  <c r="M199" i="31" s="1"/>
  <c r="K47" i="31"/>
  <c r="K1029" i="31" s="1"/>
  <c r="L1029" i="31" s="1"/>
  <c r="M1029" i="31" s="1"/>
  <c r="K66" i="31"/>
  <c r="K1476" i="31" s="1"/>
  <c r="L1476" i="31" s="1"/>
  <c r="M1476" i="31" s="1"/>
  <c r="K10" i="31"/>
  <c r="K198" i="31" s="1"/>
  <c r="L198" i="31" s="1"/>
  <c r="M198" i="31" s="1"/>
  <c r="K998" i="31"/>
  <c r="L998" i="31" s="1"/>
  <c r="M998" i="31" s="1"/>
  <c r="K988" i="31"/>
  <c r="L988" i="31" s="1"/>
  <c r="M988" i="31" s="1"/>
  <c r="K958" i="31"/>
  <c r="L958" i="31" s="1"/>
  <c r="M958" i="31" s="1"/>
  <c r="K978" i="31"/>
  <c r="K968" i="31"/>
  <c r="L968" i="31" s="1"/>
  <c r="M968" i="31" s="1"/>
  <c r="K938" i="31"/>
  <c r="L938" i="31" s="1"/>
  <c r="M938" i="31" s="1"/>
  <c r="K948" i="31"/>
  <c r="L948" i="31" s="1"/>
  <c r="K928" i="31"/>
  <c r="L928" i="31" s="1"/>
  <c r="M928" i="31" s="1"/>
  <c r="K908" i="31"/>
  <c r="L908" i="31" s="1"/>
  <c r="M908" i="31" s="1"/>
  <c r="K888" i="31"/>
  <c r="L888" i="31" s="1"/>
  <c r="M888" i="31" s="1"/>
  <c r="K868" i="31"/>
  <c r="L868" i="31" s="1"/>
  <c r="M868" i="31" s="1"/>
  <c r="K918" i="31"/>
  <c r="L918" i="31" s="1"/>
  <c r="M918" i="31" s="1"/>
  <c r="K898" i="31"/>
  <c r="L898" i="31" s="1"/>
  <c r="M898" i="31" s="1"/>
  <c r="K878" i="31"/>
  <c r="L878" i="31" s="1"/>
  <c r="M878" i="31" s="1"/>
  <c r="K858" i="31"/>
  <c r="L858" i="31" s="1"/>
  <c r="M858" i="31" s="1"/>
  <c r="K838" i="31"/>
  <c r="L838" i="31" s="1"/>
  <c r="M838" i="31" s="1"/>
  <c r="K818" i="31"/>
  <c r="L818" i="31" s="1"/>
  <c r="M818" i="31" s="1"/>
  <c r="K798" i="31"/>
  <c r="L798" i="31" s="1"/>
  <c r="M798" i="31" s="1"/>
  <c r="K848" i="31"/>
  <c r="L848" i="31" s="1"/>
  <c r="M848" i="31" s="1"/>
  <c r="K828" i="31"/>
  <c r="L828" i="31" s="1"/>
  <c r="M828" i="31" s="1"/>
  <c r="K808" i="31"/>
  <c r="L808" i="31" s="1"/>
  <c r="M808" i="31" s="1"/>
  <c r="K61" i="31"/>
  <c r="K28" i="31"/>
  <c r="K921" i="31"/>
  <c r="L921" i="31" s="1"/>
  <c r="M921" i="31" s="1"/>
  <c r="K911" i="31"/>
  <c r="L911" i="31" s="1"/>
  <c r="M911" i="31" s="1"/>
  <c r="K901" i="31"/>
  <c r="L901" i="31" s="1"/>
  <c r="M901" i="31" s="1"/>
  <c r="K891" i="31"/>
  <c r="L891" i="31" s="1"/>
  <c r="M891" i="31" s="1"/>
  <c r="K881" i="31"/>
  <c r="L881" i="31" s="1"/>
  <c r="M881" i="31" s="1"/>
  <c r="K871" i="31"/>
  <c r="L871" i="31" s="1"/>
  <c r="M871" i="31" s="1"/>
  <c r="K861" i="31"/>
  <c r="L861" i="31" s="1"/>
  <c r="M861" i="31" s="1"/>
  <c r="K924" i="31"/>
  <c r="L924" i="31" s="1"/>
  <c r="M924" i="31" s="1"/>
  <c r="K914" i="31"/>
  <c r="L914" i="31" s="1"/>
  <c r="M914" i="31" s="1"/>
  <c r="K904" i="31"/>
  <c r="L904" i="31" s="1"/>
  <c r="M904" i="31" s="1"/>
  <c r="K894" i="31"/>
  <c r="L894" i="31" s="1"/>
  <c r="M894" i="31" s="1"/>
  <c r="K884" i="31"/>
  <c r="L884" i="31" s="1"/>
  <c r="M884" i="31" s="1"/>
  <c r="K874" i="31"/>
  <c r="L874" i="31" s="1"/>
  <c r="M874" i="31" s="1"/>
  <c r="K864" i="31"/>
  <c r="L864" i="31" s="1"/>
  <c r="M864" i="31" s="1"/>
  <c r="K485" i="31"/>
  <c r="L485" i="31" s="1"/>
  <c r="K29" i="31" l="1"/>
  <c r="K639" i="31" s="1"/>
  <c r="L639" i="31" s="1"/>
  <c r="M639" i="31" s="1"/>
  <c r="K34" i="31"/>
  <c r="K788" i="31" s="1"/>
  <c r="L788" i="31" s="1"/>
  <c r="M788" i="31" s="1"/>
  <c r="I70" i="43"/>
  <c r="I114" i="43"/>
  <c r="K31" i="31"/>
  <c r="K718" i="31" s="1"/>
  <c r="L718" i="31" s="1"/>
  <c r="M718" i="31" s="1"/>
  <c r="N718" i="31" s="1"/>
  <c r="I17" i="43"/>
  <c r="I8" i="44" s="1"/>
  <c r="I18" i="43"/>
  <c r="I5" i="44" s="1"/>
  <c r="K57" i="31"/>
  <c r="K1216" i="31" s="1"/>
  <c r="L1216" i="31" s="1"/>
  <c r="M1216" i="31" s="1"/>
  <c r="I115" i="43"/>
  <c r="K478" i="31"/>
  <c r="L478" i="31" s="1"/>
  <c r="M478" i="31" s="1"/>
  <c r="N478" i="31" s="1"/>
  <c r="K1385" i="31"/>
  <c r="L1385" i="31" s="1"/>
  <c r="M1385" i="31" s="1"/>
  <c r="K418" i="31"/>
  <c r="L418" i="31" s="1"/>
  <c r="M418" i="31" s="1"/>
  <c r="K428" i="31"/>
  <c r="L428" i="31" s="1"/>
  <c r="M428" i="31" s="1"/>
  <c r="I42" i="43"/>
  <c r="K1392" i="31"/>
  <c r="L1392" i="31" s="1"/>
  <c r="M1392" i="31" s="1"/>
  <c r="K25" i="31"/>
  <c r="K548" i="31" s="1"/>
  <c r="L548" i="31" s="1"/>
  <c r="M548" i="31" s="1"/>
  <c r="K1369" i="31"/>
  <c r="L1369" i="31" s="1"/>
  <c r="M1369" i="31" s="1"/>
  <c r="K1425" i="31"/>
  <c r="L1425" i="31" s="1"/>
  <c r="M1425" i="31" s="1"/>
  <c r="K16" i="31"/>
  <c r="K358" i="31" s="1"/>
  <c r="L358" i="31" s="1"/>
  <c r="M358" i="31" s="1"/>
  <c r="K1379" i="31"/>
  <c r="L1379" i="31" s="1"/>
  <c r="M1379" i="31" s="1"/>
  <c r="K1409" i="31"/>
  <c r="L1409" i="31" s="1"/>
  <c r="M1409" i="31" s="1"/>
  <c r="K35" i="31"/>
  <c r="K739" i="31" s="1"/>
  <c r="L739" i="31" s="1"/>
  <c r="M739" i="31" s="1"/>
  <c r="I48" i="43"/>
  <c r="I30" i="44" s="1"/>
  <c r="I47" i="43"/>
  <c r="I32" i="44" s="1"/>
  <c r="I120" i="43"/>
  <c r="K73" i="31"/>
  <c r="L73" i="31" s="1"/>
  <c r="M73" i="31" s="1"/>
  <c r="K1355" i="31"/>
  <c r="L1355" i="31" s="1"/>
  <c r="M1355" i="31" s="1"/>
  <c r="K1405" i="31"/>
  <c r="L1405" i="31" s="1"/>
  <c r="M1405" i="31" s="1"/>
  <c r="K1372" i="31"/>
  <c r="L1372" i="31" s="1"/>
  <c r="M1372" i="31" s="1"/>
  <c r="K1412" i="31"/>
  <c r="L1412" i="31" s="1"/>
  <c r="M1412" i="31" s="1"/>
  <c r="K398" i="31"/>
  <c r="L398" i="31" s="1"/>
  <c r="M398" i="31" s="1"/>
  <c r="K378" i="31"/>
  <c r="L378" i="31" s="1"/>
  <c r="M378" i="31" s="1"/>
  <c r="K458" i="31"/>
  <c r="L458" i="31" s="1"/>
  <c r="M458" i="31" s="1"/>
  <c r="N458" i="31" s="1"/>
  <c r="K438" i="31"/>
  <c r="L438" i="31" s="1"/>
  <c r="M438" i="31" s="1"/>
  <c r="N438" i="31" s="1"/>
  <c r="K50" i="31"/>
  <c r="K1109" i="31" s="1"/>
  <c r="L1109" i="31" s="1"/>
  <c r="M1109" i="31" s="1"/>
  <c r="K1389" i="31"/>
  <c r="L1389" i="31" s="1"/>
  <c r="M1389" i="31" s="1"/>
  <c r="K1362" i="31"/>
  <c r="L1362" i="31" s="1"/>
  <c r="K114" i="31"/>
  <c r="L114" i="31" s="1"/>
  <c r="M114" i="31" s="1"/>
  <c r="K52" i="31"/>
  <c r="K1198" i="31" s="1"/>
  <c r="L1198" i="31" s="1"/>
  <c r="M1198" i="31" s="1"/>
  <c r="K148" i="31"/>
  <c r="L148" i="31" s="1"/>
  <c r="M148" i="31" s="1"/>
  <c r="K58" i="31"/>
  <c r="K1288" i="31" s="1"/>
  <c r="L1288" i="31" s="1"/>
  <c r="M1288" i="31" s="1"/>
  <c r="I119" i="43"/>
  <c r="I104" i="43"/>
  <c r="K1034" i="31"/>
  <c r="L1034" i="31" s="1"/>
  <c r="M1034" i="31" s="1"/>
  <c r="K1375" i="31"/>
  <c r="L1375" i="31" s="1"/>
  <c r="M1375" i="31" s="1"/>
  <c r="K1395" i="31"/>
  <c r="L1395" i="31" s="1"/>
  <c r="M1395" i="31" s="1"/>
  <c r="K1415" i="31"/>
  <c r="L1415" i="31" s="1"/>
  <c r="M1415" i="31" s="1"/>
  <c r="K1352" i="31"/>
  <c r="L1352" i="31" s="1"/>
  <c r="M1352" i="31" s="1"/>
  <c r="K1382" i="31"/>
  <c r="L1382" i="31" s="1"/>
  <c r="M1382" i="31" s="1"/>
  <c r="K1402" i="31"/>
  <c r="L1402" i="31" s="1"/>
  <c r="M1402" i="31" s="1"/>
  <c r="K1422" i="31"/>
  <c r="L1422" i="31" s="1"/>
  <c r="M1422" i="31" s="1"/>
  <c r="K408" i="31"/>
  <c r="L408" i="31" s="1"/>
  <c r="M408" i="31" s="1"/>
  <c r="K368" i="31"/>
  <c r="L368" i="31" s="1"/>
  <c r="M368" i="31" s="1"/>
  <c r="K448" i="31"/>
  <c r="L448" i="31" s="1"/>
  <c r="M448" i="31" s="1"/>
  <c r="N448" i="31" s="1"/>
  <c r="K468" i="31"/>
  <c r="L468" i="31" s="1"/>
  <c r="M468" i="31" s="1"/>
  <c r="N468" i="31" s="1"/>
  <c r="K488" i="31"/>
  <c r="L488" i="31" s="1"/>
  <c r="M488" i="31" s="1"/>
  <c r="N488" i="31" s="1"/>
  <c r="K1365" i="31"/>
  <c r="L1365" i="31" s="1"/>
  <c r="I99" i="43"/>
  <c r="K1359" i="31"/>
  <c r="L1359" i="31" s="1"/>
  <c r="M1359" i="31" s="1"/>
  <c r="K1419" i="31"/>
  <c r="L1419" i="31" s="1"/>
  <c r="M1419" i="31" s="1"/>
  <c r="K1219" i="31"/>
  <c r="L1219" i="31" s="1"/>
  <c r="M1219" i="31" s="1"/>
  <c r="K1399" i="31"/>
  <c r="L1399" i="31" s="1"/>
  <c r="M1399" i="31" s="1"/>
  <c r="K1142" i="31"/>
  <c r="L1142" i="31" s="1"/>
  <c r="M1142" i="31" s="1"/>
  <c r="K869" i="31"/>
  <c r="L869" i="31" s="1"/>
  <c r="M869" i="31" s="1"/>
  <c r="N868" i="31" s="1"/>
  <c r="K141" i="31"/>
  <c r="L141" i="31" s="1"/>
  <c r="M141" i="31" s="1"/>
  <c r="K124" i="31"/>
  <c r="L124" i="31" s="1"/>
  <c r="M124" i="31" s="1"/>
  <c r="K98" i="31"/>
  <c r="L98" i="31" s="1"/>
  <c r="M98" i="31" s="1"/>
  <c r="K7" i="31"/>
  <c r="K92" i="31" s="1"/>
  <c r="L92" i="31" s="1"/>
  <c r="M92" i="31" s="1"/>
  <c r="I110" i="43"/>
  <c r="I120" i="44" s="1"/>
  <c r="I238" i="44"/>
  <c r="I227" i="44"/>
  <c r="K1202" i="31"/>
  <c r="L1202" i="31" s="1"/>
  <c r="M1202" i="31" s="1"/>
  <c r="K1182" i="31"/>
  <c r="L1182" i="31" s="1"/>
  <c r="M1182" i="31" s="1"/>
  <c r="K299" i="31"/>
  <c r="L299" i="31" s="1"/>
  <c r="M299" i="31" s="1"/>
  <c r="K21" i="31"/>
  <c r="K426" i="31" s="1"/>
  <c r="I240" i="44"/>
  <c r="K24" i="31"/>
  <c r="K446" i="31" s="1"/>
  <c r="I229" i="44"/>
  <c r="K49" i="31"/>
  <c r="K1128" i="31" s="1"/>
  <c r="L1128" i="31" s="1"/>
  <c r="M1128" i="31" s="1"/>
  <c r="K13" i="31"/>
  <c r="K288" i="31" s="1"/>
  <c r="L288" i="31" s="1"/>
  <c r="M288" i="31" s="1"/>
  <c r="I109" i="43"/>
  <c r="I122" i="44" s="1"/>
  <c r="I123" i="44"/>
  <c r="K205" i="31"/>
  <c r="L205" i="31" s="1"/>
  <c r="M205" i="31" s="1"/>
  <c r="K962" i="31"/>
  <c r="L962" i="31" s="1"/>
  <c r="M962" i="31" s="1"/>
  <c r="K872" i="31"/>
  <c r="L872" i="31" s="1"/>
  <c r="M872" i="31" s="1"/>
  <c r="N871" i="31" s="1"/>
  <c r="K842" i="31"/>
  <c r="L842" i="31" s="1"/>
  <c r="M842" i="31" s="1"/>
  <c r="K195" i="31"/>
  <c r="L195" i="31" s="1"/>
  <c r="M195" i="31" s="1"/>
  <c r="K121" i="31"/>
  <c r="L121" i="31" s="1"/>
  <c r="M121" i="31" s="1"/>
  <c r="K134" i="31"/>
  <c r="L134" i="31" s="1"/>
  <c r="M134" i="31" s="1"/>
  <c r="K68" i="31"/>
  <c r="L68" i="31" s="1"/>
  <c r="K995" i="31"/>
  <c r="L995" i="31" s="1"/>
  <c r="M995" i="31" s="1"/>
  <c r="K865" i="31"/>
  <c r="L865" i="31" s="1"/>
  <c r="M865" i="31" s="1"/>
  <c r="K1051" i="31"/>
  <c r="L1051" i="31" s="1"/>
  <c r="M1051" i="31" s="1"/>
  <c r="K835" i="31"/>
  <c r="L835" i="31" s="1"/>
  <c r="M835" i="31" s="1"/>
  <c r="K1481" i="31"/>
  <c r="L1481" i="31" s="1"/>
  <c r="M1481" i="31" s="1"/>
  <c r="K128" i="31"/>
  <c r="L128" i="31" s="1"/>
  <c r="M128" i="31" s="1"/>
  <c r="K212" i="31"/>
  <c r="L212" i="31" s="1"/>
  <c r="M212" i="31" s="1"/>
  <c r="K1018" i="31"/>
  <c r="L1018" i="31" s="1"/>
  <c r="M1018" i="31" s="1"/>
  <c r="K1326" i="31"/>
  <c r="L1326" i="31" s="1"/>
  <c r="M1326" i="31" s="1"/>
  <c r="K152" i="31"/>
  <c r="L152" i="31" s="1"/>
  <c r="M152" i="31" s="1"/>
  <c r="K202" i="31"/>
  <c r="L202" i="31" s="1"/>
  <c r="M202" i="31" s="1"/>
  <c r="K155" i="31"/>
  <c r="L155" i="31" s="1"/>
  <c r="M155" i="31" s="1"/>
  <c r="K952" i="31"/>
  <c r="L952" i="31" s="1"/>
  <c r="M952" i="31" s="1"/>
  <c r="K955" i="31"/>
  <c r="L955" i="31" s="1"/>
  <c r="M955" i="31" s="1"/>
  <c r="K905" i="31"/>
  <c r="L905" i="31" s="1"/>
  <c r="M905" i="31" s="1"/>
  <c r="K912" i="31"/>
  <c r="L912" i="31" s="1"/>
  <c r="M912" i="31" s="1"/>
  <c r="N911" i="31" s="1"/>
  <c r="K1061" i="31"/>
  <c r="L1061" i="31" s="1"/>
  <c r="M1061" i="31" s="1"/>
  <c r="K795" i="31"/>
  <c r="L795" i="31" s="1"/>
  <c r="M795" i="31" s="1"/>
  <c r="K802" i="31"/>
  <c r="L802" i="31" s="1"/>
  <c r="M802" i="31" s="1"/>
  <c r="K1474" i="31"/>
  <c r="L1474" i="31" s="1"/>
  <c r="M1474" i="31" s="1"/>
  <c r="K502" i="31"/>
  <c r="L502" i="31" s="1"/>
  <c r="M502" i="31" s="1"/>
  <c r="K509" i="31"/>
  <c r="L509" i="31" s="1"/>
  <c r="M509" i="31" s="1"/>
  <c r="K209" i="31"/>
  <c r="L209" i="31" s="1"/>
  <c r="M209" i="31" s="1"/>
  <c r="K859" i="31"/>
  <c r="L859" i="31" s="1"/>
  <c r="M859" i="31" s="1"/>
  <c r="N858" i="31" s="1"/>
  <c r="K879" i="31"/>
  <c r="L879" i="31" s="1"/>
  <c r="M879" i="31" s="1"/>
  <c r="N878" i="31" s="1"/>
  <c r="K969" i="31"/>
  <c r="L969" i="31" s="1"/>
  <c r="M969" i="31" s="1"/>
  <c r="N968" i="31" s="1"/>
  <c r="K1009" i="31"/>
  <c r="L1009" i="31" s="1"/>
  <c r="M1009" i="31" s="1"/>
  <c r="K1008" i="31"/>
  <c r="L1008" i="31" s="1"/>
  <c r="M1008" i="31" s="1"/>
  <c r="K1296" i="31"/>
  <c r="L1296" i="31" s="1"/>
  <c r="M1296" i="31" s="1"/>
  <c r="K182" i="31"/>
  <c r="L182" i="31" s="1"/>
  <c r="M182" i="31" s="1"/>
  <c r="K215" i="31"/>
  <c r="L215" i="31" s="1"/>
  <c r="M215" i="31" s="1"/>
  <c r="K192" i="31"/>
  <c r="L192" i="31" s="1"/>
  <c r="M192" i="31" s="1"/>
  <c r="K165" i="31"/>
  <c r="L165" i="31" s="1"/>
  <c r="M165" i="31" s="1"/>
  <c r="K185" i="31"/>
  <c r="L185" i="31" s="1"/>
  <c r="M185" i="31" s="1"/>
  <c r="K175" i="31"/>
  <c r="L175" i="31" s="1"/>
  <c r="M175" i="31" s="1"/>
  <c r="K88" i="31"/>
  <c r="L88" i="31" s="1"/>
  <c r="M88" i="31" s="1"/>
  <c r="K144" i="31"/>
  <c r="L144" i="31" s="1"/>
  <c r="M144" i="31" s="1"/>
  <c r="K111" i="31"/>
  <c r="L111" i="31" s="1"/>
  <c r="M111" i="31" s="1"/>
  <c r="K131" i="31"/>
  <c r="L131" i="31" s="1"/>
  <c r="M131" i="31" s="1"/>
  <c r="K104" i="31"/>
  <c r="L104" i="31" s="1"/>
  <c r="M104" i="31" s="1"/>
  <c r="K101" i="31"/>
  <c r="L101" i="31" s="1"/>
  <c r="M101" i="31" s="1"/>
  <c r="K992" i="31"/>
  <c r="L992" i="31" s="1"/>
  <c r="M992" i="31" s="1"/>
  <c r="K935" i="31"/>
  <c r="L935" i="31" s="1"/>
  <c r="M935" i="31" s="1"/>
  <c r="K975" i="31"/>
  <c r="L975" i="31" s="1"/>
  <c r="M975" i="31" s="1"/>
  <c r="K885" i="31"/>
  <c r="L885" i="31" s="1"/>
  <c r="M885" i="31" s="1"/>
  <c r="K925" i="31"/>
  <c r="L925" i="31" s="1"/>
  <c r="M925" i="31" s="1"/>
  <c r="K892" i="31"/>
  <c r="L892" i="31" s="1"/>
  <c r="M892" i="31" s="1"/>
  <c r="N891" i="31" s="1"/>
  <c r="K1011" i="31"/>
  <c r="L1011" i="31" s="1"/>
  <c r="M1011" i="31" s="1"/>
  <c r="K1021" i="31"/>
  <c r="L1021" i="31" s="1"/>
  <c r="M1021" i="31" s="1"/>
  <c r="K1014" i="31"/>
  <c r="L1014" i="31" s="1"/>
  <c r="M1014" i="31" s="1"/>
  <c r="K1054" i="31"/>
  <c r="L1054" i="31" s="1"/>
  <c r="M1054" i="31" s="1"/>
  <c r="K815" i="31"/>
  <c r="L815" i="31" s="1"/>
  <c r="M815" i="31" s="1"/>
  <c r="K855" i="31"/>
  <c r="L855" i="31" s="1"/>
  <c r="M855" i="31" s="1"/>
  <c r="K822" i="31"/>
  <c r="L822" i="31" s="1"/>
  <c r="M822" i="31" s="1"/>
  <c r="K1434" i="31"/>
  <c r="L1434" i="31" s="1"/>
  <c r="M1434" i="31" s="1"/>
  <c r="K1441" i="31"/>
  <c r="L1441" i="31" s="1"/>
  <c r="M1441" i="31" s="1"/>
  <c r="K819" i="31"/>
  <c r="L819" i="31" s="1"/>
  <c r="M819" i="31" s="1"/>
  <c r="N818" i="31" s="1"/>
  <c r="K909" i="31"/>
  <c r="L909" i="31" s="1"/>
  <c r="M909" i="31" s="1"/>
  <c r="N908" i="31" s="1"/>
  <c r="K949" i="31"/>
  <c r="L949" i="31" s="1"/>
  <c r="M949" i="31" s="1"/>
  <c r="K959" i="31"/>
  <c r="L959" i="31" s="1"/>
  <c r="M959" i="31" s="1"/>
  <c r="N958" i="31" s="1"/>
  <c r="K1048" i="31"/>
  <c r="L1048" i="31" s="1"/>
  <c r="M1048" i="31" s="1"/>
  <c r="K1316" i="31"/>
  <c r="L1316" i="31" s="1"/>
  <c r="M1316" i="31" s="1"/>
  <c r="K83" i="31"/>
  <c r="L83" i="31" s="1"/>
  <c r="M83" i="31" s="1"/>
  <c r="K118" i="31"/>
  <c r="L118" i="31" s="1"/>
  <c r="M118" i="31" s="1"/>
  <c r="K91" i="31"/>
  <c r="L91" i="31" s="1"/>
  <c r="M91" i="31" s="1"/>
  <c r="K108" i="31"/>
  <c r="L108" i="31" s="1"/>
  <c r="M108" i="31" s="1"/>
  <c r="K1179" i="31"/>
  <c r="L1179" i="31" s="1"/>
  <c r="M1179" i="31" s="1"/>
  <c r="K1145" i="31"/>
  <c r="L1145" i="31" s="1"/>
  <c r="M1145" i="31" s="1"/>
  <c r="K1175" i="31"/>
  <c r="L1175" i="31" s="1"/>
  <c r="M1175" i="31" s="1"/>
  <c r="K1162" i="31"/>
  <c r="L1162" i="31" s="1"/>
  <c r="M1162" i="31" s="1"/>
  <c r="K1195" i="31"/>
  <c r="L1195" i="31" s="1"/>
  <c r="M1195" i="31" s="1"/>
  <c r="K309" i="31"/>
  <c r="L309" i="31" s="1"/>
  <c r="M309" i="31" s="1"/>
  <c r="K329" i="31"/>
  <c r="L329" i="31" s="1"/>
  <c r="M329" i="31" s="1"/>
  <c r="K1228" i="31"/>
  <c r="L1228" i="31" s="1"/>
  <c r="M1228" i="31" s="1"/>
  <c r="K1159" i="31"/>
  <c r="L1159" i="31" s="1"/>
  <c r="M1159" i="31" s="1"/>
  <c r="K709" i="31"/>
  <c r="L709" i="31" s="1"/>
  <c r="M709" i="31" s="1"/>
  <c r="K659" i="31"/>
  <c r="L659" i="31" s="1"/>
  <c r="M659" i="31" s="1"/>
  <c r="K699" i="31"/>
  <c r="L699" i="31" s="1"/>
  <c r="M699" i="31" s="1"/>
  <c r="K679" i="31"/>
  <c r="L679" i="31" s="1"/>
  <c r="M679" i="31" s="1"/>
  <c r="K1248" i="31"/>
  <c r="L1248" i="31" s="1"/>
  <c r="M1248" i="31" s="1"/>
  <c r="K1258" i="31"/>
  <c r="L1258" i="31" s="1"/>
  <c r="M1258" i="31" s="1"/>
  <c r="K1268" i="31"/>
  <c r="L1268" i="31" s="1"/>
  <c r="M1268" i="31" s="1"/>
  <c r="K689" i="31"/>
  <c r="L689" i="31" s="1"/>
  <c r="M689" i="31" s="1"/>
  <c r="K669" i="31"/>
  <c r="L669" i="31" s="1"/>
  <c r="M669" i="31" s="1"/>
  <c r="K1238" i="31"/>
  <c r="L1238" i="31" s="1"/>
  <c r="M1238" i="31" s="1"/>
  <c r="K1436" i="31"/>
  <c r="L1436" i="31" s="1"/>
  <c r="M1436" i="31" s="1"/>
  <c r="K1446" i="31"/>
  <c r="L1446" i="31" s="1"/>
  <c r="M1446" i="31" s="1"/>
  <c r="K1049" i="31"/>
  <c r="L1049" i="31" s="1"/>
  <c r="M1049" i="31" s="1"/>
  <c r="K1069" i="31"/>
  <c r="L1069" i="31" s="1"/>
  <c r="M1069" i="31" s="1"/>
  <c r="K1059" i="31"/>
  <c r="L1059" i="31" s="1"/>
  <c r="M1059" i="31" s="1"/>
  <c r="N1058" i="31" s="1"/>
  <c r="K1065" i="31"/>
  <c r="L1065" i="31" s="1"/>
  <c r="M1065" i="31" s="1"/>
  <c r="K169" i="31"/>
  <c r="L169" i="31" s="1"/>
  <c r="M169" i="31" s="1"/>
  <c r="K159" i="31"/>
  <c r="L159" i="31" s="1"/>
  <c r="M159" i="31" s="1"/>
  <c r="K179" i="31"/>
  <c r="L179" i="31" s="1"/>
  <c r="M179" i="31" s="1"/>
  <c r="K172" i="31"/>
  <c r="L172" i="31" s="1"/>
  <c r="M172" i="31" s="1"/>
  <c r="K162" i="31"/>
  <c r="L162" i="31" s="1"/>
  <c r="M162" i="31" s="1"/>
  <c r="K1438" i="31"/>
  <c r="L1438" i="31" s="1"/>
  <c r="M1438" i="31" s="1"/>
  <c r="K1458" i="31"/>
  <c r="L1458" i="31" s="1"/>
  <c r="M1458" i="31" s="1"/>
  <c r="K1461" i="31"/>
  <c r="L1461" i="31" s="1"/>
  <c r="M1461" i="31" s="1"/>
  <c r="K1494" i="31"/>
  <c r="L1494" i="31" s="1"/>
  <c r="M1494" i="31" s="1"/>
  <c r="K1454" i="31"/>
  <c r="L1454" i="31" s="1"/>
  <c r="M1454" i="31" s="1"/>
  <c r="K579" i="31"/>
  <c r="L579" i="31" s="1"/>
  <c r="M579" i="31" s="1"/>
  <c r="K549" i="31"/>
  <c r="L549" i="31" s="1"/>
  <c r="M549" i="31" s="1"/>
  <c r="K529" i="31"/>
  <c r="L529" i="31" s="1"/>
  <c r="M529" i="31" s="1"/>
  <c r="K512" i="31"/>
  <c r="L512" i="31" s="1"/>
  <c r="M512" i="31" s="1"/>
  <c r="K849" i="31"/>
  <c r="L849" i="31" s="1"/>
  <c r="M849" i="31" s="1"/>
  <c r="N848" i="31" s="1"/>
  <c r="K809" i="31"/>
  <c r="L809" i="31" s="1"/>
  <c r="M809" i="31" s="1"/>
  <c r="N808" i="31" s="1"/>
  <c r="K839" i="31"/>
  <c r="L839" i="31" s="1"/>
  <c r="M839" i="31" s="1"/>
  <c r="N838" i="31" s="1"/>
  <c r="K799" i="31"/>
  <c r="L799" i="31" s="1"/>
  <c r="M799" i="31" s="1"/>
  <c r="N798" i="31" s="1"/>
  <c r="K852" i="31"/>
  <c r="L852" i="31" s="1"/>
  <c r="M852" i="31" s="1"/>
  <c r="K832" i="31"/>
  <c r="L832" i="31" s="1"/>
  <c r="M832" i="31" s="1"/>
  <c r="K812" i="31"/>
  <c r="L812" i="31" s="1"/>
  <c r="M812" i="31" s="1"/>
  <c r="K792" i="31"/>
  <c r="L792" i="31" s="1"/>
  <c r="M792" i="31" s="1"/>
  <c r="K845" i="31"/>
  <c r="L845" i="31" s="1"/>
  <c r="M845" i="31" s="1"/>
  <c r="K825" i="31"/>
  <c r="L825" i="31" s="1"/>
  <c r="M825" i="31" s="1"/>
  <c r="K805" i="31"/>
  <c r="L805" i="31" s="1"/>
  <c r="M805" i="31" s="1"/>
  <c r="K999" i="31"/>
  <c r="L999" i="31" s="1"/>
  <c r="M999" i="31" s="1"/>
  <c r="N998" i="31" s="1"/>
  <c r="K979" i="31"/>
  <c r="L979" i="31" s="1"/>
  <c r="M979" i="31" s="1"/>
  <c r="K939" i="31"/>
  <c r="L939" i="31" s="1"/>
  <c r="M939" i="31" s="1"/>
  <c r="N938" i="31" s="1"/>
  <c r="K985" i="31"/>
  <c r="L985" i="31" s="1"/>
  <c r="M985" i="31" s="1"/>
  <c r="K965" i="31"/>
  <c r="L965" i="31" s="1"/>
  <c r="M965" i="31" s="1"/>
  <c r="K945" i="31"/>
  <c r="L945" i="31" s="1"/>
  <c r="M945" i="31" s="1"/>
  <c r="K982" i="31"/>
  <c r="L982" i="31" s="1"/>
  <c r="M982" i="31" s="1"/>
  <c r="K942" i="31"/>
  <c r="L942" i="31" s="1"/>
  <c r="M942" i="31" s="1"/>
  <c r="K972" i="31"/>
  <c r="L972" i="31" s="1"/>
  <c r="M972" i="31" s="1"/>
  <c r="K932" i="31"/>
  <c r="L932" i="31" s="1"/>
  <c r="M932" i="31" s="1"/>
  <c r="K899" i="31"/>
  <c r="L899" i="31" s="1"/>
  <c r="M899" i="31" s="1"/>
  <c r="N898" i="31" s="1"/>
  <c r="K929" i="31"/>
  <c r="L929" i="31" s="1"/>
  <c r="M929" i="31" s="1"/>
  <c r="N928" i="31" s="1"/>
  <c r="K889" i="31"/>
  <c r="L889" i="31" s="1"/>
  <c r="M889" i="31" s="1"/>
  <c r="N888" i="31" s="1"/>
  <c r="K922" i="31"/>
  <c r="L922" i="31" s="1"/>
  <c r="M922" i="31" s="1"/>
  <c r="N921" i="31" s="1"/>
  <c r="K902" i="31"/>
  <c r="L902" i="31" s="1"/>
  <c r="M902" i="31" s="1"/>
  <c r="N901" i="31" s="1"/>
  <c r="K882" i="31"/>
  <c r="L882" i="31" s="1"/>
  <c r="M882" i="31" s="1"/>
  <c r="N881" i="31" s="1"/>
  <c r="K862" i="31"/>
  <c r="L862" i="31" s="1"/>
  <c r="M862" i="31" s="1"/>
  <c r="N861" i="31" s="1"/>
  <c r="K915" i="31"/>
  <c r="L915" i="31" s="1"/>
  <c r="M915" i="31" s="1"/>
  <c r="K895" i="31"/>
  <c r="L895" i="31" s="1"/>
  <c r="M895" i="31" s="1"/>
  <c r="K875" i="31"/>
  <c r="L875" i="31" s="1"/>
  <c r="M875" i="31" s="1"/>
  <c r="K1038" i="31"/>
  <c r="L1038" i="31" s="1"/>
  <c r="M1038" i="31" s="1"/>
  <c r="K1068" i="31"/>
  <c r="L1068" i="31" s="1"/>
  <c r="M1068" i="31" s="1"/>
  <c r="K1028" i="31"/>
  <c r="L1028" i="31" s="1"/>
  <c r="M1028" i="31" s="1"/>
  <c r="N1028" i="31" s="1"/>
  <c r="K1064" i="31"/>
  <c r="L1064" i="31" s="1"/>
  <c r="M1064" i="31" s="1"/>
  <c r="K1044" i="31"/>
  <c r="L1044" i="31" s="1"/>
  <c r="M1044" i="31" s="1"/>
  <c r="K1024" i="31"/>
  <c r="L1024" i="31" s="1"/>
  <c r="M1024" i="31" s="1"/>
  <c r="K1004" i="31"/>
  <c r="L1004" i="31" s="1"/>
  <c r="M1004" i="31" s="1"/>
  <c r="K1041" i="31"/>
  <c r="L1041" i="31" s="1"/>
  <c r="M1041" i="31" s="1"/>
  <c r="K1001" i="31"/>
  <c r="L1001" i="31" s="1"/>
  <c r="M1001" i="31" s="1"/>
  <c r="K1031" i="31"/>
  <c r="L1031" i="31" s="1"/>
  <c r="M1031" i="31" s="1"/>
  <c r="K1346" i="31"/>
  <c r="L1346" i="31" s="1"/>
  <c r="M1346" i="31" s="1"/>
  <c r="K1336" i="31"/>
  <c r="L1336" i="31" s="1"/>
  <c r="M1336" i="31" s="1"/>
  <c r="K1306" i="31"/>
  <c r="L1306" i="31" s="1"/>
  <c r="M1306" i="31" s="1"/>
  <c r="K1165" i="31"/>
  <c r="L1165" i="31" s="1"/>
  <c r="M1165" i="31" s="1"/>
  <c r="K1155" i="31"/>
  <c r="L1155" i="31" s="1"/>
  <c r="M1155" i="31" s="1"/>
  <c r="K1192" i="31"/>
  <c r="L1192" i="31" s="1"/>
  <c r="M1192" i="31" s="1"/>
  <c r="K1152" i="31"/>
  <c r="L1152" i="31" s="1"/>
  <c r="M1152" i="31" s="1"/>
  <c r="K1172" i="31"/>
  <c r="L1172" i="31" s="1"/>
  <c r="M1172" i="31" s="1"/>
  <c r="K1185" i="31"/>
  <c r="L1185" i="31" s="1"/>
  <c r="M1185" i="31" s="1"/>
  <c r="K1205" i="31"/>
  <c r="L1205" i="31" s="1"/>
  <c r="M1205" i="31" s="1"/>
  <c r="K359" i="31"/>
  <c r="L359" i="31" s="1"/>
  <c r="M359" i="31" s="1"/>
  <c r="K319" i="31"/>
  <c r="L319" i="31" s="1"/>
  <c r="M319" i="31" s="1"/>
  <c r="K1189" i="31"/>
  <c r="L1189" i="31" s="1"/>
  <c r="M1189" i="31" s="1"/>
  <c r="K1199" i="31"/>
  <c r="L1199" i="31" s="1"/>
  <c r="M1199" i="31" s="1"/>
  <c r="K48" i="31"/>
  <c r="K1036" i="31" s="1"/>
  <c r="L1036" i="31" s="1"/>
  <c r="M1036" i="31" s="1"/>
  <c r="K1149" i="31"/>
  <c r="L1149" i="31" s="1"/>
  <c r="M1149" i="31" s="1"/>
  <c r="K1169" i="31"/>
  <c r="L1169" i="31" s="1"/>
  <c r="M1169" i="31" s="1"/>
  <c r="K14" i="31"/>
  <c r="K249" i="31" s="1"/>
  <c r="L249" i="31" s="1"/>
  <c r="M249" i="31" s="1"/>
  <c r="I135" i="43"/>
  <c r="K1444" i="31"/>
  <c r="L1444" i="31" s="1"/>
  <c r="M1444" i="31" s="1"/>
  <c r="K1464" i="31"/>
  <c r="L1464" i="31" s="1"/>
  <c r="M1464" i="31" s="1"/>
  <c r="K1484" i="31"/>
  <c r="L1484" i="31" s="1"/>
  <c r="M1484" i="31" s="1"/>
  <c r="K1431" i="31"/>
  <c r="L1431" i="31" s="1"/>
  <c r="M1431" i="31" s="1"/>
  <c r="K1451" i="31"/>
  <c r="L1451" i="31" s="1"/>
  <c r="M1451" i="31" s="1"/>
  <c r="K1471" i="31"/>
  <c r="L1471" i="31" s="1"/>
  <c r="M1471" i="31" s="1"/>
  <c r="K1491" i="31"/>
  <c r="L1491" i="31" s="1"/>
  <c r="M1491" i="31" s="1"/>
  <c r="K515" i="31"/>
  <c r="L515" i="31" s="1"/>
  <c r="M515" i="31" s="1"/>
  <c r="K519" i="31"/>
  <c r="L519" i="31" s="1"/>
  <c r="M519" i="31" s="1"/>
  <c r="K539" i="31"/>
  <c r="L539" i="31" s="1"/>
  <c r="M539" i="31" s="1"/>
  <c r="K559" i="31"/>
  <c r="L559" i="31" s="1"/>
  <c r="M559" i="31" s="1"/>
  <c r="K189" i="31"/>
  <c r="L189" i="31" s="1"/>
  <c r="M189" i="31" s="1"/>
  <c r="K219" i="31"/>
  <c r="L219" i="31" s="1"/>
  <c r="M219" i="31" s="1"/>
  <c r="K1039" i="31"/>
  <c r="L1039" i="31" s="1"/>
  <c r="M1039" i="31" s="1"/>
  <c r="K1019" i="31"/>
  <c r="L1019" i="31" s="1"/>
  <c r="M1019" i="31" s="1"/>
  <c r="K1496" i="31"/>
  <c r="L1496" i="31" s="1"/>
  <c r="M1496" i="31" s="1"/>
  <c r="K1498" i="31"/>
  <c r="L1498" i="31" s="1"/>
  <c r="M1498" i="31" s="1"/>
  <c r="K1486" i="31"/>
  <c r="L1486" i="31" s="1"/>
  <c r="M1486" i="31" s="1"/>
  <c r="K1456" i="31"/>
  <c r="L1456" i="31" s="1"/>
  <c r="M1456" i="31" s="1"/>
  <c r="K1466" i="31"/>
  <c r="L1466" i="31" s="1"/>
  <c r="M1466" i="31" s="1"/>
  <c r="K1488" i="31"/>
  <c r="L1488" i="31" s="1"/>
  <c r="M1488" i="31" s="1"/>
  <c r="K1448" i="31"/>
  <c r="L1448" i="31" s="1"/>
  <c r="M1448" i="31" s="1"/>
  <c r="K1478" i="31"/>
  <c r="L1478" i="31" s="1"/>
  <c r="M1478" i="31" s="1"/>
  <c r="I12" i="43"/>
  <c r="I94" i="43"/>
  <c r="I95" i="43"/>
  <c r="I13" i="43"/>
  <c r="K419" i="31"/>
  <c r="L419" i="31" s="1"/>
  <c r="M419" i="31" s="1"/>
  <c r="K399" i="31"/>
  <c r="L399" i="31" s="1"/>
  <c r="M399" i="31" s="1"/>
  <c r="K389" i="31"/>
  <c r="L389" i="31" s="1"/>
  <c r="M389" i="31" s="1"/>
  <c r="N388" i="31" s="1"/>
  <c r="K369" i="31"/>
  <c r="L369" i="31" s="1"/>
  <c r="M369" i="31" s="1"/>
  <c r="K409" i="31"/>
  <c r="L409" i="31" s="1"/>
  <c r="M409" i="31" s="1"/>
  <c r="K429" i="31"/>
  <c r="L429" i="31" s="1"/>
  <c r="M429" i="31" s="1"/>
  <c r="K379" i="31"/>
  <c r="L379" i="31" s="1"/>
  <c r="M379" i="31" s="1"/>
  <c r="I37" i="43"/>
  <c r="I38" i="43"/>
  <c r="K45" i="31"/>
  <c r="K986" i="31" s="1"/>
  <c r="L986" i="31" s="1"/>
  <c r="M986" i="31" s="1"/>
  <c r="K30" i="31"/>
  <c r="K616" i="31" s="1"/>
  <c r="L616" i="31" s="1"/>
  <c r="K12" i="31"/>
  <c r="K166" i="31" s="1"/>
  <c r="L166" i="31" s="1"/>
  <c r="M166" i="31" s="1"/>
  <c r="K63" i="31"/>
  <c r="K42" i="31"/>
  <c r="K906" i="31" s="1"/>
  <c r="L906" i="31" s="1"/>
  <c r="M906" i="31" s="1"/>
  <c r="K65" i="31"/>
  <c r="K1492" i="31" s="1"/>
  <c r="L1492" i="31" s="1"/>
  <c r="M1492" i="31" s="1"/>
  <c r="K39" i="31"/>
  <c r="K856" i="31" s="1"/>
  <c r="L856" i="31" s="1"/>
  <c r="M856" i="31" s="1"/>
  <c r="K36" i="31"/>
  <c r="K726" i="31" s="1"/>
  <c r="L726" i="31" s="1"/>
  <c r="M726" i="31" s="1"/>
  <c r="K154" i="31"/>
  <c r="L154" i="31" s="1"/>
  <c r="M154" i="31" s="1"/>
  <c r="K218" i="31"/>
  <c r="L218" i="31" s="1"/>
  <c r="M218" i="31" s="1"/>
  <c r="K194" i="31"/>
  <c r="L194" i="31" s="1"/>
  <c r="M194" i="31" s="1"/>
  <c r="K214" i="31"/>
  <c r="L214" i="31" s="1"/>
  <c r="M214" i="31" s="1"/>
  <c r="K184" i="31"/>
  <c r="L184" i="31" s="1"/>
  <c r="M184" i="31" s="1"/>
  <c r="K208" i="31"/>
  <c r="L208" i="31" s="1"/>
  <c r="M208" i="31" s="1"/>
  <c r="K181" i="31"/>
  <c r="L181" i="31" s="1"/>
  <c r="M181" i="31" s="1"/>
  <c r="K211" i="31"/>
  <c r="L211" i="31" s="1"/>
  <c r="M211" i="31" s="1"/>
  <c r="K171" i="31"/>
  <c r="L171" i="31" s="1"/>
  <c r="M171" i="31" s="1"/>
  <c r="K158" i="31"/>
  <c r="L158" i="31" s="1"/>
  <c r="M158" i="31" s="1"/>
  <c r="K188" i="31"/>
  <c r="L188" i="31" s="1"/>
  <c r="M188" i="31" s="1"/>
  <c r="K201" i="31"/>
  <c r="L201" i="31" s="1"/>
  <c r="M201" i="31" s="1"/>
  <c r="K151" i="31"/>
  <c r="L151" i="31" s="1"/>
  <c r="M151" i="31" s="1"/>
  <c r="K161" i="31"/>
  <c r="L161" i="31" s="1"/>
  <c r="M161" i="31" s="1"/>
  <c r="K204" i="31"/>
  <c r="L204" i="31" s="1"/>
  <c r="M204" i="31" s="1"/>
  <c r="K164" i="31"/>
  <c r="L164" i="31" s="1"/>
  <c r="M164" i="31" s="1"/>
  <c r="K191" i="31"/>
  <c r="L191" i="31" s="1"/>
  <c r="M191" i="31" s="1"/>
  <c r="K174" i="31"/>
  <c r="L174" i="31" s="1"/>
  <c r="M174" i="31" s="1"/>
  <c r="K168" i="31"/>
  <c r="L168" i="31" s="1"/>
  <c r="M168" i="31" s="1"/>
  <c r="K178" i="31"/>
  <c r="L178" i="31" s="1"/>
  <c r="M178" i="31" s="1"/>
  <c r="K1418" i="31"/>
  <c r="L1418" i="31" s="1"/>
  <c r="M1418" i="31" s="1"/>
  <c r="K1398" i="31"/>
  <c r="L1398" i="31" s="1"/>
  <c r="M1398" i="31" s="1"/>
  <c r="K1378" i="31"/>
  <c r="L1378" i="31" s="1"/>
  <c r="M1378" i="31" s="1"/>
  <c r="K1368" i="31"/>
  <c r="L1368" i="31" s="1"/>
  <c r="M1368" i="31" s="1"/>
  <c r="K1358" i="31"/>
  <c r="L1358" i="31" s="1"/>
  <c r="M1358" i="31" s="1"/>
  <c r="K1428" i="31"/>
  <c r="L1428" i="31" s="1"/>
  <c r="M1428" i="31" s="1"/>
  <c r="N1428" i="31" s="1"/>
  <c r="K1408" i="31"/>
  <c r="L1408" i="31" s="1"/>
  <c r="M1408" i="31" s="1"/>
  <c r="K1388" i="31"/>
  <c r="L1388" i="31" s="1"/>
  <c r="M1388" i="31" s="1"/>
  <c r="K1364" i="31"/>
  <c r="L1364" i="31" s="1"/>
  <c r="K1361" i="31"/>
  <c r="L1361" i="31" s="1"/>
  <c r="K1411" i="31"/>
  <c r="L1411" i="31" s="1"/>
  <c r="M1411" i="31" s="1"/>
  <c r="K1218" i="31"/>
  <c r="L1218" i="31" s="1"/>
  <c r="M1218" i="31" s="1"/>
  <c r="N988" i="31"/>
  <c r="L978" i="31"/>
  <c r="M978" i="31" s="1"/>
  <c r="N918" i="31"/>
  <c r="M948" i="31"/>
  <c r="N828" i="31"/>
  <c r="K1351" i="31"/>
  <c r="L1351" i="31" s="1"/>
  <c r="M1351" i="31" s="1"/>
  <c r="K1394" i="31"/>
  <c r="L1394" i="31" s="1"/>
  <c r="M1394" i="31" s="1"/>
  <c r="K1401" i="31"/>
  <c r="L1401" i="31" s="1"/>
  <c r="M1401" i="31" s="1"/>
  <c r="K648" i="31"/>
  <c r="L648" i="31" s="1"/>
  <c r="M648" i="31" s="1"/>
  <c r="K618" i="31"/>
  <c r="L618" i="31" s="1"/>
  <c r="M618" i="31" s="1"/>
  <c r="K608" i="31"/>
  <c r="L608" i="31" s="1"/>
  <c r="M608" i="31" s="1"/>
  <c r="K598" i="31"/>
  <c r="L598" i="31" s="1"/>
  <c r="M598" i="31" s="1"/>
  <c r="K588" i="31"/>
  <c r="L588" i="31" s="1"/>
  <c r="M588" i="31" s="1"/>
  <c r="K638" i="31"/>
  <c r="L638" i="31" s="1"/>
  <c r="M638" i="31" s="1"/>
  <c r="K628" i="31"/>
  <c r="L628" i="31" s="1"/>
  <c r="M628" i="31" s="1"/>
  <c r="N198" i="31"/>
  <c r="K1374" i="31"/>
  <c r="L1374" i="31" s="1"/>
  <c r="M1374" i="31" s="1"/>
  <c r="K1414" i="31"/>
  <c r="L1414" i="31" s="1"/>
  <c r="M1414" i="31" s="1"/>
  <c r="K1381" i="31"/>
  <c r="L1381" i="31" s="1"/>
  <c r="M1381" i="31" s="1"/>
  <c r="K1421" i="31"/>
  <c r="L1421" i="31" s="1"/>
  <c r="M1421" i="31" s="1"/>
  <c r="K1354" i="31"/>
  <c r="L1354" i="31" s="1"/>
  <c r="M1354" i="31" s="1"/>
  <c r="K1384" i="31"/>
  <c r="L1384" i="31" s="1"/>
  <c r="M1384" i="31" s="1"/>
  <c r="K1404" i="31"/>
  <c r="L1404" i="31" s="1"/>
  <c r="M1404" i="31" s="1"/>
  <c r="K1424" i="31"/>
  <c r="L1424" i="31" s="1"/>
  <c r="M1424" i="31" s="1"/>
  <c r="K1371" i="31"/>
  <c r="L1371" i="31" s="1"/>
  <c r="M1371" i="31" s="1"/>
  <c r="K1391" i="31"/>
  <c r="L1391" i="31" s="1"/>
  <c r="M1391" i="31" s="1"/>
  <c r="M485" i="31"/>
  <c r="K1052" i="31"/>
  <c r="K1042" i="31"/>
  <c r="K1035" i="31"/>
  <c r="L1035" i="31" s="1"/>
  <c r="M1035" i="31" s="1"/>
  <c r="K1002" i="31"/>
  <c r="K1012" i="31"/>
  <c r="K1015" i="31"/>
  <c r="L1015" i="31" s="1"/>
  <c r="M1015" i="31" s="1"/>
  <c r="K1055" i="31"/>
  <c r="L1055" i="31" s="1"/>
  <c r="M1055" i="31" s="1"/>
  <c r="K1022" i="31"/>
  <c r="K1062" i="31"/>
  <c r="K1032" i="31"/>
  <c r="K1005" i="31"/>
  <c r="L1005" i="31" s="1"/>
  <c r="M1005" i="31" s="1"/>
  <c r="K1025" i="31"/>
  <c r="L1025" i="31" s="1"/>
  <c r="M1025" i="31" s="1"/>
  <c r="K1045" i="31"/>
  <c r="L1045" i="31" s="1"/>
  <c r="M1045" i="31" s="1"/>
  <c r="K332" i="31"/>
  <c r="L332" i="31" s="1"/>
  <c r="K335" i="31"/>
  <c r="L335" i="31" s="1"/>
  <c r="K325" i="31"/>
  <c r="L325" i="31" s="1"/>
  <c r="K1274" i="31"/>
  <c r="L1274" i="31" s="1"/>
  <c r="M1274" i="31" s="1"/>
  <c r="K1264" i="31"/>
  <c r="L1264" i="31" s="1"/>
  <c r="M1264" i="31" s="1"/>
  <c r="K1254" i="31"/>
  <c r="L1254" i="31" s="1"/>
  <c r="M1254" i="31" s="1"/>
  <c r="K1244" i="31"/>
  <c r="L1244" i="31" s="1"/>
  <c r="M1244" i="31" s="1"/>
  <c r="K1234" i="31"/>
  <c r="L1234" i="31" s="1"/>
  <c r="M1234" i="31" s="1"/>
  <c r="K1224" i="31"/>
  <c r="L1224" i="31" s="1"/>
  <c r="M1224" i="31" s="1"/>
  <c r="K1214" i="31"/>
  <c r="L1214" i="31" s="1"/>
  <c r="M1214" i="31" s="1"/>
  <c r="K1271" i="31"/>
  <c r="L1271" i="31" s="1"/>
  <c r="M1271" i="31" s="1"/>
  <c r="K1251" i="31"/>
  <c r="L1251" i="31" s="1"/>
  <c r="M1251" i="31" s="1"/>
  <c r="K1231" i="31"/>
  <c r="L1231" i="31" s="1"/>
  <c r="M1231" i="31" s="1"/>
  <c r="K1211" i="31"/>
  <c r="L1211" i="31" s="1"/>
  <c r="M1211" i="31" s="1"/>
  <c r="K1261" i="31"/>
  <c r="L1261" i="31" s="1"/>
  <c r="M1261" i="31" s="1"/>
  <c r="K1241" i="31"/>
  <c r="L1241" i="31" s="1"/>
  <c r="M1241" i="31" s="1"/>
  <c r="K1221" i="31"/>
  <c r="L1221" i="31" s="1"/>
  <c r="M1221" i="31" s="1"/>
  <c r="K851" i="31"/>
  <c r="L851" i="31" s="1"/>
  <c r="M851" i="31" s="1"/>
  <c r="K841" i="31"/>
  <c r="L841" i="31" s="1"/>
  <c r="M841" i="31" s="1"/>
  <c r="K831" i="31"/>
  <c r="K821" i="31"/>
  <c r="L821" i="31" s="1"/>
  <c r="M821" i="31" s="1"/>
  <c r="K811" i="31"/>
  <c r="K801" i="31"/>
  <c r="K791" i="31"/>
  <c r="L791" i="31" s="1"/>
  <c r="M791" i="31" s="1"/>
  <c r="K854" i="31"/>
  <c r="L854" i="31" s="1"/>
  <c r="M854" i="31" s="1"/>
  <c r="K844" i="31"/>
  <c r="L844" i="31" s="1"/>
  <c r="M844" i="31" s="1"/>
  <c r="K834" i="31"/>
  <c r="L834" i="31" s="1"/>
  <c r="M834" i="31" s="1"/>
  <c r="K824" i="31"/>
  <c r="L824" i="31" s="1"/>
  <c r="M824" i="31" s="1"/>
  <c r="K814" i="31"/>
  <c r="L814" i="31" s="1"/>
  <c r="M814" i="31" s="1"/>
  <c r="K804" i="31"/>
  <c r="L804" i="31" s="1"/>
  <c r="M804" i="31" s="1"/>
  <c r="K794" i="31"/>
  <c r="L794" i="31" s="1"/>
  <c r="M794" i="31" s="1"/>
  <c r="K994" i="31"/>
  <c r="L994" i="31" s="1"/>
  <c r="M994" i="31" s="1"/>
  <c r="K984" i="31"/>
  <c r="L984" i="31" s="1"/>
  <c r="M984" i="31" s="1"/>
  <c r="K974" i="31"/>
  <c r="L974" i="31" s="1"/>
  <c r="M974" i="31" s="1"/>
  <c r="K964" i="31"/>
  <c r="L964" i="31" s="1"/>
  <c r="M964" i="31" s="1"/>
  <c r="K954" i="31"/>
  <c r="L954" i="31" s="1"/>
  <c r="K944" i="31"/>
  <c r="L944" i="31" s="1"/>
  <c r="K934" i="31"/>
  <c r="L934" i="31" s="1"/>
  <c r="M934" i="31" s="1"/>
  <c r="K991" i="31"/>
  <c r="L991" i="31" s="1"/>
  <c r="M991" i="31" s="1"/>
  <c r="K971" i="31"/>
  <c r="K951" i="31"/>
  <c r="L951" i="31" s="1"/>
  <c r="K931" i="31"/>
  <c r="K981" i="31"/>
  <c r="K961" i="31"/>
  <c r="K941" i="31"/>
  <c r="K312" i="31"/>
  <c r="L312" i="31" s="1"/>
  <c r="K302" i="31"/>
  <c r="L302" i="31" s="1"/>
  <c r="K315" i="31"/>
  <c r="L315" i="31" s="1"/>
  <c r="K305" i="31"/>
  <c r="L305" i="31" s="1"/>
  <c r="K295" i="31"/>
  <c r="L295" i="31" s="1"/>
  <c r="K581" i="31"/>
  <c r="L581" i="31" s="1"/>
  <c r="M581" i="31" s="1"/>
  <c r="K591" i="31"/>
  <c r="L591" i="31" s="1"/>
  <c r="M591" i="31" s="1"/>
  <c r="K621" i="31"/>
  <c r="L621" i="31" s="1"/>
  <c r="M621" i="31" s="1"/>
  <c r="K624" i="31"/>
  <c r="L624" i="31" s="1"/>
  <c r="M624" i="31" s="1"/>
  <c r="K601" i="31"/>
  <c r="L601" i="31" s="1"/>
  <c r="M601" i="31" s="1"/>
  <c r="K594" i="31"/>
  <c r="L594" i="31" s="1"/>
  <c r="K584" i="31"/>
  <c r="L584" i="31" s="1"/>
  <c r="K631" i="31"/>
  <c r="L631" i="31" s="1"/>
  <c r="M631" i="31" s="1"/>
  <c r="K634" i="31"/>
  <c r="L634" i="31" s="1"/>
  <c r="M634" i="31" s="1"/>
  <c r="K614" i="31"/>
  <c r="L614" i="31" s="1"/>
  <c r="K604" i="31"/>
  <c r="L604" i="31" s="1"/>
  <c r="K644" i="31"/>
  <c r="L644" i="31" s="1"/>
  <c r="M644" i="31" s="1"/>
  <c r="K641" i="31"/>
  <c r="L641" i="31" s="1"/>
  <c r="M641" i="31" s="1"/>
  <c r="K611" i="31"/>
  <c r="L611" i="31" s="1"/>
  <c r="M611" i="31" s="1"/>
  <c r="K451" i="31"/>
  <c r="K454" i="31"/>
  <c r="L454" i="31" s="1"/>
  <c r="K471" i="31"/>
  <c r="K474" i="31"/>
  <c r="L474" i="31" s="1"/>
  <c r="K461" i="31"/>
  <c r="K494" i="31"/>
  <c r="L494" i="31" s="1"/>
  <c r="K464" i="31"/>
  <c r="L464" i="31" s="1"/>
  <c r="K434" i="31"/>
  <c r="L434" i="31" s="1"/>
  <c r="K481" i="31"/>
  <c r="K441" i="31"/>
  <c r="K484" i="31"/>
  <c r="L484" i="31" s="1"/>
  <c r="K444" i="31"/>
  <c r="L444" i="31" s="1"/>
  <c r="K491" i="31"/>
  <c r="K431" i="31"/>
  <c r="K381" i="31"/>
  <c r="K384" i="31"/>
  <c r="L384" i="31" s="1"/>
  <c r="K404" i="31"/>
  <c r="L404" i="31" s="1"/>
  <c r="K391" i="31"/>
  <c r="K394" i="31"/>
  <c r="L394" i="31" s="1"/>
  <c r="K374" i="31"/>
  <c r="L374" i="31" s="1"/>
  <c r="K401" i="31"/>
  <c r="K424" i="31"/>
  <c r="L424" i="31" s="1"/>
  <c r="K364" i="31"/>
  <c r="L364" i="31" s="1"/>
  <c r="K371" i="31"/>
  <c r="K361" i="31"/>
  <c r="K414" i="31"/>
  <c r="L414" i="31" s="1"/>
  <c r="K421" i="31"/>
  <c r="K411" i="31"/>
  <c r="K475" i="31"/>
  <c r="L475" i="31" s="1"/>
  <c r="K462" i="31"/>
  <c r="K452" i="31"/>
  <c r="K455" i="31"/>
  <c r="L455" i="31" s="1"/>
  <c r="K472" i="31"/>
  <c r="K495" i="31"/>
  <c r="K465" i="31"/>
  <c r="L465" i="31" s="1"/>
  <c r="K435" i="31"/>
  <c r="L435" i="31" s="1"/>
  <c r="K482" i="31"/>
  <c r="K442" i="31"/>
  <c r="K445" i="31"/>
  <c r="L445" i="31" s="1"/>
  <c r="K492" i="31"/>
  <c r="K432" i="31"/>
  <c r="K535" i="31"/>
  <c r="K505" i="31"/>
  <c r="K542" i="31"/>
  <c r="L542" i="31" s="1"/>
  <c r="M542" i="31" s="1"/>
  <c r="K522" i="31"/>
  <c r="L522" i="31" s="1"/>
  <c r="M522" i="31" s="1"/>
  <c r="K545" i="31"/>
  <c r="K525" i="31"/>
  <c r="K552" i="31"/>
  <c r="L552" i="31" s="1"/>
  <c r="M552" i="31" s="1"/>
  <c r="K532" i="31"/>
  <c r="L532" i="31" s="1"/>
  <c r="M532" i="31" s="1"/>
  <c r="K555" i="31"/>
  <c r="K572" i="31"/>
  <c r="L572" i="31" s="1"/>
  <c r="M572" i="31" s="1"/>
  <c r="K565" i="31"/>
  <c r="K575" i="31"/>
  <c r="K562" i="31"/>
  <c r="L562" i="31" s="1"/>
  <c r="M562" i="31" s="1"/>
  <c r="K705" i="31"/>
  <c r="L705" i="31" s="1"/>
  <c r="M705" i="31" s="1"/>
  <c r="K685" i="31"/>
  <c r="L685" i="31" s="1"/>
  <c r="M685" i="31" s="1"/>
  <c r="K665" i="31"/>
  <c r="L665" i="31" s="1"/>
  <c r="M665" i="31" s="1"/>
  <c r="K712" i="31"/>
  <c r="L712" i="31" s="1"/>
  <c r="M712" i="31" s="1"/>
  <c r="K692" i="31"/>
  <c r="L692" i="31" s="1"/>
  <c r="M692" i="31" s="1"/>
  <c r="K672" i="31"/>
  <c r="L672" i="31" s="1"/>
  <c r="M672" i="31" s="1"/>
  <c r="K652" i="31"/>
  <c r="L652" i="31" s="1"/>
  <c r="M652" i="31" s="1"/>
  <c r="K715" i="31"/>
  <c r="K695" i="31"/>
  <c r="L695" i="31" s="1"/>
  <c r="M695" i="31" s="1"/>
  <c r="K675" i="31"/>
  <c r="L675" i="31" s="1"/>
  <c r="M675" i="31" s="1"/>
  <c r="K655" i="31"/>
  <c r="L655" i="31" s="1"/>
  <c r="M655" i="31" s="1"/>
  <c r="K702" i="31"/>
  <c r="L702" i="31" s="1"/>
  <c r="M702" i="31" s="1"/>
  <c r="K682" i="31"/>
  <c r="L682" i="31" s="1"/>
  <c r="M682" i="31" s="1"/>
  <c r="K662" i="31"/>
  <c r="L662" i="31" s="1"/>
  <c r="M662" i="31" s="1"/>
  <c r="K395" i="31"/>
  <c r="L395" i="31" s="1"/>
  <c r="K372" i="31"/>
  <c r="K382" i="31"/>
  <c r="K405" i="31"/>
  <c r="L405" i="31" s="1"/>
  <c r="K402" i="31"/>
  <c r="K385" i="31"/>
  <c r="L385" i="31" s="1"/>
  <c r="K392" i="31"/>
  <c r="K375" i="31"/>
  <c r="L375" i="31" s="1"/>
  <c r="K425" i="31"/>
  <c r="L425" i="31" s="1"/>
  <c r="K365" i="31"/>
  <c r="L365" i="31" s="1"/>
  <c r="K412" i="31"/>
  <c r="K362" i="31"/>
  <c r="K415" i="31"/>
  <c r="L415" i="31" s="1"/>
  <c r="K422" i="31"/>
  <c r="K355" i="31"/>
  <c r="L355" i="31" s="1"/>
  <c r="K352" i="31"/>
  <c r="K342" i="31"/>
  <c r="K345" i="31"/>
  <c r="L345" i="31" s="1"/>
  <c r="K322" i="31"/>
  <c r="K292" i="31"/>
  <c r="K612" i="31" l="1"/>
  <c r="L612" i="31" s="1"/>
  <c r="M612" i="31" s="1"/>
  <c r="K642" i="31"/>
  <c r="L642" i="31" s="1"/>
  <c r="M642" i="31" s="1"/>
  <c r="N641" i="31" s="1"/>
  <c r="K625" i="31"/>
  <c r="L625" i="31" s="1"/>
  <c r="M625" i="31" s="1"/>
  <c r="N638" i="31"/>
  <c r="K645" i="31"/>
  <c r="L645" i="31" s="1"/>
  <c r="M645" i="31" s="1"/>
  <c r="K602" i="31"/>
  <c r="L602" i="31" s="1"/>
  <c r="M602" i="31" s="1"/>
  <c r="N601" i="31" s="1"/>
  <c r="K585" i="31"/>
  <c r="L585" i="31" s="1"/>
  <c r="M585" i="31" s="1"/>
  <c r="K592" i="31"/>
  <c r="L592" i="31" s="1"/>
  <c r="M592" i="31" s="1"/>
  <c r="N591" i="31" s="1"/>
  <c r="K599" i="31"/>
  <c r="L599" i="31" s="1"/>
  <c r="M599" i="31" s="1"/>
  <c r="N598" i="31" s="1"/>
  <c r="K595" i="31"/>
  <c r="L595" i="31" s="1"/>
  <c r="M595" i="31" s="1"/>
  <c r="K605" i="31"/>
  <c r="K615" i="31"/>
  <c r="L615" i="31" s="1"/>
  <c r="M615" i="31" s="1"/>
  <c r="K632" i="31"/>
  <c r="L632" i="31" s="1"/>
  <c r="M632" i="31" s="1"/>
  <c r="N631" i="31" s="1"/>
  <c r="K582" i="31"/>
  <c r="L582" i="31" s="1"/>
  <c r="M582" i="31" s="1"/>
  <c r="N581" i="31" s="1"/>
  <c r="K622" i="31"/>
  <c r="L622" i="31" s="1"/>
  <c r="M622" i="31" s="1"/>
  <c r="N621" i="31" s="1"/>
  <c r="K635" i="31"/>
  <c r="L635" i="31" s="1"/>
  <c r="M635" i="31" s="1"/>
  <c r="K774" i="31"/>
  <c r="L774" i="31" s="1"/>
  <c r="M774" i="31" s="1"/>
  <c r="K649" i="31"/>
  <c r="L649" i="31" s="1"/>
  <c r="M649" i="31" s="1"/>
  <c r="N648" i="31" s="1"/>
  <c r="K629" i="31"/>
  <c r="L629" i="31" s="1"/>
  <c r="M629" i="31" s="1"/>
  <c r="N628" i="31" s="1"/>
  <c r="K589" i="31"/>
  <c r="L589" i="31" s="1"/>
  <c r="M589" i="31" s="1"/>
  <c r="N588" i="31" s="1"/>
  <c r="K619" i="31"/>
  <c r="L619" i="31" s="1"/>
  <c r="M619" i="31" s="1"/>
  <c r="N618" i="31" s="1"/>
  <c r="K609" i="31"/>
  <c r="L609" i="31" s="1"/>
  <c r="M609" i="31" s="1"/>
  <c r="N608" i="31" s="1"/>
  <c r="K764" i="31"/>
  <c r="L764" i="31" s="1"/>
  <c r="M764" i="31" s="1"/>
  <c r="K751" i="31"/>
  <c r="L751" i="31" s="1"/>
  <c r="M751" i="31" s="1"/>
  <c r="K761" i="31"/>
  <c r="L761" i="31" s="1"/>
  <c r="M761" i="31" s="1"/>
  <c r="K768" i="31"/>
  <c r="L768" i="31" s="1"/>
  <c r="M768" i="31" s="1"/>
  <c r="K724" i="31"/>
  <c r="L724" i="31" s="1"/>
  <c r="M724" i="31" s="1"/>
  <c r="K721" i="31"/>
  <c r="L721" i="31" s="1"/>
  <c r="M721" i="31" s="1"/>
  <c r="K734" i="31"/>
  <c r="L734" i="31" s="1"/>
  <c r="M734" i="31" s="1"/>
  <c r="K731" i="31"/>
  <c r="L731" i="31" s="1"/>
  <c r="M731" i="31" s="1"/>
  <c r="K771" i="31"/>
  <c r="L771" i="31" s="1"/>
  <c r="M771" i="31" s="1"/>
  <c r="K744" i="31"/>
  <c r="L744" i="31" s="1"/>
  <c r="M744" i="31" s="1"/>
  <c r="K784" i="31"/>
  <c r="L784" i="31" s="1"/>
  <c r="M784" i="31" s="1"/>
  <c r="K741" i="31"/>
  <c r="L741" i="31" s="1"/>
  <c r="M741" i="31" s="1"/>
  <c r="K781" i="31"/>
  <c r="L781" i="31" s="1"/>
  <c r="M781" i="31" s="1"/>
  <c r="K754" i="31"/>
  <c r="L754" i="31" s="1"/>
  <c r="M754" i="31" s="1"/>
  <c r="K1236" i="31"/>
  <c r="L1236" i="31" s="1"/>
  <c r="M1236" i="31" s="1"/>
  <c r="K1256" i="31"/>
  <c r="L1256" i="31" s="1"/>
  <c r="M1256" i="31" s="1"/>
  <c r="K748" i="31"/>
  <c r="L748" i="31" s="1"/>
  <c r="M748" i="31" s="1"/>
  <c r="K778" i="31"/>
  <c r="L778" i="31" s="1"/>
  <c r="M778" i="31" s="1"/>
  <c r="K758" i="31"/>
  <c r="L758" i="31" s="1"/>
  <c r="M758" i="31" s="1"/>
  <c r="K738" i="31"/>
  <c r="L738" i="31" s="1"/>
  <c r="M738" i="31" s="1"/>
  <c r="N738" i="31" s="1"/>
  <c r="K728" i="31"/>
  <c r="L728" i="31" s="1"/>
  <c r="M728" i="31" s="1"/>
  <c r="K674" i="31"/>
  <c r="L674" i="31" s="1"/>
  <c r="M674" i="31" s="1"/>
  <c r="K752" i="31"/>
  <c r="L752" i="31" s="1"/>
  <c r="M752" i="31" s="1"/>
  <c r="K684" i="31"/>
  <c r="L684" i="31" s="1"/>
  <c r="M684" i="31" s="1"/>
  <c r="K661" i="31"/>
  <c r="L661" i="31" s="1"/>
  <c r="M661" i="31" s="1"/>
  <c r="N661" i="31" s="1"/>
  <c r="K671" i="31"/>
  <c r="L671" i="31" s="1"/>
  <c r="M671" i="31" s="1"/>
  <c r="N671" i="31" s="1"/>
  <c r="K678" i="31"/>
  <c r="L678" i="31" s="1"/>
  <c r="M678" i="31" s="1"/>
  <c r="N678" i="31" s="1"/>
  <c r="K701" i="31"/>
  <c r="L701" i="31" s="1"/>
  <c r="M701" i="31" s="1"/>
  <c r="N701" i="31" s="1"/>
  <c r="K714" i="31"/>
  <c r="L714" i="31" s="1"/>
  <c r="M714" i="31" s="1"/>
  <c r="K711" i="31"/>
  <c r="L711" i="31" s="1"/>
  <c r="M711" i="31" s="1"/>
  <c r="N711" i="31" s="1"/>
  <c r="K668" i="31"/>
  <c r="L668" i="31" s="1"/>
  <c r="M668" i="31" s="1"/>
  <c r="N668" i="31" s="1"/>
  <c r="K698" i="31"/>
  <c r="L698" i="31" s="1"/>
  <c r="M698" i="31" s="1"/>
  <c r="N698" i="31" s="1"/>
  <c r="K291" i="31"/>
  <c r="L291" i="31" s="1"/>
  <c r="M291" i="31" s="1"/>
  <c r="K349" i="31"/>
  <c r="L349" i="31" s="1"/>
  <c r="M349" i="31" s="1"/>
  <c r="N1408" i="31"/>
  <c r="K33" i="31"/>
  <c r="K716" i="31" s="1"/>
  <c r="L716" i="31" s="1"/>
  <c r="M716" i="31" s="1"/>
  <c r="K56" i="31"/>
  <c r="K1265" i="31" s="1"/>
  <c r="L1265" i="31" s="1"/>
  <c r="M1265" i="31" s="1"/>
  <c r="K1276" i="31"/>
  <c r="L1276" i="31" s="1"/>
  <c r="M1276" i="31" s="1"/>
  <c r="K762" i="31"/>
  <c r="L762" i="31" s="1"/>
  <c r="M762" i="31" s="1"/>
  <c r="N761" i="31" s="1"/>
  <c r="N1391" i="31"/>
  <c r="K1266" i="31"/>
  <c r="L1266" i="31" s="1"/>
  <c r="M1266" i="31" s="1"/>
  <c r="K759" i="31"/>
  <c r="L759" i="31" s="1"/>
  <c r="M759" i="31" s="1"/>
  <c r="K1226" i="31"/>
  <c r="L1226" i="31" s="1"/>
  <c r="M1226" i="31" s="1"/>
  <c r="K1246" i="31"/>
  <c r="L1246" i="31" s="1"/>
  <c r="M1246" i="31" s="1"/>
  <c r="K1132" i="31"/>
  <c r="L1132" i="31" s="1"/>
  <c r="M1132" i="31" s="1"/>
  <c r="K681" i="31"/>
  <c r="L681" i="31" s="1"/>
  <c r="M681" i="31" s="1"/>
  <c r="N681" i="31" s="1"/>
  <c r="K654" i="31"/>
  <c r="L654" i="31" s="1"/>
  <c r="M654" i="31" s="1"/>
  <c r="K694" i="31"/>
  <c r="L694" i="31" s="1"/>
  <c r="M694" i="31" s="1"/>
  <c r="K651" i="31"/>
  <c r="L651" i="31" s="1"/>
  <c r="M651" i="31" s="1"/>
  <c r="N651" i="31" s="1"/>
  <c r="K691" i="31"/>
  <c r="L691" i="31" s="1"/>
  <c r="M691" i="31" s="1"/>
  <c r="N691" i="31" s="1"/>
  <c r="K664" i="31"/>
  <c r="L664" i="31" s="1"/>
  <c r="M664" i="31" s="1"/>
  <c r="K704" i="31"/>
  <c r="L704" i="31" s="1"/>
  <c r="M704" i="31" s="1"/>
  <c r="K658" i="31"/>
  <c r="L658" i="31" s="1"/>
  <c r="M658" i="31" s="1"/>
  <c r="N658" i="31" s="1"/>
  <c r="K708" i="31"/>
  <c r="L708" i="31" s="1"/>
  <c r="M708" i="31" s="1"/>
  <c r="N708" i="31" s="1"/>
  <c r="K688" i="31"/>
  <c r="L688" i="31" s="1"/>
  <c r="M688" i="31" s="1"/>
  <c r="N688" i="31" s="1"/>
  <c r="K571" i="31"/>
  <c r="L571" i="31" s="1"/>
  <c r="M571" i="31" s="1"/>
  <c r="N571" i="31" s="1"/>
  <c r="K1141" i="31"/>
  <c r="L1141" i="31" s="1"/>
  <c r="M1141" i="31" s="1"/>
  <c r="N1141" i="31" s="1"/>
  <c r="K1111" i="31"/>
  <c r="L1111" i="31" s="1"/>
  <c r="M1111" i="31" s="1"/>
  <c r="K765" i="31"/>
  <c r="L765" i="31" s="1"/>
  <c r="M765" i="31" s="1"/>
  <c r="K775" i="31"/>
  <c r="L775" i="31" s="1"/>
  <c r="M775" i="31" s="1"/>
  <c r="K294" i="31"/>
  <c r="L294" i="31" s="1"/>
  <c r="M294" i="31" s="1"/>
  <c r="K334" i="31"/>
  <c r="L334" i="31" s="1"/>
  <c r="M334" i="31" s="1"/>
  <c r="K328" i="31"/>
  <c r="L328" i="31" s="1"/>
  <c r="M328" i="31" s="1"/>
  <c r="N328" i="31" s="1"/>
  <c r="N904" i="31"/>
  <c r="K769" i="31"/>
  <c r="L769" i="31" s="1"/>
  <c r="M769" i="31" s="1"/>
  <c r="N398" i="31"/>
  <c r="K544" i="31"/>
  <c r="L544" i="31" s="1"/>
  <c r="M544" i="31" s="1"/>
  <c r="K1134" i="31"/>
  <c r="L1134" i="31" s="1"/>
  <c r="M1134" i="31" s="1"/>
  <c r="K1324" i="31"/>
  <c r="L1324" i="31" s="1"/>
  <c r="M1324" i="31" s="1"/>
  <c r="K416" i="31"/>
  <c r="L416" i="31" s="1"/>
  <c r="K436" i="31"/>
  <c r="L436" i="31" s="1"/>
  <c r="K725" i="31"/>
  <c r="L725" i="31" s="1"/>
  <c r="M725" i="31" s="1"/>
  <c r="K722" i="31"/>
  <c r="L722" i="31" s="1"/>
  <c r="M722" i="31" s="1"/>
  <c r="K735" i="31"/>
  <c r="L735" i="31" s="1"/>
  <c r="M735" i="31" s="1"/>
  <c r="K351" i="31"/>
  <c r="L351" i="31" s="1"/>
  <c r="M351" i="31" s="1"/>
  <c r="K344" i="31"/>
  <c r="L344" i="31" s="1"/>
  <c r="M344" i="31" s="1"/>
  <c r="K301" i="31"/>
  <c r="L301" i="31" s="1"/>
  <c r="M301" i="31" s="1"/>
  <c r="K314" i="31"/>
  <c r="L314" i="31" s="1"/>
  <c r="M314" i="31" s="1"/>
  <c r="K331" i="31"/>
  <c r="L331" i="31" s="1"/>
  <c r="M331" i="31" s="1"/>
  <c r="K298" i="31"/>
  <c r="L298" i="31" s="1"/>
  <c r="M298" i="31" s="1"/>
  <c r="N298" i="31" s="1"/>
  <c r="K348" i="31"/>
  <c r="L348" i="31" s="1"/>
  <c r="M348" i="31" s="1"/>
  <c r="N1351" i="31"/>
  <c r="K789" i="31"/>
  <c r="L789" i="31" s="1"/>
  <c r="M789" i="31" s="1"/>
  <c r="N788" i="31" s="1"/>
  <c r="K224" i="31"/>
  <c r="L224" i="31" s="1"/>
  <c r="M224" i="31" s="1"/>
  <c r="K534" i="31"/>
  <c r="L534" i="31" s="1"/>
  <c r="M534" i="31" s="1"/>
  <c r="K261" i="31"/>
  <c r="L261" i="31" s="1"/>
  <c r="M261" i="31" s="1"/>
  <c r="K1101" i="31"/>
  <c r="L1101" i="31" s="1"/>
  <c r="M1101" i="31" s="1"/>
  <c r="K1094" i="31"/>
  <c r="L1094" i="31" s="1"/>
  <c r="M1094" i="31" s="1"/>
  <c r="K558" i="31"/>
  <c r="L558" i="31" s="1"/>
  <c r="M558" i="31" s="1"/>
  <c r="N558" i="31" s="1"/>
  <c r="K1078" i="31"/>
  <c r="L1078" i="31" s="1"/>
  <c r="M1078" i="31" s="1"/>
  <c r="N428" i="31"/>
  <c r="K284" i="31"/>
  <c r="L284" i="31" s="1"/>
  <c r="M284" i="31" s="1"/>
  <c r="K732" i="31"/>
  <c r="L732" i="31" s="1"/>
  <c r="M732" i="31" s="1"/>
  <c r="K772" i="31"/>
  <c r="L772" i="31" s="1"/>
  <c r="M772" i="31" s="1"/>
  <c r="K745" i="31"/>
  <c r="L745" i="31" s="1"/>
  <c r="M745" i="31" s="1"/>
  <c r="K785" i="31"/>
  <c r="L785" i="31" s="1"/>
  <c r="M785" i="31" s="1"/>
  <c r="K742" i="31"/>
  <c r="L742" i="31" s="1"/>
  <c r="M742" i="31" s="1"/>
  <c r="K782" i="31"/>
  <c r="L782" i="31" s="1"/>
  <c r="M782" i="31" s="1"/>
  <c r="K755" i="31"/>
  <c r="L755" i="31" s="1"/>
  <c r="M755" i="31" s="1"/>
  <c r="K341" i="31"/>
  <c r="L341" i="31" s="1"/>
  <c r="M341" i="31" s="1"/>
  <c r="K354" i="31"/>
  <c r="L354" i="31" s="1"/>
  <c r="M354" i="31" s="1"/>
  <c r="K321" i="31"/>
  <c r="L321" i="31" s="1"/>
  <c r="M321" i="31" s="1"/>
  <c r="K311" i="31"/>
  <c r="L311" i="31" s="1"/>
  <c r="M311" i="31" s="1"/>
  <c r="K304" i="31"/>
  <c r="L304" i="31" s="1"/>
  <c r="M304" i="31" s="1"/>
  <c r="N791" i="31"/>
  <c r="K324" i="31"/>
  <c r="L324" i="31" s="1"/>
  <c r="M324" i="31" s="1"/>
  <c r="N1371" i="31"/>
  <c r="K318" i="31"/>
  <c r="L318" i="31" s="1"/>
  <c r="M318" i="31" s="1"/>
  <c r="N318" i="31" s="1"/>
  <c r="K338" i="31"/>
  <c r="L338" i="31" s="1"/>
  <c r="M338" i="31" s="1"/>
  <c r="N338" i="31" s="1"/>
  <c r="K308" i="31"/>
  <c r="L308" i="31" s="1"/>
  <c r="M308" i="31" s="1"/>
  <c r="N308" i="31" s="1"/>
  <c r="N1368" i="31"/>
  <c r="K729" i="31"/>
  <c r="L729" i="31" s="1"/>
  <c r="M729" i="31" s="1"/>
  <c r="N418" i="31"/>
  <c r="K18" i="31"/>
  <c r="K326" i="31" s="1"/>
  <c r="L326" i="31" s="1"/>
  <c r="K779" i="31"/>
  <c r="L779" i="31" s="1"/>
  <c r="M779" i="31" s="1"/>
  <c r="K1099" i="31"/>
  <c r="L1099" i="31" s="1"/>
  <c r="M1099" i="31" s="1"/>
  <c r="K1105" i="31"/>
  <c r="L1105" i="31" s="1"/>
  <c r="M1105" i="31" s="1"/>
  <c r="K1115" i="31"/>
  <c r="L1115" i="31" s="1"/>
  <c r="M1115" i="31" s="1"/>
  <c r="K1125" i="31"/>
  <c r="L1125" i="31" s="1"/>
  <c r="M1125" i="31" s="1"/>
  <c r="K749" i="31"/>
  <c r="L749" i="31" s="1"/>
  <c r="M749" i="31" s="1"/>
  <c r="K1085" i="31"/>
  <c r="L1085" i="31" s="1"/>
  <c r="M1085" i="31" s="1"/>
  <c r="K281" i="31"/>
  <c r="L281" i="31" s="1"/>
  <c r="M281" i="31" s="1"/>
  <c r="K241" i="31"/>
  <c r="L241" i="31" s="1"/>
  <c r="M241" i="31" s="1"/>
  <c r="K564" i="31"/>
  <c r="L564" i="31" s="1"/>
  <c r="M564" i="31" s="1"/>
  <c r="K561" i="31"/>
  <c r="L561" i="31" s="1"/>
  <c r="M561" i="31" s="1"/>
  <c r="N561" i="31" s="1"/>
  <c r="K551" i="31"/>
  <c r="L551" i="31" s="1"/>
  <c r="M551" i="31" s="1"/>
  <c r="N551" i="31" s="1"/>
  <c r="K541" i="31"/>
  <c r="L541" i="31" s="1"/>
  <c r="M541" i="31" s="1"/>
  <c r="N541" i="31" s="1"/>
  <c r="K274" i="31"/>
  <c r="L274" i="31" s="1"/>
  <c r="M274" i="31" s="1"/>
  <c r="K1191" i="31"/>
  <c r="L1191" i="31" s="1"/>
  <c r="M1191" i="31" s="1"/>
  <c r="N1191" i="31" s="1"/>
  <c r="K1331" i="31"/>
  <c r="L1331" i="31" s="1"/>
  <c r="M1331" i="31" s="1"/>
  <c r="N1421" i="31"/>
  <c r="K518" i="31"/>
  <c r="L518" i="31" s="1"/>
  <c r="M518" i="31" s="1"/>
  <c r="N518" i="31" s="1"/>
  <c r="K254" i="31"/>
  <c r="L254" i="31" s="1"/>
  <c r="M254" i="31" s="1"/>
  <c r="K1151" i="31"/>
  <c r="L1151" i="31" s="1"/>
  <c r="M1151" i="31" s="1"/>
  <c r="N1151" i="31" s="1"/>
  <c r="K1144" i="31"/>
  <c r="L1144" i="31" s="1"/>
  <c r="M1144" i="31" s="1"/>
  <c r="N991" i="31"/>
  <c r="N821" i="31"/>
  <c r="K1284" i="31"/>
  <c r="L1284" i="31" s="1"/>
  <c r="M1284" i="31" s="1"/>
  <c r="K1291" i="31"/>
  <c r="L1291" i="31" s="1"/>
  <c r="M1291" i="31" s="1"/>
  <c r="K511" i="31"/>
  <c r="L511" i="31" s="1"/>
  <c r="M511" i="31" s="1"/>
  <c r="N511" i="31" s="1"/>
  <c r="K538" i="31"/>
  <c r="L538" i="31" s="1"/>
  <c r="M538" i="31" s="1"/>
  <c r="N538" i="31" s="1"/>
  <c r="K578" i="31"/>
  <c r="L578" i="31" s="1"/>
  <c r="M578" i="31" s="1"/>
  <c r="N578" i="31" s="1"/>
  <c r="K248" i="31"/>
  <c r="L248" i="31" s="1"/>
  <c r="M248" i="31" s="1"/>
  <c r="N248" i="31" s="1"/>
  <c r="K1148" i="31"/>
  <c r="L1148" i="31" s="1"/>
  <c r="M1148" i="31" s="1"/>
  <c r="N1148" i="31" s="1"/>
  <c r="N208" i="31"/>
  <c r="K59" i="31"/>
  <c r="K1342" i="31" s="1"/>
  <c r="L1342" i="31" s="1"/>
  <c r="M1342" i="31" s="1"/>
  <c r="N378" i="31"/>
  <c r="K89" i="31"/>
  <c r="L89" i="31" s="1"/>
  <c r="M89" i="31" s="1"/>
  <c r="N88" i="31" s="1"/>
  <c r="K554" i="31"/>
  <c r="L554" i="31" s="1"/>
  <c r="M554" i="31" s="1"/>
  <c r="K574" i="31"/>
  <c r="L574" i="31" s="1"/>
  <c r="M574" i="31" s="1"/>
  <c r="K504" i="31"/>
  <c r="L504" i="31" s="1"/>
  <c r="M504" i="31" s="1"/>
  <c r="K531" i="31"/>
  <c r="L531" i="31" s="1"/>
  <c r="M531" i="31" s="1"/>
  <c r="N531" i="31" s="1"/>
  <c r="K524" i="31"/>
  <c r="L524" i="31" s="1"/>
  <c r="M524" i="31" s="1"/>
  <c r="K521" i="31"/>
  <c r="L521" i="31" s="1"/>
  <c r="M521" i="31" s="1"/>
  <c r="N521" i="31" s="1"/>
  <c r="K1194" i="31"/>
  <c r="L1194" i="31" s="1"/>
  <c r="M1194" i="31" s="1"/>
  <c r="K1181" i="31"/>
  <c r="L1181" i="31" s="1"/>
  <c r="M1181" i="31" s="1"/>
  <c r="N1181" i="31" s="1"/>
  <c r="K1164" i="31"/>
  <c r="L1164" i="31" s="1"/>
  <c r="M1164" i="31" s="1"/>
  <c r="N841" i="31"/>
  <c r="K1071" i="31"/>
  <c r="L1071" i="31" s="1"/>
  <c r="M1071" i="31" s="1"/>
  <c r="K1074" i="31"/>
  <c r="L1074" i="31" s="1"/>
  <c r="M1074" i="31" s="1"/>
  <c r="K1114" i="31"/>
  <c r="L1114" i="31" s="1"/>
  <c r="M1114" i="31" s="1"/>
  <c r="K1304" i="31"/>
  <c r="L1304" i="31" s="1"/>
  <c r="M1304" i="31" s="1"/>
  <c r="K1344" i="31"/>
  <c r="L1344" i="31" s="1"/>
  <c r="M1344" i="31" s="1"/>
  <c r="K1311" i="31"/>
  <c r="L1311" i="31" s="1"/>
  <c r="M1311" i="31" s="1"/>
  <c r="K501" i="31"/>
  <c r="L501" i="31" s="1"/>
  <c r="M501" i="31" s="1"/>
  <c r="N501" i="31" s="1"/>
  <c r="K514" i="31"/>
  <c r="L514" i="31" s="1"/>
  <c r="M514" i="31" s="1"/>
  <c r="K508" i="31"/>
  <c r="L508" i="31" s="1"/>
  <c r="M508" i="31" s="1"/>
  <c r="N508" i="31" s="1"/>
  <c r="K528" i="31"/>
  <c r="L528" i="31" s="1"/>
  <c r="M528" i="31" s="1"/>
  <c r="N528" i="31" s="1"/>
  <c r="K568" i="31"/>
  <c r="L568" i="31" s="1"/>
  <c r="M568" i="31" s="1"/>
  <c r="N568" i="31" s="1"/>
  <c r="K1108" i="31"/>
  <c r="L1108" i="31" s="1"/>
  <c r="M1108" i="31" s="1"/>
  <c r="N1108" i="31" s="1"/>
  <c r="K1208" i="31"/>
  <c r="L1208" i="31" s="1"/>
  <c r="M1208" i="31" s="1"/>
  <c r="N1208" i="31" s="1"/>
  <c r="N1411" i="31"/>
  <c r="N1378" i="31"/>
  <c r="K27" i="31"/>
  <c r="K506" i="31" s="1"/>
  <c r="K99" i="31"/>
  <c r="L99" i="31" s="1"/>
  <c r="M99" i="31" s="1"/>
  <c r="N98" i="31" s="1"/>
  <c r="K105" i="31"/>
  <c r="L105" i="31" s="1"/>
  <c r="M105" i="31" s="1"/>
  <c r="N1008" i="31"/>
  <c r="K1171" i="31"/>
  <c r="L1171" i="31" s="1"/>
  <c r="M1171" i="31" s="1"/>
  <c r="N1171" i="31" s="1"/>
  <c r="K1184" i="31"/>
  <c r="L1184" i="31" s="1"/>
  <c r="M1184" i="31" s="1"/>
  <c r="K1161" i="31"/>
  <c r="L1161" i="31" s="1"/>
  <c r="M1161" i="31" s="1"/>
  <c r="N1161" i="31" s="1"/>
  <c r="K1204" i="31"/>
  <c r="L1204" i="31" s="1"/>
  <c r="M1204" i="31" s="1"/>
  <c r="K1154" i="31"/>
  <c r="L1154" i="31" s="1"/>
  <c r="M1154" i="31" s="1"/>
  <c r="K1174" i="31"/>
  <c r="L1174" i="31" s="1"/>
  <c r="M1174" i="31" s="1"/>
  <c r="K1201" i="31"/>
  <c r="L1201" i="31" s="1"/>
  <c r="M1201" i="31" s="1"/>
  <c r="N1201" i="31" s="1"/>
  <c r="K1081" i="31"/>
  <c r="L1081" i="31" s="1"/>
  <c r="M1081" i="31" s="1"/>
  <c r="K1121" i="31"/>
  <c r="L1121" i="31" s="1"/>
  <c r="M1121" i="31" s="1"/>
  <c r="K1091" i="31"/>
  <c r="L1091" i="31" s="1"/>
  <c r="M1091" i="31" s="1"/>
  <c r="K1131" i="31"/>
  <c r="L1131" i="31" s="1"/>
  <c r="M1131" i="31" s="1"/>
  <c r="K1084" i="31"/>
  <c r="L1084" i="31" s="1"/>
  <c r="M1084" i="31" s="1"/>
  <c r="K1104" i="31"/>
  <c r="L1104" i="31" s="1"/>
  <c r="M1104" i="31" s="1"/>
  <c r="K1124" i="31"/>
  <c r="L1124" i="31" s="1"/>
  <c r="M1124" i="31" s="1"/>
  <c r="K1294" i="31"/>
  <c r="L1294" i="31" s="1"/>
  <c r="M1294" i="31" s="1"/>
  <c r="K1314" i="31"/>
  <c r="L1314" i="31" s="1"/>
  <c r="M1314" i="31" s="1"/>
  <c r="K1334" i="31"/>
  <c r="L1334" i="31" s="1"/>
  <c r="M1334" i="31" s="1"/>
  <c r="K1281" i="31"/>
  <c r="L1281" i="31" s="1"/>
  <c r="M1281" i="31" s="1"/>
  <c r="K1301" i="31"/>
  <c r="L1301" i="31" s="1"/>
  <c r="M1301" i="31" s="1"/>
  <c r="K1321" i="31"/>
  <c r="L1321" i="31" s="1"/>
  <c r="M1321" i="31" s="1"/>
  <c r="K1341" i="31"/>
  <c r="L1341" i="31" s="1"/>
  <c r="M1341" i="31" s="1"/>
  <c r="N1341" i="31" s="1"/>
  <c r="N1381" i="31"/>
  <c r="K1118" i="31"/>
  <c r="L1118" i="31" s="1"/>
  <c r="M1118" i="31" s="1"/>
  <c r="K1138" i="31"/>
  <c r="L1138" i="31" s="1"/>
  <c r="M1138" i="31" s="1"/>
  <c r="K1188" i="31"/>
  <c r="L1188" i="31" s="1"/>
  <c r="M1188" i="31" s="1"/>
  <c r="N1188" i="31" s="1"/>
  <c r="N1388" i="31"/>
  <c r="N1398" i="31"/>
  <c r="N368" i="31"/>
  <c r="N1018" i="31"/>
  <c r="K149" i="31"/>
  <c r="L149" i="31" s="1"/>
  <c r="M149" i="31" s="1"/>
  <c r="N148" i="31" s="1"/>
  <c r="K132" i="31"/>
  <c r="L132" i="31" s="1"/>
  <c r="M132" i="31" s="1"/>
  <c r="N131" i="31" s="1"/>
  <c r="K225" i="31"/>
  <c r="L225" i="31" s="1"/>
  <c r="M225" i="31" s="1"/>
  <c r="K606" i="31"/>
  <c r="L606" i="31" s="1"/>
  <c r="M606" i="31" s="1"/>
  <c r="K1098" i="31"/>
  <c r="L1098" i="31" s="1"/>
  <c r="M1098" i="31" s="1"/>
  <c r="K1088" i="31"/>
  <c r="L1088" i="31" s="1"/>
  <c r="M1088" i="31" s="1"/>
  <c r="N1358" i="31"/>
  <c r="N408" i="31"/>
  <c r="K222" i="31"/>
  <c r="L222" i="31" s="1"/>
  <c r="M222" i="31" s="1"/>
  <c r="K238" i="31"/>
  <c r="L238" i="31" s="1"/>
  <c r="M238" i="31" s="1"/>
  <c r="K268" i="31"/>
  <c r="L268" i="31" s="1"/>
  <c r="M268" i="31" s="1"/>
  <c r="K1158" i="31"/>
  <c r="L1158" i="31" s="1"/>
  <c r="M1158" i="31" s="1"/>
  <c r="N1158" i="31" s="1"/>
  <c r="K1168" i="31"/>
  <c r="L1168" i="31" s="1"/>
  <c r="M1168" i="31" s="1"/>
  <c r="N1168" i="31" s="1"/>
  <c r="K1178" i="31"/>
  <c r="L1178" i="31" s="1"/>
  <c r="M1178" i="31" s="1"/>
  <c r="N1178" i="31" s="1"/>
  <c r="N1418" i="31"/>
  <c r="K376" i="31"/>
  <c r="L376" i="31" s="1"/>
  <c r="K466" i="31"/>
  <c r="L466" i="31" s="1"/>
  <c r="K129" i="31"/>
  <c r="L129" i="31" s="1"/>
  <c r="M129" i="31" s="1"/>
  <c r="N128" i="31" s="1"/>
  <c r="K84" i="31"/>
  <c r="L84" i="31" s="1"/>
  <c r="M84" i="31" s="1"/>
  <c r="N83" i="31" s="1"/>
  <c r="K1318" i="31"/>
  <c r="L1318" i="31" s="1"/>
  <c r="M1318" i="31" s="1"/>
  <c r="K139" i="31"/>
  <c r="L139" i="31" s="1"/>
  <c r="M139" i="31" s="1"/>
  <c r="N138" i="31" s="1"/>
  <c r="K74" i="31"/>
  <c r="L74" i="31" s="1"/>
  <c r="M74" i="31" s="1"/>
  <c r="K1112" i="31"/>
  <c r="L1112" i="31" s="1"/>
  <c r="M1112" i="31" s="1"/>
  <c r="K1075" i="31"/>
  <c r="L1075" i="31" s="1"/>
  <c r="M1075" i="31" s="1"/>
  <c r="K1089" i="31"/>
  <c r="L1089" i="31" s="1"/>
  <c r="M1089" i="31" s="1"/>
  <c r="K1348" i="31"/>
  <c r="L1348" i="31" s="1"/>
  <c r="M1348" i="31" s="1"/>
  <c r="K1308" i="31"/>
  <c r="L1308" i="31" s="1"/>
  <c r="M1308" i="31" s="1"/>
  <c r="K112" i="31"/>
  <c r="L112" i="31" s="1"/>
  <c r="M112" i="31" s="1"/>
  <c r="N111" i="31" s="1"/>
  <c r="K1016" i="31"/>
  <c r="L1016" i="31" s="1"/>
  <c r="M1016" i="31" s="1"/>
  <c r="N1014" i="31" s="1"/>
  <c r="K1046" i="31"/>
  <c r="L1046" i="31" s="1"/>
  <c r="M1046" i="31" s="1"/>
  <c r="N1044" i="31" s="1"/>
  <c r="K1338" i="31"/>
  <c r="L1338" i="31" s="1"/>
  <c r="M1338" i="31" s="1"/>
  <c r="K1298" i="31"/>
  <c r="L1298" i="31" s="1"/>
  <c r="M1298" i="31" s="1"/>
  <c r="K1328" i="31"/>
  <c r="L1328" i="31" s="1"/>
  <c r="M1328" i="31" s="1"/>
  <c r="K109" i="31"/>
  <c r="L109" i="31" s="1"/>
  <c r="M109" i="31" s="1"/>
  <c r="N108" i="31" s="1"/>
  <c r="K125" i="31"/>
  <c r="L125" i="31" s="1"/>
  <c r="M125" i="31" s="1"/>
  <c r="K115" i="31"/>
  <c r="L115" i="31" s="1"/>
  <c r="M115" i="31" s="1"/>
  <c r="K145" i="31"/>
  <c r="L145" i="31" s="1"/>
  <c r="M145" i="31" s="1"/>
  <c r="K1079" i="31"/>
  <c r="L1079" i="31" s="1"/>
  <c r="M1079" i="31" s="1"/>
  <c r="K1122" i="31"/>
  <c r="L1122" i="31" s="1"/>
  <c r="M1122" i="31" s="1"/>
  <c r="K1092" i="31"/>
  <c r="L1092" i="31" s="1"/>
  <c r="M1092" i="31" s="1"/>
  <c r="K1102" i="31"/>
  <c r="L1102" i="31" s="1"/>
  <c r="M1102" i="31" s="1"/>
  <c r="K1095" i="31"/>
  <c r="L1095" i="31" s="1"/>
  <c r="M1095" i="31" s="1"/>
  <c r="K1135" i="31"/>
  <c r="L1135" i="31" s="1"/>
  <c r="M1135" i="31" s="1"/>
  <c r="K1129" i="31"/>
  <c r="L1129" i="31" s="1"/>
  <c r="M1129" i="31" s="1"/>
  <c r="N1128" i="31" s="1"/>
  <c r="K1139" i="31"/>
  <c r="L1139" i="31" s="1"/>
  <c r="M1139" i="31" s="1"/>
  <c r="K1119" i="31"/>
  <c r="L1119" i="31" s="1"/>
  <c r="M1119" i="31" s="1"/>
  <c r="K1082" i="31"/>
  <c r="L1082" i="31" s="1"/>
  <c r="M1082" i="31" s="1"/>
  <c r="K69" i="31"/>
  <c r="L69" i="31" s="1"/>
  <c r="M69" i="31" s="1"/>
  <c r="K122" i="31"/>
  <c r="L122" i="31" s="1"/>
  <c r="M122" i="31" s="1"/>
  <c r="N121" i="31" s="1"/>
  <c r="K119" i="31"/>
  <c r="L119" i="31" s="1"/>
  <c r="M119" i="31" s="1"/>
  <c r="N118" i="31" s="1"/>
  <c r="K102" i="31"/>
  <c r="L102" i="31" s="1"/>
  <c r="M102" i="31" s="1"/>
  <c r="N101" i="31" s="1"/>
  <c r="K1072" i="31"/>
  <c r="L1072" i="31" s="1"/>
  <c r="M1072" i="31" s="1"/>
  <c r="N1048" i="31"/>
  <c r="K221" i="31"/>
  <c r="L221" i="31" s="1"/>
  <c r="M221" i="31" s="1"/>
  <c r="K234" i="31"/>
  <c r="L234" i="31" s="1"/>
  <c r="M234" i="31" s="1"/>
  <c r="K231" i="31"/>
  <c r="L231" i="31" s="1"/>
  <c r="M231" i="31" s="1"/>
  <c r="K251" i="31"/>
  <c r="L251" i="31" s="1"/>
  <c r="M251" i="31" s="1"/>
  <c r="K244" i="31"/>
  <c r="L244" i="31" s="1"/>
  <c r="M244" i="31" s="1"/>
  <c r="K271" i="31"/>
  <c r="L271" i="31" s="1"/>
  <c r="M271" i="31" s="1"/>
  <c r="K264" i="31"/>
  <c r="L264" i="31" s="1"/>
  <c r="M264" i="31" s="1"/>
  <c r="N548" i="31"/>
  <c r="K228" i="31"/>
  <c r="L228" i="31" s="1"/>
  <c r="M228" i="31" s="1"/>
  <c r="K278" i="31"/>
  <c r="L278" i="31" s="1"/>
  <c r="M278" i="31" s="1"/>
  <c r="K258" i="31"/>
  <c r="L258" i="31" s="1"/>
  <c r="M258" i="31" s="1"/>
  <c r="N358" i="31"/>
  <c r="N1401" i="31"/>
  <c r="N1218" i="31"/>
  <c r="N168" i="31"/>
  <c r="K54" i="31"/>
  <c r="K1206" i="31" s="1"/>
  <c r="L1206" i="31" s="1"/>
  <c r="M1206" i="31" s="1"/>
  <c r="K366" i="31"/>
  <c r="L366" i="31" s="1"/>
  <c r="K406" i="31"/>
  <c r="L406" i="31" s="1"/>
  <c r="K476" i="31"/>
  <c r="L476" i="31" s="1"/>
  <c r="K486" i="31"/>
  <c r="L486" i="31" s="1"/>
  <c r="K596" i="31"/>
  <c r="L596" i="31" s="1"/>
  <c r="M596" i="31" s="1"/>
  <c r="N178" i="31"/>
  <c r="K396" i="31"/>
  <c r="L396" i="31" s="1"/>
  <c r="K386" i="31"/>
  <c r="L386" i="31" s="1"/>
  <c r="K456" i="31"/>
  <c r="L456" i="31" s="1"/>
  <c r="K496" i="31"/>
  <c r="K216" i="31"/>
  <c r="L216" i="31" s="1"/>
  <c r="M216" i="31" s="1"/>
  <c r="N214" i="31" s="1"/>
  <c r="K135" i="31"/>
  <c r="L135" i="31" s="1"/>
  <c r="M135" i="31" s="1"/>
  <c r="N134" i="31" s="1"/>
  <c r="K966" i="31"/>
  <c r="L966" i="31" s="1"/>
  <c r="M966" i="31" s="1"/>
  <c r="N964" i="31" s="1"/>
  <c r="K996" i="31"/>
  <c r="L996" i="31" s="1"/>
  <c r="M996" i="31" s="1"/>
  <c r="N994" i="31" s="1"/>
  <c r="I138" i="44"/>
  <c r="K51" i="31"/>
  <c r="K1136" i="31" s="1"/>
  <c r="L1136" i="31" s="1"/>
  <c r="M1136" i="31" s="1"/>
  <c r="I140" i="44"/>
  <c r="K586" i="31"/>
  <c r="L586" i="31" s="1"/>
  <c r="M586" i="31" s="1"/>
  <c r="K636" i="31"/>
  <c r="L636" i="31" s="1"/>
  <c r="M636" i="31" s="1"/>
  <c r="K156" i="31"/>
  <c r="L156" i="31" s="1"/>
  <c r="M156" i="31" s="1"/>
  <c r="N154" i="31" s="1"/>
  <c r="K196" i="31"/>
  <c r="L196" i="31" s="1"/>
  <c r="M196" i="31" s="1"/>
  <c r="N194" i="31" s="1"/>
  <c r="K956" i="31"/>
  <c r="L956" i="31" s="1"/>
  <c r="M956" i="31" s="1"/>
  <c r="N218" i="31"/>
  <c r="K896" i="31"/>
  <c r="L896" i="31" s="1"/>
  <c r="M896" i="31" s="1"/>
  <c r="N894" i="31" s="1"/>
  <c r="K866" i="31"/>
  <c r="L866" i="31" s="1"/>
  <c r="M866" i="31" s="1"/>
  <c r="N864" i="31" s="1"/>
  <c r="K1452" i="31"/>
  <c r="L1452" i="31" s="1"/>
  <c r="M1452" i="31" s="1"/>
  <c r="N1451" i="31" s="1"/>
  <c r="N188" i="31"/>
  <c r="N1068" i="31"/>
  <c r="K245" i="31"/>
  <c r="L245" i="31" s="1"/>
  <c r="M245" i="31" s="1"/>
  <c r="K262" i="31"/>
  <c r="L262" i="31" s="1"/>
  <c r="M262" i="31" s="1"/>
  <c r="K876" i="31"/>
  <c r="L876" i="31" s="1"/>
  <c r="M876" i="31" s="1"/>
  <c r="N874" i="31" s="1"/>
  <c r="K1479" i="31"/>
  <c r="L1479" i="31" s="1"/>
  <c r="M1479" i="31" s="1"/>
  <c r="N1478" i="31" s="1"/>
  <c r="K1462" i="31"/>
  <c r="L1462" i="31" s="1"/>
  <c r="M1462" i="31" s="1"/>
  <c r="N1461" i="31" s="1"/>
  <c r="K1026" i="31"/>
  <c r="L1026" i="31" s="1"/>
  <c r="M1026" i="31" s="1"/>
  <c r="N1024" i="31" s="1"/>
  <c r="K206" i="31"/>
  <c r="L206" i="31" s="1"/>
  <c r="M206" i="31" s="1"/>
  <c r="N204" i="31" s="1"/>
  <c r="K646" i="31"/>
  <c r="L646" i="31" s="1"/>
  <c r="M646" i="31" s="1"/>
  <c r="K626" i="31"/>
  <c r="L626" i="31" s="1"/>
  <c r="M626" i="31" s="1"/>
  <c r="K176" i="31"/>
  <c r="L176" i="31" s="1"/>
  <c r="M176" i="31" s="1"/>
  <c r="N174" i="31" s="1"/>
  <c r="K186" i="31"/>
  <c r="L186" i="31" s="1"/>
  <c r="M186" i="31" s="1"/>
  <c r="N184" i="31" s="1"/>
  <c r="K8" i="31"/>
  <c r="K70" i="31" s="1"/>
  <c r="L70" i="31" s="1"/>
  <c r="M70" i="31" s="1"/>
  <c r="K9" i="31"/>
  <c r="K71" i="31" s="1"/>
  <c r="L71" i="31" s="1"/>
  <c r="M71" i="31" s="1"/>
  <c r="K886" i="31"/>
  <c r="L886" i="31" s="1"/>
  <c r="M886" i="31" s="1"/>
  <c r="N884" i="31" s="1"/>
  <c r="K926" i="31"/>
  <c r="L926" i="31" s="1"/>
  <c r="M926" i="31" s="1"/>
  <c r="N924" i="31" s="1"/>
  <c r="K1449" i="31"/>
  <c r="L1449" i="31" s="1"/>
  <c r="M1449" i="31" s="1"/>
  <c r="N1448" i="31" s="1"/>
  <c r="K1445" i="31"/>
  <c r="L1445" i="31" s="1"/>
  <c r="M1445" i="31" s="1"/>
  <c r="N1444" i="31" s="1"/>
  <c r="K836" i="31"/>
  <c r="L836" i="31" s="1"/>
  <c r="M836" i="31" s="1"/>
  <c r="N834" i="31" s="1"/>
  <c r="N1491" i="31"/>
  <c r="N1038" i="31"/>
  <c r="K235" i="31"/>
  <c r="L235" i="31" s="1"/>
  <c r="M235" i="31" s="1"/>
  <c r="K282" i="31"/>
  <c r="L282" i="31" s="1"/>
  <c r="M282" i="31" s="1"/>
  <c r="K265" i="31"/>
  <c r="L265" i="31" s="1"/>
  <c r="M265" i="31" s="1"/>
  <c r="N1034" i="31"/>
  <c r="N1198" i="31"/>
  <c r="K736" i="31"/>
  <c r="L736" i="31" s="1"/>
  <c r="M736" i="31" s="1"/>
  <c r="K1066" i="31"/>
  <c r="L1066" i="31" s="1"/>
  <c r="M1066" i="31" s="1"/>
  <c r="N1064" i="31" s="1"/>
  <c r="K269" i="31"/>
  <c r="L269" i="31" s="1"/>
  <c r="M269" i="31" s="1"/>
  <c r="K232" i="31"/>
  <c r="L232" i="31" s="1"/>
  <c r="M232" i="31" s="1"/>
  <c r="K285" i="31"/>
  <c r="L285" i="31" s="1"/>
  <c r="M285" i="31" s="1"/>
  <c r="K252" i="31"/>
  <c r="L252" i="31" s="1"/>
  <c r="M252" i="31" s="1"/>
  <c r="K242" i="31"/>
  <c r="L242" i="31" s="1"/>
  <c r="M242" i="31" s="1"/>
  <c r="K255" i="31"/>
  <c r="L255" i="31" s="1"/>
  <c r="M255" i="31" s="1"/>
  <c r="K275" i="31"/>
  <c r="L275" i="31" s="1"/>
  <c r="M275" i="31" s="1"/>
  <c r="K272" i="31"/>
  <c r="L272" i="31" s="1"/>
  <c r="M272" i="31" s="1"/>
  <c r="N851" i="31"/>
  <c r="N158" i="31"/>
  <c r="K1006" i="31"/>
  <c r="L1006" i="31" s="1"/>
  <c r="M1006" i="31" s="1"/>
  <c r="N1004" i="31" s="1"/>
  <c r="K1056" i="31"/>
  <c r="L1056" i="31" s="1"/>
  <c r="M1056" i="31" s="1"/>
  <c r="N1054" i="31" s="1"/>
  <c r="K229" i="31"/>
  <c r="L229" i="31" s="1"/>
  <c r="M229" i="31" s="1"/>
  <c r="K946" i="31"/>
  <c r="L946" i="31" s="1"/>
  <c r="M946" i="31" s="1"/>
  <c r="K936" i="31"/>
  <c r="L936" i="31" s="1"/>
  <c r="M936" i="31" s="1"/>
  <c r="N934" i="31" s="1"/>
  <c r="K976" i="31"/>
  <c r="L976" i="31" s="1"/>
  <c r="M976" i="31" s="1"/>
  <c r="N974" i="31" s="1"/>
  <c r="K916" i="31"/>
  <c r="L916" i="31" s="1"/>
  <c r="M916" i="31" s="1"/>
  <c r="N914" i="31" s="1"/>
  <c r="K1499" i="31"/>
  <c r="L1499" i="31" s="1"/>
  <c r="M1499" i="31" s="1"/>
  <c r="N1498" i="31" s="1"/>
  <c r="K1489" i="31"/>
  <c r="L1489" i="31" s="1"/>
  <c r="M1489" i="31" s="1"/>
  <c r="N1488" i="31" s="1"/>
  <c r="K846" i="31"/>
  <c r="L846" i="31" s="1"/>
  <c r="M846" i="31" s="1"/>
  <c r="N844" i="31" s="1"/>
  <c r="K1485" i="31"/>
  <c r="L1485" i="31" s="1"/>
  <c r="M1485" i="31" s="1"/>
  <c r="N1484" i="31" s="1"/>
  <c r="K1495" i="31"/>
  <c r="L1495" i="31" s="1"/>
  <c r="M1495" i="31" s="1"/>
  <c r="N1494" i="31" s="1"/>
  <c r="K1475" i="31"/>
  <c r="L1475" i="31" s="1"/>
  <c r="M1475" i="31" s="1"/>
  <c r="N1474" i="31" s="1"/>
  <c r="K1455" i="31"/>
  <c r="L1455" i="31" s="1"/>
  <c r="M1455" i="31" s="1"/>
  <c r="N1454" i="31" s="1"/>
  <c r="K1435" i="31"/>
  <c r="L1435" i="31" s="1"/>
  <c r="M1435" i="31" s="1"/>
  <c r="N1434" i="31" s="1"/>
  <c r="K826" i="31"/>
  <c r="L826" i="31" s="1"/>
  <c r="M826" i="31" s="1"/>
  <c r="N824" i="31" s="1"/>
  <c r="K756" i="31"/>
  <c r="L756" i="31" s="1"/>
  <c r="M756" i="31" s="1"/>
  <c r="K279" i="31"/>
  <c r="L279" i="31" s="1"/>
  <c r="M279" i="31" s="1"/>
  <c r="K239" i="31"/>
  <c r="L239" i="31" s="1"/>
  <c r="M239" i="31" s="1"/>
  <c r="K259" i="31"/>
  <c r="L259" i="31" s="1"/>
  <c r="M259" i="31" s="1"/>
  <c r="K289" i="31"/>
  <c r="L289" i="31" s="1"/>
  <c r="M289" i="31" s="1"/>
  <c r="N288" i="31" s="1"/>
  <c r="K1459" i="31"/>
  <c r="L1459" i="31" s="1"/>
  <c r="M1459" i="31" s="1"/>
  <c r="N1458" i="31" s="1"/>
  <c r="K1469" i="31"/>
  <c r="L1469" i="31" s="1"/>
  <c r="M1469" i="31" s="1"/>
  <c r="N1468" i="31" s="1"/>
  <c r="K1439" i="31"/>
  <c r="L1439" i="31" s="1"/>
  <c r="M1439" i="31" s="1"/>
  <c r="N1438" i="31" s="1"/>
  <c r="K1472" i="31"/>
  <c r="L1472" i="31" s="1"/>
  <c r="M1472" i="31" s="1"/>
  <c r="N1471" i="31" s="1"/>
  <c r="K1432" i="31"/>
  <c r="L1432" i="31" s="1"/>
  <c r="M1432" i="31" s="1"/>
  <c r="N1431" i="31" s="1"/>
  <c r="K1465" i="31"/>
  <c r="L1465" i="31" s="1"/>
  <c r="M1465" i="31" s="1"/>
  <c r="N1464" i="31" s="1"/>
  <c r="K1442" i="31"/>
  <c r="L1442" i="31" s="1"/>
  <c r="M1442" i="31" s="1"/>
  <c r="N1441" i="31" s="1"/>
  <c r="K1482" i="31"/>
  <c r="L1482" i="31" s="1"/>
  <c r="M1482" i="31" s="1"/>
  <c r="N1481" i="31" s="1"/>
  <c r="N854" i="31"/>
  <c r="K816" i="31"/>
  <c r="L816" i="31" s="1"/>
  <c r="M816" i="31" s="1"/>
  <c r="N814" i="31" s="1"/>
  <c r="K806" i="31"/>
  <c r="L806" i="31" s="1"/>
  <c r="M806" i="31" s="1"/>
  <c r="N804" i="31" s="1"/>
  <c r="K796" i="31"/>
  <c r="L796" i="31" s="1"/>
  <c r="M796" i="31" s="1"/>
  <c r="N794" i="31" s="1"/>
  <c r="K746" i="31"/>
  <c r="L746" i="31" s="1"/>
  <c r="M746" i="31" s="1"/>
  <c r="K766" i="31"/>
  <c r="L766" i="31" s="1"/>
  <c r="M766" i="31" s="1"/>
  <c r="K776" i="31"/>
  <c r="L776" i="31" s="1"/>
  <c r="M776" i="31" s="1"/>
  <c r="K786" i="31"/>
  <c r="L786" i="31" s="1"/>
  <c r="M786" i="31" s="1"/>
  <c r="K15" i="31"/>
  <c r="K1366" i="31"/>
  <c r="L1366" i="31" s="1"/>
  <c r="M1366" i="31" s="1"/>
  <c r="K1426" i="31"/>
  <c r="L1426" i="31" s="1"/>
  <c r="M1426" i="31" s="1"/>
  <c r="N1424" i="31" s="1"/>
  <c r="K1416" i="31"/>
  <c r="L1416" i="31" s="1"/>
  <c r="M1416" i="31" s="1"/>
  <c r="N1414" i="31" s="1"/>
  <c r="K1356" i="31"/>
  <c r="L1356" i="31" s="1"/>
  <c r="M1356" i="31" s="1"/>
  <c r="N1354" i="31" s="1"/>
  <c r="K1386" i="31"/>
  <c r="L1386" i="31" s="1"/>
  <c r="M1386" i="31" s="1"/>
  <c r="N1384" i="31" s="1"/>
  <c r="K1396" i="31"/>
  <c r="L1396" i="31" s="1"/>
  <c r="M1396" i="31" s="1"/>
  <c r="N1394" i="31" s="1"/>
  <c r="K1406" i="31"/>
  <c r="L1406" i="31" s="1"/>
  <c r="M1406" i="31" s="1"/>
  <c r="N1404" i="31" s="1"/>
  <c r="K1376" i="31"/>
  <c r="L1376" i="31" s="1"/>
  <c r="M1376" i="31" s="1"/>
  <c r="N1374" i="31" s="1"/>
  <c r="N984" i="31"/>
  <c r="N978" i="31"/>
  <c r="L981" i="31"/>
  <c r="M981" i="31" s="1"/>
  <c r="N981" i="31" s="1"/>
  <c r="N948" i="31"/>
  <c r="M944" i="31"/>
  <c r="M954" i="31"/>
  <c r="N164" i="31"/>
  <c r="M1364" i="31"/>
  <c r="M1362" i="31"/>
  <c r="M1361" i="31"/>
  <c r="M1365" i="31"/>
  <c r="L715" i="31"/>
  <c r="M715" i="31" s="1"/>
  <c r="L565" i="31"/>
  <c r="M565" i="31" s="1"/>
  <c r="L555" i="31"/>
  <c r="M555" i="31" s="1"/>
  <c r="L575" i="31"/>
  <c r="M575" i="31" s="1"/>
  <c r="L545" i="31"/>
  <c r="M545" i="31" s="1"/>
  <c r="L535" i="31"/>
  <c r="M535" i="31" s="1"/>
  <c r="L495" i="31"/>
  <c r="M495" i="31" s="1"/>
  <c r="L605" i="31"/>
  <c r="M605" i="31" s="1"/>
  <c r="L525" i="31"/>
  <c r="M525" i="31" s="1"/>
  <c r="L505" i="31"/>
  <c r="M505" i="31" s="1"/>
  <c r="N191" i="31"/>
  <c r="N201" i="31"/>
  <c r="N181" i="31"/>
  <c r="N161" i="31"/>
  <c r="N211" i="31"/>
  <c r="M345" i="31"/>
  <c r="L352" i="31"/>
  <c r="M352" i="31" s="1"/>
  <c r="M415" i="31"/>
  <c r="M445" i="31"/>
  <c r="M475" i="31"/>
  <c r="L322" i="31"/>
  <c r="M322" i="31" s="1"/>
  <c r="L342" i="31"/>
  <c r="M342" i="31" s="1"/>
  <c r="M355" i="31"/>
  <c r="L422" i="31"/>
  <c r="M422" i="31" s="1"/>
  <c r="L362" i="31"/>
  <c r="M362" i="31" s="1"/>
  <c r="M365" i="31"/>
  <c r="M375" i="31"/>
  <c r="M405" i="31"/>
  <c r="L372" i="31"/>
  <c r="M372" i="31" s="1"/>
  <c r="L492" i="31"/>
  <c r="M492" i="31" s="1"/>
  <c r="L442" i="31"/>
  <c r="M442" i="31" s="1"/>
  <c r="M435" i="31"/>
  <c r="M455" i="31"/>
  <c r="L462" i="31"/>
  <c r="M462" i="31" s="1"/>
  <c r="L421" i="31"/>
  <c r="M421" i="31" s="1"/>
  <c r="L361" i="31"/>
  <c r="M361" i="31" s="1"/>
  <c r="L401" i="31"/>
  <c r="M401" i="31" s="1"/>
  <c r="L381" i="31"/>
  <c r="M381" i="31" s="1"/>
  <c r="L491" i="31"/>
  <c r="M491" i="31" s="1"/>
  <c r="L481" i="31"/>
  <c r="M481" i="31" s="1"/>
  <c r="L461" i="31"/>
  <c r="M461" i="31" s="1"/>
  <c r="L471" i="31"/>
  <c r="M471" i="31" s="1"/>
  <c r="L451" i="31"/>
  <c r="M451" i="31" s="1"/>
  <c r="L292" i="31"/>
  <c r="M292" i="31" s="1"/>
  <c r="L412" i="31"/>
  <c r="M412" i="31" s="1"/>
  <c r="M425" i="31"/>
  <c r="L392" i="31"/>
  <c r="M392" i="31" s="1"/>
  <c r="L402" i="31"/>
  <c r="M402" i="31" s="1"/>
  <c r="L382" i="31"/>
  <c r="M382" i="31" s="1"/>
  <c r="M395" i="31"/>
  <c r="L432" i="31"/>
  <c r="M432" i="31" s="1"/>
  <c r="L482" i="31"/>
  <c r="M482" i="31" s="1"/>
  <c r="M465" i="31"/>
  <c r="L472" i="31"/>
  <c r="M472" i="31" s="1"/>
  <c r="L452" i="31"/>
  <c r="M452" i="31" s="1"/>
  <c r="L411" i="31"/>
  <c r="M411" i="31" s="1"/>
  <c r="L371" i="31"/>
  <c r="M371" i="31" s="1"/>
  <c r="L391" i="31"/>
  <c r="M391" i="31" s="1"/>
  <c r="L431" i="31"/>
  <c r="M431" i="31" s="1"/>
  <c r="L441" i="31"/>
  <c r="M441" i="31" s="1"/>
  <c r="M295" i="31"/>
  <c r="M325" i="31"/>
  <c r="M385" i="31"/>
  <c r="N611" i="31"/>
  <c r="M312" i="31"/>
  <c r="L961" i="31"/>
  <c r="M961" i="31" s="1"/>
  <c r="N961" i="31" s="1"/>
  <c r="L931" i="31"/>
  <c r="M931" i="31" s="1"/>
  <c r="N931" i="31" s="1"/>
  <c r="L971" i="31"/>
  <c r="M971" i="31" s="1"/>
  <c r="N971" i="31" s="1"/>
  <c r="L811" i="31"/>
  <c r="M811" i="31" s="1"/>
  <c r="N811" i="31" s="1"/>
  <c r="L831" i="31"/>
  <c r="M831" i="31" s="1"/>
  <c r="N831" i="31" s="1"/>
  <c r="M332" i="31"/>
  <c r="L1032" i="31"/>
  <c r="M1032" i="31" s="1"/>
  <c r="N1031" i="31" s="1"/>
  <c r="L1022" i="31"/>
  <c r="M1022" i="31" s="1"/>
  <c r="N1021" i="31" s="1"/>
  <c r="L1002" i="31"/>
  <c r="L1042" i="31"/>
  <c r="M1042" i="31" s="1"/>
  <c r="N1041" i="31" s="1"/>
  <c r="N151" i="31"/>
  <c r="N171" i="31"/>
  <c r="M302" i="31"/>
  <c r="L941" i="31"/>
  <c r="M941" i="31" s="1"/>
  <c r="N941" i="31" s="1"/>
  <c r="M951" i="31"/>
  <c r="N951" i="31" s="1"/>
  <c r="L801" i="31"/>
  <c r="M801" i="31" s="1"/>
  <c r="N801" i="31" s="1"/>
  <c r="L1062" i="31"/>
  <c r="M1062" i="31" s="1"/>
  <c r="N1061" i="31" s="1"/>
  <c r="L1012" i="31"/>
  <c r="M1012" i="31" s="1"/>
  <c r="N1011" i="31" s="1"/>
  <c r="L1052" i="31"/>
  <c r="M414" i="31"/>
  <c r="L426" i="31"/>
  <c r="M424" i="31"/>
  <c r="M374" i="31"/>
  <c r="M384" i="31"/>
  <c r="L446" i="31"/>
  <c r="M444" i="31"/>
  <c r="M434" i="31"/>
  <c r="M494" i="31"/>
  <c r="M474" i="31"/>
  <c r="M454" i="31"/>
  <c r="M614" i="31"/>
  <c r="M616" i="31"/>
  <c r="M594" i="31"/>
  <c r="M315" i="31"/>
  <c r="M364" i="31"/>
  <c r="M394" i="31"/>
  <c r="M404" i="31"/>
  <c r="M484" i="31"/>
  <c r="M464" i="31"/>
  <c r="M604" i="31"/>
  <c r="M584" i="31"/>
  <c r="M305" i="31"/>
  <c r="M335" i="31"/>
  <c r="M68" i="31"/>
  <c r="N624" i="31" l="1"/>
  <c r="N634" i="31"/>
  <c r="N644" i="31"/>
  <c r="K656" i="31"/>
  <c r="L656" i="31" s="1"/>
  <c r="M656" i="31" s="1"/>
  <c r="N654" i="31" s="1"/>
  <c r="N768" i="31"/>
  <c r="K1292" i="31"/>
  <c r="L1292" i="31" s="1"/>
  <c r="M1292" i="31" s="1"/>
  <c r="N1291" i="31" s="1"/>
  <c r="N721" i="31"/>
  <c r="N751" i="31"/>
  <c r="N748" i="31"/>
  <c r="N728" i="31"/>
  <c r="N781" i="31"/>
  <c r="N771" i="31"/>
  <c r="N758" i="31"/>
  <c r="N741" i="31"/>
  <c r="N731" i="31"/>
  <c r="N778" i="31"/>
  <c r="K1249" i="31"/>
  <c r="L1249" i="31" s="1"/>
  <c r="M1249" i="31" s="1"/>
  <c r="N1248" i="31" s="1"/>
  <c r="K1279" i="31"/>
  <c r="L1279" i="31" s="1"/>
  <c r="M1279" i="31" s="1"/>
  <c r="N1278" i="31" s="1"/>
  <c r="K1255" i="31"/>
  <c r="L1255" i="31" s="1"/>
  <c r="M1255" i="31" s="1"/>
  <c r="N1254" i="31" s="1"/>
  <c r="K1215" i="31"/>
  <c r="L1215" i="31" s="1"/>
  <c r="M1215" i="31" s="1"/>
  <c r="N1214" i="31" s="1"/>
  <c r="K1235" i="31"/>
  <c r="L1235" i="31" s="1"/>
  <c r="M1235" i="31" s="1"/>
  <c r="N1234" i="31" s="1"/>
  <c r="K1222" i="31"/>
  <c r="L1222" i="31" s="1"/>
  <c r="M1222" i="31" s="1"/>
  <c r="N1221" i="31" s="1"/>
  <c r="K1239" i="31"/>
  <c r="L1239" i="31" s="1"/>
  <c r="M1239" i="31" s="1"/>
  <c r="N1238" i="31" s="1"/>
  <c r="K1275" i="31"/>
  <c r="L1275" i="31" s="1"/>
  <c r="M1275" i="31" s="1"/>
  <c r="N1274" i="31" s="1"/>
  <c r="K1245" i="31"/>
  <c r="L1245" i="31" s="1"/>
  <c r="M1245" i="31" s="1"/>
  <c r="N1244" i="31" s="1"/>
  <c r="K1252" i="31"/>
  <c r="L1252" i="31" s="1"/>
  <c r="M1252" i="31" s="1"/>
  <c r="N1251" i="31" s="1"/>
  <c r="N1264" i="31"/>
  <c r="N764" i="31"/>
  <c r="K1232" i="31"/>
  <c r="L1232" i="31" s="1"/>
  <c r="M1232" i="31" s="1"/>
  <c r="N1231" i="31" s="1"/>
  <c r="K1272" i="31"/>
  <c r="L1272" i="31" s="1"/>
  <c r="M1272" i="31" s="1"/>
  <c r="N1271" i="31" s="1"/>
  <c r="K1212" i="31"/>
  <c r="L1212" i="31" s="1"/>
  <c r="M1212" i="31" s="1"/>
  <c r="N1211" i="31" s="1"/>
  <c r="K1225" i="31"/>
  <c r="L1225" i="31" s="1"/>
  <c r="M1225" i="31" s="1"/>
  <c r="N1224" i="31" s="1"/>
  <c r="K1269" i="31"/>
  <c r="L1269" i="31" s="1"/>
  <c r="M1269" i="31" s="1"/>
  <c r="N1268" i="31" s="1"/>
  <c r="K1262" i="31"/>
  <c r="L1262" i="31" s="1"/>
  <c r="M1262" i="31" s="1"/>
  <c r="N1261" i="31" s="1"/>
  <c r="K1229" i="31"/>
  <c r="L1229" i="31" s="1"/>
  <c r="M1229" i="31" s="1"/>
  <c r="N1228" i="31" s="1"/>
  <c r="K1242" i="31"/>
  <c r="L1242" i="31" s="1"/>
  <c r="M1242" i="31" s="1"/>
  <c r="N1241" i="31" s="1"/>
  <c r="K1259" i="31"/>
  <c r="L1259" i="31" s="1"/>
  <c r="M1259" i="31" s="1"/>
  <c r="N1258" i="31" s="1"/>
  <c r="N1131" i="31"/>
  <c r="N348" i="31"/>
  <c r="N268" i="31"/>
  <c r="K706" i="31"/>
  <c r="L706" i="31" s="1"/>
  <c r="M706" i="31" s="1"/>
  <c r="N704" i="31" s="1"/>
  <c r="K346" i="31"/>
  <c r="L346" i="31" s="1"/>
  <c r="M346" i="31" s="1"/>
  <c r="N344" i="31" s="1"/>
  <c r="N774" i="31"/>
  <c r="K676" i="31"/>
  <c r="L676" i="31" s="1"/>
  <c r="M676" i="31" s="1"/>
  <c r="N674" i="31" s="1"/>
  <c r="K666" i="31"/>
  <c r="L666" i="31" s="1"/>
  <c r="M666" i="31" s="1"/>
  <c r="N664" i="31" s="1"/>
  <c r="K686" i="31"/>
  <c r="L686" i="31" s="1"/>
  <c r="M686" i="31" s="1"/>
  <c r="N684" i="31" s="1"/>
  <c r="K696" i="31"/>
  <c r="L696" i="31" s="1"/>
  <c r="M696" i="31" s="1"/>
  <c r="N694" i="31" s="1"/>
  <c r="N784" i="31"/>
  <c r="N278" i="31"/>
  <c r="K1196" i="31"/>
  <c r="L1196" i="31" s="1"/>
  <c r="M1196" i="31" s="1"/>
  <c r="N1194" i="31" s="1"/>
  <c r="N1078" i="31"/>
  <c r="K76" i="31"/>
  <c r="L76" i="31" s="1"/>
  <c r="M76" i="31" s="1"/>
  <c r="N73" i="31" s="1"/>
  <c r="K336" i="31"/>
  <c r="L336" i="31" s="1"/>
  <c r="M336" i="31" s="1"/>
  <c r="N334" i="31" s="1"/>
  <c r="K316" i="31"/>
  <c r="L316" i="31" s="1"/>
  <c r="M316" i="31" s="1"/>
  <c r="N314" i="31" s="1"/>
  <c r="K1325" i="31"/>
  <c r="L1325" i="31" s="1"/>
  <c r="M1325" i="31" s="1"/>
  <c r="N1324" i="31" s="1"/>
  <c r="K1315" i="31"/>
  <c r="L1315" i="31" s="1"/>
  <c r="M1315" i="31" s="1"/>
  <c r="N1314" i="31" s="1"/>
  <c r="K1332" i="31"/>
  <c r="L1332" i="31" s="1"/>
  <c r="M1332" i="31" s="1"/>
  <c r="N1331" i="31" s="1"/>
  <c r="K1335" i="31"/>
  <c r="L1335" i="31" s="1"/>
  <c r="M1335" i="31" s="1"/>
  <c r="N1334" i="31" s="1"/>
  <c r="K1339" i="31"/>
  <c r="L1339" i="31" s="1"/>
  <c r="M1339" i="31" s="1"/>
  <c r="N1338" i="31" s="1"/>
  <c r="K1289" i="31"/>
  <c r="L1289" i="31" s="1"/>
  <c r="M1289" i="31" s="1"/>
  <c r="N1288" i="31" s="1"/>
  <c r="K1282" i="31"/>
  <c r="L1282" i="31" s="1"/>
  <c r="M1282" i="31" s="1"/>
  <c r="N1281" i="31" s="1"/>
  <c r="K1076" i="31"/>
  <c r="L1076" i="31" s="1"/>
  <c r="M1076" i="31" s="1"/>
  <c r="N1074" i="31" s="1"/>
  <c r="K1312" i="31"/>
  <c r="L1312" i="31" s="1"/>
  <c r="M1312" i="31" s="1"/>
  <c r="N1311" i="31" s="1"/>
  <c r="K1305" i="31"/>
  <c r="L1305" i="31" s="1"/>
  <c r="M1305" i="31" s="1"/>
  <c r="N1304" i="31" s="1"/>
  <c r="K1295" i="31"/>
  <c r="L1295" i="31" s="1"/>
  <c r="M1295" i="31" s="1"/>
  <c r="N1294" i="31" s="1"/>
  <c r="K1302" i="31"/>
  <c r="L1302" i="31" s="1"/>
  <c r="M1302" i="31" s="1"/>
  <c r="N1301" i="31" s="1"/>
  <c r="K1299" i="31"/>
  <c r="L1299" i="31" s="1"/>
  <c r="M1299" i="31" s="1"/>
  <c r="N1298" i="31" s="1"/>
  <c r="K1319" i="31"/>
  <c r="L1319" i="31" s="1"/>
  <c r="M1319" i="31" s="1"/>
  <c r="K1166" i="31"/>
  <c r="L1166" i="31" s="1"/>
  <c r="M1166" i="31" s="1"/>
  <c r="N1164" i="31" s="1"/>
  <c r="K536" i="31"/>
  <c r="L536" i="31" s="1"/>
  <c r="M536" i="31" s="1"/>
  <c r="N534" i="31" s="1"/>
  <c r="K1146" i="31"/>
  <c r="L1146" i="31" s="1"/>
  <c r="M1146" i="31" s="1"/>
  <c r="N1144" i="31" s="1"/>
  <c r="K556" i="31"/>
  <c r="L556" i="31" s="1"/>
  <c r="M556" i="31" s="1"/>
  <c r="N554" i="31" s="1"/>
  <c r="K356" i="31"/>
  <c r="L356" i="31" s="1"/>
  <c r="M356" i="31" s="1"/>
  <c r="N354" i="31" s="1"/>
  <c r="K306" i="31"/>
  <c r="L306" i="31" s="1"/>
  <c r="M306" i="31" s="1"/>
  <c r="N304" i="31" s="1"/>
  <c r="K1322" i="31"/>
  <c r="L1322" i="31" s="1"/>
  <c r="M1322" i="31" s="1"/>
  <c r="N1321" i="31" s="1"/>
  <c r="K1329" i="31"/>
  <c r="L1329" i="31" s="1"/>
  <c r="M1329" i="31" s="1"/>
  <c r="N1328" i="31" s="1"/>
  <c r="K516" i="31"/>
  <c r="L516" i="31" s="1"/>
  <c r="M516" i="31" s="1"/>
  <c r="N514" i="31" s="1"/>
  <c r="K1345" i="31"/>
  <c r="L1345" i="31" s="1"/>
  <c r="M1345" i="31" s="1"/>
  <c r="N1344" i="31" s="1"/>
  <c r="K1285" i="31"/>
  <c r="L1285" i="31" s="1"/>
  <c r="M1285" i="31" s="1"/>
  <c r="N1284" i="31" s="1"/>
  <c r="K1349" i="31"/>
  <c r="L1349" i="31" s="1"/>
  <c r="M1349" i="31" s="1"/>
  <c r="N1348" i="31" s="1"/>
  <c r="K296" i="31"/>
  <c r="L296" i="31" s="1"/>
  <c r="M296" i="31" s="1"/>
  <c r="N294" i="31" s="1"/>
  <c r="K1309" i="31"/>
  <c r="L1309" i="31" s="1"/>
  <c r="M1309" i="31" s="1"/>
  <c r="N1308" i="31" s="1"/>
  <c r="N1118" i="31"/>
  <c r="N1098" i="31"/>
  <c r="N1091" i="31"/>
  <c r="N1204" i="31"/>
  <c r="K1106" i="31"/>
  <c r="L1106" i="31" s="1"/>
  <c r="M1106" i="31" s="1"/>
  <c r="N1104" i="31" s="1"/>
  <c r="N1318" i="31"/>
  <c r="K1186" i="31"/>
  <c r="L1186" i="31" s="1"/>
  <c r="M1186" i="31" s="1"/>
  <c r="N1184" i="31" s="1"/>
  <c r="K1156" i="31"/>
  <c r="L1156" i="31" s="1"/>
  <c r="M1156" i="31" s="1"/>
  <c r="N1154" i="31" s="1"/>
  <c r="K1176" i="31"/>
  <c r="L1176" i="31" s="1"/>
  <c r="M1176" i="31" s="1"/>
  <c r="N1174" i="31" s="1"/>
  <c r="N1081" i="31"/>
  <c r="N1138" i="31"/>
  <c r="N238" i="31"/>
  <c r="K576" i="31"/>
  <c r="L576" i="31" s="1"/>
  <c r="M576" i="31" s="1"/>
  <c r="N574" i="31" s="1"/>
  <c r="K566" i="31"/>
  <c r="L566" i="31" s="1"/>
  <c r="M566" i="31" s="1"/>
  <c r="N564" i="31" s="1"/>
  <c r="K526" i="31"/>
  <c r="L526" i="31" s="1"/>
  <c r="M526" i="31" s="1"/>
  <c r="N524" i="31" s="1"/>
  <c r="K546" i="31"/>
  <c r="L546" i="31" s="1"/>
  <c r="M546" i="31" s="1"/>
  <c r="N544" i="31" s="1"/>
  <c r="N1071" i="31"/>
  <c r="N1088" i="31"/>
  <c r="N1121" i="31"/>
  <c r="N1111" i="31"/>
  <c r="N1101" i="31"/>
  <c r="N258" i="31"/>
  <c r="N228" i="31"/>
  <c r="N1134" i="31"/>
  <c r="K1126" i="31"/>
  <c r="L1126" i="31" s="1"/>
  <c r="M1126" i="31" s="1"/>
  <c r="N1124" i="31" s="1"/>
  <c r="K1116" i="31"/>
  <c r="L1116" i="31" s="1"/>
  <c r="M1116" i="31" s="1"/>
  <c r="N1114" i="31" s="1"/>
  <c r="K1086" i="31"/>
  <c r="L1086" i="31" s="1"/>
  <c r="M1086" i="31" s="1"/>
  <c r="N1084" i="31" s="1"/>
  <c r="K1096" i="31"/>
  <c r="L1096" i="31" s="1"/>
  <c r="M1096" i="31" s="1"/>
  <c r="N1094" i="31" s="1"/>
  <c r="K106" i="31"/>
  <c r="L106" i="31" s="1"/>
  <c r="M106" i="31" s="1"/>
  <c r="N104" i="31" s="1"/>
  <c r="N954" i="31"/>
  <c r="K136" i="31"/>
  <c r="L136" i="31" s="1"/>
  <c r="K142" i="31"/>
  <c r="L142" i="31" s="1"/>
  <c r="M142" i="31" s="1"/>
  <c r="N141" i="31" s="1"/>
  <c r="N68" i="31"/>
  <c r="K75" i="31"/>
  <c r="L75" i="31" s="1"/>
  <c r="M75" i="31" s="1"/>
  <c r="K126" i="31"/>
  <c r="L126" i="31" s="1"/>
  <c r="M126" i="31" s="1"/>
  <c r="N124" i="31" s="1"/>
  <c r="K93" i="31"/>
  <c r="L93" i="31" s="1"/>
  <c r="M93" i="31" s="1"/>
  <c r="K146" i="31"/>
  <c r="L146" i="31" s="1"/>
  <c r="M146" i="31" s="1"/>
  <c r="N144" i="31" s="1"/>
  <c r="K116" i="31"/>
  <c r="L116" i="31" s="1"/>
  <c r="M116" i="31" s="1"/>
  <c r="N114" i="31" s="1"/>
  <c r="N491" i="31"/>
  <c r="N441" i="31"/>
  <c r="N944" i="31"/>
  <c r="K266" i="31"/>
  <c r="L266" i="31" s="1"/>
  <c r="M266" i="31" s="1"/>
  <c r="N264" i="31" s="1"/>
  <c r="K236" i="31"/>
  <c r="L236" i="31" s="1"/>
  <c r="M236" i="31" s="1"/>
  <c r="N234" i="31" s="1"/>
  <c r="K246" i="31"/>
  <c r="L246" i="31" s="1"/>
  <c r="M246" i="31" s="1"/>
  <c r="N244" i="31" s="1"/>
  <c r="K286" i="31"/>
  <c r="L286" i="31" s="1"/>
  <c r="M286" i="31" s="1"/>
  <c r="N284" i="31" s="1"/>
  <c r="K256" i="31"/>
  <c r="L256" i="31" s="1"/>
  <c r="M256" i="31" s="1"/>
  <c r="N254" i="31" s="1"/>
  <c r="K276" i="31"/>
  <c r="L276" i="31" s="1"/>
  <c r="M276" i="31" s="1"/>
  <c r="N274" i="31" s="1"/>
  <c r="K226" i="31"/>
  <c r="L226" i="31" s="1"/>
  <c r="M226" i="31" s="1"/>
  <c r="N224" i="31" s="1"/>
  <c r="N361" i="31"/>
  <c r="N421" i="31"/>
  <c r="N754" i="31"/>
  <c r="N614" i="31"/>
  <c r="N594" i="31"/>
  <c r="N461" i="31"/>
  <c r="N351" i="31"/>
  <c r="N714" i="31"/>
  <c r="N724" i="31"/>
  <c r="N584" i="31"/>
  <c r="N604" i="31"/>
  <c r="N744" i="31"/>
  <c r="N734" i="31"/>
  <c r="N1364" i="31"/>
  <c r="N1361" i="31"/>
  <c r="N341" i="31"/>
  <c r="L506" i="31"/>
  <c r="M506" i="31" s="1"/>
  <c r="N504" i="31" s="1"/>
  <c r="L496" i="31"/>
  <c r="M496" i="31" s="1"/>
  <c r="N494" i="31" s="1"/>
  <c r="N431" i="31"/>
  <c r="N391" i="31"/>
  <c r="N411" i="31"/>
  <c r="N451" i="31"/>
  <c r="N401" i="31"/>
  <c r="N251" i="31"/>
  <c r="N241" i="31"/>
  <c r="N471" i="31"/>
  <c r="N481" i="31"/>
  <c r="N381" i="31"/>
  <c r="N291" i="31"/>
  <c r="N371" i="31"/>
  <c r="N321" i="31"/>
  <c r="N231" i="31"/>
  <c r="N221" i="31"/>
  <c r="N281" i="31"/>
  <c r="N271" i="31"/>
  <c r="M466" i="31"/>
  <c r="N464" i="31" s="1"/>
  <c r="M486" i="31"/>
  <c r="N484" i="31" s="1"/>
  <c r="M406" i="31"/>
  <c r="N404" i="31" s="1"/>
  <c r="M396" i="31"/>
  <c r="N394" i="31" s="1"/>
  <c r="M366" i="31"/>
  <c r="N364" i="31" s="1"/>
  <c r="M456" i="31"/>
  <c r="N454" i="31" s="1"/>
  <c r="M476" i="31"/>
  <c r="N474" i="31" s="1"/>
  <c r="M446" i="31"/>
  <c r="N444" i="31" s="1"/>
  <c r="M386" i="31"/>
  <c r="N384" i="31" s="1"/>
  <c r="M376" i="31"/>
  <c r="N374" i="31" s="1"/>
  <c r="M426" i="31"/>
  <c r="N424" i="31" s="1"/>
  <c r="M416" i="31"/>
  <c r="N414" i="31" s="1"/>
  <c r="N311" i="31"/>
  <c r="M326" i="31"/>
  <c r="N324" i="31" s="1"/>
  <c r="M436" i="31"/>
  <c r="N434" i="31" s="1"/>
  <c r="N301" i="31"/>
  <c r="N261" i="31"/>
  <c r="M1002" i="31"/>
  <c r="N1001" i="31" s="1"/>
  <c r="N331" i="31"/>
  <c r="M1052" i="31"/>
  <c r="N1051" i="31" s="1"/>
  <c r="N91" i="31" l="1"/>
</calcChain>
</file>

<file path=xl/comments1.xml><?xml version="1.0" encoding="utf-8"?>
<comments xmlns="http://schemas.openxmlformats.org/spreadsheetml/2006/main">
  <authors>
    <author>Maga, Daniel</author>
    <author>Galafton, Christina</author>
    <author>Blömer, Jan</author>
  </authors>
  <commentList>
    <comment ref="D1" authorId="0" shapeId="0">
      <text>
        <r>
          <rPr>
            <b/>
            <sz val="9"/>
            <color indexed="81"/>
            <rFont val="Segoe UI"/>
            <family val="2"/>
          </rPr>
          <t>Maga, Daniel:</t>
        </r>
        <r>
          <rPr>
            <sz val="9"/>
            <color indexed="81"/>
            <rFont val="Segoe UI"/>
            <family val="2"/>
          </rPr>
          <t xml:space="preserve">
</t>
        </r>
        <r>
          <rPr>
            <sz val="16"/>
            <color indexed="81"/>
            <rFont val="Segoe UI"/>
            <family val="2"/>
          </rPr>
          <t xml:space="preserve">c Accelerated corresponds to data collected in the presence of a </t>
        </r>
        <r>
          <rPr>
            <b/>
            <sz val="16"/>
            <color indexed="81"/>
            <rFont val="Segoe UI"/>
            <family val="2"/>
          </rPr>
          <t xml:space="preserve">degradation accelerant </t>
        </r>
        <r>
          <rPr>
            <sz val="16"/>
            <color indexed="81"/>
            <rFont val="Segoe UI"/>
            <family val="2"/>
          </rPr>
          <t xml:space="preserve">(e.g., </t>
        </r>
        <r>
          <rPr>
            <b/>
            <sz val="16"/>
            <color indexed="81"/>
            <rFont val="Segoe UI"/>
            <family val="2"/>
          </rPr>
          <t>prolonged UV exposure, thermal pretreatment</t>
        </r>
        <r>
          <rPr>
            <sz val="16"/>
            <color indexed="81"/>
            <rFont val="Segoe UI"/>
            <family val="2"/>
          </rPr>
          <t xml:space="preserve">) </t>
        </r>
      </text>
    </comment>
    <comment ref="F16" authorId="1" shapeId="0">
      <text>
        <r>
          <rPr>
            <b/>
            <sz val="9"/>
            <color indexed="81"/>
            <rFont val="Segoe UI"/>
            <family val="2"/>
          </rPr>
          <t>Galafton, Christina:</t>
        </r>
        <r>
          <rPr>
            <sz val="9"/>
            <color indexed="81"/>
            <rFont val="Segoe UI"/>
            <family val="2"/>
          </rPr>
          <t xml:space="preserve">
Vermutung: Fasern</t>
        </r>
      </text>
    </comment>
    <comment ref="M58" authorId="0" shapeId="0">
      <text>
        <r>
          <rPr>
            <b/>
            <sz val="9"/>
            <color indexed="81"/>
            <rFont val="Segoe UI"/>
            <charset val="1"/>
          </rPr>
          <t>Maga, Daniel:</t>
        </r>
        <r>
          <rPr>
            <sz val="9"/>
            <color indexed="81"/>
            <rFont val="Segoe UI"/>
            <charset val="1"/>
          </rPr>
          <t xml:space="preserve">
30 °C, 60 % moisture</t>
        </r>
      </text>
    </comment>
    <comment ref="Y61" authorId="0" shapeId="0">
      <text>
        <r>
          <rPr>
            <b/>
            <sz val="9"/>
            <color indexed="81"/>
            <rFont val="Segoe UI"/>
            <family val="2"/>
          </rPr>
          <t>Maga, Daniel:</t>
        </r>
        <r>
          <rPr>
            <sz val="9"/>
            <color indexed="81"/>
            <rFont val="Segoe UI"/>
            <family val="2"/>
          </rPr>
          <t xml:space="preserve">
nur Molekulargewicht</t>
        </r>
      </text>
    </comment>
    <comment ref="L62" authorId="0" shapeId="0">
      <text>
        <r>
          <rPr>
            <b/>
            <sz val="9"/>
            <color indexed="81"/>
            <rFont val="Segoe UI"/>
            <family val="2"/>
          </rPr>
          <t>Maga, Daniel:</t>
        </r>
        <r>
          <rPr>
            <sz val="9"/>
            <color indexed="81"/>
            <rFont val="Segoe UI"/>
            <family val="2"/>
          </rPr>
          <t xml:space="preserve">
Aspergillus
Lysinibacillus
</t>
        </r>
      </text>
    </comment>
    <comment ref="Y62" authorId="0" shapeId="0">
      <text>
        <r>
          <rPr>
            <b/>
            <sz val="9"/>
            <color indexed="81"/>
            <rFont val="Segoe UI"/>
            <family val="2"/>
          </rPr>
          <t>Maga, Daniel:</t>
        </r>
        <r>
          <rPr>
            <sz val="9"/>
            <color indexed="81"/>
            <rFont val="Segoe UI"/>
            <family val="2"/>
          </rPr>
          <t xml:space="preserve">
non UV-irridated film</t>
        </r>
      </text>
    </comment>
    <comment ref="C91" authorId="0" shapeId="0">
      <text>
        <r>
          <rPr>
            <b/>
            <sz val="9"/>
            <color indexed="81"/>
            <rFont val="Segoe UI"/>
            <family val="2"/>
          </rPr>
          <t>Maga, Daniel:</t>
        </r>
        <r>
          <rPr>
            <sz val="9"/>
            <color indexed="81"/>
            <rFont val="Segoe UI"/>
            <family val="2"/>
          </rPr>
          <t xml:space="preserve">
The MB consisted mainly of corn starch, linear low-density polyethylene as the carrier resin, styrene-butadiene copolymer and manganese stearate; the last two are referred to as the pro-oxidant systems</t>
        </r>
      </text>
    </comment>
    <comment ref="Y98" authorId="0" shapeId="0">
      <text>
        <r>
          <rPr>
            <b/>
            <sz val="9"/>
            <color indexed="81"/>
            <rFont val="Segoe UI"/>
            <family val="2"/>
          </rPr>
          <t>Maga, Daniel:</t>
        </r>
        <r>
          <rPr>
            <sz val="9"/>
            <color indexed="81"/>
            <rFont val="Segoe UI"/>
            <family val="2"/>
          </rPr>
          <t xml:space="preserve">
bezogen auf das Polymer</t>
        </r>
      </text>
    </comment>
    <comment ref="AA98" authorId="0" shapeId="0">
      <text>
        <r>
          <rPr>
            <b/>
            <sz val="9"/>
            <color indexed="81"/>
            <rFont val="Segoe UI"/>
            <family val="2"/>
          </rPr>
          <t>Maga, Daniel:</t>
        </r>
        <r>
          <rPr>
            <sz val="9"/>
            <color indexed="81"/>
            <rFont val="Segoe UI"/>
            <family val="2"/>
          </rPr>
          <t xml:space="preserve">
Im Text steht 0.15/d??
In Zitat 0,7</t>
        </r>
      </text>
    </comment>
    <comment ref="G111" authorId="2" shapeId="0">
      <text>
        <r>
          <rPr>
            <b/>
            <sz val="9"/>
            <color indexed="81"/>
            <rFont val="Segoe UI"/>
            <family val="2"/>
          </rPr>
          <t>Blömer, Jan:</t>
        </r>
        <r>
          <rPr>
            <sz val="9"/>
            <color indexed="81"/>
            <rFont val="Segoe UI"/>
            <family val="2"/>
          </rPr>
          <t xml:space="preserve">
0,05 bis 0,07  gemittelt auf 0.06
</t>
        </r>
      </text>
    </comment>
    <comment ref="I111" authorId="0" shapeId="0">
      <text>
        <r>
          <rPr>
            <b/>
            <sz val="9"/>
            <color indexed="81"/>
            <rFont val="Segoe UI"/>
            <family val="2"/>
          </rPr>
          <t>Maga, Daniel:</t>
        </r>
        <r>
          <rPr>
            <sz val="9"/>
            <color indexed="81"/>
            <rFont val="Segoe UI"/>
            <family val="2"/>
          </rPr>
          <t xml:space="preserve">
Mittelwert PA6-6</t>
        </r>
      </text>
    </comment>
    <comment ref="Y142" authorId="1" shapeId="0">
      <text>
        <r>
          <rPr>
            <b/>
            <sz val="9"/>
            <color indexed="81"/>
            <rFont val="Segoe UI"/>
            <family val="2"/>
          </rPr>
          <t>Galafton, Christina:</t>
        </r>
        <r>
          <rPr>
            <sz val="9"/>
            <color indexed="81"/>
            <rFont val="Segoe UI"/>
            <family val="2"/>
          </rPr>
          <t xml:space="preserve">
eigentlch ein negativer Wert</t>
        </r>
      </text>
    </comment>
    <comment ref="Y143" authorId="1" shapeId="0">
      <text>
        <r>
          <rPr>
            <b/>
            <sz val="9"/>
            <color indexed="81"/>
            <rFont val="Segoe UI"/>
            <family val="2"/>
          </rPr>
          <t>Galafton, Christina:</t>
        </r>
        <r>
          <rPr>
            <sz val="9"/>
            <color indexed="81"/>
            <rFont val="Segoe UI"/>
            <family val="2"/>
          </rPr>
          <t xml:space="preserve">
eigentlch ein negativer Wert</t>
        </r>
      </text>
    </comment>
    <comment ref="Y162" authorId="1" shapeId="0">
      <text>
        <r>
          <rPr>
            <b/>
            <sz val="9"/>
            <color indexed="81"/>
            <rFont val="Segoe UI"/>
            <family val="2"/>
          </rPr>
          <t>Galafton, Christina:</t>
        </r>
        <r>
          <rPr>
            <sz val="9"/>
            <color indexed="81"/>
            <rFont val="Segoe UI"/>
            <family val="2"/>
          </rPr>
          <t xml:space="preserve">
eigentlich ein negativer Wert</t>
        </r>
      </text>
    </comment>
    <comment ref="Y163" authorId="1" shapeId="0">
      <text>
        <r>
          <rPr>
            <b/>
            <sz val="9"/>
            <color indexed="81"/>
            <rFont val="Segoe UI"/>
            <family val="2"/>
          </rPr>
          <t>Galafton, Christina:</t>
        </r>
        <r>
          <rPr>
            <sz val="9"/>
            <color indexed="81"/>
            <rFont val="Segoe UI"/>
            <family val="2"/>
          </rPr>
          <t xml:space="preserve">
eigentlich ein negativer Wert</t>
        </r>
      </text>
    </comment>
    <comment ref="I165" authorId="2" shapeId="0">
      <text>
        <r>
          <rPr>
            <b/>
            <sz val="9"/>
            <color indexed="81"/>
            <rFont val="Segoe UI"/>
            <family val="2"/>
          </rPr>
          <t>Blömer, Jan:</t>
        </r>
        <r>
          <rPr>
            <sz val="9"/>
            <color indexed="81"/>
            <rFont val="Segoe UI"/>
            <family val="2"/>
          </rPr>
          <t xml:space="preserve">
reines "Gummi" ca. 1.0; Reifenlauffläche ca 1.2
 </t>
        </r>
      </text>
    </comment>
    <comment ref="Q165" authorId="0" shapeId="0">
      <text>
        <r>
          <rPr>
            <b/>
            <sz val="9"/>
            <color indexed="81"/>
            <rFont val="Segoe UI"/>
            <family val="2"/>
          </rPr>
          <t>Maga, Daniel:</t>
        </r>
        <r>
          <rPr>
            <sz val="9"/>
            <color indexed="81"/>
            <rFont val="Segoe UI"/>
            <family val="2"/>
          </rPr>
          <t xml:space="preserve">
Indien</t>
        </r>
      </text>
    </comment>
    <comment ref="I166" authorId="0" shapeId="0">
      <text>
        <r>
          <rPr>
            <b/>
            <sz val="9"/>
            <color indexed="81"/>
            <rFont val="Segoe UI"/>
            <family val="2"/>
          </rPr>
          <t>Maga, Daniel:</t>
        </r>
        <r>
          <rPr>
            <sz val="9"/>
            <color indexed="81"/>
            <rFont val="Segoe UI"/>
            <family val="2"/>
          </rPr>
          <t xml:space="preserve">
Mittelwert PA6-6</t>
        </r>
      </text>
    </comment>
    <comment ref="C214" authorId="0" shapeId="0">
      <text>
        <r>
          <rPr>
            <b/>
            <sz val="9"/>
            <color indexed="81"/>
            <rFont val="Segoe UI"/>
            <family val="2"/>
          </rPr>
          <t>Maga, Daniel:</t>
        </r>
        <r>
          <rPr>
            <sz val="9"/>
            <color indexed="81"/>
            <rFont val="Segoe UI"/>
            <family val="2"/>
          </rPr>
          <t xml:space="preserve">
Reference material</t>
        </r>
      </text>
    </comment>
    <comment ref="F214" authorId="0" shapeId="0">
      <text>
        <r>
          <rPr>
            <b/>
            <sz val="9"/>
            <color indexed="81"/>
            <rFont val="Segoe UI"/>
            <family val="2"/>
          </rPr>
          <t>Maga, Daniel:</t>
        </r>
        <r>
          <rPr>
            <sz val="9"/>
            <color indexed="81"/>
            <rFont val="Segoe UI"/>
            <family val="2"/>
          </rPr>
          <t xml:space="preserve">
Films with
a mean thickness of about 20 mm</t>
        </r>
      </text>
    </comment>
    <comment ref="C215" authorId="0" shapeId="0">
      <text>
        <r>
          <rPr>
            <b/>
            <sz val="9"/>
            <color indexed="81"/>
            <rFont val="Segoe UI"/>
            <family val="2"/>
          </rPr>
          <t>Maga, Daniel:</t>
        </r>
        <r>
          <rPr>
            <sz val="9"/>
            <color indexed="81"/>
            <rFont val="Segoe UI"/>
            <family val="2"/>
          </rPr>
          <t xml:space="preserve">
Reference material</t>
        </r>
      </text>
    </comment>
    <comment ref="F215" authorId="0" shapeId="0">
      <text>
        <r>
          <rPr>
            <b/>
            <sz val="9"/>
            <color indexed="81"/>
            <rFont val="Segoe UI"/>
            <family val="2"/>
          </rPr>
          <t>Maga, Daniel:</t>
        </r>
        <r>
          <rPr>
            <sz val="9"/>
            <color indexed="81"/>
            <rFont val="Segoe UI"/>
            <family val="2"/>
          </rPr>
          <t xml:space="preserve">
Films with
a mean thickness of about 20 mm</t>
        </r>
      </text>
    </comment>
    <comment ref="Y248" authorId="0" shapeId="0">
      <text>
        <r>
          <rPr>
            <b/>
            <sz val="9"/>
            <color indexed="81"/>
            <rFont val="Segoe UI"/>
            <family val="2"/>
          </rPr>
          <t>Maga, Daniel:</t>
        </r>
        <r>
          <rPr>
            <sz val="9"/>
            <color indexed="81"/>
            <rFont val="Segoe UI"/>
            <family val="2"/>
          </rPr>
          <t xml:space="preserve">
aus Fig. 2</t>
        </r>
      </text>
    </comment>
    <comment ref="Y270" authorId="0" shapeId="0">
      <text>
        <r>
          <rPr>
            <b/>
            <sz val="9"/>
            <color indexed="81"/>
            <rFont val="Segoe UI"/>
            <family val="2"/>
          </rPr>
          <t>Maga, Daniel:</t>
        </r>
        <r>
          <rPr>
            <sz val="9"/>
            <color indexed="81"/>
            <rFont val="Segoe UI"/>
            <family val="2"/>
          </rPr>
          <t xml:space="preserve">
Very little microbial degradation was observed for
polyethylene/starch blend in the sea water</t>
        </r>
      </text>
    </comment>
    <comment ref="Y276" authorId="0" shapeId="0">
      <text>
        <r>
          <rPr>
            <b/>
            <sz val="9"/>
            <color indexed="81"/>
            <rFont val="Segoe UI"/>
            <family val="2"/>
          </rPr>
          <t>Maga, Daniel:</t>
        </r>
        <r>
          <rPr>
            <sz val="9"/>
            <color indexed="81"/>
            <rFont val="Segoe UI"/>
            <family val="2"/>
          </rPr>
          <t xml:space="preserve">
aus Fig. 1 geschätzt</t>
        </r>
      </text>
    </comment>
    <comment ref="Y277" authorId="0" shapeId="0">
      <text>
        <r>
          <rPr>
            <b/>
            <sz val="9"/>
            <color indexed="81"/>
            <rFont val="Segoe UI"/>
            <family val="2"/>
          </rPr>
          <t>Maga, Daniel:</t>
        </r>
        <r>
          <rPr>
            <sz val="9"/>
            <color indexed="81"/>
            <rFont val="Segoe UI"/>
            <family val="2"/>
          </rPr>
          <t xml:space="preserve">
aus Fig. 1 geschätzt</t>
        </r>
      </text>
    </comment>
    <comment ref="Q292" authorId="0" shapeId="0">
      <text>
        <r>
          <rPr>
            <b/>
            <sz val="9"/>
            <color indexed="81"/>
            <rFont val="Segoe UI"/>
            <family val="2"/>
          </rPr>
          <t>Maga, Daniel:</t>
        </r>
        <r>
          <rPr>
            <sz val="9"/>
            <color indexed="81"/>
            <rFont val="Segoe UI"/>
            <family val="2"/>
          </rPr>
          <t xml:space="preserve">
Indien</t>
        </r>
      </text>
    </comment>
    <comment ref="G298" authorId="0" shapeId="0">
      <text>
        <r>
          <rPr>
            <b/>
            <sz val="9"/>
            <color indexed="81"/>
            <rFont val="Segoe UI"/>
            <family val="2"/>
          </rPr>
          <t>Maga, Daniel:</t>
        </r>
        <r>
          <rPr>
            <sz val="9"/>
            <color indexed="81"/>
            <rFont val="Segoe UI"/>
            <family val="2"/>
          </rPr>
          <t xml:space="preserve">
estimated</t>
        </r>
      </text>
    </comment>
    <comment ref="AL298" authorId="0" shapeId="0">
      <text>
        <r>
          <rPr>
            <b/>
            <sz val="9"/>
            <color indexed="81"/>
            <rFont val="Segoe UI"/>
            <family val="2"/>
          </rPr>
          <t>Maga, Daniel:</t>
        </r>
        <r>
          <rPr>
            <sz val="9"/>
            <color indexed="81"/>
            <rFont val="Segoe UI"/>
            <family val="2"/>
          </rPr>
          <t xml:space="preserve">
unglaubwürdig</t>
        </r>
      </text>
    </comment>
    <comment ref="Y300" authorId="0" shapeId="0">
      <text>
        <r>
          <rPr>
            <b/>
            <sz val="9"/>
            <color indexed="81"/>
            <rFont val="Segoe UI"/>
            <family val="2"/>
          </rPr>
          <t>Maga, Daniel:</t>
        </r>
        <r>
          <rPr>
            <sz val="9"/>
            <color indexed="81"/>
            <rFont val="Segoe UI"/>
            <family val="2"/>
          </rPr>
          <t xml:space="preserve">
keine genaue Angabe (kleiner 0.6)</t>
        </r>
      </text>
    </comment>
    <comment ref="Y328" authorId="1" shapeId="0">
      <text>
        <r>
          <rPr>
            <b/>
            <sz val="9"/>
            <color indexed="81"/>
            <rFont val="Segoe UI"/>
            <family val="2"/>
          </rPr>
          <t>Galafton, Christina:</t>
        </r>
        <r>
          <rPr>
            <sz val="9"/>
            <color indexed="81"/>
            <rFont val="Segoe UI"/>
            <family val="2"/>
          </rPr>
          <t xml:space="preserve">
eigentlich 103%</t>
        </r>
      </text>
    </comment>
    <comment ref="AR448" authorId="0" shapeId="0">
      <text>
        <r>
          <rPr>
            <b/>
            <sz val="9"/>
            <color indexed="81"/>
            <rFont val="Segoe UI"/>
            <family val="2"/>
          </rPr>
          <t>Maga, Daniel:</t>
        </r>
        <r>
          <rPr>
            <sz val="9"/>
            <color indexed="81"/>
            <rFont val="Segoe UI"/>
            <family val="2"/>
          </rPr>
          <t xml:space="preserve">
1. P(3HB)
2. P(3HB-co-14%3HV)
3. P(3HB-co-10%4HB)
4. Poly(s-caprolactone)
5. Polytethylene succinate)
6. Poly(ethylene adipate) ’
7. Poly(butylene succinate)
8. Poly(butylene adipate)</t>
        </r>
      </text>
    </comment>
    <comment ref="G452" authorId="0" shapeId="0">
      <text>
        <r>
          <rPr>
            <b/>
            <sz val="9"/>
            <color indexed="81"/>
            <rFont val="Segoe UI"/>
            <family val="2"/>
          </rPr>
          <t>Maga, Daniel:</t>
        </r>
        <r>
          <rPr>
            <sz val="9"/>
            <color indexed="81"/>
            <rFont val="Segoe UI"/>
            <family val="2"/>
          </rPr>
          <t xml:space="preserve">
estimated</t>
        </r>
      </text>
    </comment>
    <comment ref="Y509" authorId="0" shapeId="0">
      <text>
        <r>
          <rPr>
            <b/>
            <sz val="9"/>
            <color indexed="81"/>
            <rFont val="Segoe UI"/>
            <family val="2"/>
          </rPr>
          <t>Maga, Daniel:</t>
        </r>
        <r>
          <rPr>
            <sz val="9"/>
            <color indexed="81"/>
            <rFont val="Segoe UI"/>
            <family val="2"/>
          </rPr>
          <t xml:space="preserve">
complete photochemical oxidation</t>
        </r>
      </text>
    </comment>
    <comment ref="AR531" authorId="0" shapeId="0">
      <text>
        <r>
          <rPr>
            <b/>
            <sz val="9"/>
            <color indexed="81"/>
            <rFont val="Segoe UI"/>
            <family val="2"/>
          </rPr>
          <t>Maga, Daniel:</t>
        </r>
        <r>
          <rPr>
            <sz val="9"/>
            <color indexed="81"/>
            <rFont val="Segoe UI"/>
            <family val="2"/>
          </rPr>
          <t xml:space="preserve">
1. P(3HB)
2. P(3HB-co-14%3HV)
3. P(3HB-co-10%4HB)
4. Poly(s-caprolactone)
5. Polytethylene succinate)
6. Poly(ethylene adipate) ’
7. Poly(butylene succinate)
8. Poly(butylene adipate)</t>
        </r>
      </text>
    </comment>
    <comment ref="G551" authorId="0" shapeId="0">
      <text>
        <r>
          <rPr>
            <b/>
            <sz val="9"/>
            <color indexed="81"/>
            <rFont val="Segoe UI"/>
            <family val="2"/>
          </rPr>
          <t>Maga, Daniel:</t>
        </r>
        <r>
          <rPr>
            <sz val="9"/>
            <color indexed="81"/>
            <rFont val="Segoe UI"/>
            <family val="2"/>
          </rPr>
          <t xml:space="preserve">
estimated</t>
        </r>
      </text>
    </comment>
    <comment ref="AR572" authorId="0" shapeId="0">
      <text>
        <r>
          <rPr>
            <b/>
            <sz val="9"/>
            <color indexed="81"/>
            <rFont val="Segoe UI"/>
            <family val="2"/>
          </rPr>
          <t>Maga, Daniel:</t>
        </r>
        <r>
          <rPr>
            <sz val="9"/>
            <color indexed="81"/>
            <rFont val="Segoe UI"/>
            <family val="2"/>
          </rPr>
          <t xml:space="preserve">
1. P(3HB)
2. P(3HB-co-14%3HV)
3. P(3HB-co-10%4HB)
4. Poly(s-caprolactone)
5. Polytethylene succinate)
6. Poly(ethylene adipate) ’
7. Poly(butylene succinate)
8. Poly(butylene adipate)</t>
        </r>
      </text>
    </comment>
    <comment ref="Y604" authorId="0" shapeId="0">
      <text>
        <r>
          <rPr>
            <b/>
            <sz val="9"/>
            <color indexed="81"/>
            <rFont val="Segoe UI"/>
            <family val="2"/>
          </rPr>
          <t>Maga, Daniel:</t>
        </r>
        <r>
          <rPr>
            <sz val="9"/>
            <color indexed="81"/>
            <rFont val="Segoe UI"/>
            <family val="2"/>
          </rPr>
          <t xml:space="preserve">
0,216 mgC pro g plastic</t>
        </r>
      </text>
    </comment>
    <comment ref="Y608" authorId="0" shapeId="0">
      <text>
        <r>
          <rPr>
            <b/>
            <sz val="9"/>
            <color indexed="81"/>
            <rFont val="Segoe UI"/>
            <family val="2"/>
          </rPr>
          <t>Maga, Daniel:</t>
        </r>
        <r>
          <rPr>
            <sz val="9"/>
            <color indexed="81"/>
            <rFont val="Segoe UI"/>
            <family val="2"/>
          </rPr>
          <t xml:space="preserve">
26,904 mgC pro g plastic</t>
        </r>
      </text>
    </comment>
    <comment ref="Q616" authorId="0" shapeId="0">
      <text>
        <r>
          <rPr>
            <b/>
            <sz val="9"/>
            <color indexed="81"/>
            <rFont val="Segoe UI"/>
            <family val="2"/>
          </rPr>
          <t>Maga, Daniel:</t>
        </r>
        <r>
          <rPr>
            <sz val="9"/>
            <color indexed="81"/>
            <rFont val="Segoe UI"/>
            <family val="2"/>
          </rPr>
          <t xml:space="preserve">
Indien</t>
        </r>
      </text>
    </comment>
  </commentList>
</comments>
</file>

<file path=xl/comments2.xml><?xml version="1.0" encoding="utf-8"?>
<comments xmlns="http://schemas.openxmlformats.org/spreadsheetml/2006/main">
  <authors>
    <author>Galafton, Christina</author>
  </authors>
  <commentList>
    <comment ref="H68"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73"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78"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83"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88" authorId="0" shapeId="0">
      <text>
        <r>
          <rPr>
            <b/>
            <sz val="9"/>
            <color indexed="81"/>
            <rFont val="Segoe UI"/>
            <family val="2"/>
          </rPr>
          <t>Galafton, Christina:</t>
        </r>
        <r>
          <rPr>
            <sz val="9"/>
            <color indexed="81"/>
            <rFont val="Segoe UI"/>
            <family val="2"/>
          </rPr>
          <t xml:space="preserve">
bzgl. Kunststoffverpackungen sind im Quellenbericht keine Größenangaben zu den Emissionen vorhanden</t>
        </r>
      </text>
    </comment>
    <comment ref="H91" authorId="0" shapeId="0">
      <text>
        <r>
          <rPr>
            <b/>
            <sz val="9"/>
            <color indexed="81"/>
            <rFont val="Segoe UI"/>
            <family val="2"/>
          </rPr>
          <t>Galafton, Christina:</t>
        </r>
        <r>
          <rPr>
            <sz val="9"/>
            <color indexed="81"/>
            <rFont val="Segoe UI"/>
            <family val="2"/>
          </rPr>
          <t xml:space="preserve">
bzgl. Kunststoffverpackungen sind im Quellenbericht keine Größenangaben zu den Emissionen vorhanden</t>
        </r>
      </text>
    </comment>
    <comment ref="H98" authorId="0" shapeId="0">
      <text>
        <r>
          <rPr>
            <b/>
            <sz val="9"/>
            <color indexed="81"/>
            <rFont val="Segoe UI"/>
            <family val="2"/>
          </rPr>
          <t>Galafton, Christina:</t>
        </r>
        <r>
          <rPr>
            <sz val="9"/>
            <color indexed="81"/>
            <rFont val="Segoe UI"/>
            <family val="2"/>
          </rPr>
          <t xml:space="preserve">
bzgl. Kunststoffverpackungen sind im Quellenbericht keine Größenangaben zu den Emissionen vorhanden</t>
        </r>
      </text>
    </comment>
    <comment ref="B11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1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I114" authorId="0" shapeId="0">
      <text>
        <r>
          <rPr>
            <b/>
            <sz val="9"/>
            <color indexed="81"/>
            <rFont val="Segoe UI"/>
            <family val="2"/>
          </rPr>
          <t>Galafton, Christina:</t>
        </r>
        <r>
          <rPr>
            <sz val="9"/>
            <color indexed="81"/>
            <rFont val="Segoe UI"/>
            <family val="2"/>
          </rPr>
          <t xml:space="preserve">
10% soil und 80% water ergibt keine 100%</t>
        </r>
      </text>
    </comment>
    <comment ref="H121"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Recycling von polymberb. Papier </t>
        </r>
        <r>
          <rPr>
            <sz val="9"/>
            <color indexed="81"/>
            <rFont val="Segoe UI"/>
            <family val="2"/>
          </rPr>
          <t xml:space="preserve">sind im Quellenbericht keine Größenangaben zu den Plastikemissionen enthalten
bzgl. </t>
        </r>
        <r>
          <rPr>
            <u/>
            <sz val="9"/>
            <color indexed="81"/>
            <rFont val="Segoe UI"/>
            <family val="2"/>
          </rPr>
          <t>Auswaschung von Wasch-, Pflege- und Reinigungsmitteln</t>
        </r>
        <r>
          <rPr>
            <sz val="9"/>
            <color indexed="81"/>
            <rFont val="Segoe UI"/>
            <family val="2"/>
          </rPr>
          <t xml:space="preserve"> sind im Quellenbericht keine Größenangaben zu den Plastikemissionen enthalten
bzgl. </t>
        </r>
        <r>
          <rPr>
            <u/>
            <sz val="9"/>
            <color indexed="81"/>
            <rFont val="Segoe UI"/>
            <family val="2"/>
          </rPr>
          <t>Abrieb von Trink- und Abwasserrohren</t>
        </r>
        <r>
          <rPr>
            <sz val="9"/>
            <color indexed="81"/>
            <rFont val="Segoe UI"/>
            <family val="2"/>
          </rPr>
          <t xml:space="preserve"> steht im Quellenbericht: 
</t>
        </r>
        <r>
          <rPr>
            <i/>
            <sz val="9"/>
            <color indexed="81"/>
            <rFont val="Segoe UI"/>
            <family val="2"/>
          </rPr>
          <t>"Die Anforderungen hinsichtlich der Abriebsbeständigkeit von Rohren werden in der DIN EN 476 und der DIN EN 14457 vorgeschrieben. Die DIN EN 295-3 beschreibt mit dem Darmstädter Kipprinnenversuch ein Prüfverfahren zur Überprüfung der Abriebbeständig-keit von Rohren. Mit dem Versuch wird eine Nutzungsdauer von 25 Jahren simuliert. Für DN 300 Rohre ergab sich ein Abrieb von 0,06 mm für PP, 0,07 mm für PE und 0,2 mm für PVC.  Dies entspricht 0,0024 mm/a für PP, 0,0028 mm/a für PE und 0,008 mm/a für PVC. "</t>
        </r>
      </text>
    </comment>
    <comment ref="H124"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Recycling von polymberb. Papier </t>
        </r>
        <r>
          <rPr>
            <sz val="9"/>
            <color indexed="81"/>
            <rFont val="Segoe UI"/>
            <family val="2"/>
          </rPr>
          <t xml:space="preserve">sind im Quellenbericht keine Größenangaben zu den Plastikemissionen enthalten
bzgl. </t>
        </r>
        <r>
          <rPr>
            <u/>
            <sz val="9"/>
            <color indexed="81"/>
            <rFont val="Segoe UI"/>
            <family val="2"/>
          </rPr>
          <t>Auswaschung von Wasch-, Pflege- und Reinigungsmitteln</t>
        </r>
        <r>
          <rPr>
            <sz val="9"/>
            <color indexed="81"/>
            <rFont val="Segoe UI"/>
            <family val="2"/>
          </rPr>
          <t xml:space="preserve"> sind im Quellenbericht keine Größenangaben zu den Plastikemissionen enthalten
bzgl. </t>
        </r>
        <r>
          <rPr>
            <u/>
            <sz val="9"/>
            <color indexed="81"/>
            <rFont val="Segoe UI"/>
            <family val="2"/>
          </rPr>
          <t>Abrieb von Trink- und Abwasserrohren</t>
        </r>
        <r>
          <rPr>
            <sz val="9"/>
            <color indexed="81"/>
            <rFont val="Segoe UI"/>
            <family val="2"/>
          </rPr>
          <t xml:space="preserve"> steht im Quellenbericht: 
</t>
        </r>
        <r>
          <rPr>
            <i/>
            <sz val="9"/>
            <color indexed="81"/>
            <rFont val="Segoe UI"/>
            <family val="2"/>
          </rPr>
          <t>"Die Anforderungen hinsichtlich der Abriebsbeständigkeit von Rohren werden in der DIN EN 476 und der DIN EN 14457 vorgeschrieben. Die DIN EN 295-3 beschreibt mit dem Darmstädter Kipprinnenversuch ein Prüfverfahren zur Überprüfung der Abriebbeständig-keit von Rohren. Mit dem Versuch wird eine Nutzungsdauer von 25 Jahren simuliert. Für DN 300 Rohre ergab sich ein Abrieb von 0,06 mm für PP, 0,07 mm für PE und 0,2 mm für PVC.  Dies entspricht 0,0024 mm/a für PP, 0,0028 mm/a für PE und 0,008 mm/a für PVC. "</t>
        </r>
      </text>
    </comment>
    <comment ref="H128"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Recycling von polymberb. Papier </t>
        </r>
        <r>
          <rPr>
            <sz val="9"/>
            <color indexed="81"/>
            <rFont val="Segoe UI"/>
            <family val="2"/>
          </rPr>
          <t xml:space="preserve">sind im Quellenbericht keine Größenangaben zu den Plastikemissionen enthalten
bzgl. </t>
        </r>
        <r>
          <rPr>
            <u/>
            <sz val="9"/>
            <color indexed="81"/>
            <rFont val="Segoe UI"/>
            <family val="2"/>
          </rPr>
          <t>Auswaschung von Wasch-, Pflege- und Reinigungsmitteln</t>
        </r>
        <r>
          <rPr>
            <sz val="9"/>
            <color indexed="81"/>
            <rFont val="Segoe UI"/>
            <family val="2"/>
          </rPr>
          <t xml:space="preserve"> sind im Quellenbericht keine Größenangaben zu den Plastikemissionen enthalten
bzgl. </t>
        </r>
        <r>
          <rPr>
            <u/>
            <sz val="9"/>
            <color indexed="81"/>
            <rFont val="Segoe UI"/>
            <family val="2"/>
          </rPr>
          <t>Abrieb von Trink- und Abwasserrohren</t>
        </r>
        <r>
          <rPr>
            <sz val="9"/>
            <color indexed="81"/>
            <rFont val="Segoe UI"/>
            <family val="2"/>
          </rPr>
          <t xml:space="preserve"> steht im Quellenbericht: 
</t>
        </r>
        <r>
          <rPr>
            <i/>
            <sz val="9"/>
            <color indexed="81"/>
            <rFont val="Segoe UI"/>
            <family val="2"/>
          </rPr>
          <t>"Die Anforderungen hinsichtlich der Abriebsbeständigkeit von Rohren werden in der DIN EN 476 und der DIN EN 14457 vorgeschrieben. Die DIN EN 295-3 beschreibt mit dem Darmstädter Kipprinnenversuch ein Prüfverfahren zur Überprüfung der Abriebbeständig-keit von Rohren. Mit dem Versuch wird eine Nutzungsdauer von 25 Jahren simuliert. Für DN 300 Rohre ergab sich ein Abrieb von 0,06 mm für PP, 0,07 mm für PE und 0,2 mm für PVC.  Dies entspricht 0,0024 mm/a für PP, 0,0028 mm/a für PE und 0,008 mm/a für PVC. "</t>
        </r>
      </text>
    </comment>
    <comment ref="H131" authorId="0" shapeId="0">
      <text>
        <r>
          <rPr>
            <b/>
            <sz val="9"/>
            <color indexed="81"/>
            <rFont val="Segoe UI"/>
            <family val="2"/>
          </rPr>
          <t>Galafton, Christina:</t>
        </r>
        <r>
          <rPr>
            <sz val="9"/>
            <color indexed="81"/>
            <rFont val="Segoe UI"/>
            <family val="2"/>
          </rPr>
          <t xml:space="preserve">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
bzgl. </t>
        </r>
        <r>
          <rPr>
            <u/>
            <sz val="9"/>
            <color indexed="81"/>
            <rFont val="Segoe UI"/>
            <family val="2"/>
          </rPr>
          <t>Straßenmarkierungen:</t>
        </r>
        <r>
          <rPr>
            <sz val="9"/>
            <color indexed="81"/>
            <rFont val="Segoe UI"/>
            <family val="2"/>
          </rPr>
          <t xml:space="preserve"> 
"Die Schichtdicke der Straßenmarkierungen beträgt zwischen 600 µm und fünf Millime-ter, meist jedoch zwischen 0,5 und 1,5 mm. … Die Lebensdauer von Straßenmarkierungen beträgt, je nach Schichtdicke, zwei bis sechs Jahre.  " (Quellenbericht)</t>
        </r>
      </text>
    </comment>
    <comment ref="H134" authorId="0" shapeId="0">
      <text>
        <r>
          <rPr>
            <b/>
            <sz val="9"/>
            <color indexed="81"/>
            <rFont val="Segoe UI"/>
            <family val="2"/>
          </rPr>
          <t>Galafton, Christina:</t>
        </r>
        <r>
          <rPr>
            <sz val="9"/>
            <color indexed="81"/>
            <rFont val="Segoe UI"/>
            <family val="2"/>
          </rPr>
          <t xml:space="preserve">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
bzgl. </t>
        </r>
        <r>
          <rPr>
            <u/>
            <sz val="9"/>
            <color indexed="81"/>
            <rFont val="Segoe UI"/>
            <family val="2"/>
          </rPr>
          <t>Straßenmarkierungen:</t>
        </r>
        <r>
          <rPr>
            <sz val="9"/>
            <color indexed="81"/>
            <rFont val="Segoe UI"/>
            <family val="2"/>
          </rPr>
          <t xml:space="preserve"> 
"Die Schichtdicke der Straßenmarkierungen beträgt zwischen 600 µm und fünf Millime-ter, meist jedoch zwischen 0,5 und 1,5 mm. … Die Lebensdauer von Straßenmarkierungen beträgt, je nach Schichtdicke, zwei bis sechs Jahre.  " (Quellenbericht)</t>
        </r>
      </text>
    </comment>
    <comment ref="H138" authorId="0" shapeId="0">
      <text>
        <r>
          <rPr>
            <b/>
            <sz val="9"/>
            <color indexed="81"/>
            <rFont val="Segoe UI"/>
            <family val="2"/>
          </rPr>
          <t>Galafton, Christina:</t>
        </r>
        <r>
          <rPr>
            <sz val="9"/>
            <color indexed="81"/>
            <rFont val="Segoe UI"/>
            <family val="2"/>
          </rPr>
          <t xml:space="preserve">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
bzgl. </t>
        </r>
        <r>
          <rPr>
            <u/>
            <sz val="9"/>
            <color indexed="81"/>
            <rFont val="Segoe UI"/>
            <family val="2"/>
          </rPr>
          <t>Straßenmarkierungen:</t>
        </r>
        <r>
          <rPr>
            <sz val="9"/>
            <color indexed="81"/>
            <rFont val="Segoe UI"/>
            <family val="2"/>
          </rPr>
          <t xml:space="preserve"> 
"Die Schichtdicke der Straßenmarkierungen beträgt zwischen 600 µm und fünf Millime-ter, meist jedoch zwischen 0,5 und 1,5 mm. … Die Lebensdauer von Straßenmarkierungen beträgt, je nach Schichtdicke, zwei bis sechs Jahre.  " (Quellenbericht)</t>
        </r>
      </text>
    </comment>
    <comment ref="H141"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Kompost / Gärreste: </t>
        </r>
        <r>
          <rPr>
            <sz val="9"/>
            <color indexed="81"/>
            <rFont val="Segoe UI"/>
            <family val="2"/>
          </rPr>
          <t xml:space="preserve">
"Im Jahr 2016 fielen in Deutschland 15,3 Mio. t Bioabfälle an. ... Zusätzlich fielen 3,57 Mio.  t Gärreste an. 
In 65% der Gärreste befinden sich in der Regel keine Fremdstoffe (z.B. Gülle (tierische Wirtschaftsdünger), Energiepflanzen, Schlempe aus der Herstellung von Alkoholen, etc.). Die anderen 35% stammen aus Abfällen, die Fremdstoffe enthalten können (Bio-abfällen sowie überlagerten Lebensmitteln).  
...
Die Bundesgütegemeinschaft Kompost e.V. hat in einer Untersuchung von 2.703 Kompost- und Gärrestproben mittlere Kunststoffanteile in Kompost und Gärresten ermittelt. Allerdings wurden nur Teilchen größer als zwei Millimeter in dieser Betrachtung erfasst.  ... Zur Bestimmung des Anteils der Teilchen kleiner als zwei Millimeter werden die Unter-suchungen zu Weithmann et al. 2018 zu Mikroplastikrückständen in Kompost und Gär-resten aus verschiedenen Behandlungsanlagen betrachtet. Demnach waren ca. 25% aller im Kompost gefundenen Mikroplastikteilchen ein bis zwei Millimeter groß. In Gär-resten waren es, je nach Anlage, 10 – 60%. Im Mittel werden 35% angenommen. Weiterhin wurde angenommen, dass die Teilchen der Größe ein bis zwei Millimeter 40% der Masse der Teilchen größer zwei Millimeter besitzen. Zum Anteil kleiner als ein Millimeter wurden bei Weithmann et al. keine quantitativen Aussagen gemacht, jedoch wurden auch Teilchen kleiner als ein Millimeter im Kompost nachgewiesen. 
Da für die Teilchen kleiner als einen Millimeter bisher keine wissenschaftlichen, experi-mentellen Daten vorliegen, werden die Anteile geschätzt. Es wird angenommen, dass die Anzahl der Teilchen kleiner als ein Millimeter der Anzahl der Teilchen ein bis zwei Millimeter entspricht. Weiterhin wird angenommen, dass die Teilchenmasse 50% der Teilchenmasse der Größe ein bis zwei Millimeter entspricht. 
Bezieht man die Teilchen kleiner als ein Millimeter mit in die Gesamtbetrachtung des Komposts ein, ergibt ... ein Gesamtanteil der Teilchen ein bis zwei Millimeter und der Teilchen kleiner als ein Millimeter von je 20% an der Anzahl im Kompost enthaltener Kunststoffteilchen.
Bezieht man die Teilchen kleiner als ein Millimeter mit in die Gesamtbetrachtung der Gärreste ein, ergibt sich ...  ein Gesamtanteil der Teil-chen ein bis zwei Millimeter und der Teilchen kleiner als ein Millimeter von je 26% an der Anzahl in Gärresten enthaltener Kunststoffteilchen."
(Quellenbericht)
</t>
        </r>
        <r>
          <rPr>
            <u/>
            <sz val="9"/>
            <color indexed="81"/>
            <rFont val="Segoe UI"/>
            <family val="2"/>
          </rPr>
          <t xml:space="preserve">
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144" authorId="0" shapeId="0">
      <text>
        <r>
          <rPr>
            <b/>
            <sz val="9"/>
            <color indexed="81"/>
            <rFont val="Segoe UI"/>
            <family val="2"/>
          </rPr>
          <t>Galafton, Christina:</t>
        </r>
        <r>
          <rPr>
            <sz val="9"/>
            <color indexed="81"/>
            <rFont val="Segoe UI"/>
            <family val="2"/>
          </rPr>
          <t xml:space="preserve">
Kompost / Gärreste sind hier irrelevant; kein direkter Eintrag ins Wasser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148"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Kompost / Gärreste: </t>
        </r>
        <r>
          <rPr>
            <sz val="9"/>
            <color indexed="81"/>
            <rFont val="Segoe UI"/>
            <family val="2"/>
          </rPr>
          <t xml:space="preserve">
"Im Jahr 2016 fielen in Deutschland 15,3 Mio. t Bioabfälle an. ... Zusätzlich fielen 3,57 Mio.  t Gärreste an. 
In 65% der Gärreste befinden sich in der Regel keine Fremdstoffe (z.B. Gülle (tierische Wirtschaftsdünger), Energiepflanzen, Schlempe aus der Herstellung von Alkoholen, etc.). Die anderen 35% stammen aus Abfällen, die Fremdstoffe enthalten können (Bio-abfällen sowie überlagerten Lebensmitteln).  
...
Die Bundesgütegemeinschaft Kompost e.V. hat in einer Untersuchung von 2.703 Kompost- und Gärrestproben mittlere Kunststoffanteile in Kompost und Gärresten ermittelt. Allerdings wurden nur Teilchen größer als zwei Millimeter in dieser Betrachtung erfasst.  ... Zur Bestimmung des Anteils der Teilchen kleiner als zwei Millimeter werden die Unter-suchungen zu Weithmann et al. 2018 zu Mikroplastikrückständen in Kompost und Gär-resten aus verschiedenen Behandlungsanlagen betrachtet. Demnach waren ca. 25% aller im Kompost gefundenen Mikroplastikteilchen ein bis zwei Millimeter groß. In Gär-resten waren es, je nach Anlage, 10 – 60%. Im Mittel werden 35% angenommen. Weiterhin wurde angenommen, dass die Teilchen der Größe ein bis zwei Millimeter 40% der Masse der Teilchen größer zwei Millimeter besitzen. Zum Anteil kleiner als ein Millimeter wurden bei Weithmann et al. keine quantitativen Aussagen gemacht, jedoch wurden auch Teilchen kleiner als ein Millimeter im Kompost nachgewiesen. 
Da für die Teilchen kleiner als einen Millimeter bisher keine wissenschaftlichen, experi-mentellen Daten vorliegen, werden die Anteile geschätzt. Es wird angenommen, dass die Anzahl der Teilchen kleiner als ein Millimeter der Anzahl der Teilchen ein bis zwei Millimeter entspricht. Weiterhin wird angenommen, dass die Teilchenmasse 50% der Teilchenmasse der Größe ein bis zwei Millimeter entspricht. 
Bezieht man die Teilchen kleiner als ein Millimeter mit in die Gesamtbetrachtung des Komposts ein, ergibt ... ein Gesamtanteil der Teilchen ein bis zwei Millimeter und der Teilchen kleiner als ein Millimeter von je 20% an der Anzahl im Kompost enthaltener Kunststoffteilchen.
Bezieht man die Teilchen kleiner als ein Millimeter mit in die Gesamtbetrachtung der Gärreste ein, ergibt sich ...  ein Gesamtanteil der Teil-chen ein bis zwei Millimeter und der Teilchen kleiner als ein Millimeter von je 26% an der Anzahl in Gärresten enthaltener Kunststoffteilchen."
(Quellenbericht)
</t>
        </r>
        <r>
          <rPr>
            <u/>
            <sz val="9"/>
            <color indexed="81"/>
            <rFont val="Segoe UI"/>
            <family val="2"/>
          </rPr>
          <t xml:space="preserve">
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151"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154"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158"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161"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Kunststoffverpackungen</t>
        </r>
        <r>
          <rPr>
            <sz val="9"/>
            <color indexed="81"/>
            <rFont val="Segoe UI"/>
            <family val="2"/>
          </rPr>
          <t xml:space="preserve"> sind im Quellenbericht keine Größenangaben zu den Emissionen vorhanden</t>
        </r>
      </text>
    </comment>
    <comment ref="H164"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Kunststoffverpackungen</t>
        </r>
        <r>
          <rPr>
            <sz val="9"/>
            <color indexed="81"/>
            <rFont val="Segoe UI"/>
            <family val="2"/>
          </rPr>
          <t xml:space="preserve"> sind im Quellenbericht keine Größenangaben zu den Emissionen vorhanden</t>
        </r>
      </text>
    </comment>
    <comment ref="H168"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Kunststoffverpackungen</t>
        </r>
        <r>
          <rPr>
            <sz val="9"/>
            <color indexed="81"/>
            <rFont val="Segoe UI"/>
            <family val="2"/>
          </rPr>
          <t xml:space="preserve"> sind im Quellenbericht keine Größenangaben zu den Emissionen vorhanden</t>
        </r>
      </text>
    </comment>
    <comment ref="B18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8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I184" authorId="0" shapeId="0">
      <text>
        <r>
          <rPr>
            <b/>
            <sz val="9"/>
            <color indexed="81"/>
            <rFont val="Segoe UI"/>
            <family val="2"/>
          </rPr>
          <t>Galafton, Christina:</t>
        </r>
        <r>
          <rPr>
            <sz val="9"/>
            <color indexed="81"/>
            <rFont val="Segoe UI"/>
            <family val="2"/>
          </rPr>
          <t xml:space="preserve">
10% soil und 80% water ergibt keine 100%</t>
        </r>
      </text>
    </comment>
    <comment ref="B18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H191" authorId="0" shapeId="0">
      <text>
        <r>
          <rPr>
            <b/>
            <sz val="9"/>
            <color indexed="81"/>
            <rFont val="Segoe UI"/>
            <family val="2"/>
          </rPr>
          <t>Galafton, Christina:</t>
        </r>
        <r>
          <rPr>
            <sz val="9"/>
            <color indexed="81"/>
            <rFont val="Segoe UI"/>
            <family val="2"/>
          </rPr>
          <t xml:space="preserve">
</t>
        </r>
        <r>
          <rPr>
            <sz val="9"/>
            <color indexed="81"/>
            <rFont val="Segoe UI"/>
            <family val="2"/>
          </rPr>
          <t xml:space="preserve">bzgl. </t>
        </r>
        <r>
          <rPr>
            <u/>
            <sz val="9"/>
            <color indexed="81"/>
            <rFont val="Segoe UI"/>
            <family val="2"/>
          </rPr>
          <t>Abrieb von Trink- und Abwasserrohren</t>
        </r>
        <r>
          <rPr>
            <sz val="9"/>
            <color indexed="81"/>
            <rFont val="Segoe UI"/>
            <family val="2"/>
          </rPr>
          <t xml:space="preserve"> steht im Quellenbericht: 
</t>
        </r>
        <r>
          <rPr>
            <i/>
            <sz val="9"/>
            <color indexed="81"/>
            <rFont val="Segoe UI"/>
            <family val="2"/>
          </rPr>
          <t>"Die Anforderungen hinsichtlich der Abriebsbeständigkeit von Rohren werden in der DIN EN 476 und der DIN EN 14457 vorgeschrieben. Die DIN EN 295-3 beschreibt mit dem Darmstädter Kipprinnenversuch ein Prüfverfahren zur Überprüfung der Abriebbeständig-keit von Rohren. Mit dem Versuch wird eine Nutzungsdauer von 25 Jahren simuliert. Für DN 300 Rohre ergab sich ein Abrieb von 0,06 mm für PP, 0,07 mm für PE und 0,2 mm für PVC.  Dies entspricht 0,0024 mm/a für PP, 0,0028 mm/a für PE und 0,008 mm/a für PVC. "</t>
        </r>
      </text>
    </comment>
    <comment ref="H194" authorId="0" shapeId="0">
      <text>
        <r>
          <rPr>
            <b/>
            <sz val="9"/>
            <color indexed="81"/>
            <rFont val="Segoe UI"/>
            <family val="2"/>
          </rPr>
          <t>Galafton, Christina:</t>
        </r>
        <r>
          <rPr>
            <sz val="9"/>
            <color indexed="81"/>
            <rFont val="Segoe UI"/>
            <family val="2"/>
          </rPr>
          <t xml:space="preserve">
</t>
        </r>
        <r>
          <rPr>
            <sz val="9"/>
            <color indexed="81"/>
            <rFont val="Segoe UI"/>
            <family val="2"/>
          </rPr>
          <t xml:space="preserve">bzgl. </t>
        </r>
        <r>
          <rPr>
            <u/>
            <sz val="9"/>
            <color indexed="81"/>
            <rFont val="Segoe UI"/>
            <family val="2"/>
          </rPr>
          <t>Abrieb von Trink- und Abwasserrohren</t>
        </r>
        <r>
          <rPr>
            <sz val="9"/>
            <color indexed="81"/>
            <rFont val="Segoe UI"/>
            <family val="2"/>
          </rPr>
          <t xml:space="preserve"> steht im Quellenbericht: 
</t>
        </r>
        <r>
          <rPr>
            <i/>
            <sz val="9"/>
            <color indexed="81"/>
            <rFont val="Segoe UI"/>
            <family val="2"/>
          </rPr>
          <t>"Die Anforderungen hinsichtlich der Abriebsbeständigkeit von Rohren werden in der DIN EN 476 und der DIN EN 14457 vorgeschrieben. Die DIN EN 295-3 beschreibt mit dem Darmstädter Kipprinnenversuch ein Prüfverfahren zur Überprüfung der Abriebbeständig-keit von Rohren. Mit dem Versuch wird eine Nutzungsdauer von 25 Jahren simuliert. Für DN 300 Rohre ergab sich ein Abrieb von 0,06 mm für PP, 0,07 mm für PE und 0,2 mm für PVC.  Dies entspricht 0,0024 mm/a für PP, 0,0028 mm/a für PE und 0,008 mm/a für PVC. "</t>
        </r>
      </text>
    </comment>
    <comment ref="H198" authorId="0" shapeId="0">
      <text>
        <r>
          <rPr>
            <b/>
            <sz val="9"/>
            <color indexed="81"/>
            <rFont val="Segoe UI"/>
            <family val="2"/>
          </rPr>
          <t>Galafton, Christina:</t>
        </r>
        <r>
          <rPr>
            <sz val="9"/>
            <color indexed="81"/>
            <rFont val="Segoe UI"/>
            <family val="2"/>
          </rPr>
          <t xml:space="preserve">
</t>
        </r>
        <r>
          <rPr>
            <sz val="9"/>
            <color indexed="81"/>
            <rFont val="Segoe UI"/>
            <family val="2"/>
          </rPr>
          <t xml:space="preserve">bzgl. </t>
        </r>
        <r>
          <rPr>
            <u/>
            <sz val="9"/>
            <color indexed="81"/>
            <rFont val="Segoe UI"/>
            <family val="2"/>
          </rPr>
          <t>Abrieb von Trink- und Abwasserrohren</t>
        </r>
        <r>
          <rPr>
            <sz val="9"/>
            <color indexed="81"/>
            <rFont val="Segoe UI"/>
            <family val="2"/>
          </rPr>
          <t xml:space="preserve"> steht im Quellenbericht: 
</t>
        </r>
        <r>
          <rPr>
            <i/>
            <sz val="9"/>
            <color indexed="81"/>
            <rFont val="Segoe UI"/>
            <family val="2"/>
          </rPr>
          <t>"Die Anforderungen hinsichtlich der Abriebsbeständigkeit von Rohren werden in der DIN EN 476 und der DIN EN 14457 vorgeschrieben. Die DIN EN 295-3 beschreibt mit dem Darmstädter Kipprinnenversuch ein Prüfverfahren zur Überprüfung der Abriebbeständig-keit von Rohren. Mit dem Versuch wird eine Nutzungsdauer von 25 Jahren simuliert. Für DN 300 Rohre ergab sich ein Abrieb von 0,06 mm für PP, 0,07 mm für PE und 0,2 mm für PVC.  Dies entspricht 0,0024 mm/a für PP, 0,0028 mm/a für PE und 0,008 mm/a für PVC. "</t>
        </r>
      </text>
    </comment>
    <comment ref="H201"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
bzgl. </t>
        </r>
        <r>
          <rPr>
            <u/>
            <sz val="9"/>
            <color indexed="81"/>
            <rFont val="Segoe UI"/>
            <family val="2"/>
          </rPr>
          <t>Straßenmarkierungen:</t>
        </r>
        <r>
          <rPr>
            <sz val="9"/>
            <color indexed="81"/>
            <rFont val="Segoe UI"/>
            <family val="2"/>
          </rPr>
          <t xml:space="preserve"> 
"Die Schichtdicke der Straßenmarkierungen beträgt zwischen 600 µm und fünf Millime-ter, meist jedoch zwischen 0,5 und 1,5 mm. … Die Lebensdauer von Straßenmarkierungen beträgt, je nach Schichtdicke, zwei bis sechs Jahre.  " (Quellenbericht)</t>
        </r>
      </text>
    </comment>
    <comment ref="H204"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
bzgl. </t>
        </r>
        <r>
          <rPr>
            <u/>
            <sz val="9"/>
            <color indexed="81"/>
            <rFont val="Segoe UI"/>
            <family val="2"/>
          </rPr>
          <t>Straßenmarkierungen:</t>
        </r>
        <r>
          <rPr>
            <sz val="9"/>
            <color indexed="81"/>
            <rFont val="Segoe UI"/>
            <family val="2"/>
          </rPr>
          <t xml:space="preserve"> 
"Die Schichtdicke der Straßenmarkierungen beträgt zwischen 600 µm und fünf Millime-ter, meist jedoch zwischen 0,5 und 1,5 mm. … Die Lebensdauer von Straßenmarkierungen beträgt, je nach Schichtdicke, zwei bis sechs Jahre.  " (Quellenbericht)</t>
        </r>
      </text>
    </comment>
    <comment ref="H208"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
bzgl. </t>
        </r>
        <r>
          <rPr>
            <u/>
            <sz val="9"/>
            <color indexed="81"/>
            <rFont val="Segoe UI"/>
            <family val="2"/>
          </rPr>
          <t>Straßenmarkierungen:</t>
        </r>
        <r>
          <rPr>
            <sz val="9"/>
            <color indexed="81"/>
            <rFont val="Segoe UI"/>
            <family val="2"/>
          </rPr>
          <t xml:space="preserve"> 
"Die Schichtdicke der Straßenmarkierungen beträgt zwischen 600 µm und fünf Millime-ter, meist jedoch zwischen 0,5 und 1,5 mm. … Die Lebensdauer von Straßenmarkierungen beträgt, je nach Schichtdicke, zwei bis sechs Jahre.  " (Quellenbericht)</t>
        </r>
      </text>
    </comment>
    <comment ref="H211"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214"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218"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221"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t>
        </r>
      </text>
    </comment>
    <comment ref="H224"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t>
        </r>
      </text>
    </comment>
    <comment ref="H228"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t>
        </r>
      </text>
    </comment>
    <comment ref="H231" authorId="0" shapeId="0">
      <text>
        <r>
          <rPr>
            <b/>
            <sz val="9"/>
            <color indexed="81"/>
            <rFont val="Segoe UI"/>
            <family val="2"/>
          </rPr>
          <t>Galafton, Christina:</t>
        </r>
        <r>
          <rPr>
            <sz val="9"/>
            <color indexed="81"/>
            <rFont val="Segoe UI"/>
            <family val="2"/>
          </rPr>
          <t xml:space="preserve">
bzgl. Kunststoffverpackungen sind im Quellenbericht keine Größenangaben zu den Emissionen vorhanden</t>
        </r>
      </text>
    </comment>
    <comment ref="H234" authorId="0" shapeId="0">
      <text>
        <r>
          <rPr>
            <b/>
            <sz val="9"/>
            <color indexed="81"/>
            <rFont val="Segoe UI"/>
            <family val="2"/>
          </rPr>
          <t>Galafton, Christina:</t>
        </r>
        <r>
          <rPr>
            <sz val="9"/>
            <color indexed="81"/>
            <rFont val="Segoe UI"/>
            <family val="2"/>
          </rPr>
          <t xml:space="preserve">
bzgl. Kunststoffverpackungen sind im Quellenbericht keine Größenangaben zu den Emissionen vorhanden</t>
        </r>
      </text>
    </comment>
    <comment ref="H238" authorId="0" shapeId="0">
      <text>
        <r>
          <rPr>
            <b/>
            <sz val="9"/>
            <color indexed="81"/>
            <rFont val="Segoe UI"/>
            <family val="2"/>
          </rPr>
          <t>Galafton, Christina:</t>
        </r>
        <r>
          <rPr>
            <sz val="9"/>
            <color indexed="81"/>
            <rFont val="Segoe UI"/>
            <family val="2"/>
          </rPr>
          <t xml:space="preserve">
bzgl. Kunststoffverpackungen sind im Quellenbericht keine Größenangaben zu den Emissionen vorhanden</t>
        </r>
      </text>
    </comment>
    <comment ref="H244" authorId="0" shapeId="0">
      <text>
        <r>
          <rPr>
            <b/>
            <sz val="9"/>
            <color indexed="81"/>
            <rFont val="Segoe UI"/>
            <family val="2"/>
          </rPr>
          <t>Galafton, Christina:</t>
        </r>
        <r>
          <rPr>
            <sz val="9"/>
            <color indexed="81"/>
            <rFont val="Segoe UI"/>
            <family val="2"/>
          </rPr>
          <t xml:space="preserve">
bzgl. </t>
        </r>
        <r>
          <rPr>
            <u/>
            <sz val="9"/>
            <color indexed="81"/>
            <rFont val="Segoe UI"/>
            <family val="2"/>
          </rPr>
          <t>Textilwäsche</t>
        </r>
        <r>
          <rPr>
            <sz val="9"/>
            <color indexed="81"/>
            <rFont val="Segoe UI"/>
            <family val="2"/>
          </rPr>
          <t xml:space="preserve"> werden im Quellenbericht keine Angaben zur Größe der Emissionen gemacht</t>
        </r>
      </text>
    </comment>
    <comment ref="B25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25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25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H281"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284"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288"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291"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294"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298"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B32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32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32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H341"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t>
        </r>
      </text>
    </comment>
    <comment ref="H344"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t>
        </r>
      </text>
    </comment>
    <comment ref="H348"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t>
        </r>
      </text>
    </comment>
    <comment ref="H351"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354"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358"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361"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364"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368" authorId="0" shapeId="0">
      <text>
        <r>
          <rPr>
            <b/>
            <sz val="9"/>
            <color indexed="81"/>
            <rFont val="Segoe UI"/>
            <family val="2"/>
          </rPr>
          <t>Galafton, Christina:</t>
        </r>
        <r>
          <rPr>
            <sz val="9"/>
            <color indexed="81"/>
            <rFont val="Segoe UI"/>
            <family val="2"/>
          </rPr>
          <t xml:space="preserve">
bzgl. Kunststoffverpackungen sind im Quellenbericht keine Größenangaben zu den Emissionen vorhanden</t>
        </r>
      </text>
    </comment>
    <comment ref="H371" authorId="0" shapeId="0">
      <text>
        <r>
          <rPr>
            <b/>
            <sz val="9"/>
            <color indexed="81"/>
            <rFont val="Segoe UI"/>
            <family val="2"/>
          </rPr>
          <t>Galafton, Christina:</t>
        </r>
        <r>
          <rPr>
            <sz val="9"/>
            <color indexed="81"/>
            <rFont val="Segoe UI"/>
            <family val="2"/>
          </rPr>
          <t xml:space="preserve">
bzgl. Kunststoffverpackungen sind im Quellenbericht keine Größenangaben zu den Emissionen vorhanden</t>
        </r>
      </text>
    </comment>
    <comment ref="H374" authorId="0" shapeId="0">
      <text>
        <r>
          <rPr>
            <b/>
            <sz val="9"/>
            <color indexed="81"/>
            <rFont val="Segoe UI"/>
            <family val="2"/>
          </rPr>
          <t>Galafton, Christina:</t>
        </r>
        <r>
          <rPr>
            <sz val="9"/>
            <color indexed="81"/>
            <rFont val="Segoe UI"/>
            <family val="2"/>
          </rPr>
          <t xml:space="preserve">
bzgl. Kunststoffverpackungen sind im Quellenbericht keine Größenangaben zu den Emissionen vorhanden</t>
        </r>
      </text>
    </comment>
    <comment ref="H378" authorId="0" shapeId="0">
      <text>
        <r>
          <rPr>
            <b/>
            <sz val="9"/>
            <color indexed="81"/>
            <rFont val="Segoe UI"/>
            <family val="2"/>
          </rPr>
          <t>Galafton, Christina:</t>
        </r>
        <r>
          <rPr>
            <sz val="9"/>
            <color indexed="81"/>
            <rFont val="Segoe UI"/>
            <family val="2"/>
          </rPr>
          <t xml:space="preserve">
bzgl. Kunststoffverpackungen sind im Quellenbericht keine Größenangaben zu den Emissionen vorhanden</t>
        </r>
      </text>
    </comment>
    <comment ref="B39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39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39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H401" authorId="0" shapeId="0">
      <text>
        <r>
          <rPr>
            <b/>
            <sz val="9"/>
            <color indexed="81"/>
            <rFont val="Segoe UI"/>
            <family val="2"/>
          </rPr>
          <t>Galafton, Christina:</t>
        </r>
        <r>
          <rPr>
            <sz val="9"/>
            <color indexed="81"/>
            <rFont val="Segoe UI"/>
            <family val="2"/>
          </rPr>
          <t xml:space="preserve">
</t>
        </r>
        <r>
          <rPr>
            <sz val="9"/>
            <color indexed="81"/>
            <rFont val="Segoe UI"/>
            <family val="2"/>
          </rPr>
          <t xml:space="preserve">bzgl. </t>
        </r>
        <r>
          <rPr>
            <u/>
            <sz val="9"/>
            <color indexed="81"/>
            <rFont val="Segoe UI"/>
            <family val="2"/>
          </rPr>
          <t>Abrieb von Trink- und Abwasserrohren</t>
        </r>
        <r>
          <rPr>
            <sz val="9"/>
            <color indexed="81"/>
            <rFont val="Segoe UI"/>
            <family val="2"/>
          </rPr>
          <t xml:space="preserve"> steht im Quellenbericht: 
</t>
        </r>
        <r>
          <rPr>
            <i/>
            <sz val="9"/>
            <color indexed="81"/>
            <rFont val="Segoe UI"/>
            <family val="2"/>
          </rPr>
          <t>"Die Anforderungen hinsichtlich der Abriebsbeständigkeit von Rohren werden in der DIN EN 476 und der DIN EN 14457 vorgeschrieben. Die DIN EN 295-3 beschreibt mit dem Darmstädter Kipprinnenversuch ein Prüfverfahren zur Überprüfung der Abriebbeständig-keit von Rohren. Mit dem Versuch wird eine Nutzungsdauer von 25 Jahren simuliert. Für DN 300 Rohre ergab sich ein Abrieb von 0,06 mm für PP, 0,07 mm für PE und 0,2 mm für PVC.  Dies entspricht 0,0024 mm/a für PP, 0,0028 mm/a für PE und 0,008 mm/a für PVC. "</t>
        </r>
      </text>
    </comment>
    <comment ref="H404" authorId="0" shapeId="0">
      <text>
        <r>
          <rPr>
            <b/>
            <sz val="9"/>
            <color indexed="81"/>
            <rFont val="Segoe UI"/>
            <family val="2"/>
          </rPr>
          <t>Galafton, Christina:</t>
        </r>
        <r>
          <rPr>
            <sz val="9"/>
            <color indexed="81"/>
            <rFont val="Segoe UI"/>
            <family val="2"/>
          </rPr>
          <t xml:space="preserve">
</t>
        </r>
        <r>
          <rPr>
            <sz val="9"/>
            <color indexed="81"/>
            <rFont val="Segoe UI"/>
            <family val="2"/>
          </rPr>
          <t xml:space="preserve">bzgl. </t>
        </r>
        <r>
          <rPr>
            <u/>
            <sz val="9"/>
            <color indexed="81"/>
            <rFont val="Segoe UI"/>
            <family val="2"/>
          </rPr>
          <t>Abrieb von Trink- und Abwasserrohren</t>
        </r>
        <r>
          <rPr>
            <sz val="9"/>
            <color indexed="81"/>
            <rFont val="Segoe UI"/>
            <family val="2"/>
          </rPr>
          <t xml:space="preserve"> steht im Quellenbericht: 
</t>
        </r>
        <r>
          <rPr>
            <i/>
            <sz val="9"/>
            <color indexed="81"/>
            <rFont val="Segoe UI"/>
            <family val="2"/>
          </rPr>
          <t>"Die Anforderungen hinsichtlich der Abriebsbeständigkeit von Rohren werden in der DIN EN 476 und der DIN EN 14457 vorgeschrieben. Die DIN EN 295-3 beschreibt mit dem Darmstädter Kipprinnenversuch ein Prüfverfahren zur Überprüfung der Abriebbeständig-keit von Rohren. Mit dem Versuch wird eine Nutzungsdauer von 25 Jahren simuliert. Für DN 300 Rohre ergab sich ein Abrieb von 0,06 mm für PP, 0,07 mm für PE und 0,2 mm für PVC.  Dies entspricht 0,0024 mm/a für PP, 0,0028 mm/a für PE und 0,008 mm/a für PVC. "</t>
        </r>
      </text>
    </comment>
    <comment ref="H408" authorId="0" shapeId="0">
      <text>
        <r>
          <rPr>
            <b/>
            <sz val="9"/>
            <color indexed="81"/>
            <rFont val="Segoe UI"/>
            <family val="2"/>
          </rPr>
          <t>Galafton, Christina:</t>
        </r>
        <r>
          <rPr>
            <sz val="9"/>
            <color indexed="81"/>
            <rFont val="Segoe UI"/>
            <family val="2"/>
          </rPr>
          <t xml:space="preserve">
</t>
        </r>
        <r>
          <rPr>
            <sz val="9"/>
            <color indexed="81"/>
            <rFont val="Segoe UI"/>
            <family val="2"/>
          </rPr>
          <t xml:space="preserve">bzgl. </t>
        </r>
        <r>
          <rPr>
            <u/>
            <sz val="9"/>
            <color indexed="81"/>
            <rFont val="Segoe UI"/>
            <family val="2"/>
          </rPr>
          <t>Abrieb von Trink- und Abwasserrohren</t>
        </r>
        <r>
          <rPr>
            <sz val="9"/>
            <color indexed="81"/>
            <rFont val="Segoe UI"/>
            <family val="2"/>
          </rPr>
          <t xml:space="preserve"> steht im Quellenbericht: 
</t>
        </r>
        <r>
          <rPr>
            <i/>
            <sz val="9"/>
            <color indexed="81"/>
            <rFont val="Segoe UI"/>
            <family val="2"/>
          </rPr>
          <t>"Die Anforderungen hinsichtlich der Abriebsbeständigkeit von Rohren werden in der DIN EN 476 und der DIN EN 14457 vorgeschrieben. Die DIN EN 295-3 beschreibt mit dem Darmstädter Kipprinnenversuch ein Prüfverfahren zur Überprüfung der Abriebbeständig-keit von Rohren. Mit dem Versuch wird eine Nutzungsdauer von 25 Jahren simuliert. Für DN 300 Rohre ergab sich ein Abrieb von 0,06 mm für PP, 0,07 mm für PE und 0,2 mm für PVC.  Dies entspricht 0,0024 mm/a für PP, 0,0028 mm/a für PE und 0,008 mm/a für PVC. "</t>
        </r>
      </text>
    </comment>
    <comment ref="H411"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t>
        </r>
      </text>
    </comment>
    <comment ref="H414"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t>
        </r>
      </text>
    </comment>
    <comment ref="H418"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t>
        </r>
      </text>
    </comment>
    <comment ref="H421"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424"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428"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431"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434"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438" authorId="0" shapeId="0">
      <text>
        <r>
          <rPr>
            <b/>
            <sz val="9"/>
            <color indexed="81"/>
            <rFont val="Segoe UI"/>
            <family val="2"/>
          </rPr>
          <t>Galafton, Christina:</t>
        </r>
        <r>
          <rPr>
            <sz val="9"/>
            <color indexed="81"/>
            <rFont val="Segoe UI"/>
            <family val="2"/>
          </rPr>
          <t xml:space="preserve">
bzgl. </t>
        </r>
        <r>
          <rPr>
            <u/>
            <sz val="9"/>
            <color indexed="81"/>
            <rFont val="Segoe UI"/>
            <family val="2"/>
          </rPr>
          <t>Kunststoffrecycling</t>
        </r>
        <r>
          <rPr>
            <sz val="9"/>
            <color indexed="81"/>
            <rFont val="Segoe UI"/>
            <family val="2"/>
          </rPr>
          <t xml:space="preserve"> sind im Quellenbericht keine Größenangaben vorhanden
bzgl. A</t>
        </r>
        <r>
          <rPr>
            <u/>
            <sz val="9"/>
            <color indexed="81"/>
            <rFont val="Segoe UI"/>
            <family val="2"/>
          </rPr>
          <t>uswachung aus Deponien s</t>
        </r>
        <r>
          <rPr>
            <sz val="9"/>
            <color indexed="81"/>
            <rFont val="Segoe UI"/>
            <family val="2"/>
          </rPr>
          <t>ind im Quellenbericht keine Größenangaben vorhanden</t>
        </r>
      </text>
    </comment>
    <comment ref="H441"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Kunststoffverpackungen</t>
        </r>
        <r>
          <rPr>
            <sz val="9"/>
            <color indexed="81"/>
            <rFont val="Segoe UI"/>
            <family val="2"/>
          </rPr>
          <t xml:space="preserve"> sind im Quellenbericht keine Größenangaben zu den Emissionen vorhanden</t>
        </r>
      </text>
    </comment>
    <comment ref="H444"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Kunststoffverpackungen</t>
        </r>
        <r>
          <rPr>
            <sz val="9"/>
            <color indexed="81"/>
            <rFont val="Segoe UI"/>
            <family val="2"/>
          </rPr>
          <t xml:space="preserve"> sind im Quellenbericht keine Größenangaben zu den Emissionen vorhanden</t>
        </r>
      </text>
    </comment>
    <comment ref="H448"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bzgl. </t>
        </r>
        <r>
          <rPr>
            <u/>
            <sz val="9"/>
            <color indexed="81"/>
            <rFont val="Segoe UI"/>
            <family val="2"/>
          </rPr>
          <t>Kunststoffverpackungen</t>
        </r>
        <r>
          <rPr>
            <sz val="9"/>
            <color indexed="81"/>
            <rFont val="Segoe UI"/>
            <family val="2"/>
          </rPr>
          <t xml:space="preserve"> sind im Quellenbericht keine Größenangaben zu den Emissionen vorhanden</t>
        </r>
      </text>
    </comment>
    <comment ref="B46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46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46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H481" authorId="0" shapeId="0">
      <text>
        <r>
          <rPr>
            <b/>
            <sz val="9"/>
            <color indexed="81"/>
            <rFont val="Segoe UI"/>
            <family val="2"/>
          </rPr>
          <t>Galafton, Christina:</t>
        </r>
        <r>
          <rPr>
            <sz val="9"/>
            <color indexed="81"/>
            <rFont val="Segoe UI"/>
            <family val="2"/>
          </rPr>
          <t xml:space="preserve">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t>
        </r>
      </text>
    </comment>
    <comment ref="H484" authorId="0" shapeId="0">
      <text>
        <r>
          <rPr>
            <b/>
            <sz val="9"/>
            <color indexed="81"/>
            <rFont val="Segoe UI"/>
            <family val="2"/>
          </rPr>
          <t>Galafton, Christina:</t>
        </r>
        <r>
          <rPr>
            <sz val="9"/>
            <color indexed="81"/>
            <rFont val="Segoe UI"/>
            <family val="2"/>
          </rPr>
          <t xml:space="preserve">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t>
        </r>
      </text>
    </comment>
    <comment ref="H488" authorId="0" shapeId="0">
      <text>
        <r>
          <rPr>
            <b/>
            <sz val="9"/>
            <color indexed="81"/>
            <rFont val="Segoe UI"/>
            <family val="2"/>
          </rPr>
          <t>Galafton, Christina:</t>
        </r>
        <r>
          <rPr>
            <sz val="9"/>
            <color indexed="81"/>
            <rFont val="Segoe UI"/>
            <family val="2"/>
          </rPr>
          <t xml:space="preserve">
bzgl. </t>
        </r>
        <r>
          <rPr>
            <u/>
            <sz val="9"/>
            <color indexed="81"/>
            <rFont val="Segoe UI"/>
            <family val="2"/>
          </rPr>
          <t>Bauschutt</t>
        </r>
        <r>
          <rPr>
            <sz val="9"/>
            <color indexed="81"/>
            <rFont val="Segoe UI"/>
            <family val="2"/>
          </rPr>
          <t xml:space="preserve"> steht im Quellenbericht nur: 
"Zu den (stark) staubenden Gütern zählen vor allem mineralische Stoffe , daher wird ein leicht höherer Massenverlust als beim Kunststoffrecycling von 0,5% angenommen." Daher die Annahme, dass es sich um Partikel der Fraktion 0,1-1mm handelt</t>
        </r>
      </text>
    </comment>
    <comment ref="H491"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Kompost / Gärreste: </t>
        </r>
        <r>
          <rPr>
            <sz val="9"/>
            <color indexed="81"/>
            <rFont val="Segoe UI"/>
            <family val="2"/>
          </rPr>
          <t xml:space="preserve">
"Im Jahr 2016 fielen in Deutschland 15,3 Mio. t Bioabfälle an. ... Zusätzlich fielen 3,57 Mio.  t Gärreste an. 
In 65% der Gärreste befinden sich in der Regel keine Fremdstoffe (z.B. Gülle (tierische Wirtschaftsdünger), Energiepflanzen, Schlempe aus der Herstellung von Alkoholen, etc.). Die anderen 35% stammen aus Abfällen, die Fremdstoffe enthalten können (Bio-abfällen sowie überlagerten Lebensmitteln).  
...
Die Bundesgütegemeinschaft Kompost e.V. hat in einer Untersuchung von 2.703 Kompost- und Gärrestproben mittlere Kunststoffanteile in Kompost und Gärresten ermittelt. Allerdings wurden nur Teilchen größer als zwei Millimeter in dieser Betrachtung erfasst.  ... Zur Bestimmung des Anteils der Teilchen kleiner als zwei Millimeter werden die Unter-suchungen zu Weithmann et al. 2018 zu Mikroplastikrückständen in Kompost und Gär-resten aus verschiedenen Behandlungsanlagen betrachtet. Demnach waren ca. 25% aller im Kompost gefundenen Mikroplastikteilchen ein bis zwei Millimeter groß. In Gär-resten waren es, je nach Anlage, 10 – 60%. Im Mittel werden 35% angenommen. Weiterhin wurde angenommen, dass die Teilchen der Größe ein bis zwei Millimeter 40% der Masse der Teilchen größer zwei Millimeter besitzen. Zum Anteil kleiner als ein Millimeter wurden bei Weithmann et al. keine quantitativen Aussagen gemacht, jedoch wurden auch Teilchen kleiner als ein Millimeter im Kompost nachgewiesen. 
Da für die Teilchen kleiner als einen Millimeter bisher keine wissenschaftlichen, experi-mentellen Daten vorliegen, werden die Anteile geschätzt. Es wird angenommen, dass die Anzahl der Teilchen kleiner als ein Millimeter der Anzahl der Teilchen ein bis zwei Millimeter entspricht. Weiterhin wird angenommen, dass die Teilchenmasse 50% der Teilchenmasse der Größe ein bis zwei Millimeter entspricht. 
Bezieht man die Teilchen kleiner als ein Millimeter mit in die Gesamtbetrachtung des Komposts ein, ergibt ... ein Gesamtanteil der Teilchen ein bis zwei Millimeter und der Teilchen kleiner als ein Millimeter von je 20% an der Anzahl im Kompost enthaltener Kunststoffteilchen.
Bezieht man die Teilchen kleiner als ein Millimeter mit in die Gesamtbetrachtung der Gärreste ein, ergibt sich ...  ein Gesamtanteil der Teil-chen ein bis zwei Millimeter und der Teilchen kleiner als ein Millimeter von je 26% an der Anzahl in Gärresten enthaltener Kunststoffteilchen."
(Quellenbericht)</t>
        </r>
      </text>
    </comment>
    <comment ref="H494"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Kompost / Gärreste: </t>
        </r>
        <r>
          <rPr>
            <sz val="9"/>
            <color indexed="81"/>
            <rFont val="Segoe UI"/>
            <family val="2"/>
          </rPr>
          <t xml:space="preserve">
"Im Jahr 2016 fielen in Deutschland 15,3 Mio. t Bioabfälle an. ... Zusätzlich fielen 3,57 Mio.  t Gärreste an. 
In 65% der Gärreste befinden sich in der Regel keine Fremdstoffe (z.B. Gülle (tierische Wirtschaftsdünger), Energiepflanzen, Schlempe aus der Herstellung von Alkoholen, etc.). Die anderen 35% stammen aus Abfällen, die Fremdstoffe enthalten können (Bio-abfällen sowie überlagerten Lebensmitteln).  
...
Die Bundesgütegemeinschaft Kompost e.V. hat in einer Untersuchung von 2.703 Kompost- und Gärrestproben mittlere Kunststoffanteile in Kompost und Gärresten ermittelt. Allerdings wurden nur Teilchen größer als zwei Millimeter in dieser Betrachtung erfasst.  ... Zur Bestimmung des Anteils der Teilchen kleiner als zwei Millimeter werden die Unter-suchungen zu Weithmann et al. 2018 zu Mikroplastikrückständen in Kompost und Gär-resten aus verschiedenen Behandlungsanlagen betrachtet. Demnach waren ca. 25% aller im Kompost gefundenen Mikroplastikteilchen ein bis zwei Millimeter groß. In Gär-resten waren es, je nach Anlage, 10 – 60%. Im Mittel werden 35% angenommen. Weiterhin wurde angenommen, dass die Teilchen der Größe ein bis zwei Millimeter 40% der Masse der Teilchen größer zwei Millimeter besitzen. Zum Anteil kleiner als ein Millimeter wurden bei Weithmann et al. keine quantitativen Aussagen gemacht, jedoch wurden auch Teilchen kleiner als ein Millimeter im Kompost nachgewiesen. 
Da für die Teilchen kleiner als einen Millimeter bisher keine wissenschaftlichen, experi-mentellen Daten vorliegen, werden die Anteile geschätzt. Es wird angenommen, dass die Anzahl der Teilchen kleiner als ein Millimeter der Anzahl der Teilchen ein bis zwei Millimeter entspricht. Weiterhin wird angenommen, dass die Teilchenmasse 50% der Teilchenmasse der Größe ein bis zwei Millimeter entspricht. 
Bezieht man die Teilchen kleiner als ein Millimeter mit in die Gesamtbetrachtung des Komposts ein, ergibt ... ein Gesamtanteil der Teilchen ein bis zwei Millimeter und der Teilchen kleiner als ein Millimeter von je 20% an der Anzahl im Kompost enthaltener Kunststoffteilchen.
Bezieht man die Teilchen kleiner als ein Millimeter mit in die Gesamtbetrachtung der Gärreste ein, ergibt sich ...  ein Gesamtanteil der Teil-chen ein bis zwei Millimeter und der Teilchen kleiner als ein Millimeter von je 26% an der Anzahl in Gärresten enthaltener Kunststoffteilchen."
(Quellenbericht)</t>
        </r>
      </text>
    </comment>
    <comment ref="H498" authorId="0" shapeId="0">
      <text>
        <r>
          <rPr>
            <b/>
            <sz val="9"/>
            <color indexed="81"/>
            <rFont val="Segoe UI"/>
            <family val="2"/>
          </rPr>
          <t>Galafton, Christina:</t>
        </r>
        <r>
          <rPr>
            <sz val="9"/>
            <color indexed="81"/>
            <rFont val="Segoe UI"/>
            <family val="2"/>
          </rPr>
          <t xml:space="preserve">
</t>
        </r>
        <r>
          <rPr>
            <u/>
            <sz val="9"/>
            <color indexed="81"/>
            <rFont val="Segoe UI"/>
            <family val="2"/>
          </rPr>
          <t xml:space="preserve">bzgl. Kompost / Gärreste: </t>
        </r>
        <r>
          <rPr>
            <sz val="9"/>
            <color indexed="81"/>
            <rFont val="Segoe UI"/>
            <family val="2"/>
          </rPr>
          <t xml:space="preserve">
"Im Jahr 2016 fielen in Deutschland 15,3 Mio. t Bioabfälle an. ... Zusätzlich fielen 3,57 Mio.  t Gärreste an. 
In 65% der Gärreste befinden sich in der Regel keine Fremdstoffe (z.B. Gülle (tierische Wirtschaftsdünger), Energiepflanzen, Schlempe aus der Herstellung von Alkoholen, etc.). Die anderen 35% stammen aus Abfällen, die Fremdstoffe enthalten können (Bio-abfällen sowie überlagerten Lebensmitteln).  
...
Die Bundesgütegemeinschaft Kompost e.V. hat in einer Untersuchung von 2.703 Kompost- und Gärrestproben mittlere Kunststoffanteile in Kompost und Gärresten ermittelt. Allerdings wurden nur Teilchen größer als zwei Millimeter in dieser Betrachtung erfasst.  ... Zur Bestimmung des Anteils der Teilchen kleiner als zwei Millimeter werden die Unter-suchungen zu Weithmann et al. 2018 zu Mikroplastikrückständen in Kompost und Gär-resten aus verschiedenen Behandlungsanlagen betrachtet. Demnach waren ca. 25% aller im Kompost gefundenen Mikroplastikteilchen ein bis zwei Millimeter groß. In Gär-resten waren es, je nach Anlage, 10 – 60%. Im Mittel werden 35% angenommen. Weiterhin wurde angenommen, dass die Teilchen der Größe ein bis zwei Millimeter 40% der Masse der Teilchen größer zwei Millimeter besitzen. Zum Anteil kleiner als ein Millimeter wurden bei Weithmann et al. keine quantitativen Aussagen gemacht, jedoch wurden auch Teilchen kleiner als ein Millimeter im Kompost nachgewiesen. 
Da für die Teilchen kleiner als einen Millimeter bisher keine wissenschaftlichen, experi-mentellen Daten vorliegen, werden die Anteile geschätzt. Es wird angenommen, dass die Anzahl der Teilchen kleiner als ein Millimeter der Anzahl der Teilchen ein bis zwei Millimeter entspricht. Weiterhin wird angenommen, dass die Teilchenmasse 50% der Teilchenmasse der Größe ein bis zwei Millimeter entspricht. 
Bezieht man die Teilchen kleiner als ein Millimeter mit in die Gesamtbetrachtung des Komposts ein, ergibt ... ein Gesamtanteil der Teilchen ein bis zwei Millimeter und der Teilchen kleiner als ein Millimeter von je 20% an der Anzahl im Kompost enthaltener Kunststoffteilchen.
Bezieht man die Teilchen kleiner als ein Millimeter mit in die Gesamtbetrachtung der Gärreste ein, ergibt sich ...  ein Gesamtanteil der Teil-chen ein bis zwei Millimeter und der Teilchen kleiner als ein Millimeter von je 26% an der Anzahl in Gärresten enthaltener Kunststoffteilchen."
(Quellenbericht)</t>
        </r>
      </text>
    </comment>
    <comment ref="B54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54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H551" authorId="0" shapeId="0">
      <text>
        <r>
          <rPr>
            <b/>
            <sz val="9"/>
            <color indexed="81"/>
            <rFont val="Segoe UI"/>
            <family val="2"/>
          </rPr>
          <t>Galafton, Christina:</t>
        </r>
        <r>
          <rPr>
            <sz val="9"/>
            <color indexed="81"/>
            <rFont val="Segoe UI"/>
            <family val="2"/>
          </rPr>
          <t xml:space="preserve">
bzgl. Abrieb von Farben und Lacken steht im Quellenbericht: 
"Die DIN EN ISO 11998 definiert die Nassabriebbeständigkeit von Farben in Innenbereich in verschiedenen Klassen. Ermittelt wurden diese Klassen durch Scheuerversuche im Labor. Dabei wird ein Kunststoffschwamm mit einer Geschwindigkeit von 10 – 15 mm/s unter standardisierten Bedingungen (50 % Luftfeuchte, 23° C) in maximal 200 Zyklen nach 28 Tagen Trockenzeit über eine Farbschicht gezogen. Im Anschluss wird der Ab-rieb der Farbschicht ermittelt, um die Abriebsbeständigkeit bestimmen zu können. Ein-geteilt wird diese in folgende Klassen: 
Klasse 1: Dispersionsfarben mit höchster Strapazierfähigkeit und der besten Reinigungs-fähigkeit. Abrieb: &lt;5 µm pro 200 Scheuerzyklen.
Klasse 2: Glänzende, seidenglänzende und seidenmatte Dispersionsfarben sind gut zu reinigen; matte Dispersionsfarben sind vorsichtig zu reinigen, damit keine Spuren an der Oberfläche bleiben. Abrieb: 5 – 20 µm pro 200 Scheuerzyklen
Klasse 3: Ohne an der Oberfläche Spuren zu hinterlassen nur bedingt zu reinigen; insbe-sondere matte Oberflächen sind nicht sehr strapazierfähig (bei mechanischer Belastung entstehen Spuren). Abrieb 20 – 70 µm pro 200 Scheuerzyklen
Klasse 4: Können nicht gereinigt werden. Sind mechanisch und bei Feuchtbelastung so labil, dass beim Überstreichen die Gefahr des Lösens vom Untergrund besteht. Abrieb: &lt;70 µm pro 40 Scheuerzyklen
Klasse 5: Schlechter als Klasse 4. Abrieb: &gt;70 µm pro 40 Scheuerzyklen."</t>
        </r>
      </text>
    </comment>
    <comment ref="H554" authorId="0" shapeId="0">
      <text>
        <r>
          <rPr>
            <b/>
            <sz val="9"/>
            <color indexed="81"/>
            <rFont val="Segoe UI"/>
            <family val="2"/>
          </rPr>
          <t>Galafton, Christina:</t>
        </r>
        <r>
          <rPr>
            <sz val="9"/>
            <color indexed="81"/>
            <rFont val="Segoe UI"/>
            <family val="2"/>
          </rPr>
          <t xml:space="preserve">
bzgl. Abrieb von Farben und Lacken steht im Quellenbericht: 
"Die DIN EN ISO 11998 definiert die Nassabriebbeständigkeit von Farben in Innenbereich in verschiedenen Klassen. Ermittelt wurden diese Klassen durch Scheuerversuche im Labor. Dabei wird ein Kunststoffschwamm mit einer Geschwindigkeit von 10 – 15 mm/s unter standardisierten Bedingungen (50 % Luftfeuchte, 23° C) in maximal 200 Zyklen nach 28 Tagen Trockenzeit über eine Farbschicht gezogen. Im Anschluss wird der Ab-rieb der Farbschicht ermittelt, um die Abriebsbeständigkeit bestimmen zu können. Ein-geteilt wird diese in folgende Klassen: 
Klasse 1: Dispersionsfarben mit höchster Strapazierfähigkeit und der besten Reinigungs-fähigkeit. Abrieb: &lt;5 µm pro 200 Scheuerzyklen.
Klasse 2: Glänzende, seidenglänzende und seidenmatte Dispersionsfarben sind gut zu reinigen; matte Dispersionsfarben sind vorsichtig zu reinigen, damit keine Spuren an der Oberfläche bleiben. Abrieb: 5 – 20 µm pro 200 Scheuerzyklen
Klasse 3: Ohne an der Oberfläche Spuren zu hinterlassen nur bedingt zu reinigen; insbe-sondere matte Oberflächen sind nicht sehr strapazierfähig (bei mechanischer Belastung entstehen Spuren). Abrieb 20 – 70 µm pro 200 Scheuerzyklen
Klasse 4: Können nicht gereinigt werden. Sind mechanisch und bei Feuchtbelastung so labil, dass beim Überstreichen die Gefahr des Lösens vom Untergrund besteht. Abrieb: &lt;70 µm pro 40 Scheuerzyklen
Klasse 5: Schlechter als Klasse 4. Abrieb: &gt;70 µm pro 40 Scheuerzyklen."</t>
        </r>
      </text>
    </comment>
    <comment ref="H561" authorId="0" shapeId="0">
      <text>
        <r>
          <rPr>
            <b/>
            <sz val="9"/>
            <color indexed="81"/>
            <rFont val="Segoe UI"/>
            <family val="2"/>
          </rPr>
          <t>Galafton, Christina:</t>
        </r>
        <r>
          <rPr>
            <sz val="9"/>
            <color indexed="81"/>
            <rFont val="Segoe UI"/>
            <family val="2"/>
          </rPr>
          <t xml:space="preserve">
bzgl. </t>
        </r>
        <r>
          <rPr>
            <u/>
            <sz val="9"/>
            <color indexed="81"/>
            <rFont val="Segoe UI"/>
            <family val="2"/>
          </rPr>
          <t>Reifenabrieb</t>
        </r>
        <r>
          <rPr>
            <sz val="9"/>
            <color indexed="81"/>
            <rFont val="Segoe UI"/>
            <family val="2"/>
          </rPr>
          <t xml:space="preserve"> werden im Quellenbericht keine Größenangaben gemacht. 
Unice et al schreiben dazu: 
TRWP particle diameter for direct releases to soil and water = 105 μm (0.5–200) --&gt; Estimate ofmean based on TRWP collected at the BASt IPS and typical ranges of particle sizes observed in runoff, see Table S5 for distribution (Charters et al., 2015; Kreider et al., 2010)
</t>
        </r>
        <r>
          <rPr>
            <b/>
            <sz val="9"/>
            <color indexed="81"/>
            <rFont val="Segoe UI"/>
            <family val="2"/>
          </rPr>
          <t>Eigentlich müsste man konsequenterweise die characteristic length = 100 μm setzen. Bei allen anderen haben wir aber immer einfach die Mitte der Spanne genommen.</t>
        </r>
        <r>
          <rPr>
            <sz val="9"/>
            <color indexed="81"/>
            <rFont val="Segoe UI"/>
            <family val="2"/>
          </rPr>
          <t xml:space="preserve">
For wear particles collected at a test vehicle during outdoor driving, Kreider et al. (2010) found a size distribution of 4 to 265μm with a maximum at about 25μm referring to particle number.</t>
        </r>
      </text>
    </comment>
    <comment ref="H564" authorId="0" shapeId="0">
      <text>
        <r>
          <rPr>
            <b/>
            <sz val="9"/>
            <color indexed="81"/>
            <rFont val="Segoe UI"/>
            <family val="2"/>
          </rPr>
          <t>Galafton, Christina:</t>
        </r>
        <r>
          <rPr>
            <sz val="9"/>
            <color indexed="81"/>
            <rFont val="Segoe UI"/>
            <family val="2"/>
          </rPr>
          <t xml:space="preserve">
bzgl. </t>
        </r>
        <r>
          <rPr>
            <u/>
            <sz val="9"/>
            <color indexed="81"/>
            <rFont val="Segoe UI"/>
            <family val="2"/>
          </rPr>
          <t>Reifenabrieb</t>
        </r>
        <r>
          <rPr>
            <sz val="9"/>
            <color indexed="81"/>
            <rFont val="Segoe UI"/>
            <family val="2"/>
          </rPr>
          <t xml:space="preserve"> werden im Quellenbericht keine Größenangaben gemacht. 
Unice et al schreiben dazu: 
TRWP particle diameter for direct releases to soil and water = 105 μm (0.5–200) --&gt; Estimate ofmean based on TRWP collected at the BASt IPS and typical ranges of particle sizes observed in runoff, see Table S5 for distribution (Charters et al., 2015; Kreider et al., 2010)
</t>
        </r>
        <r>
          <rPr>
            <b/>
            <sz val="9"/>
            <color indexed="81"/>
            <rFont val="Segoe UI"/>
            <family val="2"/>
          </rPr>
          <t>Eigentlich müsste man konsequenterweise die characteristic length = 100 μm setzen. Bei allen anderen haben wir aber immer einfach die Mitte der Spanne genommen.</t>
        </r>
        <r>
          <rPr>
            <sz val="9"/>
            <color indexed="81"/>
            <rFont val="Segoe UI"/>
            <family val="2"/>
          </rPr>
          <t xml:space="preserve">
For wear particles collected at a test vehicle during outdoor driving, Kreider et al. (2010) found a size distribution of 4 to 265μm with a maximum at about 25μm referring to particle number.</t>
        </r>
      </text>
    </comment>
    <comment ref="H571" authorId="0" shapeId="0">
      <text>
        <r>
          <rPr>
            <b/>
            <sz val="9"/>
            <color indexed="81"/>
            <rFont val="Segoe UI"/>
            <family val="2"/>
          </rPr>
          <t>Galafton, Christina:</t>
        </r>
        <r>
          <rPr>
            <sz val="9"/>
            <color indexed="81"/>
            <rFont val="Segoe UI"/>
            <family val="2"/>
          </rPr>
          <t xml:space="preserve">
Kompost / Gärreste sind hier irrelevant; kein direkter Eintrag ins Wasser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574" authorId="0" shapeId="0">
      <text>
        <r>
          <rPr>
            <b/>
            <sz val="9"/>
            <color indexed="81"/>
            <rFont val="Segoe UI"/>
            <family val="2"/>
          </rPr>
          <t>Galafton, Christina:</t>
        </r>
        <r>
          <rPr>
            <sz val="9"/>
            <color indexed="81"/>
            <rFont val="Segoe UI"/>
            <family val="2"/>
          </rPr>
          <t xml:space="preserve">
Kompost / Gärreste sind hier irrelevant; kein direkter Eintrag ins Wasser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591"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t>
        </r>
      </text>
    </comment>
    <comment ref="H594"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(Quellenbericht)</t>
        </r>
      </text>
    </comment>
    <comment ref="H598"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t>
        </r>
      </text>
    </comment>
    <comment ref="H604" authorId="0" shapeId="0">
      <text>
        <r>
          <rPr>
            <b/>
            <sz val="9"/>
            <color indexed="81"/>
            <rFont val="Segoe UI"/>
            <family val="2"/>
          </rPr>
          <t>Galafton, Christina:</t>
        </r>
        <r>
          <rPr>
            <sz val="9"/>
            <color indexed="81"/>
            <rFont val="Segoe UI"/>
            <family val="2"/>
          </rPr>
          <t xml:space="preserve">
bzgl. </t>
        </r>
        <r>
          <rPr>
            <u/>
            <sz val="9"/>
            <color indexed="81"/>
            <rFont val="Segoe UI"/>
            <family val="2"/>
          </rPr>
          <t>Textilwäsche</t>
        </r>
        <r>
          <rPr>
            <sz val="9"/>
            <color indexed="81"/>
            <rFont val="Segoe UI"/>
            <family val="2"/>
          </rPr>
          <t xml:space="preserve"> werden im Quellenbericht keine Angaben zur Größe der Emissionen gemacht</t>
        </r>
      </text>
    </comment>
    <comment ref="B61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61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61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H621" authorId="0" shapeId="0">
      <text>
        <r>
          <rPr>
            <b/>
            <sz val="9"/>
            <color indexed="81"/>
            <rFont val="Segoe UI"/>
            <family val="2"/>
          </rPr>
          <t>Galafton, Christina:</t>
        </r>
        <r>
          <rPr>
            <sz val="9"/>
            <color indexed="81"/>
            <rFont val="Segoe UI"/>
            <family val="2"/>
          </rPr>
          <t xml:space="preserve">
</t>
        </r>
        <r>
          <rPr>
            <sz val="9"/>
            <color indexed="81"/>
            <rFont val="Segoe UI"/>
            <family val="2"/>
          </rPr>
          <t xml:space="preserve">bzgl. </t>
        </r>
        <r>
          <rPr>
            <u/>
            <sz val="9"/>
            <color indexed="81"/>
            <rFont val="Segoe UI"/>
            <family val="2"/>
          </rPr>
          <t>Auswaschung von Wasch-, Pflege- und Reinigungsmitteln</t>
        </r>
        <r>
          <rPr>
            <sz val="9"/>
            <color indexed="81"/>
            <rFont val="Segoe UI"/>
            <family val="2"/>
          </rPr>
          <t xml:space="preserve"> sind im Quellenbericht keine Größenangaben zu den Plastikemissionen enthalten</t>
        </r>
      </text>
    </comment>
    <comment ref="H624" authorId="0" shapeId="0">
      <text>
        <r>
          <rPr>
            <b/>
            <sz val="9"/>
            <color indexed="81"/>
            <rFont val="Segoe UI"/>
            <family val="2"/>
          </rPr>
          <t>Galafton, Christina:</t>
        </r>
        <r>
          <rPr>
            <sz val="9"/>
            <color indexed="81"/>
            <rFont val="Segoe UI"/>
            <family val="2"/>
          </rPr>
          <t xml:space="preserve">
</t>
        </r>
        <r>
          <rPr>
            <sz val="9"/>
            <color indexed="81"/>
            <rFont val="Segoe UI"/>
            <family val="2"/>
          </rPr>
          <t xml:space="preserve">bzgl. </t>
        </r>
        <r>
          <rPr>
            <u/>
            <sz val="9"/>
            <color indexed="81"/>
            <rFont val="Segoe UI"/>
            <family val="2"/>
          </rPr>
          <t>Auswaschung von Wasch-, Pflege- und Reinigungsmitteln</t>
        </r>
        <r>
          <rPr>
            <sz val="9"/>
            <color indexed="81"/>
            <rFont val="Segoe UI"/>
            <family val="2"/>
          </rPr>
          <t xml:space="preserve"> sind im Quellenbericht keine Größenangaben zu den Plastikemissionen enthalten</t>
        </r>
      </text>
    </comment>
    <comment ref="H628" authorId="0" shapeId="0">
      <text>
        <r>
          <rPr>
            <b/>
            <sz val="9"/>
            <color indexed="81"/>
            <rFont val="Segoe UI"/>
            <family val="2"/>
          </rPr>
          <t>Galafton, Christina:</t>
        </r>
        <r>
          <rPr>
            <sz val="9"/>
            <color indexed="81"/>
            <rFont val="Segoe UI"/>
            <family val="2"/>
          </rPr>
          <t xml:space="preserve">
</t>
        </r>
        <r>
          <rPr>
            <sz val="9"/>
            <color indexed="81"/>
            <rFont val="Segoe UI"/>
            <family val="2"/>
          </rPr>
          <t xml:space="preserve">bzgl. </t>
        </r>
        <r>
          <rPr>
            <u/>
            <sz val="9"/>
            <color indexed="81"/>
            <rFont val="Segoe UI"/>
            <family val="2"/>
          </rPr>
          <t>Auswaschung von Wasch-, Pflege- und Reinigungsmitteln</t>
        </r>
        <r>
          <rPr>
            <sz val="9"/>
            <color indexed="81"/>
            <rFont val="Segoe UI"/>
            <family val="2"/>
          </rPr>
          <t xml:space="preserve"> sind im Quellenbericht keine Größenangaben zu den Plastikemissionen enthalten</t>
        </r>
      </text>
    </comment>
    <comment ref="H641" authorId="0" shapeId="0">
      <text>
        <r>
          <rPr>
            <b/>
            <sz val="9"/>
            <color indexed="81"/>
            <rFont val="Segoe UI"/>
            <family val="2"/>
          </rPr>
          <t>Galafton, Christina:</t>
        </r>
        <r>
          <rPr>
            <sz val="9"/>
            <color indexed="81"/>
            <rFont val="Segoe UI"/>
            <family val="2"/>
          </rPr>
          <t xml:space="preserve">
Kompost / Gärreste sind hier irrelevant; kein direkter Eintrag ins Wasser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644" authorId="0" shapeId="0">
      <text>
        <r>
          <rPr>
            <b/>
            <sz val="9"/>
            <color indexed="81"/>
            <rFont val="Segoe UI"/>
            <family val="2"/>
          </rPr>
          <t>Galafton, Christina:</t>
        </r>
        <r>
          <rPr>
            <sz val="9"/>
            <color indexed="81"/>
            <rFont val="Segoe UI"/>
            <family val="2"/>
          </rPr>
          <t xml:space="preserve">
Kompost / Gärreste sind hier irrelevant; kein direkter Eintrag ins Wasser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648" authorId="0" shapeId="0">
      <text>
        <r>
          <rPr>
            <b/>
            <sz val="9"/>
            <color indexed="81"/>
            <rFont val="Segoe UI"/>
            <family val="2"/>
          </rPr>
          <t>Galafton, Christina:</t>
        </r>
        <r>
          <rPr>
            <sz val="9"/>
            <color indexed="81"/>
            <rFont val="Segoe UI"/>
            <family val="2"/>
          </rPr>
          <t xml:space="preserve">
Kompost / Gärreste sind hier irrelevant; kein direkter Eintrag ins Wasser
</t>
        </r>
        <r>
          <rPr>
            <u/>
            <sz val="9"/>
            <color indexed="81"/>
            <rFont val="Segoe UI"/>
            <family val="2"/>
          </rPr>
          <t xml:space="preserve">bzgl. Metallzerklinerung: </t>
        </r>
        <r>
          <rPr>
            <sz val="9"/>
            <color indexed="81"/>
            <rFont val="Segoe UI"/>
            <family val="2"/>
          </rPr>
          <t xml:space="preserve">
"Der Feinkornanteil (&lt;5 mm) der Schredderfraktion beträgt etwa 50%. Zirka 28% bis 42% der Kleinfraktion bestehen aus Sand oder Rostpartikeln. 25% bis 35% aus Granu-lat und 25% bis 35% aus Flusen. "´´" (Quellenbericht)</t>
        </r>
      </text>
    </comment>
    <comment ref="H661"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t>
        </r>
      </text>
    </comment>
    <comment ref="H664"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(Quellenbericht)</t>
        </r>
      </text>
    </comment>
    <comment ref="H668"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t>
        </r>
      </text>
    </comment>
    <comment ref="B68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68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68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H731"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t>
        </r>
      </text>
    </comment>
    <comment ref="H734"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(Quellenbericht)</t>
        </r>
      </text>
    </comment>
    <comment ref="H738" authorId="0" shapeId="0">
      <text>
        <r>
          <rPr>
            <b/>
            <sz val="9"/>
            <color indexed="81"/>
            <rFont val="Segoe UI"/>
            <family val="2"/>
          </rPr>
          <t>Galafton, Christina:</t>
        </r>
        <r>
          <rPr>
            <sz val="9"/>
            <color indexed="81"/>
            <rFont val="Segoe UI"/>
            <family val="2"/>
          </rPr>
          <t xml:space="preserve">
bzgl. </t>
        </r>
        <r>
          <rPr>
            <u/>
            <sz val="9"/>
            <color indexed="81"/>
            <rFont val="Segoe UI"/>
            <family val="2"/>
          </rPr>
          <t xml:space="preserve">Fragmentierung bei Abbrucharbeiten: </t>
        </r>
        <r>
          <rPr>
            <sz val="9"/>
            <color indexed="81"/>
            <rFont val="Segoe UI"/>
            <family val="2"/>
          </rPr>
          <t xml:space="preserve">
"B</t>
        </r>
        <r>
          <rPr>
            <i/>
            <sz val="9"/>
            <color indexed="81"/>
            <rFont val="Segoe UI"/>
            <family val="2"/>
          </rPr>
          <t>ei Abriss- und Abbrucharbeiten entstehen sowohl durch Staubentwicklung als auch durch Partikelfreisetzung Mikroplastikemissionen, insbesondere durch leichte und poröse Kunststoffe. Da Kunststoffe auf der Baustelle häufig aus elastischen (z.B. Folien) oder harten Kunststoffen (z.B. Rohre) bestehen, wird angenommen, dass keine relevante Staubentwicklung entsteht. Durch Fragmentierung und Partikelfreisetzung wird ein Mas-senverlust von 3% angenommen.
EPS hat unter den Dämmmaterialien aus Kunststoff mit über 50% mit Abstand den größten Marktanteil.  EPS aber auch andere Dämmmaterialien aus Kunststoff sind sehr leicht und porös. Dadurch kommt es zu Mikroplastikemissionen sowohl durch Staubent-wicklung und Verwehungen bei Abbruch- und Abrissarbeiten als auch durch Fragmentie-rung und Partikelfreisetzung. Es wird eine Staubentwicklung von 3 g/kg angenommen. Außerdem ein Massenverlust von 4% durch Fragmentierun</t>
        </r>
        <r>
          <rPr>
            <sz val="9"/>
            <color indexed="81"/>
            <rFont val="Segoe UI"/>
            <family val="2"/>
          </rPr>
          <t xml:space="preserve">g." (Quellenbericht)
bzgl. </t>
        </r>
        <r>
          <rPr>
            <u/>
            <sz val="9"/>
            <color indexed="81"/>
            <rFont val="Segoe UI"/>
            <family val="2"/>
          </rPr>
          <t xml:space="preserve">Abrieb von Baukunststoffen: </t>
        </r>
        <r>
          <rPr>
            <sz val="9"/>
            <color indexed="81"/>
            <rFont val="Segoe UI"/>
            <family val="2"/>
          </rPr>
          <t xml:space="preserve">
</t>
        </r>
        <r>
          <rPr>
            <i/>
            <sz val="9"/>
            <color indexed="81"/>
            <rFont val="Segoe UI"/>
            <family val="2"/>
          </rPr>
          <t xml:space="preserve">"Durch die Verwendung von Kunststoffen auf Baustellen kommt es zu Mikroplastikemissionen durch Abrieb, Zuschneiden, Zusägen, Schlagen, Kratzen, Hobeln der Kunststoffe bei Ein-, Rückbau und bei Wartungsarbeiten. [...] Bei den auf Baustellen verwendeten Kunststoffen handelt es sich zu einem großen Teil um Folien oder harte Kunststoffe (z.B. PVC, PE), die aufgrund ihrer geringen Porosität kaum Emissionen verursachen. Es wird daher ein Massenverlust von 0,1 % angenom-men." </t>
        </r>
        <r>
          <rPr>
            <sz val="9"/>
            <color indexed="81"/>
            <rFont val="Segoe UI"/>
            <family val="2"/>
          </rPr>
          <t xml:space="preserve">(Quellenbericht)
</t>
        </r>
      </text>
    </comment>
    <comment ref="B75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75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75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82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82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82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89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89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89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96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96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96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03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03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03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10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10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10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17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17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17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24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24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24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31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31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31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39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39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39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461"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464"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 ref="B1468" authorId="0" shapeId="0">
      <text>
        <r>
          <rPr>
            <b/>
            <sz val="9"/>
            <color indexed="81"/>
            <rFont val="Segoe UI"/>
            <family val="2"/>
          </rPr>
          <t>Galafton, Christina:</t>
        </r>
        <r>
          <rPr>
            <sz val="9"/>
            <color indexed="81"/>
            <rFont val="Segoe UI"/>
            <family val="2"/>
          </rPr>
          <t xml:space="preserve">
"Pellets haben verschiedene Größen, besitzen jedoch meist Durchmesser von wenigen Millimetern." (Quellenbericht)</t>
        </r>
      </text>
    </comment>
  </commentList>
</comments>
</file>

<file path=xl/sharedStrings.xml><?xml version="1.0" encoding="utf-8"?>
<sst xmlns="http://schemas.openxmlformats.org/spreadsheetml/2006/main" count="26776" uniqueCount="1469">
  <si>
    <t>Umgebung</t>
  </si>
  <si>
    <t>biologische
Abbaubarkeit [%]</t>
  </si>
  <si>
    <t>PLA</t>
  </si>
  <si>
    <t>Kompost</t>
  </si>
  <si>
    <t>synthetisches Material mit Kompost</t>
  </si>
  <si>
    <t>Boden</t>
  </si>
  <si>
    <t>Bakterien aus kommunaler 
Abwasseraufbereitungsanlage</t>
  </si>
  <si>
    <t>PLA (Pulver)</t>
  </si>
  <si>
    <t>PLA/NPK/EFP (25/37,5/37,5%)</t>
  </si>
  <si>
    <t>PLA/Soft wood (70/30%)</t>
  </si>
  <si>
    <t>PLA/corn (90/10%)</t>
  </si>
  <si>
    <t>PLA/Hanffaser (SF) (60/40%)</t>
  </si>
  <si>
    <t>aerob</t>
  </si>
  <si>
    <t>Gewichtsverlust</t>
  </si>
  <si>
    <t>&gt;60</t>
  </si>
  <si>
    <t>Dauer des Abbaus
[Tage]</t>
  </si>
  <si>
    <t>&gt;90</t>
  </si>
  <si>
    <t>&gt;80</t>
  </si>
  <si>
    <t>PHB</t>
  </si>
  <si>
    <t>PHBV</t>
  </si>
  <si>
    <t>PHA</t>
  </si>
  <si>
    <t>PHB/CAB (50/50%)</t>
  </si>
  <si>
    <t>Boden/Kompost (90/10%)</t>
  </si>
  <si>
    <t>Meerwasser</t>
  </si>
  <si>
    <t>Flusswasser</t>
  </si>
  <si>
    <t>Mikrobakterien aus dem Boden</t>
  </si>
  <si>
    <t>PHA/Reishülse (RH) (60/40%)</t>
  </si>
  <si>
    <t>ruhend</t>
  </si>
  <si>
    <t>7,9-8,1</t>
  </si>
  <si>
    <t>dynamisch</t>
  </si>
  <si>
    <t>12-22</t>
  </si>
  <si>
    <t>Stärke-basiert</t>
  </si>
  <si>
    <t>Mater-Bi (60% Stärke + 40% Harz)</t>
  </si>
  <si>
    <t>CA (aus Flachsfaser)</t>
  </si>
  <si>
    <t>CA (aus Baumwollstoff)</t>
  </si>
  <si>
    <t>Schwammfaser (Cellulose-basiert)</t>
  </si>
  <si>
    <t>Nylon 4 (Polyamid, bio-basiert)</t>
  </si>
  <si>
    <t>Meerwasser mit Ablagerung</t>
  </si>
  <si>
    <t>kommunale Mischabfälle</t>
  </si>
  <si>
    <t>Raumtemperatur</t>
  </si>
  <si>
    <t>7,5-7,6</t>
  </si>
  <si>
    <t>Abbaurate [%/d]</t>
  </si>
  <si>
    <t>PBS</t>
  </si>
  <si>
    <t>PBS (Folie)</t>
  </si>
  <si>
    <t>PBS/Soja-Reste (75/25%)</t>
  </si>
  <si>
    <t>PBS/Raps-Reste (75/25%)</t>
  </si>
  <si>
    <t>PBS/Getreide-Reste (75/25%)</t>
  </si>
  <si>
    <t>PBS/Grasfaser (75/25%)</t>
  </si>
  <si>
    <t>PCL</t>
  </si>
  <si>
    <t>Stärke/PCL</t>
  </si>
  <si>
    <t>PBS (Pulver)</t>
  </si>
  <si>
    <t>7-8</t>
  </si>
  <si>
    <t>58-65%</t>
  </si>
  <si>
    <t>50-55%</t>
  </si>
  <si>
    <t>7-9</t>
  </si>
  <si>
    <t>7-10</t>
  </si>
  <si>
    <t>7-11</t>
  </si>
  <si>
    <t>LDPE/Stärke (80/20%)</t>
  </si>
  <si>
    <t>LDPE/Stath/Stärke (80/5/15%)</t>
  </si>
  <si>
    <t>LDPE/Stath/Stärke (80/10/10%)</t>
  </si>
  <si>
    <t>LDPE/Stath (90/10%)</t>
  </si>
  <si>
    <t>LDPE/Stath (80/20%)</t>
  </si>
  <si>
    <t>LDPE/Stath (70/30%)</t>
  </si>
  <si>
    <r>
      <t>Kompost (soil burial method)</t>
    </r>
    <r>
      <rPr>
        <vertAlign val="superscript"/>
        <sz val="11"/>
        <color theme="1"/>
        <rFont val="Calibri"/>
        <family val="2"/>
        <scheme val="minor"/>
      </rPr>
      <t>1</t>
    </r>
  </si>
  <si>
    <r>
      <t>Kompost (soil burial method)</t>
    </r>
    <r>
      <rPr>
        <vertAlign val="superscript"/>
        <sz val="11"/>
        <color theme="1"/>
        <rFont val="Calibri"/>
        <family val="2"/>
        <scheme val="minor"/>
      </rPr>
      <t>1</t>
    </r>
    <r>
      <rPr>
        <sz val="11"/>
        <color theme="1"/>
        <rFont val="Calibri"/>
        <family val="2"/>
        <scheme val="minor"/>
      </rPr>
      <t/>
    </r>
  </si>
  <si>
    <t>40-45</t>
  </si>
  <si>
    <t>30-35</t>
  </si>
  <si>
    <t>LDPE</t>
  </si>
  <si>
    <t>Meerwasser (ohne Nährstoffe)</t>
  </si>
  <si>
    <t>HDPE</t>
  </si>
  <si>
    <t>LDPE/Stärke (90-85/10-15%)</t>
  </si>
  <si>
    <t>Sudhakar et al. 2008</t>
  </si>
  <si>
    <t>Thakore et al. 2001</t>
  </si>
  <si>
    <t>Geimpftes Wasser</t>
  </si>
  <si>
    <t>1,33-1,81</t>
  </si>
  <si>
    <t>Harshvardhan et al. 2013</t>
  </si>
  <si>
    <t>Greene 2011</t>
  </si>
  <si>
    <t>PE</t>
  </si>
  <si>
    <t>PET</t>
  </si>
  <si>
    <t>PCL/Stärke</t>
  </si>
  <si>
    <t>Meerwasser (Ostesee)</t>
  </si>
  <si>
    <t>3,2 - 21,6</t>
  </si>
  <si>
    <t>3,2 - 21,7</t>
  </si>
  <si>
    <t>3,2 - 21,8</t>
  </si>
  <si>
    <t>3,2 - 21,9</t>
  </si>
  <si>
    <t>Heimowska et al. 2011</t>
  </si>
  <si>
    <t>PVC</t>
  </si>
  <si>
    <t>PVC/nanofillers clays 
Cloisite 30B (90/10%)</t>
  </si>
  <si>
    <r>
      <t>PVC/nanofillers Cloisite  Na</t>
    </r>
    <r>
      <rPr>
        <vertAlign val="superscript"/>
        <sz val="11"/>
        <color theme="1"/>
        <rFont val="Calibri"/>
        <family val="2"/>
        <scheme val="minor"/>
      </rPr>
      <t>+</t>
    </r>
    <r>
      <rPr>
        <sz val="11"/>
        <color theme="1"/>
        <rFont val="Calibri"/>
        <family val="2"/>
        <scheme val="minor"/>
      </rPr>
      <t xml:space="preserve"> (90/10%)</t>
    </r>
  </si>
  <si>
    <t>anaerob</t>
  </si>
  <si>
    <r>
      <t>CO</t>
    </r>
    <r>
      <rPr>
        <vertAlign val="subscript"/>
        <sz val="11"/>
        <color theme="1"/>
        <rFont val="Calibri"/>
        <family val="2"/>
        <scheme val="minor"/>
      </rPr>
      <t>2</t>
    </r>
    <r>
      <rPr>
        <sz val="11"/>
        <color theme="1"/>
        <rFont val="Calibri"/>
        <family val="2"/>
        <scheme val="minor"/>
      </rPr>
      <t>-Entwicklung</t>
    </r>
  </si>
  <si>
    <t>PE/Stärke (95/5%)</t>
  </si>
  <si>
    <t>PE/Stärke (95/8%)</t>
  </si>
  <si>
    <t>PE/MB (Masterbatch - haupsächlich 
Getreidestärke, HDPE, 80/20%)</t>
  </si>
  <si>
    <t>Meerwasser (Labor)</t>
  </si>
  <si>
    <t>Meerwasser (Ostsee)</t>
  </si>
  <si>
    <t>19-20</t>
  </si>
  <si>
    <t>19-21</t>
  </si>
  <si>
    <t>19-22</t>
  </si>
  <si>
    <t>8,1 - 8,5</t>
  </si>
  <si>
    <t>6,8 - 8,7</t>
  </si>
  <si>
    <t>Rutkowska et al. 2001</t>
  </si>
  <si>
    <t>PHB (R-PHB)</t>
  </si>
  <si>
    <t>PLA (PLLA-C)</t>
  </si>
  <si>
    <t>PLA (PLLA-A)</t>
  </si>
  <si>
    <t>Meerwasser (Labor, 
frisches Wasser alle 2 Tage)</t>
  </si>
  <si>
    <t>Tsuji et al. 2001</t>
  </si>
  <si>
    <t>7,7 - 20,6</t>
  </si>
  <si>
    <t>7,9 - 8,5</t>
  </si>
  <si>
    <t>Meerwasser (im Meer)</t>
  </si>
  <si>
    <t>Meerwasser (abgefüllt)</t>
  </si>
  <si>
    <t>Deroine et al. 2014</t>
  </si>
  <si>
    <t>PHB (P3HB)</t>
  </si>
  <si>
    <t>Tachibana et al. 2013</t>
  </si>
  <si>
    <t>PHB (P3HB-co-14%3HV)</t>
  </si>
  <si>
    <t>PE (succinate)</t>
  </si>
  <si>
    <t>PB (succinate)</t>
  </si>
  <si>
    <t>PB (adiapate)</t>
  </si>
  <si>
    <t>Flusswasser (Labor)</t>
  </si>
  <si>
    <t>Seewasser (Labor)</t>
  </si>
  <si>
    <t>Meerwasser (aus einer Bucht, Labor)</t>
  </si>
  <si>
    <t>Meerwasser (aus dem Ozean, Labor)</t>
  </si>
  <si>
    <t>PHB (P3HB-co-10%4HB)</t>
  </si>
  <si>
    <t>40-60</t>
  </si>
  <si>
    <t>PU (PUA)</t>
  </si>
  <si>
    <t>PU (PUB)</t>
  </si>
  <si>
    <t>PU (Polyether-urea-urethane)</t>
  </si>
  <si>
    <t>3,2-19,3</t>
  </si>
  <si>
    <t>8,17-8,2</t>
  </si>
  <si>
    <t>19,5 - 21</t>
  </si>
  <si>
    <t>7,6 -8,7</t>
  </si>
  <si>
    <t>Ahn et al. 2011</t>
  </si>
  <si>
    <t>Kale et al.  2007a</t>
  </si>
  <si>
    <t>Tabasi, Ajji 2015</t>
  </si>
  <si>
    <t>Mihai et al.  2014</t>
  </si>
  <si>
    <t>Sarasa et al. 2009</t>
  </si>
  <si>
    <t>Arrieta et al. 2014</t>
  </si>
  <si>
    <t>Wu 2012b</t>
  </si>
  <si>
    <t>Massardier-Nageotte et al. 2006</t>
  </si>
  <si>
    <t>Adhikari et al. 2016</t>
  </si>
  <si>
    <t>Harmaen et al. 2015</t>
  </si>
  <si>
    <t>Jain, Tiwari 2015</t>
  </si>
  <si>
    <t>Woolnough et al. 2008</t>
  </si>
  <si>
    <t>Boyandin et al. 2013</t>
  </si>
  <si>
    <t>Arcos-Hernandez et al. 2012</t>
  </si>
  <si>
    <t>Gomes, Michel 2013</t>
  </si>
  <si>
    <t>Thellen et al. 2008</t>
  </si>
  <si>
    <t>Volova et al. 2010</t>
  </si>
  <si>
    <t>Javierre et al. 2015</t>
  </si>
  <si>
    <t>Tosin et al. 2012</t>
  </si>
  <si>
    <t>Mohee et al. 2008</t>
  </si>
  <si>
    <t>Vaverkova, Adamcova 2015</t>
  </si>
  <si>
    <t>Hashimoto et al.  2002</t>
  </si>
  <si>
    <t>Anstey et al. 2014</t>
  </si>
  <si>
    <t>Nakasaki et al. 2006</t>
  </si>
  <si>
    <t>Sridewi 2006</t>
  </si>
  <si>
    <t>Wu 2014</t>
  </si>
  <si>
    <t xml:space="preserve">Realbedingungen </t>
  </si>
  <si>
    <t>PE/Stärke (91/9%)</t>
  </si>
  <si>
    <t>Boden (Labor, Bakterienimpfung)</t>
  </si>
  <si>
    <t>Orhan et al. 2003</t>
  </si>
  <si>
    <t>38-70</t>
  </si>
  <si>
    <t>Boden (Labor)</t>
  </si>
  <si>
    <t>PE/Stärke (92/8%)</t>
  </si>
  <si>
    <t>Yabannavar, Bartha 1994</t>
  </si>
  <si>
    <t>PP</t>
  </si>
  <si>
    <t>PVC/DOA Dioctyladiapat)/ESO (epoxiertes Sojaöl) (70/19,2/10,8%)</t>
  </si>
  <si>
    <t>PBS/Reismehl (90/10%)</t>
  </si>
  <si>
    <t>PBS/Reismehl (80/20%)</t>
  </si>
  <si>
    <t>PBS/Reismehl (70/30%)</t>
  </si>
  <si>
    <t>PBS/Reismehl (60/40%)</t>
  </si>
  <si>
    <t>Boden (soil burial test)</t>
  </si>
  <si>
    <t>28-32</t>
  </si>
  <si>
    <t>50-60</t>
  </si>
  <si>
    <t>Kim et al. 2005</t>
  </si>
  <si>
    <t>60-70</t>
  </si>
  <si>
    <t>Phua et al. 2012</t>
  </si>
  <si>
    <t>PBAT</t>
  </si>
  <si>
    <t>PBAT/ATPS/PHGH (92,7/7,2/0,1%)</t>
  </si>
  <si>
    <t>PBAT/TPS (80/20%)</t>
  </si>
  <si>
    <t>Wang et al. 2015</t>
  </si>
  <si>
    <t>Yang et al. 2004</t>
  </si>
  <si>
    <t>PP (Pulver)</t>
  </si>
  <si>
    <t>PCL (Pulver)</t>
  </si>
  <si>
    <t>PLLA (Pulver)</t>
  </si>
  <si>
    <t>PBSA (Pulver)</t>
  </si>
  <si>
    <t>Bioplastik (aus Kartoffelabfällen)</t>
  </si>
  <si>
    <t>PU</t>
  </si>
  <si>
    <t>PA</t>
  </si>
  <si>
    <t>Zellulose Pulver</t>
  </si>
  <si>
    <t>CO2-Entwicklung</t>
  </si>
  <si>
    <t>NR/SBR</t>
  </si>
  <si>
    <t>Cadle and Williams (1980)</t>
  </si>
  <si>
    <t>Citavi</t>
  </si>
  <si>
    <t>PDF</t>
  </si>
  <si>
    <t>Crossref</t>
  </si>
  <si>
    <t>Emadian 2017</t>
  </si>
  <si>
    <t>Form</t>
  </si>
  <si>
    <t>Film</t>
  </si>
  <si>
    <t>Bakterien aus kommunaler Abwasseraufbereitungsanlage</t>
  </si>
  <si>
    <t>ja</t>
  </si>
  <si>
    <t>Plastic bag</t>
  </si>
  <si>
    <t>Produkt</t>
  </si>
  <si>
    <t>Vorbehandlung</t>
  </si>
  <si>
    <t>70 Grad, 20 d</t>
  </si>
  <si>
    <t>Mikroorganismen</t>
  </si>
  <si>
    <t>Bacteria isolated from landfill soils</t>
  </si>
  <si>
    <t>Esmaeili et al. 2013</t>
  </si>
  <si>
    <t>Tire-Wear Particles</t>
  </si>
  <si>
    <t>kein Effekt</t>
  </si>
  <si>
    <t>Extraction-pyrolysis-GC</t>
  </si>
  <si>
    <t>negative test material</t>
  </si>
  <si>
    <t>Thickness [mm]</t>
  </si>
  <si>
    <t>Bottle</t>
  </si>
  <si>
    <t xml:space="preserve">ambient </t>
  </si>
  <si>
    <t>Reduktion Molgewicht</t>
  </si>
  <si>
    <t>Balasubramanian 2010</t>
  </si>
  <si>
    <t>Arthrobacter sp.</t>
  </si>
  <si>
    <t>Pseudomonas sp.</t>
  </si>
  <si>
    <t>Kolben mit Öl als Nährmedium</t>
  </si>
  <si>
    <t>Berekaa 2006</t>
  </si>
  <si>
    <t>Kolben</t>
  </si>
  <si>
    <t>Nocardia sp.</t>
  </si>
  <si>
    <t>nein</t>
  </si>
  <si>
    <t>tire rubber</t>
  </si>
  <si>
    <t>Partikel</t>
  </si>
  <si>
    <t>Lösung in org. Lösungsmittel &amp; Autoklave</t>
  </si>
  <si>
    <t>synthetic cis-1-4-polyisoprene rubber</t>
  </si>
  <si>
    <t>styrene rubber</t>
  </si>
  <si>
    <t>keine</t>
  </si>
  <si>
    <t>ambient conditions</t>
  </si>
  <si>
    <t>Modellierung</t>
  </si>
  <si>
    <t>Müller 2001</t>
  </si>
  <si>
    <t>human and animal bodies</t>
  </si>
  <si>
    <t>Rudakova et al., 1979</t>
  </si>
  <si>
    <t xml:space="preserve">ja </t>
  </si>
  <si>
    <t>Joo 2018</t>
  </si>
  <si>
    <t>US National Park Service</t>
  </si>
  <si>
    <t>variety of micro- and macroorganisms</t>
  </si>
  <si>
    <t>unklar</t>
  </si>
  <si>
    <t>PS</t>
  </si>
  <si>
    <t>Powder</t>
  </si>
  <si>
    <t>E. coli</t>
  </si>
  <si>
    <t>1M KH2PO4/K2HPO4 solution</t>
  </si>
  <si>
    <t>Terephtalic acid production</t>
  </si>
  <si>
    <t>Gamerith 2017</t>
  </si>
  <si>
    <t>Goodfellow</t>
  </si>
  <si>
    <t>Ward-2019</t>
  </si>
  <si>
    <t>Solar simulator</t>
  </si>
  <si>
    <t>25 - 35</t>
  </si>
  <si>
    <t>Flakes</t>
  </si>
  <si>
    <t>whethered PS</t>
  </si>
  <si>
    <t>Rhodococcus ruber</t>
  </si>
  <si>
    <t>Syranidou 2017</t>
  </si>
  <si>
    <t>Reifenabrieb</t>
  </si>
  <si>
    <t>Medium</t>
  </si>
  <si>
    <t>Wasser</t>
  </si>
  <si>
    <t>Gutes Paper</t>
  </si>
  <si>
    <t>Schwemmlandboden /Alluvial soil</t>
  </si>
  <si>
    <t>Chandra 1997</t>
  </si>
  <si>
    <t xml:space="preserve">Nein </t>
  </si>
  <si>
    <t>Muthukumar 2010</t>
  </si>
  <si>
    <t>Ja</t>
  </si>
  <si>
    <t>Sonne</t>
  </si>
  <si>
    <t>PET-G</t>
  </si>
  <si>
    <t>Granini fruit juice bottle</t>
  </si>
  <si>
    <t>PET-B</t>
  </si>
  <si>
    <t>Pellets von BASF</t>
  </si>
  <si>
    <r>
      <t>Erwärmung in Stickstoff Atmosphäre, heating/cooling rate 10°C*min</t>
    </r>
    <r>
      <rPr>
        <vertAlign val="superscript"/>
        <sz val="11"/>
        <color theme="1"/>
        <rFont val="Calibri"/>
        <family val="2"/>
        <scheme val="minor"/>
      </rPr>
      <t>-1</t>
    </r>
    <r>
      <rPr>
        <sz val="11"/>
        <color theme="1"/>
        <rFont val="Calibri"/>
        <family val="2"/>
        <scheme val="minor"/>
      </rPr>
      <t xml:space="preserve"> , Mit Ethanol abgewaschen</t>
    </r>
  </si>
  <si>
    <r>
      <t>10ml Glas mit 5ml phosphate buffer (Na</t>
    </r>
    <r>
      <rPr>
        <vertAlign val="subscript"/>
        <sz val="11"/>
        <color theme="1"/>
        <rFont val="Calibri"/>
        <family val="2"/>
        <scheme val="minor"/>
      </rPr>
      <t>2</t>
    </r>
    <r>
      <rPr>
        <sz val="11"/>
        <color theme="1"/>
        <rFont val="Calibri"/>
        <family val="2"/>
        <scheme val="minor"/>
      </rPr>
      <t>HPO</t>
    </r>
    <r>
      <rPr>
        <vertAlign val="subscript"/>
        <sz val="11"/>
        <color theme="1"/>
        <rFont val="Calibri"/>
        <family val="2"/>
        <scheme val="minor"/>
      </rPr>
      <t>4</t>
    </r>
    <r>
      <rPr>
        <sz val="11"/>
        <color theme="1"/>
        <rFont val="Calibri"/>
        <family val="2"/>
        <scheme val="minor"/>
      </rPr>
      <t>/KH</t>
    </r>
    <r>
      <rPr>
        <vertAlign val="subscript"/>
        <sz val="11"/>
        <color theme="1"/>
        <rFont val="Calibri"/>
        <family val="2"/>
        <scheme val="minor"/>
      </rPr>
      <t>2</t>
    </r>
    <r>
      <rPr>
        <sz val="11"/>
        <color theme="1"/>
        <rFont val="Calibri"/>
        <family val="2"/>
        <scheme val="minor"/>
      </rPr>
      <t>PO</t>
    </r>
    <r>
      <rPr>
        <vertAlign val="subscript"/>
        <sz val="11"/>
        <color theme="1"/>
        <rFont val="Calibri"/>
        <family val="2"/>
        <scheme val="minor"/>
      </rPr>
      <t>4</t>
    </r>
    <r>
      <rPr>
        <sz val="11"/>
        <color theme="1"/>
        <rFont val="Calibri"/>
        <family val="2"/>
        <scheme val="minor"/>
      </rPr>
      <t>, 100x10</t>
    </r>
    <r>
      <rPr>
        <vertAlign val="superscript"/>
        <sz val="11"/>
        <color theme="1"/>
        <rFont val="Calibri"/>
        <family val="2"/>
        <scheme val="minor"/>
      </rPr>
      <t>-3</t>
    </r>
    <r>
      <rPr>
        <sz val="11"/>
        <color theme="1"/>
        <rFont val="Calibri"/>
        <family val="2"/>
        <scheme val="minor"/>
      </rPr>
      <t>M, pH 7)</t>
    </r>
  </si>
  <si>
    <t>Müller 2005</t>
  </si>
  <si>
    <r>
      <t>HDPE (+3%TDPA</t>
    </r>
    <r>
      <rPr>
        <vertAlign val="superscript"/>
        <sz val="11"/>
        <color theme="1"/>
        <rFont val="Calibri"/>
        <family val="2"/>
        <scheme val="minor"/>
      </rPr>
      <t>TM</t>
    </r>
    <r>
      <rPr>
        <sz val="11"/>
        <color theme="1"/>
        <rFont val="Calibri"/>
        <family val="2"/>
        <scheme val="minor"/>
      </rPr>
      <t>)</t>
    </r>
  </si>
  <si>
    <r>
      <t>LLDPE (+7%TDPA</t>
    </r>
    <r>
      <rPr>
        <vertAlign val="superscript"/>
        <sz val="11"/>
        <color theme="1"/>
        <rFont val="Calibri"/>
        <family val="2"/>
        <scheme val="minor"/>
      </rPr>
      <t>TM</t>
    </r>
    <r>
      <rPr>
        <sz val="11"/>
        <color theme="1"/>
        <rFont val="Calibri"/>
        <family val="2"/>
        <scheme val="minor"/>
      </rPr>
      <t>)</t>
    </r>
  </si>
  <si>
    <t>Mc Donald's Bag (Malyasia)</t>
  </si>
  <si>
    <t>Garbage Bag (Japan)</t>
  </si>
  <si>
    <t>Simulated Municipal Solid Waste (MSW) Aerobic Compost Environment</t>
  </si>
  <si>
    <t>Agamuthu 2005</t>
  </si>
  <si>
    <t>Sudhakar et al. 2007</t>
  </si>
  <si>
    <t>Meerwasser (3m Tiefe)</t>
  </si>
  <si>
    <t xml:space="preserve">LLDPE 100 </t>
  </si>
  <si>
    <t>LLDPE 80</t>
  </si>
  <si>
    <t>80 wt % LLDPE, 20 wt % PLLA</t>
  </si>
  <si>
    <t>M-g-L 80/4</t>
  </si>
  <si>
    <t>80 wt % LLDPE, 20 wt % PLLA, 4 phr compatibilizer (M-g-L)</t>
  </si>
  <si>
    <t>Mature Compost (Municipal solid waste), Inkubator</t>
  </si>
  <si>
    <t>37°C (1. Tag), 50°C (2-5), 37°C (6-28)</t>
  </si>
  <si>
    <t>Singh et al 2012</t>
  </si>
  <si>
    <t>LDPE/potato starch</t>
  </si>
  <si>
    <t>Strips</t>
  </si>
  <si>
    <t>Pseudomonas aeroginosa</t>
  </si>
  <si>
    <t>Inkubator (Humidity &gt; 90)</t>
  </si>
  <si>
    <t>Borghei 2010</t>
  </si>
  <si>
    <t>sterilizing them with 1% hypochlorite and
quick dip in alcohol</t>
  </si>
  <si>
    <t>BHB</t>
  </si>
  <si>
    <t>Labor</t>
  </si>
  <si>
    <t>Sharon 2012</t>
  </si>
  <si>
    <t>AIA</t>
  </si>
  <si>
    <t>bedingt</t>
  </si>
  <si>
    <t>Samples of 25 X 25 X 3 mm size</t>
  </si>
  <si>
    <t>LDPE/MB (80/20%)</t>
  </si>
  <si>
    <t>biodegradable</t>
  </si>
  <si>
    <t>(ja)</t>
  </si>
  <si>
    <t>Polyurethane [Polyether based Polyurethane (PU)]</t>
  </si>
  <si>
    <t>Muthukumar 2011</t>
  </si>
  <si>
    <t>Silicone rubber</t>
  </si>
  <si>
    <t>Garbage Bag  (Hong Kong)</t>
  </si>
  <si>
    <t>Hinzugefügt von (Datum)</t>
  </si>
  <si>
    <t>sflo (4.12.19)</t>
  </si>
  <si>
    <t>dried overnight (60°C), disinfested (30min in 70% ethanol) and added to flasks, each containing 100ml of Synthetic Medium</t>
  </si>
  <si>
    <t>Microcentrifuge (1000rpm)</t>
  </si>
  <si>
    <t>Sivan 2006</t>
  </si>
  <si>
    <t>PP-UT</t>
  </si>
  <si>
    <t>PP-TT</t>
  </si>
  <si>
    <t>Commercial PP (Reliance Industries Ltd. Mumbai India)</t>
  </si>
  <si>
    <t>Unpretreated, sterilised overnight in 70% ethanol</t>
  </si>
  <si>
    <t xml:space="preserve">80°C for 10 days, sterilised overnight in 70% ethanol </t>
  </si>
  <si>
    <t>1% Soil Sample, from local plastic dumping site; two chemical solutions</t>
  </si>
  <si>
    <t>30-37</t>
  </si>
  <si>
    <t>Erlenmeyerkolben, Orbitek shaker 180rpm</t>
  </si>
  <si>
    <t>Arkatkar et al. 2009</t>
  </si>
  <si>
    <t xml:space="preserve">PLA </t>
  </si>
  <si>
    <t>precast food containers produced from semi crystalline PLA resins</t>
  </si>
  <si>
    <t>sterilized with 70% ethanol</t>
  </si>
  <si>
    <t>Compost</t>
  </si>
  <si>
    <t>Compost (labor)</t>
  </si>
  <si>
    <t>Soil</t>
  </si>
  <si>
    <t>Soil (Labor)</t>
  </si>
  <si>
    <t>Karamanlioglu 2013</t>
  </si>
  <si>
    <t>sflo (4.12.2019)</t>
  </si>
  <si>
    <t>Accelerated</t>
  </si>
  <si>
    <t>Cellulose</t>
  </si>
  <si>
    <t>Pellets</t>
  </si>
  <si>
    <t>PLA Composite with 30 wt % buriti fiber</t>
  </si>
  <si>
    <t>Triacetin-containing PLA (5 wt%)</t>
  </si>
  <si>
    <t>PLA with triacetin (5wt%) and buriti fiber (30wt%)</t>
  </si>
  <si>
    <t>extruded, milled, dried, compression molded (180°C)</t>
  </si>
  <si>
    <t>22-25</t>
  </si>
  <si>
    <t>7,9-8,5</t>
  </si>
  <si>
    <t>Meerwasser (Labor Aquarium), UV Beleuchtung</t>
  </si>
  <si>
    <t>Pelegrini 2016</t>
  </si>
  <si>
    <t>Quelle</t>
  </si>
  <si>
    <t>no value</t>
  </si>
  <si>
    <t>Boden (agricultural soil)</t>
  </si>
  <si>
    <t>Boden (from Landfills)</t>
  </si>
  <si>
    <r>
      <t xml:space="preserve">Natürliche Umgebung
</t>
    </r>
    <r>
      <rPr>
        <sz val="11"/>
        <color theme="1"/>
        <rFont val="Calibri"/>
        <family val="2"/>
        <scheme val="minor"/>
      </rPr>
      <t>[ja/nein]</t>
    </r>
  </si>
  <si>
    <r>
      <t xml:space="preserve">Surface Area
</t>
    </r>
    <r>
      <rPr>
        <sz val="11"/>
        <color theme="1"/>
        <rFont val="Calibri"/>
        <family val="2"/>
        <scheme val="minor"/>
      </rPr>
      <t>[m2]</t>
    </r>
  </si>
  <si>
    <t>Bedingungen: Temp.[°C]</t>
  </si>
  <si>
    <t>Bedingungen: pH-Wert</t>
  </si>
  <si>
    <t>Bedingungen: rel. Luft. [%]</t>
  </si>
  <si>
    <t>Bedingungen: Wasserg. [%]</t>
  </si>
  <si>
    <t>Bedingungen: Sauerstoff-Milieu</t>
  </si>
  <si>
    <t>Bedingungen: Inkubation</t>
  </si>
  <si>
    <r>
      <t xml:space="preserve">specific surface degradation rate (SSDR)
</t>
    </r>
    <r>
      <rPr>
        <sz val="11"/>
        <color theme="1"/>
        <rFont val="Calibri"/>
        <family val="2"/>
        <scheme val="minor"/>
      </rPr>
      <t>[µm*y-1]</t>
    </r>
  </si>
  <si>
    <t>Empfehlung für Delphi - Rangfolgen (J/N/V)</t>
  </si>
  <si>
    <t>Empfehlung für Delphi - Abbauzeiten (J/N/V)</t>
  </si>
  <si>
    <t>Plastikart</t>
  </si>
  <si>
    <t>Details zur Plastikart</t>
  </si>
  <si>
    <t>?</t>
  </si>
  <si>
    <t>Boden/Kompost</t>
  </si>
  <si>
    <t>Umgebungs-kategorie</t>
  </si>
  <si>
    <t>in Sangwon enthalten?</t>
  </si>
  <si>
    <t>Plastiktüten aus mind. 30% bio-basiertem PLA, zertifiziert für home-composting</t>
  </si>
  <si>
    <t>Plastic bag for fruits / vegetables</t>
  </si>
  <si>
    <t>air-dried, cut into strips of 20 x 15 cm</t>
  </si>
  <si>
    <t>-1,3 bis 22,7</t>
  </si>
  <si>
    <t>Artru &amp; Lecerf 2019</t>
  </si>
  <si>
    <t>Ufersubstrat eines Flusses</t>
  </si>
  <si>
    <t>3,6 bis 11,1</t>
  </si>
  <si>
    <t>4 - 5</t>
  </si>
  <si>
    <t>-2 bis 3</t>
  </si>
  <si>
    <t>PBS (pellets)</t>
  </si>
  <si>
    <t>powder</t>
  </si>
  <si>
    <t>pellets</t>
  </si>
  <si>
    <t>mixture of soil and deionized water ratio of 1:2,5</t>
  </si>
  <si>
    <t>Chinaglia et al. 2018</t>
  </si>
  <si>
    <t>PCL/Stärke (60/40 w/w)</t>
  </si>
  <si>
    <t>Mater-bi (Novamont) film supplied by Deltalène</t>
  </si>
  <si>
    <t>aliphatic/aromatic polyester</t>
  </si>
  <si>
    <t>Ecoflex (SASF)</t>
  </si>
  <si>
    <t>PE with pro-oxidant</t>
  </si>
  <si>
    <t xml:space="preserve">
Actimais, SMS Trioplast
additives</t>
  </si>
  <si>
    <t>Feuilloley et al. 2005</t>
  </si>
  <si>
    <t>Gajendiran et al. 2016</t>
  </si>
  <si>
    <t>Arkatkar et al. 2010</t>
  </si>
  <si>
    <t>O'Brine &amp; Thompson 2010</t>
  </si>
  <si>
    <t>Dilkes-Hoffman et al. 2019</t>
  </si>
  <si>
    <t>Guo et al. 2012</t>
  </si>
  <si>
    <t>Auta et al. 2017</t>
  </si>
  <si>
    <t>Jeyakumar et al. 2013</t>
  </si>
  <si>
    <t>Mor &amp; Sivan 2008</t>
  </si>
  <si>
    <t>Napper &amp; Thompson 2019</t>
  </si>
  <si>
    <t>Resmerita et al. 2018</t>
  </si>
  <si>
    <t>Tosin et al. 2019</t>
  </si>
  <si>
    <t>Tribedi et al. 2017</t>
  </si>
  <si>
    <t>Tsuchii &amp; Tokiwa 2001</t>
  </si>
  <si>
    <t>Wang et al 2004</t>
  </si>
  <si>
    <t>Webb et al. 2000</t>
  </si>
  <si>
    <t>Tsuchii et al 1984</t>
  </si>
  <si>
    <r>
      <t>20-</t>
    </r>
    <r>
      <rPr>
        <sz val="11"/>
        <color theme="1"/>
        <rFont val="Calibri"/>
        <family val="2"/>
      </rPr>
      <t>µ</t>
    </r>
    <r>
      <rPr>
        <sz val="11"/>
        <color theme="1"/>
        <rFont val="Calibri"/>
        <family val="2"/>
        <scheme val="minor"/>
      </rPr>
      <t>m-thick bags from Vellore market</t>
    </r>
  </si>
  <si>
    <t>Laboratory</t>
  </si>
  <si>
    <t>25-30</t>
  </si>
  <si>
    <t>d2w polyethylene (oxo-biodegradable) with Totally Degradable Plastics Additives (TDPA™)</t>
  </si>
  <si>
    <t>EPI polyethylene (oxo-biodegradable) with Totally Degradable Plastics Additives (TDPA™)</t>
  </si>
  <si>
    <t>BioBag (Mater-Bi) consists of corn starch, vegetable oils and compostable esters</t>
  </si>
  <si>
    <t>PE-based, oxo-degradable</t>
  </si>
  <si>
    <t>standard polyethylene bag produced from 33% recycled materials</t>
  </si>
  <si>
    <t>Meerwasser (0,6 m Tiefe)</t>
  </si>
  <si>
    <t>tensile strength</t>
  </si>
  <si>
    <t>surface area remaining</t>
  </si>
  <si>
    <t>microorganisms isolated from landfill soil</t>
  </si>
  <si>
    <t>PP + 2% additive</t>
  </si>
  <si>
    <t>PS + 2% additive</t>
  </si>
  <si>
    <t>Blend of polypropylene (PP) with 2% ECM MasterBatch Pellets  additive (ECM BioFilms Inc., OH, U.S.)</t>
  </si>
  <si>
    <t>Blend of polystyrene (PS) with 2% ECM MasterBatch Pellets  additive (ECM BioFilms Inc., OH, U.S.)</t>
  </si>
  <si>
    <t>Blend of polyethylene terephthalate (PETE) with 1% EcoPure  additive (Bio-Tec Environmental LLC., NM, U.S.).</t>
  </si>
  <si>
    <t>PETE + 1% additive</t>
  </si>
  <si>
    <t>Plastarch: A blend of polypropylene with corn starch.</t>
  </si>
  <si>
    <t>PP/Stärke</t>
  </si>
  <si>
    <t>Blend of an aliphatic aromatic co-polyester with a corn starch-derived polymer (Ecobras , BASF)</t>
  </si>
  <si>
    <t>Made from a wheat starch-derived resin (OP-47 Bio , Summit Plastic Company, OH, U.S.)</t>
  </si>
  <si>
    <t>Made from polyhydroxyalkanoates-based resin (Metabolix, MA, U.S.)</t>
  </si>
  <si>
    <t>The soil media used for the experiments was a mixture of 43% certified organic top soil, 43% no-till farm soil and 14% sand. The soil media was amended with ammonium phosphate (Fisher Scientific, PA, U.S.) to maintain a C:N ratio of 20:1 based on the carbon content of the test specimen.</t>
  </si>
  <si>
    <t>An 80 g sample of each test specimenwas mixed with 350 g dry of mature compost inoculum. The compost contained a mixture of dairy manure and hardwood sawdust as described elsewhere. The screened compost was amended with ammonium phosphate (Fisher Scientific, PA, U.S.) to give a C:N ratio of 20:1 including the carbon content of the test specimen. The initial moisture content of the mixture was adjusted to 60%.</t>
  </si>
  <si>
    <t>Anaerobic digestion (AD)</t>
  </si>
  <si>
    <t>air was saturated by bubbling through bottles containing water at the incubator temperature</t>
  </si>
  <si>
    <t>wheat-starch derived resin</t>
  </si>
  <si>
    <t>0,9-1,0</t>
  </si>
  <si>
    <t>Poly(ε-caprolactone) [PCL] samples (CAPA 680) were received from Solvay – Belgium</t>
  </si>
  <si>
    <t>strips</t>
  </si>
  <si>
    <t>Meerwasser (2m unter der Oberfläche)</t>
  </si>
  <si>
    <t>Seewasser (2m unter der Oberfläche)</t>
  </si>
  <si>
    <t>Cristallinity changes</t>
  </si>
  <si>
    <t>18-19</t>
  </si>
  <si>
    <t>21-3</t>
  </si>
  <si>
    <t>Heimowska et al. 2017</t>
  </si>
  <si>
    <t>pure standard polystyrene flakes comprising a mixture of polymers of two different molecular weights, 4,000 and 200,000 (Sigma Cat. Number 33,165-1);</t>
  </si>
  <si>
    <t>polyethylene-degrading bacterium R. ruber strain C208</t>
  </si>
  <si>
    <t>Oxobio1</t>
  </si>
  <si>
    <t>Oxiobio2</t>
  </si>
  <si>
    <t>biodegradable bag</t>
  </si>
  <si>
    <t>compostable bag</t>
  </si>
  <si>
    <t>high-density polyethylene (HDPE) carrier bag</t>
  </si>
  <si>
    <t>Labor (blacked-out box)</t>
  </si>
  <si>
    <t>open air</t>
  </si>
  <si>
    <t>soil (buried to a depth of approximately 0.25 m)</t>
  </si>
  <si>
    <t>marine environment (submerged on a beam at a depth of approximately 1 m)</t>
  </si>
  <si>
    <t>8,8-18,8</t>
  </si>
  <si>
    <t>8,8-18,9</t>
  </si>
  <si>
    <t>8,8-18,10</t>
  </si>
  <si>
    <t>8,8-18,11</t>
  </si>
  <si>
    <t>8,8-18,12</t>
  </si>
  <si>
    <t>1,5-21,5</t>
  </si>
  <si>
    <t>1,5-21,6</t>
  </si>
  <si>
    <t>1,5-21,7</t>
  </si>
  <si>
    <t>1,5-21,8</t>
  </si>
  <si>
    <t>1,5-21,9</t>
  </si>
  <si>
    <t>Messkriterium</t>
  </si>
  <si>
    <t>flower pots</t>
  </si>
  <si>
    <t>dried at 80°C for 18h</t>
  </si>
  <si>
    <r>
      <t>PLA/PFF(poultry feather fibre)/Stärke (80/5/15%)</t>
    </r>
    <r>
      <rPr>
        <vertAlign val="superscript"/>
        <sz val="11"/>
        <color theme="1"/>
        <rFont val="Calibri"/>
        <family val="2"/>
        <scheme val="minor"/>
      </rPr>
      <t>a</t>
    </r>
  </si>
  <si>
    <t>PFF(poultry feather fibre)/urea/glycerol (50/25/25)</t>
  </si>
  <si>
    <t>Kompost (Labor)</t>
  </si>
  <si>
    <t>Checked CB?</t>
  </si>
  <si>
    <t>PLA (Folie)</t>
  </si>
  <si>
    <t>PBS/Stärke (50/50) (Folie)</t>
  </si>
  <si>
    <t>PBS/Stärke (50/50) (Pulver)</t>
  </si>
  <si>
    <t>bacterial biomass 7.5 × 108 cells/g-soil)</t>
  </si>
  <si>
    <t xml:space="preserve">PLA (Mitsui Chemicals, Tokyo, Japan)
</t>
  </si>
  <si>
    <t>PBS (Showa Highpolymer, Tokyo, Japan)</t>
  </si>
  <si>
    <t xml:space="preserve">PBS-starch (Matsubara Shoji, Tokyo, Japan)
</t>
  </si>
  <si>
    <t>35-40</t>
  </si>
  <si>
    <t xml:space="preserve">pre-exposed to environmental condition
</t>
  </si>
  <si>
    <t>PBS 1020 (commercially named Bionolle 1020), obtained from Toyo Plastics Co., Ltd. (Japan), and manufactured by Showa High Polymer Co., Ltd. (Japan)</t>
  </si>
  <si>
    <t>dried for 24 h at 80 °C</t>
  </si>
  <si>
    <t>Kompost (3 month-old compost, derived from properly aerated organic mature compost)</t>
  </si>
  <si>
    <t>Link</t>
  </si>
  <si>
    <t>Coupon</t>
  </si>
  <si>
    <t>Spezifikation</t>
  </si>
  <si>
    <t>Sonstiges</t>
  </si>
  <si>
    <t>dried overnight (80°C)</t>
  </si>
  <si>
    <t>PLA dried overnight (80°C); PHB treated at 40°C for 4 h</t>
  </si>
  <si>
    <t>PLA-PEG</t>
  </si>
  <si>
    <t>PLA/PHB (75/25%)-PEG</t>
  </si>
  <si>
    <t>PLA/PHB (75/25%)-ATBC</t>
  </si>
  <si>
    <t>PLA by NatureWorks LLC, PHB by Biomer, PEG and ATBC by Sigma-Aldrich</t>
  </si>
  <si>
    <t>PLA-ATBC</t>
  </si>
  <si>
    <t>tire rubber, in particles with a volume of 3 cm3</t>
  </si>
  <si>
    <t>Low Density Polyethylene (LDPE), with commercial grade (0200) from Bandar Imam petrochemical complex, Iran. Food grade potato starch from Alvand co. Iran. Glycerol with food grade from Merck co. Germany. Polyethylene grafted maleic anhydride (PE-g- Ma) from Karankin Co., Iran</t>
  </si>
  <si>
    <t>particles made of tread by freezing and crushing tread-rubber removed from the test tire</t>
  </si>
  <si>
    <t>LDPE/Stärke (90/10%)</t>
  </si>
  <si>
    <t>LDPE/Stärke (70/30%)</t>
  </si>
  <si>
    <t>LDPE/Stärke (60/40%)</t>
  </si>
  <si>
    <t>LDPE/Stärke (50/50%)</t>
  </si>
  <si>
    <t>LDPE/Stärke (40/60%)</t>
  </si>
  <si>
    <t>PHBV pellets were dried at 50 C under vacuum for 24 h</t>
  </si>
  <si>
    <t>PHBV with a molar ratio ofHB to HV of92:8 and commercialized in pellet form under the name ENMAT Y1000P was supplied by Tianan Biological Materials Co. Ltd. (China).</t>
  </si>
  <si>
    <t>https://www.sciencedirect.com/science/article/pii/0141391094900744</t>
  </si>
  <si>
    <t xml:space="preserve">Mirel PHA- 2200 and Mirel PHA- 4100 --&gt; both are similar materials with differences only in percentage of crystallinity.
</t>
  </si>
  <si>
    <t>Natureworks PLA bottle and Natureworks PLA Frito Lay bag with aluminum coating</t>
  </si>
  <si>
    <t>Avicell microcellulose powder</t>
  </si>
  <si>
    <t>LDPE film with bio-additive at 1 to 3% concentrations</t>
  </si>
  <si>
    <t>3,11-4,45</t>
  </si>
  <si>
    <t>38,22-45,08</t>
  </si>
  <si>
    <t>PLA/NPK (62,5/37,5%)</t>
  </si>
  <si>
    <t>PLA/NPK/EFP (50/12,5/37,5%)</t>
  </si>
  <si>
    <t>PLA/NPK/EFP (37,5/25/37,5%)</t>
  </si>
  <si>
    <t>biochemical oxygen demand (BOD)</t>
  </si>
  <si>
    <t>Boden (Municipal Solid Waste)</t>
  </si>
  <si>
    <t>Boden (natural soil)</t>
  </si>
  <si>
    <t>Mikroorganismen aus municipal solid waste</t>
  </si>
  <si>
    <t>PLA: Natureworks PLA (Cargill Dow)</t>
  </si>
  <si>
    <r>
      <t>PCL: TONE</t>
    </r>
    <r>
      <rPr>
        <vertAlign val="superscript"/>
        <sz val="11"/>
        <color theme="1"/>
        <rFont val="Calibri"/>
        <family val="2"/>
        <scheme val="minor"/>
      </rPr>
      <t>TM</t>
    </r>
    <r>
      <rPr>
        <sz val="11"/>
        <color theme="1"/>
        <rFont val="Calibri"/>
        <family val="2"/>
        <scheme val="minor"/>
      </rPr>
      <t xml:space="preserve"> polymer P-787 (Union Carbide/Dow)</t>
    </r>
  </si>
  <si>
    <t>Eastar bio (EB) supplied by Eastman.</t>
  </si>
  <si>
    <r>
      <t>PCL: TONE</t>
    </r>
    <r>
      <rPr>
        <vertAlign val="superscript"/>
        <sz val="11"/>
        <color theme="1"/>
        <rFont val="Calibri"/>
        <family val="2"/>
        <scheme val="minor"/>
      </rPr>
      <t>TM</t>
    </r>
    <r>
      <rPr>
        <sz val="11"/>
        <color theme="1"/>
        <rFont val="Calibri"/>
        <family val="2"/>
        <scheme val="minor"/>
      </rPr>
      <t xml:space="preserve"> polymer P-787 (Union Carbide/Dow). blend starch + polycaprolactone: Mater-bi (MB) (Novamont)</t>
    </r>
  </si>
  <si>
    <t>Zellulose</t>
  </si>
  <si>
    <t>Wasser (Labor)</t>
  </si>
  <si>
    <t xml:space="preserve">Two different grades of PLA from NatureWorks were used in this study (PLA8302D/amorphous aPLA and PLA2002D/ semicrystalline cPLA)
</t>
  </si>
  <si>
    <t>Two different grades of PLA from NatureWorks were used in this study (PLA8302D/amorphous aPLA and PLA2002D/ semicrystalline cPLA) + wood fibers from yellow birch (HW)</t>
  </si>
  <si>
    <t>The biocomposite films were cut into rectangular shapes with the size of 3x4 cm, and dried at 5063C overnight prior to the testing. The samples from each formulation were placed in compost.</t>
  </si>
  <si>
    <t>PLA/B (70/30%)</t>
  </si>
  <si>
    <t>PLA/T (95/5%)</t>
  </si>
  <si>
    <t>PLA/B/T (65/30/5%)</t>
  </si>
  <si>
    <t>HDPE + pro-oxidant</t>
  </si>
  <si>
    <t>LDPE + pro-oxidant</t>
  </si>
  <si>
    <t>HDPE/catalyst</t>
  </si>
  <si>
    <t>LDPE/catalyst</t>
  </si>
  <si>
    <t>PP/Stärke (95/5%)</t>
  </si>
  <si>
    <t>HDPE/Stärke (95/5%)</t>
  </si>
  <si>
    <t>BioBag</t>
  </si>
  <si>
    <t>pro-degradant additive master batch (MB) consisted mainly of corn starch, linear low-density polyethylene as the carrier resin, styrene-butadiene copolymer and manganese stearate</t>
  </si>
  <si>
    <t>cut into dumb-bell shaped samples according to PN-EN ISO Standard</t>
  </si>
  <si>
    <t>PCL with processing additive 1</t>
  </si>
  <si>
    <t>PCL with processing additive 2</t>
  </si>
  <si>
    <t>PCL with processing additive 4</t>
  </si>
  <si>
    <t>PCL with processing additive 3</t>
  </si>
  <si>
    <t>8,85-21,23</t>
  </si>
  <si>
    <t>8,0-8,68</t>
  </si>
  <si>
    <t>Rutkowska et al. 1998</t>
  </si>
  <si>
    <t>CB (März 2020)</t>
  </si>
  <si>
    <t>contained 1% by weight of a proprietary nucleating agent</t>
  </si>
  <si>
    <t>polymer films were incubated in sterilized seawater for 96 h.</t>
  </si>
  <si>
    <t>valerate content by weight: 12%; contained 1% by weight of a proprietary nucleating agent</t>
  </si>
  <si>
    <t>valerate content by weight: 8%; contained 1% by weight of a proprietary nucleating agent</t>
  </si>
  <si>
    <t>valerate content by weight: 5%; contained 1% by weight of a proprietary nucleating agent</t>
  </si>
  <si>
    <t>13 marine microorganisms</t>
  </si>
  <si>
    <t>inoculum slurry of marine sediment.</t>
  </si>
  <si>
    <t>Meerwasser (Aquarium)</t>
  </si>
  <si>
    <t>https://www.sciencedirect.com/science/article/pii/S0269749117309648</t>
  </si>
  <si>
    <t>Auta et al. 2018</t>
  </si>
  <si>
    <t>75-88</t>
  </si>
  <si>
    <t>5-95</t>
  </si>
  <si>
    <t>2,32 g CO2 pro l</t>
  </si>
  <si>
    <t>pellets (ground to powder)</t>
  </si>
  <si>
    <t>pieces of polyethylene bags</t>
  </si>
  <si>
    <t>Sixty bacterial isolates</t>
  </si>
  <si>
    <t>bacterium Cupriavidus necator (former Ralstonia eutropha)</t>
  </si>
  <si>
    <t>recovery of PHB from dried biomass was carried out by digestion method using sodium hypochlorite</t>
  </si>
  <si>
    <t>recovery of PHB from dried biomass was carried out by digestion method using sodium hypochlorite; Cellulose Acetate Butyrate (CAB) was used as blending agent</t>
  </si>
  <si>
    <t xml:space="preserve">bags were cut into smaller pieces 25x25 mm, and vacuum-dried at 40 ± 2o C for 72 h
</t>
  </si>
  <si>
    <t xml:space="preserve">100% compostable and biodegradable plastic made from potato almidon; manufactured by SPHERE-SPAIN into shopping bags with a commercial final usage at AENA airports
</t>
  </si>
  <si>
    <t>vacuum-dried at 40°C for 72 h</t>
  </si>
  <si>
    <t>strips and pellets</t>
  </si>
  <si>
    <t>Sheets of 25 mm x 25 mm x 3 mm as well as cylindrical pieces of 15 mm x 15 mm x 12 mm</t>
  </si>
  <si>
    <t>PLA bottles (500 mL) used for packaging of spring water, commercialized by Biota brands of America (Telluride, CO), were obtained from NatureWorksTM PLA (Blair, NE). The PLA bottles were composed of 96% L-lactide with bluetone additive and had dimensions of 0.2m height and 0.065m in base diameter</t>
  </si>
  <si>
    <t>LDPE of grade 24FS040, density 0.923 g/cm3 and meltfow index (MFI) 0.44 g per 10 min obtained from Indian Petrochemical Co. Ltd., Vadodara, India, about 0.2 g weight</t>
  </si>
  <si>
    <t>Dumbbell</t>
  </si>
  <si>
    <t>PE-based, oxo-biodegradable</t>
  </si>
  <si>
    <t>PE-based, biodegradable</t>
  </si>
  <si>
    <t>PE-based, compostable</t>
  </si>
  <si>
    <t>Luft</t>
  </si>
  <si>
    <t>dried overnight at 60°C, weighed, disinfested</t>
  </si>
  <si>
    <t>Polystyrene</t>
  </si>
  <si>
    <t>commercially available HDPE with additives</t>
  </si>
  <si>
    <t>P(3HB) was purified by a previously reported method. The purified P(3HB) was dissolved in chloroform (20 mg/mL) at 60 C to make a solvent cast film at 25 C for 1 week.</t>
  </si>
  <si>
    <t>Solvent cast film of the nylon 4was prepared from nylon 4/2,2,2trifluoroethanol (Wako Pure Chemical Industries, Ltd., Osaka, Japan) solution (20 g/L) at 25 C for 1 week</t>
  </si>
  <si>
    <t xml:space="preserve">Photodegradable films were exposed to sunlight for 6 and 12 weeks prior to their burial in soil but, for comparison, were also tested in soil without prior photoexpo- sure
</t>
  </si>
  <si>
    <t>PE/Stärke (98,5/1,5%)</t>
  </si>
  <si>
    <t xml:space="preserve">Boden (Labor) - Freshly collected Nixon sandy loam (College Farm, New Brunswick, N.J.) was used. In terms of texture, this soil is composed of 50% sand, 21% silt, and 29% clay. The organic matter content of the soil was 5%
</t>
  </si>
  <si>
    <t>Shreds</t>
  </si>
  <si>
    <t>Garbage bag, Good Sense, Webster (black or clear) - shredded to a size of 3-5mm x 1-2 mm</t>
  </si>
  <si>
    <t>Garbage bag, Bioguard (Guardian Poly), red - shredded to a size of 3-5mm x 1-2 mm</t>
  </si>
  <si>
    <t>Shopping Bag, AMCO Plastics, white - shredded to a size of 3-5mm x 1-2 mm</t>
  </si>
  <si>
    <t>Food wrap, manufacturer unknown, clear - shredded to a size of 3-5mm x 1-2 mm</t>
  </si>
  <si>
    <t>Food wrap, Borden Resinite, clear - shredded to a size of 3-5mm x 1-2 mm</t>
  </si>
  <si>
    <t>Zumstein et al. 2018</t>
  </si>
  <si>
    <t xml:space="preserve">poly(butylene adipate-co-terephthalate) (PBAT)
</t>
  </si>
  <si>
    <t>Before incubation in soil, the solvent-cast polyester films were stored in the dark at room temperature for 1 week to ensure complete evaporation ofthe solvent (chloroform).</t>
  </si>
  <si>
    <t>We studied three PBAT variants that had similar physicochemical properties and comparable total 13C contents, but varied in the monomer that contained the 13C-label[that is,butanediol(P*BAT), adipate (PB*AT), or terephthalate (PBA*T)]</t>
  </si>
  <si>
    <t>8-13</t>
  </si>
  <si>
    <t>Artikel nicht gefunden</t>
  </si>
  <si>
    <t>Poly[3-hydroxybutyrate)-co-(3-hxdroxyvalerate)]</t>
  </si>
  <si>
    <t>Bacteria were extracted from fertile garden soil</t>
  </si>
  <si>
    <t>rotating (200rpm)</t>
  </si>
  <si>
    <t>shaking (1980 rpm)</t>
  </si>
  <si>
    <t>shaken (50 rpm)</t>
  </si>
  <si>
    <t>Husarova et al. 2012</t>
  </si>
  <si>
    <t>--</t>
  </si>
  <si>
    <t>Weng et al.  2011</t>
  </si>
  <si>
    <t>5g/sample</t>
  </si>
  <si>
    <t>Samples (5 g) were vacuum dried for 24 h at 45 C, weighed and buried into the municipal solid waste mixture.</t>
  </si>
  <si>
    <t>Natureworks, USA</t>
  </si>
  <si>
    <t>Biomer, Germany</t>
  </si>
  <si>
    <t>carrier bags sampled at the supermarket</t>
  </si>
  <si>
    <t>11-26</t>
  </si>
  <si>
    <t>Mayonaise bottle</t>
  </si>
  <si>
    <t>Mirel PHA- 2200</t>
  </si>
  <si>
    <t>Plastic samples were pulverized with chopping devices and mortar and pedestal. The samples were kept in an oven and held at 30 +/- 2°C for 26 weeks.</t>
  </si>
  <si>
    <t>Mirel PHA- 4100</t>
  </si>
  <si>
    <t>Natureworks PLA bottle</t>
  </si>
  <si>
    <t>Natureworks PLA Frito Lay bag with aluminum coating</t>
  </si>
  <si>
    <t>LDPE Glad trash bag</t>
  </si>
  <si>
    <t>LDPE with biodegradation additive (1-3%)</t>
  </si>
  <si>
    <r>
      <t>fine particles of poly-e-caprolactone (PCL) with the trade name PLACCEL H7</t>
    </r>
    <r>
      <rPr>
        <vertAlign val="superscript"/>
        <sz val="11"/>
        <color theme="1"/>
        <rFont val="Calibri"/>
        <family val="2"/>
        <scheme val="minor"/>
      </rPr>
      <t>TM</t>
    </r>
    <r>
      <rPr>
        <sz val="11"/>
        <color theme="1"/>
        <rFont val="Calibri"/>
        <family val="2"/>
        <scheme val="minor"/>
      </rPr>
      <t xml:space="preserve">
</t>
    </r>
  </si>
  <si>
    <t>Flusswasser (Mangroven), auf und im Sediment</t>
  </si>
  <si>
    <t>kompostierter Boden (cow manure and grass, having been composted for 10 years)</t>
  </si>
  <si>
    <t>Nets</t>
  </si>
  <si>
    <t>PET nets consisting of fibers of the 34th metrical number were implanted into rabbits and dogs subcutaneously; synthetic PET prosthesis from human patient were also used</t>
  </si>
  <si>
    <t>Sonstige</t>
  </si>
  <si>
    <t xml:space="preserve">Boden (alluvial-type soil) - Soil was maintained at  30% moisture by weight, and the samples were buried at a depth of 12-15 cm
</t>
  </si>
  <si>
    <t>PHA-g-AA</t>
  </si>
  <si>
    <t>PHA-g-AA/Reishülse (RH) (60/40%)</t>
  </si>
  <si>
    <t>&gt;95</t>
  </si>
  <si>
    <t>Schlamm</t>
  </si>
  <si>
    <t>nutrition-depleted activated sludge</t>
  </si>
  <si>
    <t>P(HB-co-12%-HHx)</t>
  </si>
  <si>
    <t>Ecoflex biodegradable plastics</t>
  </si>
  <si>
    <t>pPVC</t>
  </si>
  <si>
    <t>Fungi and yeasts enriched from pPVC exposed to the atmosphere</t>
  </si>
  <si>
    <t>exposure to the atmosphere</t>
  </si>
  <si>
    <t>1,7-6,8</t>
  </si>
  <si>
    <t>Labor (incubation)</t>
  </si>
  <si>
    <t>Sheets: 0,025 m x 0,025 m; pellets: 0,015 m x 0,015 m</t>
  </si>
  <si>
    <t>100% biodegradable sponge cloths obtained from chain stores in the Czech Republic</t>
  </si>
  <si>
    <t>Pullulan</t>
  </si>
  <si>
    <t>Curdlan</t>
  </si>
  <si>
    <t>Poly (3-hydroxybutyrate-co- 3-hydroxyhexanoate), PHBHHx</t>
  </si>
  <si>
    <t>Poly (e-caprolactone), PCL</t>
  </si>
  <si>
    <t>Poly (ethylene glycol), PEG</t>
  </si>
  <si>
    <t>Poly (ethylene oxide), PEO</t>
  </si>
  <si>
    <t>Poly (ester amide), PEA</t>
  </si>
  <si>
    <t>Soluble starch</t>
  </si>
  <si>
    <t>Polyethylene, PE</t>
  </si>
  <si>
    <t>Poly (3-hydroxybutyrate-co- 3-hydroxyvalerate), PHBV</t>
  </si>
  <si>
    <t xml:space="preserve">Chitosan </t>
  </si>
  <si>
    <t>PVA</t>
  </si>
  <si>
    <t>PEG</t>
  </si>
  <si>
    <t>PEO</t>
  </si>
  <si>
    <t>PEA</t>
  </si>
  <si>
    <t xml:space="preserve">Poly (butylenes succinate), PBS </t>
  </si>
  <si>
    <t>Poly (butylenes succinate-co- adipate), PBSA</t>
  </si>
  <si>
    <t>Poly (vinyl alcohol), PVA</t>
  </si>
  <si>
    <t>Poly (propylene carbonate), PPC</t>
  </si>
  <si>
    <t>Poly (lactic acid), PLA</t>
  </si>
  <si>
    <t>PPC</t>
  </si>
  <si>
    <t>PBSA</t>
  </si>
  <si>
    <t>inoculum made of farmland soil and mineral salt solution</t>
  </si>
  <si>
    <t>commercial biodegradable plastic produced by Novamont in the form of pellets</t>
  </si>
  <si>
    <t>Mater-Bi HF03V1</t>
  </si>
  <si>
    <t>Soil enriched with compost (40 g/Kg) and a salt solution</t>
  </si>
  <si>
    <t>LDPE (20 μm) were collected from local markets of Kolkata, India</t>
  </si>
  <si>
    <t>Landfill soil was collected from the solid waste dumping ground ofKolkata, India</t>
  </si>
  <si>
    <t>LDPE films were exposed to UV-irradiation for 100 h at 30 °C</t>
  </si>
  <si>
    <t>as indigenuous (see above) + Rhodococcus, Shewanella and Pseudomonas</t>
  </si>
  <si>
    <t>enriched seawater</t>
  </si>
  <si>
    <t>indingenuous - Kiloniellaceae, Alcanivoracaceae, Brucellaceae, Flavobacteriaceae, Pseudomonadaceae, Bacillaceae and Pseudonocardiaceae</t>
  </si>
  <si>
    <t>whethered PS, having been artificially exposed to microorganisms for 6 months</t>
  </si>
  <si>
    <t>trash at a beach</t>
  </si>
  <si>
    <t>tread rubber particles (TRP) were prepared by cutting tread rubber of a truck tyre with scissors.</t>
  </si>
  <si>
    <t>Reifenabrieb (TRP-0,8) - 100%natural rubber</t>
  </si>
  <si>
    <t>Reifenabrieb (TRP-1,1) - 100%natural rubber</t>
  </si>
  <si>
    <t>Reifenabrieb (TRP-2,3) - 100%natural rubber</t>
  </si>
  <si>
    <t>Reifenabrieb - GTP-T made from scrap truck tyres - 80% natural rubber</t>
  </si>
  <si>
    <t>Ground tyre particles (GTP) were produced by mechanical grinding of used tyres</t>
  </si>
  <si>
    <t>Reifenabrieb - GTP-P made from scrap passenger tyres - 50% natural rubber</t>
  </si>
  <si>
    <t>Nocardia</t>
  </si>
  <si>
    <t>mineral salt water</t>
  </si>
  <si>
    <t>15-66</t>
  </si>
  <si>
    <t>38-63</t>
  </si>
  <si>
    <t>14-38</t>
  </si>
  <si>
    <t>12-40</t>
  </si>
  <si>
    <t>6-11</t>
  </si>
  <si>
    <t>Strain 912</t>
  </si>
  <si>
    <t>Polymer</t>
  </si>
  <si>
    <t xml:space="preserve">pieces of polyethylene bags were been dried overnight at 60 °C, weighed, disinfected (autoclaved at 105 °C for 1 h)
</t>
  </si>
  <si>
    <t>biocomposite films were cut into rectangular shapes and dried at 50-63°C overnight</t>
  </si>
  <si>
    <t>The soil media was a mixture of 43% certified organic top soil, 43% no-till farm soil and 14% sand. The soil media was amended with ammonium phosphate to maintain a C:N ratio of 20:1 based on the carbon content of the test specimen.</t>
  </si>
  <si>
    <t>cleaned with 70% v/v ethanol and dried in a hot air oven at 50  C for 24 h</t>
  </si>
  <si>
    <t>Plastic samples were pulverized. The samples were kept in an oven and held at 30 +/- 2°C for 26 weeks.</t>
  </si>
  <si>
    <t>Mineralisches Material, anaerober Schlamm</t>
  </si>
  <si>
    <t>Thin film strips were cut from the formed films with dimensions of 135mm x 22mm. These strips were cut into irregular nominally 1 cm long samples for biodegradability testing</t>
  </si>
  <si>
    <t>ATPS = anti-microbial thermoplastic starch</t>
  </si>
  <si>
    <t>PBAT/ATPS/PBO/PHGH (91,8/6,3/0,1/0,1%)</t>
  </si>
  <si>
    <t>PBAT/TPS/ATPS/PBO/PHGH (58,9/32,9/6,3/0,1/01,%)</t>
  </si>
  <si>
    <t>TPS = thermoplastic starch</t>
  </si>
  <si>
    <t>PBAT/TPS (60/40)</t>
  </si>
  <si>
    <t>nicht möglich</t>
  </si>
  <si>
    <t>PBS/OMMT (organo-montmorillonite  nanocomposites) (98/2%)</t>
  </si>
  <si>
    <t>PBS/OMMT (organo-montmorillonite  nanocomposites) (90/10%)</t>
  </si>
  <si>
    <t>PBS/OMMT/MA (Maleic anhydride)  (93/2/5%)</t>
  </si>
  <si>
    <t>Kasuya et al. 1998</t>
  </si>
  <si>
    <t>Emadian 2017; Dilkes-Hoffmann et al. 2019</t>
  </si>
  <si>
    <t>nicht vorgesehen</t>
  </si>
  <si>
    <t>Literaturrecherche über PHA</t>
  </si>
  <si>
    <t>Commercial polymer sample from Industrial Insulations Ltd.; average weight of each sample coupon was 21 g</t>
  </si>
  <si>
    <t>Commercial polymer sample from Industrial Insulations Ltd.; average weight of each sample coupon was 35 g</t>
  </si>
  <si>
    <t>Commercial polymer sample from Industrial Insulations Ltd.; average weight of each sample coupon was 20 g</t>
  </si>
  <si>
    <t>diameter 10 mm, height 0,5 cm mass 330+-25 mg</t>
  </si>
  <si>
    <t>7,0-7,5</t>
  </si>
  <si>
    <t>disks of diameter 30 mm, thickness 0,1 mm and mass 73+-5 mg</t>
  </si>
  <si>
    <t>diameter 10 mm, height 2,5 cm mass 350 mg</t>
  </si>
  <si>
    <t>PHBV-3 (3%mol HV)</t>
  </si>
  <si>
    <t>PHBV-20 (20%mol HV)</t>
  </si>
  <si>
    <t>PHBV-40 (40%mol HV)</t>
  </si>
  <si>
    <t>P(3HB, 4HB)</t>
  </si>
  <si>
    <t>PP pellets were cut into plaques</t>
  </si>
  <si>
    <t>washed with distilled water, dried at 40°C under vaccum for 48h</t>
  </si>
  <si>
    <t>Air</t>
  </si>
  <si>
    <t>low density Polyethylene Bralene as a semi-transparent film, containing Omyalen 2021 P (15%w/w) micro-milled lime as a filler in addition to commercial Addiflex HE (5% w/w) pro-oxidant additives</t>
  </si>
  <si>
    <t>low density Polyethylene transparent film, containing pro-oxidant additives based on Mn and Fe stearates</t>
  </si>
  <si>
    <t>oxidized in an aerated oven at 70°C for 40 days</t>
  </si>
  <si>
    <t>oxidized in an aerated oven at 70°C for 80 days</t>
  </si>
  <si>
    <t>Fragments</t>
  </si>
  <si>
    <t>LP (Material b)</t>
  </si>
  <si>
    <t>LP (Material a40)</t>
  </si>
  <si>
    <t>LP (Material a80)</t>
  </si>
  <si>
    <t>EPI containing 3% totally degradable plastic additive (TDPA)</t>
  </si>
  <si>
    <t>samples were cut to sizes of 0,25 to 0,5 cm</t>
  </si>
  <si>
    <t>samples were cut to sizes of 0,5 - 1 mm</t>
  </si>
  <si>
    <t>Commercial PP</t>
  </si>
  <si>
    <t>Starch-blend PP</t>
  </si>
  <si>
    <t>Catalyst-blend PP</t>
  </si>
  <si>
    <t>thermally pretreated at 100°C for 10 days</t>
  </si>
  <si>
    <t>subjected to UV radiation (UV-C) at &gt;300nm wavelength for 10 days</t>
  </si>
  <si>
    <t>fresh mycelium of the previously grown fungus on potato dextrose agar plates</t>
  </si>
  <si>
    <t>bewegt</t>
  </si>
  <si>
    <t>mineral salt medium</t>
  </si>
  <si>
    <t>9,42-18,8</t>
  </si>
  <si>
    <t>4,5-6</t>
  </si>
  <si>
    <t>6,5-8</t>
  </si>
  <si>
    <t>6-9</t>
  </si>
  <si>
    <t>8,5-9,5</t>
  </si>
  <si>
    <t>8,5-9</t>
  </si>
  <si>
    <t>4-5</t>
  </si>
  <si>
    <t>3-5,5</t>
  </si>
  <si>
    <t>9-11</t>
  </si>
  <si>
    <t>isotactic PP microplastic granules (white, spherical)</t>
  </si>
  <si>
    <t>UV treated, sterilized</t>
  </si>
  <si>
    <t>Granules</t>
  </si>
  <si>
    <t>4-6,4</t>
  </si>
  <si>
    <t>PE powder</t>
  </si>
  <si>
    <t>PET granules</t>
  </si>
  <si>
    <t>irradiated for 25 days under UV light</t>
  </si>
  <si>
    <t>bacteria sampled at the sediment of Mangrove sites</t>
  </si>
  <si>
    <t>PS granules</t>
  </si>
  <si>
    <t>PP granules</t>
  </si>
  <si>
    <t>1,6-6,2</t>
  </si>
  <si>
    <t>3,0-6,6</t>
  </si>
  <si>
    <t>5,8-7,4</t>
  </si>
  <si>
    <t>with additives</t>
  </si>
  <si>
    <t>B. subtilis, B. flexus, P. stutzeri, P. azotoformans</t>
  </si>
  <si>
    <t>UV-pretreated at 225 nm for 6 days</t>
  </si>
  <si>
    <t>thermally pretreated at 100°C for 8 days</t>
  </si>
  <si>
    <t>PP films (PP-SUV)</t>
  </si>
  <si>
    <t>PP films (PP-TT)</t>
  </si>
  <si>
    <t>35-37</t>
  </si>
  <si>
    <t>be</t>
  </si>
  <si>
    <t>0,5-0,8</t>
  </si>
  <si>
    <t>0,6-2,7</t>
  </si>
  <si>
    <t>specific surface area [m^2/g]</t>
  </si>
  <si>
    <r>
      <t xml:space="preserve">Density 
</t>
    </r>
    <r>
      <rPr>
        <sz val="11"/>
        <color theme="1"/>
        <rFont val="Calibri"/>
        <family val="2"/>
        <scheme val="minor"/>
      </rPr>
      <t>[g/cm3]</t>
    </r>
  </si>
  <si>
    <t>polybutadiene rubber</t>
  </si>
  <si>
    <t>PES</t>
  </si>
  <si>
    <t>CA</t>
  </si>
  <si>
    <t>PC</t>
  </si>
  <si>
    <t>Anmerkungen</t>
  </si>
  <si>
    <t>Dichte aus anderem Paper übernommen</t>
  </si>
  <si>
    <t>thickness ~ Durchmesser</t>
  </si>
  <si>
    <t>welche Quelle genau? 2015 oder 2018? War referenced in Emadian 2017</t>
  </si>
  <si>
    <t>PBS+</t>
  </si>
  <si>
    <t>PBAT+</t>
  </si>
  <si>
    <t>PCL+</t>
  </si>
  <si>
    <t>HDPE+</t>
  </si>
  <si>
    <t>LDPE+</t>
  </si>
  <si>
    <t>thickness = 2,5-5mm</t>
  </si>
  <si>
    <t>thickness = 0,01-0,012mm</t>
  </si>
  <si>
    <t>Thickness &lt;0,25</t>
  </si>
  <si>
    <t>Thickness = 0,355-0,5mm</t>
  </si>
  <si>
    <t>Thickness = 0,18-0,21mm</t>
  </si>
  <si>
    <t>Thickness = 3-12mm</t>
  </si>
  <si>
    <t>PLA+</t>
  </si>
  <si>
    <t>PE+</t>
  </si>
  <si>
    <t>PET+</t>
  </si>
  <si>
    <t>PP+</t>
  </si>
  <si>
    <t>PS+</t>
  </si>
  <si>
    <t>PHA+</t>
  </si>
  <si>
    <t>PVC+</t>
  </si>
  <si>
    <t>Dichte aus anderem Paper übernommen (Achtung: additives wurden bei der Dichte außer Acht gelassen)</t>
  </si>
  <si>
    <t>Tickness = 0,075-0,125mm</t>
  </si>
  <si>
    <t>PHB+</t>
  </si>
  <si>
    <t>Thicknes = 0,05-0,055mm; Durchmesser der surface area &lt;2mm; Dichte aus anderem Paper übernommen</t>
  </si>
  <si>
    <t>Thicknes = 0,03-0,035mm; Durchmesser der surface area &lt;2mm; Dichte aus anderem Paper übernommen</t>
  </si>
  <si>
    <t>Thickness = 0,5-0,7mm</t>
  </si>
  <si>
    <t>Thickness = 0,2-0,355mm</t>
  </si>
  <si>
    <t>Thickness = 0,05-0,075mm</t>
  </si>
  <si>
    <t>Thickness = 0,15-0,2mm; Dichte aus anderem Paper übernommen</t>
  </si>
  <si>
    <t>Thickness = 0,5-1mm; Dichte aus anderem Paper übernommen</t>
  </si>
  <si>
    <t>specific surface [m^2/m^3]</t>
  </si>
  <si>
    <t>Formfaktor</t>
  </si>
  <si>
    <t>Boxplot 
2.Quartil</t>
  </si>
  <si>
    <t>Flexspalte</t>
  </si>
  <si>
    <t>XXX</t>
  </si>
  <si>
    <t>Hilfsspalte</t>
  </si>
  <si>
    <t>Auswertung der SSDR</t>
  </si>
  <si>
    <t>Dichte von Rodion übernommen</t>
  </si>
  <si>
    <t>Dichte von Rodion übernommen (Achtung: additives wurden bei der Dichte außer Acht gelassen)</t>
  </si>
  <si>
    <t>Thickness = 0,033-0,055mm; Dichte von Rodion übernommen (Achtung: additives wurden bei der Dichte außer Acht gelassen)</t>
  </si>
  <si>
    <t>Tickness = 0,063-0,25mm; Dichte von Rodion übernommen</t>
  </si>
  <si>
    <t>Thickness = 0,152-0,19mm; Dichte von Rodion übernommen</t>
  </si>
  <si>
    <t>Thickness = 0,001-0,09mm; Dichte von Rodion übernommen</t>
  </si>
  <si>
    <t>Thickness = 0,001-0,08mm; Dichte von Rodion übernommen</t>
  </si>
  <si>
    <t>SSDR_n</t>
  </si>
  <si>
    <t>Exponent</t>
  </si>
  <si>
    <t>Ali et al. (2014)</t>
  </si>
  <si>
    <t>Aravinthan et al. (2016)</t>
  </si>
  <si>
    <t>CG (Mai 2020)</t>
  </si>
  <si>
    <t>Cacciari et al. (1993)</t>
  </si>
  <si>
    <t>Das et al. (2012)</t>
  </si>
  <si>
    <t>Fontanella et al. (2013)</t>
  </si>
  <si>
    <t>Giacomucci et al. (2019a)</t>
  </si>
  <si>
    <t>Jeon and Kim (2016)</t>
  </si>
  <si>
    <t>Muhonja et al. (2018)</t>
  </si>
  <si>
    <t>Park and Kim (2019)</t>
  </si>
  <si>
    <t>Peixoto et al. (2017)</t>
  </si>
  <si>
    <t>Skariyachan et al. (2016)</t>
  </si>
  <si>
    <t>Skariyachan et al. (2017)</t>
  </si>
  <si>
    <t>Skariyachan et al. (2018)</t>
  </si>
  <si>
    <t>Tian et al. (2017)</t>
  </si>
  <si>
    <t>Yang et al. (2014)</t>
  </si>
  <si>
    <t>Yang et al. (2015)</t>
  </si>
  <si>
    <t>Giacomucci et al. (2019b) - unpublished</t>
  </si>
  <si>
    <t>Mohanrasu et al. (2018)</t>
  </si>
  <si>
    <t>Nauendorf et al. (2016)</t>
  </si>
  <si>
    <t>Paco et al. (2017)</t>
  </si>
  <si>
    <t>Sangeetha Devi et al. (2019)</t>
  </si>
  <si>
    <t>BAK</t>
  </si>
  <si>
    <t>natürlich</t>
  </si>
  <si>
    <t xml:space="preserve">Anzahl Datensätze </t>
  </si>
  <si>
    <t>Zeilenbeschriftungen</t>
  </si>
  <si>
    <t>Spaltenbeschriftungen</t>
  </si>
  <si>
    <t>Biobasierte Kunststoffe ohne Additive</t>
  </si>
  <si>
    <t>Sediment</t>
  </si>
  <si>
    <t>https://www.tandfonline.com/doi/full/10.1080/10826068.2014.985836?scroll=top&amp;needAccess=true</t>
  </si>
  <si>
    <t>fungal isolates</t>
  </si>
  <si>
    <t>mineral salts medium</t>
  </si>
  <si>
    <t>7.31 g l-1 whereas in control (no PVC pieces) it was 4.90 g l-1 after 4 weeks</t>
  </si>
  <si>
    <t>Raddadi &amp; Fava (2019)</t>
  </si>
  <si>
    <t>https://www.sciencedirect.com/science/article/abs/pii/S030438941200074X</t>
  </si>
  <si>
    <t>exposed for a short duration (20-45 h) in the Ametek-Sepap 12.24 photo-aging unit and then thermo-oxidation was performed in aerated and ventilated oven at 60 C for 336-2712 h.</t>
  </si>
  <si>
    <t>R. rhodochrous ATCC 29672</t>
  </si>
  <si>
    <t>Mineral medium</t>
  </si>
  <si>
    <t>ATP oncentration</t>
  </si>
  <si>
    <t>PP with additives</t>
  </si>
  <si>
    <t>ATP concentration of 2-4 pmol mL-1</t>
  </si>
  <si>
    <t>ATP concentration of 0-6 pmol mL-1</t>
  </si>
  <si>
    <t>https://www.sciencedirect.com/science/article/abs/pii/S014111361930813X</t>
  </si>
  <si>
    <t>https://www.sciencedirect.com/science/article/abs/pii/S1871678418301560</t>
  </si>
  <si>
    <t>https://www.sciencedirect.com/science/article/pii/S0964830516303146</t>
  </si>
  <si>
    <t>https://www.sciencedirect.com/science/article/pii/S0045653519301754</t>
  </si>
  <si>
    <t>https://www.sciencedirect.com/science/article/abs/pii/S1871678416323214</t>
  </si>
  <si>
    <t>https://pubs.acs.org/doi/pdf/10.1021/acs.est.5b02663</t>
  </si>
  <si>
    <t>https://pubs.acs.org/doi/full/10.1021/es504038a</t>
  </si>
  <si>
    <t xml:space="preserve">Enterobacter asburiae YT1 and Bacillus sp. YP1. </t>
  </si>
  <si>
    <t>https://www.sciencedirect.com/science/article/abs/pii/S1011134418301957</t>
  </si>
  <si>
    <t xml:space="preserve"> PHB, PAH and HDPE</t>
  </si>
  <si>
    <t>Micrococcus luteus, Klebsiella pneumonia and Brevibacillus borstelensis</t>
  </si>
  <si>
    <t>https://www.sciencedirect.com/science/article/abs/pii/S0025326X15302277</t>
  </si>
  <si>
    <t>Bags</t>
  </si>
  <si>
    <t>temperate fine-grained organic-rich marine sediments</t>
  </si>
  <si>
    <t>polyethylene and biodegradable plastic carrier bags</t>
  </si>
  <si>
    <t xml:space="preserve"> aerobic and anaerobic benthic microbes</t>
  </si>
  <si>
    <t xml:space="preserve">fungus: Zalerion maritimum </t>
  </si>
  <si>
    <t>https://www.sciencedirect.com/science/article/abs/pii/S0025326X1830852X</t>
  </si>
  <si>
    <t xml:space="preserve">Bacillus spp. and Pseudomonas spp. </t>
  </si>
  <si>
    <t xml:space="preserve">Pseudomonas aeruginosa and Achromobacter sp. </t>
  </si>
  <si>
    <r>
      <t xml:space="preserve">a piece of approximately 0.5 cm2 of low-density untreated PE film (100 </t>
    </r>
    <r>
      <rPr>
        <sz val="11"/>
        <color theme="1"/>
        <rFont val="Calibri"/>
        <family val="2"/>
      </rPr>
      <t>µ</t>
    </r>
    <r>
      <rPr>
        <sz val="11"/>
        <color theme="1"/>
        <rFont val="Calibri"/>
        <family val="2"/>
        <scheme val="minor"/>
      </rPr>
      <t>m thickness) without additives</t>
    </r>
  </si>
  <si>
    <t>mineral oil-degrading bacteria</t>
  </si>
  <si>
    <t xml:space="preserve">reflectance (FTIR spectroscopy), crystalinity (Raman spectroscopy), surface topography (Scanning electron microscopy (SEM) and atomic force microscopy (AFM)) </t>
  </si>
  <si>
    <t>keine quantitativen Angaben zur Abbaubarkeit (ausschließlich Änderungen in der Struktur der Oberfläche, crystallinit, etc.)</t>
  </si>
  <si>
    <t>Bacillus flexus + Pseudomonas azotoformans(B1) and B. flexus + B. subtilis(B2)</t>
  </si>
  <si>
    <t xml:space="preserve">Pseudomonas chlororaphis, Pseudomonas citronellolis, Bacillus subtilis, Bacillus flexus and Chelatococcus daeguensis, towards </t>
  </si>
  <si>
    <t>polyethylene, polypropylene, polystyrene and polyvinyl chloride</t>
  </si>
  <si>
    <t>PP without additives</t>
  </si>
  <si>
    <t>compost conditions</t>
  </si>
  <si>
    <t>mesophilic mixed bacterial culture isolates obtained from a municipal landfill sediment</t>
  </si>
  <si>
    <t>ozonation</t>
  </si>
  <si>
    <t>fungus Penicillium variabile CCF3219</t>
  </si>
  <si>
    <t>mineral liquid</t>
  </si>
  <si>
    <t>Exiguobacterium sp.</t>
  </si>
  <si>
    <t xml:space="preserve">consortia enriched from marine samples (litter and water) </t>
  </si>
  <si>
    <t>Pellets exhibited spheroid morphology and were approximately 2–4mmin size. The pellets were mechanically cut and the resulting fragments sieved to obtain particles (microplastics) with a size range 250 μm &lt; MP &lt; 1000 μm.</t>
  </si>
  <si>
    <t>refer to thickness</t>
  </si>
  <si>
    <t>minimum growth medium</t>
  </si>
  <si>
    <t>bacteria extracted from the dung of cows that fed around plastic dump sites</t>
  </si>
  <si>
    <t>Plastic strips (5 × 1 cm, HDPE thickness 25 μm) were obtained from Sarvodaya Polymers, one of the chief plastic manufacturers in Bengaluru, India.</t>
  </si>
  <si>
    <t>Plastic strips (5 × 1 cm, LDPE thickness 20 μm) were obtained from Sarvodaya Polymers, one of the chief plastic manufacturers in Bengaluru, India.</t>
  </si>
  <si>
    <t>pellets (diameter 2.5 mm) were obtained from Sarvodaya Polymers, one of the chief plastic manufacturers in Bengaluru, India.</t>
  </si>
  <si>
    <t>plastic strips (5×1 cm, thickness: 0.15 mm)</t>
  </si>
  <si>
    <t>pellets (shape: round, size: 2.5mm diameter) of PE and PP</t>
  </si>
  <si>
    <t>minimal media</t>
  </si>
  <si>
    <t>a mesophilic bacterium capable of polypropylene (PP) biodegradation was isolated from soil</t>
  </si>
  <si>
    <t>Allen et al. 1994</t>
  </si>
  <si>
    <t xml:space="preserve">Syranidou et al. (2017) - Biodegradation of weathered … </t>
  </si>
  <si>
    <t xml:space="preserve">Polystyrene pieces were collected form sandy beaches in Northern Crete. </t>
  </si>
  <si>
    <t>natural weathering; sterilized with 70% ethanol solution overnight; dried at 50 °C for 24 h</t>
  </si>
  <si>
    <t>enriched filtered saline water (C:N:P ratio of 100:10:1)</t>
  </si>
  <si>
    <t>indigenous marine bacteria + competent strains able to use PS as sole carbon source affiliated with the genera Rhodococcus, Shewanella and Pseudomonas</t>
  </si>
  <si>
    <t>PS (with indigenous bacteria)</t>
  </si>
  <si>
    <t>PS (with additional competent strains)</t>
  </si>
  <si>
    <t>indigenous marine bacteria + competent strains able to use PS as sole carbon source affiliated with the genera Rhodococcus, Shewanella and Pseudomonas that had both been feeding on PS exclusively for 6 months</t>
  </si>
  <si>
    <t xml:space="preserve">Syranidou et al. (2017) - Development of tailored … </t>
  </si>
  <si>
    <t xml:space="preserve">PE pieces were collected form sandy beaches in Northern Crete. </t>
  </si>
  <si>
    <t>PE (mix of LDPE and HDPE; with indigenous bacteria)</t>
  </si>
  <si>
    <t>PE (mix of LDPE and HDPE; with additional competent strains)</t>
  </si>
  <si>
    <t>indigenous marine bacteria + bacterial isolates belonging to the genera Lysinibacillus and Salinibacterium</t>
  </si>
  <si>
    <t>indigenous marine bacteria</t>
  </si>
  <si>
    <t>indigenous marine bacteria  that had been feeding on PS exclusively for 6 months</t>
  </si>
  <si>
    <t>indigenous marine bacteria that had been feeding on PE exclusively for 6 months</t>
  </si>
  <si>
    <t>indigenous marine bacteria + bacterial isolates belonging to the genera Lysinibacillus and Salinibacterium that had both been feeding on PE exclusively for 6 months</t>
  </si>
  <si>
    <t>pure cultures of Enterobacter spp. (IS2 and IS3) and Pantoea spp. (IS5)</t>
  </si>
  <si>
    <t>5,54-9,02</t>
  </si>
  <si>
    <t>4-45</t>
  </si>
  <si>
    <t>52-70</t>
  </si>
  <si>
    <t>16-28</t>
  </si>
  <si>
    <t>Experimente mit Mikroorganismen im Labor (weder Boden noch Wasser)</t>
  </si>
  <si>
    <t>Anzahl Datensätze</t>
  </si>
  <si>
    <t>Nicht einbezogen …</t>
  </si>
  <si>
    <t>aus inhaltlichen Gründen</t>
  </si>
  <si>
    <t>keine Angabe zur Form oder Form irrelevant</t>
  </si>
  <si>
    <t>Kompartiment irrelevant</t>
  </si>
  <si>
    <t>keine Angabe zur Thickness</t>
  </si>
  <si>
    <t>Nicht einbezogen weil…</t>
  </si>
  <si>
    <t>Meta-Auswertung</t>
  </si>
  <si>
    <t>Umgebung relevant?</t>
  </si>
  <si>
    <t>Gesamt ausgeschlossen</t>
  </si>
  <si>
    <t>Gesamt einbezogen</t>
  </si>
  <si>
    <t>Plastikart unklar</t>
  </si>
  <si>
    <t>Klassische Polymere ohne Additive</t>
  </si>
  <si>
    <t>SSDR</t>
  </si>
  <si>
    <t>Thickness &lt;0,25; Dichte aus anderem Paper übernommen</t>
  </si>
  <si>
    <t>PUR</t>
  </si>
  <si>
    <t>microbial consortia extracte from soil samples with high plastic waste content</t>
  </si>
  <si>
    <t>mineral solution</t>
  </si>
  <si>
    <t>Präsentiert keine Werte für Abbau; Fokus auf Zusammensetzung der Mikroorganismen</t>
  </si>
  <si>
    <t>zu kaufen</t>
  </si>
  <si>
    <t>disinfected in 70% ethanol and air-dried for 15 min in an oven</t>
  </si>
  <si>
    <t>Bacteria extracted from soil from a dumpsite</t>
  </si>
  <si>
    <t>Fungus extracted from soil from a dumpsite</t>
  </si>
  <si>
    <t>0-35,72</t>
  </si>
  <si>
    <t>0-36,4</t>
  </si>
  <si>
    <t>0-11,13</t>
  </si>
  <si>
    <t>0-17,01</t>
  </si>
  <si>
    <t>Müller 2001; Plastic Leak Project</t>
  </si>
  <si>
    <t>Plastik Leak Project</t>
  </si>
  <si>
    <t>Emadian 2017; Plastic Leak Project</t>
  </si>
  <si>
    <t>Viscofan; Plastic Leak Project</t>
  </si>
  <si>
    <t>Raddadi &amp; Fava (2019); Plastic Lead Project</t>
  </si>
  <si>
    <t>Messverfahren irrelevant</t>
  </si>
  <si>
    <t>Chamas et al. 2020</t>
  </si>
  <si>
    <t>Yoshida et al. 2016</t>
  </si>
  <si>
    <t>Rutkowska et al. 2002 - Biodegradability of PE Starch blends in seawater</t>
  </si>
  <si>
    <t>Emadian 2017; Chamas et al. 2020</t>
  </si>
  <si>
    <t>Plastik Leak Project; Chamas et al. 2020</t>
  </si>
  <si>
    <t>Raddadi &amp; Fava (2019); Chamas et al. 2020</t>
  </si>
  <si>
    <t>Luo et al. 2003</t>
  </si>
  <si>
    <t>Luzi et al. 2015</t>
  </si>
  <si>
    <t>Abou-Zeid et al. 2001</t>
  </si>
  <si>
    <t>Ishigaki et al. 2004</t>
  </si>
  <si>
    <t>Plastic Leak Project</t>
  </si>
  <si>
    <t>Dilkes-Hoffman et al. 2019; Plastic Leak Project</t>
  </si>
  <si>
    <t>Otake 1995</t>
  </si>
  <si>
    <t>Thermal treatment  at 80°C for 10 days in a hot air oven</t>
  </si>
  <si>
    <t>1% elute from soil</t>
  </si>
  <si>
    <t>Polyester</t>
  </si>
  <si>
    <t>a novel species of the genus Ideonella</t>
  </si>
  <si>
    <t>culture fluid</t>
  </si>
  <si>
    <t>UF</t>
  </si>
  <si>
    <t>PVC electric cable</t>
  </si>
  <si>
    <t>PS premium cup for whiskey bottle</t>
  </si>
  <si>
    <t>LDPE fragments</t>
  </si>
  <si>
    <t>previously buried in garden soil</t>
  </si>
  <si>
    <t>LDPE triangular juice bag</t>
  </si>
  <si>
    <t>LDPE tied film</t>
  </si>
  <si>
    <t>Electric cable</t>
  </si>
  <si>
    <t>Makeup jar</t>
  </si>
  <si>
    <t>Cup of a whiskey bottle</t>
  </si>
  <si>
    <t>juice bag</t>
  </si>
  <si>
    <t>film</t>
  </si>
  <si>
    <t>bacteria were extracted by phosphate buffer from the garden soil and incubated for 48 h at 35°C on standard broth agar</t>
  </si>
  <si>
    <t>garden soil</t>
  </si>
  <si>
    <t>keine before-and-after-tests; authors estimate that the period that these plastics were buried under soil is 32-37 years, because they were able to specify by chance the time when these plastics were discarded under soil</t>
  </si>
  <si>
    <t>bleaching of PLA fibres to destroy lignin</t>
  </si>
  <si>
    <t>sodium acide was aded to each buffer solution to inhibit the growth of microorganisms</t>
  </si>
  <si>
    <t xml:space="preserve">composting medium made of chicken manure and wood chip dust 50:50 (w/w) with a C/N ratio of 50/50. water was added, initially and periodically, to reach and maintain 50% moisture content during the composting.
</t>
  </si>
  <si>
    <t>gewichtsverlust</t>
  </si>
  <si>
    <t>A 300-ml Erlenmeyer flask was filled with 150 g of synthesized waste which contained equivalent weights of yard waste, kitchen garbage, paper waste, dry dog-food, dewatered sludge and soil (Ishigaki et al., in press) and compacted to a density of 430 g-wet waste l1.</t>
  </si>
  <si>
    <t>PHB (92%) and valerate (8%)</t>
  </si>
  <si>
    <t xml:space="preserve">a blend of starch (60%) and polyvinyl alcohol (40%) (SPVA; Mater-bi)
</t>
  </si>
  <si>
    <t>&lt;6</t>
  </si>
  <si>
    <t>sterilized by exposing each film surface for 15 min to UV-irradiation using an UV lamp</t>
  </si>
  <si>
    <t xml:space="preserve">‘Methane sludge’: sludge collected from an anaerobic laboratory reactor fed with waste water from sugar industry
</t>
  </si>
  <si>
    <t>methane sludge</t>
  </si>
  <si>
    <t>Standard Deviation</t>
  </si>
  <si>
    <t>Art des Abbaus? (Oberfläche / Bulk)</t>
  </si>
  <si>
    <t>Dichte aus anderem Paper übernommen; Achtung: Additive wurden dabei nicht berücksichtigt</t>
  </si>
  <si>
    <t>thickness ~ Durchmesser; Dichte aus anderem Paper übernommen; Achtung: Additive wurden dabei nicht berücksichtigt</t>
  </si>
  <si>
    <t>Thickness: 0,25-1 mm; Dichte aus anderem Paper übernommen</t>
  </si>
  <si>
    <r>
      <t xml:space="preserve">Thickness: 51-63 </t>
    </r>
    <r>
      <rPr>
        <sz val="11"/>
        <color theme="1"/>
        <rFont val="Calibri"/>
        <family val="2"/>
      </rPr>
      <t>µ</t>
    </r>
    <r>
      <rPr>
        <sz val="11"/>
        <color theme="1"/>
        <rFont val="Calibri"/>
        <family val="2"/>
        <scheme val="minor"/>
      </rPr>
      <t>m; Dichte aus anderem Paper übernommen</t>
    </r>
  </si>
  <si>
    <t>Characteristic length
[d] [in mm]</t>
  </si>
  <si>
    <t>0,01-0,1</t>
  </si>
  <si>
    <t>soil</t>
  </si>
  <si>
    <t>water</t>
  </si>
  <si>
    <t>Initial compartment</t>
  </si>
  <si>
    <t>Tau [in a]</t>
  </si>
  <si>
    <t>(Leer)</t>
  </si>
  <si>
    <t>Gesamtergebnis</t>
  </si>
  <si>
    <t>particles</t>
  </si>
  <si>
    <t>1-10</t>
  </si>
  <si>
    <t>Compartment share after redistribution</t>
  </si>
  <si>
    <t>0,1-1</t>
  </si>
  <si>
    <t>Thickness fehlt</t>
  </si>
  <si>
    <t>Inhaltlich irrelevant</t>
  </si>
  <si>
    <t>Form fehlt</t>
  </si>
  <si>
    <t>Anzahl von SSDR_n</t>
  </si>
  <si>
    <t>Polymer type</t>
  </si>
  <si>
    <t>recollected</t>
  </si>
  <si>
    <t>Kunststoffrecycling</t>
  </si>
  <si>
    <t>Verarbeitung von Bauschutt</t>
  </si>
  <si>
    <t>Ausbringung von Kompost und Gärresten; Metallzerkleinerung</t>
  </si>
  <si>
    <t>Metallzerkleinerung</t>
  </si>
  <si>
    <t>Verarbeitung von Bauschutt; Straßenmarkierungen</t>
  </si>
  <si>
    <t>Kunststoffverpackungen</t>
  </si>
  <si>
    <t>Kunststoffrecycling; Auswaschung aus Deponien</t>
  </si>
  <si>
    <t>Freisetzung durch Unfälle mit Pellets; Unsachgemäße Entsorgung von Pellets</t>
  </si>
  <si>
    <t>Fragmentierung bei Abbrucharbeiten; Abrieb von Baukunststoffen; Verarbeitung von Bauschutt; Straßenmarkierungen</t>
  </si>
  <si>
    <t>Fragmentierung bei Abbrucharbeiten; Abrieb von Baukunststoffen; Kunststoffverpackungen</t>
  </si>
  <si>
    <t>Elementary flow</t>
  </si>
  <si>
    <t>Possible emission pathways (examples)</t>
  </si>
  <si>
    <t>Fragmentierung bei Abbrucharbeiten; Abrieb von Baukunststoffen; Verarbeitung von Bauschutt</t>
  </si>
  <si>
    <t>Ausbringung von Kompost und Gärresten</t>
  </si>
  <si>
    <t>Fragmentierung bei Abbrucharbeiten; Abrieb von Baukunststoffen</t>
  </si>
  <si>
    <t>Abrieb von Farben und Lacken</t>
  </si>
  <si>
    <t>fibers</t>
  </si>
  <si>
    <t>Textilwäsche</t>
  </si>
  <si>
    <t>Auswaschung von Wasch-, Pflege- und Reinigungsmitteln</t>
  </si>
  <si>
    <t>Recycling polymerb. Papier; Auswaschung von Wasch-, Pflege- und Reinigungsmitteln; Abrieb von Trink- und Abwasserrohren</t>
  </si>
  <si>
    <t>Abrieb von Trink- und Abwasserrohren</t>
  </si>
  <si>
    <t>Redistribution</t>
  </si>
  <si>
    <t>air</t>
  </si>
  <si>
    <t>Starch</t>
  </si>
  <si>
    <t>Starch-blend</t>
  </si>
  <si>
    <t>Dvorackova et al. 2006</t>
  </si>
  <si>
    <t xml:space="preserve">Mixed microbial culture was used as a source of microorganisms – activated sludge from municipal wastewater treatment.
</t>
  </si>
  <si>
    <t>Artham et al. 2009</t>
  </si>
  <si>
    <t xml:space="preserve">Bisphenol A polycarbonate (PC) (Lexan®) </t>
  </si>
  <si>
    <t>polymer samples were tied to fiber reinforced racks and were vertically submerged in the ocean waters of Bay of Bengal at a depth of three meters near Fisheries survey of Indi</t>
  </si>
  <si>
    <t>CG (August 2020)</t>
  </si>
  <si>
    <t>polyhydroxyalkanoate copolymer (PHA, MIREL® P5001, Metabolix, Cambridge, USA)</t>
  </si>
  <si>
    <t>Desintegration is assessed photogrammetrically by quantifying the area change of the plastic film</t>
  </si>
  <si>
    <t>Mediterranean Sea - eulitoral</t>
  </si>
  <si>
    <t>Mediterranean Sea - pelagic</t>
  </si>
  <si>
    <t>Mediterranean Sea - benthic</t>
  </si>
  <si>
    <t>South East Asia - benthic</t>
  </si>
  <si>
    <t>11-30</t>
  </si>
  <si>
    <t>14-25</t>
  </si>
  <si>
    <t>14-20</t>
  </si>
  <si>
    <t>7,6-8,2</t>
  </si>
  <si>
    <t>Lott et al. 2020</t>
  </si>
  <si>
    <t>PBSeT</t>
  </si>
  <si>
    <t>PBSe</t>
  </si>
  <si>
    <t>Polybutylen-Sebacat</t>
  </si>
  <si>
    <t>Eich et al 2019 (poster)</t>
  </si>
  <si>
    <t>Süßwasser</t>
  </si>
  <si>
    <t>Anzahl Papers</t>
  </si>
  <si>
    <t>davon verwertbar</t>
  </si>
  <si>
    <t>PHA (MirelTM P5001)</t>
  </si>
  <si>
    <t xml:space="preserve">   Accelerated</t>
  </si>
  <si>
    <t xml:space="preserve">   Nicht-natürliche Umgebung</t>
  </si>
  <si>
    <t>Kompartment irrelevant</t>
  </si>
  <si>
    <t>nicht-natürlich</t>
  </si>
  <si>
    <t>Anzahl Datensätze Boden</t>
  </si>
  <si>
    <t>Anzahl Datensätze Meerwasser</t>
  </si>
  <si>
    <t>Anzahl Datensätze Süßwasser</t>
  </si>
  <si>
    <t>PLA(-blend)</t>
  </si>
  <si>
    <t>marine water!</t>
  </si>
  <si>
    <t>Reference</t>
  </si>
  <si>
    <t>Charakterisierungs-faktor [tau,ref = 1000 years]</t>
  </si>
  <si>
    <t>sediment</t>
  </si>
  <si>
    <t>marine water</t>
  </si>
  <si>
    <t>Verwendeter Wert</t>
  </si>
  <si>
    <t>Faser</t>
  </si>
  <si>
    <t>Polybutylen Sebacat-cobutylenterephtalat</t>
  </si>
  <si>
    <t>Polyethylene adiapate</t>
  </si>
  <si>
    <t>XX</t>
  </si>
  <si>
    <t>River sediment</t>
  </si>
  <si>
    <t>Benthic</t>
  </si>
  <si>
    <t>Amorphous PET sheet</t>
  </si>
  <si>
    <t>Arrhenius prediction for 20degrees based on experiments with over drying at 60, 70, 80 and 90 degrees at dry soil, wet soil, 45% and 100% RH</t>
  </si>
  <si>
    <t>Wet Soil</t>
  </si>
  <si>
    <t>PET Bottle supplied by ICI, Chemicals and Polymers, Wilton</t>
  </si>
  <si>
    <t>Cinematograph film composed of a PET substrate, polyuethane/epoxy acrylate adhensive layers</t>
  </si>
  <si>
    <t>Arrhenius prediction for 20degrees based on experiments with over drying at 60, 70, 80 and 90 degrees and 45% and 100 % RH</t>
  </si>
  <si>
    <t>Arrhenius prediction for 20degrees based on experiments with over drying at 60, 70, 80 and 90 degrees and at 45% and 100 % RH</t>
  </si>
  <si>
    <t>polyestersheet and biaxially oriented bottle materials (unstabilised)</t>
  </si>
  <si>
    <t>Arrhenius prediction for 20degrees based on experiments with over drying at 60, 70, 80 and 90 degrees at wet soil, 45% and 100% RH</t>
  </si>
  <si>
    <t>polyestershhet and biaxially oriented bottle materials (unstabilised)</t>
  </si>
  <si>
    <t>viscosity and chain scission &amp; Microscopic examination</t>
  </si>
  <si>
    <t>Edge et al., 1991</t>
  </si>
  <si>
    <t>Sang et. Al. 2020</t>
  </si>
  <si>
    <t>two microorganisms</t>
  </si>
  <si>
    <t>Anzahl Datensätze Benthic</t>
  </si>
  <si>
    <t>Anzahl Datensätze River Sediment</t>
  </si>
  <si>
    <t>ja - acc.</t>
  </si>
  <si>
    <t>Bottle from 1997</t>
  </si>
  <si>
    <t>marine bacterial culture of B. sphericus GC subgroup IV (Alt) and B. cereus subgroup A (BF20)</t>
  </si>
  <si>
    <t>Sudhakar et al. 2007 - Biofouling</t>
  </si>
  <si>
    <t>Sudhakar et al. 2007 - Marine microbes</t>
  </si>
  <si>
    <t>Art des Accelerants</t>
  </si>
  <si>
    <t>Zusätze</t>
  </si>
  <si>
    <t>Thermomonospora fusca</t>
  </si>
  <si>
    <t>air (45% Relative Humidity)</t>
  </si>
  <si>
    <t>air (100% Relative Humidity)</t>
  </si>
  <si>
    <t>Schätzung</t>
  </si>
  <si>
    <t>sterilized with 70 % ethanol</t>
  </si>
  <si>
    <t xml:space="preserve">sterilized by immersion in a 0.1% sodium hypochlorite aqueous solution for 1 h and then washed thoroughly with sterilized water and added in a 5 : 7 mixing ratio to sludge (dry-weight basis)
</t>
  </si>
  <si>
    <t xml:space="preserve">Boden (Labor) - Freshly collected Nixon sandy loam (College Farm, New Brunswick, N.J.) was used. Water content was adjusted to 50% of holding capacity, pH was raised to 7.5 and phosphorus and nitrogen fertilizer was applied
</t>
  </si>
  <si>
    <t>Plastic pieces were picked out of the soil manually with tweezers</t>
  </si>
  <si>
    <t>PE-B (Gewichtsverlust)</t>
  </si>
  <si>
    <t>PE-C (Gewichtsverlust)</t>
  </si>
  <si>
    <t>PE-B (CO2-Produktion)</t>
  </si>
  <si>
    <t xml:space="preserve">Conventional? </t>
  </si>
  <si>
    <t xml:space="preserve">Ioakeimidis, C.; 2016 "The degradation potential of PET bottles in the marine environment"
</t>
  </si>
  <si>
    <t>Meerwasser (Labor, wöchentlich frisches Wasser, geschüttelt)</t>
  </si>
  <si>
    <t>OHTAKE 1998</t>
  </si>
  <si>
    <t>river sediment</t>
  </si>
  <si>
    <t>Shape</t>
  </si>
  <si>
    <t>Shape factor 
[f]</t>
  </si>
  <si>
    <t>marine sediment</t>
  </si>
  <si>
    <t>fresh water</t>
  </si>
  <si>
    <t>Upper end of the range for the characteristic Length (for calculations only)</t>
  </si>
  <si>
    <t>&lt;1</t>
  </si>
  <si>
    <t>&gt;1</t>
  </si>
  <si>
    <t>fiber</t>
  </si>
  <si>
    <t>particle</t>
  </si>
  <si>
    <t>soil (*)</t>
  </si>
  <si>
    <t>Polyester [Isopthalic Polyester Resin (PET)], Glass Fiber Reinforced Polymer [Glass Fiber - Chopped Strand Mat (CSM 450)</t>
  </si>
  <si>
    <t>Compartment</t>
  </si>
  <si>
    <t>Source</t>
  </si>
  <si>
    <t>Rutkowska et al. 2002</t>
  </si>
  <si>
    <t>Reliability</t>
  </si>
  <si>
    <t>Temporal correlation</t>
  </si>
  <si>
    <t>Mostafa et al. 2018</t>
  </si>
  <si>
    <t>Witt (1995)</t>
  </si>
  <si>
    <t>river sediment (*)</t>
  </si>
  <si>
    <t>marine sediment (*)</t>
  </si>
  <si>
    <t>Teil des Diagramms?</t>
  </si>
  <si>
    <t>Geographical correlation</t>
  </si>
  <si>
    <t>Eich et al. 2019</t>
  </si>
  <si>
    <t>ausblenden</t>
  </si>
  <si>
    <t>Experts' estimate based on data for other compartments</t>
  </si>
  <si>
    <r>
      <t xml:space="preserve">Supplementary Material 2 </t>
    </r>
    <r>
      <rPr>
        <b/>
        <sz val="14"/>
        <color theme="1"/>
        <rFont val="Times New Roman"/>
        <family val="1"/>
      </rPr>
      <t xml:space="preserve">– </t>
    </r>
    <r>
      <rPr>
        <b/>
        <sz val="14"/>
        <color rgb="FF000000"/>
        <rFont val="Times New Roman"/>
        <family val="1"/>
      </rPr>
      <t>Specific surface degradation rates (SSDR)</t>
    </r>
  </si>
  <si>
    <r>
      <t xml:space="preserve">Supplementary Material 3 </t>
    </r>
    <r>
      <rPr>
        <b/>
        <sz val="14"/>
        <color theme="1"/>
        <rFont val="Times New Roman"/>
        <family val="1"/>
      </rPr>
      <t>– Fate Factors for exemplary emission pathways</t>
    </r>
  </si>
  <si>
    <t>Data that is based on the SSDR of the same polymer in another compartment is marked with an asterisk.
Data for PS and PVC is based on the assumption that more than 50% of an emission will remain in the environment after 1000 years.</t>
  </si>
  <si>
    <t>https://polymerdatabase.com/polymers/Polytetramethylenesebacate.html</t>
  </si>
  <si>
    <t>PBSeT????</t>
  </si>
  <si>
    <t>marine water (*)</t>
  </si>
  <si>
    <t>Tau [in years]</t>
  </si>
  <si>
    <t>5,8-8,2</t>
  </si>
  <si>
    <t>Mohammadian, M.; Allen, N. S.; Edge, M. (1991)</t>
  </si>
  <si>
    <t>wet soil</t>
  </si>
  <si>
    <t>Arrhenius projection based on viscosity and chain scission</t>
  </si>
  <si>
    <t>Ioakeimidis et al. 2016</t>
  </si>
  <si>
    <t>Mohammadian et al. 1991</t>
  </si>
  <si>
    <t>Edge et al. 1991</t>
  </si>
  <si>
    <t>Wilde et al. 2016</t>
  </si>
  <si>
    <t>Grade: Mirel™ P5001 (&gt; 70% PHB copolymer, plasticizer &amp; fillers)</t>
  </si>
  <si>
    <t>Polyhydroxyalkanoate Copolymer</t>
  </si>
  <si>
    <t>Aliphatic polyester</t>
  </si>
  <si>
    <t>Polybutylene Sebacate</t>
  </si>
  <si>
    <t>Polybutylene Sebacate-cobutylenterephtalate</t>
  </si>
  <si>
    <t>Aliphatic-Aromatic polyester</t>
  </si>
  <si>
    <t>25-28</t>
  </si>
  <si>
    <t>6-8,3</t>
  </si>
  <si>
    <t>natural soil - OWS laboratory</t>
  </si>
  <si>
    <t>natural soil - Novamont laboratory</t>
  </si>
  <si>
    <t>solvent cast as part of the experiment</t>
  </si>
  <si>
    <t>Poly(B-hydroxybutyrate-co-valerate) (PHB/HV)</t>
  </si>
  <si>
    <t>Poly(e-caprolactone)</t>
  </si>
  <si>
    <t>external packaging of a commercial paper roll</t>
  </si>
  <si>
    <t>the bottom of each flask was filled with 50 g of wet perlite and then about 25 g of a mixture of 20-25 g milled dry perlite, 10-12.5 g of soil, and 15-20 ml of distilled water were added. The test samples were allocated inside this mixture, and finally, 50 g of wet perlite were added.</t>
  </si>
  <si>
    <t>MaterBi</t>
  </si>
  <si>
    <t>Solaro et al. 1998</t>
  </si>
  <si>
    <t>Rudnik und Briassoulis 2011</t>
  </si>
  <si>
    <t>20-25</t>
  </si>
  <si>
    <t>Mediterranean soil</t>
  </si>
  <si>
    <t>Di Franco et al. 2004</t>
  </si>
  <si>
    <t>PCL/TPS (75/16), 9 % Additive</t>
  </si>
  <si>
    <t>natürlicher Boden</t>
  </si>
  <si>
    <t>CO2-Entwicklung oder BOD</t>
  </si>
  <si>
    <t>DIN EN 17033 - 2018</t>
  </si>
  <si>
    <t>1 - peer-reviewed</t>
  </si>
  <si>
    <t>N.A.</t>
  </si>
  <si>
    <t>1 - natural environment</t>
  </si>
  <si>
    <t>1 - at least 50%</t>
  </si>
  <si>
    <t>2 - at least 30%</t>
  </si>
  <si>
    <t>3 - at least 10%</t>
  </si>
  <si>
    <t>4 - less than 10%</t>
  </si>
  <si>
    <t>Experts' estimate</t>
  </si>
  <si>
    <t>2 - natural water; experiment in the laboratory without additional adjustments</t>
  </si>
  <si>
    <t>3 - composting materials artificially composed; water content adjusted</t>
  </si>
  <si>
    <t>2 - natural water; experiment in the laboratory with marine microorganisms at 30°C</t>
  </si>
  <si>
    <t>3 - water content and pH were adjusted and fertilizer added</t>
  </si>
  <si>
    <t>Applied measurement method</t>
  </si>
  <si>
    <t>2 - weight loss</t>
  </si>
  <si>
    <t>2 - biochemical oxygen demand</t>
  </si>
  <si>
    <t>1 - less than 5 years ago</t>
  </si>
  <si>
    <t>Uncertainty concerning redistribution</t>
  </si>
  <si>
    <t>Uncertainty concerning SSDR</t>
  </si>
  <si>
    <t>Emission</t>
  </si>
  <si>
    <t>Redistribution to …</t>
  </si>
  <si>
    <t>Data quality</t>
  </si>
  <si>
    <t>Marine sediment</t>
  </si>
  <si>
    <t>Unice et al. 2019</t>
  </si>
  <si>
    <t>Fresh water</t>
  </si>
  <si>
    <r>
      <t>Polymers with a density ≥1 g/cm</t>
    </r>
    <r>
      <rPr>
        <vertAlign val="superscript"/>
        <sz val="10"/>
        <color rgb="FF000000"/>
        <rFont val="Times New Roman"/>
        <family val="1"/>
      </rPr>
      <t>3</t>
    </r>
  </si>
  <si>
    <t>Marine water</t>
  </si>
  <si>
    <r>
      <t>Polymers with a density &lt;1 g/cm</t>
    </r>
    <r>
      <rPr>
        <vertAlign val="superscript"/>
        <sz val="10"/>
        <color rgb="FF000000"/>
        <rFont val="Times New Roman"/>
        <family val="1"/>
      </rPr>
      <t>3</t>
    </r>
  </si>
  <si>
    <t>CV</t>
  </si>
  <si>
    <t>Uncertainty concerning fate factor</t>
  </si>
  <si>
    <t>3 - less than 15 years ago</t>
  </si>
  <si>
    <t>1 - less than 5 years ago (2017-2018)</t>
  </si>
  <si>
    <t>2 - less than 10 years ago</t>
  </si>
  <si>
    <t>4 - more than 15 years ago</t>
  </si>
  <si>
    <t>DQIS_rel</t>
  </si>
  <si>
    <t>DQIS_comp1</t>
  </si>
  <si>
    <t>DQIS_comp2</t>
  </si>
  <si>
    <t>Completeness: environment studied</t>
  </si>
  <si>
    <t>Completeness: degradation measured</t>
  </si>
  <si>
    <t>DQIS_temp</t>
  </si>
  <si>
    <t>DQIS_geo</t>
  </si>
  <si>
    <t>DQIS_mea</t>
  </si>
  <si>
    <t>DQIS_exp</t>
  </si>
  <si>
    <r>
      <t>degradation</t>
    </r>
    <r>
      <rPr>
        <sz val="11"/>
        <color theme="1"/>
        <rFont val="Times New Roman"/>
        <family val="1"/>
      </rPr>
      <t xml:space="preserve"> [%]</t>
    </r>
  </si>
  <si>
    <r>
      <t>duration of the experiment</t>
    </r>
    <r>
      <rPr>
        <sz val="11"/>
        <color theme="1"/>
        <rFont val="Times New Roman"/>
        <family val="1"/>
      </rPr>
      <t xml:space="preserve"> [days]</t>
    </r>
  </si>
  <si>
    <r>
      <t xml:space="preserve">degradability </t>
    </r>
    <r>
      <rPr>
        <sz val="11"/>
        <color theme="1"/>
        <rFont val="Times New Roman"/>
        <family val="1"/>
      </rPr>
      <t>[%/d]</t>
    </r>
  </si>
  <si>
    <t>2 - Structured expert estimate with some empirical data available or using transparent procedure with informed experts</t>
  </si>
  <si>
    <r>
      <t>2 - CO</t>
    </r>
    <r>
      <rPr>
        <vertAlign val="subscript"/>
        <sz val="11"/>
        <rFont val="Times New Roman"/>
        <family val="1"/>
      </rPr>
      <t>2</t>
    </r>
    <r>
      <rPr>
        <sz val="11"/>
        <rFont val="Times New Roman"/>
        <family val="1"/>
      </rPr>
      <t xml:space="preserve"> development</t>
    </r>
  </si>
  <si>
    <r>
      <t>1 - combination of CO</t>
    </r>
    <r>
      <rPr>
        <vertAlign val="subscript"/>
        <sz val="11"/>
        <rFont val="Times New Roman"/>
        <family val="1"/>
      </rPr>
      <t>2</t>
    </r>
    <r>
      <rPr>
        <sz val="11"/>
        <rFont val="Times New Roman"/>
        <family val="1"/>
      </rPr>
      <t xml:space="preserve"> development in the laboratory, weight loss in real life, and a derived model</t>
    </r>
  </si>
  <si>
    <t>2 - Methodology of data generation is described, but not fully transparent; no verification.</t>
  </si>
  <si>
    <t>rel</t>
  </si>
  <si>
    <t>comp1</t>
  </si>
  <si>
    <t>comp2</t>
  </si>
  <si>
    <t>temp</t>
  </si>
  <si>
    <t>geo</t>
  </si>
  <si>
    <t>mea</t>
  </si>
  <si>
    <t>exp</t>
  </si>
  <si>
    <t>a</t>
  </si>
  <si>
    <t>b</t>
  </si>
  <si>
    <t>Reliabilty</t>
  </si>
  <si>
    <t>Completeness1</t>
  </si>
  <si>
    <t>Completeness2</t>
  </si>
  <si>
    <t>Measuremente method</t>
  </si>
  <si>
    <t>Expert judgement</t>
  </si>
  <si>
    <t>Parameters | Laner et al. (2016)</t>
  </si>
  <si>
    <t>a (not sensitive)</t>
  </si>
  <si>
    <t>a (medium sensitive)</t>
  </si>
  <si>
    <t>a (highly sensitive)</t>
  </si>
  <si>
    <t>b (not sensitive)</t>
  </si>
  <si>
    <t>b (medium sensitive)</t>
  </si>
  <si>
    <t>b (highly sensitive)</t>
  </si>
  <si>
    <t>1 - Value relates to the studied region (permanent first order stream and its wooded riparian areas, in the Montagne Noire, southwestern France)</t>
  </si>
  <si>
    <t>2 - Value relates to similar conditions (Mediterranean Sea)</t>
  </si>
  <si>
    <t>3 - Value relates to very different conditions (South East Asia Sea)</t>
  </si>
  <si>
    <t>3 - Value relates to very different conditions - Bay of Bengal</t>
  </si>
  <si>
    <t>3 - Value relates to very different conditions - natural soil in Vietnam</t>
  </si>
  <si>
    <t>3 - Value relates to very different conditions - tropical conditions (30°; lab in the USA)</t>
  </si>
  <si>
    <t>3 - Value relates to very different conditions - Canada</t>
  </si>
  <si>
    <t>3 - Value relates to very different conditions - Indonesia</t>
  </si>
  <si>
    <t>2 - Value relates to similar conditions - Mediterranean Sea (Italy)</t>
  </si>
  <si>
    <t>3 - Value relates to very different conditions - Black Sea</t>
  </si>
  <si>
    <t>2 - Value relates to similar conditions - sandy loam from New Jersey, USA</t>
  </si>
  <si>
    <t>3 - Value relates to very different conditions - South China Sea (Vietnam)</t>
  </si>
  <si>
    <t>2 - Value relates to similar conditions - seawater was collected at the jetty at Seccheto on the Island of Elba (Italy)</t>
  </si>
  <si>
    <t>1 - Value relates to the studied region (Baltic Sea)</t>
  </si>
  <si>
    <t>3 - weight loss</t>
  </si>
  <si>
    <t>Rutkowska et al. 2002 - degradation of polyurethanes</t>
  </si>
  <si>
    <t>3 - Value relates to very different conditions (compost, initially 23°C, peak at 63,2°C)</t>
  </si>
  <si>
    <t>3 - Value relates to very different conditions: composting medium was prepared by blending together chicken manure and wood chip dust 50:50 (w/w)</t>
  </si>
  <si>
    <t>2 - Value relates to similar conditions (Rumia`s pond, Poland)</t>
  </si>
  <si>
    <t>4 - less than 10% (5-95%)</t>
  </si>
  <si>
    <t>3 - at least 10% (17-31%)</t>
  </si>
  <si>
    <t>2 - less than 10 years ago (2015)</t>
  </si>
  <si>
    <t>2 - less than 10 years ago (2014 to 2016)</t>
  </si>
  <si>
    <t>2 - Value relates to similar conditions - agricultural soil in Japan</t>
  </si>
  <si>
    <t>3 - Value relates to very different conditions - alluvial-type soil that had been obtained in May 2009 from farmland topsoil probably in China</t>
  </si>
  <si>
    <t>2 - Value relates to similar conditions - Japan</t>
  </si>
  <si>
    <t>2 - Value relates to similar conditions - Japanese freshwater sample</t>
  </si>
  <si>
    <t>2 - Value relates to similar conditions - Japanese marine water sample</t>
  </si>
  <si>
    <t>KANEKA Corporate 2014</t>
  </si>
  <si>
    <t>Itävaara et al. 2002</t>
  </si>
  <si>
    <t>Eubeler 2010</t>
  </si>
  <si>
    <t>Lepoudre 2017</t>
  </si>
  <si>
    <t>Bionolle 3001 MD</t>
  </si>
  <si>
    <t>Bionolle 1001 MD</t>
  </si>
  <si>
    <t>AONILEX</t>
  </si>
  <si>
    <t>PHBH</t>
  </si>
  <si>
    <t>PCL (Film)
PBSA, PBAT, PBS,</t>
  </si>
  <si>
    <t>Mater-Bi (Maisstärke)</t>
  </si>
  <si>
    <t>Ecoflex® #0.2 200-300μm 04/0595-1</t>
  </si>
  <si>
    <t>Original data:</t>
  </si>
  <si>
    <t xml:space="preserve">Statistisches Bundesamt: Germany has a surface share of 2.3% water and 97.7% infrastructure or vegetation (both considered soil). </t>
  </si>
  <si>
    <t xml:space="preserve">Unice et al. 2019: </t>
  </si>
  <si>
    <t xml:space="preserve">Jambeck et al. (2015): Redistribution rate from soil to water are xxxxx. The coastal population share in Germany is 11%.  </t>
  </si>
  <si>
    <t xml:space="preserve">Deposition from air to soil: </t>
  </si>
  <si>
    <t xml:space="preserve">Assumptions based on original data: </t>
  </si>
  <si>
    <t>2.3%</t>
  </si>
  <si>
    <t>97.7%</t>
  </si>
  <si>
    <t xml:space="preserve">Deposition from air to fresh water: </t>
  </si>
  <si>
    <t xml:space="preserve">Transport from soil to fresh water: </t>
  </si>
  <si>
    <t>Statistisches Bundesamt</t>
  </si>
  <si>
    <t>Jambeck et al. 2015</t>
  </si>
  <si>
    <t>27.5% * 11% coastal population share = 3%</t>
  </si>
  <si>
    <t xml:space="preserve">Transport from fresh water to marine water: </t>
  </si>
  <si>
    <t xml:space="preserve">Sedimentation: </t>
  </si>
  <si>
    <r>
      <t>100%, if the polymer's density ≥1 g/cm</t>
    </r>
    <r>
      <rPr>
        <vertAlign val="superscript"/>
        <sz val="11"/>
        <color theme="1"/>
        <rFont val="Times New Roman"/>
        <family val="1"/>
      </rPr>
      <t>3</t>
    </r>
  </si>
  <si>
    <r>
      <t>0%, if the polymer's density &lt;1 g/cm</t>
    </r>
    <r>
      <rPr>
        <vertAlign val="superscript"/>
        <sz val="11"/>
        <color theme="1"/>
        <rFont val="Times New Roman"/>
        <family val="1"/>
      </rPr>
      <t>3</t>
    </r>
  </si>
  <si>
    <r>
      <t>Marine water</t>
    </r>
    <r>
      <rPr>
        <b/>
        <sz val="8"/>
        <color theme="1"/>
        <rFont val="Times New Roman"/>
        <family val="1"/>
      </rPr>
      <t>  </t>
    </r>
  </si>
  <si>
    <t>see Unice et al. 2019</t>
  </si>
  <si>
    <t>no redistribution from marine water to soil found in literature</t>
  </si>
  <si>
    <t>no redistribution from marine water to fresh water found in literature</t>
  </si>
  <si>
    <r>
      <t>11%, if the polymer's density ≥1 g/cm</t>
    </r>
    <r>
      <rPr>
        <vertAlign val="superscript"/>
        <sz val="11"/>
        <color theme="1"/>
        <rFont val="Times New Roman"/>
        <family val="1"/>
      </rPr>
      <t>3</t>
    </r>
  </si>
  <si>
    <r>
      <t>100%, if the polymer's density &lt;1 g/cm</t>
    </r>
    <r>
      <rPr>
        <vertAlign val="superscript"/>
        <sz val="11"/>
        <color theme="1"/>
        <rFont val="Times New Roman"/>
        <family val="1"/>
      </rPr>
      <t>3</t>
    </r>
  </si>
  <si>
    <t>no redistribution from fresh water to soil found in literature</t>
  </si>
  <si>
    <t>no redistribution of tire wear from soil to other compartments found by Unice et al. 2019</t>
  </si>
  <si>
    <t>97.7% (A) * [100% - 3% (C)]</t>
  </si>
  <si>
    <t>2.3% (B) * [100% - 11% (D)] + 97.7% (A) * 3% (C) * [100% - 11% (D)]; then (F)</t>
  </si>
  <si>
    <t>2.3% (B) * 11% (D) + 97.7% (A) * 3% (C) * 11% (D); then (F)</t>
  </si>
  <si>
    <t xml:space="preserve">100% - 3% (C) </t>
  </si>
  <si>
    <t>no direct deposition in marine water; redistribution from fresh water to marine water; then (F)</t>
  </si>
  <si>
    <t>no direct transport from soil to marine water; redistribution from soil to fresh water to marine water; then (F)</t>
  </si>
  <si>
    <t>3% (C) * [100% - 11% (D)]; then (F)</t>
  </si>
  <si>
    <t>3% (C) * 11% (D); then (F)</t>
  </si>
  <si>
    <t>see Unice et al. 2019; then (F)</t>
  </si>
  <si>
    <t>(F)</t>
  </si>
  <si>
    <t>(A)</t>
  </si>
  <si>
    <t>(B)</t>
  </si>
  <si>
    <t xml:space="preserve">(C) </t>
  </si>
  <si>
    <t>(D)</t>
  </si>
  <si>
    <t xml:space="preserve">(E) </t>
  </si>
  <si>
    <t>(G)</t>
  </si>
  <si>
    <t>3% (C) * 100% (E);then (G)</t>
  </si>
  <si>
    <t>2.3% (B) * 100% (E) + 97.7% (A) * 3% (C) * 100% (E); then (G)</t>
  </si>
  <si>
    <t>(E) ; (G)</t>
  </si>
  <si>
    <r>
      <t xml:space="preserve">Supplementary Material SM </t>
    </r>
    <r>
      <rPr>
        <b/>
        <sz val="14"/>
        <color rgb="FFFF0000"/>
        <rFont val="Times New Roman"/>
        <family val="1"/>
      </rPr>
      <t>xxx:</t>
    </r>
    <r>
      <rPr>
        <b/>
        <sz val="14"/>
        <color theme="1"/>
        <rFont val="Times New Roman"/>
        <family val="1"/>
      </rPr>
      <t xml:space="preserve"> Calculation of the transfer coefficients</t>
    </r>
  </si>
  <si>
    <t>Fate factor [tau,ref = 1 year; time horizon = 100 years]</t>
  </si>
  <si>
    <t>Fate factor [tau,ref = 1 year; time horizon = 500 years]</t>
  </si>
  <si>
    <t>Grade: LUPOLEN 2420K Lyondelbasell Film 30 microns</t>
  </si>
  <si>
    <t>Tosin et al. 2016</t>
  </si>
  <si>
    <t>Aliphatic polyester Film 25 microns</t>
  </si>
  <si>
    <t>Grade: Mirel™ P5001; it is a compound &gt; 70% PHB copolymer, plasticizer, fillers - Film 90-100 microns</t>
  </si>
  <si>
    <t>0,0,9-0,1</t>
  </si>
  <si>
    <t>6.3-20.3</t>
  </si>
  <si>
    <t>7.85-8.8</t>
  </si>
  <si>
    <t>7.8-8.3</t>
  </si>
  <si>
    <t>20-28</t>
  </si>
  <si>
    <r>
      <t>BASF Laboratory - KH</t>
    </r>
    <r>
      <rPr>
        <vertAlign val="subscript"/>
        <sz val="11"/>
        <color theme="1"/>
        <rFont val="Calibri"/>
        <family val="2"/>
        <scheme val="minor"/>
      </rPr>
      <t>2</t>
    </r>
    <r>
      <rPr>
        <sz val="11"/>
        <color theme="1"/>
        <rFont val="Calibri"/>
        <family val="2"/>
        <scheme val="minor"/>
      </rPr>
      <t>PO</t>
    </r>
    <r>
      <rPr>
        <vertAlign val="subscript"/>
        <sz val="11"/>
        <color theme="1"/>
        <rFont val="Calibri"/>
        <family val="2"/>
        <scheme val="minor"/>
      </rPr>
      <t>4</t>
    </r>
    <r>
      <rPr>
        <sz val="11"/>
        <color theme="1"/>
        <rFont val="Calibri"/>
        <family val="2"/>
        <scheme val="minor"/>
      </rPr>
      <t xml:space="preserve"> (0.1 g/L) and NH</t>
    </r>
    <r>
      <rPr>
        <vertAlign val="subscript"/>
        <sz val="11"/>
        <color theme="1"/>
        <rFont val="Calibri"/>
        <family val="2"/>
        <scheme val="minor"/>
      </rPr>
      <t>4</t>
    </r>
    <r>
      <rPr>
        <sz val="11"/>
        <color theme="1"/>
        <rFont val="Calibri"/>
        <family val="2"/>
        <scheme val="minor"/>
      </rPr>
      <t>Cl (0.05 g/L) were added to the seawaters (results from year 2)</t>
    </r>
  </si>
  <si>
    <r>
      <t>OWS Laboratory - KH</t>
    </r>
    <r>
      <rPr>
        <vertAlign val="subscript"/>
        <sz val="11"/>
        <color theme="1"/>
        <rFont val="Calibri"/>
        <family val="2"/>
        <scheme val="minor"/>
      </rPr>
      <t>2</t>
    </r>
    <r>
      <rPr>
        <sz val="11"/>
        <color theme="1"/>
        <rFont val="Calibri"/>
        <family val="2"/>
        <scheme val="minor"/>
      </rPr>
      <t>PO</t>
    </r>
    <r>
      <rPr>
        <vertAlign val="subscript"/>
        <sz val="11"/>
        <color theme="1"/>
        <rFont val="Calibri"/>
        <family val="2"/>
        <scheme val="minor"/>
      </rPr>
      <t>4</t>
    </r>
    <r>
      <rPr>
        <sz val="11"/>
        <color theme="1"/>
        <rFont val="Calibri"/>
        <family val="2"/>
        <scheme val="minor"/>
      </rPr>
      <t xml:space="preserve"> (0.1 g/L) and NH</t>
    </r>
    <r>
      <rPr>
        <vertAlign val="subscript"/>
        <sz val="11"/>
        <color theme="1"/>
        <rFont val="Calibri"/>
        <family val="2"/>
        <scheme val="minor"/>
      </rPr>
      <t>4</t>
    </r>
    <r>
      <rPr>
        <sz val="11"/>
        <color theme="1"/>
        <rFont val="Calibri"/>
        <family val="2"/>
        <scheme val="minor"/>
      </rPr>
      <t>Cl (0.05 g/L) were added to the seawaters (results from year 2 - Elba)</t>
    </r>
  </si>
  <si>
    <r>
      <t>OWS Laboratory - KH</t>
    </r>
    <r>
      <rPr>
        <vertAlign val="subscript"/>
        <sz val="11"/>
        <color theme="1"/>
        <rFont val="Calibri"/>
        <family val="2"/>
        <scheme val="minor"/>
      </rPr>
      <t>2</t>
    </r>
    <r>
      <rPr>
        <sz val="11"/>
        <color theme="1"/>
        <rFont val="Calibri"/>
        <family val="2"/>
        <scheme val="minor"/>
      </rPr>
      <t>PO</t>
    </r>
    <r>
      <rPr>
        <vertAlign val="subscript"/>
        <sz val="11"/>
        <color theme="1"/>
        <rFont val="Calibri"/>
        <family val="2"/>
        <scheme val="minor"/>
      </rPr>
      <t>4</t>
    </r>
    <r>
      <rPr>
        <sz val="11"/>
        <color theme="1"/>
        <rFont val="Calibri"/>
        <family val="2"/>
        <scheme val="minor"/>
      </rPr>
      <t xml:space="preserve"> (0.1 g/L) and NH</t>
    </r>
    <r>
      <rPr>
        <vertAlign val="subscript"/>
        <sz val="11"/>
        <color theme="1"/>
        <rFont val="Calibri"/>
        <family val="2"/>
        <scheme val="minor"/>
      </rPr>
      <t>4</t>
    </r>
    <r>
      <rPr>
        <sz val="11"/>
        <color theme="1"/>
        <rFont val="Calibri"/>
        <family val="2"/>
        <scheme val="minor"/>
      </rPr>
      <t>Cl (0.05 g/L) were added to the seawaters (results from year 2 - Salamis)</t>
    </r>
  </si>
  <si>
    <r>
      <t>AUA Laboratory - KH</t>
    </r>
    <r>
      <rPr>
        <vertAlign val="subscript"/>
        <sz val="11"/>
        <color theme="1"/>
        <rFont val="Calibri"/>
        <family val="2"/>
        <scheme val="minor"/>
      </rPr>
      <t>2</t>
    </r>
    <r>
      <rPr>
        <sz val="11"/>
        <color theme="1"/>
        <rFont val="Calibri"/>
        <family val="2"/>
        <scheme val="minor"/>
      </rPr>
      <t>PO</t>
    </r>
    <r>
      <rPr>
        <vertAlign val="subscript"/>
        <sz val="11"/>
        <color theme="1"/>
        <rFont val="Calibri"/>
        <family val="2"/>
        <scheme val="minor"/>
      </rPr>
      <t>4</t>
    </r>
    <r>
      <rPr>
        <sz val="11"/>
        <color theme="1"/>
        <rFont val="Calibri"/>
        <family val="2"/>
        <scheme val="minor"/>
      </rPr>
      <t xml:space="preserve"> (0.1 g/L) and NH</t>
    </r>
    <r>
      <rPr>
        <vertAlign val="subscript"/>
        <sz val="11"/>
        <color theme="1"/>
        <rFont val="Calibri"/>
        <family val="2"/>
        <scheme val="minor"/>
      </rPr>
      <t>4</t>
    </r>
    <r>
      <rPr>
        <sz val="11"/>
        <color theme="1"/>
        <rFont val="Calibri"/>
        <family val="2"/>
        <scheme val="minor"/>
      </rPr>
      <t>Cl (0.05 g/L) were added to the seawaters (results from year 2 - Salamis)</t>
    </r>
  </si>
  <si>
    <r>
      <t>LeAF Laboratory - KH</t>
    </r>
    <r>
      <rPr>
        <vertAlign val="subscript"/>
        <sz val="11"/>
        <color theme="1"/>
        <rFont val="Calibri"/>
        <family val="2"/>
        <scheme val="minor"/>
      </rPr>
      <t>2</t>
    </r>
    <r>
      <rPr>
        <sz val="11"/>
        <color theme="1"/>
        <rFont val="Calibri"/>
        <family val="2"/>
        <scheme val="minor"/>
      </rPr>
      <t>PO</t>
    </r>
    <r>
      <rPr>
        <vertAlign val="subscript"/>
        <sz val="11"/>
        <color theme="1"/>
        <rFont val="Calibri"/>
        <family val="2"/>
        <scheme val="minor"/>
      </rPr>
      <t>4</t>
    </r>
    <r>
      <rPr>
        <sz val="11"/>
        <color theme="1"/>
        <rFont val="Calibri"/>
        <family val="2"/>
        <scheme val="minor"/>
      </rPr>
      <t xml:space="preserve"> (0.1 g/L) and NH</t>
    </r>
    <r>
      <rPr>
        <vertAlign val="subscript"/>
        <sz val="11"/>
        <color theme="1"/>
        <rFont val="Calibri"/>
        <family val="2"/>
        <scheme val="minor"/>
      </rPr>
      <t>4</t>
    </r>
    <r>
      <rPr>
        <sz val="11"/>
        <color theme="1"/>
        <rFont val="Calibri"/>
        <family val="2"/>
        <scheme val="minor"/>
      </rPr>
      <t>Cl (0.05 g/L) were added to the seawaters (results from year 2 - Salamis)</t>
    </r>
  </si>
  <si>
    <r>
      <t>Novamont Laboratory - KH</t>
    </r>
    <r>
      <rPr>
        <vertAlign val="subscript"/>
        <sz val="11"/>
        <color theme="1"/>
        <rFont val="Calibri"/>
        <family val="2"/>
        <scheme val="minor"/>
      </rPr>
      <t>2</t>
    </r>
    <r>
      <rPr>
        <sz val="11"/>
        <color theme="1"/>
        <rFont val="Calibri"/>
        <family val="2"/>
        <scheme val="minor"/>
      </rPr>
      <t>PO</t>
    </r>
    <r>
      <rPr>
        <vertAlign val="subscript"/>
        <sz val="11"/>
        <color theme="1"/>
        <rFont val="Calibri"/>
        <family val="2"/>
        <scheme val="minor"/>
      </rPr>
      <t>4</t>
    </r>
    <r>
      <rPr>
        <sz val="11"/>
        <color theme="1"/>
        <rFont val="Calibri"/>
        <family val="2"/>
        <scheme val="minor"/>
      </rPr>
      <t xml:space="preserve"> (0.1 g/L) and NH</t>
    </r>
    <r>
      <rPr>
        <vertAlign val="subscript"/>
        <sz val="11"/>
        <color theme="1"/>
        <rFont val="Calibri"/>
        <family val="2"/>
        <scheme val="minor"/>
      </rPr>
      <t>4</t>
    </r>
    <r>
      <rPr>
        <sz val="11"/>
        <color theme="1"/>
        <rFont val="Calibri"/>
        <family val="2"/>
        <scheme val="minor"/>
      </rPr>
      <t>Cl (0.05 g/L) were added to the seawaters (results from year 2 - Salamis)</t>
    </r>
  </si>
  <si>
    <t>The sediment was collected at Isola d’Elba (Italy). The samples of sediments were withdrawn from the eulittoral zone of the shoreline, where the tides maintain wet (sandy) sediment.  the Elba sediment is similar to a sandy sand</t>
  </si>
  <si>
    <r>
      <t>BASF Laboratory - KH</t>
    </r>
    <r>
      <rPr>
        <vertAlign val="subscript"/>
        <sz val="11"/>
        <color theme="1"/>
        <rFont val="Calibri"/>
        <family val="2"/>
        <scheme val="minor"/>
      </rPr>
      <t>2</t>
    </r>
    <r>
      <rPr>
        <sz val="11"/>
        <color theme="1"/>
        <rFont val="Calibri"/>
        <family val="2"/>
        <scheme val="minor"/>
      </rPr>
      <t>PO</t>
    </r>
    <r>
      <rPr>
        <vertAlign val="subscript"/>
        <sz val="11"/>
        <color theme="1"/>
        <rFont val="Calibri"/>
        <family val="2"/>
        <scheme val="minor"/>
      </rPr>
      <t>4</t>
    </r>
    <r>
      <rPr>
        <sz val="11"/>
        <color theme="1"/>
        <rFont val="Calibri"/>
        <family val="2"/>
        <scheme val="minor"/>
      </rPr>
      <t xml:space="preserve"> (0.1 g/L) and NH</t>
    </r>
    <r>
      <rPr>
        <vertAlign val="subscript"/>
        <sz val="11"/>
        <color theme="1"/>
        <rFont val="Calibri"/>
        <family val="2"/>
        <scheme val="minor"/>
      </rPr>
      <t>4</t>
    </r>
    <r>
      <rPr>
        <sz val="11"/>
        <color theme="1"/>
        <rFont val="Calibri"/>
        <family val="2"/>
        <scheme val="minor"/>
      </rPr>
      <t>Cl (0.05 g/L) were added to the seawaters (results from year 2 - Elba)</t>
    </r>
  </si>
  <si>
    <r>
      <t>Novamont Laboratory - KH</t>
    </r>
    <r>
      <rPr>
        <vertAlign val="subscript"/>
        <sz val="11"/>
        <color theme="1"/>
        <rFont val="Calibri"/>
        <family val="2"/>
        <scheme val="minor"/>
      </rPr>
      <t>2</t>
    </r>
    <r>
      <rPr>
        <sz val="11"/>
        <color theme="1"/>
        <rFont val="Calibri"/>
        <family val="2"/>
        <scheme val="minor"/>
      </rPr>
      <t>PO</t>
    </r>
    <r>
      <rPr>
        <vertAlign val="subscript"/>
        <sz val="11"/>
        <color theme="1"/>
        <rFont val="Calibri"/>
        <family val="2"/>
        <scheme val="minor"/>
      </rPr>
      <t>4</t>
    </r>
    <r>
      <rPr>
        <sz val="11"/>
        <color theme="1"/>
        <rFont val="Calibri"/>
        <family val="2"/>
        <scheme val="minor"/>
      </rPr>
      <t xml:space="preserve"> (0.1 g/L) and NH</t>
    </r>
    <r>
      <rPr>
        <vertAlign val="subscript"/>
        <sz val="11"/>
        <color theme="1"/>
        <rFont val="Calibri"/>
        <family val="2"/>
        <scheme val="minor"/>
      </rPr>
      <t>4</t>
    </r>
    <r>
      <rPr>
        <sz val="11"/>
        <color theme="1"/>
        <rFont val="Calibri"/>
        <family val="2"/>
        <scheme val="minor"/>
      </rPr>
      <t>Cl (0.05 g/L) were added to the seawaters (results from year 2 - Elba</t>
    </r>
  </si>
  <si>
    <t>The sediment was collected at Salamina Island (Greece). The samples of sediments were withdrawn from the eulittoral zone of the shoreline, where the tides maintain wet (sandy) sediment.  the sediment from Salamina Island is coarse with stones.</t>
  </si>
  <si>
    <t xml:space="preserve">seawater was collected at Isola d’Elba (Italy). An uniform sample of seawater was collected at a depth of 15-20 m; the biodegradation of plastic was tested after milling and dispersing the test materials in seawater. 
</t>
  </si>
  <si>
    <t xml:space="preserve">seawater was collected at Salamina Island (Greece). An uniform sample of seawater was collected at a depth of 15-20 m; the biodegradation of plastic was tested after milling and dispersing the test materials in seawater. 
</t>
  </si>
  <si>
    <t>2 - Value relates to similar conditions - Elba Island (Italy)</t>
  </si>
  <si>
    <t>2 - Value relates to similar conditions - Salamis Island (Greece)</t>
  </si>
  <si>
    <t>freshly taken seawater</t>
  </si>
  <si>
    <t>2 - Projektdokumentation</t>
  </si>
  <si>
    <t>3 - Value relates to very different conditions - Boden 25-28°C</t>
  </si>
  <si>
    <t>3 - Value relates to very different conditions - Boden 25°C</t>
  </si>
  <si>
    <t>3 - Value relates to very different conditions - Wasser 20-28°C</t>
  </si>
  <si>
    <t xml:space="preserve">Poly-L-lactide (PLLA)
</t>
  </si>
  <si>
    <t>PLLA</t>
  </si>
  <si>
    <t>The microbial inoculum was prepared by mixing 50 g of household waste compost with 100 ml of ASTM mineral salts solution, and then filtered through a gauze and centrifuged for 5 min at 2000 rpm. The supernatant was used as the inoculum. Thermophilic compost was used as inoculum for the thermophilic experiments, and mesophilic compost for the mesophilic experiments, in order to obtain a microbial population adapted to the test temperature.</t>
  </si>
  <si>
    <t>mineral salt solution</t>
  </si>
  <si>
    <t>Compost consisting of peat and wood chips and biowaste composed of vegetables and fruit waste.</t>
  </si>
  <si>
    <t>ecovio (ecoflex®+ Polylactic acid (PLA))</t>
  </si>
  <si>
    <t>Ecovio der BASF</t>
  </si>
  <si>
    <t>according to ISO 17556</t>
  </si>
  <si>
    <t>PBAT+PLA</t>
  </si>
  <si>
    <t>Künkel et al. 2017</t>
  </si>
  <si>
    <t>Rudnik et al. 2011</t>
  </si>
  <si>
    <t>3 - Präsentation vor wissenschaftl. Publikum; Methodik unzureichend dargestellt</t>
  </si>
  <si>
    <t>3 - at least 10 %</t>
  </si>
  <si>
    <t>PBAT + PLA</t>
  </si>
  <si>
    <t>19% Ecoflex F BX 7011 70% NatureWorks PLA 4041D 10% Citrofol B1 + 1% Ecoflex Batch FBA</t>
  </si>
  <si>
    <t>53% Ecoflex F BX 7011 45% NatureWorks PLA 4041D 1% Ecoflex Batch SL1 + 1% Ecoflex Batch FBA</t>
  </si>
  <si>
    <t>3 - Poster; Methodik unzureichend dargestellt</t>
  </si>
  <si>
    <t>2 - CO2 development</t>
  </si>
  <si>
    <t>Showa Denko K.K. 2015</t>
  </si>
  <si>
    <t>co2-Entwicklung</t>
  </si>
  <si>
    <t>3 - Produktflyer; Methodik unzureichend dargestellt</t>
  </si>
  <si>
    <t>13.5-17.6 weeks</t>
  </si>
  <si>
    <t>50% biodegradation reached between weeks 13,5 and 17,6</t>
  </si>
  <si>
    <t>KANEKA Corporation 2014</t>
  </si>
  <si>
    <t>2</t>
  </si>
  <si>
    <t>3</t>
  </si>
  <si>
    <t>22</t>
  </si>
  <si>
    <t>14</t>
  </si>
  <si>
    <t>12</t>
  </si>
  <si>
    <t>24</t>
  </si>
  <si>
    <t>11</t>
  </si>
  <si>
    <t>10</t>
  </si>
  <si>
    <t>5</t>
  </si>
  <si>
    <t>23</t>
  </si>
  <si>
    <t>South East Asia - pelagic</t>
  </si>
  <si>
    <t>4 - photometric analysis of area loss</t>
  </si>
  <si>
    <t xml:space="preserve">2 - öffentliche Projektdokumentation; Methodik eingehend beschrieben </t>
  </si>
  <si>
    <t>3 - natural sediment; KH2PO4 (0.1 g/L) and NH4Cl (0.05 g/L) were added</t>
  </si>
  <si>
    <t>3 - natural water; KH2PO4 (0.1 g/L) and NH4Cl (0.05 g/L) were added</t>
  </si>
  <si>
    <t>2 - natural soil in the laboratory</t>
  </si>
  <si>
    <t>2 - Dissertation; Methode ausführlich beschrieben</t>
  </si>
  <si>
    <t>Environmental flow</t>
  </si>
  <si>
    <t xml:space="preserve">Achtung, das aktualisiert sich nicht von alleine! </t>
  </si>
  <si>
    <t>Fate factor [tau,ref = 1 year]</t>
  </si>
  <si>
    <t>4 - Lab experiment without reproducing real-world conditions (only projecting values for real world conditions)</t>
  </si>
  <si>
    <t>2 - projection was made for the UK, with UK soil</t>
  </si>
  <si>
    <t>4 - measurements refer to the viscosity</t>
  </si>
  <si>
    <t>4 - geographic conditions not indicated</t>
  </si>
  <si>
    <t>2 - natural soil, water content adjusted</t>
  </si>
  <si>
    <t>3 - Value relates to very different conditions - Australia</t>
  </si>
  <si>
    <t>a (expert)</t>
  </si>
  <si>
    <t>Unsicherheit</t>
  </si>
  <si>
    <t>Wert von marine water übernehmen</t>
  </si>
  <si>
    <t>4 - Educated guess based on speculative or unverifiable assumptions</t>
  </si>
  <si>
    <t>Mittelwert</t>
  </si>
  <si>
    <t>ja (beste CV)</t>
  </si>
  <si>
    <t>ja (einziger Wert)</t>
  </si>
  <si>
    <t>nein (schlechte CV)</t>
  </si>
  <si>
    <t>nein (Süßwasser)</t>
  </si>
  <si>
    <t>EXP+soil</t>
  </si>
  <si>
    <t>Wert von soil übernehmen</t>
  </si>
  <si>
    <t>Maximalwert</t>
  </si>
  <si>
    <t>Wert von marine sediment übernehmen</t>
  </si>
  <si>
    <t>Wert von river sediment übernehmen</t>
  </si>
  <si>
    <t>Grafik?</t>
  </si>
  <si>
    <t>Fate Factor?</t>
  </si>
  <si>
    <t>EXP+marine water</t>
  </si>
  <si>
    <t>EXP+marine sediment</t>
  </si>
  <si>
    <t>EXP+river sediment</t>
  </si>
  <si>
    <t>1^2</t>
  </si>
  <si>
    <t>2^2</t>
  </si>
  <si>
    <t>3^2</t>
  </si>
  <si>
    <t>4^2</t>
  </si>
  <si>
    <t>2,3,4,1,2,2</t>
  </si>
  <si>
    <t>Wurzel</t>
  </si>
  <si>
    <t>Uf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</si>
</sst>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00"/>
    <numFmt numFmtId="165" formatCode="0.0000"/>
    <numFmt numFmtId="166" formatCode="0.00000"/>
    <numFmt numFmtId="167" formatCode="0.0"/>
    <numFmt numFmtId="168" formatCode="0.0E+00"/>
    <numFmt numFmtId="169" formatCode="0.0%"/>
    <numFmt numFmtId="170" formatCode="#,##0.0000"/>
  </numFmts>
  <fonts count="64">
    <font>
      <sz val="11"/>
      <color theme="1"/>
      <name val="Calibri"/>
      <family val="2"/>
      <scheme val="minor"/>
    </font>
    <font>
      <b/>
      <sz val="11"/>
      <color theme="1"/>
      <name val="Calibri"/>
      <family val="2"/>
      <scheme val="minor"/>
    </font>
    <font>
      <vertAlign val="superscript"/>
      <sz val="11"/>
      <color theme="1"/>
      <name val="Calibri"/>
      <family val="2"/>
      <scheme val="minor"/>
    </font>
    <font>
      <vertAlign val="subscript"/>
      <sz val="11"/>
      <color theme="1"/>
      <name val="Calibri"/>
      <family val="2"/>
      <scheme val="minor"/>
    </font>
    <font>
      <sz val="11"/>
      <color rgb="FFFF0000"/>
      <name val="Calibri"/>
      <family val="2"/>
      <scheme val="minor"/>
    </font>
    <font>
      <sz val="9"/>
      <color indexed="81"/>
      <name val="Segoe UI"/>
      <family val="2"/>
    </font>
    <font>
      <b/>
      <sz val="9"/>
      <color indexed="81"/>
      <name val="Segoe UI"/>
      <family val="2"/>
    </font>
    <font>
      <sz val="10"/>
      <color theme="1"/>
      <name val="Frutiger 45 Light"/>
      <family val="2"/>
    </font>
    <font>
      <sz val="16"/>
      <color indexed="81"/>
      <name val="Segoe UI"/>
      <family val="2"/>
    </font>
    <font>
      <b/>
      <sz val="16"/>
      <color indexed="81"/>
      <name val="Segoe UI"/>
      <family val="2"/>
    </font>
    <font>
      <sz val="9"/>
      <color theme="0" tint="-0.34998626667073579"/>
      <name val="Calibri"/>
      <family val="2"/>
      <scheme val="minor"/>
    </font>
    <font>
      <sz val="11"/>
      <name val="Calibri"/>
      <family val="2"/>
      <scheme val="minor"/>
    </font>
    <font>
      <sz val="11"/>
      <color theme="1"/>
      <name val="Calibri"/>
      <family val="2"/>
    </font>
    <font>
      <sz val="9"/>
      <color theme="0" tint="-0.34998626667073579"/>
      <name val="Calibri"/>
      <family val="2"/>
      <scheme val="minor"/>
    </font>
    <font>
      <b/>
      <sz val="11"/>
      <color theme="1"/>
      <name val="Calibri"/>
      <family val="2"/>
      <scheme val="minor"/>
    </font>
    <font>
      <u/>
      <sz val="11"/>
      <color theme="10"/>
      <name val="Calibri"/>
      <family val="2"/>
      <scheme val="minor"/>
    </font>
    <font>
      <sz val="10"/>
      <name val="Arial"/>
      <family val="2"/>
    </font>
    <font>
      <sz val="11"/>
      <color rgb="FF0070C0"/>
      <name val="Calibri"/>
      <family val="2"/>
      <scheme val="minor"/>
    </font>
    <font>
      <b/>
      <sz val="11"/>
      <name val="Calibri"/>
      <family val="2"/>
      <scheme val="minor"/>
    </font>
    <font>
      <sz val="11"/>
      <color theme="4" tint="-0.249977111117893"/>
      <name val="Calibri"/>
      <family val="2"/>
      <scheme val="minor"/>
    </font>
    <font>
      <sz val="9"/>
      <color theme="0" tint="-0.34998626667073579"/>
      <name val="Calibri"/>
      <family val="2"/>
      <scheme val="minor"/>
    </font>
    <font>
      <sz val="11"/>
      <name val="Calibri"/>
      <family val="2"/>
      <scheme val="minor"/>
    </font>
    <font>
      <sz val="9"/>
      <color rgb="FFFF0000"/>
      <name val="Calibri"/>
      <family val="2"/>
      <scheme val="minor"/>
    </font>
    <font>
      <b/>
      <sz val="18"/>
      <name val="Calibri"/>
      <family val="2"/>
      <scheme val="minor"/>
    </font>
    <font>
      <b/>
      <sz val="12"/>
      <name val="Calibri"/>
      <family val="2"/>
      <scheme val="minor"/>
    </font>
    <font>
      <sz val="9"/>
      <name val="Calibri"/>
      <family val="2"/>
      <scheme val="minor"/>
    </font>
    <font>
      <b/>
      <sz val="14"/>
      <color theme="1"/>
      <name val="Calibri"/>
      <family val="2"/>
      <scheme val="minor"/>
    </font>
    <font>
      <b/>
      <sz val="10"/>
      <color theme="0"/>
      <name val="Calibri"/>
      <family val="2"/>
      <scheme val="minor"/>
    </font>
    <font>
      <sz val="10"/>
      <color theme="1"/>
      <name val="Calibri"/>
      <family val="2"/>
      <scheme val="minor"/>
    </font>
    <font>
      <sz val="10"/>
      <name val="Calibri"/>
      <family val="2"/>
      <scheme val="minor"/>
    </font>
    <font>
      <sz val="11"/>
      <color theme="1"/>
      <name val="Calibri"/>
      <family val="2"/>
      <scheme val="minor"/>
    </font>
    <font>
      <b/>
      <sz val="10"/>
      <name val="Calibri"/>
      <family val="2"/>
      <scheme val="minor"/>
    </font>
    <font>
      <i/>
      <sz val="9"/>
      <color indexed="81"/>
      <name val="Segoe UI"/>
      <family val="2"/>
    </font>
    <font>
      <sz val="9"/>
      <color indexed="81"/>
      <name val="Segoe UI"/>
      <charset val="1"/>
    </font>
    <font>
      <b/>
      <sz val="9"/>
      <color indexed="81"/>
      <name val="Segoe UI"/>
      <charset val="1"/>
    </font>
    <font>
      <sz val="10"/>
      <color theme="0"/>
      <name val="Calibri"/>
      <family val="2"/>
      <scheme val="minor"/>
    </font>
    <font>
      <u/>
      <sz val="9"/>
      <color indexed="81"/>
      <name val="Segoe UI"/>
      <family val="2"/>
    </font>
    <font>
      <b/>
      <sz val="11"/>
      <color rgb="FFFF0000"/>
      <name val="Calibri"/>
      <family val="2"/>
      <scheme val="minor"/>
    </font>
    <font>
      <sz val="9"/>
      <color theme="0" tint="-0.34998626667073579"/>
      <name val="Calibri"/>
      <scheme val="minor"/>
    </font>
    <font>
      <sz val="11"/>
      <name val="Calibri"/>
      <scheme val="minor"/>
    </font>
    <font>
      <b/>
      <sz val="11"/>
      <color theme="1"/>
      <name val="Calibri"/>
      <scheme val="minor"/>
    </font>
    <font>
      <b/>
      <sz val="14"/>
      <color rgb="FF000000"/>
      <name val="Times New Roman"/>
      <family val="1"/>
    </font>
    <font>
      <b/>
      <sz val="14"/>
      <color theme="1"/>
      <name val="Times New Roman"/>
      <family val="1"/>
    </font>
    <font>
      <sz val="10"/>
      <color theme="1"/>
      <name val="Times New Roman"/>
      <family val="1"/>
    </font>
    <font>
      <sz val="10"/>
      <color rgb="FF000000"/>
      <name val="Times New Roman"/>
      <family val="1"/>
    </font>
    <font>
      <sz val="8"/>
      <color theme="1"/>
      <name val="Times New Roman"/>
      <family val="1"/>
    </font>
    <font>
      <vertAlign val="superscript"/>
      <sz val="10"/>
      <color rgb="FF000000"/>
      <name val="Times New Roman"/>
      <family val="1"/>
    </font>
    <font>
      <sz val="11"/>
      <color theme="1"/>
      <name val="Times New Roman"/>
      <family val="1"/>
    </font>
    <font>
      <sz val="10"/>
      <name val="Times New Roman"/>
      <family val="1"/>
    </font>
    <font>
      <sz val="10"/>
      <color rgb="FFFF0000"/>
      <name val="Times New Roman"/>
      <family val="1"/>
    </font>
    <font>
      <b/>
      <sz val="10"/>
      <color theme="0"/>
      <name val="Times New Roman"/>
      <family val="1"/>
    </font>
    <font>
      <sz val="10"/>
      <color theme="0"/>
      <name val="Times New Roman"/>
      <family val="1"/>
    </font>
    <font>
      <b/>
      <sz val="11"/>
      <color rgb="FFFF0000"/>
      <name val="Times New Roman"/>
      <family val="1"/>
    </font>
    <font>
      <b/>
      <sz val="11"/>
      <color theme="1"/>
      <name val="Times New Roman"/>
      <family val="1"/>
    </font>
    <font>
      <b/>
      <sz val="9"/>
      <name val="Times New Roman"/>
      <family val="1"/>
    </font>
    <font>
      <b/>
      <sz val="11"/>
      <name val="Times New Roman"/>
      <family val="1"/>
    </font>
    <font>
      <sz val="11"/>
      <name val="Times New Roman"/>
      <family val="1"/>
    </font>
    <font>
      <vertAlign val="subscript"/>
      <sz val="11"/>
      <name val="Times New Roman"/>
      <family val="1"/>
    </font>
    <font>
      <b/>
      <sz val="14"/>
      <color rgb="FFFF0000"/>
      <name val="Times New Roman"/>
      <family val="1"/>
    </font>
    <font>
      <u/>
      <sz val="11"/>
      <color theme="1"/>
      <name val="Times New Roman"/>
      <family val="1"/>
    </font>
    <font>
      <vertAlign val="superscript"/>
      <sz val="11"/>
      <color theme="1"/>
      <name val="Times New Roman"/>
      <family val="1"/>
    </font>
    <font>
      <b/>
      <sz val="10"/>
      <color rgb="FF000000"/>
      <name val="Times New Roman"/>
      <family val="1"/>
    </font>
    <font>
      <b/>
      <sz val="8"/>
      <color theme="1"/>
      <name val="Times New Roman"/>
      <family val="1"/>
    </font>
    <font>
      <b/>
      <sz val="9"/>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s>
  <borders count="6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diagonal/>
    </border>
    <border>
      <left style="thin">
        <color indexed="64"/>
      </left>
      <right style="medium">
        <color auto="1"/>
      </right>
      <top style="thin">
        <color auto="1"/>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auto="1"/>
      </left>
      <right style="thin">
        <color indexed="64"/>
      </right>
      <top style="medium">
        <color indexed="64"/>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style="thick">
        <color auto="1"/>
      </bottom>
      <diagonal/>
    </border>
    <border>
      <left style="thin">
        <color auto="1"/>
      </left>
      <right style="thin">
        <color auto="1"/>
      </right>
      <top/>
      <bottom style="thick">
        <color auto="1"/>
      </bottom>
      <diagonal/>
    </border>
    <border>
      <left style="thin">
        <color auto="1"/>
      </left>
      <right style="thin">
        <color auto="1"/>
      </right>
      <top style="thin">
        <color indexed="64"/>
      </top>
      <bottom style="thick">
        <color auto="1"/>
      </bottom>
      <diagonal/>
    </border>
    <border>
      <left style="medium">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n">
        <color auto="1"/>
      </right>
      <top style="thick">
        <color auto="1"/>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auto="1"/>
      </right>
      <top style="thin">
        <color auto="1"/>
      </top>
      <bottom/>
      <diagonal/>
    </border>
    <border>
      <left/>
      <right style="thin">
        <color auto="1"/>
      </right>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14">
    <xf numFmtId="0" fontId="0" fillId="0" borderId="0"/>
    <xf numFmtId="0" fontId="15" fillId="0" borderId="0" applyNumberFormat="0" applyFill="0" applyBorder="0" applyAlignment="0" applyProtection="0"/>
    <xf numFmtId="0" fontId="16" fillId="0" borderId="0"/>
    <xf numFmtId="9"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cellStyleXfs>
  <cellXfs count="658">
    <xf numFmtId="0" fontId="0" fillId="0" borderId="0" xfId="0"/>
    <xf numFmtId="0" fontId="0" fillId="0" borderId="0" xfId="0" applyAlignment="1">
      <alignment wrapText="1"/>
    </xf>
    <xf numFmtId="0" fontId="0" fillId="0" borderId="0" xfId="0" applyFill="1" applyBorder="1" applyAlignment="1">
      <alignment horizontal="center" wrapText="1"/>
    </xf>
    <xf numFmtId="0" fontId="0" fillId="0" borderId="0" xfId="0" applyFill="1" applyBorder="1" applyAlignment="1">
      <alignment vertical="center" wrapText="1"/>
    </xf>
    <xf numFmtId="0" fontId="0" fillId="0" borderId="0" xfId="0" applyFill="1" applyBorder="1" applyAlignment="1">
      <alignment horizontal="center" vertical="center" wrapText="1"/>
    </xf>
    <xf numFmtId="164" fontId="0" fillId="0" borderId="0" xfId="0" applyNumberFormat="1" applyFill="1" applyBorder="1" applyAlignment="1">
      <alignment horizontal="center" vertical="center" wrapText="1"/>
    </xf>
    <xf numFmtId="1" fontId="0" fillId="0" borderId="0" xfId="0" applyNumberFormat="1" applyFill="1" applyBorder="1" applyAlignment="1">
      <alignment horizontal="center" vertical="center" wrapText="1"/>
    </xf>
    <xf numFmtId="0" fontId="10" fillId="0" borderId="0" xfId="0" applyFont="1" applyFill="1" applyBorder="1" applyAlignment="1">
      <alignment horizontal="center" vertical="center" wrapText="1"/>
    </xf>
    <xf numFmtId="0" fontId="0" fillId="0" borderId="0" xfId="0" applyFill="1" applyBorder="1" applyAlignment="1">
      <alignment vertical="center"/>
    </xf>
    <xf numFmtId="0" fontId="0" fillId="0" borderId="0" xfId="0" quotePrefix="1" applyFill="1" applyBorder="1" applyAlignment="1">
      <alignment horizontal="center" vertical="center" wrapText="1"/>
    </xf>
    <xf numFmtId="0" fontId="0" fillId="0" borderId="0" xfId="0" applyFill="1" applyBorder="1"/>
    <xf numFmtId="0" fontId="13" fillId="0" borderId="0" xfId="0" applyFont="1" applyFill="1" applyBorder="1" applyAlignment="1">
      <alignment horizontal="center" vertical="center" wrapText="1"/>
    </xf>
    <xf numFmtId="0" fontId="11" fillId="0" borderId="0" xfId="0" applyFont="1" applyFill="1" applyBorder="1" applyAlignment="1">
      <alignment vertical="center" wrapText="1"/>
    </xf>
    <xf numFmtId="0" fontId="0" fillId="0" borderId="0" xfId="0" applyFill="1" applyBorder="1" applyAlignment="1">
      <alignment horizontal="center" vertical="center"/>
    </xf>
    <xf numFmtId="0" fontId="15" fillId="0" borderId="0" xfId="1" applyFill="1" applyBorder="1"/>
    <xf numFmtId="2" fontId="0" fillId="0" borderId="0" xfId="0" quotePrefix="1" applyNumberFormat="1" applyFill="1" applyBorder="1" applyAlignment="1">
      <alignment horizontal="center" vertical="center" wrapText="1"/>
    </xf>
    <xf numFmtId="165" fontId="0" fillId="0" borderId="0" xfId="0" quotePrefix="1" applyNumberFormat="1" applyFill="1" applyBorder="1" applyAlignment="1">
      <alignment horizontal="center" vertical="center" wrapText="1"/>
    </xf>
    <xf numFmtId="0" fontId="0" fillId="0" borderId="0" xfId="0" quotePrefix="1" applyFill="1" applyBorder="1" applyAlignment="1">
      <alignment vertical="center" wrapText="1"/>
    </xf>
    <xf numFmtId="0" fontId="0" fillId="0" borderId="15" xfId="0" applyFill="1" applyBorder="1" applyAlignment="1">
      <alignment vertical="center" wrapText="1"/>
    </xf>
    <xf numFmtId="0" fontId="0" fillId="0" borderId="0" xfId="0" applyFont="1" applyFill="1" applyBorder="1" applyAlignment="1">
      <alignment vertical="center" wrapText="1"/>
    </xf>
    <xf numFmtId="0" fontId="0" fillId="0" borderId="0" xfId="0" applyFont="1" applyFill="1" applyBorder="1" applyAlignment="1">
      <alignment vertical="center"/>
    </xf>
    <xf numFmtId="0" fontId="0" fillId="0" borderId="0" xfId="0" applyFont="1" applyFill="1" applyBorder="1" applyAlignment="1">
      <alignment horizontal="center" vertical="center" wrapText="1"/>
    </xf>
    <xf numFmtId="0" fontId="0" fillId="0" borderId="15" xfId="0" applyFill="1" applyBorder="1" applyAlignment="1">
      <alignment horizontal="center" vertical="center" wrapText="1"/>
    </xf>
    <xf numFmtId="168" fontId="0" fillId="0" borderId="0" xfId="0" quotePrefix="1" applyNumberFormat="1" applyFill="1" applyBorder="1" applyAlignment="1">
      <alignment vertical="center" wrapText="1"/>
    </xf>
    <xf numFmtId="0" fontId="17" fillId="0" borderId="0" xfId="0" applyFont="1" applyFill="1" applyBorder="1" applyAlignment="1">
      <alignment vertical="center" wrapText="1"/>
    </xf>
    <xf numFmtId="0" fontId="11" fillId="0" borderId="0" xfId="0" applyFont="1" applyFill="1" applyBorder="1" applyAlignment="1">
      <alignment horizontal="center"/>
    </xf>
    <xf numFmtId="4" fontId="18" fillId="0" borderId="0" xfId="0" quotePrefix="1" applyNumberFormat="1" applyFont="1" applyFill="1" applyBorder="1" applyAlignment="1">
      <alignment horizontal="right" vertical="center"/>
    </xf>
    <xf numFmtId="4" fontId="18" fillId="0" borderId="0" xfId="0" applyNumberFormat="1" applyFont="1" applyFill="1" applyBorder="1" applyAlignment="1">
      <alignment horizontal="right" vertical="center"/>
    </xf>
    <xf numFmtId="0" fontId="11" fillId="0" borderId="0" xfId="0" applyFont="1"/>
    <xf numFmtId="0" fontId="11" fillId="0" borderId="4" xfId="0" applyFont="1" applyFill="1" applyBorder="1" applyAlignment="1">
      <alignment vertical="center" wrapText="1"/>
    </xf>
    <xf numFmtId="0" fontId="11" fillId="0" borderId="10" xfId="0" applyFont="1" applyBorder="1"/>
    <xf numFmtId="165" fontId="11" fillId="0" borderId="0" xfId="0" applyNumberFormat="1" applyFont="1" applyFill="1" applyBorder="1"/>
    <xf numFmtId="165" fontId="11" fillId="0" borderId="4" xfId="0" applyNumberFormat="1" applyFont="1" applyFill="1" applyBorder="1"/>
    <xf numFmtId="0" fontId="11" fillId="0" borderId="9" xfId="0" applyFont="1" applyBorder="1"/>
    <xf numFmtId="0" fontId="23" fillId="0" borderId="0" xfId="0" applyFont="1"/>
    <xf numFmtId="0" fontId="11" fillId="0" borderId="0" xfId="0" applyFont="1" applyBorder="1"/>
    <xf numFmtId="0" fontId="11" fillId="0" borderId="17" xfId="0" applyFont="1" applyBorder="1" applyAlignment="1">
      <alignment vertical="center"/>
    </xf>
    <xf numFmtId="0" fontId="11" fillId="0" borderId="18" xfId="0" applyFont="1" applyFill="1" applyBorder="1" applyAlignment="1">
      <alignment vertical="center" wrapText="1"/>
    </xf>
    <xf numFmtId="0" fontId="11" fillId="0" borderId="19" xfId="0" applyFont="1" applyFill="1" applyBorder="1" applyAlignment="1">
      <alignment vertical="center" wrapText="1"/>
    </xf>
    <xf numFmtId="0" fontId="18" fillId="0" borderId="0" xfId="0" applyFont="1" applyFill="1" applyBorder="1" applyAlignment="1">
      <alignment vertical="center" wrapText="1"/>
    </xf>
    <xf numFmtId="0" fontId="11" fillId="0" borderId="0" xfId="0" applyFont="1" applyFill="1" applyBorder="1"/>
    <xf numFmtId="165" fontId="11" fillId="0" borderId="7" xfId="0" applyNumberFormat="1" applyFont="1" applyFill="1" applyBorder="1"/>
    <xf numFmtId="165" fontId="11" fillId="0" borderId="6" xfId="0" applyNumberFormat="1" applyFont="1" applyFill="1" applyBorder="1"/>
    <xf numFmtId="0" fontId="11" fillId="0" borderId="7" xfId="0" applyFont="1" applyFill="1" applyBorder="1" applyAlignment="1">
      <alignment horizontal="center"/>
    </xf>
    <xf numFmtId="165" fontId="11" fillId="0" borderId="5" xfId="0" applyNumberFormat="1" applyFont="1" applyFill="1" applyBorder="1"/>
    <xf numFmtId="165" fontId="11" fillId="0" borderId="8" xfId="0" applyNumberFormat="1" applyFont="1" applyFill="1" applyBorder="1"/>
    <xf numFmtId="0" fontId="0" fillId="0" borderId="0" xfId="0" pivotButton="1"/>
    <xf numFmtId="0" fontId="0" fillId="0" borderId="0" xfId="0" applyAlignment="1">
      <alignment horizontal="left"/>
    </xf>
    <xf numFmtId="0" fontId="0" fillId="0" borderId="0" xfId="0" applyNumberFormat="1"/>
    <xf numFmtId="165" fontId="18" fillId="0" borderId="4" xfId="0" applyNumberFormat="1" applyFont="1" applyFill="1" applyBorder="1"/>
    <xf numFmtId="0" fontId="11" fillId="0" borderId="20" xfId="0" applyFont="1" applyBorder="1"/>
    <xf numFmtId="165" fontId="11" fillId="0" borderId="13" xfId="0" applyNumberFormat="1" applyFont="1" applyFill="1" applyBorder="1"/>
    <xf numFmtId="165" fontId="11" fillId="0" borderId="12" xfId="0" applyNumberFormat="1" applyFont="1" applyFill="1" applyBorder="1"/>
    <xf numFmtId="0" fontId="11" fillId="0" borderId="13" xfId="0" applyFont="1" applyFill="1" applyBorder="1" applyAlignment="1">
      <alignment horizontal="center"/>
    </xf>
    <xf numFmtId="0" fontId="11" fillId="0" borderId="21" xfId="0" applyFont="1" applyBorder="1"/>
    <xf numFmtId="165" fontId="11" fillId="0" borderId="22" xfId="0" applyNumberFormat="1" applyFont="1" applyFill="1" applyBorder="1"/>
    <xf numFmtId="165" fontId="11" fillId="0" borderId="23" xfId="0" applyNumberFormat="1" applyFont="1" applyFill="1" applyBorder="1"/>
    <xf numFmtId="0" fontId="11" fillId="0" borderId="22" xfId="0" applyFont="1" applyFill="1" applyBorder="1" applyAlignment="1">
      <alignment horizontal="center"/>
    </xf>
    <xf numFmtId="168" fontId="11" fillId="0" borderId="0" xfId="0" quotePrefix="1" applyNumberFormat="1" applyFont="1" applyFill="1" applyBorder="1" applyAlignment="1">
      <alignment vertical="center" wrapText="1"/>
    </xf>
    <xf numFmtId="0" fontId="11" fillId="0" borderId="0" xfId="0" quotePrefix="1" applyFont="1" applyFill="1" applyBorder="1" applyAlignment="1">
      <alignment vertical="center" wrapText="1"/>
    </xf>
    <xf numFmtId="164" fontId="11" fillId="0" borderId="0" xfId="0" applyNumberFormat="1" applyFont="1" applyFill="1" applyBorder="1" applyAlignment="1">
      <alignment vertical="center" wrapText="1"/>
    </xf>
    <xf numFmtId="165" fontId="18" fillId="5" borderId="18" xfId="0" applyNumberFormat="1" applyFont="1" applyFill="1" applyBorder="1"/>
    <xf numFmtId="0" fontId="18" fillId="5" borderId="18" xfId="0" applyFont="1" applyFill="1" applyBorder="1" applyAlignment="1">
      <alignment horizontal="center"/>
    </xf>
    <xf numFmtId="4" fontId="18" fillId="5" borderId="18" xfId="0" applyNumberFormat="1" applyFont="1" applyFill="1" applyBorder="1" applyAlignment="1">
      <alignment horizontal="right" vertical="center"/>
    </xf>
    <xf numFmtId="0" fontId="24" fillId="4" borderId="19" xfId="0" applyFont="1" applyFill="1" applyBorder="1" applyAlignment="1">
      <alignment vertical="center"/>
    </xf>
    <xf numFmtId="0" fontId="18" fillId="4" borderId="18" xfId="0" applyFont="1" applyFill="1" applyBorder="1" applyAlignment="1">
      <alignment vertical="center" wrapText="1"/>
    </xf>
    <xf numFmtId="0" fontId="24" fillId="5" borderId="19" xfId="0" applyFont="1" applyFill="1" applyBorder="1"/>
    <xf numFmtId="165" fontId="11" fillId="0" borderId="14" xfId="0" applyNumberFormat="1" applyFont="1" applyFill="1" applyBorder="1"/>
    <xf numFmtId="165" fontId="11" fillId="0" borderId="24" xfId="0" applyNumberFormat="1" applyFont="1" applyFill="1" applyBorder="1"/>
    <xf numFmtId="4" fontId="18" fillId="0" borderId="22" xfId="0" applyNumberFormat="1" applyFont="1" applyFill="1" applyBorder="1" applyAlignment="1">
      <alignment horizontal="right" vertical="center"/>
    </xf>
    <xf numFmtId="4" fontId="18" fillId="0" borderId="22" xfId="0" quotePrefix="1" applyNumberFormat="1" applyFont="1" applyFill="1" applyBorder="1" applyAlignment="1">
      <alignment horizontal="right" vertical="center"/>
    </xf>
    <xf numFmtId="1" fontId="11" fillId="0" borderId="0" xfId="0" quotePrefix="1" applyNumberFormat="1" applyFont="1" applyFill="1" applyBorder="1" applyAlignment="1">
      <alignment horizontal="center" vertical="center" wrapText="1"/>
    </xf>
    <xf numFmtId="0" fontId="0" fillId="0" borderId="0" xfId="0" applyFill="1" applyBorder="1" applyAlignment="1">
      <alignment horizontal="center" vertical="top" wrapText="1"/>
    </xf>
    <xf numFmtId="0" fontId="0" fillId="0" borderId="0" xfId="0" applyFill="1" applyBorder="1" applyAlignment="1">
      <alignment vertical="top"/>
    </xf>
    <xf numFmtId="0" fontId="4" fillId="0" borderId="0" xfId="0" applyFont="1" applyFill="1" applyBorder="1" applyAlignment="1">
      <alignment vertical="center" wrapText="1"/>
    </xf>
    <xf numFmtId="0" fontId="0" fillId="0" borderId="16" xfId="0" applyFill="1" applyBorder="1" applyAlignment="1">
      <alignment vertical="center" wrapText="1"/>
    </xf>
    <xf numFmtId="0" fontId="0" fillId="0" borderId="0" xfId="0" applyFill="1" applyBorder="1" applyAlignment="1">
      <alignment horizontal="left" vertical="center"/>
    </xf>
    <xf numFmtId="0" fontId="19" fillId="0" borderId="0" xfId="0" applyFont="1" applyFill="1" applyBorder="1" applyAlignment="1">
      <alignment vertical="center" wrapText="1"/>
    </xf>
    <xf numFmtId="0" fontId="26" fillId="0" borderId="0" xfId="0" applyFont="1"/>
    <xf numFmtId="0" fontId="1" fillId="0" borderId="1" xfId="0" applyFont="1" applyBorder="1"/>
    <xf numFmtId="0" fontId="1" fillId="0" borderId="3" xfId="0" applyFont="1" applyBorder="1"/>
    <xf numFmtId="0" fontId="0" fillId="0" borderId="5" xfId="0" applyBorder="1"/>
    <xf numFmtId="1" fontId="0" fillId="0" borderId="5" xfId="0" applyNumberFormat="1" applyBorder="1"/>
    <xf numFmtId="0" fontId="1" fillId="0" borderId="6" xfId="0" applyFont="1" applyBorder="1"/>
    <xf numFmtId="1" fontId="1" fillId="0" borderId="8" xfId="0" applyNumberFormat="1" applyFont="1" applyBorder="1"/>
    <xf numFmtId="1" fontId="0" fillId="0" borderId="1" xfId="0" applyNumberFormat="1" applyBorder="1"/>
    <xf numFmtId="0" fontId="0" fillId="0" borderId="3" xfId="0" applyBorder="1"/>
    <xf numFmtId="1" fontId="0" fillId="0" borderId="4" xfId="0" applyNumberFormat="1" applyBorder="1" applyAlignment="1">
      <alignment horizontal="left" indent="1"/>
    </xf>
    <xf numFmtId="0" fontId="0" fillId="0" borderId="4" xfId="0" applyBorder="1" applyAlignment="1">
      <alignment horizontal="left" indent="1"/>
    </xf>
    <xf numFmtId="0" fontId="0" fillId="0" borderId="0" xfId="0" applyFont="1" applyFill="1" applyBorder="1" applyAlignment="1">
      <alignment horizontal="left" vertical="center"/>
    </xf>
    <xf numFmtId="1" fontId="0" fillId="0" borderId="0" xfId="0" applyNumberFormat="1" applyFill="1" applyBorder="1" applyAlignment="1">
      <alignment horizontal="left" vertical="top" wrapText="1"/>
    </xf>
    <xf numFmtId="0" fontId="11" fillId="0" borderId="4" xfId="0" applyFont="1" applyFill="1" applyBorder="1" applyAlignment="1">
      <alignment horizontal="center"/>
    </xf>
    <xf numFmtId="0" fontId="11" fillId="0" borderId="12" xfId="0" applyFont="1" applyFill="1" applyBorder="1" applyAlignment="1">
      <alignment horizontal="center"/>
    </xf>
    <xf numFmtId="0" fontId="11" fillId="0" borderId="23" xfId="0" applyFont="1" applyFill="1" applyBorder="1" applyAlignment="1">
      <alignment horizontal="center"/>
    </xf>
    <xf numFmtId="0" fontId="11" fillId="0" borderId="6" xfId="0" applyFont="1" applyFill="1" applyBorder="1" applyAlignment="1">
      <alignment horizontal="center"/>
    </xf>
    <xf numFmtId="0" fontId="0" fillId="0" borderId="16" xfId="0" applyFill="1" applyBorder="1" applyAlignment="1">
      <alignment horizontal="center" vertical="center" wrapText="1"/>
    </xf>
    <xf numFmtId="1" fontId="0" fillId="0" borderId="0" xfId="0" applyNumberFormat="1" applyFill="1" applyBorder="1" applyAlignment="1">
      <alignment horizontal="center" vertical="top" wrapText="1"/>
    </xf>
    <xf numFmtId="164" fontId="0" fillId="0" borderId="0" xfId="0" applyNumberFormat="1" applyFill="1" applyBorder="1" applyAlignment="1">
      <alignment horizontal="center" vertical="top" wrapText="1"/>
    </xf>
    <xf numFmtId="165" fontId="11" fillId="0" borderId="0" xfId="0" quotePrefix="1" applyNumberFormat="1" applyFont="1" applyFill="1" applyBorder="1" applyAlignment="1">
      <alignment horizontal="center" vertical="center" wrapText="1"/>
    </xf>
    <xf numFmtId="1" fontId="21" fillId="0" borderId="0" xfId="0" applyNumberFormat="1" applyFont="1" applyFill="1" applyBorder="1" applyAlignment="1">
      <alignment horizontal="center" vertical="top" wrapText="1"/>
    </xf>
    <xf numFmtId="0" fontId="28" fillId="0" borderId="0" xfId="0" applyFont="1" applyAlignment="1">
      <alignment wrapText="1"/>
    </xf>
    <xf numFmtId="0" fontId="28" fillId="0" borderId="11" xfId="0" applyFont="1" applyBorder="1" applyAlignment="1">
      <alignment vertical="center" wrapText="1"/>
    </xf>
    <xf numFmtId="0" fontId="28" fillId="0" borderId="0" xfId="0" applyFont="1" applyAlignment="1">
      <alignment vertical="center" wrapText="1"/>
    </xf>
    <xf numFmtId="0" fontId="0" fillId="0" borderId="15" xfId="0" applyFont="1" applyFill="1" applyBorder="1" applyAlignment="1">
      <alignment vertical="center" wrapText="1"/>
    </xf>
    <xf numFmtId="0" fontId="0" fillId="0" borderId="15" xfId="0" applyFont="1" applyFill="1" applyBorder="1" applyAlignment="1">
      <alignment horizontal="center" vertical="center" wrapText="1"/>
    </xf>
    <xf numFmtId="0" fontId="10" fillId="0" borderId="15" xfId="0" applyFont="1" applyFill="1" applyBorder="1" applyAlignment="1">
      <alignment horizontal="center" vertical="center" wrapText="1"/>
    </xf>
    <xf numFmtId="164" fontId="0" fillId="0" borderId="0" xfId="0" applyNumberFormat="1" applyFill="1" applyBorder="1" applyAlignment="1">
      <alignment vertical="center" wrapText="1"/>
    </xf>
    <xf numFmtId="0" fontId="0" fillId="0" borderId="15" xfId="0" applyFill="1" applyBorder="1" applyAlignment="1">
      <alignment vertical="center"/>
    </xf>
    <xf numFmtId="0" fontId="19" fillId="0" borderId="0" xfId="0" quotePrefix="1" applyFont="1" applyFill="1" applyBorder="1" applyAlignment="1">
      <alignment vertical="center" wrapText="1"/>
    </xf>
    <xf numFmtId="0" fontId="25" fillId="0" borderId="0" xfId="0" applyFont="1" applyFill="1" applyBorder="1" applyAlignment="1">
      <alignment horizontal="center" vertical="center" wrapText="1"/>
    </xf>
    <xf numFmtId="0" fontId="28" fillId="0" borderId="0" xfId="0" applyFont="1" applyFill="1" applyAlignment="1">
      <alignment wrapText="1"/>
    </xf>
    <xf numFmtId="0" fontId="28" fillId="0" borderId="0" xfId="0" applyFont="1" applyAlignment="1">
      <alignment horizontal="center" wrapText="1"/>
    </xf>
    <xf numFmtId="0" fontId="27" fillId="0" borderId="11" xfId="0" applyFont="1" applyFill="1" applyBorder="1" applyAlignment="1">
      <alignment horizontal="center" vertical="center" wrapText="1"/>
    </xf>
    <xf numFmtId="0" fontId="31" fillId="0" borderId="11" xfId="0" applyFont="1" applyFill="1" applyBorder="1" applyAlignment="1">
      <alignment horizontal="center" vertical="center" wrapText="1"/>
    </xf>
    <xf numFmtId="4" fontId="29" fillId="0" borderId="11" xfId="0" applyNumberFormat="1" applyFont="1" applyFill="1" applyBorder="1" applyAlignment="1">
      <alignment horizontal="center" vertical="center" wrapText="1"/>
    </xf>
    <xf numFmtId="0" fontId="29" fillId="0" borderId="11" xfId="0" applyFont="1" applyFill="1" applyBorder="1" applyAlignment="1">
      <alignment horizontal="center" vertical="center" wrapText="1"/>
    </xf>
    <xf numFmtId="0" fontId="11" fillId="0" borderId="19" xfId="0" applyFont="1" applyFill="1" applyBorder="1" applyAlignment="1">
      <alignment horizontal="center" vertical="center" wrapText="1"/>
    </xf>
    <xf numFmtId="0" fontId="11" fillId="0" borderId="17" xfId="0" applyFont="1" applyFill="1" applyBorder="1" applyAlignment="1">
      <alignment vertical="center" wrapText="1"/>
    </xf>
    <xf numFmtId="0" fontId="18" fillId="4" borderId="17" xfId="0" applyFont="1" applyFill="1" applyBorder="1" applyAlignment="1">
      <alignment vertical="center" wrapText="1"/>
    </xf>
    <xf numFmtId="4" fontId="11" fillId="0" borderId="10" xfId="0" applyNumberFormat="1" applyFont="1" applyFill="1" applyBorder="1" applyAlignment="1">
      <alignment horizontal="right" vertical="center"/>
    </xf>
    <xf numFmtId="4" fontId="11" fillId="0" borderId="9" xfId="0" applyNumberFormat="1" applyFont="1" applyFill="1" applyBorder="1" applyAlignment="1">
      <alignment horizontal="right" vertical="center"/>
    </xf>
    <xf numFmtId="4" fontId="11" fillId="0" borderId="21" xfId="0" applyNumberFormat="1" applyFont="1" applyFill="1" applyBorder="1" applyAlignment="1">
      <alignment horizontal="right" vertical="center"/>
    </xf>
    <xf numFmtId="4" fontId="11" fillId="0" borderId="20" xfId="0" applyNumberFormat="1" applyFont="1" applyFill="1" applyBorder="1" applyAlignment="1">
      <alignment horizontal="right" vertical="center"/>
    </xf>
    <xf numFmtId="4" fontId="11" fillId="4" borderId="17" xfId="0" applyNumberFormat="1" applyFont="1" applyFill="1" applyBorder="1" applyAlignment="1">
      <alignment horizontal="right" vertical="center"/>
    </xf>
    <xf numFmtId="0" fontId="18" fillId="0" borderId="0" xfId="0" applyFont="1"/>
    <xf numFmtId="0" fontId="18" fillId="0" borderId="18" xfId="0" applyFont="1" applyFill="1" applyBorder="1" applyAlignment="1">
      <alignment vertical="center" wrapText="1"/>
    </xf>
    <xf numFmtId="4" fontId="18" fillId="0" borderId="2" xfId="0" applyNumberFormat="1" applyFont="1" applyFill="1" applyBorder="1" applyAlignment="1">
      <alignment horizontal="right" vertical="center"/>
    </xf>
    <xf numFmtId="4" fontId="18" fillId="0" borderId="13" xfId="0" applyNumberFormat="1" applyFont="1" applyFill="1" applyBorder="1" applyAlignment="1">
      <alignment horizontal="right" vertical="center"/>
    </xf>
    <xf numFmtId="4" fontId="18" fillId="0" borderId="7" xfId="0" applyNumberFormat="1" applyFont="1" applyFill="1" applyBorder="1" applyAlignment="1">
      <alignment horizontal="right" vertical="center"/>
    </xf>
    <xf numFmtId="9" fontId="29" fillId="0" borderId="11" xfId="3" applyFont="1" applyFill="1" applyBorder="1" applyAlignment="1">
      <alignment horizontal="center" vertical="center" wrapText="1"/>
    </xf>
    <xf numFmtId="0" fontId="29" fillId="0" borderId="11" xfId="0" applyFont="1" applyFill="1" applyBorder="1" applyAlignment="1">
      <alignment horizontal="left" vertical="center" wrapText="1"/>
    </xf>
    <xf numFmtId="9" fontId="28" fillId="0" borderId="25" xfId="3" applyFont="1" applyBorder="1" applyAlignment="1">
      <alignment horizontal="center" vertical="center" wrapText="1"/>
    </xf>
    <xf numFmtId="0" fontId="27" fillId="6" borderId="28" xfId="0" applyFont="1" applyFill="1" applyBorder="1" applyAlignment="1">
      <alignment horizontal="center" vertical="center" wrapText="1"/>
    </xf>
    <xf numFmtId="0" fontId="28" fillId="0" borderId="25" xfId="0" applyFont="1" applyFill="1" applyBorder="1" applyAlignment="1">
      <alignment horizontal="left" vertical="top" wrapText="1"/>
    </xf>
    <xf numFmtId="0" fontId="28" fillId="0" borderId="25" xfId="0" applyFont="1" applyBorder="1" applyAlignment="1">
      <alignment vertical="center" wrapText="1"/>
    </xf>
    <xf numFmtId="0" fontId="29" fillId="0" borderId="0" xfId="0" applyFont="1" applyAlignment="1">
      <alignment vertical="center" wrapText="1"/>
    </xf>
    <xf numFmtId="0" fontId="27" fillId="6" borderId="28" xfId="0" applyFont="1" applyFill="1" applyBorder="1" applyAlignment="1">
      <alignment vertical="center" wrapText="1"/>
    </xf>
    <xf numFmtId="9" fontId="28" fillId="0" borderId="11" xfId="3" applyFont="1" applyFill="1" applyBorder="1" applyAlignment="1">
      <alignment horizontal="center" vertical="center" wrapText="1"/>
    </xf>
    <xf numFmtId="4" fontId="11" fillId="0" borderId="7" xfId="0" applyNumberFormat="1" applyFont="1" applyFill="1" applyBorder="1" applyAlignment="1">
      <alignment horizontal="right" vertical="center"/>
    </xf>
    <xf numFmtId="0" fontId="29" fillId="0" borderId="25" xfId="0" applyFont="1" applyFill="1" applyBorder="1" applyAlignment="1">
      <alignment horizontal="center" vertical="center" wrapText="1"/>
    </xf>
    <xf numFmtId="0" fontId="28" fillId="0" borderId="25" xfId="0" quotePrefix="1" applyFont="1" applyBorder="1" applyAlignment="1">
      <alignment horizontal="center" vertical="center" wrapText="1"/>
    </xf>
    <xf numFmtId="0" fontId="28" fillId="0" borderId="25" xfId="0" quotePrefix="1" applyFont="1" applyFill="1" applyBorder="1" applyAlignment="1">
      <alignment horizontal="center" vertical="center" wrapText="1"/>
    </xf>
    <xf numFmtId="0" fontId="29" fillId="2" borderId="25" xfId="0" applyFont="1" applyFill="1" applyBorder="1" applyAlignment="1">
      <alignment horizontal="center" vertical="center" wrapText="1"/>
    </xf>
    <xf numFmtId="1" fontId="11" fillId="0" borderId="0" xfId="0" applyNumberFormat="1" applyFont="1" applyFill="1" applyBorder="1"/>
    <xf numFmtId="0" fontId="28" fillId="0" borderId="25" xfId="0" applyFont="1" applyFill="1" applyBorder="1" applyAlignment="1">
      <alignment vertical="center" wrapText="1"/>
    </xf>
    <xf numFmtId="0" fontId="28" fillId="0" borderId="28" xfId="0" applyFont="1" applyBorder="1" applyAlignment="1">
      <alignment vertical="center" wrapText="1"/>
    </xf>
    <xf numFmtId="0" fontId="35" fillId="0" borderId="29" xfId="0" applyFont="1" applyFill="1" applyBorder="1" applyAlignment="1">
      <alignment vertical="center" wrapText="1"/>
    </xf>
    <xf numFmtId="0" fontId="35" fillId="0" borderId="28" xfId="0" applyFont="1" applyFill="1" applyBorder="1" applyAlignment="1">
      <alignment vertical="center" wrapText="1"/>
    </xf>
    <xf numFmtId="0" fontId="29" fillId="0" borderId="25" xfId="0" applyFont="1" applyBorder="1" applyAlignment="1">
      <alignment vertical="center" wrapText="1"/>
    </xf>
    <xf numFmtId="0" fontId="35" fillId="0" borderId="29" xfId="0" applyFont="1" applyFill="1" applyBorder="1" applyAlignment="1">
      <alignment horizontal="center" vertical="center" wrapText="1"/>
    </xf>
    <xf numFmtId="0" fontId="35" fillId="0" borderId="28" xfId="0" applyFont="1" applyFill="1" applyBorder="1" applyAlignment="1">
      <alignment horizontal="center" vertical="center" wrapText="1"/>
    </xf>
    <xf numFmtId="4" fontId="29" fillId="0" borderId="11" xfId="0" quotePrefix="1" applyNumberFormat="1" applyFont="1" applyFill="1" applyBorder="1" applyAlignment="1">
      <alignment horizontal="center" vertical="center" wrapText="1"/>
    </xf>
    <xf numFmtId="0" fontId="28" fillId="0" borderId="25" xfId="0" applyFont="1" applyBorder="1" applyAlignment="1">
      <alignment horizontal="center" vertical="center" wrapText="1"/>
    </xf>
    <xf numFmtId="0" fontId="29" fillId="0" borderId="25" xfId="0" quotePrefix="1" applyFont="1" applyFill="1" applyBorder="1" applyAlignment="1">
      <alignment horizontal="center" vertical="center" wrapText="1"/>
    </xf>
    <xf numFmtId="9" fontId="29" fillId="0" borderId="25" xfId="3" applyFont="1" applyBorder="1" applyAlignment="1">
      <alignment horizontal="center" vertical="center" wrapText="1"/>
    </xf>
    <xf numFmtId="0" fontId="28" fillId="0" borderId="25" xfId="0" applyFont="1" applyFill="1" applyBorder="1" applyAlignment="1">
      <alignment horizontal="center" vertical="center" wrapText="1"/>
    </xf>
    <xf numFmtId="2" fontId="31" fillId="0" borderId="11" xfId="0" applyNumberFormat="1" applyFont="1" applyFill="1" applyBorder="1" applyAlignment="1">
      <alignment horizontal="center" vertical="center" wrapText="1"/>
    </xf>
    <xf numFmtId="0" fontId="29" fillId="0" borderId="25" xfId="0" applyFont="1" applyFill="1" applyBorder="1" applyAlignment="1">
      <alignment horizontal="left" vertical="center" wrapText="1"/>
    </xf>
    <xf numFmtId="2" fontId="29" fillId="0" borderId="11" xfId="0" applyNumberFormat="1" applyFont="1" applyBorder="1" applyAlignment="1">
      <alignment horizontal="center" vertical="center" wrapText="1"/>
    </xf>
    <xf numFmtId="0" fontId="28" fillId="0" borderId="25" xfId="0" applyFont="1" applyFill="1" applyBorder="1" applyAlignment="1">
      <alignment horizontal="center" vertical="center"/>
    </xf>
    <xf numFmtId="4" fontId="29" fillId="0" borderId="25" xfId="0" applyNumberFormat="1" applyFont="1" applyFill="1" applyBorder="1" applyAlignment="1">
      <alignment horizontal="center" vertical="center" wrapText="1"/>
    </xf>
    <xf numFmtId="9" fontId="29" fillId="0" borderId="28" xfId="3" applyFont="1" applyFill="1" applyBorder="1" applyAlignment="1">
      <alignment horizontal="center" vertical="center" wrapText="1"/>
    </xf>
    <xf numFmtId="4" fontId="29" fillId="0" borderId="28" xfId="0" applyNumberFormat="1" applyFont="1" applyFill="1" applyBorder="1" applyAlignment="1">
      <alignment horizontal="center" vertical="center" wrapText="1"/>
    </xf>
    <xf numFmtId="0" fontId="29" fillId="0" borderId="30" xfId="0" applyFont="1" applyFill="1" applyBorder="1" applyAlignment="1">
      <alignment horizontal="center" vertical="center" wrapText="1"/>
    </xf>
    <xf numFmtId="0" fontId="29" fillId="0" borderId="31" xfId="0" applyFont="1" applyFill="1" applyBorder="1" applyAlignment="1">
      <alignment horizontal="center" vertical="center" wrapText="1"/>
    </xf>
    <xf numFmtId="0" fontId="28" fillId="0" borderId="31" xfId="0" quotePrefix="1" applyFont="1" applyFill="1" applyBorder="1" applyAlignment="1">
      <alignment horizontal="center" vertical="center" wrapText="1"/>
    </xf>
    <xf numFmtId="9" fontId="28" fillId="0" borderId="31" xfId="3" applyFont="1" applyBorder="1" applyAlignment="1">
      <alignment horizontal="center" vertical="center" wrapText="1"/>
    </xf>
    <xf numFmtId="0" fontId="28" fillId="0" borderId="31" xfId="0" applyFont="1" applyBorder="1" applyAlignment="1">
      <alignment vertical="center" wrapText="1"/>
    </xf>
    <xf numFmtId="0" fontId="28" fillId="0" borderId="31" xfId="0" applyFont="1" applyFill="1" applyBorder="1" applyAlignment="1">
      <alignment vertical="center" wrapText="1"/>
    </xf>
    <xf numFmtId="9" fontId="29" fillId="0" borderId="42" xfId="3" applyFont="1" applyFill="1" applyBorder="1" applyAlignment="1">
      <alignment horizontal="center" vertical="center" wrapText="1"/>
    </xf>
    <xf numFmtId="0" fontId="28" fillId="0" borderId="42" xfId="0" applyFont="1" applyBorder="1" applyAlignment="1">
      <alignment vertical="center" wrapText="1"/>
    </xf>
    <xf numFmtId="4" fontId="29" fillId="0" borderId="42" xfId="0" applyNumberFormat="1" applyFont="1" applyFill="1" applyBorder="1" applyAlignment="1">
      <alignment horizontal="center" vertical="center" wrapText="1"/>
    </xf>
    <xf numFmtId="0" fontId="35" fillId="0" borderId="33" xfId="0" applyFont="1" applyFill="1" applyBorder="1" applyAlignment="1">
      <alignment horizontal="center" vertical="center" wrapText="1"/>
    </xf>
    <xf numFmtId="0" fontId="35" fillId="0" borderId="38" xfId="0" applyFont="1" applyFill="1" applyBorder="1" applyAlignment="1">
      <alignment horizontal="center" vertical="center" wrapText="1"/>
    </xf>
    <xf numFmtId="0" fontId="29" fillId="0" borderId="40" xfId="0" applyFont="1" applyFill="1" applyBorder="1" applyAlignment="1">
      <alignment horizontal="center" vertical="center" wrapText="1"/>
    </xf>
    <xf numFmtId="0" fontId="28" fillId="0" borderId="40" xfId="0" applyFont="1" applyBorder="1" applyAlignment="1">
      <alignment horizontal="center" vertical="center" wrapText="1"/>
    </xf>
    <xf numFmtId="0" fontId="29" fillId="0" borderId="40" xfId="0" applyFont="1" applyBorder="1" applyAlignment="1">
      <alignment horizontal="center" vertical="center" wrapText="1"/>
    </xf>
    <xf numFmtId="0" fontId="35" fillId="0" borderId="35" xfId="0" applyFont="1" applyFill="1" applyBorder="1" applyAlignment="1">
      <alignment horizontal="center" vertical="center" wrapText="1"/>
    </xf>
    <xf numFmtId="0" fontId="35" fillId="0" borderId="36" xfId="0" applyFont="1" applyFill="1" applyBorder="1" applyAlignment="1">
      <alignment horizontal="center" vertical="center" wrapText="1"/>
    </xf>
    <xf numFmtId="0" fontId="35" fillId="0" borderId="36" xfId="0" applyFont="1" applyFill="1" applyBorder="1" applyAlignment="1">
      <alignment vertical="center" wrapText="1"/>
    </xf>
    <xf numFmtId="0" fontId="28" fillId="0" borderId="43" xfId="0" applyFont="1" applyBorder="1" applyAlignment="1">
      <alignment vertical="center" wrapText="1"/>
    </xf>
    <xf numFmtId="0" fontId="28" fillId="0" borderId="40" xfId="0" applyFont="1" applyBorder="1" applyAlignment="1">
      <alignment horizontal="center" vertical="center"/>
    </xf>
    <xf numFmtId="0" fontId="28" fillId="0" borderId="25" xfId="0" applyFont="1" applyBorder="1" applyAlignment="1">
      <alignment horizontal="center" vertical="center" wrapText="1"/>
    </xf>
    <xf numFmtId="0" fontId="29" fillId="0" borderId="25" xfId="0" applyFont="1" applyFill="1" applyBorder="1" applyAlignment="1">
      <alignment horizontal="center" vertical="center" wrapText="1"/>
    </xf>
    <xf numFmtId="0" fontId="28" fillId="0" borderId="25" xfId="0" quotePrefix="1" applyFont="1" applyFill="1" applyBorder="1" applyAlignment="1">
      <alignment horizontal="center" vertical="center" wrapText="1"/>
    </xf>
    <xf numFmtId="0" fontId="28" fillId="0" borderId="25" xfId="0" applyFont="1" applyBorder="1" applyAlignment="1">
      <alignment horizontal="center" vertical="center" wrapText="1"/>
    </xf>
    <xf numFmtId="0" fontId="29" fillId="0" borderId="25" xfId="0" applyFont="1" applyFill="1" applyBorder="1" applyAlignment="1">
      <alignment horizontal="center" vertical="center" wrapText="1"/>
    </xf>
    <xf numFmtId="0" fontId="29" fillId="0" borderId="29" xfId="0" applyFont="1" applyFill="1" applyBorder="1" applyAlignment="1">
      <alignment horizontal="center" vertical="center" wrapText="1"/>
    </xf>
    <xf numFmtId="0" fontId="28" fillId="0" borderId="25" xfId="0" quotePrefix="1" applyFont="1" applyFill="1" applyBorder="1" applyAlignment="1">
      <alignment horizontal="center" vertical="center" wrapText="1"/>
    </xf>
    <xf numFmtId="9" fontId="29" fillId="0" borderId="25" xfId="3" applyFont="1" applyFill="1" applyBorder="1" applyAlignment="1">
      <alignment horizontal="center" vertical="center" wrapText="1"/>
    </xf>
    <xf numFmtId="0" fontId="29" fillId="0" borderId="30" xfId="0" applyFont="1" applyBorder="1" applyAlignment="1">
      <alignment horizontal="center" vertical="center" wrapText="1"/>
    </xf>
    <xf numFmtId="0" fontId="28" fillId="0" borderId="0" xfId="0" applyFont="1" applyFill="1" applyAlignment="1">
      <alignment vertical="center" wrapText="1"/>
    </xf>
    <xf numFmtId="0" fontId="29" fillId="0" borderId="25" xfId="0" applyFont="1" applyFill="1" applyBorder="1" applyAlignment="1">
      <alignment vertical="center" wrapText="1"/>
    </xf>
    <xf numFmtId="0" fontId="29" fillId="0" borderId="29" xfId="0" applyFont="1" applyFill="1" applyBorder="1" applyAlignment="1">
      <alignment vertical="center" wrapText="1"/>
    </xf>
    <xf numFmtId="0" fontId="29" fillId="0" borderId="37" xfId="0" applyFont="1" applyFill="1" applyBorder="1" applyAlignment="1">
      <alignment horizontal="left" vertical="center" wrapText="1"/>
    </xf>
    <xf numFmtId="0" fontId="29" fillId="0" borderId="29" xfId="0" applyFont="1" applyFill="1" applyBorder="1" applyAlignment="1">
      <alignment horizontal="left" vertical="center" wrapText="1"/>
    </xf>
    <xf numFmtId="0" fontId="31" fillId="0" borderId="29" xfId="0" applyFont="1" applyFill="1" applyBorder="1" applyAlignment="1">
      <alignment horizontal="center" vertical="center" wrapText="1"/>
    </xf>
    <xf numFmtId="0" fontId="27" fillId="0" borderId="29" xfId="0" applyFont="1" applyFill="1" applyBorder="1" applyAlignment="1">
      <alignment horizontal="center" vertical="center" wrapText="1"/>
    </xf>
    <xf numFmtId="4" fontId="29" fillId="0" borderId="29" xfId="0" applyNumberFormat="1" applyFont="1" applyFill="1" applyBorder="1" applyAlignment="1">
      <alignment horizontal="center" vertical="center" wrapText="1"/>
    </xf>
    <xf numFmtId="2" fontId="31" fillId="0" borderId="29" xfId="0" applyNumberFormat="1" applyFont="1" applyFill="1" applyBorder="1" applyAlignment="1">
      <alignment horizontal="center" vertical="center" wrapText="1"/>
    </xf>
    <xf numFmtId="0" fontId="11" fillId="0" borderId="11" xfId="0" applyFont="1" applyBorder="1"/>
    <xf numFmtId="0" fontId="28" fillId="0" borderId="25" xfId="0" quotePrefix="1" applyFont="1" applyFill="1" applyBorder="1" applyAlignment="1">
      <alignment horizontal="center" vertical="center" wrapText="1"/>
    </xf>
    <xf numFmtId="0" fontId="28" fillId="2" borderId="25" xfId="0" quotePrefix="1" applyFont="1" applyFill="1" applyBorder="1" applyAlignment="1">
      <alignment horizontal="center" vertical="center" wrapText="1"/>
    </xf>
    <xf numFmtId="9" fontId="28" fillId="2" borderId="25" xfId="3" applyFont="1" applyFill="1" applyBorder="1" applyAlignment="1">
      <alignment horizontal="center" vertical="center" wrapText="1"/>
    </xf>
    <xf numFmtId="0" fontId="28" fillId="2" borderId="25" xfId="0" applyFont="1" applyFill="1" applyBorder="1" applyAlignment="1">
      <alignment vertical="center" wrapText="1"/>
    </xf>
    <xf numFmtId="0" fontId="28" fillId="2" borderId="25" xfId="0" applyFont="1" applyFill="1" applyBorder="1" applyAlignment="1">
      <alignment horizontal="left" vertical="top" wrapText="1"/>
    </xf>
    <xf numFmtId="9" fontId="28" fillId="0" borderId="25" xfId="3" applyFont="1" applyFill="1" applyBorder="1" applyAlignment="1">
      <alignment horizontal="center" vertical="center" wrapText="1"/>
    </xf>
    <xf numFmtId="0" fontId="0" fillId="0" borderId="0" xfId="0" applyFill="1"/>
    <xf numFmtId="0" fontId="11" fillId="0" borderId="0" xfId="0" applyFont="1" applyFill="1" applyBorder="1" applyAlignment="1">
      <alignment vertical="center"/>
    </xf>
    <xf numFmtId="0" fontId="0" fillId="0" borderId="1" xfId="0" quotePrefix="1" applyFont="1" applyBorder="1"/>
    <xf numFmtId="0" fontId="0" fillId="0" borderId="6" xfId="0" quotePrefix="1" applyFont="1" applyBorder="1"/>
    <xf numFmtId="1" fontId="0" fillId="0" borderId="3" xfId="0" applyNumberFormat="1" applyFont="1" applyBorder="1"/>
    <xf numFmtId="1" fontId="0" fillId="0" borderId="8" xfId="0" applyNumberFormat="1" applyFont="1" applyBorder="1"/>
    <xf numFmtId="0" fontId="0" fillId="0" borderId="0" xfId="0" pivotButton="1" applyAlignment="1">
      <alignment wrapText="1"/>
    </xf>
    <xf numFmtId="0" fontId="29" fillId="0" borderId="25" xfId="0" applyFont="1" applyFill="1" applyBorder="1" applyAlignment="1">
      <alignment horizontal="center" vertical="center" wrapText="1"/>
    </xf>
    <xf numFmtId="0" fontId="29" fillId="0" borderId="29" xfId="0" applyFont="1" applyFill="1" applyBorder="1" applyAlignment="1">
      <alignment horizontal="center" vertical="center" wrapText="1"/>
    </xf>
    <xf numFmtId="0" fontId="28" fillId="0" borderId="25" xfId="0" quotePrefix="1" applyFont="1" applyFill="1" applyBorder="1" applyAlignment="1">
      <alignment horizontal="center" vertical="center" wrapText="1"/>
    </xf>
    <xf numFmtId="0" fontId="28" fillId="0" borderId="29" xfId="0" quotePrefix="1" applyFont="1" applyFill="1" applyBorder="1" applyAlignment="1">
      <alignment horizontal="center" vertical="center" wrapText="1"/>
    </xf>
    <xf numFmtId="0" fontId="28" fillId="0" borderId="29" xfId="0" applyFont="1" applyBorder="1" applyAlignment="1">
      <alignment horizontal="center" vertical="center" wrapText="1"/>
    </xf>
    <xf numFmtId="0" fontId="29" fillId="0" borderId="29" xfId="0" applyFont="1" applyFill="1" applyBorder="1" applyAlignment="1">
      <alignment horizontal="center" vertical="center" wrapText="1"/>
    </xf>
    <xf numFmtId="2" fontId="29" fillId="0" borderId="28" xfId="0" applyNumberFormat="1" applyFont="1" applyBorder="1" applyAlignment="1">
      <alignment horizontal="center" vertical="center" wrapText="1"/>
    </xf>
    <xf numFmtId="9" fontId="29" fillId="2" borderId="11" xfId="3" applyFont="1" applyFill="1" applyBorder="1" applyAlignment="1">
      <alignment horizontal="center" vertical="center" wrapText="1"/>
    </xf>
    <xf numFmtId="0" fontId="28" fillId="0" borderId="0" xfId="0" applyFont="1" applyFill="1" applyAlignment="1">
      <alignment horizontal="center" wrapText="1"/>
    </xf>
    <xf numFmtId="0" fontId="28" fillId="2" borderId="0" xfId="0" applyFont="1" applyFill="1" applyAlignment="1">
      <alignment wrapText="1"/>
    </xf>
    <xf numFmtId="0" fontId="27" fillId="6" borderId="29" xfId="0" applyFont="1" applyFill="1" applyBorder="1" applyAlignment="1">
      <alignment horizontal="center" vertical="center" wrapText="1"/>
    </xf>
    <xf numFmtId="0" fontId="28" fillId="0" borderId="11" xfId="0" applyFont="1" applyFill="1" applyBorder="1" applyAlignment="1">
      <alignment vertical="center" wrapText="1"/>
    </xf>
    <xf numFmtId="2" fontId="29" fillId="0" borderId="11" xfId="0" applyNumberFormat="1" applyFont="1" applyFill="1" applyBorder="1" applyAlignment="1">
      <alignment vertical="center" wrapText="1"/>
    </xf>
    <xf numFmtId="0" fontId="28" fillId="0" borderId="29" xfId="0" applyFont="1" applyFill="1" applyBorder="1" applyAlignment="1">
      <alignment horizontal="center" vertical="center" wrapText="1"/>
    </xf>
    <xf numFmtId="4" fontId="18" fillId="0" borderId="24" xfId="0" applyNumberFormat="1" applyFont="1" applyFill="1" applyBorder="1" applyAlignment="1">
      <alignment horizontal="right" vertical="center"/>
    </xf>
    <xf numFmtId="0" fontId="11" fillId="0" borderId="37" xfId="0" applyFont="1" applyBorder="1"/>
    <xf numFmtId="2" fontId="29" fillId="0" borderId="29" xfId="0" applyNumberFormat="1" applyFont="1" applyBorder="1" applyAlignment="1">
      <alignment horizontal="center" vertical="center" wrapText="1"/>
    </xf>
    <xf numFmtId="0" fontId="29" fillId="0" borderId="33" xfId="0" applyFont="1" applyFill="1" applyBorder="1" applyAlignment="1">
      <alignment horizontal="center" vertical="center" wrapText="1"/>
    </xf>
    <xf numFmtId="9" fontId="28" fillId="0" borderId="29" xfId="3" applyFont="1" applyBorder="1" applyAlignment="1">
      <alignment horizontal="center" vertical="center" wrapText="1"/>
    </xf>
    <xf numFmtId="0" fontId="28" fillId="0" borderId="29" xfId="0" applyFont="1" applyBorder="1" applyAlignment="1">
      <alignment vertical="center" wrapText="1"/>
    </xf>
    <xf numFmtId="0" fontId="29" fillId="3" borderId="30" xfId="0" applyFont="1" applyFill="1" applyBorder="1" applyAlignment="1">
      <alignment horizontal="center" vertical="center" wrapText="1"/>
    </xf>
    <xf numFmtId="0" fontId="29" fillId="3" borderId="31" xfId="0" applyFont="1" applyFill="1" applyBorder="1" applyAlignment="1">
      <alignment horizontal="center" vertical="center" wrapText="1"/>
    </xf>
    <xf numFmtId="0" fontId="28" fillId="3" borderId="31" xfId="0" quotePrefix="1" applyFont="1" applyFill="1" applyBorder="1" applyAlignment="1">
      <alignment horizontal="center" vertical="center" wrapText="1"/>
    </xf>
    <xf numFmtId="0" fontId="28" fillId="3" borderId="25" xfId="0" applyFont="1" applyFill="1" applyBorder="1" applyAlignment="1">
      <alignment horizontal="center" vertical="center" wrapText="1"/>
    </xf>
    <xf numFmtId="9" fontId="28" fillId="3" borderId="31" xfId="3" applyFont="1" applyFill="1" applyBorder="1" applyAlignment="1">
      <alignment horizontal="center" vertical="center" wrapText="1"/>
    </xf>
    <xf numFmtId="0" fontId="28" fillId="3" borderId="31" xfId="0" applyFont="1" applyFill="1" applyBorder="1" applyAlignment="1">
      <alignment vertical="center" wrapText="1"/>
    </xf>
    <xf numFmtId="9" fontId="29" fillId="3" borderId="11" xfId="3" applyFont="1" applyFill="1" applyBorder="1" applyAlignment="1">
      <alignment horizontal="center" vertical="center" wrapText="1"/>
    </xf>
    <xf numFmtId="0" fontId="28" fillId="3" borderId="42" xfId="0" applyFont="1" applyFill="1" applyBorder="1" applyAlignment="1">
      <alignment vertical="center" wrapText="1"/>
    </xf>
    <xf numFmtId="4" fontId="29" fillId="3" borderId="42" xfId="0" applyNumberFormat="1" applyFont="1" applyFill="1" applyBorder="1" applyAlignment="1">
      <alignment horizontal="center" vertical="center" wrapText="1"/>
    </xf>
    <xf numFmtId="2" fontId="29" fillId="3" borderId="11" xfId="0" applyNumberFormat="1" applyFont="1" applyFill="1" applyBorder="1" applyAlignment="1">
      <alignment vertical="center" wrapText="1"/>
    </xf>
    <xf numFmtId="0" fontId="35" fillId="3" borderId="33" xfId="0" applyFont="1" applyFill="1" applyBorder="1" applyAlignment="1">
      <alignment horizontal="center" vertical="center" wrapText="1"/>
    </xf>
    <xf numFmtId="0" fontId="35" fillId="3" borderId="29" xfId="0" applyFont="1" applyFill="1" applyBorder="1" applyAlignment="1">
      <alignment horizontal="center" vertical="center" wrapText="1"/>
    </xf>
    <xf numFmtId="0" fontId="35" fillId="3" borderId="29" xfId="0" applyFont="1" applyFill="1" applyBorder="1" applyAlignment="1">
      <alignment vertical="center" wrapText="1"/>
    </xf>
    <xf numFmtId="0" fontId="28" fillId="3" borderId="11" xfId="0" applyFont="1" applyFill="1" applyBorder="1" applyAlignment="1">
      <alignment vertical="center" wrapText="1"/>
    </xf>
    <xf numFmtId="4" fontId="29" fillId="3" borderId="11" xfId="0" applyNumberFormat="1" applyFont="1" applyFill="1" applyBorder="1" applyAlignment="1">
      <alignment horizontal="center" vertical="center" wrapText="1"/>
    </xf>
    <xf numFmtId="0" fontId="35" fillId="3" borderId="38" xfId="0" applyFont="1" applyFill="1" applyBorder="1" applyAlignment="1">
      <alignment horizontal="center" vertical="center" wrapText="1"/>
    </xf>
    <xf numFmtId="0" fontId="35" fillId="3" borderId="28" xfId="0" applyFont="1" applyFill="1" applyBorder="1" applyAlignment="1">
      <alignment horizontal="center" vertical="center" wrapText="1"/>
    </xf>
    <xf numFmtId="0" fontId="35" fillId="3" borderId="28" xfId="0" applyFont="1" applyFill="1" applyBorder="1" applyAlignment="1">
      <alignment vertical="center" wrapText="1"/>
    </xf>
    <xf numFmtId="4" fontId="29" fillId="3" borderId="11" xfId="0" quotePrefix="1" applyNumberFormat="1" applyFont="1" applyFill="1" applyBorder="1" applyAlignment="1">
      <alignment horizontal="center" vertical="center" wrapText="1"/>
    </xf>
    <xf numFmtId="2" fontId="29" fillId="3" borderId="11" xfId="0" applyNumberFormat="1" applyFont="1" applyFill="1" applyBorder="1" applyAlignment="1">
      <alignment horizontal="center" vertical="center" wrapText="1"/>
    </xf>
    <xf numFmtId="0" fontId="28" fillId="3" borderId="31" xfId="0" applyFont="1" applyFill="1" applyBorder="1" applyAlignment="1">
      <alignment horizontal="center" vertical="center" wrapText="1"/>
    </xf>
    <xf numFmtId="9" fontId="29" fillId="3" borderId="42" xfId="3" applyFont="1" applyFill="1" applyBorder="1" applyAlignment="1">
      <alignment horizontal="center" vertical="center" wrapText="1"/>
    </xf>
    <xf numFmtId="2" fontId="29" fillId="3" borderId="44" xfId="0" applyNumberFormat="1" applyFont="1" applyFill="1" applyBorder="1" applyAlignment="1">
      <alignment horizontal="center" vertical="center" wrapText="1"/>
    </xf>
    <xf numFmtId="2" fontId="29" fillId="3" borderId="28" xfId="0" applyNumberFormat="1" applyFont="1" applyFill="1" applyBorder="1" applyAlignment="1">
      <alignment horizontal="center" vertical="center" wrapText="1"/>
    </xf>
    <xf numFmtId="0" fontId="28" fillId="0" borderId="29" xfId="0" applyFont="1" applyFill="1" applyBorder="1" applyAlignment="1">
      <alignment vertical="center" wrapText="1"/>
    </xf>
    <xf numFmtId="2" fontId="29" fillId="0" borderId="28" xfId="0" applyNumberFormat="1" applyFont="1" applyFill="1" applyBorder="1" applyAlignment="1">
      <alignment vertical="center" wrapText="1"/>
    </xf>
    <xf numFmtId="0" fontId="29" fillId="3" borderId="40" xfId="0" applyFont="1" applyFill="1" applyBorder="1" applyAlignment="1">
      <alignment horizontal="center" vertical="center" wrapText="1"/>
    </xf>
    <xf numFmtId="0" fontId="29" fillId="3" borderId="25" xfId="0" applyFont="1" applyFill="1" applyBorder="1" applyAlignment="1">
      <alignment horizontal="center" vertical="center" wrapText="1"/>
    </xf>
    <xf numFmtId="0" fontId="28" fillId="3" borderId="25" xfId="0" quotePrefix="1" applyFont="1" applyFill="1" applyBorder="1" applyAlignment="1">
      <alignment horizontal="center" vertical="center" wrapText="1"/>
    </xf>
    <xf numFmtId="9" fontId="28" fillId="3" borderId="25" xfId="3" applyFont="1" applyFill="1" applyBorder="1" applyAlignment="1">
      <alignment horizontal="center" vertical="center" wrapText="1"/>
    </xf>
    <xf numFmtId="0" fontId="28" fillId="3" borderId="25" xfId="0" applyFont="1" applyFill="1" applyBorder="1" applyAlignment="1">
      <alignment vertical="center" wrapText="1"/>
    </xf>
    <xf numFmtId="0" fontId="29" fillId="3" borderId="29" xfId="0" applyFont="1" applyFill="1" applyBorder="1" applyAlignment="1">
      <alignment vertical="center" wrapText="1"/>
    </xf>
    <xf numFmtId="0" fontId="28" fillId="3" borderId="25" xfId="0" applyFont="1" applyFill="1" applyBorder="1" applyAlignment="1">
      <alignment horizontal="left" vertical="top" wrapText="1"/>
    </xf>
    <xf numFmtId="9" fontId="28" fillId="3" borderId="11" xfId="3" applyFont="1" applyFill="1" applyBorder="1" applyAlignment="1">
      <alignment horizontal="center" vertical="center" wrapText="1"/>
    </xf>
    <xf numFmtId="0" fontId="28" fillId="3" borderId="40" xfId="0" applyFont="1" applyFill="1" applyBorder="1" applyAlignment="1">
      <alignment horizontal="center" vertical="center" wrapText="1"/>
    </xf>
    <xf numFmtId="0" fontId="28" fillId="3" borderId="25" xfId="0" applyFont="1" applyFill="1" applyBorder="1" applyAlignment="1">
      <alignment horizontal="center" vertical="center"/>
    </xf>
    <xf numFmtId="0" fontId="29" fillId="3" borderId="25" xfId="0" applyFont="1" applyFill="1" applyBorder="1" applyAlignment="1">
      <alignment vertical="center" wrapText="1"/>
    </xf>
    <xf numFmtId="0" fontId="28" fillId="0" borderId="33" xfId="0" applyFont="1" applyBorder="1" applyAlignment="1">
      <alignment horizontal="center" vertical="center" wrapText="1"/>
    </xf>
    <xf numFmtId="0" fontId="28" fillId="0" borderId="29" xfId="0" quotePrefix="1" applyFont="1" applyBorder="1" applyAlignment="1">
      <alignment horizontal="center" vertical="center" wrapText="1"/>
    </xf>
    <xf numFmtId="0" fontId="29" fillId="0" borderId="29" xfId="0" quotePrefix="1" applyFont="1" applyFill="1" applyBorder="1" applyAlignment="1">
      <alignment horizontal="center" vertical="center" wrapText="1"/>
    </xf>
    <xf numFmtId="9" fontId="29" fillId="0" borderId="29" xfId="3" applyFont="1" applyBorder="1" applyAlignment="1">
      <alignment horizontal="center" vertical="center" wrapText="1"/>
    </xf>
    <xf numFmtId="0" fontId="29" fillId="0" borderId="29" xfId="0" applyFont="1" applyBorder="1" applyAlignment="1">
      <alignment vertical="center" wrapText="1"/>
    </xf>
    <xf numFmtId="2" fontId="29" fillId="0" borderId="42" xfId="0" applyNumberFormat="1" applyFont="1" applyFill="1" applyBorder="1" applyAlignment="1">
      <alignment vertical="center" wrapText="1"/>
    </xf>
    <xf numFmtId="9" fontId="29" fillId="0" borderId="43" xfId="3" applyFont="1" applyFill="1" applyBorder="1" applyAlignment="1">
      <alignment horizontal="center" vertical="center" wrapText="1"/>
    </xf>
    <xf numFmtId="4" fontId="29" fillId="0" borderId="43" xfId="0" quotePrefix="1" applyNumberFormat="1" applyFont="1" applyFill="1" applyBorder="1" applyAlignment="1">
      <alignment horizontal="center" vertical="center" wrapText="1"/>
    </xf>
    <xf numFmtId="2" fontId="29" fillId="0" borderId="43" xfId="0" applyNumberFormat="1" applyFont="1" applyFill="1" applyBorder="1" applyAlignment="1">
      <alignment vertical="center" wrapText="1"/>
    </xf>
    <xf numFmtId="9" fontId="29" fillId="3" borderId="25" xfId="3" applyFont="1" applyFill="1" applyBorder="1" applyAlignment="1">
      <alignment horizontal="center" vertical="center" wrapText="1"/>
    </xf>
    <xf numFmtId="2" fontId="29" fillId="3" borderId="42" xfId="0" applyNumberFormat="1" applyFont="1" applyFill="1" applyBorder="1" applyAlignment="1">
      <alignment vertical="center" wrapText="1"/>
    </xf>
    <xf numFmtId="0" fontId="29" fillId="0" borderId="29" xfId="0" applyFont="1" applyFill="1" applyBorder="1" applyAlignment="1">
      <alignment horizontal="center" vertical="center" wrapText="1"/>
    </xf>
    <xf numFmtId="0" fontId="28" fillId="0" borderId="25" xfId="0" quotePrefix="1" applyFont="1" applyFill="1" applyBorder="1" applyAlignment="1">
      <alignment horizontal="center" vertical="center" wrapText="1"/>
    </xf>
    <xf numFmtId="0" fontId="17" fillId="0" borderId="15" xfId="0" applyFont="1" applyFill="1" applyBorder="1" applyAlignment="1">
      <alignment vertical="center" wrapText="1"/>
    </xf>
    <xf numFmtId="0" fontId="0" fillId="0" borderId="15" xfId="0" applyFont="1" applyFill="1" applyBorder="1" applyAlignment="1">
      <alignment vertical="center"/>
    </xf>
    <xf numFmtId="0" fontId="0" fillId="0" borderId="0" xfId="0" quotePrefix="1" applyFont="1" applyFill="1" applyBorder="1" applyAlignment="1">
      <alignment horizontal="center" vertical="center" wrapText="1"/>
    </xf>
    <xf numFmtId="0" fontId="28" fillId="0" borderId="25" xfId="0" applyFont="1" applyBorder="1" applyAlignment="1">
      <alignment horizontal="center" vertical="center" wrapText="1"/>
    </xf>
    <xf numFmtId="0" fontId="29" fillId="0" borderId="25" xfId="0" applyFont="1" applyFill="1" applyBorder="1" applyAlignment="1">
      <alignment horizontal="center" vertical="center" wrapText="1"/>
    </xf>
    <xf numFmtId="0" fontId="29" fillId="0" borderId="29" xfId="0" applyFont="1" applyFill="1" applyBorder="1" applyAlignment="1">
      <alignment horizontal="center" vertical="center" wrapText="1"/>
    </xf>
    <xf numFmtId="0" fontId="28" fillId="0" borderId="25" xfId="0" quotePrefix="1" applyFont="1" applyFill="1" applyBorder="1" applyAlignment="1">
      <alignment horizontal="center" vertical="center" wrapText="1"/>
    </xf>
    <xf numFmtId="0" fontId="28" fillId="0" borderId="29" xfId="0" quotePrefix="1" applyFont="1" applyFill="1" applyBorder="1" applyAlignment="1">
      <alignment horizontal="center" vertical="center" wrapText="1"/>
    </xf>
    <xf numFmtId="9" fontId="28" fillId="0" borderId="31" xfId="3" applyFont="1" applyFill="1" applyBorder="1" applyAlignment="1">
      <alignment horizontal="center" vertical="center" wrapText="1"/>
    </xf>
    <xf numFmtId="0" fontId="28" fillId="0" borderId="31" xfId="0" applyFont="1" applyFill="1" applyBorder="1" applyAlignment="1">
      <alignment horizontal="center" vertical="center" wrapText="1"/>
    </xf>
    <xf numFmtId="0" fontId="28" fillId="0" borderId="29" xfId="0" applyFont="1" applyFill="1" applyBorder="1" applyAlignment="1">
      <alignment horizontal="center" vertical="center" wrapText="1"/>
    </xf>
    <xf numFmtId="2" fontId="29" fillId="0" borderId="28" xfId="0" applyNumberFormat="1" applyFont="1" applyFill="1" applyBorder="1" applyAlignment="1">
      <alignment horizontal="center" vertical="center" wrapText="1"/>
    </xf>
    <xf numFmtId="0" fontId="28" fillId="3" borderId="40" xfId="0" applyFont="1" applyFill="1" applyBorder="1" applyAlignment="1">
      <alignment horizontal="center" vertical="center"/>
    </xf>
    <xf numFmtId="0" fontId="29" fillId="3" borderId="25" xfId="0" applyFont="1" applyFill="1" applyBorder="1" applyAlignment="1">
      <alignment horizontal="left" vertical="center" wrapText="1"/>
    </xf>
    <xf numFmtId="0" fontId="29" fillId="3" borderId="25" xfId="0" quotePrefix="1" applyFont="1" applyFill="1" applyBorder="1" applyAlignment="1">
      <alignment horizontal="center" vertical="center" wrapText="1"/>
    </xf>
    <xf numFmtId="2" fontId="29" fillId="0" borderId="29" xfId="0" applyNumberFormat="1" applyFont="1" applyFill="1" applyBorder="1" applyAlignment="1">
      <alignment horizontal="center" vertical="center" wrapText="1"/>
    </xf>
    <xf numFmtId="2" fontId="29" fillId="0" borderId="25" xfId="0" applyNumberFormat="1" applyFont="1" applyFill="1" applyBorder="1" applyAlignment="1">
      <alignment vertical="center" wrapText="1"/>
    </xf>
    <xf numFmtId="0" fontId="28" fillId="0" borderId="29" xfId="0" applyFont="1" applyFill="1" applyBorder="1" applyAlignment="1">
      <alignment horizontal="center" vertical="center"/>
    </xf>
    <xf numFmtId="9" fontId="28" fillId="0" borderId="28" xfId="3" applyFont="1" applyFill="1" applyBorder="1" applyAlignment="1">
      <alignment horizontal="center" vertical="center" wrapText="1"/>
    </xf>
    <xf numFmtId="0" fontId="28" fillId="0" borderId="28" xfId="0" applyFont="1" applyFill="1" applyBorder="1" applyAlignment="1">
      <alignment vertical="center" wrapText="1"/>
    </xf>
    <xf numFmtId="0" fontId="29" fillId="3" borderId="11" xfId="0" applyFont="1" applyFill="1" applyBorder="1" applyAlignment="1">
      <alignment vertical="center" wrapText="1"/>
    </xf>
    <xf numFmtId="0" fontId="29" fillId="3" borderId="11" xfId="0" applyFont="1" applyFill="1" applyBorder="1" applyAlignment="1">
      <alignment horizontal="center" vertical="center" wrapText="1"/>
    </xf>
    <xf numFmtId="0" fontId="28" fillId="0" borderId="40" xfId="0" applyFont="1" applyFill="1" applyBorder="1" applyAlignment="1">
      <alignment horizontal="center" vertical="center" wrapText="1"/>
    </xf>
    <xf numFmtId="0" fontId="28" fillId="0" borderId="40" xfId="0" applyFont="1" applyFill="1" applyBorder="1" applyAlignment="1">
      <alignment horizontal="center" vertical="center"/>
    </xf>
    <xf numFmtId="0" fontId="29" fillId="0" borderId="0" xfId="0" applyFont="1" applyFill="1" applyAlignment="1">
      <alignment wrapText="1"/>
    </xf>
    <xf numFmtId="4" fontId="37" fillId="0" borderId="0" xfId="0" applyNumberFormat="1" applyFont="1" applyFill="1" applyBorder="1" applyAlignment="1">
      <alignment horizontal="right" vertical="center"/>
    </xf>
    <xf numFmtId="4" fontId="37" fillId="0" borderId="0" xfId="0" quotePrefix="1" applyNumberFormat="1" applyFont="1" applyFill="1" applyBorder="1" applyAlignment="1">
      <alignment horizontal="right" vertical="center"/>
    </xf>
    <xf numFmtId="0" fontId="0" fillId="0" borderId="0" xfId="0" applyNumberFormat="1" applyFill="1" applyBorder="1" applyAlignment="1">
      <alignment vertical="center" wrapText="1"/>
    </xf>
    <xf numFmtId="4" fontId="37" fillId="0" borderId="22" xfId="0" quotePrefix="1" applyNumberFormat="1" applyFont="1" applyFill="1" applyBorder="1" applyAlignment="1">
      <alignment horizontal="right" vertical="center"/>
    </xf>
    <xf numFmtId="0" fontId="1" fillId="0" borderId="0" xfId="0" applyFont="1" applyFill="1" applyBorder="1" applyAlignment="1">
      <alignment horizontal="center" vertical="center" wrapText="1"/>
    </xf>
    <xf numFmtId="0" fontId="40" fillId="0" borderId="0" xfId="0" applyFont="1" applyFill="1" applyBorder="1" applyAlignment="1">
      <alignment horizontal="center" vertical="center" wrapText="1"/>
    </xf>
    <xf numFmtId="0" fontId="1" fillId="0" borderId="0" xfId="0" applyFont="1" applyFill="1" applyBorder="1" applyAlignment="1">
      <alignment horizontal="center" vertical="center"/>
    </xf>
    <xf numFmtId="1" fontId="1" fillId="0" borderId="0" xfId="0" applyNumberFormat="1" applyFont="1" applyFill="1" applyBorder="1" applyAlignment="1">
      <alignment horizontal="center" vertical="center" wrapText="1"/>
    </xf>
    <xf numFmtId="0" fontId="14" fillId="0" borderId="0" xfId="0" applyFont="1" applyFill="1" applyBorder="1" applyAlignment="1">
      <alignment horizontal="left" vertical="center" wrapText="1"/>
    </xf>
    <xf numFmtId="0" fontId="22" fillId="0" borderId="0" xfId="0" applyFont="1" applyFill="1" applyBorder="1" applyAlignment="1">
      <alignment horizontal="center" vertical="center" wrapText="1"/>
    </xf>
    <xf numFmtId="164" fontId="0" fillId="0" borderId="0" xfId="0" applyNumberFormat="1" applyFill="1" applyBorder="1"/>
    <xf numFmtId="164" fontId="0" fillId="0" borderId="0" xfId="0" applyNumberFormat="1" applyFill="1" applyBorder="1" applyAlignment="1">
      <alignment horizontal="center" vertical="center"/>
    </xf>
    <xf numFmtId="0" fontId="10" fillId="0" borderId="0" xfId="0" applyFont="1" applyFill="1" applyBorder="1" applyAlignment="1">
      <alignment horizontal="center" vertical="top" wrapText="1"/>
    </xf>
    <xf numFmtId="0" fontId="0" fillId="0" borderId="0" xfId="0" applyFill="1" applyBorder="1" applyAlignment="1">
      <alignment vertical="top" wrapText="1"/>
    </xf>
    <xf numFmtId="0" fontId="0" fillId="0" borderId="0" xfId="0" applyFill="1" applyAlignment="1">
      <alignment vertical="top"/>
    </xf>
    <xf numFmtId="0" fontId="0" fillId="0" borderId="0" xfId="0" applyFill="1" applyBorder="1" applyAlignment="1">
      <alignment horizontal="center" vertical="top"/>
    </xf>
    <xf numFmtId="0" fontId="15" fillId="0" borderId="0" xfId="1" applyFill="1" applyBorder="1" applyAlignment="1">
      <alignment vertical="top"/>
    </xf>
    <xf numFmtId="0" fontId="0" fillId="0" borderId="0" xfId="0" applyFill="1" applyAlignment="1">
      <alignment vertical="top" wrapText="1"/>
    </xf>
    <xf numFmtId="1" fontId="21" fillId="0" borderId="0" xfId="0" applyNumberFormat="1" applyFont="1" applyFill="1" applyBorder="1" applyAlignment="1">
      <alignment horizontal="center" vertical="center" wrapText="1"/>
    </xf>
    <xf numFmtId="1" fontId="11" fillId="0" borderId="0" xfId="0" applyNumberFormat="1" applyFont="1" applyFill="1" applyBorder="1" applyAlignment="1">
      <alignment horizontal="center" vertical="center" wrapText="1"/>
    </xf>
    <xf numFmtId="0" fontId="20" fillId="0" borderId="0" xfId="0" applyFont="1" applyFill="1" applyBorder="1" applyAlignment="1">
      <alignment horizontal="center" vertical="center" wrapText="1"/>
    </xf>
    <xf numFmtId="0" fontId="20" fillId="0" borderId="0" xfId="0" applyFont="1" applyFill="1" applyBorder="1" applyAlignment="1">
      <alignment horizontal="center" vertical="top" wrapText="1"/>
    </xf>
    <xf numFmtId="0" fontId="0" fillId="0" borderId="0" xfId="0" quotePrefix="1" applyFill="1" applyBorder="1" applyAlignment="1">
      <alignment vertical="top" wrapText="1"/>
    </xf>
    <xf numFmtId="0" fontId="4" fillId="0" borderId="0" xfId="0" quotePrefix="1" applyFont="1" applyFill="1" applyBorder="1" applyAlignment="1">
      <alignment horizontal="center" vertical="center" wrapText="1"/>
    </xf>
    <xf numFmtId="0" fontId="0" fillId="0" borderId="0" xfId="0" applyFill="1" applyAlignment="1">
      <alignment vertical="center" wrapText="1"/>
    </xf>
    <xf numFmtId="0" fontId="7" fillId="0" borderId="0" xfId="0" applyFont="1" applyFill="1" applyBorder="1" applyAlignment="1">
      <alignment wrapText="1"/>
    </xf>
    <xf numFmtId="166" fontId="0" fillId="0" borderId="0" xfId="0" applyNumberFormat="1" applyFill="1" applyBorder="1" applyAlignment="1">
      <alignment vertical="center" wrapText="1"/>
    </xf>
    <xf numFmtId="0" fontId="0" fillId="0" borderId="0" xfId="0" applyFill="1" applyBorder="1" applyAlignment="1">
      <alignment horizontal="left" vertical="top" wrapText="1"/>
    </xf>
    <xf numFmtId="49" fontId="0" fillId="0" borderId="0" xfId="0" applyNumberFormat="1" applyFill="1" applyBorder="1" applyAlignment="1">
      <alignment horizontal="center" vertical="center" wrapText="1"/>
    </xf>
    <xf numFmtId="0" fontId="0" fillId="0" borderId="0" xfId="0" quotePrefix="1" applyFont="1" applyFill="1" applyBorder="1" applyAlignment="1">
      <alignment vertical="center" wrapText="1"/>
    </xf>
    <xf numFmtId="2" fontId="0" fillId="0" borderId="0" xfId="0" applyNumberFormat="1" applyFill="1" applyBorder="1" applyAlignment="1">
      <alignment horizontal="center" vertical="center" wrapText="1"/>
    </xf>
    <xf numFmtId="165" fontId="0" fillId="0" borderId="0" xfId="0" applyNumberFormat="1" applyFill="1" applyBorder="1" applyAlignment="1">
      <alignment horizontal="center" vertical="center" wrapText="1"/>
    </xf>
    <xf numFmtId="165" fontId="0" fillId="0" borderId="0" xfId="0" applyNumberFormat="1" applyFill="1" applyBorder="1" applyAlignment="1">
      <alignment vertical="center" wrapText="1"/>
    </xf>
    <xf numFmtId="164" fontId="0" fillId="0" borderId="0" xfId="0" applyNumberFormat="1" applyFont="1" applyFill="1" applyBorder="1" applyAlignment="1">
      <alignment horizontal="center" vertical="center" wrapText="1"/>
    </xf>
    <xf numFmtId="0" fontId="0" fillId="0" borderId="16" xfId="0" applyFill="1" applyBorder="1" applyAlignment="1">
      <alignment vertical="center"/>
    </xf>
    <xf numFmtId="0" fontId="0" fillId="0" borderId="15" xfId="0" applyFill="1" applyBorder="1" applyAlignment="1">
      <alignment vertical="top" wrapText="1"/>
    </xf>
    <xf numFmtId="0" fontId="4" fillId="0" borderId="0" xfId="0" applyFont="1" applyFill="1" applyBorder="1" applyAlignment="1">
      <alignment horizontal="center" vertical="center" wrapText="1"/>
    </xf>
    <xf numFmtId="167" fontId="0" fillId="0" borderId="0" xfId="0" applyNumberFormat="1" applyFill="1" applyBorder="1" applyAlignment="1">
      <alignment horizontal="center" vertical="center" wrapText="1"/>
    </xf>
    <xf numFmtId="166" fontId="0" fillId="0" borderId="0" xfId="0" applyNumberFormat="1" applyFill="1" applyBorder="1" applyAlignment="1">
      <alignment horizontal="center" vertical="center" wrapText="1"/>
    </xf>
    <xf numFmtId="0" fontId="38" fillId="0" borderId="0" xfId="0" applyFont="1" applyFill="1" applyBorder="1" applyAlignment="1">
      <alignment horizontal="center" vertical="center" wrapText="1"/>
    </xf>
    <xf numFmtId="1" fontId="39" fillId="0" borderId="0" xfId="0" applyNumberFormat="1" applyFont="1" applyFill="1" applyBorder="1" applyAlignment="1">
      <alignment horizontal="center" vertical="center" wrapText="1"/>
    </xf>
    <xf numFmtId="164" fontId="11" fillId="0" borderId="0" xfId="0" quotePrefix="1" applyNumberFormat="1" applyFont="1" applyFill="1" applyBorder="1" applyAlignment="1">
      <alignment horizontal="center" vertical="center" wrapText="1"/>
    </xf>
    <xf numFmtId="164" fontId="0" fillId="3" borderId="0" xfId="0" applyNumberFormat="1" applyFill="1" applyBorder="1" applyAlignment="1">
      <alignment horizontal="center" vertical="top" wrapText="1"/>
    </xf>
    <xf numFmtId="164" fontId="0" fillId="3" borderId="0" xfId="0" applyNumberFormat="1" applyFill="1" applyBorder="1" applyAlignment="1">
      <alignment horizontal="center" vertical="center" wrapText="1"/>
    </xf>
    <xf numFmtId="2" fontId="28" fillId="0" borderId="34" xfId="0" applyNumberFormat="1" applyFont="1" applyBorder="1" applyAlignment="1">
      <alignment horizontal="center" vertical="center" wrapText="1"/>
    </xf>
    <xf numFmtId="0" fontId="0" fillId="0" borderId="0" xfId="0" applyAlignment="1">
      <alignment horizontal="center"/>
    </xf>
    <xf numFmtId="0" fontId="35" fillId="0" borderId="29" xfId="0" quotePrefix="1" applyFont="1" applyFill="1" applyBorder="1" applyAlignment="1">
      <alignment horizontal="center" vertical="center" wrapText="1"/>
    </xf>
    <xf numFmtId="2" fontId="29" fillId="0" borderId="29" xfId="0" applyNumberFormat="1" applyFont="1" applyFill="1" applyBorder="1" applyAlignment="1">
      <alignment vertical="center" wrapText="1"/>
    </xf>
    <xf numFmtId="0" fontId="28" fillId="0" borderId="42" xfId="0" applyFont="1" applyFill="1" applyBorder="1" applyAlignment="1">
      <alignment vertical="center" wrapText="1"/>
    </xf>
    <xf numFmtId="0" fontId="29" fillId="0" borderId="11" xfId="0" applyFont="1" applyFill="1" applyBorder="1" applyAlignment="1">
      <alignment vertical="center" wrapText="1"/>
    </xf>
    <xf numFmtId="9" fontId="29" fillId="0" borderId="51" xfId="3" applyFont="1" applyFill="1" applyBorder="1" applyAlignment="1">
      <alignment horizontal="center" vertical="center" wrapText="1"/>
    </xf>
    <xf numFmtId="0" fontId="0" fillId="0" borderId="0" xfId="0" quotePrefix="1" applyAlignment="1">
      <alignment horizontal="center"/>
    </xf>
    <xf numFmtId="164" fontId="11" fillId="0" borderId="0" xfId="0" applyNumberFormat="1" applyFont="1" applyFill="1" applyBorder="1" applyAlignment="1">
      <alignment horizontal="center" vertical="top" wrapText="1"/>
    </xf>
    <xf numFmtId="0" fontId="41" fillId="0" borderId="0" xfId="0" applyFont="1" applyAlignment="1">
      <alignment vertical="center"/>
    </xf>
    <xf numFmtId="0" fontId="4" fillId="0" borderId="0" xfId="0" applyFont="1"/>
    <xf numFmtId="0" fontId="11" fillId="0" borderId="0" xfId="0" applyNumberFormat="1" applyFont="1" applyFill="1" applyBorder="1" applyAlignment="1">
      <alignment vertical="center" wrapText="1"/>
    </xf>
    <xf numFmtId="0" fontId="11" fillId="0" borderId="0" xfId="0" applyFont="1" applyFill="1" applyBorder="1" applyAlignment="1">
      <alignment horizontal="center" vertical="center" wrapText="1"/>
    </xf>
    <xf numFmtId="0" fontId="11" fillId="0" borderId="0" xfId="0" quotePrefix="1" applyFont="1" applyFill="1" applyBorder="1" applyAlignment="1">
      <alignment horizontal="center" vertical="center" wrapText="1"/>
    </xf>
    <xf numFmtId="164" fontId="11" fillId="0" borderId="0" xfId="0" applyNumberFormat="1" applyFont="1" applyFill="1" applyBorder="1" applyAlignment="1">
      <alignment horizontal="center" vertical="center" wrapText="1"/>
    </xf>
    <xf numFmtId="1" fontId="11" fillId="0" borderId="0" xfId="0" applyNumberFormat="1" applyFont="1" applyFill="1" applyBorder="1" applyAlignment="1">
      <alignment horizontal="left" vertical="top" wrapText="1"/>
    </xf>
    <xf numFmtId="0" fontId="11" fillId="0" borderId="0" xfId="0" applyFont="1" applyFill="1" applyBorder="1" applyAlignment="1">
      <alignment horizontal="center" wrapText="1"/>
    </xf>
    <xf numFmtId="0" fontId="11" fillId="0" borderId="0" xfId="0" applyFont="1" applyFill="1" applyBorder="1" applyAlignment="1">
      <alignment horizontal="center" vertical="center"/>
    </xf>
    <xf numFmtId="0" fontId="45" fillId="0" borderId="0" xfId="0" applyFont="1" applyAlignment="1">
      <alignment vertical="center"/>
    </xf>
    <xf numFmtId="0" fontId="47" fillId="0" borderId="0" xfId="0" applyFont="1"/>
    <xf numFmtId="0" fontId="47" fillId="0" borderId="0" xfId="0" applyFont="1" applyFill="1"/>
    <xf numFmtId="169" fontId="47" fillId="0" borderId="0" xfId="0" applyNumberFormat="1" applyFont="1"/>
    <xf numFmtId="0" fontId="47" fillId="0" borderId="0" xfId="0" applyFont="1" applyBorder="1"/>
    <xf numFmtId="0" fontId="50" fillId="6" borderId="52" xfId="0" applyFont="1" applyFill="1" applyBorder="1" applyAlignment="1">
      <alignment horizontal="center" vertical="center" wrapText="1"/>
    </xf>
    <xf numFmtId="0" fontId="50" fillId="6" borderId="53" xfId="0" applyFont="1" applyFill="1" applyBorder="1" applyAlignment="1">
      <alignment horizontal="center" vertical="center" wrapText="1"/>
    </xf>
    <xf numFmtId="0" fontId="50" fillId="6" borderId="53" xfId="0" applyFont="1" applyFill="1" applyBorder="1" applyAlignment="1">
      <alignment vertical="center" wrapText="1"/>
    </xf>
    <xf numFmtId="0" fontId="50" fillId="6" borderId="55" xfId="0" applyFont="1" applyFill="1" applyBorder="1" applyAlignment="1">
      <alignment horizontal="center" vertical="center" wrapText="1"/>
    </xf>
    <xf numFmtId="0" fontId="50" fillId="6" borderId="56" xfId="0" applyFont="1" applyFill="1" applyBorder="1" applyAlignment="1">
      <alignment horizontal="center" vertical="center" wrapText="1"/>
    </xf>
    <xf numFmtId="0" fontId="48" fillId="0" borderId="33" xfId="0" applyFont="1" applyFill="1" applyBorder="1" applyAlignment="1">
      <alignment horizontal="center" vertical="center" wrapText="1"/>
    </xf>
    <xf numFmtId="0" fontId="48" fillId="0" borderId="29" xfId="0" applyFont="1" applyFill="1" applyBorder="1" applyAlignment="1">
      <alignment horizontal="center" vertical="center" wrapText="1"/>
    </xf>
    <xf numFmtId="0" fontId="43" fillId="0" borderId="29" xfId="0" quotePrefix="1" applyFont="1" applyFill="1" applyBorder="1" applyAlignment="1">
      <alignment horizontal="center" vertical="center" wrapText="1"/>
    </xf>
    <xf numFmtId="0" fontId="43" fillId="0" borderId="29" xfId="0" applyFont="1" applyFill="1" applyBorder="1" applyAlignment="1">
      <alignment horizontal="center" vertical="center" wrapText="1"/>
    </xf>
    <xf numFmtId="9" fontId="43" fillId="0" borderId="29" xfId="3" applyFont="1" applyFill="1" applyBorder="1" applyAlignment="1">
      <alignment horizontal="center" vertical="center" wrapText="1"/>
    </xf>
    <xf numFmtId="0" fontId="43" fillId="0" borderId="29" xfId="0" applyFont="1" applyFill="1" applyBorder="1" applyAlignment="1">
      <alignment vertical="center" wrapText="1"/>
    </xf>
    <xf numFmtId="169" fontId="48" fillId="0" borderId="28" xfId="3" applyNumberFormat="1" applyFont="1" applyFill="1" applyBorder="1" applyAlignment="1">
      <alignment horizontal="center" vertical="center" wrapText="1"/>
    </xf>
    <xf numFmtId="0" fontId="43" fillId="0" borderId="28" xfId="0" applyFont="1" applyFill="1" applyBorder="1" applyAlignment="1">
      <alignment vertical="center" wrapText="1"/>
    </xf>
    <xf numFmtId="4" fontId="48" fillId="0" borderId="28" xfId="0" applyNumberFormat="1" applyFont="1" applyFill="1" applyBorder="1" applyAlignment="1">
      <alignment horizontal="center" vertical="center" wrapText="1"/>
    </xf>
    <xf numFmtId="0" fontId="51" fillId="0" borderId="33" xfId="0" applyFont="1" applyFill="1" applyBorder="1" applyAlignment="1">
      <alignment horizontal="center" vertical="center" wrapText="1"/>
    </xf>
    <xf numFmtId="0" fontId="51" fillId="0" borderId="29" xfId="0" applyFont="1" applyFill="1" applyBorder="1" applyAlignment="1">
      <alignment horizontal="center" vertical="center" wrapText="1"/>
    </xf>
    <xf numFmtId="0" fontId="51" fillId="0" borderId="29" xfId="0" applyFont="1" applyFill="1" applyBorder="1" applyAlignment="1">
      <alignment horizontal="left" vertical="center" wrapText="1"/>
    </xf>
    <xf numFmtId="169" fontId="48" fillId="0" borderId="11" xfId="3" applyNumberFormat="1" applyFont="1" applyFill="1" applyBorder="1" applyAlignment="1">
      <alignment horizontal="center" vertical="center" wrapText="1"/>
    </xf>
    <xf numFmtId="0" fontId="43" fillId="0" borderId="11" xfId="0" applyFont="1" applyFill="1" applyBorder="1" applyAlignment="1">
      <alignment vertical="center" wrapText="1"/>
    </xf>
    <xf numFmtId="4" fontId="48" fillId="0" borderId="11" xfId="0" applyNumberFormat="1" applyFont="1" applyFill="1" applyBorder="1" applyAlignment="1">
      <alignment horizontal="center" vertical="center" wrapText="1"/>
    </xf>
    <xf numFmtId="0" fontId="51" fillId="0" borderId="28" xfId="0" applyFont="1" applyFill="1" applyBorder="1" applyAlignment="1">
      <alignment horizontal="left" vertical="center" wrapText="1"/>
    </xf>
    <xf numFmtId="0" fontId="48" fillId="0" borderId="11" xfId="0" applyFont="1" applyFill="1" applyBorder="1" applyAlignment="1">
      <alignment vertical="center" wrapText="1"/>
    </xf>
    <xf numFmtId="4" fontId="48" fillId="0" borderId="11" xfId="0" quotePrefix="1" applyNumberFormat="1" applyFont="1" applyFill="1" applyBorder="1" applyAlignment="1">
      <alignment horizontal="center" vertical="center" wrapText="1"/>
    </xf>
    <xf numFmtId="0" fontId="51" fillId="0" borderId="29" xfId="0" quotePrefix="1" applyFont="1" applyFill="1" applyBorder="1" applyAlignment="1">
      <alignment horizontal="center" vertical="center" wrapText="1"/>
    </xf>
    <xf numFmtId="9" fontId="43" fillId="0" borderId="25" xfId="3" applyFont="1" applyFill="1" applyBorder="1" applyAlignment="1">
      <alignment horizontal="center" vertical="center" wrapText="1"/>
    </xf>
    <xf numFmtId="0" fontId="51" fillId="0" borderId="29" xfId="0" applyFont="1" applyFill="1" applyBorder="1" applyAlignment="1">
      <alignment vertical="center" wrapText="1"/>
    </xf>
    <xf numFmtId="0" fontId="51" fillId="0" borderId="28" xfId="0" applyFont="1" applyFill="1" applyBorder="1" applyAlignment="1">
      <alignment horizontal="center" vertical="center" wrapText="1"/>
    </xf>
    <xf numFmtId="169" fontId="43" fillId="0" borderId="11" xfId="3" applyNumberFormat="1" applyFont="1" applyFill="1" applyBorder="1" applyAlignment="1">
      <alignment horizontal="center" vertical="center" wrapText="1"/>
    </xf>
    <xf numFmtId="0" fontId="51" fillId="0" borderId="38" xfId="0" applyFont="1" applyFill="1" applyBorder="1" applyAlignment="1">
      <alignment horizontal="center" vertical="center" wrapText="1"/>
    </xf>
    <xf numFmtId="0" fontId="48" fillId="0" borderId="30" xfId="0" applyFont="1" applyFill="1" applyBorder="1" applyAlignment="1">
      <alignment horizontal="center" vertical="center" wrapText="1"/>
    </xf>
    <xf numFmtId="0" fontId="48" fillId="0" borderId="31" xfId="0" applyFont="1" applyFill="1" applyBorder="1" applyAlignment="1">
      <alignment horizontal="center" vertical="center" wrapText="1"/>
    </xf>
    <xf numFmtId="0" fontId="43" fillId="0" borderId="31" xfId="0" quotePrefix="1" applyFont="1" applyFill="1" applyBorder="1" applyAlignment="1">
      <alignment horizontal="center" vertical="center" wrapText="1"/>
    </xf>
    <xf numFmtId="0" fontId="43" fillId="0" borderId="31" xfId="0" applyFont="1" applyFill="1" applyBorder="1" applyAlignment="1">
      <alignment horizontal="center" vertical="center" wrapText="1"/>
    </xf>
    <xf numFmtId="9" fontId="43" fillId="3" borderId="31" xfId="3" applyFont="1" applyFill="1" applyBorder="1" applyAlignment="1">
      <alignment horizontal="center" vertical="center" wrapText="1"/>
    </xf>
    <xf numFmtId="0" fontId="43" fillId="3" borderId="31" xfId="0" applyFont="1" applyFill="1" applyBorder="1" applyAlignment="1">
      <alignment vertical="center" wrapText="1"/>
    </xf>
    <xf numFmtId="169" fontId="48" fillId="3" borderId="42" xfId="3" applyNumberFormat="1" applyFont="1" applyFill="1" applyBorder="1" applyAlignment="1">
      <alignment horizontal="center" vertical="center" wrapText="1"/>
    </xf>
    <xf numFmtId="0" fontId="43" fillId="3" borderId="42" xfId="0" applyFont="1" applyFill="1" applyBorder="1" applyAlignment="1">
      <alignment vertical="center" wrapText="1"/>
    </xf>
    <xf numFmtId="4" fontId="48" fillId="3" borderId="42" xfId="0" applyNumberFormat="1" applyFont="1" applyFill="1" applyBorder="1" applyAlignment="1">
      <alignment horizontal="center" vertical="center" wrapText="1"/>
    </xf>
    <xf numFmtId="0" fontId="51" fillId="3" borderId="29" xfId="0" applyFont="1" applyFill="1" applyBorder="1" applyAlignment="1">
      <alignment horizontal="center" vertical="center" wrapText="1"/>
    </xf>
    <xf numFmtId="0" fontId="51" fillId="3" borderId="29" xfId="0" applyFont="1" applyFill="1" applyBorder="1" applyAlignment="1">
      <alignment horizontal="left" vertical="center" wrapText="1"/>
    </xf>
    <xf numFmtId="169" fontId="48" fillId="3" borderId="11" xfId="3" applyNumberFormat="1" applyFont="1" applyFill="1" applyBorder="1" applyAlignment="1">
      <alignment horizontal="center" vertical="center" wrapText="1"/>
    </xf>
    <xf numFmtId="0" fontId="43" fillId="3" borderId="11" xfId="0" applyFont="1" applyFill="1" applyBorder="1" applyAlignment="1">
      <alignment vertical="center" wrapText="1"/>
    </xf>
    <xf numFmtId="4" fontId="48" fillId="3" borderId="11" xfId="0" applyNumberFormat="1" applyFont="1" applyFill="1" applyBorder="1" applyAlignment="1">
      <alignment horizontal="center" vertical="center" wrapText="1"/>
    </xf>
    <xf numFmtId="0" fontId="51" fillId="3" borderId="28" xfId="0" applyFont="1" applyFill="1" applyBorder="1" applyAlignment="1">
      <alignment horizontal="left" vertical="center" wrapText="1"/>
    </xf>
    <xf numFmtId="0" fontId="48" fillId="3" borderId="11" xfId="0" applyFont="1" applyFill="1" applyBorder="1" applyAlignment="1">
      <alignment vertical="center" wrapText="1"/>
    </xf>
    <xf numFmtId="4" fontId="48" fillId="3" borderId="11" xfId="0" quotePrefix="1" applyNumberFormat="1" applyFont="1" applyFill="1" applyBorder="1" applyAlignment="1">
      <alignment horizontal="center" vertical="center" wrapText="1"/>
    </xf>
    <xf numFmtId="0" fontId="43" fillId="0" borderId="25" xfId="0" applyFont="1" applyFill="1" applyBorder="1" applyAlignment="1">
      <alignment vertical="center" wrapText="1"/>
    </xf>
    <xf numFmtId="16" fontId="43" fillId="0" borderId="31" xfId="0" quotePrefix="1" applyNumberFormat="1" applyFont="1" applyFill="1" applyBorder="1" applyAlignment="1">
      <alignment horizontal="center" vertical="center" wrapText="1"/>
    </xf>
    <xf numFmtId="9" fontId="43" fillId="0" borderId="31" xfId="3" applyFont="1" applyFill="1" applyBorder="1" applyAlignment="1">
      <alignment horizontal="center" vertical="center" wrapText="1"/>
    </xf>
    <xf numFmtId="0" fontId="43" fillId="0" borderId="31" xfId="0" applyFont="1" applyFill="1" applyBorder="1" applyAlignment="1">
      <alignment vertical="center" wrapText="1"/>
    </xf>
    <xf numFmtId="169" fontId="48" fillId="0" borderId="42" xfId="3" applyNumberFormat="1" applyFont="1" applyFill="1" applyBorder="1" applyAlignment="1">
      <alignment horizontal="center" vertical="center" wrapText="1"/>
    </xf>
    <xf numFmtId="0" fontId="43" fillId="0" borderId="42" xfId="0" applyFont="1" applyFill="1" applyBorder="1" applyAlignment="1">
      <alignment vertical="center" wrapText="1"/>
    </xf>
    <xf numFmtId="4" fontId="48" fillId="0" borderId="42" xfId="0" applyNumberFormat="1" applyFont="1" applyFill="1" applyBorder="1" applyAlignment="1">
      <alignment horizontal="center" vertical="center" wrapText="1"/>
    </xf>
    <xf numFmtId="0" fontId="48" fillId="0" borderId="31" xfId="0" quotePrefix="1" applyFont="1" applyFill="1" applyBorder="1" applyAlignment="1">
      <alignment horizontal="center" vertical="center" wrapText="1"/>
    </xf>
    <xf numFmtId="9" fontId="43" fillId="3" borderId="25" xfId="3" applyFont="1" applyFill="1" applyBorder="1" applyAlignment="1">
      <alignment horizontal="center" vertical="center" wrapText="1"/>
    </xf>
    <xf numFmtId="0" fontId="43" fillId="3" borderId="29" xfId="0" applyFont="1" applyFill="1" applyBorder="1" applyAlignment="1">
      <alignment vertical="center" wrapText="1"/>
    </xf>
    <xf numFmtId="169" fontId="48" fillId="3" borderId="28" xfId="3" applyNumberFormat="1" applyFont="1" applyFill="1" applyBorder="1" applyAlignment="1">
      <alignment horizontal="center" vertical="center" wrapText="1"/>
    </xf>
    <xf numFmtId="0" fontId="43" fillId="3" borderId="28" xfId="0" applyFont="1" applyFill="1" applyBorder="1" applyAlignment="1">
      <alignment vertical="center" wrapText="1"/>
    </xf>
    <xf numFmtId="4" fontId="48" fillId="3" borderId="28" xfId="0" applyNumberFormat="1" applyFont="1" applyFill="1" applyBorder="1" applyAlignment="1">
      <alignment horizontal="center" vertical="center" wrapText="1"/>
    </xf>
    <xf numFmtId="0" fontId="51" fillId="3" borderId="29" xfId="0" applyFont="1" applyFill="1" applyBorder="1" applyAlignment="1">
      <alignment vertical="center" wrapText="1"/>
    </xf>
    <xf numFmtId="0" fontId="51" fillId="3" borderId="28" xfId="0" applyFont="1" applyFill="1" applyBorder="1" applyAlignment="1">
      <alignment horizontal="center" vertical="center" wrapText="1"/>
    </xf>
    <xf numFmtId="0" fontId="51" fillId="0" borderId="46" xfId="0" applyFont="1" applyFill="1" applyBorder="1" applyAlignment="1">
      <alignment horizontal="center" vertical="center" wrapText="1"/>
    </xf>
    <xf numFmtId="0" fontId="51" fillId="0" borderId="47" xfId="0" applyFont="1" applyFill="1" applyBorder="1" applyAlignment="1">
      <alignment horizontal="center" vertical="center" wrapText="1"/>
    </xf>
    <xf numFmtId="0" fontId="51" fillId="0" borderId="47" xfId="0" applyFont="1" applyFill="1" applyBorder="1" applyAlignment="1">
      <alignment vertical="center" wrapText="1"/>
    </xf>
    <xf numFmtId="0" fontId="43" fillId="0" borderId="48" xfId="0" applyFont="1" applyFill="1" applyBorder="1" applyAlignment="1">
      <alignment vertical="center" wrapText="1"/>
    </xf>
    <xf numFmtId="4" fontId="48" fillId="0" borderId="48" xfId="0" quotePrefix="1" applyNumberFormat="1" applyFont="1" applyFill="1" applyBorder="1" applyAlignment="1">
      <alignment horizontal="center" vertical="center" wrapText="1"/>
    </xf>
    <xf numFmtId="0" fontId="48" fillId="0" borderId="49" xfId="0" applyFont="1" applyFill="1" applyBorder="1" applyAlignment="1">
      <alignment horizontal="center" vertical="center" wrapText="1"/>
    </xf>
    <xf numFmtId="0" fontId="48" fillId="0" borderId="50" xfId="0" applyFont="1" applyFill="1" applyBorder="1" applyAlignment="1">
      <alignment horizontal="center" vertical="center" wrapText="1"/>
    </xf>
    <xf numFmtId="0" fontId="43" fillId="0" borderId="50" xfId="0" quotePrefix="1" applyFont="1" applyFill="1" applyBorder="1" applyAlignment="1">
      <alignment horizontal="center" vertical="center" wrapText="1"/>
    </xf>
    <xf numFmtId="0" fontId="43" fillId="0" borderId="50" xfId="0" applyFont="1" applyFill="1" applyBorder="1" applyAlignment="1">
      <alignment horizontal="center" vertical="center" wrapText="1"/>
    </xf>
    <xf numFmtId="9" fontId="43" fillId="0" borderId="50" xfId="3" applyFont="1" applyFill="1" applyBorder="1" applyAlignment="1">
      <alignment horizontal="center" vertical="center" wrapText="1"/>
    </xf>
    <xf numFmtId="0" fontId="43" fillId="0" borderId="50" xfId="0" applyFont="1" applyFill="1" applyBorder="1" applyAlignment="1">
      <alignment vertical="center" wrapText="1"/>
    </xf>
    <xf numFmtId="0" fontId="43" fillId="0" borderId="51" xfId="0" applyFont="1" applyFill="1" applyBorder="1" applyAlignment="1">
      <alignment vertical="center" wrapText="1"/>
    </xf>
    <xf numFmtId="4" fontId="48" fillId="0" borderId="51" xfId="0" applyNumberFormat="1" applyFont="1" applyFill="1" applyBorder="1" applyAlignment="1">
      <alignment horizontal="center" vertical="center" wrapText="1"/>
    </xf>
    <xf numFmtId="169" fontId="48" fillId="0" borderId="25" xfId="3" applyNumberFormat="1" applyFont="1" applyFill="1" applyBorder="1" applyAlignment="1">
      <alignment horizontal="center" vertical="center" wrapText="1"/>
    </xf>
    <xf numFmtId="4" fontId="48" fillId="0" borderId="25" xfId="0" quotePrefix="1" applyNumberFormat="1" applyFont="1" applyFill="1" applyBorder="1" applyAlignment="1">
      <alignment horizontal="center" vertical="center" wrapText="1"/>
    </xf>
    <xf numFmtId="0" fontId="51" fillId="0" borderId="35" xfId="0" applyFont="1" applyFill="1" applyBorder="1" applyAlignment="1">
      <alignment horizontal="center" vertical="center" wrapText="1"/>
    </xf>
    <xf numFmtId="0" fontId="51" fillId="0" borderId="36" xfId="0" applyFont="1" applyFill="1" applyBorder="1" applyAlignment="1">
      <alignment horizontal="center" vertical="center" wrapText="1"/>
    </xf>
    <xf numFmtId="0" fontId="51" fillId="0" borderId="36" xfId="0" applyFont="1" applyFill="1" applyBorder="1" applyAlignment="1">
      <alignment vertical="center" wrapText="1"/>
    </xf>
    <xf numFmtId="169" fontId="48" fillId="0" borderId="43" xfId="3" applyNumberFormat="1" applyFont="1" applyFill="1" applyBorder="1" applyAlignment="1">
      <alignment horizontal="center" vertical="center" wrapText="1"/>
    </xf>
    <xf numFmtId="0" fontId="43" fillId="0" borderId="43" xfId="0" applyFont="1" applyFill="1" applyBorder="1" applyAlignment="1">
      <alignment vertical="center" wrapText="1"/>
    </xf>
    <xf numFmtId="4" fontId="48" fillId="0" borderId="43" xfId="0" quotePrefix="1" applyNumberFormat="1" applyFont="1" applyFill="1" applyBorder="1" applyAlignment="1">
      <alignment horizontal="center" vertical="center" wrapText="1"/>
    </xf>
    <xf numFmtId="9" fontId="43" fillId="3" borderId="50" xfId="3" applyFont="1" applyFill="1" applyBorder="1" applyAlignment="1">
      <alignment horizontal="center" vertical="center" wrapText="1"/>
    </xf>
    <xf numFmtId="0" fontId="43" fillId="3" borderId="50" xfId="0" applyFont="1" applyFill="1" applyBorder="1" applyAlignment="1">
      <alignment vertical="center" wrapText="1"/>
    </xf>
    <xf numFmtId="169" fontId="48" fillId="3" borderId="51" xfId="3" applyNumberFormat="1" applyFont="1" applyFill="1" applyBorder="1" applyAlignment="1">
      <alignment horizontal="center" vertical="center" wrapText="1"/>
    </xf>
    <xf numFmtId="0" fontId="43" fillId="3" borderId="51" xfId="0" applyFont="1" applyFill="1" applyBorder="1" applyAlignment="1">
      <alignment vertical="center" wrapText="1"/>
    </xf>
    <xf numFmtId="4" fontId="48" fillId="3" borderId="51" xfId="0" applyNumberFormat="1" applyFont="1" applyFill="1" applyBorder="1" applyAlignment="1">
      <alignment horizontal="center" vertical="center" wrapText="1"/>
    </xf>
    <xf numFmtId="169" fontId="48" fillId="0" borderId="51" xfId="3" applyNumberFormat="1" applyFont="1" applyFill="1" applyBorder="1" applyAlignment="1">
      <alignment horizontal="center" vertical="center" wrapText="1"/>
    </xf>
    <xf numFmtId="9" fontId="48" fillId="0" borderId="51" xfId="3" applyFont="1" applyFill="1" applyBorder="1" applyAlignment="1">
      <alignment horizontal="center" vertical="center" wrapText="1"/>
    </xf>
    <xf numFmtId="9" fontId="48" fillId="0" borderId="11" xfId="3" applyFont="1" applyFill="1" applyBorder="1" applyAlignment="1">
      <alignment horizontal="center" vertical="center" wrapText="1"/>
    </xf>
    <xf numFmtId="9" fontId="48" fillId="0" borderId="28" xfId="3" applyFont="1" applyFill="1" applyBorder="1" applyAlignment="1">
      <alignment horizontal="center" vertical="center" wrapText="1"/>
    </xf>
    <xf numFmtId="9" fontId="43" fillId="0" borderId="11" xfId="3" applyFont="1" applyFill="1" applyBorder="1" applyAlignment="1">
      <alignment horizontal="center" vertical="center" wrapText="1"/>
    </xf>
    <xf numFmtId="9" fontId="48" fillId="3" borderId="28" xfId="3" applyFont="1" applyFill="1" applyBorder="1" applyAlignment="1">
      <alignment horizontal="center" vertical="center" wrapText="1"/>
    </xf>
    <xf numFmtId="9" fontId="48" fillId="3" borderId="11" xfId="3" applyFont="1" applyFill="1" applyBorder="1" applyAlignment="1">
      <alignment horizontal="center" vertical="center" wrapText="1"/>
    </xf>
    <xf numFmtId="9" fontId="48" fillId="3" borderId="51" xfId="3" applyFont="1" applyFill="1" applyBorder="1" applyAlignment="1">
      <alignment horizontal="center" vertical="center" wrapText="1"/>
    </xf>
    <xf numFmtId="9" fontId="48" fillId="0" borderId="25" xfId="3" applyFont="1" applyFill="1" applyBorder="1" applyAlignment="1">
      <alignment horizontal="center" vertical="center" wrapText="1"/>
    </xf>
    <xf numFmtId="9" fontId="48" fillId="3" borderId="42" xfId="3" applyFont="1" applyFill="1" applyBorder="1" applyAlignment="1">
      <alignment horizontal="center" vertical="center" wrapText="1"/>
    </xf>
    <xf numFmtId="9" fontId="48" fillId="0" borderId="43" xfId="3" applyFont="1" applyFill="1" applyBorder="1" applyAlignment="1">
      <alignment horizontal="center" vertical="center" wrapText="1"/>
    </xf>
    <xf numFmtId="9" fontId="48" fillId="0" borderId="42" xfId="3" applyFont="1" applyFill="1" applyBorder="1" applyAlignment="1">
      <alignment horizontal="center" vertical="center" wrapText="1"/>
    </xf>
    <xf numFmtId="16" fontId="43" fillId="0" borderId="29" xfId="0" quotePrefix="1" applyNumberFormat="1" applyFont="1" applyFill="1" applyBorder="1" applyAlignment="1">
      <alignment horizontal="center" vertical="center" wrapText="1"/>
    </xf>
    <xf numFmtId="0" fontId="48" fillId="0" borderId="25" xfId="0" applyFont="1" applyFill="1" applyBorder="1" applyAlignment="1">
      <alignment vertical="center" wrapText="1"/>
    </xf>
    <xf numFmtId="0" fontId="43" fillId="3" borderId="25" xfId="0" applyFont="1" applyFill="1" applyBorder="1" applyAlignment="1">
      <alignment vertical="center" wrapText="1"/>
    </xf>
    <xf numFmtId="9" fontId="43" fillId="3" borderId="11" xfId="3" applyFont="1" applyFill="1" applyBorder="1" applyAlignment="1">
      <alignment horizontal="center" vertical="center" wrapText="1"/>
    </xf>
    <xf numFmtId="0" fontId="48" fillId="0" borderId="43" xfId="0" applyFont="1" applyFill="1" applyBorder="1" applyAlignment="1">
      <alignment vertical="center" wrapText="1"/>
    </xf>
    <xf numFmtId="0" fontId="47" fillId="0" borderId="0" xfId="0" applyFont="1" applyAlignment="1">
      <alignment horizontal="center"/>
    </xf>
    <xf numFmtId="0" fontId="47" fillId="0" borderId="0" xfId="0" applyFont="1" applyAlignment="1">
      <alignment horizontal="center" vertical="center"/>
    </xf>
    <xf numFmtId="0" fontId="52" fillId="0" borderId="0" xfId="0" applyFont="1" applyBorder="1" applyAlignment="1">
      <alignment vertical="center"/>
    </xf>
    <xf numFmtId="0" fontId="52" fillId="0" borderId="0" xfId="0" applyFont="1" applyAlignment="1">
      <alignment horizontal="center"/>
    </xf>
    <xf numFmtId="0" fontId="47" fillId="0" borderId="0" xfId="0" applyFont="1" applyBorder="1" applyAlignment="1">
      <alignment vertical="center"/>
    </xf>
    <xf numFmtId="0" fontId="47" fillId="0" borderId="11" xfId="0" applyFont="1" applyBorder="1" applyAlignment="1">
      <alignment horizontal="center" vertical="center"/>
    </xf>
    <xf numFmtId="0" fontId="47" fillId="0" borderId="11" xfId="0" applyFont="1" applyBorder="1"/>
    <xf numFmtId="2" fontId="47" fillId="0" borderId="11" xfId="0" applyNumberFormat="1" applyFont="1" applyBorder="1"/>
    <xf numFmtId="0" fontId="47" fillId="0" borderId="11" xfId="0" quotePrefix="1" applyFont="1" applyBorder="1"/>
    <xf numFmtId="0" fontId="56" fillId="0" borderId="11" xfId="0" applyFont="1" applyFill="1" applyBorder="1"/>
    <xf numFmtId="0" fontId="56" fillId="0" borderId="11" xfId="0" applyFont="1" applyFill="1" applyBorder="1" applyAlignment="1">
      <alignment horizontal="right"/>
    </xf>
    <xf numFmtId="2" fontId="56" fillId="0" borderId="11" xfId="0" applyNumberFormat="1" applyFont="1" applyFill="1" applyBorder="1"/>
    <xf numFmtId="0" fontId="56" fillId="0" borderId="0" xfId="0" applyFont="1" applyFill="1"/>
    <xf numFmtId="0" fontId="56" fillId="0" borderId="0" xfId="0" applyFont="1"/>
    <xf numFmtId="0" fontId="56" fillId="0" borderId="11" xfId="0" applyFont="1" applyBorder="1" applyAlignment="1">
      <alignment horizontal="center" vertical="center"/>
    </xf>
    <xf numFmtId="0" fontId="56" fillId="0" borderId="11" xfId="0" applyFont="1" applyBorder="1"/>
    <xf numFmtId="0" fontId="56" fillId="0" borderId="11" xfId="0" applyFont="1" applyBorder="1" applyAlignment="1">
      <alignment horizontal="right"/>
    </xf>
    <xf numFmtId="2" fontId="56" fillId="0" borderId="11" xfId="0" applyNumberFormat="1" applyFont="1" applyBorder="1"/>
    <xf numFmtId="0" fontId="56" fillId="0" borderId="11" xfId="0" quotePrefix="1" applyFont="1" applyBorder="1"/>
    <xf numFmtId="0" fontId="56" fillId="0" borderId="11" xfId="0" applyFont="1" applyFill="1" applyBorder="1" applyAlignment="1">
      <alignment horizontal="left"/>
    </xf>
    <xf numFmtId="0" fontId="47" fillId="0" borderId="11" xfId="0" quotePrefix="1" applyFont="1" applyBorder="1" applyAlignment="1">
      <alignment horizontal="right"/>
    </xf>
    <xf numFmtId="0" fontId="56" fillId="0" borderId="11" xfId="0" applyFont="1" applyBorder="1" applyAlignment="1">
      <alignment horizontal="center"/>
    </xf>
    <xf numFmtId="0" fontId="56" fillId="0" borderId="11" xfId="0" quotePrefix="1" applyFont="1" applyBorder="1" applyAlignment="1">
      <alignment horizontal="right"/>
    </xf>
    <xf numFmtId="4" fontId="56" fillId="0" borderId="11" xfId="0" applyNumberFormat="1" applyFont="1" applyBorder="1"/>
    <xf numFmtId="0" fontId="56" fillId="0" borderId="11" xfId="0" quotePrefix="1" applyFont="1" applyBorder="1" applyAlignment="1">
      <alignment horizontal="left" vertical="center"/>
    </xf>
    <xf numFmtId="0" fontId="56" fillId="0" borderId="11" xfId="0" applyFont="1" applyBorder="1" applyAlignment="1">
      <alignment horizontal="left" vertical="center"/>
    </xf>
    <xf numFmtId="0" fontId="56" fillId="0" borderId="11" xfId="0" applyFont="1" applyBorder="1" applyAlignment="1">
      <alignment horizontal="left"/>
    </xf>
    <xf numFmtId="166" fontId="56" fillId="0" borderId="11" xfId="0" applyNumberFormat="1" applyFont="1" applyBorder="1"/>
    <xf numFmtId="0" fontId="47" fillId="0" borderId="11" xfId="0" applyFont="1" applyFill="1" applyBorder="1" applyAlignment="1">
      <alignment horizontal="center" vertical="center"/>
    </xf>
    <xf numFmtId="4" fontId="48" fillId="0" borderId="28" xfId="0" quotePrefix="1" applyNumberFormat="1" applyFont="1" applyFill="1" applyBorder="1" applyAlignment="1">
      <alignment horizontal="right" vertical="center" wrapText="1"/>
    </xf>
    <xf numFmtId="0" fontId="42" fillId="0" borderId="0" xfId="0" applyFont="1"/>
    <xf numFmtId="0" fontId="44" fillId="0" borderId="25" xfId="0" applyFont="1" applyBorder="1" applyAlignment="1">
      <alignment vertical="center" wrapText="1"/>
    </xf>
    <xf numFmtId="0" fontId="44" fillId="0" borderId="28" xfId="0" applyFont="1" applyBorder="1" applyAlignment="1">
      <alignment vertical="center" wrapText="1"/>
    </xf>
    <xf numFmtId="0" fontId="47" fillId="4" borderId="13" xfId="0" applyFont="1" applyFill="1" applyBorder="1"/>
    <xf numFmtId="0" fontId="47" fillId="4" borderId="57" xfId="0" applyFont="1" applyFill="1" applyBorder="1"/>
    <xf numFmtId="0" fontId="47" fillId="4" borderId="60" xfId="0" applyFont="1" applyFill="1" applyBorder="1"/>
    <xf numFmtId="0" fontId="47" fillId="4" borderId="0" xfId="0" applyFont="1" applyFill="1" applyBorder="1"/>
    <xf numFmtId="0" fontId="47" fillId="4" borderId="37" xfId="0" applyFont="1" applyFill="1" applyBorder="1"/>
    <xf numFmtId="9" fontId="47" fillId="4" borderId="0" xfId="0" applyNumberFormat="1" applyFont="1" applyFill="1" applyBorder="1" applyAlignment="1">
      <alignment horizontal="left"/>
    </xf>
    <xf numFmtId="0" fontId="47" fillId="4" borderId="22" xfId="0" applyFont="1" applyFill="1" applyBorder="1"/>
    <xf numFmtId="0" fontId="47" fillId="4" borderId="58" xfId="0" applyFont="1" applyFill="1" applyBorder="1"/>
    <xf numFmtId="0" fontId="44" fillId="0" borderId="25" xfId="0" applyFont="1" applyBorder="1" applyAlignment="1">
      <alignment horizontal="right" vertical="center" wrapText="1"/>
    </xf>
    <xf numFmtId="0" fontId="61" fillId="0" borderId="11" xfId="0" applyFont="1" applyBorder="1" applyAlignment="1">
      <alignment horizontal="center" vertical="center" wrapText="1"/>
    </xf>
    <xf numFmtId="0" fontId="44" fillId="0" borderId="28" xfId="0" applyFont="1" applyBorder="1" applyAlignment="1">
      <alignment horizontal="left" vertical="top" wrapText="1"/>
    </xf>
    <xf numFmtId="9" fontId="44" fillId="0" borderId="28" xfId="0" applyNumberFormat="1" applyFont="1" applyBorder="1" applyAlignment="1">
      <alignment horizontal="left" vertical="top" wrapText="1"/>
    </xf>
    <xf numFmtId="9" fontId="43" fillId="0" borderId="28" xfId="0" applyNumberFormat="1" applyFont="1" applyBorder="1" applyAlignment="1">
      <alignment horizontal="left" vertical="top" wrapText="1"/>
    </xf>
    <xf numFmtId="0" fontId="44" fillId="0" borderId="25" xfId="0" quotePrefix="1" applyFont="1" applyBorder="1" applyAlignment="1">
      <alignment vertical="center" wrapText="1"/>
    </xf>
    <xf numFmtId="0" fontId="44" fillId="0" borderId="28" xfId="0" quotePrefix="1" applyFont="1" applyBorder="1" applyAlignment="1">
      <alignment vertical="center" wrapText="1"/>
    </xf>
    <xf numFmtId="0" fontId="47" fillId="0" borderId="28" xfId="0" applyFont="1" applyBorder="1"/>
    <xf numFmtId="0" fontId="47" fillId="4" borderId="59" xfId="0" applyFont="1" applyFill="1" applyBorder="1"/>
    <xf numFmtId="0" fontId="59" fillId="4" borderId="13" xfId="0" applyFont="1" applyFill="1" applyBorder="1"/>
    <xf numFmtId="0" fontId="59" fillId="4" borderId="0" xfId="0" applyFont="1" applyFill="1" applyBorder="1"/>
    <xf numFmtId="0" fontId="47" fillId="4" borderId="60" xfId="0" quotePrefix="1" applyFont="1" applyFill="1" applyBorder="1" applyAlignment="1">
      <alignment horizontal="center" vertical="center"/>
    </xf>
    <xf numFmtId="0" fontId="47" fillId="4" borderId="60" xfId="0" applyFont="1" applyFill="1" applyBorder="1" applyAlignment="1">
      <alignment horizontal="center"/>
    </xf>
    <xf numFmtId="0" fontId="47" fillId="4" borderId="60" xfId="0" applyFont="1" applyFill="1" applyBorder="1" applyAlignment="1">
      <alignment horizontal="center" vertical="center"/>
    </xf>
    <xf numFmtId="0" fontId="47" fillId="4" borderId="61" xfId="0" applyFont="1" applyFill="1" applyBorder="1" applyAlignment="1">
      <alignment horizontal="center" vertical="center"/>
    </xf>
    <xf numFmtId="4" fontId="48" fillId="2" borderId="28" xfId="0" applyNumberFormat="1" applyFont="1" applyFill="1" applyBorder="1" applyAlignment="1">
      <alignment horizontal="center" vertical="center" wrapText="1"/>
    </xf>
    <xf numFmtId="4" fontId="48" fillId="2" borderId="11" xfId="0" applyNumberFormat="1" applyFont="1" applyFill="1" applyBorder="1" applyAlignment="1">
      <alignment horizontal="center" vertical="center" wrapText="1"/>
    </xf>
    <xf numFmtId="4" fontId="48" fillId="2" borderId="11" xfId="0" quotePrefix="1" applyNumberFormat="1" applyFont="1" applyFill="1" applyBorder="1" applyAlignment="1">
      <alignment horizontal="center" vertical="center" wrapText="1"/>
    </xf>
    <xf numFmtId="4" fontId="48" fillId="2" borderId="42" xfId="0" applyNumberFormat="1" applyFont="1" applyFill="1" applyBorder="1" applyAlignment="1">
      <alignment horizontal="center" vertical="center" wrapText="1"/>
    </xf>
    <xf numFmtId="4" fontId="48" fillId="2" borderId="48" xfId="0" quotePrefix="1" applyNumberFormat="1" applyFont="1" applyFill="1" applyBorder="1" applyAlignment="1">
      <alignment horizontal="center" vertical="center" wrapText="1"/>
    </xf>
    <xf numFmtId="4" fontId="48" fillId="2" borderId="51" xfId="0" applyNumberFormat="1" applyFont="1" applyFill="1" applyBorder="1" applyAlignment="1">
      <alignment horizontal="center" vertical="center" wrapText="1"/>
    </xf>
    <xf numFmtId="4" fontId="48" fillId="2" borderId="25" xfId="0" quotePrefix="1" applyNumberFormat="1" applyFont="1" applyFill="1" applyBorder="1" applyAlignment="1">
      <alignment horizontal="center" vertical="center" wrapText="1"/>
    </xf>
    <xf numFmtId="4" fontId="48" fillId="2" borderId="43" xfId="0" quotePrefix="1" applyNumberFormat="1" applyFont="1" applyFill="1" applyBorder="1" applyAlignment="1">
      <alignment horizontal="center" vertical="center" wrapText="1"/>
    </xf>
    <xf numFmtId="0" fontId="52" fillId="0" borderId="0" xfId="0" applyFont="1" applyBorder="1" applyAlignment="1">
      <alignment horizontal="center"/>
    </xf>
    <xf numFmtId="0" fontId="0" fillId="0" borderId="0" xfId="0" quotePrefix="1" applyFill="1" applyBorder="1" applyAlignment="1">
      <alignment horizontal="right" vertical="center" wrapText="1"/>
    </xf>
    <xf numFmtId="0" fontId="0" fillId="0" borderId="16" xfId="0" applyNumberFormat="1" applyFill="1" applyBorder="1" applyAlignment="1">
      <alignment vertical="center" wrapText="1"/>
    </xf>
    <xf numFmtId="1" fontId="0" fillId="0" borderId="0" xfId="0" applyNumberFormat="1" applyFont="1" applyFill="1" applyBorder="1" applyAlignment="1">
      <alignment horizontal="center" vertical="center" wrapText="1"/>
    </xf>
    <xf numFmtId="2" fontId="56" fillId="0" borderId="11" xfId="0" quotePrefix="1" applyNumberFormat="1" applyFont="1" applyBorder="1"/>
    <xf numFmtId="0" fontId="63" fillId="0" borderId="0" xfId="0" applyFont="1" applyFill="1" applyBorder="1" applyAlignment="1">
      <alignment horizontal="center" vertical="center" wrapText="1"/>
    </xf>
    <xf numFmtId="0" fontId="25" fillId="0" borderId="0" xfId="0" applyFont="1" applyFill="1" applyBorder="1" applyAlignment="1">
      <alignment vertical="center" wrapText="1"/>
    </xf>
    <xf numFmtId="3" fontId="0" fillId="0" borderId="0" xfId="0" applyNumberFormat="1" applyFill="1" applyBorder="1" applyAlignment="1">
      <alignment horizontal="center" vertical="center" wrapText="1"/>
    </xf>
    <xf numFmtId="1" fontId="56" fillId="0" borderId="11" xfId="0" applyNumberFormat="1" applyFont="1" applyFill="1" applyBorder="1"/>
    <xf numFmtId="0" fontId="56" fillId="0" borderId="11" xfId="0" applyFont="1" applyFill="1" applyBorder="1" applyAlignment="1">
      <alignment vertical="center" wrapText="1"/>
    </xf>
    <xf numFmtId="167" fontId="56" fillId="0" borderId="11" xfId="0" applyNumberFormat="1" applyFont="1" applyBorder="1"/>
    <xf numFmtId="1" fontId="56" fillId="0" borderId="11" xfId="0" applyNumberFormat="1" applyFont="1" applyBorder="1"/>
    <xf numFmtId="170" fontId="48" fillId="3" borderId="11" xfId="0" applyNumberFormat="1" applyFont="1" applyFill="1" applyBorder="1" applyAlignment="1">
      <alignment horizontal="center" vertical="center" wrapText="1"/>
    </xf>
    <xf numFmtId="0" fontId="56" fillId="0" borderId="11" xfId="0" quotePrefix="1" applyFont="1" applyFill="1" applyBorder="1" applyAlignment="1">
      <alignment horizontal="left" vertical="center"/>
    </xf>
    <xf numFmtId="0" fontId="47" fillId="0" borderId="0" xfId="0" applyFont="1" applyAlignment="1">
      <alignment horizontal="center" vertical="center"/>
    </xf>
    <xf numFmtId="0" fontId="53" fillId="0" borderId="11" xfId="0" applyFont="1" applyBorder="1" applyAlignment="1">
      <alignment horizontal="center" vertical="center" wrapText="1"/>
    </xf>
    <xf numFmtId="0" fontId="54" fillId="0" borderId="11" xfId="0" applyFont="1" applyBorder="1" applyAlignment="1">
      <alignment horizontal="center" vertical="center" wrapText="1"/>
    </xf>
    <xf numFmtId="0" fontId="53" fillId="0" borderId="11" xfId="0" applyFont="1" applyBorder="1" applyAlignment="1">
      <alignment vertical="center" wrapText="1"/>
    </xf>
    <xf numFmtId="0" fontId="55" fillId="0" borderId="11" xfId="0" applyFont="1" applyFill="1" applyBorder="1" applyAlignment="1">
      <alignment vertical="center" wrapText="1"/>
    </xf>
    <xf numFmtId="0" fontId="53" fillId="0" borderId="11" xfId="0" applyFont="1" applyBorder="1" applyAlignment="1">
      <alignment horizontal="center" vertical="center"/>
    </xf>
    <xf numFmtId="0" fontId="56" fillId="0" borderId="11" xfId="0" quotePrefix="1" applyFont="1" applyFill="1" applyBorder="1"/>
    <xf numFmtId="0" fontId="56" fillId="0" borderId="11" xfId="0" applyFont="1" applyFill="1" applyBorder="1" applyAlignment="1">
      <alignment horizontal="center" vertical="center"/>
    </xf>
    <xf numFmtId="0" fontId="56" fillId="0" borderId="11" xfId="0" applyFont="1" applyFill="1" applyBorder="1" applyAlignment="1">
      <alignment horizontal="center"/>
    </xf>
    <xf numFmtId="0" fontId="47" fillId="0" borderId="11" xfId="0" applyFont="1" applyBorder="1" applyAlignment="1">
      <alignment horizontal="center"/>
    </xf>
    <xf numFmtId="10" fontId="47" fillId="0" borderId="11" xfId="3" applyNumberFormat="1" applyFont="1" applyBorder="1"/>
    <xf numFmtId="0" fontId="0" fillId="8" borderId="0" xfId="3" applyNumberFormat="1" applyFont="1" applyFill="1"/>
    <xf numFmtId="0" fontId="0" fillId="9" borderId="0" xfId="3" applyNumberFormat="1" applyFont="1" applyFill="1"/>
    <xf numFmtId="0" fontId="0" fillId="7" borderId="0" xfId="3" applyNumberFormat="1" applyFont="1" applyFill="1"/>
    <xf numFmtId="0" fontId="0" fillId="0" borderId="0" xfId="0" applyAlignment="1">
      <alignment horizontal="right"/>
    </xf>
    <xf numFmtId="0" fontId="44" fillId="0" borderId="25" xfId="3" applyNumberFormat="1" applyFont="1" applyBorder="1" applyAlignment="1">
      <alignment horizontal="right" vertical="center" wrapText="1"/>
    </xf>
    <xf numFmtId="0" fontId="44" fillId="0" borderId="25" xfId="0" applyNumberFormat="1" applyFont="1" applyBorder="1" applyAlignment="1">
      <alignment horizontal="right" vertical="center" wrapText="1"/>
    </xf>
    <xf numFmtId="0" fontId="48" fillId="0" borderId="29" xfId="0" quotePrefix="1" applyFont="1" applyFill="1" applyBorder="1" applyAlignment="1">
      <alignment horizontal="center" vertical="center" wrapText="1"/>
    </xf>
    <xf numFmtId="9" fontId="48" fillId="0" borderId="29" xfId="3" applyFont="1" applyFill="1" applyBorder="1" applyAlignment="1">
      <alignment horizontal="center" vertical="center" wrapText="1"/>
    </xf>
    <xf numFmtId="0" fontId="48" fillId="0" borderId="29" xfId="0" applyFont="1" applyFill="1" applyBorder="1" applyAlignment="1">
      <alignment vertical="center" wrapText="1"/>
    </xf>
    <xf numFmtId="0" fontId="48" fillId="0" borderId="28" xfId="0" applyFont="1" applyFill="1" applyBorder="1" applyAlignment="1">
      <alignment vertical="center" wrapText="1"/>
    </xf>
    <xf numFmtId="0" fontId="48" fillId="0" borderId="29" xfId="0" applyFont="1" applyFill="1" applyBorder="1" applyAlignment="1">
      <alignment horizontal="left" vertical="center" wrapText="1"/>
    </xf>
    <xf numFmtId="0" fontId="48" fillId="0" borderId="28" xfId="0" applyFont="1" applyFill="1" applyBorder="1" applyAlignment="1">
      <alignment horizontal="left" vertical="center" wrapText="1"/>
    </xf>
    <xf numFmtId="0" fontId="48" fillId="0" borderId="28" xfId="0" applyFont="1" applyFill="1" applyBorder="1" applyAlignment="1">
      <alignment horizontal="center" vertical="center" wrapText="1"/>
    </xf>
    <xf numFmtId="9" fontId="48" fillId="0" borderId="29" xfId="3" applyFont="1" applyBorder="1" applyAlignment="1">
      <alignment horizontal="center" vertical="center" wrapText="1"/>
    </xf>
    <xf numFmtId="0" fontId="48" fillId="0" borderId="25" xfId="0" applyFont="1" applyBorder="1" applyAlignment="1">
      <alignment vertical="center" wrapText="1"/>
    </xf>
    <xf numFmtId="0" fontId="48" fillId="0" borderId="11" xfId="0" applyFont="1" applyBorder="1" applyAlignment="1">
      <alignment vertical="center" wrapText="1"/>
    </xf>
    <xf numFmtId="9" fontId="48" fillId="0" borderId="25" xfId="3" applyFont="1" applyBorder="1" applyAlignment="1">
      <alignment horizontal="center" vertical="center" wrapText="1"/>
    </xf>
    <xf numFmtId="0" fontId="48" fillId="0" borderId="35" xfId="0" applyFont="1" applyFill="1" applyBorder="1" applyAlignment="1">
      <alignment horizontal="center" vertical="center" wrapText="1"/>
    </xf>
    <xf numFmtId="0" fontId="47" fillId="0" borderId="0" xfId="0" applyFont="1" applyAlignment="1">
      <alignment horizontal="center" vertical="center"/>
    </xf>
    <xf numFmtId="0" fontId="47" fillId="0" borderId="0" xfId="0" applyFont="1" applyAlignment="1">
      <alignment horizontal="center"/>
    </xf>
    <xf numFmtId="0" fontId="61" fillId="0" borderId="11" xfId="0" applyFont="1" applyBorder="1" applyAlignment="1">
      <alignment horizontal="center" vertical="center" wrapText="1"/>
    </xf>
    <xf numFmtId="0" fontId="61" fillId="0" borderId="0" xfId="0" applyFont="1" applyBorder="1" applyAlignment="1">
      <alignment horizontal="center" vertical="center" wrapText="1"/>
    </xf>
    <xf numFmtId="0" fontId="61" fillId="0" borderId="37" xfId="0" applyFont="1" applyBorder="1" applyAlignment="1">
      <alignment horizontal="center" vertical="center" wrapText="1"/>
    </xf>
    <xf numFmtId="0" fontId="44" fillId="0" borderId="0" xfId="0" applyFont="1" applyBorder="1" applyAlignment="1">
      <alignment horizontal="center" vertical="center" wrapText="1"/>
    </xf>
    <xf numFmtId="0" fontId="44" fillId="0" borderId="37" xfId="0" applyFont="1" applyBorder="1" applyAlignment="1">
      <alignment horizontal="center" vertical="center" wrapText="1"/>
    </xf>
    <xf numFmtId="0" fontId="44" fillId="0" borderId="13" xfId="0" applyFont="1" applyBorder="1" applyAlignment="1">
      <alignment horizontal="center" vertical="center" wrapText="1"/>
    </xf>
    <xf numFmtId="0" fontId="44" fillId="0" borderId="57" xfId="0" applyFont="1" applyBorder="1" applyAlignment="1">
      <alignment horizontal="center" vertical="center" wrapText="1"/>
    </xf>
    <xf numFmtId="0" fontId="44" fillId="0" borderId="59" xfId="0" applyFont="1" applyBorder="1" applyAlignment="1">
      <alignment horizontal="center" vertical="center" wrapText="1"/>
    </xf>
    <xf numFmtId="0" fontId="44" fillId="0" borderId="60" xfId="0" applyFont="1" applyBorder="1" applyAlignment="1">
      <alignment horizontal="center" vertical="center" wrapText="1"/>
    </xf>
    <xf numFmtId="0" fontId="44" fillId="0" borderId="61" xfId="0" applyFont="1" applyBorder="1" applyAlignment="1">
      <alignment horizontal="center" vertical="center" wrapText="1"/>
    </xf>
    <xf numFmtId="0" fontId="44" fillId="0" borderId="58" xfId="0" applyFont="1" applyBorder="1" applyAlignment="1">
      <alignment horizontal="center" vertical="center" wrapText="1"/>
    </xf>
    <xf numFmtId="9" fontId="44" fillId="0" borderId="61" xfId="0" applyNumberFormat="1" applyFont="1" applyBorder="1" applyAlignment="1">
      <alignment horizontal="center" vertical="center" wrapText="1"/>
    </xf>
    <xf numFmtId="9" fontId="44" fillId="0" borderId="22" xfId="0" applyNumberFormat="1" applyFont="1" applyBorder="1" applyAlignment="1">
      <alignment horizontal="center" vertical="center" wrapText="1"/>
    </xf>
    <xf numFmtId="9" fontId="44" fillId="0" borderId="58" xfId="0" applyNumberFormat="1" applyFont="1" applyBorder="1" applyAlignment="1">
      <alignment horizontal="center" vertical="center" wrapText="1"/>
    </xf>
    <xf numFmtId="9" fontId="43" fillId="0" borderId="61" xfId="0" applyNumberFormat="1" applyFont="1" applyBorder="1" applyAlignment="1">
      <alignment horizontal="center" vertical="center" wrapText="1"/>
    </xf>
    <xf numFmtId="9" fontId="43" fillId="0" borderId="22" xfId="0" applyNumberFormat="1" applyFont="1" applyBorder="1" applyAlignment="1">
      <alignment horizontal="center" vertical="center" wrapText="1"/>
    </xf>
    <xf numFmtId="9" fontId="43" fillId="0" borderId="58" xfId="0" applyNumberFormat="1" applyFont="1" applyBorder="1" applyAlignment="1">
      <alignment horizontal="center" vertical="center" wrapText="1"/>
    </xf>
    <xf numFmtId="0" fontId="44" fillId="2" borderId="25" xfId="0" quotePrefix="1" applyFont="1" applyFill="1" applyBorder="1" applyAlignment="1">
      <alignment horizontal="left" vertical="top" wrapText="1"/>
    </xf>
    <xf numFmtId="0" fontId="44" fillId="2" borderId="28" xfId="0" quotePrefix="1" applyFont="1" applyFill="1" applyBorder="1" applyAlignment="1">
      <alignment horizontal="left" vertical="top" wrapText="1"/>
    </xf>
    <xf numFmtId="0" fontId="44" fillId="0" borderId="25" xfId="0" quotePrefix="1" applyFont="1" applyBorder="1" applyAlignment="1">
      <alignment horizontal="left" vertical="top" wrapText="1"/>
    </xf>
    <xf numFmtId="0" fontId="44" fillId="0" borderId="28" xfId="0" quotePrefix="1" applyFont="1" applyBorder="1" applyAlignment="1">
      <alignment horizontal="left" vertical="top" wrapText="1"/>
    </xf>
    <xf numFmtId="2" fontId="28" fillId="0" borderId="45" xfId="0" applyNumberFormat="1" applyFont="1" applyBorder="1" applyAlignment="1">
      <alignment horizontal="center" vertical="center" wrapText="1"/>
    </xf>
    <xf numFmtId="2" fontId="28" fillId="0" borderId="41" xfId="0" applyNumberFormat="1" applyFont="1" applyBorder="1" applyAlignment="1">
      <alignment horizontal="center" vertical="center" wrapText="1"/>
    </xf>
    <xf numFmtId="2" fontId="28" fillId="0" borderId="34" xfId="0" applyNumberFormat="1" applyFont="1" applyBorder="1" applyAlignment="1">
      <alignment horizontal="center" vertical="center" wrapText="1"/>
    </xf>
    <xf numFmtId="2" fontId="28" fillId="0" borderId="39" xfId="0" applyNumberFormat="1" applyFont="1" applyBorder="1" applyAlignment="1">
      <alignment horizontal="center" vertical="center" wrapText="1"/>
    </xf>
    <xf numFmtId="2" fontId="28" fillId="0" borderId="41" xfId="0" applyNumberFormat="1" applyFont="1" applyFill="1" applyBorder="1" applyAlignment="1">
      <alignment horizontal="center" vertical="center" wrapText="1"/>
    </xf>
    <xf numFmtId="2" fontId="28" fillId="0" borderId="34" xfId="0" applyNumberFormat="1" applyFont="1" applyFill="1" applyBorder="1" applyAlignment="1">
      <alignment horizontal="center" vertical="center" wrapText="1"/>
    </xf>
    <xf numFmtId="2" fontId="28" fillId="0" borderId="39" xfId="0" applyNumberFormat="1" applyFont="1" applyFill="1" applyBorder="1" applyAlignment="1">
      <alignment horizontal="center" vertical="center" wrapText="1"/>
    </xf>
    <xf numFmtId="2" fontId="28" fillId="3" borderId="45" xfId="0" applyNumberFormat="1" applyFont="1" applyFill="1" applyBorder="1" applyAlignment="1">
      <alignment horizontal="center" vertical="center" wrapText="1"/>
    </xf>
    <xf numFmtId="0" fontId="27" fillId="6" borderId="26" xfId="0" applyFont="1" applyFill="1" applyBorder="1" applyAlignment="1">
      <alignment horizontal="center" vertical="center" wrapText="1"/>
    </xf>
    <xf numFmtId="0" fontId="27" fillId="6" borderId="27" xfId="0" applyFont="1" applyFill="1" applyBorder="1" applyAlignment="1">
      <alignment horizontal="center" vertical="center" wrapText="1"/>
    </xf>
    <xf numFmtId="2" fontId="28" fillId="3" borderId="32" xfId="0" applyNumberFormat="1" applyFont="1" applyFill="1" applyBorder="1" applyAlignment="1">
      <alignment horizontal="center" vertical="center" wrapText="1"/>
    </xf>
    <xf numFmtId="2" fontId="28" fillId="3" borderId="34" xfId="0" applyNumberFormat="1" applyFont="1" applyFill="1" applyBorder="1" applyAlignment="1">
      <alignment horizontal="center" vertical="center" wrapText="1"/>
    </xf>
    <xf numFmtId="2" fontId="28" fillId="3" borderId="39" xfId="0" applyNumberFormat="1" applyFont="1" applyFill="1" applyBorder="1" applyAlignment="1">
      <alignment horizontal="center" vertical="center" wrapText="1"/>
    </xf>
    <xf numFmtId="2" fontId="28" fillId="0" borderId="32" xfId="0" applyNumberFormat="1" applyFont="1" applyBorder="1" applyAlignment="1">
      <alignment horizontal="center" vertical="center" wrapText="1"/>
    </xf>
    <xf numFmtId="2" fontId="28" fillId="3" borderId="41" xfId="0" applyNumberFormat="1" applyFont="1" applyFill="1" applyBorder="1" applyAlignment="1">
      <alignment horizontal="center" vertical="center" wrapText="1"/>
    </xf>
    <xf numFmtId="0" fontId="47" fillId="2" borderId="41" xfId="0" applyFont="1" applyFill="1" applyBorder="1" applyAlignment="1">
      <alignment horizontal="center"/>
    </xf>
    <xf numFmtId="0" fontId="47" fillId="2" borderId="34" xfId="0" applyFont="1" applyFill="1" applyBorder="1" applyAlignment="1">
      <alignment horizontal="center"/>
    </xf>
    <xf numFmtId="0" fontId="47" fillId="2" borderId="39" xfId="0" applyFont="1" applyFill="1" applyBorder="1" applyAlignment="1">
      <alignment horizontal="center"/>
    </xf>
    <xf numFmtId="2" fontId="43" fillId="0" borderId="28" xfId="0" applyNumberFormat="1" applyFont="1" applyFill="1" applyBorder="1" applyAlignment="1">
      <alignment horizontal="center" vertical="center" wrapText="1"/>
    </xf>
    <xf numFmtId="2" fontId="43" fillId="0" borderId="11" xfId="0" applyNumberFormat="1" applyFont="1" applyFill="1" applyBorder="1" applyAlignment="1">
      <alignment horizontal="center" vertical="center" wrapText="1"/>
    </xf>
    <xf numFmtId="2" fontId="48" fillId="0" borderId="28" xfId="0" applyNumberFormat="1" applyFont="1" applyFill="1" applyBorder="1" applyAlignment="1">
      <alignment horizontal="center" vertical="center" wrapText="1"/>
    </xf>
    <xf numFmtId="2" fontId="48" fillId="0" borderId="11" xfId="0" applyNumberFormat="1" applyFont="1" applyFill="1" applyBorder="1" applyAlignment="1">
      <alignment horizontal="center" vertical="center" wrapText="1"/>
    </xf>
    <xf numFmtId="169" fontId="43" fillId="0" borderId="29" xfId="3" applyNumberFormat="1" applyFont="1" applyFill="1" applyBorder="1" applyAlignment="1">
      <alignment horizontal="center" vertical="center" wrapText="1"/>
    </xf>
    <xf numFmtId="169" fontId="43" fillId="0" borderId="28" xfId="3" applyNumberFormat="1" applyFont="1" applyFill="1" applyBorder="1" applyAlignment="1">
      <alignment horizontal="center" vertical="center" wrapText="1"/>
    </xf>
    <xf numFmtId="169" fontId="43" fillId="0" borderId="25" xfId="0" applyNumberFormat="1" applyFont="1" applyFill="1" applyBorder="1" applyAlignment="1">
      <alignment horizontal="center" vertical="center" wrapText="1"/>
    </xf>
    <xf numFmtId="169" fontId="43" fillId="0" borderId="29" xfId="0" applyNumberFormat="1" applyFont="1" applyFill="1" applyBorder="1" applyAlignment="1">
      <alignment horizontal="center" vertical="center" wrapText="1"/>
    </xf>
    <xf numFmtId="169" fontId="43" fillId="0" borderId="36" xfId="0" applyNumberFormat="1" applyFont="1" applyFill="1" applyBorder="1" applyAlignment="1">
      <alignment horizontal="center" vertical="center" wrapText="1"/>
    </xf>
    <xf numFmtId="169" fontId="48" fillId="0" borderId="29" xfId="0" applyNumberFormat="1" applyFont="1" applyFill="1" applyBorder="1" applyAlignment="1">
      <alignment horizontal="center" vertical="center" wrapText="1"/>
    </xf>
    <xf numFmtId="169" fontId="48" fillId="0" borderId="28" xfId="0" applyNumberFormat="1" applyFont="1" applyFill="1" applyBorder="1" applyAlignment="1">
      <alignment horizontal="center" vertical="center" wrapText="1"/>
    </xf>
    <xf numFmtId="0" fontId="56" fillId="2" borderId="39" xfId="0" applyFont="1" applyFill="1" applyBorder="1" applyAlignment="1">
      <alignment horizontal="center"/>
    </xf>
    <xf numFmtId="0" fontId="56" fillId="2" borderId="45" xfId="0" applyFont="1" applyFill="1" applyBorder="1" applyAlignment="1">
      <alignment horizontal="center"/>
    </xf>
    <xf numFmtId="169" fontId="48" fillId="0" borderId="25" xfId="0" applyNumberFormat="1" applyFont="1" applyFill="1" applyBorder="1" applyAlignment="1">
      <alignment horizontal="center" vertical="center" wrapText="1"/>
    </xf>
    <xf numFmtId="0" fontId="56" fillId="2" borderId="41" xfId="0" applyFont="1" applyFill="1" applyBorder="1" applyAlignment="1">
      <alignment horizontal="center"/>
    </xf>
    <xf numFmtId="0" fontId="56" fillId="2" borderId="34" xfId="0" applyFont="1" applyFill="1" applyBorder="1" applyAlignment="1">
      <alignment horizontal="center"/>
    </xf>
    <xf numFmtId="169" fontId="48" fillId="0" borderId="36" xfId="0" applyNumberFormat="1" applyFont="1" applyFill="1" applyBorder="1" applyAlignment="1">
      <alignment horizontal="center" vertical="center" wrapText="1"/>
    </xf>
    <xf numFmtId="4" fontId="43" fillId="0" borderId="25" xfId="0" applyNumberFormat="1" applyFont="1" applyFill="1" applyBorder="1" applyAlignment="1">
      <alignment horizontal="center" vertical="center" wrapText="1"/>
    </xf>
    <xf numFmtId="4" fontId="43" fillId="0" borderId="29" xfId="0" applyNumberFormat="1" applyFont="1" applyFill="1" applyBorder="1" applyAlignment="1">
      <alignment horizontal="center" vertical="center" wrapText="1"/>
    </xf>
    <xf numFmtId="4" fontId="43" fillId="0" borderId="28" xfId="0" applyNumberFormat="1" applyFont="1" applyFill="1" applyBorder="1" applyAlignment="1">
      <alignment horizontal="center" vertical="center" wrapText="1"/>
    </xf>
    <xf numFmtId="0" fontId="50" fillId="6" borderId="54" xfId="0" applyFont="1" applyFill="1" applyBorder="1" applyAlignment="1">
      <alignment horizontal="center" vertical="center" wrapText="1"/>
    </xf>
    <xf numFmtId="0" fontId="50" fillId="6" borderId="55" xfId="0" applyFont="1" applyFill="1" applyBorder="1" applyAlignment="1">
      <alignment horizontal="center" vertical="center" wrapText="1"/>
    </xf>
    <xf numFmtId="4" fontId="48" fillId="0" borderId="28" xfId="0" applyNumberFormat="1" applyFont="1" applyFill="1" applyBorder="1" applyAlignment="1">
      <alignment horizontal="center" vertical="center" wrapText="1"/>
    </xf>
    <xf numFmtId="4" fontId="48" fillId="0" borderId="11" xfId="0" applyNumberFormat="1" applyFont="1" applyFill="1" applyBorder="1" applyAlignment="1">
      <alignment horizontal="center" vertical="center" wrapText="1"/>
    </xf>
    <xf numFmtId="4" fontId="48" fillId="0" borderId="25" xfId="0" applyNumberFormat="1" applyFont="1" applyFill="1" applyBorder="1" applyAlignment="1">
      <alignment horizontal="center" vertical="center" wrapText="1"/>
    </xf>
    <xf numFmtId="4" fontId="48" fillId="0" borderId="29" xfId="0" applyNumberFormat="1" applyFont="1" applyFill="1" applyBorder="1" applyAlignment="1">
      <alignment horizontal="center" vertical="center" wrapText="1"/>
    </xf>
    <xf numFmtId="169" fontId="43" fillId="0" borderId="28" xfId="0" applyNumberFormat="1" applyFont="1" applyFill="1" applyBorder="1" applyAlignment="1">
      <alignment horizontal="center" vertical="center" wrapText="1"/>
    </xf>
    <xf numFmtId="0" fontId="49" fillId="0" borderId="0" xfId="0" applyFont="1" applyFill="1" applyBorder="1" applyAlignment="1">
      <alignment horizontal="left" vertical="center" wrapText="1"/>
    </xf>
    <xf numFmtId="164" fontId="0" fillId="0" borderId="0" xfId="0" applyNumberFormat="1"/>
    <xf numFmtId="2" fontId="0" fillId="0" borderId="0" xfId="0" applyNumberFormat="1"/>
  </cellXfs>
  <cellStyles count="14">
    <cellStyle name="Link" xfId="1" builtinId="8"/>
    <cellStyle name="Prozent" xfId="3" builtinId="5"/>
    <cellStyle name="Standard" xfId="0" builtinId="0"/>
    <cellStyle name="Standard 2" xfId="2"/>
    <cellStyle name="Standard 3" xfId="13"/>
    <cellStyle name="style1559903297299" xfId="4"/>
    <cellStyle name="style1559903297377" xfId="5"/>
    <cellStyle name="style1559903297642" xfId="6"/>
    <cellStyle name="style1559903297736" xfId="7"/>
    <cellStyle name="style1559903297814" xfId="10"/>
    <cellStyle name="style1559903297907" xfId="8"/>
    <cellStyle name="style1559903298001" xfId="11"/>
    <cellStyle name="style1559903298438" xfId="9"/>
    <cellStyle name="style1559903298718" xfId="12"/>
  </cellStyles>
  <dxfs count="148">
    <dxf>
      <alignment wrapText="1" readingOrder="0"/>
    </dxf>
    <dxf>
      <alignment wrapText="1" readingOrder="0"/>
    </dxf>
    <dxf>
      <alignment wrapText="1" readingOrder="0"/>
    </dxf>
    <dxf>
      <font>
        <strike val="0"/>
        <color theme="0" tint="-0.24994659260841701"/>
      </font>
    </dxf>
    <dxf>
      <font>
        <strike val="0"/>
        <color theme="0" tint="-0.24994659260841701"/>
      </font>
    </dxf>
    <dxf>
      <font>
        <strike val="0"/>
        <color theme="0" tint="-0.24994659260841701"/>
      </font>
    </dxf>
    <dxf>
      <font>
        <strike val="0"/>
        <color theme="0" tint="-0.24994659260841701"/>
      </font>
    </dxf>
    <dxf>
      <font>
        <strike val="0"/>
        <color theme="0" tint="-0.24994659260841701"/>
      </font>
    </dxf>
    <dxf>
      <font>
        <strike val="0"/>
        <color theme="0" tint="-0.24994659260841701"/>
      </font>
    </dxf>
    <dxf>
      <font>
        <strike val="0"/>
        <color theme="0" tint="-0.24994659260841701"/>
      </font>
    </dxf>
    <dxf>
      <font>
        <strike val="0"/>
        <color theme="0" tint="-0.24994659260841701"/>
      </font>
    </dxf>
    <dxf>
      <font>
        <strike val="0"/>
        <color theme="0" tint="-0.24994659260841701"/>
      </font>
    </dxf>
    <dxf>
      <font>
        <strike val="0"/>
        <color theme="0" tint="-0.24994659260841701"/>
      </font>
    </dxf>
    <dxf>
      <font>
        <strike val="0"/>
        <color theme="0" tint="-0.24994659260841701"/>
      </font>
    </dxf>
    <dxf>
      <font>
        <strike val="0"/>
        <color theme="0" tint="-0.24994659260841701"/>
      </font>
    </dxf>
    <dxf>
      <font>
        <b/>
        <i val="0"/>
        <color rgb="FFFF0000"/>
      </font>
      <fill>
        <patternFill>
          <bgColor rgb="FFFFFF00"/>
        </patternFill>
      </fill>
    </dxf>
    <dxf>
      <font>
        <strike val="0"/>
        <color rgb="FFFF0000"/>
      </font>
      <fill>
        <patternFill>
          <bgColor rgb="FFFFFF00"/>
        </patternFill>
      </fill>
    </dxf>
    <dxf>
      <fill>
        <patternFill patternType="none">
          <fgColor indexed="64"/>
          <bgColor auto="1"/>
        </patternFill>
      </fill>
    </dxf>
    <dxf>
      <fill>
        <patternFill patternType="none">
          <bgColor auto="1"/>
        </patternFill>
      </fill>
    </dxf>
    <dxf>
      <fill>
        <patternFill patternType="none">
          <bgColor auto="1"/>
        </patternFill>
      </fill>
      <alignment horizontal="center" vertical="center" textRotation="0" indent="0" justifyLastLine="0" shrinkToFit="0" readingOrder="0"/>
    </dxf>
    <dxf>
      <fill>
        <patternFill patternType="none">
          <bgColor auto="1"/>
        </patternFill>
      </fill>
    </dxf>
    <dxf>
      <fill>
        <patternFill patternType="none">
          <fgColor indexed="64"/>
          <bgColor auto="1"/>
        </patternFill>
      </fill>
      <alignment horizontal="center" vertical="bottom" textRotation="0" wrapText="1" indent="0" justifyLastLine="0" shrinkToFit="0" readingOrder="0"/>
    </dxf>
    <dxf>
      <fill>
        <patternFill patternType="none">
          <fgColor indexed="64"/>
          <bgColor auto="1"/>
        </patternFill>
      </fill>
      <alignment horizontal="center" vertical="bottom" textRotation="0" wrapText="1" indent="0" justifyLastLine="0" shrinkToFit="0" readingOrder="0"/>
    </dxf>
    <dxf>
      <fill>
        <patternFill patternType="none">
          <bgColor auto="1"/>
        </patternFill>
      </fill>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numFmt numFmtId="1" formatCode="0"/>
      <fill>
        <patternFill patternType="none">
          <bgColor auto="1"/>
        </patternFill>
      </fill>
      <alignment horizontal="left" vertical="top" textRotation="0" wrapText="1" indent="0" justifyLastLine="0" shrinkToFit="0" readingOrder="0"/>
    </dxf>
    <dxf>
      <numFmt numFmtId="1" formatCode="0"/>
      <fill>
        <patternFill patternType="none">
          <bgColor auto="1"/>
        </patternFill>
      </fill>
      <alignment horizontal="center" vertical="center" textRotation="0" wrapText="1" indent="0" justifyLastLine="0" shrinkToFit="0" readingOrder="0"/>
    </dxf>
    <dxf>
      <numFmt numFmtId="164" formatCode="0.000"/>
      <fill>
        <patternFill patternType="none">
          <bgColor auto="1"/>
        </patternFill>
      </fill>
      <alignment horizontal="center" vertical="center" textRotation="0" wrapText="1" indent="0" justifyLastLine="0" shrinkToFit="0" readingOrder="0"/>
    </dxf>
    <dxf>
      <numFmt numFmtId="164" formatCode="0.000"/>
      <fill>
        <patternFill patternType="none">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scheme val="minor"/>
      </font>
      <numFmt numFmtId="1" formatCode="0"/>
      <fill>
        <patternFill patternType="none">
          <bgColor auto="1"/>
        </patternFill>
      </fill>
      <alignment horizontal="center" vertical="center" textRotation="0" wrapText="1" indent="0" justifyLastLine="0" shrinkToFit="0" readingOrder="0"/>
    </dxf>
    <dxf>
      <numFmt numFmtId="164" formatCode="0.000"/>
      <fill>
        <patternFill patternType="none">
          <bgColor auto="1"/>
        </patternFill>
      </fill>
      <alignment horizontal="center" vertical="center" textRotation="0" wrapText="1" indent="0" justifyLastLine="0" shrinkToFit="0" readingOrder="0"/>
    </dxf>
    <dxf>
      <numFmt numFmtId="164" formatCode="0.000"/>
      <fill>
        <patternFill patternType="none">
          <bgColor auto="1"/>
        </patternFill>
      </fill>
      <alignment horizontal="center" vertical="center" textRotation="0" wrapText="1" indent="0" justifyLastLine="0" shrinkToFit="0" readingOrder="0"/>
    </dxf>
    <dxf>
      <numFmt numFmtId="164" formatCode="0.000"/>
      <fill>
        <patternFill patternType="none">
          <bgColor auto="1"/>
        </patternFill>
      </fill>
      <alignment horizontal="center" vertical="center" textRotation="0" wrapText="1" indent="0" justifyLastLine="0" shrinkToFit="0" readingOrder="0"/>
    </dxf>
    <dxf>
      <numFmt numFmtId="1" formatCode="0"/>
      <fill>
        <patternFill patternType="none">
          <bgColor auto="1"/>
        </patternFill>
      </fill>
      <alignment horizontal="center" vertical="center" textRotation="0" wrapText="1" indent="0" justifyLastLine="0" shrinkToFit="0" readingOrder="0"/>
    </dxf>
    <dxf>
      <numFmt numFmtId="164" formatCode="0.000"/>
      <fill>
        <patternFill patternType="none">
          <bgColor auto="1"/>
        </patternFill>
      </fill>
      <alignment horizontal="center" vertical="center" textRotation="0" wrapText="1" indent="0" justifyLastLine="0" shrinkToFit="0" readingOrder="0"/>
    </dxf>
    <dxf>
      <numFmt numFmtId="164" formatCode="0.000"/>
      <fill>
        <patternFill patternType="none">
          <bgColor auto="1"/>
        </patternFill>
      </fill>
      <alignment horizontal="center" vertical="center" textRotation="0" wrapText="1" indent="0" justifyLastLine="0" shrinkToFit="0" readingOrder="0"/>
    </dxf>
    <dxf>
      <fill>
        <patternFill patternType="none">
          <bgColor auto="1"/>
        </patternFill>
      </fill>
      <alignment horizontal="center" vertical="center" textRotation="0" wrapText="1" indent="0" justifyLastLine="0" shrinkToFit="0" readingOrder="0"/>
    </dxf>
    <dxf>
      <fill>
        <patternFill patternType="none">
          <bgColor auto="1"/>
        </patternFill>
      </fill>
      <alignment horizontal="center"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center" vertical="center" textRotation="0" wrapText="1" indent="0" justifyLastLine="0" shrinkToFit="0" readingOrder="0"/>
    </dxf>
    <dxf>
      <fill>
        <patternFill patternType="none">
          <bgColor auto="1"/>
        </patternFill>
      </fill>
      <alignment horizontal="center" vertical="center" textRotation="0" wrapText="1" indent="0" justifyLastLine="0" shrinkToFit="0" readingOrder="0"/>
    </dxf>
    <dxf>
      <fill>
        <patternFill patternType="none">
          <bgColor auto="1"/>
        </patternFill>
      </fill>
      <alignment horizontal="center" vertical="center" textRotation="0" wrapText="1" indent="0" justifyLastLine="0" shrinkToFit="0" readingOrder="0"/>
    </dxf>
    <dxf>
      <fill>
        <patternFill patternType="none">
          <bgColor auto="1"/>
        </patternFill>
      </fill>
      <alignment horizontal="center" vertical="center" textRotation="0" wrapText="1" indent="0" justifyLastLine="0" shrinkToFit="0" readingOrder="0"/>
    </dxf>
    <dxf>
      <fill>
        <patternFill patternType="none">
          <bgColor auto="1"/>
        </patternFill>
      </fill>
      <alignment horizontal="center" vertical="center" textRotation="0" wrapText="1" indent="0" justifyLastLine="0" shrinkToFit="0" readingOrder="0"/>
    </dxf>
    <dxf>
      <fill>
        <patternFill patternType="none">
          <bgColor auto="1"/>
        </patternFill>
      </fill>
      <alignment horizontal="center" vertical="center" textRotation="0" wrapText="1" indent="0" justifyLastLine="0" shrinkToFit="0" readingOrder="0"/>
    </dxf>
    <dxf>
      <numFmt numFmtId="0" formatCode="General"/>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0"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9"/>
        <color theme="0" tint="-0.34998626667073579"/>
        <name val="Calibri"/>
        <scheme val="minor"/>
      </font>
      <fill>
        <patternFill patternType="none">
          <bgColor auto="1"/>
        </patternFill>
      </fill>
      <alignment horizontal="center" vertical="center" textRotation="0" wrapText="1" indent="0" justifyLastLine="0" shrinkToFit="0" readingOrder="0"/>
    </dxf>
    <dxf>
      <fill>
        <patternFill patternType="none">
          <bgColor auto="1"/>
        </patternFill>
      </fill>
    </dxf>
    <dxf>
      <fill>
        <patternFill patternType="none">
          <bgColor auto="1"/>
        </patternFill>
      </fill>
    </dxf>
    <dxf>
      <font>
        <b/>
        <i val="0"/>
        <strike val="0"/>
        <condense val="0"/>
        <extend val="0"/>
        <outline val="0"/>
        <shadow val="0"/>
        <u val="none"/>
        <vertAlign val="baseline"/>
        <sz val="11"/>
        <color theme="1"/>
        <name val="Calibri"/>
        <scheme val="minor"/>
      </font>
      <fill>
        <patternFill patternType="none">
          <bgColor auto="1"/>
        </patternFill>
      </fill>
      <alignment horizontal="center" vertical="center" textRotation="0" wrapText="1" indent="0" justifyLastLine="0" shrinkToFit="0" readingOrder="0"/>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
      <font>
        <strike val="0"/>
        <color rgb="FFFF0000"/>
      </font>
      <fill>
        <patternFill>
          <bgColor rgb="FFFFFF00"/>
        </patternFill>
      </fill>
    </dxf>
  </dxfs>
  <tableStyles count="0" defaultTableStyle="TableStyleMedium2" defaultPivotStyle="PivotStyleLight16"/>
  <colors>
    <mruColors>
      <color rgb="FFABFF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PedigreeMatrix!$A$2</c:f>
              <c:strCache>
                <c:ptCount val="1"/>
                <c:pt idx="0">
                  <c:v>Reliabilty</c:v>
                </c:pt>
              </c:strCache>
            </c:strRef>
          </c:tx>
          <c:spPr>
            <a:ln w="28575" cap="rnd">
              <a:solidFill>
                <a:schemeClr val="accent1"/>
              </a:solidFill>
              <a:round/>
            </a:ln>
            <a:effectLst/>
          </c:spPr>
          <c:marker>
            <c:symbol val="none"/>
          </c:marker>
          <c:cat>
            <c:numRef>
              <c:f>PedigreeMatrix!$B$1:$E$1</c:f>
              <c:numCache>
                <c:formatCode>General</c:formatCode>
                <c:ptCount val="4"/>
                <c:pt idx="0">
                  <c:v>1</c:v>
                </c:pt>
                <c:pt idx="1">
                  <c:v>2</c:v>
                </c:pt>
                <c:pt idx="2">
                  <c:v>3</c:v>
                </c:pt>
                <c:pt idx="3">
                  <c:v>4</c:v>
                </c:pt>
              </c:numCache>
            </c:numRef>
          </c:cat>
          <c:val>
            <c:numRef>
              <c:f>PedigreeMatrix!$B$2:$E$2</c:f>
              <c:numCache>
                <c:formatCode>General</c:formatCode>
                <c:ptCount val="4"/>
                <c:pt idx="0">
                  <c:v>2.2644183516049265</c:v>
                </c:pt>
                <c:pt idx="1">
                  <c:v>6.8367872947802288</c:v>
                </c:pt>
                <c:pt idx="2">
                  <c:v>20.641795488426332</c:v>
                </c:pt>
                <c:pt idx="3">
                  <c:v>62.322214018757819</c:v>
                </c:pt>
              </c:numCache>
            </c:numRef>
          </c:val>
          <c:smooth val="0"/>
          <c:extLst>
            <c:ext xmlns:c16="http://schemas.microsoft.com/office/drawing/2014/chart" uri="{C3380CC4-5D6E-409C-BE32-E72D297353CC}">
              <c16:uniqueId val="{00000000-9B20-401A-BFA3-F655DE4A7E2C}"/>
            </c:ext>
          </c:extLst>
        </c:ser>
        <c:ser>
          <c:idx val="1"/>
          <c:order val="1"/>
          <c:tx>
            <c:strRef>
              <c:f>PedigreeMatrix!$A$3</c:f>
              <c:strCache>
                <c:ptCount val="1"/>
                <c:pt idx="0">
                  <c:v>Completeness1</c:v>
                </c:pt>
              </c:strCache>
            </c:strRef>
          </c:tx>
          <c:spPr>
            <a:ln w="28575" cap="rnd">
              <a:solidFill>
                <a:schemeClr val="accent2"/>
              </a:solidFill>
              <a:round/>
            </a:ln>
            <a:effectLst/>
          </c:spPr>
          <c:marker>
            <c:symbol val="none"/>
          </c:marker>
          <c:cat>
            <c:numRef>
              <c:f>PedigreeMatrix!$B$1:$E$1</c:f>
              <c:numCache>
                <c:formatCode>General</c:formatCode>
                <c:ptCount val="4"/>
                <c:pt idx="0">
                  <c:v>1</c:v>
                </c:pt>
                <c:pt idx="1">
                  <c:v>2</c:v>
                </c:pt>
                <c:pt idx="2">
                  <c:v>3</c:v>
                </c:pt>
                <c:pt idx="3">
                  <c:v>4</c:v>
                </c:pt>
              </c:numCache>
            </c:numRef>
          </c:cat>
          <c:val>
            <c:numRef>
              <c:f>PedigreeMatrix!$B$3:$E$3</c:f>
              <c:numCache>
                <c:formatCode>General</c:formatCode>
                <c:ptCount val="4"/>
                <c:pt idx="0">
                  <c:v>0</c:v>
                </c:pt>
                <c:pt idx="1">
                  <c:v>4.5288367032098531</c:v>
                </c:pt>
                <c:pt idx="2">
                  <c:v>13.673574589560458</c:v>
                </c:pt>
                <c:pt idx="3">
                  <c:v>41.283590976852665</c:v>
                </c:pt>
              </c:numCache>
            </c:numRef>
          </c:val>
          <c:smooth val="0"/>
          <c:extLst>
            <c:ext xmlns:c16="http://schemas.microsoft.com/office/drawing/2014/chart" uri="{C3380CC4-5D6E-409C-BE32-E72D297353CC}">
              <c16:uniqueId val="{00000001-9B20-401A-BFA3-F655DE4A7E2C}"/>
            </c:ext>
          </c:extLst>
        </c:ser>
        <c:ser>
          <c:idx val="2"/>
          <c:order val="2"/>
          <c:tx>
            <c:strRef>
              <c:f>PedigreeMatrix!$A$4</c:f>
              <c:strCache>
                <c:ptCount val="1"/>
                <c:pt idx="0">
                  <c:v>Completeness2</c:v>
                </c:pt>
              </c:strCache>
            </c:strRef>
          </c:tx>
          <c:spPr>
            <a:ln w="28575" cap="rnd">
              <a:solidFill>
                <a:schemeClr val="accent3"/>
              </a:solidFill>
              <a:round/>
            </a:ln>
            <a:effectLst/>
          </c:spPr>
          <c:marker>
            <c:symbol val="none"/>
          </c:marker>
          <c:cat>
            <c:numRef>
              <c:f>PedigreeMatrix!$B$1:$E$1</c:f>
              <c:numCache>
                <c:formatCode>General</c:formatCode>
                <c:ptCount val="4"/>
                <c:pt idx="0">
                  <c:v>1</c:v>
                </c:pt>
                <c:pt idx="1">
                  <c:v>2</c:v>
                </c:pt>
                <c:pt idx="2">
                  <c:v>3</c:v>
                </c:pt>
                <c:pt idx="3">
                  <c:v>4</c:v>
                </c:pt>
              </c:numCache>
            </c:numRef>
          </c:cat>
          <c:val>
            <c:numRef>
              <c:f>PedigreeMatrix!$B$4:$E$4</c:f>
              <c:numCache>
                <c:formatCode>General</c:formatCode>
                <c:ptCount val="4"/>
                <c:pt idx="0">
                  <c:v>4.5288367032098531</c:v>
                </c:pt>
                <c:pt idx="1">
                  <c:v>13.673574589560458</c:v>
                </c:pt>
                <c:pt idx="2">
                  <c:v>41.283590976852665</c:v>
                </c:pt>
                <c:pt idx="3">
                  <c:v>124.64442803751564</c:v>
                </c:pt>
              </c:numCache>
            </c:numRef>
          </c:val>
          <c:smooth val="0"/>
          <c:extLst>
            <c:ext xmlns:c16="http://schemas.microsoft.com/office/drawing/2014/chart" uri="{C3380CC4-5D6E-409C-BE32-E72D297353CC}">
              <c16:uniqueId val="{00000002-9B20-401A-BFA3-F655DE4A7E2C}"/>
            </c:ext>
          </c:extLst>
        </c:ser>
        <c:ser>
          <c:idx val="3"/>
          <c:order val="3"/>
          <c:tx>
            <c:strRef>
              <c:f>PedigreeMatrix!$A$5</c:f>
              <c:strCache>
                <c:ptCount val="1"/>
                <c:pt idx="0">
                  <c:v>Temporal correlation</c:v>
                </c:pt>
              </c:strCache>
            </c:strRef>
          </c:tx>
          <c:spPr>
            <a:ln w="28575" cap="rnd">
              <a:solidFill>
                <a:schemeClr val="accent4"/>
              </a:solidFill>
              <a:round/>
            </a:ln>
            <a:effectLst/>
          </c:spPr>
          <c:marker>
            <c:symbol val="none"/>
          </c:marker>
          <c:cat>
            <c:numRef>
              <c:f>PedigreeMatrix!$B$1:$E$1</c:f>
              <c:numCache>
                <c:formatCode>General</c:formatCode>
                <c:ptCount val="4"/>
                <c:pt idx="0">
                  <c:v>1</c:v>
                </c:pt>
                <c:pt idx="1">
                  <c:v>2</c:v>
                </c:pt>
                <c:pt idx="2">
                  <c:v>3</c:v>
                </c:pt>
                <c:pt idx="3">
                  <c:v>4</c:v>
                </c:pt>
              </c:numCache>
            </c:numRef>
          </c:cat>
          <c:val>
            <c:numRef>
              <c:f>PedigreeMatrix!$B$5:$E$5</c:f>
              <c:numCache>
                <c:formatCode>General</c:formatCode>
                <c:ptCount val="4"/>
                <c:pt idx="0">
                  <c:v>0</c:v>
                </c:pt>
                <c:pt idx="1">
                  <c:v>1.1322091758024633</c:v>
                </c:pt>
                <c:pt idx="2">
                  <c:v>3.4183936473901144</c:v>
                </c:pt>
                <c:pt idx="3">
                  <c:v>10.320897744213166</c:v>
                </c:pt>
              </c:numCache>
            </c:numRef>
          </c:val>
          <c:smooth val="0"/>
          <c:extLst>
            <c:ext xmlns:c16="http://schemas.microsoft.com/office/drawing/2014/chart" uri="{C3380CC4-5D6E-409C-BE32-E72D297353CC}">
              <c16:uniqueId val="{00000003-9B20-401A-BFA3-F655DE4A7E2C}"/>
            </c:ext>
          </c:extLst>
        </c:ser>
        <c:ser>
          <c:idx val="4"/>
          <c:order val="4"/>
          <c:tx>
            <c:strRef>
              <c:f>PedigreeMatrix!$A$6</c:f>
              <c:strCache>
                <c:ptCount val="1"/>
                <c:pt idx="0">
                  <c:v>Geographical correlation</c:v>
                </c:pt>
              </c:strCache>
            </c:strRef>
          </c:tx>
          <c:spPr>
            <a:ln w="28575" cap="rnd">
              <a:solidFill>
                <a:schemeClr val="accent5"/>
              </a:solidFill>
              <a:round/>
            </a:ln>
            <a:effectLst/>
          </c:spPr>
          <c:marker>
            <c:symbol val="none"/>
          </c:marker>
          <c:cat>
            <c:numRef>
              <c:f>PedigreeMatrix!$B$1:$E$1</c:f>
              <c:numCache>
                <c:formatCode>General</c:formatCode>
                <c:ptCount val="4"/>
                <c:pt idx="0">
                  <c:v>1</c:v>
                </c:pt>
                <c:pt idx="1">
                  <c:v>2</c:v>
                </c:pt>
                <c:pt idx="2">
                  <c:v>3</c:v>
                </c:pt>
                <c:pt idx="3">
                  <c:v>4</c:v>
                </c:pt>
              </c:numCache>
            </c:numRef>
          </c:cat>
          <c:val>
            <c:numRef>
              <c:f>PedigreeMatrix!$B$6:$E$6</c:f>
              <c:numCache>
                <c:formatCode>General</c:formatCode>
                <c:ptCount val="4"/>
                <c:pt idx="0">
                  <c:v>0</c:v>
                </c:pt>
                <c:pt idx="1">
                  <c:v>4.5288367032098531</c:v>
                </c:pt>
                <c:pt idx="2">
                  <c:v>13.673574589560458</c:v>
                </c:pt>
                <c:pt idx="3">
                  <c:v>41.283590976852665</c:v>
                </c:pt>
              </c:numCache>
            </c:numRef>
          </c:val>
          <c:smooth val="0"/>
          <c:extLst>
            <c:ext xmlns:c16="http://schemas.microsoft.com/office/drawing/2014/chart" uri="{C3380CC4-5D6E-409C-BE32-E72D297353CC}">
              <c16:uniqueId val="{00000004-9B20-401A-BFA3-F655DE4A7E2C}"/>
            </c:ext>
          </c:extLst>
        </c:ser>
        <c:ser>
          <c:idx val="5"/>
          <c:order val="5"/>
          <c:tx>
            <c:strRef>
              <c:f>PedigreeMatrix!$A$7</c:f>
              <c:strCache>
                <c:ptCount val="1"/>
                <c:pt idx="0">
                  <c:v>Measuremente method</c:v>
                </c:pt>
              </c:strCache>
            </c:strRef>
          </c:tx>
          <c:spPr>
            <a:ln w="28575" cap="rnd">
              <a:solidFill>
                <a:schemeClr val="accent6"/>
              </a:solidFill>
              <a:round/>
            </a:ln>
            <a:effectLst/>
          </c:spPr>
          <c:marker>
            <c:symbol val="none"/>
          </c:marker>
          <c:cat>
            <c:numRef>
              <c:f>PedigreeMatrix!$B$1:$E$1</c:f>
              <c:numCache>
                <c:formatCode>General</c:formatCode>
                <c:ptCount val="4"/>
                <c:pt idx="0">
                  <c:v>1</c:v>
                </c:pt>
                <c:pt idx="1">
                  <c:v>2</c:v>
                </c:pt>
                <c:pt idx="2">
                  <c:v>3</c:v>
                </c:pt>
                <c:pt idx="3">
                  <c:v>4</c:v>
                </c:pt>
              </c:numCache>
            </c:numRef>
          </c:cat>
          <c:val>
            <c:numRef>
              <c:f>PedigreeMatrix!$B$7:$E$7</c:f>
              <c:numCache>
                <c:formatCode>General</c:formatCode>
                <c:ptCount val="4"/>
                <c:pt idx="0">
                  <c:v>4.5288367032098531</c:v>
                </c:pt>
                <c:pt idx="1">
                  <c:v>13.673574589560458</c:v>
                </c:pt>
                <c:pt idx="2">
                  <c:v>41.283590976852665</c:v>
                </c:pt>
                <c:pt idx="3">
                  <c:v>124.64442803751564</c:v>
                </c:pt>
              </c:numCache>
            </c:numRef>
          </c:val>
          <c:smooth val="0"/>
          <c:extLst>
            <c:ext xmlns:c16="http://schemas.microsoft.com/office/drawing/2014/chart" uri="{C3380CC4-5D6E-409C-BE32-E72D297353CC}">
              <c16:uniqueId val="{00000005-9B20-401A-BFA3-F655DE4A7E2C}"/>
            </c:ext>
          </c:extLst>
        </c:ser>
        <c:ser>
          <c:idx val="6"/>
          <c:order val="6"/>
          <c:tx>
            <c:strRef>
              <c:f>PedigreeMatrix!$A$8</c:f>
              <c:strCache>
                <c:ptCount val="1"/>
                <c:pt idx="0">
                  <c:v>Expert judgement</c:v>
                </c:pt>
              </c:strCache>
            </c:strRef>
          </c:tx>
          <c:spPr>
            <a:ln w="28575" cap="rnd">
              <a:solidFill>
                <a:schemeClr val="accent1">
                  <a:lumMod val="60000"/>
                </a:schemeClr>
              </a:solidFill>
              <a:round/>
            </a:ln>
            <a:effectLst/>
          </c:spPr>
          <c:marker>
            <c:symbol val="none"/>
          </c:marker>
          <c:cat>
            <c:numRef>
              <c:f>PedigreeMatrix!$B$1:$E$1</c:f>
              <c:numCache>
                <c:formatCode>General</c:formatCode>
                <c:ptCount val="4"/>
                <c:pt idx="0">
                  <c:v>1</c:v>
                </c:pt>
                <c:pt idx="1">
                  <c:v>2</c:v>
                </c:pt>
                <c:pt idx="2">
                  <c:v>3</c:v>
                </c:pt>
                <c:pt idx="3">
                  <c:v>4</c:v>
                </c:pt>
              </c:numCache>
            </c:numRef>
          </c:cat>
          <c:val>
            <c:numRef>
              <c:f>PedigreeMatrix!$B$8:$E$8</c:f>
              <c:numCache>
                <c:formatCode>General</c:formatCode>
                <c:ptCount val="4"/>
                <c:pt idx="0">
                  <c:v>7.5480611720164212</c:v>
                </c:pt>
                <c:pt idx="1">
                  <c:v>22.789290982600761</c:v>
                </c:pt>
                <c:pt idx="2">
                  <c:v>68.805984961421117</c:v>
                </c:pt>
                <c:pt idx="3">
                  <c:v>207.74071339585942</c:v>
                </c:pt>
              </c:numCache>
            </c:numRef>
          </c:val>
          <c:smooth val="0"/>
          <c:extLst>
            <c:ext xmlns:c16="http://schemas.microsoft.com/office/drawing/2014/chart" uri="{C3380CC4-5D6E-409C-BE32-E72D297353CC}">
              <c16:uniqueId val="{00000006-9B20-401A-BFA3-F655DE4A7E2C}"/>
            </c:ext>
          </c:extLst>
        </c:ser>
        <c:dLbls>
          <c:showLegendKey val="0"/>
          <c:showVal val="0"/>
          <c:showCatName val="0"/>
          <c:showSerName val="0"/>
          <c:showPercent val="0"/>
          <c:showBubbleSize val="0"/>
        </c:dLbls>
        <c:smooth val="0"/>
        <c:axId val="488667080"/>
        <c:axId val="488667408"/>
      </c:lineChart>
      <c:catAx>
        <c:axId val="488667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88667408"/>
        <c:crosses val="autoZero"/>
        <c:auto val="1"/>
        <c:lblAlgn val="ctr"/>
        <c:lblOffset val="100"/>
        <c:noMultiLvlLbl val="0"/>
      </c:catAx>
      <c:valAx>
        <c:axId val="488667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886670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342900</xdr:colOff>
      <xdr:row>1</xdr:row>
      <xdr:rowOff>57150</xdr:rowOff>
    </xdr:from>
    <xdr:to>
      <xdr:col>23</xdr:col>
      <xdr:colOff>704850</xdr:colOff>
      <xdr:row>26</xdr:row>
      <xdr:rowOff>57150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lafton, Christina" refreshedDate="44186.780583449072" createdVersion="6" refreshedVersion="6" minRefreshableVersion="3" recordCount="650">
  <cacheSource type="worksheet">
    <worksheetSource ref="B1:AW1025" sheet="Abbau"/>
  </cacheSource>
  <cacheFields count="48">
    <cacheField name="Plastikart" numFmtId="0">
      <sharedItems containsBlank="1"/>
    </cacheField>
    <cacheField name="Details zur Plastikart" numFmtId="0">
      <sharedItems containsBlank="1"/>
    </cacheField>
    <cacheField name="Accelerated" numFmtId="0">
      <sharedItems containsBlank="1"/>
    </cacheField>
    <cacheField name="Art des Accelerants" numFmtId="0">
      <sharedItems containsBlank="1"/>
    </cacheField>
    <cacheField name="Form" numFmtId="0">
      <sharedItems containsBlank="1"/>
    </cacheField>
    <cacheField name="Thickness [mm]" numFmtId="0">
      <sharedItems containsBlank="1" containsMixedTypes="1" containsNumber="1" minValue="2.9999999999999997E-4" maxValue="10"/>
    </cacheField>
    <cacheField name="Surface Area_x000a_[m2]" numFmtId="0">
      <sharedItems containsBlank="1" containsMixedTypes="1" containsNumber="1" minValue="5.9999999999999995E-8" maxValue="18.095573684677209"/>
    </cacheField>
    <cacheField name="Density _x000a_[g/cm3]" numFmtId="0">
      <sharedItems containsBlank="1" containsMixedTypes="1" containsNumber="1" minValue="3.125E-2" maxValue="2.56"/>
    </cacheField>
    <cacheField name="Produkt" numFmtId="0">
      <sharedItems containsBlank="1" longText="1"/>
    </cacheField>
    <cacheField name="Vorbehandlung" numFmtId="0">
      <sharedItems containsBlank="1" longText="1"/>
    </cacheField>
    <cacheField name="Mikroorganismen" numFmtId="0">
      <sharedItems containsBlank="1" longText="1"/>
    </cacheField>
    <cacheField name="Natürliche Umgebung_x000a_[ja/nein]" numFmtId="0">
      <sharedItems containsBlank="1"/>
    </cacheField>
    <cacheField name="Umgebung" numFmtId="0">
      <sharedItems containsBlank="1" longText="1"/>
    </cacheField>
    <cacheField name="Umgebungs-kategorie" numFmtId="0">
      <sharedItems containsBlank="1"/>
    </cacheField>
    <cacheField name="Umgebung relevant?" numFmtId="0">
      <sharedItems containsBlank="1"/>
    </cacheField>
    <cacheField name="Bedingungen: Temp.[°C]" numFmtId="0">
      <sharedItems containsBlank="1" containsMixedTypes="1" containsNumber="1" minValue="4" maxValue="65"/>
    </cacheField>
    <cacheField name="Bedingungen: pH-Wert" numFmtId="0">
      <sharedItems containsBlank="1" containsMixedTypes="1" containsNumber="1" minValue="6.87" maxValue="8.5"/>
    </cacheField>
    <cacheField name="Bedingungen: rel. Luft. [%]" numFmtId="0">
      <sharedItems containsBlank="1" containsMixedTypes="1" containsNumber="1" containsInteger="1" minValue="45" maxValue="100"/>
    </cacheField>
    <cacheField name="Bedingungen: Wasserg. [%]" numFmtId="0">
      <sharedItems containsBlank="1" containsMixedTypes="1" containsNumber="1" minValue="14.6" maxValue="70"/>
    </cacheField>
    <cacheField name="Bedingungen: Sauerstoff-Milieu" numFmtId="0">
      <sharedItems containsBlank="1"/>
    </cacheField>
    <cacheField name="Bedingungen: Inkubation" numFmtId="0">
      <sharedItems containsBlank="1"/>
    </cacheField>
    <cacheField name="Messkriterium" numFmtId="0">
      <sharedItems containsBlank="1"/>
    </cacheField>
    <cacheField name="Spezifikation" numFmtId="0">
      <sharedItems containsBlank="1"/>
    </cacheField>
    <cacheField name="biologische_x000a_Abbaubarkeit [%]" numFmtId="0">
      <sharedItems containsBlank="1" containsMixedTypes="1" containsNumber="1" minValue="0" maxValue="151.4"/>
    </cacheField>
    <cacheField name="Dauer des Abbaus_x000a_[Tage]" numFmtId="0">
      <sharedItems containsString="0" containsBlank="1" containsNumber="1" minValue="1" maxValue="365000"/>
    </cacheField>
    <cacheField name="Abbaurate [%/d]" numFmtId="0">
      <sharedItems containsBlank="1" containsMixedTypes="1" containsNumber="1" minValue="0" maxValue="88.3"/>
    </cacheField>
    <cacheField name="Art des Abbaus? (Oberfläche / Bulk)" numFmtId="0">
      <sharedItems containsNonDate="0" containsString="0" containsBlank="1"/>
    </cacheField>
    <cacheField name="Formfaktor" numFmtId="0">
      <sharedItems containsBlank="1" containsMixedTypes="1" containsNumber="1" containsInteger="1" minValue="2" maxValue="6"/>
    </cacheField>
    <cacheField name="specific surface [m^2/m^3]" numFmtId="0">
      <sharedItems containsBlank="1" containsMixedTypes="1" containsNumber="1" minValue="533.33333333333337" maxValue="240000"/>
    </cacheField>
    <cacheField name="specific surface area [m^2/g]" numFmtId="0">
      <sharedItems containsBlank="1" containsMixedTypes="1" containsNumber="1" minValue="4.7619047619047619E-4" maxValue="0.26578073089700993"/>
    </cacheField>
    <cacheField name="specific surface degradation rate (SSDR)_x000a_[µm*y-1]" numFmtId="0">
      <sharedItems containsBlank="1" containsMixedTypes="1" containsNumber="1" minValue="0" maxValue="2556.901041666667"/>
    </cacheField>
    <cacheField name="Exponent" numFmtId="0">
      <sharedItems containsBlank="1" containsMixedTypes="1" containsNumber="1" containsInteger="1" minValue="1" maxValue="3"/>
    </cacheField>
    <cacheField name="SSDR_n" numFmtId="0">
      <sharedItems containsBlank="1" containsMixedTypes="1" containsNumber="1" minValue="0" maxValue="2556.901041666667"/>
    </cacheField>
    <cacheField name="Hilfsspalte" numFmtId="0">
      <sharedItems containsBlank="1"/>
    </cacheField>
    <cacheField name="Flexspalte" numFmtId="1">
      <sharedItems containsString="0" containsBlank="1" containsNumber="1" containsInteger="1" minValue="0" maxValue="1"/>
    </cacheField>
    <cacheField name="Nicht einbezogen weil…" numFmtId="1">
      <sharedItems containsBlank="1" count="11">
        <s v="Plastikart unklar"/>
        <s v="Inhaltlich irrelevant"/>
        <s v="Form fehlt"/>
        <s v="Thickness fehlt"/>
        <s v="Accelerated"/>
        <s v="Messverfahren irrelevant"/>
        <s v=""/>
        <s v="nicht-natürlich"/>
        <s v="Kompartment irrelevant"/>
        <m/>
        <s v="Kompartiment irrelevant" u="1"/>
      </sharedItems>
    </cacheField>
    <cacheField name="Quelle" numFmtId="0">
      <sharedItems containsBlank="1" count="152">
        <s v="Ahn et al. 2011"/>
        <s v="Giacomucci et al. (2019a)"/>
        <s v="Dilkes-Hoffman et al. 2019"/>
        <s v="Mohanrasu et al. (2018)"/>
        <s v="Guo et al. 2012"/>
        <s v="Witt (1995)"/>
        <s v="Otake 1995"/>
        <s v="Ishigaki et al. 2004"/>
        <s v="Greene 2011"/>
        <s v="Mostafa et al. 2018"/>
        <s v="Vaverkova, Adamcova 2015"/>
        <s v="Massardier-Nageotte et al. 2006"/>
        <s v="Balasubramanian 2010"/>
        <s v="Orhan et al. 2003"/>
        <s v="Kim et al. 2005"/>
        <s v="Skariyachan et al. (2017)"/>
        <s v="Napper &amp; Thompson 2019"/>
        <s v="Skariyachan et al. (2018)"/>
        <s v="Sangeetha Devi et al. (2019)"/>
        <s v="Arcos-Hernandez et al. 2012"/>
        <s v="Sudhakar et al. 2007 - Marine microbes"/>
        <s v="Sudhakar et al. 2008"/>
        <s v="Agamuthu 2005"/>
        <s v="Gajendiran et al. 2016"/>
        <s v="Muthukumar 2010"/>
        <s v="Borghei 2010"/>
        <s v="Peixoto et al. (2017)"/>
        <s v="Skariyachan et al. (2016)"/>
        <s v="Muhonja et al. (2018)"/>
        <s v="Tribedi et al. 2017"/>
        <s v="OHTAKE 1998"/>
        <s v="Esmaeili et al. 2013"/>
        <s v="Harshvardhan et al. 2013"/>
        <s v="Sivan 2006"/>
        <s v="Tsuchii &amp; Tokiwa 2001"/>
        <s v="Singh et al 2012"/>
        <s v="Sudhakar et al. 2007 - Biofouling"/>
        <s v="Chandra 1997"/>
        <s v="Thakore et al. 2001"/>
        <s v="Heimowska et al. 2011"/>
        <s v="Cadle and Williams (1980)"/>
        <s v="Berekaa 2006"/>
        <s v="Auta et al. 2017"/>
        <s v="Paco et al. (2017)"/>
        <s v="Tsuchii et al 1984"/>
        <s v="Artham et al. 2009"/>
        <s v="Hashimoto et al.  2002"/>
        <s v="Gomes, Michel 2013"/>
        <s v="Lott et al. 2020"/>
        <s v="Zumstein et al. 2018"/>
        <s v="Wang et al. 2015"/>
        <s v="Chinaglia et al. 2018"/>
        <s v="Tosin et al. 2016"/>
        <s v="Phua et al. 2012"/>
        <s v="Yang et al. 2004"/>
        <s v="Anstey et al. 2014"/>
        <s v="Adhikari et al. 2016"/>
        <s v="Muthukumar 2011"/>
        <s v="Tachibana et al. 2013"/>
        <s v="Feuilloley et al. 2005"/>
        <s v="Eubeler 2010"/>
        <s v="Kasuya et al. 1998"/>
        <s v="Tsuji et al. 2001"/>
        <s v="Nakasaki et al. 2006"/>
        <s v="Heimowska et al. 2017"/>
        <s v="Abou-Zeid et al. 2001"/>
        <s v="Rutkowska et al. 1998"/>
        <s v="Mohee et al. 2008"/>
        <s v="Nauendorf et al. (2016)"/>
        <s v="Showa Denko K.K. 2015"/>
        <s v="Yabannavar, Bartha 1994"/>
        <s v="Yoshida et al. 2016"/>
        <s v="Eich et al 2019 (poster)"/>
        <s v="Yang et al. (2014)"/>
        <s v="Woolnough et al. 2008"/>
        <s v="Park and Kim (2019)"/>
        <s v="O'Brine &amp; Thompson 2010"/>
        <s v="Husarova et al. 2012"/>
        <s v="Syranidou et al. (2017) - Development of tailored … "/>
        <s v="Rutkowska et al. 2002 - Biodegradability of PE Starch blends in seawater"/>
        <s v="Wilde et al. 2016"/>
        <s v="DIN EN 17033 - 2018"/>
        <s v="Müller 2005"/>
        <s v="Rudakova et al., 1979"/>
        <s v="Gamerith 2017"/>
        <s v="Sharon 2012"/>
        <s v="US National Park Service"/>
        <s v="Allen et al. 1994"/>
        <s v="Wu 2012b"/>
        <s v="Wu 2014"/>
        <s v="Weng et al.  2011"/>
        <s v="Luzi et al. 2015"/>
        <s v="Tabasi, Ajji 2015"/>
        <s v="Sridewi 2006"/>
        <s v="Thellen et al. 2008"/>
        <s v="Jain, Tiwari 2015"/>
        <s v="Arrieta et al. 2014"/>
        <s v="Sarasa et al. 2009"/>
        <s v="Deroine et al. 2014"/>
        <s v="Karamanlioglu 2013"/>
        <s v="Mihai et al.  2014"/>
        <s v="Pelegrini 2016"/>
        <s v="Arkatkar et al. 2009"/>
        <s v="Kale et al.  2007a"/>
        <s v="Jeyakumar et al. 2013"/>
        <s v="Arkatkar et al. 2010"/>
        <s v="Harmaen et al. 2015"/>
        <s v="Cacciari et al. (1993)"/>
        <s v="Auta et al. 2018"/>
        <s v="Fontanella et al. (2013)"/>
        <s v="Aravinthan et al. (2016)"/>
        <s v="Mor &amp; Sivan 2008"/>
        <s v="Jeon and Kim (2016)"/>
        <s v="Webb et al. 2000"/>
        <s v="Javierre et al. 2015"/>
        <s v="Resmerita et al. 2018"/>
        <s v="Wang et al 2004"/>
        <s v="Syranidou 2017"/>
        <s v="Tian et al. (2017)"/>
        <s v="Yang et al. (2015)"/>
        <s v="Syranidou et al. (2017) - Biodegradation of weathered … "/>
        <s v="Rutkowska et al. 2001"/>
        <s v="Ali et al. (2014)"/>
        <s v="Dvorackova et al. 2006"/>
        <s v="Das et al. (2012)"/>
        <s v="Giacomucci et al. (2019b) - unpublished"/>
        <s v="Tosin et al. 2019"/>
        <s v="Ward-2019"/>
        <s v="Boyandin et al. 2013"/>
        <s v="Edge et al., 1991"/>
        <s v="Ioakeimidis, C.; 2016 &quot;The degradation potential of PET bottles in the marine environment&quot;_x000a_"/>
        <s v="Mohammadian, M.; Allen, N. S.; Edge, M. (1991)"/>
        <s v="Solaro et al. 1998"/>
        <s v="Rudnik und Briassoulis 2011"/>
        <s v="Di Franco et al. 2004"/>
        <s v="Lepoudre 2017"/>
        <s v="Volova et al. 2010"/>
        <s v="Luo et al. 2003"/>
        <s v="Itävaara et al. 2002"/>
        <s v="Artru &amp; Lecerf 2019"/>
        <s v="Rutkowska et al. 2002 - degradation of polyurethanes"/>
        <s v="Tosin et al. 2012"/>
        <s v="Künkel et al. 2017"/>
        <s v="Rudnik et al. 2011"/>
        <s v="KANEKA Corporate 2014"/>
        <m/>
        <s v="Mostafa et al. 2015 ich glaube ist von 2018" u="1"/>
        <s v="Sudhakar et al. 2007" u="1"/>
        <s v="Kasuya et al. 1997" u="1"/>
        <s v="Witt" u="1"/>
        <s v="Dvorackove et al. 2006" u="1"/>
        <s v="OHTAKE 1996" u="1"/>
      </sharedItems>
    </cacheField>
    <cacheField name="Crossref" numFmtId="0">
      <sharedItems containsBlank="1"/>
    </cacheField>
    <cacheField name="Hinzugefügt von (Datum)" numFmtId="0">
      <sharedItems containsBlank="1"/>
    </cacheField>
    <cacheField name="Citavi" numFmtId="0">
      <sharedItems containsBlank="1"/>
    </cacheField>
    <cacheField name="PDF" numFmtId="0">
      <sharedItems containsBlank="1"/>
    </cacheField>
    <cacheField name="Gutes Paper" numFmtId="0">
      <sharedItems containsBlank="1"/>
    </cacheField>
    <cacheField name="Empfehlung für Delphi - Rangfolgen (J/N/V)" numFmtId="0">
      <sharedItems containsBlank="1"/>
    </cacheField>
    <cacheField name="Empfehlung für Delphi - Abbauzeiten (J/N/V)" numFmtId="0">
      <sharedItems containsBlank="1"/>
    </cacheField>
    <cacheField name="in Sangwon enthalten?" numFmtId="0">
      <sharedItems containsBlank="1"/>
    </cacheField>
    <cacheField name="Checked CB?" numFmtId="0">
      <sharedItems containsBlank="1"/>
    </cacheField>
    <cacheField name="Link" numFmtId="0">
      <sharedItems containsBlank="1"/>
    </cacheField>
    <cacheField name="Anmerkunge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50">
  <r>
    <s v="?"/>
    <s v="PFF(poultry feather fibre)/urea/glycerol (50/25/25)"/>
    <s v="ja"/>
    <s v="Zusätze"/>
    <s v="Strips"/>
    <s v="no value"/>
    <n v="2.5000000000000001E-5"/>
    <n v="1.0900000000000001"/>
    <s v="flower pots"/>
    <s v="dried at 80°C for 18h"/>
    <s v="keine"/>
    <s v="nein"/>
    <s v="Kompost (Labor)"/>
    <s v="Boden/Kompost"/>
    <s v="ja"/>
    <n v="58"/>
    <m/>
    <m/>
    <m/>
    <m/>
    <m/>
    <s v="CO2-Entwicklung"/>
    <m/>
    <n v="40"/>
    <n v="60"/>
    <n v="0.66666666666666663"/>
    <m/>
    <n v="2"/>
    <s v=""/>
    <s v=""/>
    <s v=""/>
    <s v=""/>
    <s v=""/>
    <s v=""/>
    <n v="1"/>
    <x v="0"/>
    <x v="0"/>
    <m/>
    <s v="CB (März 2020)"/>
    <s v="ja "/>
    <m/>
    <m/>
    <m/>
    <m/>
    <m/>
    <s v="ja"/>
    <m/>
    <m/>
  </r>
  <r>
    <s v="?"/>
    <s v="polyethylene, polypropylene, polystyrene and polyvinyl chloride"/>
    <s v="ja"/>
    <s v="Mikroorganismen"/>
    <s v="Film"/>
    <s v="no value"/>
    <m/>
    <m/>
    <m/>
    <m/>
    <s v="Pseudomonas chlororaphis, Pseudomonas citronellolis, Bacillus subtilis, Bacillus flexus and Chelatococcus daeguensis, towards "/>
    <m/>
    <m/>
    <m/>
    <s v="nein"/>
    <m/>
    <m/>
    <m/>
    <m/>
    <m/>
    <m/>
    <m/>
    <m/>
    <m/>
    <m/>
    <e v="#DIV/0!"/>
    <m/>
    <n v="2"/>
    <s v=""/>
    <s v=""/>
    <s v=""/>
    <s v=""/>
    <s v=""/>
    <s v=""/>
    <n v="0"/>
    <x v="1"/>
    <x v="1"/>
    <s v="Raddadi &amp; Fava (2019)"/>
    <s v="CG (Mai 2020)"/>
    <s v="ja"/>
    <s v="nein"/>
    <m/>
    <m/>
    <m/>
    <m/>
    <s v="nicht vorgesehen"/>
    <s v="https://www.sciencedirect.com/science/article/abs/pii/S1871678418301560"/>
    <s v="Experimente mit Mikroorganismen im Labor (weder Boden noch Wasser)"/>
  </r>
  <r>
    <s v="?"/>
    <s v="?"/>
    <m/>
    <m/>
    <s v="no value"/>
    <s v="no value"/>
    <m/>
    <m/>
    <m/>
    <m/>
    <m/>
    <m/>
    <m/>
    <m/>
    <s v="nein"/>
    <m/>
    <m/>
    <m/>
    <m/>
    <m/>
    <m/>
    <m/>
    <m/>
    <m/>
    <m/>
    <m/>
    <m/>
    <s v=""/>
    <s v=""/>
    <s v=""/>
    <s v=""/>
    <s v=""/>
    <s v=""/>
    <s v=""/>
    <n v="0"/>
    <x v="1"/>
    <x v="2"/>
    <s v="Plastik Leak Project"/>
    <m/>
    <s v="ja"/>
    <s v="ja"/>
    <m/>
    <m/>
    <m/>
    <s v="nein"/>
    <s v="nicht vorgesehen"/>
    <s v="Literaturrecherche über PHA"/>
    <m/>
  </r>
  <r>
    <s v="?"/>
    <s v=" PHB, PAH and HDPE"/>
    <s v="ja"/>
    <s v="Mikroorganismen"/>
    <s v="no value"/>
    <s v="no value"/>
    <m/>
    <m/>
    <m/>
    <m/>
    <s v="Micrococcus luteus, Klebsiella pneumonia and Brevibacillus borstelensis"/>
    <m/>
    <m/>
    <m/>
    <s v="nein"/>
    <m/>
    <m/>
    <m/>
    <m/>
    <m/>
    <m/>
    <m/>
    <m/>
    <m/>
    <m/>
    <e v="#DIV/0!"/>
    <m/>
    <s v=""/>
    <s v=""/>
    <s v=""/>
    <s v=""/>
    <s v=""/>
    <s v=""/>
    <s v=""/>
    <n v="0"/>
    <x v="1"/>
    <x v="3"/>
    <s v="Raddadi &amp; Fava (2019)"/>
    <s v="CG (Mai 2020)"/>
    <s v="ja"/>
    <s v="nein"/>
    <m/>
    <m/>
    <m/>
    <m/>
    <s v="nicht vorgesehen"/>
    <s v="https://www.sciencedirect.com/science/article/abs/pii/S1011134418301957"/>
    <s v="Experimente mit Mikroorganismen im Labor (weder Boden noch Wasser)"/>
  </r>
  <r>
    <s v="?"/>
    <s v="Chitosan "/>
    <s v="nein"/>
    <m/>
    <s v="no value"/>
    <s v="no value"/>
    <s v="no value"/>
    <s v="no value"/>
    <m/>
    <m/>
    <m/>
    <s v="nein"/>
    <s v="inoculum made of farmland soil and mineral salt solution"/>
    <s v="Labor"/>
    <s v="nein"/>
    <n v="30"/>
    <m/>
    <m/>
    <m/>
    <s v="aerob"/>
    <m/>
    <s v="CO2-Entwicklung"/>
    <m/>
    <n v="14.86"/>
    <n v="14"/>
    <n v="1.0614285714285714"/>
    <m/>
    <s v=""/>
    <s v=""/>
    <s v=""/>
    <s v=""/>
    <s v=""/>
    <s v=""/>
    <s v=""/>
    <n v="1"/>
    <x v="0"/>
    <x v="4"/>
    <s v="Plastik Leak Project"/>
    <s v="CB (März 2020)"/>
    <s v="ja"/>
    <s v="ja"/>
    <m/>
    <m/>
    <m/>
    <s v="nein"/>
    <s v="ja"/>
    <m/>
    <m/>
  </r>
  <r>
    <s v="?"/>
    <s v="Curdlan"/>
    <s v="nein"/>
    <m/>
    <s v="no value"/>
    <s v="no value"/>
    <s v="no value"/>
    <s v="no value"/>
    <m/>
    <m/>
    <m/>
    <s v="nein"/>
    <s v="inoculum made of farmland soil and mineral salt solution"/>
    <s v="Labor"/>
    <s v="nein"/>
    <n v="30"/>
    <m/>
    <m/>
    <m/>
    <s v="aerob"/>
    <m/>
    <s v="CO2-Entwicklung"/>
    <m/>
    <n v="64.599999999999994"/>
    <n v="14"/>
    <n v="4.6142857142857139"/>
    <m/>
    <s v=""/>
    <s v=""/>
    <s v=""/>
    <s v=""/>
    <s v=""/>
    <s v=""/>
    <s v=""/>
    <n v="1"/>
    <x v="0"/>
    <x v="4"/>
    <s v="Plastik Leak Project"/>
    <s v="CB (März 2020)"/>
    <s v="ja"/>
    <s v="ja"/>
    <m/>
    <m/>
    <m/>
    <s v="nein"/>
    <s v="ja"/>
    <m/>
    <m/>
  </r>
  <r>
    <s v="?"/>
    <s v="Pullulan"/>
    <s v="nein"/>
    <m/>
    <s v="no value"/>
    <s v="no value"/>
    <s v="no value"/>
    <s v="no value"/>
    <m/>
    <m/>
    <m/>
    <s v="nein"/>
    <s v="inoculum made of farmland soil and mineral salt solution"/>
    <s v="Labor"/>
    <s v="nein"/>
    <n v="30"/>
    <m/>
    <m/>
    <m/>
    <s v="aerob"/>
    <m/>
    <s v="CO2-Entwicklung"/>
    <m/>
    <n v="73.77"/>
    <n v="14"/>
    <n v="5.2692857142857141"/>
    <m/>
    <s v=""/>
    <s v=""/>
    <s v=""/>
    <s v=""/>
    <s v=""/>
    <s v=""/>
    <s v=""/>
    <n v="1"/>
    <x v="0"/>
    <x v="4"/>
    <s v="Plastik Leak Project"/>
    <s v="CB (März 2020)"/>
    <s v="ja"/>
    <s v="ja"/>
    <m/>
    <m/>
    <m/>
    <s v="nein"/>
    <s v="ja"/>
    <m/>
    <m/>
  </r>
  <r>
    <s v="?"/>
    <s v="Polyester"/>
    <m/>
    <m/>
    <s v="Strips"/>
    <n v="0.1"/>
    <n v="1.9634954084936209E-3"/>
    <m/>
    <m/>
    <m/>
    <s v="1% elute from soil"/>
    <s v="nein"/>
    <s v="mineral solution"/>
    <s v="Labor"/>
    <s v="nein"/>
    <n v="30"/>
    <m/>
    <m/>
    <m/>
    <s v="aerob"/>
    <m/>
    <m/>
    <m/>
    <m/>
    <n v="56"/>
    <n v="0"/>
    <m/>
    <n v="2"/>
    <s v=""/>
    <s v=""/>
    <s v=""/>
    <s v=""/>
    <s v=""/>
    <s v=""/>
    <n v="0"/>
    <x v="1"/>
    <x v="5"/>
    <s v="Chamas et al. 2020"/>
    <s v="CG (Mai 2020)"/>
    <m/>
    <m/>
    <m/>
    <m/>
    <m/>
    <s v="ja"/>
    <s v="ja"/>
    <m/>
    <m/>
  </r>
  <r>
    <s v="?"/>
    <s v="UF"/>
    <m/>
    <m/>
    <s v="Flakes"/>
    <s v="no value"/>
    <s v="no value"/>
    <m/>
    <s v="Makeup jar"/>
    <s v="previously buried in garden soil"/>
    <s v="bacteria were extracted by phosphate buffer from the garden soil and incubated for 48 h at 35°C on standard broth agar"/>
    <s v="ja"/>
    <s v="garden soil"/>
    <s v="Labor"/>
    <s v="nein"/>
    <m/>
    <m/>
    <m/>
    <m/>
    <m/>
    <m/>
    <s v="Sonstiges"/>
    <s v="keine before-and-after-tests; authors estimate that the period that these plastics were buried under soil is 32-37 years, because they were able to specify by chance the time when these plastics were discarded under soil"/>
    <m/>
    <m/>
    <e v="#DIV/0!"/>
    <m/>
    <n v="2"/>
    <s v=""/>
    <s v=""/>
    <s v=""/>
    <s v=""/>
    <s v=""/>
    <s v=""/>
    <n v="1"/>
    <x v="0"/>
    <x v="6"/>
    <s v="Chamas et al. 2020"/>
    <s v="CG (Mai 2020)"/>
    <m/>
    <m/>
    <m/>
    <m/>
    <m/>
    <s v="ja"/>
    <s v="ja"/>
    <m/>
    <m/>
  </r>
  <r>
    <s v="?"/>
    <s v="CA"/>
    <s v="nein"/>
    <m/>
    <s v="Strips"/>
    <s v="no value"/>
    <n v="2.5000000000000005E-3"/>
    <m/>
    <m/>
    <s v="keine"/>
    <m/>
    <s v="(ja)"/>
    <s v="A 300-ml Erlenmeyer flask was filled with 150 g of synthesized waste which contained equivalent weights of yard waste, kitchen garbage, paper waste, dry dog-food, dewatered sludge and soil (Ishigaki et al., in press) and compacted to a density of 430 g-wet waste l1."/>
    <s v="Labor"/>
    <s v="nein"/>
    <m/>
    <s v="&lt;6"/>
    <m/>
    <m/>
    <s v="anaerob"/>
    <m/>
    <s v="Gewichtsverlust"/>
    <m/>
    <n v="33"/>
    <n v="120"/>
    <n v="0.27500000000000002"/>
    <m/>
    <n v="2"/>
    <s v=""/>
    <s v=""/>
    <s v=""/>
    <s v=""/>
    <s v=""/>
    <s v=""/>
    <n v="1"/>
    <x v="0"/>
    <x v="7"/>
    <s v="Chamas et al. 2020"/>
    <s v="CG (Mai 2020)"/>
    <s v="ja"/>
    <s v="ja"/>
    <m/>
    <m/>
    <m/>
    <s v="ja"/>
    <s v="ja"/>
    <m/>
    <m/>
  </r>
  <r>
    <s v="?"/>
    <s v="CA"/>
    <s v="nein"/>
    <m/>
    <s v="Strips"/>
    <s v="no value"/>
    <n v="2.5000000000000005E-3"/>
    <m/>
    <m/>
    <s v="keine"/>
    <m/>
    <s v="(ja)"/>
    <s v="A 300-ml Erlenmeyer flask was filled with 150 g of synthesized waste which contained equivalent weights of yard waste, kitchen garbage, paper waste, dry dog-food, dewatered sludge and soil (Ishigaki et al., in press) and compacted to a density of 430 g-wet waste l1."/>
    <s v="Labor"/>
    <s v="nein"/>
    <m/>
    <s v="7-8"/>
    <m/>
    <m/>
    <s v="aerob"/>
    <m/>
    <s v="Gewichtsverlust"/>
    <m/>
    <n v="32"/>
    <n v="120"/>
    <n v="0.26666666666666666"/>
    <m/>
    <n v="2"/>
    <s v=""/>
    <s v=""/>
    <s v=""/>
    <s v=""/>
    <s v=""/>
    <s v=""/>
    <n v="1"/>
    <x v="0"/>
    <x v="7"/>
    <s v="Chamas et al. 2020"/>
    <s v="CG (Mai 2020)"/>
    <s v="ja"/>
    <s v="ja"/>
    <m/>
    <m/>
    <m/>
    <s v="ja"/>
    <s v="ja"/>
    <m/>
    <m/>
  </r>
  <r>
    <s v="BAK"/>
    <s v="Poly (ester amide), PEA"/>
    <s v="nein"/>
    <m/>
    <s v="no value"/>
    <s v="no value"/>
    <s v="no value"/>
    <s v="no value"/>
    <m/>
    <m/>
    <m/>
    <s v="nein"/>
    <s v="inoculum made of farmland soil and mineral salt solution"/>
    <s v="Labor"/>
    <s v="nein"/>
    <n v="30"/>
    <m/>
    <m/>
    <m/>
    <s v="aerob"/>
    <m/>
    <s v="CO2-Entwicklung"/>
    <m/>
    <n v="36.29"/>
    <n v="14"/>
    <n v="2.5921428571428571"/>
    <m/>
    <s v=""/>
    <s v=""/>
    <s v=""/>
    <s v=""/>
    <s v=""/>
    <s v=""/>
    <s v=""/>
    <n v="1"/>
    <x v="2"/>
    <x v="4"/>
    <s v="Plastik Leak Project"/>
    <s v="CB (März 2020)"/>
    <s v="ja"/>
    <s v="ja"/>
    <m/>
    <m/>
    <m/>
    <s v="nein"/>
    <s v="ja"/>
    <m/>
    <m/>
  </r>
  <r>
    <s v="Cellulose"/>
    <s v="Zellulose Pulver"/>
    <s v="nein"/>
    <m/>
    <s v="Powder"/>
    <s v="no value"/>
    <s v="no value"/>
    <s v="no value"/>
    <s v="Avicell microcellulose powder"/>
    <m/>
    <m/>
    <s v="(ja)"/>
    <s v="Meerwasser (Labor)"/>
    <s v="Meerwasser"/>
    <s v="ja"/>
    <m/>
    <m/>
    <m/>
    <m/>
    <m/>
    <m/>
    <s v="CO2-Entwicklung"/>
    <m/>
    <n v="33.31"/>
    <n v="180"/>
    <n v="0.18505555555555556"/>
    <m/>
    <n v="6"/>
    <s v=""/>
    <s v=""/>
    <s v=""/>
    <s v=""/>
    <s v=""/>
    <s v=""/>
    <n v="1"/>
    <x v="3"/>
    <x v="8"/>
    <s v="Emadian 2017"/>
    <m/>
    <s v="ja "/>
    <s v="ja "/>
    <m/>
    <m/>
    <m/>
    <s v="nein"/>
    <s v="ja"/>
    <m/>
    <m/>
  </r>
  <r>
    <s v="Cellulose"/>
    <s v="CA (aus Baumwollstoff)"/>
    <s v="nein"/>
    <m/>
    <s v="no value"/>
    <s v="no value"/>
    <s v="no value"/>
    <s v="5g/sample"/>
    <m/>
    <s v="Samples (5 g) were vacuum dried for 24 h at 45 C, weighed and buried into the municipal solid waste mixture."/>
    <m/>
    <s v="(ja)"/>
    <s v="kommunale Mischabfälle"/>
    <s v="Boden/Kompost"/>
    <s v="ja"/>
    <n v="55"/>
    <m/>
    <m/>
    <m/>
    <m/>
    <m/>
    <s v="Gewichtsverlust"/>
    <m/>
    <n v="35"/>
    <n v="14"/>
    <n v="2.5"/>
    <m/>
    <s v=""/>
    <s v=""/>
    <s v=""/>
    <s v=""/>
    <s v=""/>
    <s v=""/>
    <s v=""/>
    <n v="1"/>
    <x v="2"/>
    <x v="9"/>
    <s v="Emadian 2017"/>
    <m/>
    <s v="ja "/>
    <s v="ja "/>
    <m/>
    <m/>
    <m/>
    <s v="nein"/>
    <s v="ja"/>
    <m/>
    <s v="welche Quelle genau? 2015 oder 2018? War referenced in Emadian 2017"/>
  </r>
  <r>
    <s v="Cellulose"/>
    <s v="CA (aus Flachsfaser)"/>
    <s v="nein"/>
    <m/>
    <s v="Faser"/>
    <s v="no value"/>
    <s v="no value"/>
    <s v="5g/sample"/>
    <m/>
    <s v="Samples (5 g) were vacuum dried for 24 h at 45 C, weighed and buried into the municipal solid waste mixture."/>
    <m/>
    <s v="(ja)"/>
    <s v="kommunale Mischabfälle"/>
    <s v="Boden/Kompost"/>
    <s v="ja"/>
    <n v="55"/>
    <m/>
    <m/>
    <m/>
    <m/>
    <m/>
    <s v="Gewichtsverlust"/>
    <m/>
    <n v="44"/>
    <n v="14"/>
    <n v="3.1428571428571428"/>
    <m/>
    <n v="4"/>
    <s v=""/>
    <s v=""/>
    <s v=""/>
    <s v=""/>
    <s v=""/>
    <s v=""/>
    <n v="1"/>
    <x v="3"/>
    <x v="9"/>
    <s v="Emadian 2017"/>
    <m/>
    <s v="ja "/>
    <s v="ja "/>
    <m/>
    <m/>
    <m/>
    <s v="nein"/>
    <s v="ja"/>
    <m/>
    <s v="welche Quelle genau? 2015 oder 2018? War referenced in Emadian 2017"/>
  </r>
  <r>
    <s v="Cellulose"/>
    <s v="Schwammfaser (Cellulose-basiert)"/>
    <s v="nein"/>
    <m/>
    <s v="Strips"/>
    <s v="no value"/>
    <n v="6.2500000000000012E-4"/>
    <n v="2.56"/>
    <s v="100% biodegradable sponge cloths obtained from chain stores in the Czech Republic"/>
    <m/>
    <m/>
    <s v="nein"/>
    <s v="synthetisches Material mit Kompost"/>
    <s v="Boden/Kompost"/>
    <s v="ja"/>
    <n v="58"/>
    <m/>
    <m/>
    <m/>
    <s v="aerob"/>
    <m/>
    <s v="Gewichtsverlust"/>
    <m/>
    <s v="&gt;80"/>
    <n v="154"/>
    <n v="0.51948051948051943"/>
    <m/>
    <n v="2"/>
    <s v=""/>
    <s v=""/>
    <s v=""/>
    <s v=""/>
    <s v=""/>
    <s v=""/>
    <n v="1"/>
    <x v="3"/>
    <x v="10"/>
    <s v="Emadian 2017"/>
    <m/>
    <s v="ja "/>
    <s v="ja "/>
    <m/>
    <m/>
    <m/>
    <s v="nein"/>
    <s v="ja"/>
    <m/>
    <m/>
  </r>
  <r>
    <s v="Cellulose"/>
    <s v="Zellulose"/>
    <s v="ja"/>
    <s v="Mikroorganismen"/>
    <s v="Strips"/>
    <n v="0.02"/>
    <n v="4.0000000000000002E-4"/>
    <s v="no value"/>
    <m/>
    <m/>
    <s v="Bakterien aus kommunaler Abwasseraufbereitungsanlage"/>
    <s v="nein"/>
    <s v="Wasser (Labor)"/>
    <s v="Wasser"/>
    <s v="ja"/>
    <n v="30"/>
    <m/>
    <m/>
    <m/>
    <s v="aerob"/>
    <m/>
    <s v="biochemical oxygen demand (BOD)"/>
    <m/>
    <n v="17.3"/>
    <n v="28"/>
    <n v="0.61785714285714288"/>
    <m/>
    <n v="2"/>
    <s v=""/>
    <s v=""/>
    <s v=""/>
    <s v=""/>
    <s v=""/>
    <s v=""/>
    <n v="1"/>
    <x v="4"/>
    <x v="11"/>
    <s v="Emadian 2017"/>
    <s v="CB (März 2020)"/>
    <s v="ja"/>
    <s v="ja"/>
    <m/>
    <m/>
    <m/>
    <s v="nein"/>
    <s v="ja"/>
    <m/>
    <m/>
  </r>
  <r>
    <s v="Cellulose"/>
    <s v="Zellulose"/>
    <s v="ja"/>
    <s v="Mikroorganismen"/>
    <s v="Strips"/>
    <n v="0.02"/>
    <n v="4.0000000000000002E-4"/>
    <s v="no value"/>
    <m/>
    <m/>
    <s v="Bakterien aus kommunaler Abwasseraufbereitungsanlage"/>
    <s v="nein"/>
    <s v="Wasser (Labor)"/>
    <s v="Wasser"/>
    <s v="ja"/>
    <n v="30"/>
    <m/>
    <m/>
    <m/>
    <s v="aerob"/>
    <m/>
    <s v="Gewichtsverlust"/>
    <m/>
    <n v="0"/>
    <n v="28"/>
    <n v="0"/>
    <m/>
    <n v="2"/>
    <s v=""/>
    <s v=""/>
    <s v=""/>
    <s v=""/>
    <s v=""/>
    <s v=""/>
    <n v="1"/>
    <x v="4"/>
    <x v="11"/>
    <s v="Emadian 2017"/>
    <s v="CB (März 2020)"/>
    <s v="ja "/>
    <s v="ja "/>
    <m/>
    <m/>
    <m/>
    <s v="nein"/>
    <s v="ja"/>
    <m/>
    <m/>
  </r>
  <r>
    <s v="Cellulose"/>
    <s v="Zellulose"/>
    <s v="ja"/>
    <s v="Mikroorganismen"/>
    <s v="Strips"/>
    <n v="0.02"/>
    <n v="4.0000000000000002E-4"/>
    <s v="no value"/>
    <m/>
    <m/>
    <s v="Bakterien aus kommunaler Abwasseraufbereitungsanlage"/>
    <s v="nein"/>
    <s v="Wasser (Labor)"/>
    <s v="Wasser"/>
    <s v="ja"/>
    <n v="30"/>
    <m/>
    <m/>
    <m/>
    <s v="anaerob"/>
    <m/>
    <s v="Gewichtsverlust"/>
    <m/>
    <n v="100"/>
    <n v="28"/>
    <n v="3.5714285714285716"/>
    <m/>
    <n v="2"/>
    <s v=""/>
    <s v=""/>
    <s v=""/>
    <s v=""/>
    <s v=""/>
    <s v=""/>
    <n v="1"/>
    <x v="4"/>
    <x v="11"/>
    <s v="Emadian 2017"/>
    <s v="CB (März 2020)"/>
    <s v="ja "/>
    <s v="ja "/>
    <m/>
    <m/>
    <m/>
    <s v="nein"/>
    <s v="ja"/>
    <m/>
    <m/>
  </r>
  <r>
    <s v="Cellulose"/>
    <s v="Cellulose"/>
    <s v="nein"/>
    <m/>
    <s v="no value"/>
    <s v="no value"/>
    <s v="no value"/>
    <s v="no value"/>
    <m/>
    <m/>
    <m/>
    <s v="nein"/>
    <s v="inoculum made of farmland soil and mineral salt solution"/>
    <s v="Labor"/>
    <s v="nein"/>
    <n v="30"/>
    <m/>
    <m/>
    <m/>
    <s v="aerob"/>
    <m/>
    <s v="CO2-Entwicklung"/>
    <m/>
    <n v="25"/>
    <n v="14"/>
    <n v="1.7857142857142858"/>
    <m/>
    <s v=""/>
    <s v=""/>
    <s v=""/>
    <s v=""/>
    <s v=""/>
    <s v=""/>
    <s v=""/>
    <n v="1"/>
    <x v="2"/>
    <x v="4"/>
    <s v="Plastik Leak Project"/>
    <s v="CB (März 2020)"/>
    <s v="ja"/>
    <s v="ja"/>
    <m/>
    <m/>
    <m/>
    <s v="nein"/>
    <s v="ja"/>
    <m/>
    <m/>
  </r>
  <r>
    <s v="HDPE"/>
    <s v="HDPE"/>
    <s v="ja"/>
    <s v="Mikroorganismen"/>
    <s v="Film"/>
    <s v="no value"/>
    <s v="no value"/>
    <n v="0.94950000000000001"/>
    <s v="commercially available HDPE with additives"/>
    <m/>
    <s v="Arthrobacter sp."/>
    <s v="nein"/>
    <s v="Kolben mit Öl als Nährmedium"/>
    <s v="Labor"/>
    <s v="nein"/>
    <n v="30"/>
    <m/>
    <m/>
    <m/>
    <m/>
    <m/>
    <s v="Gewichtsverlust"/>
    <m/>
    <n v="12"/>
    <n v="30"/>
    <n v="0.4"/>
    <m/>
    <n v="2"/>
    <s v=""/>
    <s v=""/>
    <s v=""/>
    <s v=""/>
    <s v=""/>
    <s v=""/>
    <n v="1"/>
    <x v="3"/>
    <x v="12"/>
    <m/>
    <m/>
    <s v="ja"/>
    <s v="ja"/>
    <m/>
    <m/>
    <m/>
    <s v="nein"/>
    <s v="ja"/>
    <m/>
    <s v="Dichte aus anderem Paper übernommen"/>
  </r>
  <r>
    <s v="HDPE"/>
    <s v="HDPE"/>
    <s v="ja"/>
    <s v="Mikroorganismen"/>
    <s v="Film"/>
    <s v="no value"/>
    <s v="no value"/>
    <n v="0.94950000000000001"/>
    <m/>
    <m/>
    <s v="Pseudomonas sp."/>
    <s v="nein"/>
    <s v="Kolben mit Öl als Nährmedium"/>
    <s v="Labor"/>
    <s v="nein"/>
    <n v="30"/>
    <m/>
    <m/>
    <m/>
    <m/>
    <m/>
    <s v="Gewichtsverlust"/>
    <m/>
    <n v="15"/>
    <n v="30"/>
    <n v="0.5"/>
    <m/>
    <n v="2"/>
    <s v=""/>
    <s v=""/>
    <s v=""/>
    <s v=""/>
    <s v=""/>
    <s v=""/>
    <n v="1"/>
    <x v="3"/>
    <x v="12"/>
    <m/>
    <m/>
    <s v="ja"/>
    <s v="ja"/>
    <m/>
    <m/>
    <m/>
    <s v="nein"/>
    <s v="ja"/>
    <m/>
    <s v="Dichte aus anderem Paper übernommen"/>
  </r>
  <r>
    <s v="HDPE"/>
    <s v="HDPE"/>
    <s v="ja"/>
    <s v="Vorbehandlung"/>
    <s v="Strips"/>
    <n v="0.03"/>
    <n v="3.8709600000000001E-3"/>
    <n v="0.94950000000000001"/>
    <s v="Plastic bag"/>
    <s v="70 Grad, 20 d"/>
    <m/>
    <s v="nein"/>
    <s v="Boden (Labor, Bakterienimpfung)"/>
    <s v="Boden/Kompost"/>
    <s v="ja"/>
    <m/>
    <m/>
    <m/>
    <s v="38-70"/>
    <m/>
    <m/>
    <s v="Gewichtsverlust"/>
    <m/>
    <n v="2"/>
    <n v="1095"/>
    <n v="1.8264840182648401E-3"/>
    <m/>
    <n v="2"/>
    <s v=""/>
    <s v=""/>
    <s v=""/>
    <s v=""/>
    <s v=""/>
    <s v=""/>
    <n v="1"/>
    <x v="4"/>
    <x v="13"/>
    <m/>
    <m/>
    <s v="ja "/>
    <s v="ja "/>
    <m/>
    <s v="ja"/>
    <m/>
    <s v="nein"/>
    <s v="ja"/>
    <m/>
    <s v="Dichte aus anderem Paper übernommen"/>
  </r>
  <r>
    <s v="HDPE"/>
    <s v="HDPE"/>
    <s v="nein"/>
    <m/>
    <s v="Pellets"/>
    <s v="no value"/>
    <s v="no value"/>
    <n v="0.94950000000000001"/>
    <s v="negative test material"/>
    <m/>
    <s v="Mikroorganismen aus municipal solid waste"/>
    <s v="(ja)"/>
    <s v="Boden (Municipal Solid Waste)"/>
    <s v="Boden/Kompost"/>
    <s v="ja"/>
    <s v="28-32"/>
    <m/>
    <m/>
    <s v="40-60"/>
    <m/>
    <m/>
    <s v="Gewichtsverlust"/>
    <m/>
    <n v="0"/>
    <n v="80"/>
    <n v="0"/>
    <m/>
    <n v="6"/>
    <s v=""/>
    <s v=""/>
    <s v=""/>
    <s v=""/>
    <s v=""/>
    <s v=""/>
    <n v="1"/>
    <x v="3"/>
    <x v="14"/>
    <m/>
    <m/>
    <s v="ja"/>
    <s v="ja"/>
    <m/>
    <m/>
    <m/>
    <s v="nein"/>
    <s v="ja"/>
    <m/>
    <s v="Dichte aus anderem Paper übernommen"/>
  </r>
  <r>
    <s v="HDPE"/>
    <s v="HDPE"/>
    <s v="ja"/>
    <s v="Mikroorganismen"/>
    <s v="Strips"/>
    <n v="2.5000000000000001E-2"/>
    <n v="5.0000000000000001E-4"/>
    <n v="0.94950000000000001"/>
    <s v="Plastic strips (5 × 1 cm, HDPE thickness 25 μm) were obtained from Sarvodaya Polymers, one of the chief plastic manufacturers in Bengaluru, India."/>
    <s v="keine"/>
    <s v="bacteria extracted from the dung of cows that fed around plastic dump sites"/>
    <s v="nein"/>
    <s v="minimum growth medium"/>
    <s v="Labor"/>
    <s v="nein"/>
    <n v="55"/>
    <m/>
    <m/>
    <m/>
    <m/>
    <m/>
    <s v="Gewichtsverlust"/>
    <m/>
    <n v="60"/>
    <n v="120"/>
    <n v="0.5"/>
    <m/>
    <n v="2"/>
    <s v=""/>
    <s v=""/>
    <s v=""/>
    <s v=""/>
    <s v=""/>
    <s v=""/>
    <n v="1"/>
    <x v="4"/>
    <x v="15"/>
    <s v="Raddadi &amp; Fava (2019)"/>
    <s v="CG (Mai 2020)"/>
    <s v="ja"/>
    <s v="ja"/>
    <m/>
    <m/>
    <m/>
    <m/>
    <s v="ja"/>
    <m/>
    <s v="Dichte aus anderem Paper übernommen"/>
  </r>
  <r>
    <s v="HDPE"/>
    <s v="HDPE"/>
    <s v="nein"/>
    <m/>
    <s v="Strips"/>
    <n v="0.02"/>
    <n v="3.7500000000000001E-4"/>
    <n v="0.94950000000000001"/>
    <s v="high-density polyethylene (HDPE) carrier bag"/>
    <m/>
    <m/>
    <s v="ja"/>
    <s v="soil (buried to a depth of approximately 0.25 m)"/>
    <s v="Boden/Kompost"/>
    <s v="ja"/>
    <m/>
    <m/>
    <m/>
    <m/>
    <m/>
    <m/>
    <s v="Sonstiges"/>
    <s v="tensile strength"/>
    <n v="33.6"/>
    <n v="810"/>
    <n v="4.148148148148148E-2"/>
    <m/>
    <n v="2"/>
    <s v=""/>
    <s v=""/>
    <s v=""/>
    <s v=""/>
    <s v=""/>
    <s v=""/>
    <n v="1"/>
    <x v="5"/>
    <x v="16"/>
    <s v="Plastic Leak Project"/>
    <s v="CB (März 2020)"/>
    <s v="ja"/>
    <s v="ja"/>
    <m/>
    <m/>
    <m/>
    <s v="nein"/>
    <s v="ja"/>
    <m/>
    <s v="Dichte aus anderem Paper übernommen"/>
  </r>
  <r>
    <s v="HDPE"/>
    <s v="HDPE"/>
    <s v="nein"/>
    <m/>
    <s v="Strips"/>
    <n v="0.02"/>
    <n v="3.7500000000000001E-4"/>
    <n v="0.94950000000000001"/>
    <s v="high-density polyethylene (HDPE) carrier bag"/>
    <m/>
    <m/>
    <s v="ja"/>
    <s v="open air"/>
    <s v="Luft"/>
    <s v="nein"/>
    <s v="1,5-21,9"/>
    <m/>
    <m/>
    <m/>
    <m/>
    <m/>
    <s v="Sonstiges"/>
    <s v="tensile strength"/>
    <n v="100"/>
    <n v="810"/>
    <n v="0.12345679012345678"/>
    <m/>
    <n v="2"/>
    <s v=""/>
    <s v=""/>
    <s v=""/>
    <s v=""/>
    <s v=""/>
    <s v=""/>
    <n v="1"/>
    <x v="5"/>
    <x v="16"/>
    <s v="Plastic Leak Project"/>
    <s v="CB (März 2020)"/>
    <s v="ja"/>
    <s v="ja"/>
    <m/>
    <m/>
    <m/>
    <s v="nein"/>
    <s v="ja"/>
    <m/>
    <s v="Dichte aus anderem Paper übernommen"/>
  </r>
  <r>
    <s v="HDPE"/>
    <s v="HDPE"/>
    <s v="nein"/>
    <m/>
    <s v="Strips"/>
    <n v="0.02"/>
    <n v="3.7500000000000001E-4"/>
    <n v="0.94950000000000001"/>
    <s v="high-density polyethylene (HDPE) carrier bag"/>
    <m/>
    <m/>
    <s v="ja"/>
    <s v="marine environment (submerged on a beam at a depth of approximately 1 m)"/>
    <s v="Meerwasser"/>
    <s v="ja"/>
    <s v="8,8-18,12"/>
    <m/>
    <m/>
    <m/>
    <m/>
    <m/>
    <s v="Sonstiges"/>
    <s v="tensile strength"/>
    <n v="13.53"/>
    <n v="810"/>
    <n v="1.6703703703703703E-2"/>
    <m/>
    <n v="2"/>
    <s v=""/>
    <s v=""/>
    <s v=""/>
    <s v=""/>
    <s v=""/>
    <s v=""/>
    <n v="1"/>
    <x v="5"/>
    <x v="16"/>
    <s v="Plastic Leak Project"/>
    <s v="CB (März 2020)"/>
    <s v="ja"/>
    <s v="ja"/>
    <m/>
    <m/>
    <m/>
    <s v="nein"/>
    <s v="ja"/>
    <m/>
    <s v="Dichte aus anderem Paper übernommen"/>
  </r>
  <r>
    <s v="HDPE"/>
    <s v="HDPE"/>
    <s v="nein"/>
    <m/>
    <s v="Strips"/>
    <n v="0.02"/>
    <n v="3.7500000000000001E-4"/>
    <n v="0.94950000000000001"/>
    <s v="high-density polyethylene (HDPE) carrier bag"/>
    <m/>
    <m/>
    <s v="nein"/>
    <s v="Labor (blacked-out box)"/>
    <s v="Labor"/>
    <s v="nein"/>
    <n v="21"/>
    <m/>
    <m/>
    <m/>
    <m/>
    <m/>
    <s v="Sonstiges"/>
    <s v="tensile strength"/>
    <n v="16.78"/>
    <n v="810"/>
    <n v="2.071604938271605E-2"/>
    <m/>
    <n v="2"/>
    <s v=""/>
    <s v=""/>
    <s v=""/>
    <s v=""/>
    <s v=""/>
    <s v=""/>
    <n v="1"/>
    <x v="5"/>
    <x v="16"/>
    <s v="Plastic Leak Project"/>
    <s v="CB (März 2020)"/>
    <s v="ja"/>
    <s v="ja"/>
    <m/>
    <m/>
    <m/>
    <s v="nein"/>
    <s v="ja"/>
    <m/>
    <s v="Dichte aus anderem Paper übernommen"/>
  </r>
  <r>
    <s v="HDPE"/>
    <s v="HDPE"/>
    <s v="ja"/>
    <s v="Mikroorganismen"/>
    <s v="Pellets"/>
    <n v="2.5"/>
    <s v="no value"/>
    <n v="0.94950000000000001"/>
    <s v="pellets (diameter 2.5 mm) were obtained from Sarvodaya Polymers, one of the chief plastic manufacturers in Bengaluru, India."/>
    <s v="keine"/>
    <s v="bacteria extracted from the dung of cows that fed around plastic dump sites"/>
    <s v="nein"/>
    <s v="minimum growth medium"/>
    <s v="Labor"/>
    <s v="nein"/>
    <n v="55"/>
    <m/>
    <m/>
    <m/>
    <m/>
    <m/>
    <s v="Gewichtsverlust"/>
    <m/>
    <n v="43"/>
    <n v="120"/>
    <n v="0.35833333333333334"/>
    <m/>
    <n v="6"/>
    <s v=""/>
    <s v=""/>
    <s v=""/>
    <s v=""/>
    <s v=""/>
    <s v=""/>
    <n v="1"/>
    <x v="4"/>
    <x v="15"/>
    <s v="Raddadi &amp; Fava (2019)"/>
    <s v="CG (Mai 2020)"/>
    <s v="ja"/>
    <s v="ja"/>
    <m/>
    <m/>
    <m/>
    <m/>
    <s v="ja"/>
    <m/>
    <s v="Dichte aus anderem Paper übernommen"/>
  </r>
  <r>
    <s v="HDPE"/>
    <s v="HDPE"/>
    <s v="ja"/>
    <s v="Mikroorganismen"/>
    <s v="Strips"/>
    <n v="0.15"/>
    <n v="5.0000000000000001E-4"/>
    <n v="0.94950000000000001"/>
    <s v="plastic strips (5×1 cm, thickness: 0.15 mm)"/>
    <s v="keine"/>
    <s v="bacteria extracted from the dung of cows that fed around plastic dump sites"/>
    <s v="nein"/>
    <s v="minimal media"/>
    <s v="Labor"/>
    <s v="nein"/>
    <n v="50"/>
    <m/>
    <m/>
    <m/>
    <m/>
    <m/>
    <s v="Gewichtsverlust"/>
    <m/>
    <n v="46.6"/>
    <n v="140"/>
    <n v="0.33285714285714285"/>
    <m/>
    <n v="2"/>
    <s v=""/>
    <s v=""/>
    <s v=""/>
    <s v=""/>
    <s v=""/>
    <s v=""/>
    <n v="1"/>
    <x v="4"/>
    <x v="17"/>
    <s v="Raddadi &amp; Fava (2019)"/>
    <s v="CG (Mai 2020)"/>
    <s v="ja"/>
    <s v="ja"/>
    <m/>
    <m/>
    <m/>
    <m/>
    <s v="ja"/>
    <m/>
    <s v="Dichte aus anderem Paper übernommen"/>
  </r>
  <r>
    <s v="HDPE"/>
    <s v="HDPE"/>
    <s v="ja"/>
    <s v="Mikroorganismen"/>
    <s v="Pellets"/>
    <n v="2.5"/>
    <s v="refer to thickness"/>
    <n v="0.94950000000000001"/>
    <s v="pellets (shape: round, size: 2.5mm diameter) of PE and PP"/>
    <s v="keine"/>
    <s v="bacteria extracted from the dung of cows that fed around plastic dump sites"/>
    <s v="nein"/>
    <s v="minimal media"/>
    <s v="Labor"/>
    <s v="nein"/>
    <n v="50"/>
    <m/>
    <m/>
    <m/>
    <m/>
    <m/>
    <s v="Gewichtsverlust"/>
    <m/>
    <n v="37.200000000000003"/>
    <n v="140"/>
    <n v="0.26571428571428574"/>
    <m/>
    <n v="6"/>
    <s v=""/>
    <s v=""/>
    <s v=""/>
    <s v=""/>
    <s v=""/>
    <s v=""/>
    <n v="1"/>
    <x v="4"/>
    <x v="17"/>
    <s v="Raddadi &amp; Fava (2019)"/>
    <s v="CG (Mai 2020)"/>
    <s v="ja"/>
    <s v="ja"/>
    <m/>
    <m/>
    <m/>
    <m/>
    <s v="ja"/>
    <m/>
    <s v="Dichte aus anderem Paper übernommen"/>
  </r>
  <r>
    <s v="HDPE"/>
    <s v="HDPE"/>
    <s v="ja"/>
    <s v="Mikroorganismen"/>
    <s v="no value"/>
    <s v="no value"/>
    <m/>
    <s v="--"/>
    <m/>
    <m/>
    <s v="Bacillus spp. and Pseudomonas spp. "/>
    <m/>
    <m/>
    <m/>
    <s v="nein"/>
    <m/>
    <m/>
    <m/>
    <m/>
    <m/>
    <m/>
    <m/>
    <m/>
    <m/>
    <m/>
    <e v="#DIV/0!"/>
    <m/>
    <s v=""/>
    <s v=""/>
    <s v=""/>
    <s v=""/>
    <s v=""/>
    <s v=""/>
    <s v=""/>
    <n v="0"/>
    <x v="1"/>
    <x v="18"/>
    <s v="Raddadi &amp; Fava (2019)"/>
    <s v="CG (Mai 2020)"/>
    <s v="ja"/>
    <s v="nein"/>
    <m/>
    <m/>
    <m/>
    <m/>
    <s v="nicht vorgesehen"/>
    <s v="https://www.sciencedirect.com/science/article/abs/pii/S0025326X1830852X"/>
    <s v="Experimente mit Mikroorganismen im Labor (weder Boden noch Wasser)"/>
  </r>
  <r>
    <s v="Cellulose"/>
    <s v="Cellulose"/>
    <s v="nein"/>
    <m/>
    <s v="Strips"/>
    <n v="0.02"/>
    <m/>
    <s v="no value"/>
    <m/>
    <m/>
    <s v="keine"/>
    <s v="(ja)"/>
    <s v="Boden/Kompost (90/10%)"/>
    <s v="Boden/Kompost"/>
    <s v="ja"/>
    <n v="25"/>
    <m/>
    <n v="65"/>
    <m/>
    <m/>
    <m/>
    <s v="CO2-Entwicklung"/>
    <m/>
    <n v="50"/>
    <n v="72.8"/>
    <n v="0.68681318681318682"/>
    <m/>
    <n v="2"/>
    <n v="100000"/>
    <s v=""/>
    <n v="25.068681318681321"/>
    <n v="1"/>
    <n v="25.068681318681321"/>
    <s v="Cellulose_Boden/Kompost_natürlich"/>
    <n v="1"/>
    <x v="6"/>
    <x v="19"/>
    <m/>
    <m/>
    <m/>
    <m/>
    <m/>
    <m/>
    <m/>
    <m/>
    <m/>
    <m/>
    <m/>
  </r>
  <r>
    <s v="HDPE"/>
    <s v="HDPE"/>
    <s v="ja"/>
    <s v="Mikroorganismen"/>
    <s v="Strips"/>
    <n v="9.8100000000000007E-2"/>
    <n v="2E-3"/>
    <n v="0.94950000000000001"/>
    <m/>
    <s v="keine"/>
    <s v="marine bacterial culture of B. sphericus GC subgroup IV (Alt) and B. cereus subgroup A (BF20)"/>
    <s v="(ja)"/>
    <s v="Meerwasser (ohne Nährstoffe)"/>
    <s v="Meerwasser"/>
    <s v="ja"/>
    <n v="30"/>
    <n v="8"/>
    <m/>
    <m/>
    <m/>
    <s v="shaking (1980 rpm)"/>
    <s v="Gewichtsverlust"/>
    <m/>
    <n v="3.5"/>
    <n v="365"/>
    <n v="1.0958904109589041E-2"/>
    <m/>
    <n v="2"/>
    <s v=""/>
    <s v=""/>
    <s v=""/>
    <s v=""/>
    <s v=""/>
    <s v=""/>
    <n v="1"/>
    <x v="4"/>
    <x v="20"/>
    <s v="Chamas et al. 2020"/>
    <m/>
    <s v="ja "/>
    <s v="ja "/>
    <m/>
    <s v="ja"/>
    <m/>
    <s v="ja"/>
    <s v="ja"/>
    <m/>
    <s v="Dichte aus anderem Paper übernommen"/>
  </r>
  <r>
    <s v="HDPE"/>
    <s v="HDPE"/>
    <s v="ja"/>
    <s v="Vorbehandlung"/>
    <s v="Strips"/>
    <n v="9.8100000000000007E-2"/>
    <n v="2E-3"/>
    <n v="0.94950000000000001"/>
    <m/>
    <s v="Thermal treatment  at 80°C for 10 days in a hot air oven"/>
    <m/>
    <s v="(ja)"/>
    <s v="Meerwasser (ohne Nährstoffe)"/>
    <s v="Meerwasser"/>
    <s v="ja"/>
    <n v="30"/>
    <n v="7.5"/>
    <m/>
    <m/>
    <m/>
    <s v="shaking (1980 rpm)"/>
    <s v="Gewichtsverlust"/>
    <m/>
    <n v="9"/>
    <n v="365"/>
    <n v="2.4657534246575342E-2"/>
    <m/>
    <n v="2"/>
    <s v=""/>
    <s v=""/>
    <s v=""/>
    <s v=""/>
    <s v=""/>
    <s v=""/>
    <n v="1"/>
    <x v="4"/>
    <x v="21"/>
    <s v="Chamas et al. 2020"/>
    <m/>
    <s v="ja"/>
    <s v="ja"/>
    <m/>
    <s v="ja"/>
    <m/>
    <s v="ja"/>
    <s v="ja"/>
    <m/>
    <s v="Dichte aus anderem Paper übernommen"/>
  </r>
  <r>
    <s v="HDPE+"/>
    <s v="HDPE (+3%TDPATM)"/>
    <s v="ja"/>
    <s v="Zusätze"/>
    <s v="Strips"/>
    <n v="0.02"/>
    <n v="3.8734999999999998E-3"/>
    <n v="0.94950000000000001"/>
    <s v="Mc Donald's Bag (Malyasia)"/>
    <s v="pre-exposed to environmental condition_x000a_"/>
    <m/>
    <s v="(ja)"/>
    <s v="Simulated Municipal Solid Waste (MSW) Aerobic Compost Environment"/>
    <s v="Boden/Kompost"/>
    <s v="ja"/>
    <n v="60"/>
    <m/>
    <m/>
    <m/>
    <s v="aerob"/>
    <m/>
    <s v="Gewichtsverlust"/>
    <m/>
    <n v="1.5"/>
    <n v="60"/>
    <n v="2.5000000000000001E-2"/>
    <m/>
    <n v="2"/>
    <s v=""/>
    <s v=""/>
    <s v=""/>
    <s v=""/>
    <s v=""/>
    <s v=""/>
    <n v="1"/>
    <x v="4"/>
    <x v="22"/>
    <s v="Chamas et al. 2020"/>
    <s v="sflo (4.12.19)"/>
    <s v="ja"/>
    <s v="ja"/>
    <m/>
    <m/>
    <m/>
    <s v="ja"/>
    <s v="ja"/>
    <m/>
    <s v="Dichte aus anderem Paper übernommen (Achtung: additives wurden bei der Dichte außer Acht gelassen)"/>
  </r>
  <r>
    <s v="HDPE+"/>
    <s v="HDPE (+3%TDPATM)"/>
    <s v="ja"/>
    <s v="Zusätze"/>
    <s v="Strips"/>
    <n v="0.02"/>
    <n v="3.8734999999999998E-3"/>
    <n v="0.94950000000000001"/>
    <s v="Garbage Bag  (Hong Kong)"/>
    <s v="pre-exposed to environmental condition_x000a_"/>
    <m/>
    <s v="(ja)"/>
    <s v="Simulated Municipal Solid Waste (MSW) Aerobic Compost Environment"/>
    <s v="Boden/Kompost"/>
    <s v="ja"/>
    <n v="60"/>
    <m/>
    <m/>
    <m/>
    <s v="aerob"/>
    <m/>
    <s v="Gewichtsverlust"/>
    <m/>
    <n v="1.8"/>
    <n v="60"/>
    <n v="3.0000000000000002E-2"/>
    <m/>
    <n v="2"/>
    <s v=""/>
    <s v=""/>
    <s v=""/>
    <s v=""/>
    <s v=""/>
    <s v=""/>
    <n v="1"/>
    <x v="4"/>
    <x v="22"/>
    <s v="Chamas et al. 2020"/>
    <s v="sflo (4.12.19)"/>
    <s v="ja"/>
    <s v="ja"/>
    <m/>
    <m/>
    <m/>
    <s v="ja"/>
    <s v="ja"/>
    <m/>
    <s v="Dichte aus anderem Paper übernommen (Achtung: additives wurden bei der Dichte außer Acht gelassen)"/>
  </r>
  <r>
    <s v="LDPE"/>
    <s v="LDPE"/>
    <s v="ja"/>
    <s v="Mikroorganismen"/>
    <s v="Strips"/>
    <n v="0.02"/>
    <s v="no value"/>
    <n v="0.92649999999999999"/>
    <s v="20-µm-thick bags from Vellore market"/>
    <s v="sterilized with 70 % ethanol"/>
    <s v="microorganisms isolated from landfill soil"/>
    <s v="nein"/>
    <s v="Laboratory"/>
    <s v="Labor"/>
    <s v="nein"/>
    <s v="25-30"/>
    <m/>
    <m/>
    <m/>
    <m/>
    <m/>
    <s v="Gewichtsverlust"/>
    <m/>
    <n v="45"/>
    <n v="90"/>
    <n v="0.5"/>
    <m/>
    <n v="2"/>
    <s v=""/>
    <s v=""/>
    <s v=""/>
    <s v=""/>
    <s v=""/>
    <s v=""/>
    <n v="1"/>
    <x v="4"/>
    <x v="23"/>
    <s v="Plastik Leak Project"/>
    <s v="CB (März 2020)"/>
    <s v="ja"/>
    <s v="ja"/>
    <m/>
    <m/>
    <m/>
    <s v="nein"/>
    <s v="ja"/>
    <m/>
    <s v="Dichte aus anderem Paper übernommen"/>
  </r>
  <r>
    <s v="LDPE"/>
    <s v="LDPE"/>
    <s v="ja"/>
    <s v="Mikroorganismen"/>
    <s v="Strips"/>
    <n v="0.02"/>
    <s v="no value"/>
    <n v="0.92649999999999999"/>
    <s v="20-µm-thick bags from Vellore market"/>
    <s v="sterilized with 70 % ethanol"/>
    <s v="microorganisms isolated from landfill soil"/>
    <s v="nein"/>
    <s v="Laboratory"/>
    <s v="Labor"/>
    <s v="nein"/>
    <s v="25-30"/>
    <m/>
    <m/>
    <m/>
    <m/>
    <m/>
    <s v="CO2-Entwicklung"/>
    <m/>
    <s v="2,32 g CO2 pro l"/>
    <n v="28"/>
    <s v="XXX"/>
    <m/>
    <n v="2"/>
    <s v=""/>
    <s v=""/>
    <s v=""/>
    <s v=""/>
    <s v=""/>
    <s v=""/>
    <n v="1"/>
    <x v="4"/>
    <x v="23"/>
    <s v="Plastik Leak Project"/>
    <s v="CB (März 2020)"/>
    <s v="ja"/>
    <s v="ja"/>
    <m/>
    <m/>
    <m/>
    <s v="nein"/>
    <s v="ja"/>
    <m/>
    <s v="Dichte aus anderem Paper übernommen"/>
  </r>
  <r>
    <s v="HDPE+"/>
    <s v="HDPE/catalyst"/>
    <s v="ja"/>
    <s v="Zusätze"/>
    <s v="Strips"/>
    <n v="0.05"/>
    <n v="3.0000000000000001E-3"/>
    <n v="0.94950000000000001"/>
    <s v="HDPE + pro-oxidant"/>
    <m/>
    <m/>
    <s v="ja"/>
    <s v="Boden"/>
    <s v="Boden/Kompost"/>
    <s v="ja"/>
    <m/>
    <m/>
    <m/>
    <m/>
    <s v="aerob"/>
    <m/>
    <s v="Gewichtsverlust"/>
    <m/>
    <n v="0.91"/>
    <n v="150"/>
    <n v="6.0666666666666673E-3"/>
    <m/>
    <n v="2"/>
    <s v=""/>
    <s v=""/>
    <s v=""/>
    <s v=""/>
    <s v=""/>
    <s v=""/>
    <n v="1"/>
    <x v="4"/>
    <x v="24"/>
    <s v="Chamas et al. 2020"/>
    <m/>
    <s v="ja"/>
    <s v="ja"/>
    <s v="ja"/>
    <s v="ja"/>
    <s v="Ja"/>
    <s v="ja"/>
    <s v="ja"/>
    <m/>
    <s v="Dichte aus anderem Paper übernommen (Achtung: additives wurden bei der Dichte außer Acht gelassen)"/>
  </r>
  <r>
    <s v="HDPE+"/>
    <s v="HDPE/Stärke (95/5%)"/>
    <s v="ja"/>
    <s v="Zusätze"/>
    <s v="Strips"/>
    <n v="0.27"/>
    <n v="3.0000000000000001E-3"/>
    <n v="0.94950000000000001"/>
    <s v="BioBag"/>
    <m/>
    <m/>
    <s v="ja"/>
    <s v="Boden"/>
    <s v="Boden/Kompost"/>
    <s v="ja"/>
    <m/>
    <m/>
    <m/>
    <m/>
    <s v="aerob"/>
    <m/>
    <s v="Gewichtsverlust"/>
    <m/>
    <n v="0.79"/>
    <n v="150"/>
    <n v="5.2666666666666669E-3"/>
    <m/>
    <n v="2"/>
    <s v=""/>
    <s v=""/>
    <s v=""/>
    <s v=""/>
    <s v=""/>
    <s v=""/>
    <n v="1"/>
    <x v="4"/>
    <x v="24"/>
    <s v="Chamas et al. 2020"/>
    <m/>
    <s v="ja"/>
    <s v="ja"/>
    <s v="ja"/>
    <s v="ja"/>
    <s v="Ja"/>
    <s v="ja"/>
    <s v="ja"/>
    <m/>
    <s v="Dichte aus anderem Paper übernommen (Achtung: additives wurden bei der Dichte außer Acht gelassen)"/>
  </r>
  <r>
    <s v="HDPE+"/>
    <s v="HDPE/catalyst"/>
    <s v="ja"/>
    <s v="Zusätze"/>
    <s v="Strips"/>
    <n v="0.05"/>
    <n v="3.0000000000000001E-3"/>
    <n v="0.94950000000000001"/>
    <s v="HDPE + pro-oxidant"/>
    <m/>
    <m/>
    <s v="ja"/>
    <s v="Meerwasser"/>
    <s v="Meerwasser"/>
    <s v="ja"/>
    <m/>
    <m/>
    <m/>
    <m/>
    <s v="aerob"/>
    <m/>
    <s v="Gewichtsverlust"/>
    <m/>
    <n v="7.82"/>
    <n v="150"/>
    <n v="5.2133333333333337E-2"/>
    <m/>
    <n v="2"/>
    <s v=""/>
    <s v=""/>
    <s v=""/>
    <s v=""/>
    <s v=""/>
    <s v=""/>
    <n v="1"/>
    <x v="4"/>
    <x v="24"/>
    <s v="Chamas et al. 2020"/>
    <m/>
    <s v="ja"/>
    <s v="ja"/>
    <s v="ja"/>
    <s v="ja"/>
    <s v="Ja"/>
    <s v="ja"/>
    <s v="ja"/>
    <m/>
    <s v="Dichte aus anderem Paper übernommen (Achtung: additives wurden bei der Dichte außer Acht gelassen)"/>
  </r>
  <r>
    <s v="HDPE+"/>
    <s v="HDPE/Stärke (95/5%)"/>
    <s v="ja"/>
    <s v="Zusätze"/>
    <s v="Strips"/>
    <n v="0.27"/>
    <n v="3.0000000000000001E-3"/>
    <n v="0.94950000000000001"/>
    <s v="BioBag"/>
    <m/>
    <m/>
    <s v="ja"/>
    <s v="Meerwasser"/>
    <s v="Meerwasser"/>
    <s v="ja"/>
    <m/>
    <m/>
    <m/>
    <m/>
    <s v="aerob"/>
    <m/>
    <s v="Gewichtsverlust"/>
    <m/>
    <n v="6.9"/>
    <n v="150"/>
    <n v="4.5999999999999999E-2"/>
    <m/>
    <n v="2"/>
    <s v=""/>
    <s v=""/>
    <s v=""/>
    <s v=""/>
    <s v=""/>
    <s v=""/>
    <n v="1"/>
    <x v="4"/>
    <x v="24"/>
    <s v="Chamas et al. 2020"/>
    <m/>
    <s v="ja"/>
    <s v="ja"/>
    <s v="ja"/>
    <s v="ja"/>
    <s v="Ja"/>
    <s v="ja"/>
    <s v="ja"/>
    <m/>
    <s v="Dichte aus anderem Paper übernommen (Achtung: additives wurden bei der Dichte außer Acht gelassen)"/>
  </r>
  <r>
    <s v="LDPE"/>
    <s v="LDPE"/>
    <s v="ja"/>
    <s v="Mikroorganismen"/>
    <s v="Strips"/>
    <n v="0.4"/>
    <n v="2.5000000000000005E-3"/>
    <n v="0.92649999999999999"/>
    <s v="Low Density Polyethylene (LDPE), with commercial grade (0200) from Bandar Imam petrochemical complex, Iran. Food grade potato starch from Alvand co. Iran. Glycerol with food grade from Merck co. Germany. Polyethylene grafted maleic anhydride (PE-g- Ma) from Karankin Co., Iran"/>
    <m/>
    <s v="Pseudomonas aeroginosa"/>
    <s v="nein"/>
    <s v="Inkubator (Humidity &gt; 90)"/>
    <s v="Boden/Kompost"/>
    <s v="ja"/>
    <n v="30"/>
    <m/>
    <s v="&gt;90"/>
    <m/>
    <m/>
    <m/>
    <s v="Gewichtsverlust"/>
    <m/>
    <n v="0.43"/>
    <n v="84"/>
    <n v="5.1190476190476186E-3"/>
    <m/>
    <n v="2"/>
    <s v=""/>
    <s v=""/>
    <s v=""/>
    <s v=""/>
    <s v=""/>
    <s v=""/>
    <n v="1"/>
    <x v="4"/>
    <x v="25"/>
    <s v="Chamas et al. 2020"/>
    <m/>
    <s v="ja"/>
    <s v="ja"/>
    <m/>
    <m/>
    <m/>
    <s v="ja"/>
    <s v="ja"/>
    <m/>
    <s v="Dichte aus anderem Paper übernommen"/>
  </r>
  <r>
    <s v="LDPE"/>
    <s v="LDPE"/>
    <s v="ja"/>
    <s v="Vorbehandlung"/>
    <s v="Strips"/>
    <n v="4.2000000000000003E-2"/>
    <n v="3.8709600000000001E-3"/>
    <n v="0.92649999999999999"/>
    <s v="Plastic bag"/>
    <s v="70 Grad, 20 d"/>
    <m/>
    <s v="nein"/>
    <s v="Boden (Labor, Bakterienimpfung)"/>
    <s v="Boden/Kompost"/>
    <s v="ja"/>
    <m/>
    <m/>
    <m/>
    <s v="38-70"/>
    <m/>
    <m/>
    <s v="Gewichtsverlust"/>
    <m/>
    <n v="3"/>
    <n v="1095"/>
    <n v="2.7397260273972603E-3"/>
    <m/>
    <n v="2"/>
    <s v=""/>
    <s v=""/>
    <s v=""/>
    <s v=""/>
    <s v=""/>
    <s v=""/>
    <n v="1"/>
    <x v="4"/>
    <x v="13"/>
    <m/>
    <m/>
    <s v="ja "/>
    <s v="ja "/>
    <m/>
    <s v="ja"/>
    <m/>
    <s v="nein"/>
    <s v="ja"/>
    <m/>
    <s v="Dichte aus anderem Paper übernommen"/>
  </r>
  <r>
    <s v="LDPE"/>
    <s v="LDPE"/>
    <s v="nein"/>
    <m/>
    <s v="Powder"/>
    <s v="no value"/>
    <s v="no value"/>
    <n v="0.92649999999999999"/>
    <s v="LDPE Glad trash bag"/>
    <s v="Plastic samples were pulverized. The samples were kept in an oven and held at 30 +/- 2°C for 26 weeks."/>
    <m/>
    <s v="(ja)"/>
    <s v="Meerwasser (Labor)"/>
    <s v="Meerwasser"/>
    <s v="ja"/>
    <m/>
    <m/>
    <m/>
    <m/>
    <m/>
    <m/>
    <s v="CO2-Entwicklung"/>
    <m/>
    <n v="3.3"/>
    <n v="180"/>
    <n v="1.8333333333333333E-2"/>
    <m/>
    <n v="6"/>
    <s v=""/>
    <s v=""/>
    <s v=""/>
    <s v=""/>
    <s v=""/>
    <s v=""/>
    <n v="1"/>
    <x v="3"/>
    <x v="8"/>
    <s v="--"/>
    <s v="CB (März 2020)"/>
    <s v="ja "/>
    <s v="ja "/>
    <m/>
    <m/>
    <m/>
    <s v="nein"/>
    <s v="ja"/>
    <m/>
    <s v="Dichte aus anderem Paper übernommen"/>
  </r>
  <r>
    <s v="LDPE"/>
    <s v="LDPE"/>
    <s v="ja"/>
    <s v="Mikroorganismen"/>
    <s v="Strips"/>
    <n v="0.02"/>
    <n v="5.0000000000000001E-4"/>
    <n v="0.92649999999999999"/>
    <s v="Plastic strips (5 × 1 cm, LDPE thickness 20 μm) were obtained from Sarvodaya Polymers, one of the chief plastic manufacturers in Bengaluru, India."/>
    <s v="keine"/>
    <s v="bacteria extracted from the dung of cows that fed around plastic dump sites"/>
    <s v="nein"/>
    <s v="minimum growth medium"/>
    <s v="Labor"/>
    <s v="nein"/>
    <n v="55"/>
    <m/>
    <m/>
    <m/>
    <m/>
    <m/>
    <s v="Gewichtsverlust"/>
    <m/>
    <n v="75"/>
    <n v="120"/>
    <n v="0.625"/>
    <m/>
    <n v="2"/>
    <s v=""/>
    <s v=""/>
    <s v=""/>
    <s v=""/>
    <s v=""/>
    <s v=""/>
    <n v="1"/>
    <x v="4"/>
    <x v="15"/>
    <s v="Raddadi &amp; Fava (2019)"/>
    <s v="CG (Mai 2020)"/>
    <s v="ja"/>
    <s v="ja"/>
    <m/>
    <m/>
    <m/>
    <m/>
    <s v="ja"/>
    <m/>
    <s v="Dichte von Rodion übernommen"/>
  </r>
  <r>
    <s v="LDPE"/>
    <s v="LDPE"/>
    <s v="ja"/>
    <s v="Mikroorganismen"/>
    <s v="Pellets"/>
    <n v="2.5"/>
    <s v="no value"/>
    <n v="0.92649999999999999"/>
    <s v="pellets (diameter 2.5 mm) were obtained from Sarvodaya Polymers, one of the chief plastic manufacturers in Bengaluru, India."/>
    <s v="keine"/>
    <s v="bacteria extracted from the dung of cows that fed around plastic dump sites"/>
    <s v="nein"/>
    <s v="minimum growth medium"/>
    <s v="Labor"/>
    <s v="nein"/>
    <n v="55"/>
    <m/>
    <m/>
    <m/>
    <m/>
    <m/>
    <s v="Gewichtsverlust"/>
    <m/>
    <n v="55"/>
    <n v="120"/>
    <n v="0.45833333333333331"/>
    <m/>
    <n v="6"/>
    <s v=""/>
    <s v=""/>
    <s v=""/>
    <s v=""/>
    <s v=""/>
    <s v=""/>
    <n v="1"/>
    <x v="4"/>
    <x v="15"/>
    <s v="Raddadi &amp; Fava (2019)"/>
    <s v="CG (Mai 2020)"/>
    <s v="ja"/>
    <s v="ja"/>
    <m/>
    <m/>
    <m/>
    <m/>
    <s v="ja"/>
    <m/>
    <s v="Dichte von Rodion übernommen"/>
  </r>
  <r>
    <s v="LDPE"/>
    <s v="LDPE"/>
    <s v="ja"/>
    <s v="Mikroorganismen"/>
    <s v="Strips"/>
    <n v="0.1"/>
    <n v="5.0000000000000002E-5"/>
    <n v="0.92"/>
    <s v="a piece of approximately 0.5 cm2 of low-density untreated PE film (100 µm thickness) without additives"/>
    <s v="keine"/>
    <s v="mineral oil-degrading bacteria"/>
    <s v="nein"/>
    <s v="Labor"/>
    <s v="Labor"/>
    <s v="nein"/>
    <m/>
    <m/>
    <m/>
    <m/>
    <m/>
    <s v="bewegt"/>
    <s v="Sonstiges"/>
    <s v="reflectance (FTIR spectroscopy), crystalinity (Raman spectroscopy), surface topography (Scanning electron microscopy (SEM) and atomic force microscopy (AFM)) "/>
    <m/>
    <m/>
    <e v="#DIV/0!"/>
    <m/>
    <n v="2"/>
    <s v=""/>
    <s v=""/>
    <s v=""/>
    <s v=""/>
    <s v=""/>
    <s v=""/>
    <n v="0"/>
    <x v="1"/>
    <x v="26"/>
    <s v="Raddadi &amp; Fava (2019)"/>
    <s v="CG (Mai 2020)"/>
    <s v="ja"/>
    <s v="ja"/>
    <s v="nein"/>
    <m/>
    <m/>
    <m/>
    <s v="ja"/>
    <m/>
    <s v="keine quantitativen Angaben zur Abbaubarkeit (ausschließlich Änderungen in der Struktur der Oberfläche, crystallinit, etc.)"/>
  </r>
  <r>
    <s v="LDPE"/>
    <s v="LDPE"/>
    <s v="ja"/>
    <s v="Mikroorganismen"/>
    <s v="Strips"/>
    <s v="no value"/>
    <n v="5.0000000000000001E-4"/>
    <n v="0.92649999999999999"/>
    <m/>
    <s v="keine"/>
    <s v="pure cultures of Enterobacter spp. (IS2 and IS3) and Pantoea spp. (IS5)"/>
    <s v="nein"/>
    <s v="minimum growth medium"/>
    <s v="Labor"/>
    <s v="nein"/>
    <s v="4-45"/>
    <s v="5,54-9,02"/>
    <m/>
    <m/>
    <m/>
    <m/>
    <s v="Gewichtsverlust"/>
    <m/>
    <s v="52-70"/>
    <n v="120"/>
    <n v="0.58333333333333337"/>
    <m/>
    <n v="2"/>
    <s v=""/>
    <s v=""/>
    <s v=""/>
    <s v=""/>
    <s v=""/>
    <s v=""/>
    <n v="1"/>
    <x v="3"/>
    <x v="27"/>
    <s v="Raddadi &amp; Fava (2019)"/>
    <s v="CG (Mai 2020)"/>
    <s v="ja"/>
    <s v="ja"/>
    <m/>
    <m/>
    <m/>
    <m/>
    <s v="ja"/>
    <m/>
    <s v="Dichte von Rodion übernommen"/>
  </r>
  <r>
    <s v="LDPE"/>
    <s v="LDPE"/>
    <s v="ja"/>
    <s v="Mikroorganismen"/>
    <s v="Pellets"/>
    <s v="no value"/>
    <s v="no value"/>
    <n v="0.92649999999999999"/>
    <m/>
    <s v="keine"/>
    <s v="pure cultures of Enterobacter spp. (IS2 and IS3) and Pantoea spp. (IS5)"/>
    <s v="nein"/>
    <s v="minimum growth medium"/>
    <s v="Labor"/>
    <s v="nein"/>
    <s v="4-45"/>
    <s v="5,54-9,02"/>
    <m/>
    <m/>
    <m/>
    <m/>
    <s v="Gewichtsverlust"/>
    <m/>
    <s v="16-28"/>
    <n v="120"/>
    <n v="0.23333333333333334"/>
    <m/>
    <n v="6"/>
    <s v=""/>
    <s v=""/>
    <s v=""/>
    <s v=""/>
    <s v=""/>
    <s v=""/>
    <n v="1"/>
    <x v="3"/>
    <x v="27"/>
    <s v="Raddadi &amp; Fava (2019)"/>
    <s v="CG (Mai 2020)"/>
    <s v="ja"/>
    <s v="ja"/>
    <m/>
    <m/>
    <m/>
    <m/>
    <s v="ja"/>
    <m/>
    <s v="Dichte von Rodion übernommen"/>
  </r>
  <r>
    <s v="LDPE"/>
    <s v="LDPE"/>
    <s v="ja"/>
    <s v="Mikroorganismen"/>
    <s v="Strips"/>
    <n v="0.15"/>
    <n v="5.0000000000000001E-4"/>
    <n v="0.92649999999999999"/>
    <s v="plastic strips (5×1 cm, thickness: 0.15 mm)"/>
    <s v="keine"/>
    <s v="bacteria extracted from the dung of cows that fed around plastic dump sites"/>
    <s v="nein"/>
    <s v="minimal media"/>
    <s v="Labor"/>
    <s v="nein"/>
    <n v="50"/>
    <m/>
    <m/>
    <m/>
    <m/>
    <m/>
    <s v="Gewichtsverlust"/>
    <m/>
    <n v="58.21"/>
    <n v="140"/>
    <n v="0.41578571428571431"/>
    <m/>
    <n v="2"/>
    <s v=""/>
    <s v=""/>
    <s v=""/>
    <s v=""/>
    <s v=""/>
    <s v=""/>
    <n v="1"/>
    <x v="4"/>
    <x v="17"/>
    <s v="Raddadi &amp; Fava (2019)"/>
    <s v="CG (Mai 2020)"/>
    <s v="ja"/>
    <s v="ja"/>
    <m/>
    <m/>
    <m/>
    <m/>
    <s v="ja"/>
    <m/>
    <s v="Dichte von Rodion übernommen"/>
  </r>
  <r>
    <s v="LDPE"/>
    <s v="LDPE"/>
    <s v="ja"/>
    <s v="Mikroorganismen"/>
    <s v="Pellets"/>
    <n v="2.5"/>
    <s v="refer to thickness"/>
    <n v="0.92649999999999999"/>
    <s v="pellets (shape: round, size: 2.5mm diameter) of PE and PP"/>
    <s v="keine"/>
    <s v="bacteria extracted from the dung of cows that fed around plastic dump sites"/>
    <s v="nein"/>
    <s v="minimal media"/>
    <s v="Labor"/>
    <s v="nein"/>
    <n v="50"/>
    <m/>
    <m/>
    <m/>
    <m/>
    <m/>
    <s v="Gewichtsverlust"/>
    <m/>
    <n v="45.7"/>
    <n v="140"/>
    <n v="0.32642857142857146"/>
    <m/>
    <n v="6"/>
    <s v=""/>
    <s v=""/>
    <s v=""/>
    <s v=""/>
    <s v=""/>
    <s v=""/>
    <n v="1"/>
    <x v="4"/>
    <x v="17"/>
    <s v="Raddadi &amp; Fava (2019)"/>
    <s v="CG (Mai 2020)"/>
    <s v="ja"/>
    <s v="ja"/>
    <m/>
    <m/>
    <m/>
    <m/>
    <s v="ja"/>
    <m/>
    <s v="Dichte von Rodion übernommen"/>
  </r>
  <r>
    <s v="LDPE"/>
    <s v="LDPE"/>
    <s v="ja"/>
    <s v="Mikroorganismen"/>
    <s v="Strips"/>
    <n v="0.03"/>
    <n v="8.9999999999999998E-4"/>
    <n v="0.92649999999999999"/>
    <m/>
    <s v="disinfected in 70% ethanol and air-dried for 15 min in an oven"/>
    <s v="Bacteria extracted from soil from a dumpsite"/>
    <s v="nein"/>
    <s v="mineral solution"/>
    <s v="Labor"/>
    <s v="nein"/>
    <n v="37"/>
    <m/>
    <m/>
    <m/>
    <m/>
    <m/>
    <s v="Gewichtsverlust"/>
    <m/>
    <s v="0-35,72"/>
    <n v="112"/>
    <n v="0.31883928571428571"/>
    <m/>
    <n v="2"/>
    <s v=""/>
    <s v=""/>
    <s v=""/>
    <s v=""/>
    <s v=""/>
    <s v=""/>
    <n v="1"/>
    <x v="4"/>
    <x v="28"/>
    <s v="Raddadi &amp; Fava (2019)"/>
    <s v="CG (Mai 2020)"/>
    <s v="ja"/>
    <s v="ja"/>
    <m/>
    <m/>
    <m/>
    <m/>
    <s v="ja"/>
    <m/>
    <s v="Dichte aus anderem Paper übernommen"/>
  </r>
  <r>
    <s v="LDPE"/>
    <s v="LDPE"/>
    <s v="ja"/>
    <s v="Mikroorganismen"/>
    <s v="Strips"/>
    <n v="0.04"/>
    <n v="8.9999999999999998E-4"/>
    <n v="0.92649999999999999"/>
    <m/>
    <s v="disinfected in 70% ethanol and air-dried for 15 min in an oven"/>
    <s v="Bacteria extracted from soil from a dumpsite"/>
    <s v="nein"/>
    <s v="mineral solution"/>
    <s v="Labor"/>
    <s v="nein"/>
    <n v="37"/>
    <m/>
    <m/>
    <m/>
    <m/>
    <m/>
    <s v="Gewichtsverlust"/>
    <m/>
    <s v="0-11,13"/>
    <n v="112"/>
    <n v="9.9375000000000005E-2"/>
    <m/>
    <n v="2"/>
    <s v=""/>
    <s v=""/>
    <s v=""/>
    <s v=""/>
    <s v=""/>
    <s v=""/>
    <n v="1"/>
    <x v="4"/>
    <x v="28"/>
    <s v="Raddadi &amp; Fava (2019)"/>
    <s v="CG (Mai 2020)"/>
    <s v="ja"/>
    <s v="ja"/>
    <m/>
    <m/>
    <m/>
    <m/>
    <s v="ja"/>
    <m/>
    <s v="Dichte aus anderem Paper übernommen"/>
  </r>
  <r>
    <s v="LDPE"/>
    <s v="LDPE"/>
    <s v="ja"/>
    <s v="Mikroorganismen"/>
    <s v="Strips"/>
    <n v="0.02"/>
    <n v="5.9999999999999995E-4"/>
    <n v="0.92649999999999999"/>
    <s v="LDPE (20 μm) were collected from local markets of Kolkata, India"/>
    <s v="keine"/>
    <s v="two microorganisms"/>
    <s v="ja - acc."/>
    <s v="Landfill soil was collected from the solid waste dumping ground ofKolkata, India"/>
    <s v="Boden/Kompost"/>
    <s v="ja"/>
    <n v="30"/>
    <n v="6.87"/>
    <m/>
    <n v="60"/>
    <m/>
    <m/>
    <s v="Gewichtsverlust"/>
    <m/>
    <n v="4"/>
    <n v="28"/>
    <n v="0.14285714285714285"/>
    <m/>
    <n v="2"/>
    <s v=""/>
    <s v=""/>
    <s v=""/>
    <s v=""/>
    <s v=""/>
    <s v=""/>
    <n v="1"/>
    <x v="4"/>
    <x v="29"/>
    <s v="Plastic Leak Project"/>
    <s v="CB (März 2020)"/>
    <s v="ja"/>
    <s v="ja"/>
    <m/>
    <m/>
    <m/>
    <s v="nein"/>
    <s v="ja"/>
    <m/>
    <s v="Dichte aus anderem Paper übernommen"/>
  </r>
  <r>
    <s v="LDPE"/>
    <s v="LDPE"/>
    <s v="ja"/>
    <s v="Vorbehandlung"/>
    <s v="Strips"/>
    <n v="0.02"/>
    <n v="5.9999999999999995E-4"/>
    <n v="0.92649999999999999"/>
    <s v="LDPE (20 μm) were collected from local markets of Kolkata, India"/>
    <s v="LDPE films were exposed to UV-irradiation for 100 h at 30 °C"/>
    <m/>
    <s v="(ja)"/>
    <s v="Landfill soil was collected from the solid waste dumping ground ofKolkata, India"/>
    <s v="Boden/Kompost"/>
    <s v="ja"/>
    <n v="30"/>
    <n v="6.87"/>
    <m/>
    <n v="60"/>
    <m/>
    <m/>
    <s v="Gewichtsverlust"/>
    <m/>
    <n v="6"/>
    <n v="28"/>
    <n v="0.21428571428571427"/>
    <m/>
    <n v="2"/>
    <s v=""/>
    <s v=""/>
    <s v=""/>
    <s v=""/>
    <s v=""/>
    <s v=""/>
    <n v="1"/>
    <x v="4"/>
    <x v="29"/>
    <s v="Plastic Leak Project"/>
    <s v="CB (März 2020)"/>
    <s v="ja"/>
    <s v="ja"/>
    <m/>
    <m/>
    <m/>
    <s v="nein"/>
    <s v="ja"/>
    <m/>
    <s v="Dichte aus anderem Paper übernommen"/>
  </r>
  <r>
    <s v="LDPE"/>
    <s v="LDPE"/>
    <s v="ja"/>
    <s v="Mikroorganismen"/>
    <s v="Strips"/>
    <n v="0.03"/>
    <n v="8.9999999999999998E-4"/>
    <n v="0.92649999999999999"/>
    <m/>
    <s v="disinfected in 70% ethanol and air-dried for 15 min in an oven"/>
    <s v="Fungus extracted from soil from a dumpsite"/>
    <s v="nein"/>
    <s v="mineral solution"/>
    <s v="Labor"/>
    <s v="nein"/>
    <n v="28"/>
    <m/>
    <m/>
    <m/>
    <m/>
    <m/>
    <s v="Gewichtsverlust"/>
    <m/>
    <s v="0-36,4"/>
    <n v="112"/>
    <n v="0.32500000000000001"/>
    <m/>
    <n v="2"/>
    <s v=""/>
    <s v=""/>
    <s v=""/>
    <s v=""/>
    <s v=""/>
    <s v=""/>
    <n v="1"/>
    <x v="4"/>
    <x v="28"/>
    <s v="Raddadi &amp; Fava (2019)"/>
    <s v="CG (Mai 2020)"/>
    <s v="ja"/>
    <s v="ja"/>
    <m/>
    <m/>
    <m/>
    <m/>
    <s v="ja"/>
    <m/>
    <s v="Dichte aus anderem Paper übernommen"/>
  </r>
  <r>
    <s v="LDPE"/>
    <s v="LDPE"/>
    <s v="nein"/>
    <m/>
    <s v="Film"/>
    <n v="0.17499999999999999"/>
    <s v="no value"/>
    <n v="0.92649999999999999"/>
    <s v="Mayonaise bottle"/>
    <s v="ambient "/>
    <m/>
    <s v="ja"/>
    <s v="Boden"/>
    <s v="Boden/Kompost"/>
    <s v="ja"/>
    <m/>
    <m/>
    <m/>
    <m/>
    <m/>
    <m/>
    <s v="Sonstiges"/>
    <s v="Reduktion Molgewicht"/>
    <n v="66"/>
    <n v="12592.5"/>
    <n v="5.2412150089338888E-3"/>
    <m/>
    <n v="2"/>
    <s v=""/>
    <s v=""/>
    <s v=""/>
    <s v=""/>
    <s v=""/>
    <s v=""/>
    <n v="1"/>
    <x v="5"/>
    <x v="30"/>
    <s v="--"/>
    <m/>
    <s v="ja "/>
    <s v="ja "/>
    <m/>
    <m/>
    <m/>
    <s v="nein"/>
    <s v="ja"/>
    <m/>
    <s v="Thickness = 0,15-0,2mm; Dichte aus anderem Paper übernommen"/>
  </r>
  <r>
    <s v="LDPE"/>
    <s v="LDPE"/>
    <s v="ja"/>
    <s v="Mikroorganismen"/>
    <s v="Film"/>
    <n v="0.02"/>
    <s v="no value"/>
    <n v="0.92649999999999999"/>
    <m/>
    <m/>
    <s v="Bacteria isolated from landfill soils"/>
    <s v="ja - acc."/>
    <s v="Boden (from Landfills)"/>
    <s v="Boden/Kompost"/>
    <s v="ja"/>
    <n v="30"/>
    <m/>
    <m/>
    <m/>
    <m/>
    <m/>
    <s v="CO2-Entwicklung"/>
    <m/>
    <n v="15.8"/>
    <n v="140"/>
    <n v="1.1214285714285715E-2"/>
    <m/>
    <n v="2"/>
    <s v=""/>
    <s v=""/>
    <s v=""/>
    <s v=""/>
    <s v=""/>
    <s v=""/>
    <n v="1"/>
    <x v="4"/>
    <x v="31"/>
    <s v="Viscofan; Plastic Leak Project"/>
    <m/>
    <s v="ja"/>
    <s v="ja"/>
    <m/>
    <m/>
    <m/>
    <s v="nein"/>
    <s v="ja"/>
    <m/>
    <s v="Dichte aus anderem Paper übernommen"/>
  </r>
  <r>
    <s v="LDPE"/>
    <s v="LDPE"/>
    <s v="nein"/>
    <m/>
    <s v="Strips"/>
    <s v="no value"/>
    <s v="no value"/>
    <n v="0.92649999999999999"/>
    <s v="pieces of polyethylene bags"/>
    <s v="pieces of polyethylene bags were been dried overnight at 60 °C, weighed, disinfected (autoclaved at 105 °C for 1 h)_x000a_"/>
    <s v="Sixty bacterial isolates"/>
    <s v="nein"/>
    <s v="Geimpftes Wasser"/>
    <s v="Labor"/>
    <s v="nein"/>
    <m/>
    <m/>
    <m/>
    <m/>
    <m/>
    <m/>
    <s v="Gewichtsverlust"/>
    <m/>
    <s v="1,33-1,81"/>
    <n v="30"/>
    <n v="5.2333333333333336E-2"/>
    <m/>
    <n v="2"/>
    <s v=""/>
    <s v=""/>
    <s v=""/>
    <s v=""/>
    <s v=""/>
    <s v=""/>
    <n v="1"/>
    <x v="3"/>
    <x v="32"/>
    <m/>
    <m/>
    <s v="ja"/>
    <s v="ja"/>
    <m/>
    <m/>
    <m/>
    <s v="nein"/>
    <s v="ja"/>
    <m/>
    <s v="Dichte aus anderem Paper übernommen"/>
  </r>
  <r>
    <s v="LDPE+"/>
    <s v="LDPE film with bio-additive at 1 to 3% concentrations"/>
    <s v="ja"/>
    <s v="Zusätze"/>
    <s v="Powder"/>
    <s v="no value"/>
    <s v="no value"/>
    <n v="0.92649999999999999"/>
    <s v="LDPE film with bio-additive at 1 to 3% concentrations"/>
    <m/>
    <m/>
    <s v="(ja)"/>
    <s v="Meerwasser (Labor)"/>
    <s v="Meerwasser"/>
    <s v="ja"/>
    <m/>
    <m/>
    <m/>
    <m/>
    <m/>
    <m/>
    <s v="CO2-Entwicklung"/>
    <m/>
    <n v="3.98"/>
    <n v="180"/>
    <n v="2.2111111111111113E-2"/>
    <m/>
    <n v="6"/>
    <s v=""/>
    <s v=""/>
    <s v=""/>
    <s v=""/>
    <s v=""/>
    <s v=""/>
    <n v="1"/>
    <x v="3"/>
    <x v="8"/>
    <s v="Emadian 2017"/>
    <m/>
    <s v="ja "/>
    <s v="ja "/>
    <m/>
    <m/>
    <m/>
    <s v="nein"/>
    <s v="ja"/>
    <m/>
    <s v="Dichte aus anderem Paper übernommen"/>
  </r>
  <r>
    <s v="LDPE"/>
    <s v="LDPE"/>
    <s v="ja"/>
    <s v="Mikroorganismen"/>
    <s v="Strips"/>
    <n v="0.04"/>
    <n v="8.9999999999999998E-4"/>
    <n v="0.92649999999999999"/>
    <m/>
    <s v="disinfected in 70% ethanol and air-dried for 15 min in an oven"/>
    <s v="Fungus extracted from soil from a dumpsite"/>
    <s v="nein"/>
    <s v="mineral solution"/>
    <s v="Labor"/>
    <s v="nein"/>
    <n v="28"/>
    <m/>
    <m/>
    <m/>
    <m/>
    <m/>
    <s v="Gewichtsverlust"/>
    <m/>
    <s v="0-17,01"/>
    <n v="112"/>
    <n v="0.15187500000000001"/>
    <m/>
    <n v="2"/>
    <s v=""/>
    <s v=""/>
    <s v=""/>
    <s v=""/>
    <s v=""/>
    <s v=""/>
    <n v="1"/>
    <x v="4"/>
    <x v="28"/>
    <s v="Raddadi &amp; Fava (2019)"/>
    <s v="CG (Mai 2020)"/>
    <s v="ja"/>
    <s v="ja"/>
    <m/>
    <m/>
    <m/>
    <m/>
    <s v="ja"/>
    <m/>
    <s v="Dichte aus anderem Paper übernommen"/>
  </r>
  <r>
    <s v="LDPE"/>
    <s v="LDPE"/>
    <s v="ja"/>
    <s v="Mikroorganismen"/>
    <s v="Strips"/>
    <n v="0.2"/>
    <n v="8.9999999999999998E-4"/>
    <n v="0.92649999999999999"/>
    <m/>
    <s v="dried overnight (60°C), disinfested (30min in 70% ethanol) and added to flasks, each containing 100ml of Synthetic Medium"/>
    <s v="Rhodococcus ruber"/>
    <s v="nein"/>
    <s v="Microcentrifuge (1000rpm)"/>
    <s v="Labor"/>
    <s v="nein"/>
    <m/>
    <m/>
    <m/>
    <m/>
    <m/>
    <m/>
    <s v="Gewichtsverlust"/>
    <m/>
    <n v="7.5"/>
    <n v="56"/>
    <n v="0.13392857142857142"/>
    <m/>
    <n v="2"/>
    <s v=""/>
    <s v=""/>
    <s v=""/>
    <s v=""/>
    <s v=""/>
    <s v=""/>
    <n v="1"/>
    <x v="4"/>
    <x v="33"/>
    <s v="Chamas et al. 2020"/>
    <s v="sflo (4.12.19)"/>
    <s v="ja"/>
    <s v="ja"/>
    <m/>
    <m/>
    <m/>
    <s v="ja"/>
    <s v="ja"/>
    <m/>
    <s v="Dichte aus anderem Paper übernommen"/>
  </r>
  <r>
    <s v="NR/SBR"/>
    <s v="Reifenabrieb - GTP-P made from scrap passenger tyres - 50% natural rubber"/>
    <s v="ja"/>
    <s v="Mikroorganismen"/>
    <s v="Partikel"/>
    <n v="2"/>
    <n v="3.9999999999999998E-6"/>
    <n v="9.9999999999999978E-2"/>
    <s v="Ground tyre particles (GTP) were produced by mechanical grinding of used tyres"/>
    <m/>
    <s v="Nocardia"/>
    <s v="nein"/>
    <s v="mineral salt water"/>
    <s v="Labor"/>
    <s v="nein"/>
    <n v="30"/>
    <m/>
    <m/>
    <m/>
    <m/>
    <m/>
    <s v="Gewichtsverlust"/>
    <m/>
    <s v="6-11"/>
    <n v="56"/>
    <n v="0.19642857142857142"/>
    <m/>
    <n v="6"/>
    <s v=""/>
    <s v=""/>
    <s v=""/>
    <s v=""/>
    <s v=""/>
    <s v=""/>
    <n v="1"/>
    <x v="4"/>
    <x v="34"/>
    <m/>
    <s v="CB (März 2020)"/>
    <s v="ja"/>
    <s v="ja"/>
    <m/>
    <m/>
    <m/>
    <s v="nein"/>
    <s v="ja"/>
    <m/>
    <m/>
  </r>
  <r>
    <s v="LDPE"/>
    <s v="LLDPE 100 "/>
    <s v="nein"/>
    <m/>
    <s v="Strips"/>
    <n v="0.125"/>
    <n v="2E-3"/>
    <n v="0.92649999999999999"/>
    <m/>
    <m/>
    <m/>
    <s v="nein"/>
    <s v="Mature Compost (Municipal solid waste), Inkubator"/>
    <s v="Boden/Kompost"/>
    <s v="ja"/>
    <s v="37°C (1. Tag), 50°C (2-5), 37°C (6-28)"/>
    <m/>
    <m/>
    <m/>
    <s v="aerob"/>
    <m/>
    <s v="Gewichtsverlust"/>
    <m/>
    <n v="1.39"/>
    <n v="28"/>
    <n v="4.9642857142857141E-2"/>
    <m/>
    <n v="2"/>
    <s v=""/>
    <s v=""/>
    <s v=""/>
    <n v="1"/>
    <n v="11.324776785714306"/>
    <s v="LDPE_Boden/Kompost_nicht natürlich"/>
    <n v="1"/>
    <x v="7"/>
    <x v="35"/>
    <s v="Chamas et al. 2020"/>
    <m/>
    <s v="ja"/>
    <s v="ja"/>
    <m/>
    <m/>
    <m/>
    <s v="ja"/>
    <s v="ja"/>
    <m/>
    <s v="Dichte aus anderem Paper übernommen"/>
  </r>
  <r>
    <s v="NR/SBR"/>
    <s v="Reifenabrieb - GTP-T made from scrap truck tyres - 80% natural rubber"/>
    <s v="ja"/>
    <s v="Mikroorganismen"/>
    <s v="Partikel"/>
    <n v="0.4"/>
    <n v="1.6E-7"/>
    <n v="3.125E-2"/>
    <s v="Ground tyre particles (GTP) were produced by mechanical grinding of used tyres"/>
    <m/>
    <s v="Nocardia"/>
    <s v="nein"/>
    <s v="mineral salt water"/>
    <s v="Labor"/>
    <s v="nein"/>
    <n v="30"/>
    <m/>
    <m/>
    <m/>
    <m/>
    <m/>
    <s v="Gewichtsverlust"/>
    <m/>
    <s v="12-40"/>
    <n v="56"/>
    <n v="0.7142857142857143"/>
    <m/>
    <n v="6"/>
    <s v=""/>
    <s v=""/>
    <s v=""/>
    <s v=""/>
    <s v=""/>
    <s v=""/>
    <n v="1"/>
    <x v="4"/>
    <x v="34"/>
    <m/>
    <s v="CB (März 2020)"/>
    <s v="ja"/>
    <s v="ja"/>
    <m/>
    <m/>
    <m/>
    <s v="nein"/>
    <s v="ja"/>
    <m/>
    <m/>
  </r>
  <r>
    <s v="HDPE"/>
    <s v="HDPE"/>
    <s v="nein"/>
    <m/>
    <s v="Strips"/>
    <n v="1.5"/>
    <n v="1.4999999999999999E-2"/>
    <n v="0.94950000000000001"/>
    <s v="Commercial polymer sample from Industrial Insulations Ltd.; average weight of each sample coupon was 35 g"/>
    <s v="keine"/>
    <m/>
    <s v="ja"/>
    <s v="Meerwasser (3m Tiefe)"/>
    <s v="Meerwasser"/>
    <s v="ja"/>
    <n v="30"/>
    <m/>
    <m/>
    <m/>
    <m/>
    <m/>
    <s v="Gewichtsverlust"/>
    <m/>
    <n v="0.75"/>
    <n v="180"/>
    <n v="4.1666666666666666E-3"/>
    <m/>
    <n v="2"/>
    <n v="1333.3333333333333"/>
    <n v="1.4042478497454799E-3"/>
    <n v="11.40625"/>
    <n v="1"/>
    <n v="11.406249999999927"/>
    <s v="HDPE_Meerwasser_natürlich"/>
    <n v="1"/>
    <x v="6"/>
    <x v="36"/>
    <s v="Chamas et al. 2020"/>
    <m/>
    <s v="ja"/>
    <s v="ja"/>
    <m/>
    <m/>
    <m/>
    <s v="ja"/>
    <s v="ja"/>
    <m/>
    <s v="Dichte aus anderem Paper übernommen"/>
  </r>
  <r>
    <s v="LDPE"/>
    <s v="LDPE"/>
    <s v="ja"/>
    <s v="Mikroorganismen"/>
    <s v="Strips"/>
    <n v="0.125"/>
    <n v="2E-3"/>
    <n v="0.92649999999999999"/>
    <m/>
    <s v="keine"/>
    <s v="marine bacterial culture of B. sphericus GC subgroup IV (Alt) and B. cereus subgroup A (BF20)"/>
    <s v="(ja)"/>
    <s v="Meerwasser (ohne Nährstoffe)"/>
    <s v="Meerwasser"/>
    <s v="ja"/>
    <n v="30"/>
    <n v="7.5"/>
    <m/>
    <m/>
    <m/>
    <s v="shaking (1980 rpm)"/>
    <s v="Gewichtsverlust"/>
    <m/>
    <n v="10"/>
    <n v="365"/>
    <n v="2.7397260273972601E-2"/>
    <m/>
    <n v="2"/>
    <s v=""/>
    <s v=""/>
    <s v=""/>
    <s v=""/>
    <s v=""/>
    <s v=""/>
    <n v="1"/>
    <x v="4"/>
    <x v="20"/>
    <s v="Chamas et al. 2020"/>
    <m/>
    <s v="ja "/>
    <s v="ja "/>
    <m/>
    <s v="ja"/>
    <m/>
    <s v="ja"/>
    <s v="ja"/>
    <m/>
    <s v="Dichte aus anderem Paper übernommen"/>
  </r>
  <r>
    <s v="LDPE"/>
    <s v="LDPE"/>
    <s v="ja"/>
    <s v="Vorbehandlung"/>
    <s v="Strips"/>
    <n v="0.125"/>
    <n v="2E-3"/>
    <n v="0.92649999999999999"/>
    <m/>
    <s v="Thermal treatment  at 80°C for 10 days in a hot air oven"/>
    <m/>
    <s v="(ja)"/>
    <s v="Meerwasser (ohne Nährstoffe)"/>
    <s v="Meerwasser"/>
    <s v="ja"/>
    <n v="30"/>
    <n v="7.5"/>
    <m/>
    <m/>
    <m/>
    <s v="shaking (1980 rpm)"/>
    <s v="Gewichtsverlust"/>
    <m/>
    <n v="19"/>
    <n v="365"/>
    <n v="5.2054794520547946E-2"/>
    <m/>
    <n v="2"/>
    <s v=""/>
    <s v=""/>
    <s v=""/>
    <s v=""/>
    <s v=""/>
    <s v=""/>
    <n v="1"/>
    <x v="4"/>
    <x v="21"/>
    <s v="Chamas et al. 2020"/>
    <m/>
    <s v="ja"/>
    <s v="ja"/>
    <m/>
    <s v="ja"/>
    <m/>
    <s v="ja"/>
    <s v="ja"/>
    <m/>
    <s v="Dichte aus anderem Paper übernommen"/>
  </r>
  <r>
    <s v="LDPE"/>
    <s v="LDPE fragments"/>
    <m/>
    <m/>
    <s v="Flakes"/>
    <s v="no value"/>
    <s v="no value"/>
    <n v="0.92649999999999999"/>
    <m/>
    <s v="previously buried in garden soil"/>
    <s v="bacteria were extracted by phosphate buffer from the garden soil and incubated for 48 h at 35°C on standard broth agar"/>
    <s v="ja"/>
    <s v="garden soil"/>
    <s v="Boden/Kompost"/>
    <s v="ja"/>
    <m/>
    <m/>
    <m/>
    <m/>
    <m/>
    <m/>
    <s v="Sonstiges"/>
    <s v="keine before-and-after-tests; authors estimate that the period that these plastics were buried under soil is 32-37 years, because they were able to specify by chance the time when these plastics were discarded under soil"/>
    <m/>
    <m/>
    <e v="#DIV/0!"/>
    <m/>
    <n v="2"/>
    <s v=""/>
    <s v=""/>
    <s v=""/>
    <s v=""/>
    <s v=""/>
    <s v=""/>
    <n v="1"/>
    <x v="3"/>
    <x v="6"/>
    <s v="Chamas et al. 2020"/>
    <s v="CG (Mai 2020)"/>
    <m/>
    <m/>
    <m/>
    <m/>
    <m/>
    <s v="ja"/>
    <s v="ja"/>
    <m/>
    <s v="Dichte aus anderem Paper übernommen"/>
  </r>
  <r>
    <s v="LDPE"/>
    <s v="LDPE triangular juice bag"/>
    <m/>
    <m/>
    <s v="Flakes"/>
    <s v="no value"/>
    <s v="no value"/>
    <n v="0.92649999999999999"/>
    <s v="juice bag"/>
    <s v="previously buried in garden soil"/>
    <s v="bacteria were extracted by phosphate buffer from the garden soil and incubated for 48 h at 35°C on standard broth agar"/>
    <s v="ja"/>
    <s v="garden soil"/>
    <s v="Boden/Kompost"/>
    <s v="ja"/>
    <m/>
    <m/>
    <m/>
    <m/>
    <m/>
    <m/>
    <s v="Sonstiges"/>
    <s v="keine before-and-after-tests; authors estimate that the period that these plastics were buried under soil is 32-37 years, because they were able to specify by chance the time when these plastics were discarded under soil"/>
    <m/>
    <m/>
    <e v="#DIV/0!"/>
    <m/>
    <n v="2"/>
    <s v=""/>
    <s v=""/>
    <s v=""/>
    <s v=""/>
    <s v=""/>
    <s v=""/>
    <n v="1"/>
    <x v="3"/>
    <x v="6"/>
    <s v="Chamas et al. 2020"/>
    <s v="CG (Mai 2020)"/>
    <m/>
    <m/>
    <m/>
    <m/>
    <m/>
    <s v="ja"/>
    <s v="ja"/>
    <m/>
    <s v="Dichte aus anderem Paper übernommen"/>
  </r>
  <r>
    <s v="LDPE"/>
    <s v="LDPE tied film"/>
    <s v="ja"/>
    <s v="Mikroorganismen"/>
    <s v="Flakes"/>
    <n v="0.06"/>
    <s v="no value"/>
    <n v="0.92649999999999999"/>
    <s v="film"/>
    <s v="previously buried in garden soil"/>
    <s v="bacteria were extracted by phosphate buffer from the garden soil and incubated for 48 h at 35°C on standard broth agar"/>
    <s v="ja"/>
    <s v="garden soil"/>
    <s v="Boden/Kompost"/>
    <s v="ja"/>
    <m/>
    <m/>
    <m/>
    <m/>
    <m/>
    <m/>
    <s v="Sonstiges"/>
    <s v="Schätzung"/>
    <m/>
    <m/>
    <e v="#DIV/0!"/>
    <m/>
    <n v="2"/>
    <s v=""/>
    <s v=""/>
    <s v=""/>
    <s v=""/>
    <s v=""/>
    <s v=""/>
    <n v="1"/>
    <x v="4"/>
    <x v="6"/>
    <s v="Chamas et al. 2020"/>
    <s v="CG (Mai 2020)"/>
    <m/>
    <m/>
    <m/>
    <m/>
    <m/>
    <s v="ja"/>
    <s v="ja"/>
    <m/>
    <s v="Dichte aus anderem Paper übernommen"/>
  </r>
  <r>
    <s v="LDPE+"/>
    <s v="LLDPE (+7%TDPATM)"/>
    <s v="ja"/>
    <s v="Zusätze"/>
    <s v="Strips"/>
    <n v="0.03"/>
    <n v="3.8734999999999998E-3"/>
    <n v="0.92649999999999999"/>
    <s v="Garbage Bag (Japan)"/>
    <s v="pre-exposed to environmental condition_x000a_"/>
    <m/>
    <s v="(ja)"/>
    <s v="Simulated Municipal Solid Waste (MSW) Aerobic Compost Environment"/>
    <s v="Boden/Kompost"/>
    <s v="ja"/>
    <n v="60"/>
    <m/>
    <m/>
    <m/>
    <s v="aerob"/>
    <m/>
    <s v="Gewichtsverlust"/>
    <m/>
    <n v="8"/>
    <n v="60"/>
    <n v="0.13333333333333333"/>
    <m/>
    <n v="2"/>
    <s v=""/>
    <s v=""/>
    <s v=""/>
    <s v=""/>
    <s v=""/>
    <s v=""/>
    <n v="1"/>
    <x v="4"/>
    <x v="22"/>
    <s v="Chamas et al. 2020"/>
    <s v="sflo (4.12.19)"/>
    <s v="ja"/>
    <s v="ja"/>
    <m/>
    <m/>
    <m/>
    <s v="ja"/>
    <s v="ja"/>
    <m/>
    <s v="Dichte aus anderem Paper übernommen (Achtung: additives wurden bei der Dichte außer Acht gelassen)"/>
  </r>
  <r>
    <s v="LDPE+"/>
    <s v="LDPE/potato starch"/>
    <s v="ja"/>
    <s v="Zusätze"/>
    <s v="Strips"/>
    <n v="0.4"/>
    <n v="2.5000000000000005E-3"/>
    <n v="0.92649999999999999"/>
    <s v="Low Density Polyethylene (LDPE), with commercial grade (0200) from Bandar Imam petrochemical complex, Iran. Food grade potato starch from Alvand co. Iran. Glycerol with food grade from Merck co. Germany. Polyethylene grafted maleic anhydride (PE-g- Ma) from Karankin Co., Iran"/>
    <m/>
    <s v="Pseudomonas aeroginosa"/>
    <s v="nein"/>
    <s v="Inkubator (Humidity &gt; 90)"/>
    <s v="Boden/Kompost"/>
    <s v="ja"/>
    <n v="30"/>
    <m/>
    <s v="&gt;90"/>
    <m/>
    <m/>
    <m/>
    <s v="Gewichtsverlust"/>
    <m/>
    <n v="2.19"/>
    <n v="84"/>
    <n v="2.6071428571428572E-2"/>
    <m/>
    <n v="2"/>
    <s v=""/>
    <s v=""/>
    <s v=""/>
    <s v=""/>
    <s v=""/>
    <s v=""/>
    <n v="1"/>
    <x v="4"/>
    <x v="25"/>
    <s v="Chamas et al. 2020"/>
    <m/>
    <s v="ja"/>
    <s v="ja"/>
    <m/>
    <m/>
    <m/>
    <s v="ja"/>
    <s v="ja"/>
    <m/>
    <s v="Dichte aus anderem Paper übernommen (Achtung: additives wurden bei der Dichte außer Acht gelassen)"/>
  </r>
  <r>
    <s v="LDPE+"/>
    <s v="LDPE/Stärke (40/60%)"/>
    <s v="ja"/>
    <s v="Zusätze"/>
    <s v="Strips"/>
    <n v="3"/>
    <n v="6.2500000000000012E-4"/>
    <n v="0.92649999999999999"/>
    <s v="Samples of 25 X 25 X 3 mm size"/>
    <m/>
    <m/>
    <s v="ja"/>
    <s v="Schwemmlandboden /Alluvial soil"/>
    <s v="Boden/Kompost"/>
    <s v="ja"/>
    <m/>
    <m/>
    <m/>
    <n v="20"/>
    <s v="aerob"/>
    <m/>
    <s v="Gewichtsverlust"/>
    <m/>
    <n v="19"/>
    <n v="180"/>
    <n v="0.10555555555555556"/>
    <m/>
    <n v="2"/>
    <s v=""/>
    <s v=""/>
    <s v=""/>
    <s v=""/>
    <s v=""/>
    <s v=""/>
    <n v="1"/>
    <x v="4"/>
    <x v="37"/>
    <s v="Chamas et al. 2020"/>
    <m/>
    <s v="ja"/>
    <s v="ja"/>
    <s v="ja"/>
    <s v="Nein "/>
    <m/>
    <s v="ja"/>
    <s v="ja"/>
    <m/>
    <s v="Dichte aus anderem Paper übernommen (Achtung: additives wurden bei der Dichte außer Acht gelassen)"/>
  </r>
  <r>
    <s v="LDPE+"/>
    <s v="LDPE/Stärke (50/50%)"/>
    <s v="ja"/>
    <s v="Zusätze"/>
    <s v="Strips"/>
    <n v="3"/>
    <n v="6.2500000000000012E-4"/>
    <n v="0.92649999999999999"/>
    <s v="Samples of 25 X 25 X 3 mm size"/>
    <m/>
    <m/>
    <s v="ja"/>
    <s v="Schwemmlandboden /Alluvial soil"/>
    <s v="Boden/Kompost"/>
    <s v="ja"/>
    <m/>
    <m/>
    <m/>
    <n v="20"/>
    <s v="aerob"/>
    <m/>
    <s v="Gewichtsverlust"/>
    <m/>
    <n v="12"/>
    <n v="180"/>
    <n v="6.6666666666666666E-2"/>
    <m/>
    <n v="2"/>
    <s v=""/>
    <s v=""/>
    <s v=""/>
    <s v=""/>
    <s v=""/>
    <s v=""/>
    <n v="1"/>
    <x v="4"/>
    <x v="37"/>
    <s v="Chamas et al. 2020"/>
    <m/>
    <s v="ja"/>
    <s v="ja"/>
    <s v="ja"/>
    <s v="Nein "/>
    <m/>
    <s v="ja"/>
    <s v="ja"/>
    <m/>
    <s v="Dichte aus anderem Paper übernommen (Achtung: additives wurden bei der Dichte außer Acht gelassen)"/>
  </r>
  <r>
    <s v="LDPE+"/>
    <s v="LDPE/Stärke (60/40%)"/>
    <s v="ja"/>
    <s v="Zusätze"/>
    <s v="Strips"/>
    <n v="3"/>
    <n v="6.2500000000000012E-4"/>
    <n v="0.92649999999999999"/>
    <s v="Samples of 25 X 25 X 3 mm size"/>
    <m/>
    <m/>
    <s v="ja"/>
    <s v="Schwemmlandboden /Alluvial soil"/>
    <s v="Boden/Kompost"/>
    <s v="ja"/>
    <m/>
    <m/>
    <m/>
    <n v="20"/>
    <s v="aerob"/>
    <m/>
    <s v="Gewichtsverlust"/>
    <m/>
    <n v="7"/>
    <n v="180"/>
    <n v="3.888888888888889E-2"/>
    <m/>
    <n v="2"/>
    <s v=""/>
    <s v=""/>
    <s v=""/>
    <s v=""/>
    <s v=""/>
    <s v=""/>
    <n v="1"/>
    <x v="4"/>
    <x v="37"/>
    <s v="Chamas et al. 2020"/>
    <m/>
    <s v="ja"/>
    <s v="ja"/>
    <s v="ja"/>
    <s v="Nein "/>
    <m/>
    <s v="ja"/>
    <s v="ja"/>
    <m/>
    <s v="Dichte aus anderem Paper übernommen (Achtung: additives wurden bei der Dichte außer Acht gelassen)"/>
  </r>
  <r>
    <s v="LDPE+"/>
    <s v="LDPE/Stärke (70/30%)"/>
    <s v="ja"/>
    <s v="Zusätze"/>
    <s v="Strips"/>
    <n v="3"/>
    <n v="6.2500000000000012E-4"/>
    <n v="0.92649999999999999"/>
    <s v="Samples of 25 X 25 X 3 mm size"/>
    <m/>
    <m/>
    <s v="ja"/>
    <s v="Schwemmlandboden /Alluvial soil"/>
    <s v="Boden/Kompost"/>
    <s v="ja"/>
    <m/>
    <m/>
    <m/>
    <n v="20"/>
    <s v="aerob"/>
    <m/>
    <s v="Gewichtsverlust"/>
    <m/>
    <n v="3.5"/>
    <n v="180"/>
    <n v="1.9444444444444445E-2"/>
    <m/>
    <n v="2"/>
    <s v=""/>
    <s v=""/>
    <s v=""/>
    <s v=""/>
    <s v=""/>
    <s v=""/>
    <n v="1"/>
    <x v="4"/>
    <x v="37"/>
    <s v="Chamas et al. 2020"/>
    <m/>
    <s v="ja"/>
    <s v="ja"/>
    <s v="ja"/>
    <s v="Nein "/>
    <m/>
    <s v="ja"/>
    <s v="ja"/>
    <m/>
    <s v="Dichte aus anderem Paper übernommen (Achtung: additives wurden bei der Dichte außer Acht gelassen)"/>
  </r>
  <r>
    <s v="LDPE+"/>
    <s v="LDPE/Stärke (80/20%)"/>
    <s v="ja"/>
    <s v="Zusätze"/>
    <s v="Strips"/>
    <n v="3"/>
    <n v="6.2500000000000012E-4"/>
    <n v="0.92649999999999999"/>
    <s v="Samples of 25 X 25 X 3 mm size"/>
    <m/>
    <m/>
    <s v="ja"/>
    <s v="Schwemmlandboden /Alluvial soil"/>
    <s v="Boden/Kompost"/>
    <s v="ja"/>
    <m/>
    <m/>
    <m/>
    <n v="20"/>
    <s v="aerob"/>
    <m/>
    <s v="Gewichtsverlust"/>
    <m/>
    <n v="2.5"/>
    <n v="180"/>
    <n v="1.3888888888888888E-2"/>
    <m/>
    <n v="2"/>
    <s v=""/>
    <s v=""/>
    <s v=""/>
    <s v=""/>
    <s v=""/>
    <s v=""/>
    <n v="1"/>
    <x v="4"/>
    <x v="37"/>
    <s v="Chamas et al. 2020"/>
    <m/>
    <s v="ja"/>
    <s v="ja"/>
    <s v="ja"/>
    <s v="Nein "/>
    <m/>
    <s v="ja"/>
    <s v="ja"/>
    <m/>
    <s v="Dichte aus anderem Paper übernommen (Achtung: additives wurden bei der Dichte außer Acht gelassen)"/>
  </r>
  <r>
    <s v="LDPE+"/>
    <s v="LDPE/Stärke (90/10%)"/>
    <s v="ja"/>
    <s v="Zusätze"/>
    <s v="Strips"/>
    <n v="3"/>
    <n v="6.2500000000000012E-4"/>
    <n v="0.92649999999999999"/>
    <s v="Samples of 25 X 25 X 3 mm size"/>
    <m/>
    <m/>
    <s v="ja"/>
    <s v="Schwemmlandboden /Alluvial soil"/>
    <s v="Boden/Kompost"/>
    <s v="ja"/>
    <m/>
    <m/>
    <m/>
    <n v="20"/>
    <s v="aerob"/>
    <m/>
    <s v="Gewichtsverlust"/>
    <m/>
    <n v="1"/>
    <n v="180"/>
    <n v="5.5555555555555558E-3"/>
    <m/>
    <n v="2"/>
    <s v=""/>
    <s v=""/>
    <s v=""/>
    <s v=""/>
    <s v=""/>
    <s v=""/>
    <n v="1"/>
    <x v="4"/>
    <x v="37"/>
    <s v="Chamas et al. 2020"/>
    <m/>
    <s v="ja"/>
    <s v="ja"/>
    <s v="ja"/>
    <s v="Nein "/>
    <m/>
    <s v="ja"/>
    <s v="ja"/>
    <m/>
    <s v="Dichte aus anderem Paper übernommen (Achtung: additives wurden bei der Dichte außer Acht gelassen)"/>
  </r>
  <r>
    <s v="LDPE+"/>
    <s v="LDPE with biodegradation additive (1-3%)"/>
    <s v="ja"/>
    <s v="Zusätze"/>
    <s v="Powder"/>
    <s v="no value"/>
    <s v="no value"/>
    <n v="0.92649999999999999"/>
    <s v="LDPE with biodegradation additive (1-3%)"/>
    <s v="Plastic samples were pulverized with chopping devices and mortar and pedestal. The samples were kept in an oven and held at 30 +/- 2°C for 26 weeks."/>
    <m/>
    <s v="(ja)"/>
    <s v="Meerwasser (Labor)"/>
    <s v="Meerwasser"/>
    <s v="ja"/>
    <m/>
    <m/>
    <m/>
    <m/>
    <m/>
    <m/>
    <s v="CO2-Entwicklung"/>
    <m/>
    <n v="3.98"/>
    <n v="180"/>
    <n v="2.2111111111111113E-2"/>
    <m/>
    <n v="6"/>
    <s v=""/>
    <s v=""/>
    <s v=""/>
    <s v=""/>
    <s v=""/>
    <s v=""/>
    <n v="1"/>
    <x v="3"/>
    <x v="8"/>
    <s v="--"/>
    <s v="CB (März 2020)"/>
    <s v="ja "/>
    <s v="ja "/>
    <m/>
    <m/>
    <m/>
    <s v="nein"/>
    <s v="ja"/>
    <m/>
    <s v="Dichte aus anderem Paper übernommen (Achtung: additives wurden bei der Dichte außer Acht gelassen)"/>
  </r>
  <r>
    <s v="LDPE+"/>
    <s v="LDPE/Stärke (80/20%)"/>
    <s v="ja"/>
    <s v="Zusätze"/>
    <s v="Dumbbell"/>
    <n v="3"/>
    <n v="2.58E-2"/>
    <n v="0.92649999999999999"/>
    <s v="LDPE of grade 24FS040, density 0.923 g/cm3 and meltfow index (MFI) 0.44 g per 10 min obtained from Indian Petrochemical Co. Ltd., Vadodara, India, about 0.2 g weight"/>
    <m/>
    <m/>
    <s v="nein"/>
    <s v="Kompost (soil burial method)1"/>
    <s v="Boden/Kompost"/>
    <s v="ja"/>
    <s v="30-35"/>
    <m/>
    <s v="40-45"/>
    <m/>
    <m/>
    <m/>
    <s v="Gewichtsverlust"/>
    <m/>
    <n v="9"/>
    <n v="140"/>
    <n v="6.4285714285714279E-2"/>
    <m/>
    <s v=""/>
    <s v=""/>
    <s v=""/>
    <s v=""/>
    <s v=""/>
    <s v=""/>
    <s v=""/>
    <n v="1"/>
    <x v="2"/>
    <x v="38"/>
    <m/>
    <m/>
    <s v="ja "/>
    <s v="ja "/>
    <s v="ja "/>
    <m/>
    <m/>
    <s v="nein"/>
    <s v="ja"/>
    <m/>
    <s v="Dichte aus anderem Paper übernommen (Achtung: additives wurden bei der Dichte außer Acht gelassen)"/>
  </r>
  <r>
    <s v="LDPE+"/>
    <s v="LDPE/Stath (70/30%)"/>
    <s v="ja"/>
    <s v="Zusätze"/>
    <s v="Dumbbell"/>
    <n v="3"/>
    <n v="2.58E-2"/>
    <n v="0.92649999999999999"/>
    <s v="LDPE of grade 24FS040, density 0.923 g/cm3 and meltfow index (MFI) 0.44 g per 10 min obtained from Indian Petrochemical Co. Ltd., Vadodara, India, about 0.2 g weight"/>
    <m/>
    <m/>
    <s v="nein"/>
    <s v="Kompost (soil burial method)1"/>
    <s v="Boden/Kompost"/>
    <s v="ja"/>
    <s v="30-35"/>
    <m/>
    <s v="40-45"/>
    <m/>
    <m/>
    <m/>
    <s v="Gewichtsverlust"/>
    <m/>
    <n v="17.3"/>
    <n v="140"/>
    <n v="0.12357142857142858"/>
    <m/>
    <s v=""/>
    <s v=""/>
    <s v=""/>
    <s v=""/>
    <s v=""/>
    <s v=""/>
    <s v=""/>
    <n v="1"/>
    <x v="2"/>
    <x v="38"/>
    <m/>
    <m/>
    <s v="ja "/>
    <s v="ja "/>
    <s v="ja "/>
    <m/>
    <m/>
    <s v="nein"/>
    <s v="ja"/>
    <m/>
    <s v="Dichte aus anderem Paper übernommen (Achtung: additives wurden bei der Dichte außer Acht gelassen)"/>
  </r>
  <r>
    <s v="LDPE+"/>
    <s v="LDPE/Stath (80/20%)"/>
    <s v="ja"/>
    <s v="Zusätze"/>
    <s v="Dumbbell"/>
    <n v="3"/>
    <n v="2.58E-2"/>
    <n v="0.92649999999999999"/>
    <s v="LDPE of grade 24FS040, density 0.923 g/cm3 and meltfow index (MFI) 0.44 g per 10 min obtained from Indian Petrochemical Co. Ltd., Vadodara, India, about 0.2 g weight"/>
    <m/>
    <m/>
    <s v="nein"/>
    <s v="Kompost (soil burial method)1"/>
    <s v="Boden/Kompost"/>
    <s v="ja"/>
    <s v="30-35"/>
    <m/>
    <s v="40-45"/>
    <m/>
    <m/>
    <m/>
    <s v="Gewichtsverlust"/>
    <m/>
    <n v="13.5"/>
    <n v="140"/>
    <n v="9.6428571428571433E-2"/>
    <m/>
    <s v=""/>
    <s v=""/>
    <s v=""/>
    <s v=""/>
    <s v=""/>
    <s v=""/>
    <s v=""/>
    <n v="1"/>
    <x v="2"/>
    <x v="38"/>
    <m/>
    <m/>
    <s v="ja "/>
    <s v="ja "/>
    <s v="ja "/>
    <m/>
    <m/>
    <s v="nein"/>
    <s v="ja"/>
    <m/>
    <s v="Dichte aus anderem Paper übernommen (Achtung: additives wurden bei der Dichte außer Acht gelassen)"/>
  </r>
  <r>
    <s v="LDPE+"/>
    <s v="LDPE/Stath (90/10%)"/>
    <s v="ja"/>
    <s v="Zusätze"/>
    <s v="Dumbbell"/>
    <n v="3"/>
    <n v="2.58E-2"/>
    <n v="0.92649999999999999"/>
    <s v="LDPE of grade 24FS040, density 0.923 g/cm3 and meltfow index (MFI) 0.44 g per 10 min obtained from Indian Petrochemical Co. Ltd., Vadodara, India, about 0.2 g weight"/>
    <m/>
    <m/>
    <s v="nein"/>
    <s v="Kompost (soil burial method)1"/>
    <s v="Boden/Kompost"/>
    <s v="ja"/>
    <s v="30-35"/>
    <m/>
    <s v="40-45"/>
    <m/>
    <m/>
    <m/>
    <s v="Gewichtsverlust"/>
    <m/>
    <n v="6.3"/>
    <n v="140"/>
    <n v="4.4999999999999998E-2"/>
    <m/>
    <s v=""/>
    <s v=""/>
    <s v=""/>
    <s v=""/>
    <s v=""/>
    <s v=""/>
    <s v=""/>
    <n v="1"/>
    <x v="2"/>
    <x v="38"/>
    <m/>
    <m/>
    <s v="ja "/>
    <s v="ja "/>
    <s v="ja "/>
    <m/>
    <m/>
    <s v="nein"/>
    <s v="ja"/>
    <m/>
    <s v="Dichte aus anderem Paper übernommen (Achtung: additives wurden bei der Dichte außer Acht gelassen)"/>
  </r>
  <r>
    <s v="LDPE+"/>
    <s v="LDPE/Stath/Stärke (80/10/10%)"/>
    <s v="ja"/>
    <s v="Zusätze"/>
    <s v="Dumbbell"/>
    <n v="3"/>
    <n v="2.58E-2"/>
    <n v="0.92649999999999999"/>
    <s v="LDPE of grade 24FS040, density 0.923 g/cm3 and meltfow index (MFI) 0.44 g per 10 min obtained from Indian Petrochemical Co. Ltd., Vadodara, India, about 0.2 g weight"/>
    <m/>
    <m/>
    <s v="nein"/>
    <s v="Kompost (soil burial method)1"/>
    <s v="Boden/Kompost"/>
    <s v="ja"/>
    <s v="30-35"/>
    <m/>
    <s v="40-45"/>
    <m/>
    <m/>
    <m/>
    <s v="Gewichtsverlust"/>
    <m/>
    <n v="12"/>
    <n v="140"/>
    <n v="8.5714285714285715E-2"/>
    <m/>
    <s v=""/>
    <s v=""/>
    <s v=""/>
    <s v=""/>
    <s v=""/>
    <s v=""/>
    <s v=""/>
    <n v="1"/>
    <x v="2"/>
    <x v="38"/>
    <m/>
    <m/>
    <s v="ja "/>
    <s v="ja "/>
    <s v="ja "/>
    <m/>
    <m/>
    <s v="nein"/>
    <s v="ja"/>
    <m/>
    <s v="Dichte aus anderem Paper übernommen (Achtung: additives wurden bei der Dichte außer Acht gelassen)"/>
  </r>
  <r>
    <s v="LDPE+"/>
    <s v="LDPE/Stath/Stärke (80/5/15%)"/>
    <s v="ja"/>
    <s v="Zusätze"/>
    <s v="Dumbbell"/>
    <n v="3"/>
    <n v="2.58E-2"/>
    <n v="0.92649999999999999"/>
    <s v="LDPE of grade 24FS040, density 0.923 g/cm3 and meltfow index (MFI) 0.44 g per 10 min obtained from Indian Petrochemical Co. Ltd., Vadodara, India, about 0.2 g weight"/>
    <m/>
    <m/>
    <s v="nein"/>
    <s v="Kompost (soil burial method)1"/>
    <s v="Boden/Kompost"/>
    <s v="ja"/>
    <s v="30-35"/>
    <m/>
    <s v="40-45"/>
    <m/>
    <m/>
    <m/>
    <s v="Gewichtsverlust"/>
    <m/>
    <n v="13"/>
    <n v="140"/>
    <n v="9.285714285714286E-2"/>
    <m/>
    <s v=""/>
    <s v=""/>
    <s v=""/>
    <s v=""/>
    <s v=""/>
    <s v=""/>
    <s v=""/>
    <n v="1"/>
    <x v="2"/>
    <x v="38"/>
    <m/>
    <m/>
    <s v="ja "/>
    <s v="ja "/>
    <s v="ja "/>
    <m/>
    <m/>
    <s v="nein"/>
    <s v="ja"/>
    <m/>
    <s v="Dichte aus anderem Paper übernommen (Achtung: additives wurden bei der Dichte außer Acht gelassen)"/>
  </r>
  <r>
    <s v="LDPE+"/>
    <s v="LDPE/MB (80/20%)"/>
    <s v="ja"/>
    <s v="Zusätze"/>
    <s v="Film"/>
    <s v="no value"/>
    <s v="no value"/>
    <n v="0.92649999999999999"/>
    <m/>
    <m/>
    <m/>
    <s v="ja"/>
    <s v="Meerwasser (Ostsee)"/>
    <s v="Meerwasser"/>
    <s v="ja"/>
    <s v="3,2 - 21,6"/>
    <n v="8.1999999999999993"/>
    <m/>
    <m/>
    <s v="aerob"/>
    <m/>
    <s v="Gewichtsverlust"/>
    <m/>
    <n v="25"/>
    <n v="561"/>
    <n v="4.4563279857397504E-2"/>
    <m/>
    <n v="2"/>
    <s v=""/>
    <s v=""/>
    <s v=""/>
    <s v=""/>
    <s v=""/>
    <s v=""/>
    <n v="1"/>
    <x v="3"/>
    <x v="39"/>
    <m/>
    <m/>
    <s v="ja"/>
    <s v="ja"/>
    <s v="ja"/>
    <s v="ja"/>
    <s v="bedingt"/>
    <s v="nein"/>
    <s v="ja"/>
    <m/>
    <s v="Dichte aus anderem Paper übernommen (Achtung: additives wurden bei der Dichte außer Acht gelassen)"/>
  </r>
  <r>
    <s v="NR/SBR"/>
    <s v="Reifenabrieb (TRP-0,8) - 100%natural rubber"/>
    <s v="ja"/>
    <s v="Mikroorganismen"/>
    <s v="Partikel"/>
    <n v="0.8"/>
    <n v="6.4000000000000001E-7"/>
    <n v="9.3749999999999986E-2"/>
    <m/>
    <s v="tread rubber particles (TRP) were prepared by cutting tread rubber of a truck tyre with scissors."/>
    <s v="Nocardia"/>
    <s v="nein"/>
    <s v="mineral salt water"/>
    <s v="Labor"/>
    <s v="nein"/>
    <n v="30"/>
    <m/>
    <m/>
    <m/>
    <m/>
    <m/>
    <s v="Gewichtsverlust"/>
    <m/>
    <s v="15-66"/>
    <n v="56"/>
    <n v="1.1785714285714286"/>
    <m/>
    <n v="6"/>
    <s v=""/>
    <s v=""/>
    <s v=""/>
    <s v=""/>
    <s v=""/>
    <s v=""/>
    <n v="1"/>
    <x v="4"/>
    <x v="34"/>
    <m/>
    <s v="CB (März 2020)"/>
    <s v="ja"/>
    <s v="ja"/>
    <m/>
    <m/>
    <m/>
    <s v="nein"/>
    <s v="ja"/>
    <m/>
    <m/>
  </r>
  <r>
    <s v="LDPE+"/>
    <s v="LDPE/catalyst"/>
    <s v="ja"/>
    <s v="Zusätze"/>
    <s v="Strips"/>
    <n v="0.13"/>
    <n v="3.0000000000000001E-3"/>
    <n v="0.92649999999999999"/>
    <s v="LDPE + pro-oxidant"/>
    <m/>
    <m/>
    <s v="ja"/>
    <s v="Boden"/>
    <s v="Boden/Kompost"/>
    <s v="ja"/>
    <m/>
    <m/>
    <m/>
    <m/>
    <s v="aerob"/>
    <m/>
    <s v="Gewichtsverlust"/>
    <m/>
    <n v="1"/>
    <n v="150"/>
    <n v="6.6666666666666671E-3"/>
    <m/>
    <n v="2"/>
    <s v=""/>
    <s v=""/>
    <s v=""/>
    <s v=""/>
    <s v=""/>
    <s v=""/>
    <n v="1"/>
    <x v="4"/>
    <x v="24"/>
    <s v="Chamas et al. 2020"/>
    <m/>
    <s v="ja"/>
    <s v="ja"/>
    <s v="ja"/>
    <s v="ja"/>
    <s v="Ja"/>
    <s v="ja"/>
    <s v="ja"/>
    <m/>
    <s v="Dichte aus anderem Paper übernommen (Achtung: additives wurden bei der Dichte außer Acht gelassen)"/>
  </r>
  <r>
    <s v="LDPE+"/>
    <s v="LDPE/catalyst"/>
    <s v="ja"/>
    <s v="Zusätze"/>
    <s v="Strips"/>
    <n v="0.13"/>
    <n v="3.0000000000000001E-3"/>
    <n v="0.92649999999999999"/>
    <s v="LDPE + pro-oxidant"/>
    <m/>
    <m/>
    <s v="ja"/>
    <s v="Meerwasser"/>
    <s v="Meerwasser"/>
    <s v="ja"/>
    <m/>
    <m/>
    <m/>
    <m/>
    <s v="aerob"/>
    <m/>
    <s v="Gewichtsverlust"/>
    <m/>
    <n v="5.71"/>
    <n v="150"/>
    <n v="3.8066666666666665E-2"/>
    <m/>
    <n v="2"/>
    <s v=""/>
    <s v=""/>
    <s v=""/>
    <s v=""/>
    <s v=""/>
    <s v=""/>
    <n v="1"/>
    <x v="4"/>
    <x v="24"/>
    <s v="Chamas et al. 2020"/>
    <m/>
    <s v="ja"/>
    <s v="ja"/>
    <s v="ja"/>
    <s v="ja"/>
    <s v="Ja"/>
    <s v="ja"/>
    <s v="ja"/>
    <m/>
    <s v="Dichte aus anderem Paper übernommen (Achtung: additives wurden bei der Dichte außer Acht gelassen)"/>
  </r>
  <r>
    <s v="LDPE+"/>
    <s v="LLDPE 80"/>
    <s v="ja"/>
    <s v="Zusätze"/>
    <s v="Strips"/>
    <n v="0.125"/>
    <n v="2E-3"/>
    <n v="0.92649999999999999"/>
    <s v="80 wt % LLDPE, 20 wt % PLLA"/>
    <m/>
    <m/>
    <s v="nein"/>
    <s v="Mature Compost (Municipal solid waste), Inkubator"/>
    <s v="Boden/Kompost"/>
    <s v="ja"/>
    <s v="37°C (1. Tag), 50°C (2-5), 37°C (6-28)"/>
    <m/>
    <m/>
    <m/>
    <s v="aerob"/>
    <m/>
    <s v="Gewichtsverlust"/>
    <m/>
    <n v="11.6"/>
    <n v="28"/>
    <n v="0.41428571428571426"/>
    <m/>
    <n v="2"/>
    <s v=""/>
    <s v=""/>
    <s v=""/>
    <s v=""/>
    <s v=""/>
    <s v=""/>
    <n v="1"/>
    <x v="4"/>
    <x v="35"/>
    <s v="Chamas et al. 2020"/>
    <m/>
    <s v="ja"/>
    <s v="ja"/>
    <m/>
    <m/>
    <m/>
    <s v="ja"/>
    <s v="ja"/>
    <m/>
    <s v="Dichte aus anderem Paper übernommen (Achtung: additives wurden bei der Dichte außer Acht gelassen)"/>
  </r>
  <r>
    <s v="LDPE+"/>
    <s v="M-g-L 80/4"/>
    <s v="ja"/>
    <s v="Zusätze"/>
    <s v="Strips"/>
    <n v="0.125"/>
    <n v="2E-3"/>
    <n v="0.92649999999999999"/>
    <s v="80 wt % LLDPE, 20 wt % PLLA, 4 phr compatibilizer (M-g-L)"/>
    <m/>
    <m/>
    <s v="nein"/>
    <s v="Mature Compost (Municipal solid waste), Inkubator"/>
    <s v="Boden/Kompost"/>
    <s v="ja"/>
    <s v="37°C (1. Tag), 50°C (2-5), 37°C (6-28)"/>
    <m/>
    <m/>
    <m/>
    <s v="aerob"/>
    <m/>
    <s v="Gewichtsverlust"/>
    <m/>
    <n v="0.36"/>
    <n v="28"/>
    <n v="1.2857142857142857E-2"/>
    <m/>
    <n v="2"/>
    <s v=""/>
    <s v=""/>
    <s v=""/>
    <s v=""/>
    <s v=""/>
    <s v=""/>
    <n v="1"/>
    <x v="4"/>
    <x v="35"/>
    <s v="Chamas et al. 2020"/>
    <m/>
    <s v="ja"/>
    <s v="ja"/>
    <m/>
    <m/>
    <m/>
    <s v="ja"/>
    <s v="ja"/>
    <m/>
    <s v="Dichte aus anderem Paper übernommen (Achtung: additives wurden bei der Dichte außer Acht gelassen)"/>
  </r>
  <r>
    <s v="LDPE+"/>
    <s v="LDPE/Stärke (90-85/10-15%)"/>
    <s v="ja"/>
    <s v="Zusätze"/>
    <s v="Strips"/>
    <n v="0.125"/>
    <n v="2E-3"/>
    <n v="0.92649999999999999"/>
    <m/>
    <m/>
    <m/>
    <s v="(ja)"/>
    <s v="Meerwasser (ohne Nährstoffe)"/>
    <s v="Meerwasser"/>
    <s v="ja"/>
    <n v="30"/>
    <n v="7.5"/>
    <m/>
    <m/>
    <m/>
    <s v="shaking (1980 rpm)"/>
    <s v="Gewichtsverlust"/>
    <m/>
    <n v="25"/>
    <n v="365"/>
    <n v="5.7534246575342465E-2"/>
    <m/>
    <n v="2"/>
    <s v=""/>
    <s v=""/>
    <s v=""/>
    <s v=""/>
    <s v=""/>
    <s v=""/>
    <n v="1"/>
    <x v="4"/>
    <x v="21"/>
    <s v="Chamas et al. 2020"/>
    <m/>
    <s v="ja "/>
    <s v="ja "/>
    <m/>
    <s v="ja"/>
    <m/>
    <s v="ja"/>
    <s v="ja"/>
    <m/>
    <s v="Dichte aus anderem Paper übernommen (Achtung: additives wurden bei der Dichte außer Acht gelassen)"/>
  </r>
  <r>
    <s v="NR/SBR"/>
    <s v="Tire-Wear Particles"/>
    <s v="nein"/>
    <m/>
    <s v="Partikel"/>
    <n v="0.46410000000000001"/>
    <n v="0.16916597579036197"/>
    <n v="1.2"/>
    <s v="Tire-Wear Particles"/>
    <m/>
    <s v="keine"/>
    <s v="ja"/>
    <s v="Boden"/>
    <s v="Boden/Kompost"/>
    <s v="ja"/>
    <s v="kein Effekt"/>
    <m/>
    <m/>
    <m/>
    <s v="aerob"/>
    <m/>
    <s v="Sonstiges"/>
    <s v="Extraction-pyrolysis-GC"/>
    <n v="52"/>
    <n v="480"/>
    <n v="0.10833333333333334"/>
    <m/>
    <n v="6"/>
    <s v=""/>
    <s v=""/>
    <s v=""/>
    <s v=""/>
    <s v=""/>
    <s v=""/>
    <n v="1"/>
    <x v="5"/>
    <x v="40"/>
    <m/>
    <m/>
    <s v="ja "/>
    <s v="ja "/>
    <m/>
    <m/>
    <m/>
    <s v="nein"/>
    <s v="ja"/>
    <m/>
    <s v="thickness ~ Durchmesser"/>
  </r>
  <r>
    <s v="NR/SBR"/>
    <s v="polybutadiene rubber"/>
    <s v="nein"/>
    <m/>
    <s v="Partikel"/>
    <s v="no value"/>
    <s v="no value"/>
    <n v="0.91"/>
    <m/>
    <s v="Lösung in org. Lösungsmittel &amp; Autoklave"/>
    <s v="Nocardia sp."/>
    <s v="nein"/>
    <s v="Kolben"/>
    <s v="Labor"/>
    <s v="nein"/>
    <m/>
    <m/>
    <m/>
    <m/>
    <s v="aerob"/>
    <m/>
    <s v="CO2-Entwicklung"/>
    <m/>
    <n v="2"/>
    <n v="56"/>
    <n v="3.5714285714285712E-2"/>
    <m/>
    <n v="6"/>
    <s v=""/>
    <s v=""/>
    <s v=""/>
    <s v=""/>
    <s v=""/>
    <s v=""/>
    <n v="1"/>
    <x v="3"/>
    <x v="41"/>
    <m/>
    <m/>
    <s v="ja "/>
    <s v="ja "/>
    <m/>
    <m/>
    <m/>
    <s v="nein"/>
    <s v="ja"/>
    <m/>
    <m/>
  </r>
  <r>
    <s v="NR/SBR"/>
    <s v="Reifenabrieb (TRP-1,1) - 100%natural rubber"/>
    <s v="ja"/>
    <s v="Mikroorganismen"/>
    <s v="Partikel"/>
    <n v="1.1000000000000001"/>
    <n v="1.2100000000000001E-6"/>
    <n v="0.16528925619834711"/>
    <m/>
    <s v="tread rubber particles (TRP) were prepared by cutting tread rubber of a truck tyre with scissors."/>
    <s v="Nocardia"/>
    <s v="nein"/>
    <s v="mineral salt water"/>
    <s v="Labor"/>
    <s v="nein"/>
    <n v="30"/>
    <m/>
    <m/>
    <m/>
    <m/>
    <m/>
    <s v="Gewichtsverlust"/>
    <m/>
    <s v="38-63"/>
    <n v="56"/>
    <n v="1.125"/>
    <m/>
    <n v="6"/>
    <s v=""/>
    <s v=""/>
    <s v=""/>
    <s v=""/>
    <s v=""/>
    <s v=""/>
    <n v="1"/>
    <x v="4"/>
    <x v="34"/>
    <m/>
    <s v="CB (März 2020)"/>
    <s v="ja"/>
    <s v="ja"/>
    <m/>
    <m/>
    <m/>
    <s v="nein"/>
    <s v="ja"/>
    <m/>
    <m/>
  </r>
  <r>
    <s v="NR/SBR"/>
    <s v="Reifenabrieb (TRP-2,3) - 100%natural rubber"/>
    <s v="ja"/>
    <s v="Mikroorganismen"/>
    <s v="Partikel"/>
    <n v="2.2999999999999998"/>
    <n v="5.2900000000000002E-6"/>
    <n v="0.26465028355387521"/>
    <m/>
    <s v="tread rubber particles (TRP) were prepared by cutting tread rubber of a truck tyre with scissors."/>
    <s v="Nocardia"/>
    <s v="nein"/>
    <s v="mineral salt water"/>
    <s v="Labor"/>
    <s v="nein"/>
    <n v="30"/>
    <m/>
    <m/>
    <m/>
    <m/>
    <m/>
    <s v="Gewichtsverlust"/>
    <m/>
    <s v="14-38"/>
    <n v="56"/>
    <n v="0.6785714285714286"/>
    <m/>
    <n v="6"/>
    <s v=""/>
    <s v=""/>
    <s v=""/>
    <s v=""/>
    <s v=""/>
    <s v=""/>
    <n v="1"/>
    <x v="4"/>
    <x v="34"/>
    <m/>
    <s v="CB (März 2020)"/>
    <s v="ja"/>
    <s v="ja"/>
    <m/>
    <m/>
    <m/>
    <s v="nein"/>
    <s v="ja"/>
    <m/>
    <m/>
  </r>
  <r>
    <s v="PE"/>
    <s v="PE powder"/>
    <s v="ja"/>
    <s v="Vorbehandlung"/>
    <s v="Powder"/>
    <n v="7.4999999999999997E-2"/>
    <n v="1.7671458676442587E-2"/>
    <n v="0.94"/>
    <m/>
    <s v="irradiated for 25 days under UV light"/>
    <s v="bacteria sampled at the sediment of Mangrove sites"/>
    <s v="nein"/>
    <s v="mineral salt medium"/>
    <s v="Labor"/>
    <s v="nein"/>
    <m/>
    <m/>
    <m/>
    <m/>
    <m/>
    <m/>
    <s v="Gewichtsverlust"/>
    <m/>
    <s v="1,6-6,2"/>
    <n v="40"/>
    <n v="0.155"/>
    <m/>
    <n v="6"/>
    <s v=""/>
    <s v=""/>
    <s v=""/>
    <s v=""/>
    <s v=""/>
    <s v=""/>
    <n v="1"/>
    <x v="4"/>
    <x v="42"/>
    <s v="Plastik Leak Project"/>
    <s v="CB (März 2020)"/>
    <s v="ja"/>
    <s v="ja"/>
    <m/>
    <m/>
    <m/>
    <s v="nein"/>
    <s v="ja"/>
    <s v="https://www.sciencedirect.com/science/article/pii/S0269749117309648"/>
    <m/>
  </r>
  <r>
    <s v="PE"/>
    <s v="PE"/>
    <s v="ja"/>
    <s v="Mikroorganismen"/>
    <s v="Powder"/>
    <n v="1"/>
    <s v="refer to thickness"/>
    <n v="0.93799999999999994"/>
    <s v="Pellets exhibited spheroid morphology and were approximately 2–4mmin size. The pellets were mechanically cut and the resulting fragments sieved to obtain particles (microplastics) with a size range 250 μm &lt; MP &lt; 1000 μm."/>
    <s v="keine"/>
    <s v="fungus: Zalerion maritimum "/>
    <s v="nein"/>
    <s v="minimum growth medium"/>
    <s v="Labor"/>
    <s v="nein"/>
    <n v="25"/>
    <m/>
    <m/>
    <m/>
    <m/>
    <s v="bewegt"/>
    <s v="Gewichtsverlust"/>
    <m/>
    <n v="70"/>
    <n v="28"/>
    <n v="2.5"/>
    <m/>
    <n v="6"/>
    <s v=""/>
    <s v=""/>
    <s v=""/>
    <s v=""/>
    <s v=""/>
    <s v=""/>
    <n v="1"/>
    <x v="4"/>
    <x v="43"/>
    <s v="Raddadi &amp; Fava (2019)"/>
    <s v="CG (Mai 2020)"/>
    <s v="ja"/>
    <s v="ja"/>
    <m/>
    <m/>
    <m/>
    <m/>
    <s v="ja"/>
    <m/>
    <s v="Thickness: 0,25-1 mm; Dichte aus anderem Paper übernommen"/>
  </r>
  <r>
    <s v="PET"/>
    <s v="PET granules"/>
    <s v="ja"/>
    <s v="Vorbehandlung"/>
    <s v="Granules"/>
    <n v="0.24"/>
    <n v="0.18095573684677208"/>
    <n v="1.68"/>
    <m/>
    <s v="irradiated for 25 days under UV light"/>
    <s v="bacteria sampled at the sediment of Mangrove sites"/>
    <s v="nein"/>
    <s v="mineral salt medium"/>
    <s v="Labor"/>
    <s v="nein"/>
    <m/>
    <m/>
    <m/>
    <m/>
    <m/>
    <m/>
    <s v="Gewichtsverlust"/>
    <m/>
    <s v="3,0-6,6"/>
    <n v="40"/>
    <n v="0.16499999999999998"/>
    <m/>
    <n v="6"/>
    <s v=""/>
    <s v=""/>
    <s v=""/>
    <s v=""/>
    <s v=""/>
    <s v=""/>
    <n v="1"/>
    <x v="4"/>
    <x v="42"/>
    <s v="Plastik Leak Project"/>
    <s v="CB (März 2020)"/>
    <s v="ja"/>
    <s v="ja"/>
    <m/>
    <m/>
    <m/>
    <s v="nein"/>
    <s v="ja"/>
    <m/>
    <s v="Thickness &lt;0,25"/>
  </r>
  <r>
    <s v="NR/SBR"/>
    <s v="styrene rubber"/>
    <s v="nein"/>
    <m/>
    <s v="Partikel"/>
    <s v="no value"/>
    <s v="no value"/>
    <n v="1.2"/>
    <m/>
    <s v="Lösung in org. Lösungsmittel &amp; Autoklave"/>
    <s v="Nocardia sp."/>
    <s v="nein"/>
    <s v="Kolben"/>
    <s v="Labor"/>
    <s v="nein"/>
    <m/>
    <m/>
    <m/>
    <m/>
    <s v="aerob"/>
    <m/>
    <s v="CO2-Entwicklung"/>
    <m/>
    <n v="6"/>
    <n v="56"/>
    <n v="0.10714285714285714"/>
    <m/>
    <n v="6"/>
    <s v=""/>
    <s v=""/>
    <s v=""/>
    <s v=""/>
    <s v=""/>
    <s v=""/>
    <n v="1"/>
    <x v="3"/>
    <x v="41"/>
    <m/>
    <m/>
    <s v="ja "/>
    <s v="ja "/>
    <m/>
    <m/>
    <m/>
    <s v="nein"/>
    <s v="ja"/>
    <m/>
    <m/>
  </r>
  <r>
    <s v="NR/SBR"/>
    <s v="synthetic cis-1-4-polyisoprene rubber"/>
    <s v="nein"/>
    <m/>
    <s v="Partikel"/>
    <s v="no value"/>
    <s v="no value"/>
    <s v="no value"/>
    <m/>
    <s v="Lösung in org. Lösungsmittel &amp; Autoklave"/>
    <s v="Nocardia sp."/>
    <s v="nein"/>
    <s v="Kolben"/>
    <s v="Labor"/>
    <s v="nein"/>
    <m/>
    <m/>
    <m/>
    <m/>
    <s v="aerob"/>
    <m/>
    <s v="CO2-Entwicklung"/>
    <m/>
    <n v="11"/>
    <n v="56"/>
    <n v="0.19642857142857142"/>
    <m/>
    <n v="6"/>
    <s v=""/>
    <s v=""/>
    <s v=""/>
    <s v=""/>
    <s v=""/>
    <s v=""/>
    <n v="1"/>
    <x v="3"/>
    <x v="41"/>
    <m/>
    <m/>
    <s v="ja "/>
    <s v="ja "/>
    <m/>
    <m/>
    <m/>
    <s v="nein"/>
    <s v="ja"/>
    <m/>
    <m/>
  </r>
  <r>
    <s v="NR/SBR"/>
    <s v="tire rubber"/>
    <s v="nein"/>
    <m/>
    <s v="Partikel"/>
    <s v="no value"/>
    <s v="no value"/>
    <s v="no value"/>
    <s v="tire rubber, in particles with a volume of 3 cm3"/>
    <s v="Lösung in org. Lösungsmittel &amp; Autoklave"/>
    <s v="Nocardia sp."/>
    <s v="nein"/>
    <s v="Kolben"/>
    <s v="Labor"/>
    <s v="nein"/>
    <m/>
    <m/>
    <m/>
    <m/>
    <s v="aerob"/>
    <m/>
    <s v="CO2-Entwicklung"/>
    <m/>
    <n v="7.4"/>
    <n v="56"/>
    <n v="0.13214285714285715"/>
    <m/>
    <n v="6"/>
    <s v=""/>
    <s v=""/>
    <s v=""/>
    <s v=""/>
    <s v=""/>
    <s v=""/>
    <n v="1"/>
    <x v="3"/>
    <x v="41"/>
    <m/>
    <m/>
    <s v="ja "/>
    <s v="ja "/>
    <m/>
    <m/>
    <m/>
    <s v="nein"/>
    <s v="ja"/>
    <m/>
    <m/>
  </r>
  <r>
    <s v="NR/SBR"/>
    <s v="Tire-Wear Particles"/>
    <s v="nein"/>
    <m/>
    <s v="Partikel"/>
    <n v="0.46410000000000001"/>
    <n v="0.16916597579036197"/>
    <n v="1.2"/>
    <s v="particles made of tread by freezing and crushing tread-rubber removed from the test tire"/>
    <m/>
    <s v="keine"/>
    <s v="ja"/>
    <s v="Boden"/>
    <s v="Boden/Kompost"/>
    <s v="ja"/>
    <m/>
    <m/>
    <m/>
    <m/>
    <s v="aerob"/>
    <m/>
    <s v="Sonstiges"/>
    <s v="Extraction-pyrolysis-GC"/>
    <n v="4"/>
    <n v="480"/>
    <n v="8.3333333333333332E-3"/>
    <m/>
    <n v="6"/>
    <s v=""/>
    <s v=""/>
    <s v=""/>
    <s v=""/>
    <s v=""/>
    <s v=""/>
    <n v="1"/>
    <x v="5"/>
    <x v="40"/>
    <m/>
    <m/>
    <s v="ja"/>
    <s v="ja"/>
    <m/>
    <m/>
    <m/>
    <m/>
    <s v="ja"/>
    <m/>
    <s v="thickness ~ Durchmesser"/>
  </r>
  <r>
    <s v="NR/SBR"/>
    <s v="polybutadiene rubber"/>
    <s v="nein"/>
    <m/>
    <s v="no value"/>
    <s v="no value"/>
    <s v="no value"/>
    <n v="0.91"/>
    <m/>
    <m/>
    <s v="Strain 912"/>
    <s v="nein"/>
    <s v="mineral salt water"/>
    <s v="Labor"/>
    <s v="nein"/>
    <n v="30"/>
    <m/>
    <m/>
    <m/>
    <m/>
    <m/>
    <s v="Gewichtsverlust"/>
    <m/>
    <n v="51"/>
    <n v="3"/>
    <n v="17"/>
    <m/>
    <s v=""/>
    <s v=""/>
    <s v=""/>
    <s v=""/>
    <s v=""/>
    <s v=""/>
    <s v=""/>
    <n v="1"/>
    <x v="2"/>
    <x v="44"/>
    <m/>
    <s v="CB (März 2020)"/>
    <s v="ja"/>
    <s v="ja"/>
    <m/>
    <m/>
    <m/>
    <s v="nein"/>
    <s v="ja"/>
    <m/>
    <m/>
  </r>
  <r>
    <s v="HDPE"/>
    <s v="HDPE"/>
    <s v="nein"/>
    <m/>
    <s v="Coupon"/>
    <n v="1.5"/>
    <n v="1.4999999999999999E-2"/>
    <n v="0.94950000000000001"/>
    <m/>
    <s v="keine"/>
    <m/>
    <s v="ja"/>
    <s v="polymer samples were tied to fiber reinforced racks and were vertically submerged in the ocean waters of Bay of Bengal at a depth of three meters near Fisheries survey of Indi"/>
    <s v="Meerwasser"/>
    <s v="ja"/>
    <m/>
    <m/>
    <m/>
    <m/>
    <m/>
    <m/>
    <s v="Gewichtsverlust"/>
    <m/>
    <n v="1.6"/>
    <n v="365"/>
    <n v="4.383561643835617E-3"/>
    <m/>
    <n v="2"/>
    <n v="1333.3333333333333"/>
    <n v="1.4042478497454799E-3"/>
    <n v="12.000000000000004"/>
    <n v="1"/>
    <n v="12.000000000000009"/>
    <s v="HDPE_Meerwasser_natürlich"/>
    <n v="1"/>
    <x v="6"/>
    <x v="45"/>
    <m/>
    <s v="CG (August 2020)"/>
    <s v="ja"/>
    <s v="ja"/>
    <m/>
    <m/>
    <m/>
    <s v="nein"/>
    <s v="ja"/>
    <m/>
    <s v="Dichte aus anderem Paper übernommen"/>
  </r>
  <r>
    <s v="PA"/>
    <s v="Nylon 4 (Polyamid, bio-basiert)"/>
    <s v="ja"/>
    <s v="Vorbehandlung"/>
    <s v="Strips"/>
    <n v="0.06"/>
    <n v="5.0000000000000001E-4"/>
    <n v="1.1299999999999999"/>
    <m/>
    <m/>
    <m/>
    <s v="(ja)"/>
    <s v="kompostierter Boden (cow manure and grass, having been composted for 10 years)"/>
    <s v="Boden/Kompost"/>
    <s v="ja"/>
    <n v="25"/>
    <s v="7,5-7,6"/>
    <n v="80"/>
    <m/>
    <m/>
    <m/>
    <s v="Gewichtsverlust"/>
    <m/>
    <n v="100"/>
    <n v="120"/>
    <n v="0.83333333333333337"/>
    <m/>
    <n v="2"/>
    <s v=""/>
    <s v=""/>
    <s v=""/>
    <s v=""/>
    <s v=""/>
    <s v=""/>
    <n v="1"/>
    <x v="4"/>
    <x v="46"/>
    <s v="Plastik Leak Project"/>
    <s v="CB (März 2020)"/>
    <s v="ja "/>
    <s v="ja "/>
    <m/>
    <m/>
    <m/>
    <s v="nein"/>
    <s v="ja"/>
    <m/>
    <m/>
  </r>
  <r>
    <s v="LDPE"/>
    <s v="LDPE"/>
    <s v="nein"/>
    <m/>
    <s v="Strips"/>
    <n v="1.5"/>
    <n v="1.4999999999999999E-2"/>
    <n v="0.92649999999999999"/>
    <s v="Commercial polymer sample from Industrial Insulations Ltd.; average weight of each sample coupon was 21 g"/>
    <s v="keine"/>
    <m/>
    <s v="ja"/>
    <s v="Meerwasser (3m Tiefe)"/>
    <s v="Meerwasser"/>
    <s v="ja"/>
    <n v="30"/>
    <m/>
    <m/>
    <m/>
    <m/>
    <m/>
    <s v="Gewichtsverlust"/>
    <m/>
    <n v="2.5"/>
    <n v="180"/>
    <n v="1.3888888888888888E-2"/>
    <m/>
    <n v="2"/>
    <n v="1333.3333333333333"/>
    <n v="1.4391077531930203E-3"/>
    <n v="38.020833333333329"/>
    <n v="1"/>
    <n v="38.020833333333371"/>
    <s v="LDPE_Meerwasser_natürlich"/>
    <n v="1"/>
    <x v="6"/>
    <x v="36"/>
    <s v="Chamas et al. 2020"/>
    <m/>
    <s v="ja"/>
    <s v="ja"/>
    <m/>
    <m/>
    <m/>
    <s v="ja"/>
    <s v="ja"/>
    <m/>
    <s v="Dichte aus anderem Paper übernommen"/>
  </r>
  <r>
    <s v="PBAT"/>
    <s v="aliphatic/aromatic polyester"/>
    <s v="nein"/>
    <m/>
    <s v="Strips"/>
    <n v="0.72"/>
    <n v="1E-4"/>
    <n v="1.35"/>
    <s v="Blend of an aliphatic aromatic co-polyester with a corn starch-derived polymer (Ecobras , BASF)"/>
    <s v="The soil media was a mixture of 43% certified organic top soil, 43% no-till farm soil and 14% sand. The soil media was amended with ammonium phosphate to maintain a C:N ratio of 20:1 based on the carbon content of the test specimen."/>
    <m/>
    <s v="nein"/>
    <s v="Soil"/>
    <s v="Boden/Kompost"/>
    <s v="ja"/>
    <m/>
    <n v="7.43"/>
    <m/>
    <m/>
    <s v="aerob"/>
    <m/>
    <s v="CO2-Entwicklung"/>
    <m/>
    <n v="55.1"/>
    <n v="660"/>
    <n v="8.3484848484848481E-2"/>
    <m/>
    <n v="2"/>
    <s v=""/>
    <s v=""/>
    <s v=""/>
    <n v="1"/>
    <n v="109.69909090909094"/>
    <s v="PBAT_Boden/Kompost_nicht natürlich"/>
    <n v="1"/>
    <x v="7"/>
    <x v="47"/>
    <m/>
    <s v="CB (März 2020)"/>
    <s v="ja"/>
    <s v="ja"/>
    <m/>
    <m/>
    <m/>
    <s v="nein"/>
    <s v="ja"/>
    <m/>
    <s v="Dichte von Rodion übernommen"/>
  </r>
  <r>
    <s v="PBAT"/>
    <s v="aliphatic/aromatic polyester"/>
    <s v="nein"/>
    <m/>
    <s v="Strips"/>
    <n v="0.72"/>
    <n v="1E-4"/>
    <n v="1.35"/>
    <s v="Blend of an aliphatic aromatic co-polyester with a corn starch-derived polymer (Ecobras , BASF)"/>
    <m/>
    <m/>
    <s v="nein"/>
    <s v="Anaerobic digestion (AD)"/>
    <s v="Boden/Kompost"/>
    <s v="ja"/>
    <n v="37"/>
    <n v="8.3000000000000007"/>
    <m/>
    <m/>
    <s v="anaerob"/>
    <m/>
    <s v="CO2-Entwicklung"/>
    <m/>
    <n v="20.2"/>
    <n v="50"/>
    <n v="0.40399999999999997"/>
    <m/>
    <n v="2"/>
    <s v=""/>
    <s v=""/>
    <s v=""/>
    <n v="1"/>
    <n v="530.85599999999988"/>
    <s v="PBAT_Boden/Kompost_nicht natürlich"/>
    <n v="1"/>
    <x v="7"/>
    <x v="47"/>
    <m/>
    <s v="CB (März 2020)"/>
    <s v="ja"/>
    <s v="ja"/>
    <m/>
    <m/>
    <m/>
    <s v="nein"/>
    <s v="ja"/>
    <m/>
    <s v="Dichte von Rodion übernommen"/>
  </r>
  <r>
    <s v="LDPE"/>
    <s v="LDPE"/>
    <s v="nein"/>
    <m/>
    <s v="Coupon"/>
    <n v="1.5"/>
    <n v="1.4999999999999999E-2"/>
    <n v="0.92649999999999999"/>
    <m/>
    <s v="keine"/>
    <m/>
    <s v="ja"/>
    <s v="polymer samples were tied to fiber reinforced racks and were vertically submerged in the ocean waters of Bay of Bengal at a depth of three meters near Fisheries survey of Indi"/>
    <s v="Meerwasser"/>
    <s v="ja"/>
    <m/>
    <m/>
    <m/>
    <m/>
    <m/>
    <m/>
    <s v="Gewichtsverlust"/>
    <m/>
    <n v="1.9"/>
    <n v="365"/>
    <n v="5.2054794520547945E-3"/>
    <m/>
    <n v="2"/>
    <n v="1333.3333333333333"/>
    <n v="1.4391077531930203E-3"/>
    <n v="14.25"/>
    <n v="1"/>
    <n v="14.250000000000011"/>
    <s v="LDPE_Meerwasser_natürlich"/>
    <n v="1"/>
    <x v="6"/>
    <x v="45"/>
    <m/>
    <s v="CG (August 2020)"/>
    <s v="ja"/>
    <s v="ja"/>
    <m/>
    <m/>
    <m/>
    <s v="nein"/>
    <s v="ja"/>
    <m/>
    <s v="Dichte aus anderem Paper übernommen"/>
  </r>
  <r>
    <s v="PBAT"/>
    <s v="PBAT"/>
    <s v="ja"/>
    <s v="Mikroorganismen"/>
    <s v="Strips"/>
    <n v="0.02"/>
    <n v="4.0000000000000002E-4"/>
    <n v="1.35"/>
    <s v="Eastar bio (EB) supplied by Eastman."/>
    <m/>
    <s v="Bakterien aus kommunaler Abwasseraufbereitungsanlage"/>
    <s v="nein"/>
    <s v="Wasser (Labor)"/>
    <s v="Wasser"/>
    <s v="ja"/>
    <n v="30"/>
    <m/>
    <m/>
    <m/>
    <s v="aerob"/>
    <m/>
    <s v="biochemical oxygen demand (BOD)"/>
    <m/>
    <n v="15.1"/>
    <n v="28"/>
    <n v="0.53928571428571426"/>
    <m/>
    <n v="2"/>
    <s v=""/>
    <s v=""/>
    <s v=""/>
    <s v=""/>
    <s v=""/>
    <s v=""/>
    <n v="1"/>
    <x v="4"/>
    <x v="11"/>
    <s v="Emadian 2017"/>
    <m/>
    <s v="ja "/>
    <s v="ja "/>
    <m/>
    <m/>
    <m/>
    <s v="nein"/>
    <s v="ja"/>
    <m/>
    <s v="Dichte von Rodion übernommen"/>
  </r>
  <r>
    <s v="PBAT"/>
    <s v="PBAT"/>
    <s v="ja"/>
    <s v="Mikroorganismen"/>
    <s v="Strips"/>
    <n v="0.02"/>
    <n v="4.0000000000000002E-4"/>
    <n v="1.35"/>
    <s v="Eastar bio (EB) supplied by Eastman."/>
    <m/>
    <s v="Bakterien aus kommunaler _x000a_Abwasseraufbereitungsanlage"/>
    <s v="nein"/>
    <s v="Wasser (Labor)"/>
    <s v="Wasser"/>
    <s v="ja"/>
    <n v="30"/>
    <m/>
    <m/>
    <m/>
    <s v="aerob"/>
    <m/>
    <s v="Gewichtsverlust"/>
    <m/>
    <n v="0.43"/>
    <n v="28"/>
    <n v="1.5357142857142857E-2"/>
    <m/>
    <n v="2"/>
    <s v=""/>
    <s v=""/>
    <s v=""/>
    <s v=""/>
    <s v=""/>
    <s v=""/>
    <n v="1"/>
    <x v="4"/>
    <x v="11"/>
    <s v="Emadian 2017"/>
    <m/>
    <s v="ja "/>
    <s v="ja "/>
    <m/>
    <m/>
    <m/>
    <s v="nein"/>
    <s v="ja"/>
    <m/>
    <s v="Dichte von Rodion übernommen"/>
  </r>
  <r>
    <s v="PBAT"/>
    <s v="PBAT"/>
    <s v="ja"/>
    <s v="Mikroorganismen"/>
    <s v="Strips"/>
    <n v="0.02"/>
    <n v="4.0000000000000002E-4"/>
    <n v="1.35"/>
    <s v="Eastar bio (EB) supplied by Eastman."/>
    <m/>
    <s v="Bakterien aus kommunaler _x000a_Abwasseraufbereitungsanlage"/>
    <s v="nein"/>
    <s v="Wasser (Labor)"/>
    <s v="Wasser"/>
    <s v="ja"/>
    <n v="30"/>
    <m/>
    <m/>
    <m/>
    <s v="anaerob"/>
    <m/>
    <s v="Gewichtsverlust"/>
    <m/>
    <n v="0"/>
    <n v="28"/>
    <n v="0"/>
    <m/>
    <n v="2"/>
    <s v=""/>
    <s v=""/>
    <s v=""/>
    <s v=""/>
    <s v=""/>
    <s v=""/>
    <n v="1"/>
    <x v="4"/>
    <x v="11"/>
    <s v="Emadian 2017"/>
    <s v="CB (März 2020)"/>
    <s v="ja "/>
    <s v="ja "/>
    <m/>
    <m/>
    <m/>
    <s v="nein"/>
    <s v="ja"/>
    <m/>
    <s v="Dichte von Rodion übernommen"/>
  </r>
  <r>
    <s v="LDPE"/>
    <s v="LDPE"/>
    <s v="nein"/>
    <m/>
    <s v="Film"/>
    <n v="0.03"/>
    <s v="no value"/>
    <n v="0.92649999999999999"/>
    <m/>
    <s v="keine"/>
    <m/>
    <s v="ja"/>
    <s v="Mediterranean Sea - eulitoral"/>
    <s v="Meerwasser"/>
    <s v="ja"/>
    <s v="11-30"/>
    <s v="7,6-8,2"/>
    <m/>
    <m/>
    <m/>
    <m/>
    <s v="Gewichtsverlust"/>
    <s v="Desintegration is assessed photogrammetrically by quantifying the area change of the plastic film"/>
    <n v="0"/>
    <n v="678"/>
    <n v="0"/>
    <m/>
    <n v="2"/>
    <n v="66666.666666666672"/>
    <n v="7.1955387659651024E-2"/>
    <n v="0"/>
    <n v="1"/>
    <n v="0"/>
    <s v="LDPE_Meerwasser_natürlich"/>
    <n v="1"/>
    <x v="6"/>
    <x v="48"/>
    <m/>
    <s v="CG (August 2020)"/>
    <s v="ja"/>
    <s v="ja"/>
    <m/>
    <m/>
    <m/>
    <s v="nein"/>
    <s v="ja"/>
    <m/>
    <m/>
  </r>
  <r>
    <s v="PBAT"/>
    <s v="poly(butylene adipate-co-terephthalate) (PBAT)_x000a_"/>
    <s v="nein"/>
    <m/>
    <s v="Strips"/>
    <n v="0.75"/>
    <n v="5.0410000000000007E-5"/>
    <n v="1.35"/>
    <s v="We studied three PBAT variants that had similar physicochemical properties and comparable total 13C contents, but varied in the monomer that contained the 13C-label[that is,butanediol(P*BAT), adipate (PB*AT), or terephthalate (PBA*T)]"/>
    <s v="Before incubation in soil, the solvent-cast polyester films were stored in the dark at room temperature for 1 week to ensure complete evaporation ofthe solvent (chloroform)."/>
    <m/>
    <s v="nein"/>
    <s v="Boden (Labor)"/>
    <s v="Boden/Kompost"/>
    <s v="ja"/>
    <m/>
    <m/>
    <m/>
    <m/>
    <m/>
    <m/>
    <s v="CO2-Entwicklung"/>
    <m/>
    <s v="8-13"/>
    <n v="42"/>
    <n v="0.30952380952380953"/>
    <m/>
    <n v="2"/>
    <s v=""/>
    <s v=""/>
    <s v=""/>
    <n v="1"/>
    <n v="423.66071428571433"/>
    <s v="PBAT_Boden/Kompost_nicht natürlich"/>
    <n v="1"/>
    <x v="7"/>
    <x v="49"/>
    <s v="Plastic Leak Project"/>
    <s v="CB (März 2020)"/>
    <s v="ja"/>
    <s v="ja"/>
    <m/>
    <m/>
    <m/>
    <s v="nein"/>
    <s v="ja"/>
    <m/>
    <s v="Dichte von Rodion übernommen"/>
  </r>
  <r>
    <s v="PBAT+"/>
    <s v="PBAT/ATPS/PBO/PHGH (91,8/6,3/0,1/0,1%)"/>
    <s v="ja"/>
    <s v="Zusätze"/>
    <s v="Strips"/>
    <n v="4.3999999999999997E-2"/>
    <n v="2.0000000000000004E-2"/>
    <n v="1.35"/>
    <s v="ATPS = anti-microbial thermoplastic starch"/>
    <s v="keine"/>
    <m/>
    <s v="ja"/>
    <s v="Boden (soil burial test)"/>
    <s v="Boden/Kompost"/>
    <s v="ja"/>
    <m/>
    <m/>
    <m/>
    <m/>
    <m/>
    <m/>
    <s v="Gewichtsverlust"/>
    <m/>
    <n v="5.2"/>
    <n v="94"/>
    <n v="5.5319148936170216E-2"/>
    <m/>
    <n v="2"/>
    <s v=""/>
    <s v=""/>
    <s v=""/>
    <s v=""/>
    <s v=""/>
    <s v=""/>
    <n v="1"/>
    <x v="4"/>
    <x v="50"/>
    <m/>
    <m/>
    <s v="ja"/>
    <s v="nein"/>
    <m/>
    <m/>
    <m/>
    <s v="nein"/>
    <s v="ja"/>
    <m/>
    <s v="Thickness = 0,033-0,055mm; Dichte von Rodion übernommen (Achtung: additives wurden bei der Dichte außer Acht gelassen)"/>
  </r>
  <r>
    <s v="PBAT+"/>
    <s v="PBAT/ATPS/PHGH (92,7/7,2/0,1%)"/>
    <s v="ja"/>
    <s v="Zusätze"/>
    <s v="Strips"/>
    <n v="4.3999999999999997E-2"/>
    <n v="2.0000000000000004E-2"/>
    <n v="1.35"/>
    <s v="ATPS = anti-microbial thermoplastic starch"/>
    <s v="keine"/>
    <m/>
    <s v="ja"/>
    <s v="Boden (soil burial test)"/>
    <s v="Boden/Kompost"/>
    <s v="ja"/>
    <m/>
    <m/>
    <m/>
    <m/>
    <m/>
    <m/>
    <s v="Gewichtsverlust"/>
    <m/>
    <n v="4.9000000000000004"/>
    <n v="94"/>
    <n v="5.2127659574468091E-2"/>
    <m/>
    <n v="2"/>
    <s v=""/>
    <s v=""/>
    <s v=""/>
    <s v=""/>
    <s v=""/>
    <s v=""/>
    <n v="1"/>
    <x v="4"/>
    <x v="50"/>
    <m/>
    <m/>
    <s v="ja"/>
    <s v="nein"/>
    <m/>
    <m/>
    <m/>
    <s v="nein"/>
    <s v="ja"/>
    <m/>
    <s v="Thickness = 0,033-0,055mm; Dichte von Rodion übernommen (Achtung: additives wurden bei der Dichte außer Acht gelassen)"/>
  </r>
  <r>
    <s v="PBAT+"/>
    <s v="PBAT/TPS (60/40)"/>
    <s v="ja"/>
    <s v="Zusätze"/>
    <s v="Strips"/>
    <n v="4.3999999999999997E-2"/>
    <n v="2.0000000000000004E-2"/>
    <n v="1.35"/>
    <s v="TPS = thermoplastic starch"/>
    <s v="keine"/>
    <m/>
    <s v="ja"/>
    <s v="Boden (soil burial test)"/>
    <s v="Boden/Kompost"/>
    <s v="ja"/>
    <m/>
    <m/>
    <m/>
    <m/>
    <m/>
    <m/>
    <s v="Gewichtsverlust"/>
    <m/>
    <n v="34.1"/>
    <n v="94"/>
    <n v="0.36276595744680851"/>
    <m/>
    <n v="2"/>
    <s v=""/>
    <s v=""/>
    <s v=""/>
    <s v=""/>
    <s v=""/>
    <s v=""/>
    <n v="1"/>
    <x v="4"/>
    <x v="50"/>
    <m/>
    <m/>
    <s v="ja"/>
    <s v="nein"/>
    <m/>
    <m/>
    <m/>
    <s v="nein"/>
    <s v="ja"/>
    <m/>
    <s v="Thickness = 0,033-0,055mm; Dichte von Rodion übernommen (Achtung: additives wurden bei der Dichte außer Acht gelassen)"/>
  </r>
  <r>
    <s v="PBAT+"/>
    <s v="PBAT/TPS (80/20%)"/>
    <s v="ja"/>
    <s v="Zusätze"/>
    <s v="Strips"/>
    <n v="4.3999999999999997E-2"/>
    <n v="2.0000000000000004E-2"/>
    <n v="1.35"/>
    <s v="TPS = thermoplastic starch"/>
    <s v="keine"/>
    <m/>
    <s v="ja"/>
    <s v="Boden (soil burial test)"/>
    <s v="Boden/Kompost"/>
    <s v="ja"/>
    <m/>
    <m/>
    <m/>
    <m/>
    <m/>
    <m/>
    <s v="Gewichtsverlust"/>
    <m/>
    <n v="12"/>
    <n v="94"/>
    <n v="0.1276595744680851"/>
    <m/>
    <n v="2"/>
    <s v=""/>
    <s v=""/>
    <s v=""/>
    <s v=""/>
    <s v=""/>
    <s v=""/>
    <n v="1"/>
    <x v="4"/>
    <x v="50"/>
    <m/>
    <m/>
    <s v="ja"/>
    <s v="nein"/>
    <m/>
    <m/>
    <m/>
    <s v="nein"/>
    <s v="ja"/>
    <m/>
    <s v="Thickness = 0,033-0,055mm; Dichte von Rodion übernommen (Achtung: additives wurden bei der Dichte außer Acht gelassen)"/>
  </r>
  <r>
    <s v="PBAT+"/>
    <s v="PBAT/TPS/ATPS/PBO/PHGH (58,9/32,9/6,3/0,1/01,%)"/>
    <s v="ja"/>
    <s v="Zusätze"/>
    <s v="Strips"/>
    <n v="4.3999999999999997E-2"/>
    <n v="2.0000000000000004E-2"/>
    <n v="1.35"/>
    <s v="TPS = thermoplastic starch"/>
    <s v="keine"/>
    <m/>
    <s v="ja"/>
    <s v="Boden (soil burial test)"/>
    <s v="Boden/Kompost"/>
    <s v="ja"/>
    <m/>
    <m/>
    <m/>
    <m/>
    <m/>
    <m/>
    <s v="Gewichtsverlust"/>
    <m/>
    <n v="10.4"/>
    <n v="94"/>
    <n v="0.11063829787234043"/>
    <m/>
    <n v="2"/>
    <s v=""/>
    <s v=""/>
    <s v=""/>
    <s v=""/>
    <s v=""/>
    <s v=""/>
    <n v="1"/>
    <x v="4"/>
    <x v="50"/>
    <m/>
    <m/>
    <s v="ja"/>
    <s v="nein"/>
    <m/>
    <m/>
    <m/>
    <s v="nein"/>
    <s v="ja"/>
    <m/>
    <s v="Thickness = 0,033-0,055mm; Dichte von Rodion übernommen (Achtung: additives wurden bei der Dichte außer Acht gelassen)"/>
  </r>
  <r>
    <s v="PBS"/>
    <s v="PBS (pellets)"/>
    <s v="nein"/>
    <m/>
    <s v="Powder"/>
    <n v="0.6"/>
    <n v="8.8999999999999999E-3"/>
    <n v="1.1200000000000001"/>
    <s v="pellets (ground to powder)"/>
    <m/>
    <m/>
    <s v="nein"/>
    <s v="Boden (Labor)"/>
    <s v="Boden/Kompost"/>
    <s v="ja"/>
    <n v="28"/>
    <s v="mixture of soil and deionized water ratio of 1:2,5"/>
    <m/>
    <n v="14.6"/>
    <m/>
    <m/>
    <s v="CO2-Entwicklung"/>
    <m/>
    <n v="93"/>
    <n v="140"/>
    <n v="0.66428571428571426"/>
    <m/>
    <n v="6"/>
    <s v=""/>
    <s v=""/>
    <s v=""/>
    <n v="3"/>
    <n v="459.79947119354483"/>
    <s v="PBS_Boden/Kompost_nicht natürlich"/>
    <n v="1"/>
    <x v="7"/>
    <x v="51"/>
    <m/>
    <s v="CB (März 2020)"/>
    <s v="ja"/>
    <s v="ja"/>
    <m/>
    <m/>
    <m/>
    <s v="nein"/>
    <s v="ja"/>
    <m/>
    <s v="Thickness = 0,5-0,7mm"/>
  </r>
  <r>
    <s v="PBS"/>
    <s v="PBS (pellets)"/>
    <s v="nein"/>
    <m/>
    <s v="Powder"/>
    <n v="0.27749999999999997"/>
    <n v="1.9300000000000001E-2"/>
    <n v="1.1200000000000001"/>
    <s v="pellets (ground to powder)"/>
    <m/>
    <m/>
    <s v="nein"/>
    <s v="Boden (Labor)"/>
    <s v="Boden/Kompost"/>
    <s v="ja"/>
    <n v="28"/>
    <s v="mixture of soil and deionized water ratio of 1:2,5"/>
    <m/>
    <n v="14.6"/>
    <m/>
    <m/>
    <s v="CO2-Entwicklung"/>
    <m/>
    <n v="92"/>
    <n v="140"/>
    <n v="0.65714285714285714"/>
    <m/>
    <n v="6"/>
    <s v=""/>
    <s v=""/>
    <s v=""/>
    <n v="3"/>
    <n v="205.87156880956823"/>
    <s v="PBS_Boden/Kompost_nicht natürlich"/>
    <n v="1"/>
    <x v="7"/>
    <x v="51"/>
    <m/>
    <s v="CB (März 2020)"/>
    <s v="ja"/>
    <s v="ja"/>
    <m/>
    <m/>
    <m/>
    <s v="nein"/>
    <s v="ja"/>
    <m/>
    <s v="Thickness = 0,2-0,355mm"/>
  </r>
  <r>
    <s v="PBS"/>
    <s v="PBS (pellets)"/>
    <s v="nein"/>
    <m/>
    <s v="Powder"/>
    <n v="6.25E-2"/>
    <n v="8.2500000000000004E-2"/>
    <n v="1.1200000000000001"/>
    <s v="pellets (ground to powder)"/>
    <m/>
    <m/>
    <s v="nein"/>
    <s v="Boden (Labor)"/>
    <s v="Boden/Kompost"/>
    <s v="ja"/>
    <n v="28"/>
    <s v="mixture of soil and deionized water ratio of 1:2,5"/>
    <m/>
    <n v="14.6"/>
    <m/>
    <m/>
    <s v="CO2-Entwicklung"/>
    <m/>
    <n v="90"/>
    <n v="140"/>
    <n v="0.6428571428571429"/>
    <m/>
    <n v="6"/>
    <s v=""/>
    <s v=""/>
    <s v=""/>
    <n v="3"/>
    <n v="43.656698119003046"/>
    <s v="PBS_Boden/Kompost_nicht natürlich"/>
    <n v="1"/>
    <x v="7"/>
    <x v="51"/>
    <m/>
    <s v="CB (März 2020)"/>
    <s v="ja"/>
    <s v="ja"/>
    <m/>
    <m/>
    <m/>
    <s v="nein"/>
    <s v="ja"/>
    <m/>
    <s v="Thickness = 0,05-0,075mm"/>
  </r>
  <r>
    <s v="PBS"/>
    <s v="PBS (pellets)"/>
    <s v="nein"/>
    <m/>
    <s v="Pellets"/>
    <s v="no value"/>
    <n v="3.3E-3"/>
    <n v="1.1200000000000001"/>
    <s v="pellets"/>
    <m/>
    <m/>
    <s v="nein"/>
    <s v="Boden (Labor)"/>
    <s v="Boden/Kompost"/>
    <s v="ja"/>
    <n v="28"/>
    <s v="mixture of soil and deionized water ratio of 1:2,5"/>
    <m/>
    <n v="14.6"/>
    <m/>
    <m/>
    <s v="CO2-Entwicklung"/>
    <m/>
    <n v="65"/>
    <n v="140"/>
    <n v="0.4642857142857143"/>
    <m/>
    <n v="6"/>
    <s v=""/>
    <s v=""/>
    <s v=""/>
    <s v=""/>
    <s v=""/>
    <s v=""/>
    <n v="1"/>
    <x v="3"/>
    <x v="51"/>
    <m/>
    <s v="CB (März 2020)"/>
    <s v="ja"/>
    <s v="ja"/>
    <m/>
    <m/>
    <m/>
    <s v="nein"/>
    <s v="ja"/>
    <m/>
    <m/>
  </r>
  <r>
    <s v="LDPE"/>
    <s v="LDPE"/>
    <s v="nein"/>
    <m/>
    <s v="Film"/>
    <n v="0.03"/>
    <s v="no value"/>
    <n v="0.92649999999999999"/>
    <m/>
    <s v="keine"/>
    <m/>
    <s v="ja"/>
    <s v="Mediterranean Sea - pelagic"/>
    <s v="Meerwasser"/>
    <s v="ja"/>
    <s v="14-25"/>
    <n v="8.1999999999999993"/>
    <m/>
    <m/>
    <m/>
    <m/>
    <s v="Gewichtsverlust"/>
    <s v="Desintegration is assessed photogrammetrically by quantifying the area change of the plastic film"/>
    <n v="0"/>
    <n v="678"/>
    <n v="0"/>
    <m/>
    <n v="2"/>
    <n v="66666.666666666672"/>
    <n v="7.1955387659651024E-2"/>
    <n v="0"/>
    <n v="1"/>
    <n v="0"/>
    <s v="LDPE_Meerwasser_natürlich"/>
    <n v="1"/>
    <x v="6"/>
    <x v="48"/>
    <m/>
    <s v="CG (August 2020)"/>
    <s v="ja"/>
    <s v="ja"/>
    <m/>
    <m/>
    <m/>
    <s v="nein"/>
    <s v="ja"/>
    <m/>
    <m/>
  </r>
  <r>
    <s v="LDPE"/>
    <s v="LDPE"/>
    <s v="nein"/>
    <m/>
    <s v="Film"/>
    <n v="0.03"/>
    <s v="no value"/>
    <n v="0.92649999999999999"/>
    <m/>
    <s v="keine"/>
    <m/>
    <s v="ja"/>
    <s v="Mediterranean Sea - benthic"/>
    <s v="Benthic"/>
    <s v="ja"/>
    <s v="14-20"/>
    <n v="8.1999999999999993"/>
    <m/>
    <m/>
    <m/>
    <m/>
    <s v="Gewichtsverlust"/>
    <s v="Desintegration is assessed photogrammetrically by quantifying the area change of the plastic film"/>
    <n v="0"/>
    <n v="678"/>
    <n v="0"/>
    <m/>
    <n v="2"/>
    <n v="66666.666666666672"/>
    <n v="7.1955387659651024E-2"/>
    <n v="0"/>
    <n v="1"/>
    <n v="0"/>
    <s v="LDPE_Benthic_natürlich"/>
    <n v="1"/>
    <x v="6"/>
    <x v="48"/>
    <m/>
    <s v="CG (August 2020)"/>
    <s v="ja"/>
    <s v="ja"/>
    <m/>
    <m/>
    <m/>
    <s v="nein"/>
    <s v="ja"/>
    <m/>
    <m/>
  </r>
  <r>
    <s v="LDPE"/>
    <m/>
    <s v="nein"/>
    <m/>
    <s v="Film"/>
    <n v="0.03"/>
    <m/>
    <m/>
    <s v="Grade: LUPOLEN 2420K Lyondelbasell Film 30 microns"/>
    <s v="OWS Laboratory - KH2PO4 (0.1 g/L) and NH4Cl (0.05 g/L) were added to the seawaters (results from year 2 - Elba)"/>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4"/>
    <n v="313"/>
    <n v="1.2779552715654952E-2"/>
    <m/>
    <n v="2"/>
    <n v="66666.666666666672"/>
    <s v=""/>
    <n v="0.69968051118210861"/>
    <n v="1"/>
    <n v="0.69968051118210928"/>
    <s v="LDPE_Benthic_natürlich"/>
    <n v="1"/>
    <x v="6"/>
    <x v="52"/>
    <m/>
    <m/>
    <m/>
    <m/>
    <m/>
    <m/>
    <m/>
    <m/>
    <m/>
    <m/>
    <m/>
  </r>
  <r>
    <s v="LDPE"/>
    <m/>
    <s v="nein"/>
    <m/>
    <s v="Film"/>
    <n v="0.03"/>
    <m/>
    <m/>
    <s v="Grade: LUPOLEN 2420K Lyondelbasell Film 30 microns"/>
    <s v="OWS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0"/>
    <n v="240"/>
    <n v="0"/>
    <m/>
    <n v="2"/>
    <n v="66666.666666666672"/>
    <s v=""/>
    <n v="0"/>
    <n v="1"/>
    <n v="0"/>
    <s v="LDPE_Benthic_natürlich"/>
    <n v="1"/>
    <x v="6"/>
    <x v="52"/>
    <m/>
    <m/>
    <m/>
    <m/>
    <m/>
    <m/>
    <m/>
    <m/>
    <m/>
    <m/>
    <m/>
  </r>
  <r>
    <s v="LDPE"/>
    <m/>
    <s v="nein"/>
    <m/>
    <s v="Film"/>
    <n v="0.03"/>
    <m/>
    <m/>
    <s v="Grade: LUPOLEN 2420K Lyondelbasell Film 30 microns"/>
    <s v="AUA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1.8"/>
    <n v="134"/>
    <n v="1.3432835820895522E-2"/>
    <m/>
    <n v="2"/>
    <n v="66666.666666666672"/>
    <s v=""/>
    <n v="0.73544776119402988"/>
    <n v="1"/>
    <n v="0.73544776119403044"/>
    <s v="LDPE_Benthic_natürlich"/>
    <n v="1"/>
    <x v="6"/>
    <x v="52"/>
    <m/>
    <m/>
    <m/>
    <m/>
    <m/>
    <m/>
    <m/>
    <m/>
    <m/>
    <m/>
    <m/>
  </r>
  <r>
    <s v="LDPE"/>
    <m/>
    <s v="nein"/>
    <m/>
    <s v="Film"/>
    <n v="0.03"/>
    <m/>
    <m/>
    <s v="Grade: LUPOLEN 2420K Lyondelbasell Film 30 microns"/>
    <s v="LeAF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2.74"/>
    <n v="224"/>
    <n v="1.2232142857142858E-2"/>
    <m/>
    <n v="2"/>
    <n v="66666.666666666672"/>
    <s v=""/>
    <n v="0.66970982142857138"/>
    <n v="1"/>
    <n v="0.66970982142857094"/>
    <s v="LDPE_Benthic_natürlich"/>
    <n v="1"/>
    <x v="6"/>
    <x v="52"/>
    <m/>
    <m/>
    <m/>
    <m/>
    <m/>
    <m/>
    <m/>
    <m/>
    <m/>
    <m/>
    <m/>
  </r>
  <r>
    <s v="LDPE"/>
    <m/>
    <s v="nein"/>
    <m/>
    <s v="Film"/>
    <n v="0.03"/>
    <m/>
    <m/>
    <s v="Grade: LUPOLEN 2420K Lyondelbasell Film 30 microns"/>
    <s v="Novamont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3.4"/>
    <n v="257"/>
    <n v="1.3229571984435798E-2"/>
    <m/>
    <n v="2"/>
    <n v="66666.666666666672"/>
    <s v=""/>
    <n v="0.7243190661478599"/>
    <n v="1"/>
    <n v="0.72431906614786057"/>
    <s v="LDPE_Benthic_natürlich"/>
    <n v="1"/>
    <x v="6"/>
    <x v="52"/>
    <m/>
    <m/>
    <m/>
    <m/>
    <m/>
    <m/>
    <m/>
    <m/>
    <m/>
    <m/>
    <m/>
  </r>
  <r>
    <s v="LDPE"/>
    <m/>
    <s v="nein"/>
    <m/>
    <s v="Film"/>
    <n v="0.03"/>
    <m/>
    <m/>
    <s v="Grade: LUPOLEN 2420K Lyondelbasell Film 30 microns"/>
    <s v="Novamont Laboratory - KH2PO4 (0.1 g/L) and NH4Cl (0.05 g/L) were added to the seawaters (results from year 2 - Elba"/>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0"/>
    <n v="248"/>
    <n v="0"/>
    <m/>
    <n v="2"/>
    <n v="66666.666666666672"/>
    <s v=""/>
    <n v="0"/>
    <n v="1"/>
    <n v="0"/>
    <s v="LDPE_Benthic_natürlich"/>
    <n v="1"/>
    <x v="6"/>
    <x v="52"/>
    <m/>
    <m/>
    <m/>
    <m/>
    <m/>
    <m/>
    <m/>
    <m/>
    <m/>
    <m/>
    <m/>
  </r>
  <r>
    <s v="PBS"/>
    <s v="PBS"/>
    <s v="nein"/>
    <m/>
    <s v="Pellets"/>
    <s v="no value"/>
    <s v="no value"/>
    <n v="1.22"/>
    <m/>
    <m/>
    <s v="Mikroorganismen aus municipal solid waste"/>
    <s v="(ja)"/>
    <s v="Boden (Municipal Solid Waste)"/>
    <s v="Boden/Kompost"/>
    <s v="ja"/>
    <s v="28-32"/>
    <m/>
    <m/>
    <s v="50-60"/>
    <m/>
    <m/>
    <s v="Gewichtsverlust"/>
    <m/>
    <n v="12"/>
    <n v="80"/>
    <n v="0.15"/>
    <m/>
    <n v="6"/>
    <s v=""/>
    <s v=""/>
    <s v=""/>
    <s v=""/>
    <s v=""/>
    <s v=""/>
    <n v="1"/>
    <x v="3"/>
    <x v="14"/>
    <m/>
    <m/>
    <s v="ja"/>
    <s v="ja"/>
    <m/>
    <m/>
    <m/>
    <s v="nein"/>
    <s v="ja"/>
    <m/>
    <m/>
  </r>
  <r>
    <s v="PBS"/>
    <s v="PBS"/>
    <s v="nein"/>
    <m/>
    <s v="Dumbbell"/>
    <s v="no value"/>
    <s v="no value"/>
    <n v="1.22"/>
    <m/>
    <s v="keine"/>
    <m/>
    <s v="(ja)"/>
    <s v="Boden (soil burial test)"/>
    <s v="Boden/Kompost"/>
    <s v="ja"/>
    <s v="28-32"/>
    <m/>
    <s v="60-70"/>
    <m/>
    <m/>
    <m/>
    <s v="Gewichtsverlust"/>
    <m/>
    <n v="9"/>
    <n v="180"/>
    <n v="0.05"/>
    <m/>
    <s v=""/>
    <s v=""/>
    <s v=""/>
    <s v=""/>
    <s v=""/>
    <s v=""/>
    <s v=""/>
    <n v="1"/>
    <x v="2"/>
    <x v="53"/>
    <m/>
    <m/>
    <s v="ja"/>
    <s v="ja"/>
    <m/>
    <m/>
    <m/>
    <s v="nein"/>
    <s v="ja"/>
    <m/>
    <m/>
  </r>
  <r>
    <s v="LDPE"/>
    <m/>
    <s v="nein"/>
    <m/>
    <s v="Film"/>
    <n v="0.03"/>
    <m/>
    <m/>
    <s v="Grade: LUPOLEN 2420K Lyondelbasell Film 30 microns"/>
    <s v="BASF Laboratory - KH2PO4 (0.1 g/L) and NH4Cl (0.05 g/L) were added to the seawaters (results from year 2 - Elba)"/>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0"/>
    <n v="210"/>
    <n v="0"/>
    <m/>
    <n v="2"/>
    <n v="66666.666666666672"/>
    <s v=""/>
    <n v="0"/>
    <n v="1"/>
    <n v="0"/>
    <s v="LDPE_Benthic_natürlich"/>
    <n v="1"/>
    <x v="6"/>
    <x v="52"/>
    <m/>
    <m/>
    <m/>
    <m/>
    <m/>
    <m/>
    <m/>
    <m/>
    <m/>
    <m/>
    <m/>
  </r>
  <r>
    <s v="PBS"/>
    <s v="PBS"/>
    <s v="nein"/>
    <m/>
    <s v="Pellets"/>
    <s v="no value"/>
    <s v="no value"/>
    <n v="1.22"/>
    <m/>
    <m/>
    <m/>
    <s v="ja"/>
    <s v="Boden (natural soil)"/>
    <s v="Boden/Kompost"/>
    <s v="ja"/>
    <m/>
    <m/>
    <m/>
    <m/>
    <m/>
    <m/>
    <s v="Gewichtsverlust"/>
    <m/>
    <n v="3"/>
    <n v="80"/>
    <n v="3.7499999999999999E-2"/>
    <m/>
    <n v="6"/>
    <s v=""/>
    <s v=""/>
    <s v=""/>
    <s v=""/>
    <s v=""/>
    <s v=""/>
    <n v="1"/>
    <x v="3"/>
    <x v="14"/>
    <m/>
    <s v="CB (März 2020)"/>
    <s v="ja"/>
    <s v="ja"/>
    <m/>
    <m/>
    <m/>
    <s v="nein"/>
    <s v="ja"/>
    <m/>
    <m/>
  </r>
  <r>
    <s v="LDPE"/>
    <m/>
    <s v="nein"/>
    <m/>
    <s v="Film"/>
    <n v="0.03"/>
    <m/>
    <m/>
    <s v="Grade: LUPOLEN 2420K Lyondelbasell Film 30 microns"/>
    <s v="OWS Laboratory - KH2PO4 (0.1 g/L) and NH4Cl (0.05 g/L) were added to the seawaters (results from year 2 - Elba)"/>
    <s v="nein"/>
    <s v="(ja)"/>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0"/>
    <n v="180"/>
    <n v="0"/>
    <m/>
    <n v="2"/>
    <n v="66666.666666666672"/>
    <s v=""/>
    <n v="0"/>
    <n v="1"/>
    <n v="0"/>
    <s v="LDPE_Meerwasser_natürlich"/>
    <n v="1"/>
    <x v="6"/>
    <x v="52"/>
    <m/>
    <m/>
    <m/>
    <m/>
    <m/>
    <m/>
    <m/>
    <m/>
    <m/>
    <m/>
    <m/>
  </r>
  <r>
    <s v="LDPE"/>
    <m/>
    <s v="nein"/>
    <m/>
    <s v="Film"/>
    <n v="0.03"/>
    <m/>
    <m/>
    <s v="Grade: LUPOLEN 2420K Lyondelbasell Film 30 microns"/>
    <s v="OWS Laboratory - KH2PO4 (0.1 g/L) and NH4Cl (0.05 g/L) were added to the seawaters (results from year 2 - Salamis)"/>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0"/>
    <n v="180"/>
    <n v="0"/>
    <m/>
    <n v="2"/>
    <n v="66666.666666666672"/>
    <s v=""/>
    <n v="0"/>
    <n v="1"/>
    <n v="0"/>
    <s v="LDPE_Meerwasser_nicht natürlich"/>
    <n v="1"/>
    <x v="6"/>
    <x v="52"/>
    <m/>
    <m/>
    <m/>
    <m/>
    <m/>
    <m/>
    <m/>
    <m/>
    <m/>
    <m/>
    <m/>
  </r>
  <r>
    <s v="PBS"/>
    <s v="PBS (Pulver)"/>
    <m/>
    <m/>
    <s v="Powder"/>
    <s v="no value"/>
    <m/>
    <s v="--"/>
    <m/>
    <m/>
    <m/>
    <s v="nein"/>
    <s v="Kompost"/>
    <s v="Boden/Kompost"/>
    <s v="ja"/>
    <n v="58"/>
    <m/>
    <m/>
    <n v="65"/>
    <m/>
    <m/>
    <s v="CO2-Entwicklung"/>
    <m/>
    <n v="20"/>
    <n v="45"/>
    <n v="0.44444444444444442"/>
    <m/>
    <n v="6"/>
    <s v=""/>
    <s v=""/>
    <s v=""/>
    <s v=""/>
    <s v=""/>
    <s v=""/>
    <n v="0"/>
    <x v="1"/>
    <x v="54"/>
    <m/>
    <m/>
    <s v="nein"/>
    <s v="nein"/>
    <m/>
    <m/>
    <m/>
    <s v="nein"/>
    <s v="nicht möglich"/>
    <s v="Artikel nicht gefunden"/>
    <m/>
  </r>
  <r>
    <s v="PBS"/>
    <s v="PBSA (Pulver)"/>
    <m/>
    <m/>
    <s v="Powder"/>
    <s v="no value"/>
    <m/>
    <s v="--"/>
    <m/>
    <m/>
    <m/>
    <s v="nein"/>
    <s v="Kompost"/>
    <s v="Boden/Kompost"/>
    <s v="ja"/>
    <n v="58"/>
    <m/>
    <m/>
    <n v="65"/>
    <m/>
    <m/>
    <s v="CO2-Entwicklung"/>
    <m/>
    <n v="77"/>
    <n v="45"/>
    <n v="1.711111111111111"/>
    <m/>
    <n v="6"/>
    <s v=""/>
    <s v=""/>
    <s v=""/>
    <s v=""/>
    <s v=""/>
    <s v=""/>
    <n v="0"/>
    <x v="1"/>
    <x v="54"/>
    <m/>
    <m/>
    <s v="nein"/>
    <s v="nein"/>
    <m/>
    <m/>
    <m/>
    <s v="nein"/>
    <s v="nicht möglich"/>
    <s v="Artikel nicht gefunden"/>
    <m/>
  </r>
  <r>
    <s v="PBS"/>
    <s v="Poly (butylenes succinate), PBS "/>
    <s v="nein"/>
    <m/>
    <s v="no value"/>
    <s v="no value"/>
    <s v="no value"/>
    <n v="1.22"/>
    <m/>
    <m/>
    <m/>
    <s v="nein"/>
    <s v="inoculum made of farmland soil and mineral salt solution"/>
    <s v="Labor"/>
    <s v="nein"/>
    <n v="30"/>
    <m/>
    <m/>
    <m/>
    <s v="aerob"/>
    <m/>
    <s v="CO2-Entwicklung"/>
    <m/>
    <n v="1.93"/>
    <n v="14"/>
    <n v="0.13785714285714284"/>
    <m/>
    <s v=""/>
    <s v=""/>
    <s v=""/>
    <s v=""/>
    <s v=""/>
    <s v=""/>
    <s v=""/>
    <n v="1"/>
    <x v="2"/>
    <x v="4"/>
    <s v="Plastik Leak Project"/>
    <s v="CB (März 2020)"/>
    <s v="ja"/>
    <s v="ja"/>
    <m/>
    <m/>
    <m/>
    <s v="nein"/>
    <s v="ja"/>
    <m/>
    <s v="Dichte aus anderem Paper übernommen"/>
  </r>
  <r>
    <s v="PBS+"/>
    <s v="PBS/OMMT (organo-montmorillonite  nanocomposites) (90/10%)"/>
    <s v="nein"/>
    <m/>
    <s v="Dumbbell"/>
    <s v="no value"/>
    <s v="no value"/>
    <n v="1.22"/>
    <m/>
    <s v="keine"/>
    <m/>
    <s v="(ja)"/>
    <s v="Boden (soil burial test)"/>
    <s v="Boden/Kompost"/>
    <s v="ja"/>
    <s v="28-32"/>
    <m/>
    <s v="60-70"/>
    <m/>
    <m/>
    <m/>
    <s v="Gewichtsverlust"/>
    <m/>
    <n v="5.2"/>
    <n v="180"/>
    <n v="2.8888888888888891E-2"/>
    <m/>
    <s v=""/>
    <s v=""/>
    <s v=""/>
    <s v=""/>
    <s v=""/>
    <s v=""/>
    <s v=""/>
    <n v="1"/>
    <x v="2"/>
    <x v="53"/>
    <m/>
    <m/>
    <s v="ja"/>
    <s v="ja"/>
    <m/>
    <m/>
    <m/>
    <s v="nein"/>
    <s v="ja"/>
    <m/>
    <s v="Dichte aus anderem Paper übernommen; Achtung: Additive wurden dabei nicht berücksichtigt"/>
  </r>
  <r>
    <s v="PBS+"/>
    <s v="PBS/Getreide-Reste (75/25%)"/>
    <s v="ja"/>
    <s v="Zusätze"/>
    <s v="Powder"/>
    <n v="0.1"/>
    <n v="3.1415926535897934E-2"/>
    <n v="1.22"/>
    <s v="PBS 1020 (commercially named Bionolle 1020), obtained from Toyo Plastics Co., Ltd. (Japan), and manufactured by Showa High Polymer Co., Ltd. (Japan)"/>
    <s v="dried for 24 h at 80 °C"/>
    <m/>
    <s v="ja"/>
    <s v="Kompost (3 month-old compost, derived from properly aerated organic mature compost)"/>
    <s v="Boden/Kompost"/>
    <s v="ja"/>
    <s v="58-65%"/>
    <s v="7-10"/>
    <m/>
    <s v="50-55%"/>
    <s v="aerob"/>
    <m/>
    <s v="CO2-Entwicklung"/>
    <m/>
    <n v="90"/>
    <n v="100"/>
    <n v="0.9"/>
    <m/>
    <n v="6"/>
    <s v=""/>
    <s v=""/>
    <s v=""/>
    <s v=""/>
    <s v=""/>
    <s v=""/>
    <n v="1"/>
    <x v="4"/>
    <x v="55"/>
    <m/>
    <m/>
    <s v="ja "/>
    <s v="ja "/>
    <m/>
    <m/>
    <m/>
    <s v="nein"/>
    <s v="ja"/>
    <m/>
    <s v="Dichte aus anderem Paper übernommen; Achtung: Additive wurden dabei nicht berücksichtigt"/>
  </r>
  <r>
    <s v="PBS+"/>
    <s v="PBS/Grasfaser (75/25%)"/>
    <s v="ja"/>
    <s v="Zusätze"/>
    <s v="Powder"/>
    <n v="0.1"/>
    <n v="3.1415926535897934E-2"/>
    <n v="1.22"/>
    <s v="PBS 1020 (commercially named Bionolle 1020), obtained from Toyo Plastics Co., Ltd. (Japan), and manufactured by Showa High Polymer Co., Ltd. (Japan)"/>
    <s v="dried for 24 h at 80 °C"/>
    <m/>
    <s v="ja"/>
    <s v="Kompost (3 month-old compost, derived from properly aerated organic mature compost)"/>
    <s v="Boden/Kompost"/>
    <s v="ja"/>
    <s v="58-65%"/>
    <s v="7-11"/>
    <m/>
    <s v="50-55%"/>
    <s v="aerob"/>
    <m/>
    <s v="CO2-Entwicklung"/>
    <m/>
    <n v="90"/>
    <n v="170"/>
    <n v="0.52941176470588236"/>
    <m/>
    <n v="6"/>
    <s v=""/>
    <s v=""/>
    <s v=""/>
    <s v=""/>
    <s v=""/>
    <s v=""/>
    <n v="1"/>
    <x v="4"/>
    <x v="55"/>
    <m/>
    <m/>
    <s v="ja "/>
    <s v="ja "/>
    <m/>
    <m/>
    <m/>
    <s v="nein"/>
    <s v="ja"/>
    <m/>
    <s v="thickness ~ Durchmesser; Dichte aus anderem Paper übernommen; Achtung: Additive wurden dabei nicht berücksichtigt"/>
  </r>
  <r>
    <s v="PBS+"/>
    <s v="PBS/OMMT (organo-montmorillonite  nanocomposites) (98/2%)"/>
    <s v="nein"/>
    <m/>
    <s v="Dumbbell"/>
    <s v="no value"/>
    <s v="no value"/>
    <n v="1.22"/>
    <m/>
    <s v="keine"/>
    <m/>
    <s v="(ja)"/>
    <s v="Boden (soil burial test)"/>
    <s v="Boden/Kompost"/>
    <s v="ja"/>
    <s v="28-32"/>
    <m/>
    <s v="60-70"/>
    <m/>
    <m/>
    <m/>
    <s v="Gewichtsverlust"/>
    <m/>
    <n v="3.8"/>
    <n v="180"/>
    <n v="2.1111111111111112E-2"/>
    <m/>
    <s v=""/>
    <s v=""/>
    <s v=""/>
    <s v=""/>
    <s v=""/>
    <s v=""/>
    <s v=""/>
    <n v="1"/>
    <x v="2"/>
    <x v="53"/>
    <m/>
    <m/>
    <s v="ja"/>
    <s v="ja"/>
    <m/>
    <m/>
    <m/>
    <s v="nein"/>
    <s v="ja"/>
    <m/>
    <s v="Dichte aus anderem Paper übernommen; Achtung: Additive wurden dabei nicht berücksichtigt"/>
  </r>
  <r>
    <s v="PBS+"/>
    <s v="PBS/OMMT/MA (Maleic anhydride)  (93/2/5%)"/>
    <s v="nein"/>
    <m/>
    <s v="Dumbbell"/>
    <s v="no value"/>
    <s v="no value"/>
    <n v="1.22"/>
    <m/>
    <s v="keine"/>
    <m/>
    <s v="(ja)"/>
    <s v="Boden (soil burial test)"/>
    <s v="Boden/Kompost"/>
    <s v="ja"/>
    <s v="28-32"/>
    <m/>
    <s v="60-70"/>
    <m/>
    <m/>
    <m/>
    <s v="Gewichtsverlust"/>
    <m/>
    <n v="6.5"/>
    <n v="180"/>
    <n v="3.6111111111111108E-2"/>
    <m/>
    <s v=""/>
    <s v=""/>
    <s v=""/>
    <s v=""/>
    <s v=""/>
    <s v=""/>
    <s v=""/>
    <n v="1"/>
    <x v="2"/>
    <x v="53"/>
    <m/>
    <m/>
    <s v="ja"/>
    <s v="ja"/>
    <m/>
    <m/>
    <m/>
    <s v="nein"/>
    <s v="ja"/>
    <m/>
    <s v="Dichte aus anderem Paper übernommen; Achtung: Additive wurden dabei nicht berücksichtigt"/>
  </r>
  <r>
    <s v="PBS+"/>
    <s v="PBS/Raps-Reste (75/25%)"/>
    <s v="ja"/>
    <s v="Zusätze"/>
    <s v="Powder"/>
    <n v="0.1"/>
    <n v="3.1415926535897934E-2"/>
    <n v="1.22"/>
    <s v="PBS 1020 (commercially named Bionolle 1020), obtained from Toyo Plastics Co., Ltd. (Japan), and manufactured by Showa High Polymer Co., Ltd. (Japan)"/>
    <s v="dried for 24 h at 80 °C"/>
    <m/>
    <s v="ja"/>
    <s v="Kompost (3 month-old compost, derived from properly aerated organic mature compost)"/>
    <s v="Boden/Kompost"/>
    <s v="ja"/>
    <s v="58-65%"/>
    <s v="7-9"/>
    <m/>
    <s v="50-55%"/>
    <s v="aerob"/>
    <m/>
    <s v="CO2-Entwicklung"/>
    <m/>
    <n v="90"/>
    <n v="100"/>
    <n v="0.9"/>
    <m/>
    <n v="6"/>
    <s v=""/>
    <s v=""/>
    <s v=""/>
    <s v=""/>
    <s v=""/>
    <s v=""/>
    <n v="1"/>
    <x v="4"/>
    <x v="55"/>
    <m/>
    <m/>
    <s v="ja "/>
    <s v="ja "/>
    <m/>
    <m/>
    <m/>
    <s v="nein"/>
    <s v="ja"/>
    <m/>
    <s v="thickness ~ Durchmesser; Dichte aus anderem Paper übernommen; Achtung: Additive wurden dabei nicht berücksichtigt"/>
  </r>
  <r>
    <s v="PBS+"/>
    <s v="PBS/Reismehl (60/40%)"/>
    <s v="ja"/>
    <s v="Zusätze"/>
    <s v="Pellets"/>
    <s v="no value"/>
    <s v="no value"/>
    <n v="1.22"/>
    <m/>
    <m/>
    <s v="Mikroorganismen aus municipal solid waste"/>
    <s v="(ja)"/>
    <s v="Boden (Municipal Solid Waste)"/>
    <s v="Boden/Kompost"/>
    <s v="ja"/>
    <s v="28-32"/>
    <m/>
    <m/>
    <s v="50-60"/>
    <m/>
    <m/>
    <s v="Gewichtsverlust"/>
    <m/>
    <n v="17.2"/>
    <n v="80"/>
    <n v="0.215"/>
    <m/>
    <n v="6"/>
    <s v=""/>
    <s v=""/>
    <s v=""/>
    <s v=""/>
    <s v=""/>
    <s v=""/>
    <n v="1"/>
    <x v="3"/>
    <x v="14"/>
    <m/>
    <m/>
    <s v="ja"/>
    <s v="ja"/>
    <m/>
    <m/>
    <m/>
    <s v="nein"/>
    <s v="ja"/>
    <m/>
    <s v="Dichte aus anderem Paper übernommen; Achtung: Additive wurden dabei nicht berücksichtigt"/>
  </r>
  <r>
    <s v="PBS+"/>
    <s v="PBS/Reismehl (60/40%)"/>
    <s v="ja"/>
    <s v="Zusätze"/>
    <s v="Pellets"/>
    <s v="no value"/>
    <s v="no value"/>
    <n v="1.22"/>
    <m/>
    <m/>
    <m/>
    <s v="ja"/>
    <s v="Boden (natural soil)"/>
    <s v="Boden/Kompost"/>
    <s v="ja"/>
    <m/>
    <m/>
    <m/>
    <m/>
    <m/>
    <m/>
    <s v="Gewichtsverlust"/>
    <m/>
    <n v="6"/>
    <n v="80"/>
    <n v="7.4999999999999997E-2"/>
    <m/>
    <n v="6"/>
    <s v=""/>
    <s v=""/>
    <s v=""/>
    <s v=""/>
    <s v=""/>
    <s v=""/>
    <n v="1"/>
    <x v="3"/>
    <x v="14"/>
    <m/>
    <s v="CB (März 2020)"/>
    <s v="ja"/>
    <s v="ja"/>
    <m/>
    <m/>
    <m/>
    <s v="nein"/>
    <s v="ja"/>
    <m/>
    <s v="Dichte aus anderem Paper übernommen; Achtung: Additive wurden dabei nicht berücksichtigt"/>
  </r>
  <r>
    <s v="PBS+"/>
    <s v="PBS/Reismehl (70/30%)"/>
    <s v="ja"/>
    <s v="Zusätze"/>
    <s v="Pellets"/>
    <s v="no value"/>
    <s v="no value"/>
    <n v="1.22"/>
    <m/>
    <m/>
    <s v="Mikroorganismen aus municipal solid waste"/>
    <s v="(ja)"/>
    <s v="Boden (Municipal Solid Waste)"/>
    <s v="Boden/Kompost"/>
    <s v="ja"/>
    <s v="28-32"/>
    <m/>
    <m/>
    <s v="50-60"/>
    <m/>
    <m/>
    <s v="Gewichtsverlust"/>
    <m/>
    <n v="16"/>
    <n v="80"/>
    <n v="0.2"/>
    <m/>
    <n v="6"/>
    <s v=""/>
    <s v=""/>
    <s v=""/>
    <s v=""/>
    <s v=""/>
    <s v=""/>
    <n v="1"/>
    <x v="3"/>
    <x v="14"/>
    <m/>
    <m/>
    <s v="ja"/>
    <s v="ja"/>
    <m/>
    <m/>
    <m/>
    <s v="nein"/>
    <s v="ja"/>
    <m/>
    <s v="Dichte aus anderem Paper übernommen; Achtung: Additive wurden dabei nicht berücksichtigt"/>
  </r>
  <r>
    <s v="PBS+"/>
    <s v="PBS/Reismehl (80/20%)"/>
    <s v="ja"/>
    <s v="Zusätze"/>
    <s v="Pellets"/>
    <s v="no value"/>
    <s v="no value"/>
    <n v="1.22"/>
    <m/>
    <m/>
    <s v="Mikroorganismen aus municipal solid waste"/>
    <s v="(ja)"/>
    <s v="Boden (Municipal Solid Waste)"/>
    <s v="Boden/Kompost"/>
    <s v="ja"/>
    <s v="28-32"/>
    <m/>
    <m/>
    <s v="50-60"/>
    <m/>
    <m/>
    <s v="Gewichtsverlust"/>
    <m/>
    <n v="15"/>
    <n v="80"/>
    <n v="0.1875"/>
    <m/>
    <n v="6"/>
    <s v=""/>
    <s v=""/>
    <s v=""/>
    <s v=""/>
    <s v=""/>
    <s v=""/>
    <n v="1"/>
    <x v="3"/>
    <x v="14"/>
    <m/>
    <m/>
    <s v="ja"/>
    <s v="ja"/>
    <m/>
    <m/>
    <m/>
    <s v="nein"/>
    <s v="ja"/>
    <m/>
    <s v="Dichte aus anderem Paper übernommen; Achtung: Additive wurden dabei nicht berücksichtigt"/>
  </r>
  <r>
    <s v="PBS+"/>
    <s v="PBS/Reismehl (90/10%)"/>
    <s v="ja"/>
    <s v="Zusätze"/>
    <s v="Pellets"/>
    <s v="no value"/>
    <s v="no value"/>
    <n v="1.22"/>
    <m/>
    <m/>
    <s v="Mikroorganismen aus municipal solid waste"/>
    <s v="(ja)"/>
    <s v="Boden (Municipal Solid Waste)"/>
    <s v="Boden/Kompost"/>
    <s v="ja"/>
    <s v="28-32"/>
    <m/>
    <m/>
    <s v="50-60"/>
    <m/>
    <m/>
    <s v="Gewichtsverlust"/>
    <m/>
    <n v="14.5"/>
    <n v="80"/>
    <n v="0.18124999999999999"/>
    <m/>
    <n v="6"/>
    <s v=""/>
    <s v=""/>
    <s v=""/>
    <s v=""/>
    <s v=""/>
    <s v=""/>
    <n v="1"/>
    <x v="3"/>
    <x v="14"/>
    <m/>
    <m/>
    <s v="ja"/>
    <s v="ja"/>
    <m/>
    <m/>
    <m/>
    <s v="nein"/>
    <s v="ja"/>
    <m/>
    <s v="Dichte aus anderem Paper übernommen; Achtung: Additive wurden dabei nicht berücksichtigt"/>
  </r>
  <r>
    <s v="PBS+"/>
    <s v="PBS/Soja-Reste (75/25%)"/>
    <s v="ja"/>
    <s v="Zusätze"/>
    <s v="Powder"/>
    <n v="0.1"/>
    <n v="3.1415926535897934E-2"/>
    <n v="1.22"/>
    <s v="PBS 1020 (commercially named Bionolle 1020), obtained from Toyo Plastics Co., Ltd. (Japan), and manufactured by Showa High Polymer Co., Ltd. (Japan)"/>
    <s v="dried for 24 h at 80 °C"/>
    <m/>
    <s v="ja"/>
    <s v="Kompost (3 month-old compost, derived from properly aerated organic mature compost)"/>
    <s v="Boden/Kompost"/>
    <s v="ja"/>
    <s v="58-65%"/>
    <s v="7-8"/>
    <m/>
    <s v="50-55%"/>
    <s v="aerob"/>
    <m/>
    <s v="CO2-Entwicklung"/>
    <m/>
    <n v="90"/>
    <n v="100"/>
    <n v="0.9"/>
    <m/>
    <n v="6"/>
    <s v=""/>
    <s v=""/>
    <s v=""/>
    <s v=""/>
    <s v=""/>
    <s v=""/>
    <n v="1"/>
    <x v="4"/>
    <x v="55"/>
    <m/>
    <m/>
    <s v="ja "/>
    <s v="ja "/>
    <m/>
    <m/>
    <m/>
    <s v="nein"/>
    <s v="ja"/>
    <m/>
    <s v="thickness ~ Durchmesser; Dichte aus anderem Paper übernommen; Achtung: Additive wurden dabei nicht berücksichtigt"/>
  </r>
  <r>
    <s v="PBS+"/>
    <s v="PBS/Stärke (50/50) (Folie)"/>
    <s v="ja"/>
    <s v="Zusätze"/>
    <s v="Strips"/>
    <n v="2"/>
    <n v="8.9999999999999998E-4"/>
    <n v="1.22"/>
    <s v="PBS-starch (Matsubara Shoji, Tokyo, Japan)_x000a_"/>
    <m/>
    <s v="bacterial biomass 7.5 × 108 cells/g-soil)"/>
    <s v="ja"/>
    <s v="Boden (agricultural soil)"/>
    <s v="Boden/Kompost"/>
    <s v="ja"/>
    <n v="25"/>
    <m/>
    <n v="60"/>
    <s v="35-40"/>
    <m/>
    <m/>
    <s v="Gewichtsverlust"/>
    <m/>
    <n v="7"/>
    <n v="28"/>
    <n v="0.25"/>
    <m/>
    <n v="2"/>
    <s v=""/>
    <s v=""/>
    <s v=""/>
    <s v=""/>
    <s v=""/>
    <s v=""/>
    <n v="1"/>
    <x v="4"/>
    <x v="56"/>
    <s v="Emadian 2017; Plastic Leak Project"/>
    <m/>
    <s v="ja "/>
    <s v="ja"/>
    <m/>
    <m/>
    <m/>
    <s v="nein"/>
    <s v="ja"/>
    <m/>
    <s v="Dichte aus anderem Paper übernommen; Achtung: Additive wurden dabei nicht berücksichtigt"/>
  </r>
  <r>
    <s v="PBS+"/>
    <s v="PBS/Stärke (50/50) (Pulver)"/>
    <s v="ja"/>
    <s v="Zusätze"/>
    <s v="Powder"/>
    <n v="0.25"/>
    <n v="0.19634954084936207"/>
    <n v="1.22"/>
    <s v="PBS-starch (Matsubara Shoji, Tokyo, Japan)_x000a_"/>
    <m/>
    <s v="bacterial biomass 7.5 × 108 cells/g-soil)"/>
    <s v="ja"/>
    <s v="Boden (agricultural soil)"/>
    <s v="Boden/Kompost"/>
    <s v="ja"/>
    <n v="25"/>
    <m/>
    <n v="60"/>
    <s v="35-40"/>
    <m/>
    <m/>
    <s v="Gewichtsverlust"/>
    <m/>
    <n v="24.4"/>
    <n v="28"/>
    <n v="0.87142857142857133"/>
    <m/>
    <n v="6"/>
    <s v=""/>
    <s v=""/>
    <s v=""/>
    <s v=""/>
    <s v=""/>
    <s v=""/>
    <n v="1"/>
    <x v="4"/>
    <x v="56"/>
    <s v="Emadian 2017; Plastic Leak Project"/>
    <m/>
    <s v="ja "/>
    <s v="ja"/>
    <m/>
    <m/>
    <m/>
    <s v="nein"/>
    <s v="ja"/>
    <m/>
    <s v="Dichte aus anderem Paper übernommen; Achtung: Additive wurden dabei nicht berücksichtigt"/>
  </r>
  <r>
    <s v="LDPE"/>
    <m/>
    <s v="nein"/>
    <m/>
    <s v="Film"/>
    <n v="0.03"/>
    <m/>
    <m/>
    <s v="Grade: LUPOLEN 2420K Lyondelbasell Film 30 microns"/>
    <s v="AUA Laboratory - KH2PO4 (0.1 g/L) and NH4Cl (0.05 g/L) were added to the seawaters (results from year 2 - Salamis)"/>
    <m/>
    <m/>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12.4"/>
    <n v="120"/>
    <n v="0.10333333333333333"/>
    <m/>
    <n v="2"/>
    <n v="66666.666666666672"/>
    <s v=""/>
    <n v="5.6574999999999998"/>
    <n v="1"/>
    <n v="5.6574999999999998"/>
    <s v="LDPE_Meerwasser_nicht natürlich"/>
    <n v="1"/>
    <x v="6"/>
    <x v="52"/>
    <m/>
    <m/>
    <m/>
    <m/>
    <m/>
    <m/>
    <m/>
    <m/>
    <m/>
    <m/>
    <m/>
  </r>
  <r>
    <s v="LDPE"/>
    <m/>
    <s v="nein"/>
    <m/>
    <s v="Film"/>
    <n v="0.03"/>
    <m/>
    <m/>
    <s v="Grade: LUPOLEN 2420K Lyondelbasell Film 30 microns"/>
    <s v="Novamont Laboratory - KH2PO4 (0.1 g/L) and NH4Cl (0.05 g/L) were added to the seawaters (results from year 2 - Salamis)"/>
    <m/>
    <m/>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0"/>
    <n v="180"/>
    <n v="0"/>
    <m/>
    <n v="2"/>
    <n v="66666.666666666672"/>
    <s v=""/>
    <n v="0"/>
    <n v="1"/>
    <n v="0"/>
    <s v="LDPE_Meerwasser_nicht natürlich"/>
    <n v="1"/>
    <x v="6"/>
    <x v="52"/>
    <m/>
    <m/>
    <m/>
    <m/>
    <m/>
    <m/>
    <m/>
    <m/>
    <m/>
    <m/>
    <m/>
  </r>
  <r>
    <s v="LDPE"/>
    <m/>
    <s v="nein"/>
    <m/>
    <s v="Film"/>
    <n v="0.03"/>
    <m/>
    <m/>
    <s v="Grade: LUPOLEN 2420K Lyondelbasell Film 30 microns"/>
    <s v="Novamont Laboratory - KH2PO4 (0.1 g/L) and NH4Cl (0.05 g/L) were added to the seawaters (results from year 2 - Elba"/>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0"/>
    <n v="175"/>
    <n v="0"/>
    <m/>
    <n v="2"/>
    <n v="66666.666666666672"/>
    <s v=""/>
    <n v="0"/>
    <n v="1"/>
    <n v="0"/>
    <s v="LDPE_Meerwasser_nicht natürlich"/>
    <n v="1"/>
    <x v="6"/>
    <x v="52"/>
    <m/>
    <m/>
    <m/>
    <m/>
    <m/>
    <m/>
    <m/>
    <m/>
    <m/>
    <m/>
    <m/>
  </r>
  <r>
    <s v="LDPE"/>
    <m/>
    <s v="nein"/>
    <m/>
    <s v="Film"/>
    <n v="0.03"/>
    <m/>
    <m/>
    <s v="Grade: LUPOLEN 2420K Lyondelbasell Film 30 microns"/>
    <s v="BASF Laboratory - KH2PO4 (0.1 g/L) and NH4Cl (0.05 g/L) were added to the seawaters (results from year 2 - Elba)"/>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6.1"/>
    <n v="220"/>
    <n v="2.7727272727272725E-2"/>
    <m/>
    <n v="2"/>
    <n v="66666.666666666672"/>
    <s v=""/>
    <n v="1.5180681818181818"/>
    <n v="1"/>
    <n v="1.5180681818181807"/>
    <s v="LDPE_Meerwasser_nicht natürlich"/>
    <n v="1"/>
    <x v="6"/>
    <x v="52"/>
    <m/>
    <m/>
    <m/>
    <m/>
    <m/>
    <m/>
    <m/>
    <m/>
    <m/>
    <m/>
    <m/>
  </r>
  <r>
    <s v="NR/SBR"/>
    <s v="Silicone rubber"/>
    <s v="nein"/>
    <m/>
    <s v="Strips"/>
    <n v="3"/>
    <n v="7.4999999999999997E-3"/>
    <n v="1.2"/>
    <m/>
    <s v="cleaned with 70% v/v ethanol and dried in a hot air oven at 50  C for 24 h"/>
    <m/>
    <s v="ja"/>
    <s v="Meerwasser"/>
    <s v="Meerwasser"/>
    <s v="ja"/>
    <n v="28"/>
    <n v="8.18"/>
    <m/>
    <m/>
    <s v="aerob"/>
    <m/>
    <s v="Gewichtsverlust"/>
    <m/>
    <n v="2.91"/>
    <n v="365"/>
    <n v="7.9726027397260275E-3"/>
    <m/>
    <n v="2"/>
    <n v="666.66666666666663"/>
    <n v="5.5555555555555556E-4"/>
    <n v="43.650000000000006"/>
    <n v="1"/>
    <n v="43.650000000000013"/>
    <s v="NR/SBR_Meerwasser_natürlich"/>
    <n v="1"/>
    <x v="6"/>
    <x v="57"/>
    <s v="Chamas et al. 2020"/>
    <m/>
    <s v="ja "/>
    <s v="ja "/>
    <s v="ja"/>
    <s v="ja"/>
    <s v="Ja"/>
    <s v="ja"/>
    <s v="ja"/>
    <m/>
    <m/>
  </r>
  <r>
    <s v="PA"/>
    <s v="Nylon 4 (Polyamid, bio-basiert)"/>
    <s v="nein"/>
    <m/>
    <s v="Strips"/>
    <n v="0.05"/>
    <n v="9.6000000000000002E-5"/>
    <n v="1.1299999999999999"/>
    <s v="Solvent cast film of the nylon 4was prepared from nylon 4/2,2,2trifluoroethanol (Wako Pure Chemical Industries, Ltd., Osaka, Japan) solution (20 g/L) at 25 C for 1 week"/>
    <m/>
    <m/>
    <s v="ja"/>
    <s v="Meerwasser (Labor, wöchentlich frisches Wasser, geschüttelt)"/>
    <s v="Meerwasser"/>
    <s v="ja"/>
    <n v="25"/>
    <n v="8"/>
    <m/>
    <m/>
    <m/>
    <m/>
    <s v="biochemical oxygen demand (BOD)"/>
    <m/>
    <n v="80"/>
    <n v="25"/>
    <n v="3.2"/>
    <m/>
    <n v="2"/>
    <n v="40000"/>
    <n v="3.5398230088495575E-2"/>
    <n v="292"/>
    <n v="1"/>
    <n v="292"/>
    <s v="PA_Meerwasser_natürlich"/>
    <n v="1"/>
    <x v="6"/>
    <x v="58"/>
    <s v="Plastic Leak Project"/>
    <m/>
    <s v="ja"/>
    <s v="ja"/>
    <m/>
    <m/>
    <m/>
    <s v="nein"/>
    <s v="ja"/>
    <m/>
    <m/>
  </r>
  <r>
    <s v="PBAT"/>
    <s v="aliphatic/aromatic polyester"/>
    <s v="nein"/>
    <m/>
    <s v="Film"/>
    <n v="0.06"/>
    <s v="no value"/>
    <n v="1.35"/>
    <s v="Ecoflex (SASF)"/>
    <m/>
    <m/>
    <s v="ja"/>
    <s v="Boden"/>
    <s v="Boden/Kompost"/>
    <s v="ja"/>
    <m/>
    <m/>
    <m/>
    <m/>
    <s v="aerob"/>
    <m/>
    <s v="CO2-Entwicklung"/>
    <m/>
    <s v="5-95"/>
    <n v="365"/>
    <n v="0.13698630136986301"/>
    <m/>
    <n v="2"/>
    <n v="33333.333333333336"/>
    <n v="2.469135802469136E-2"/>
    <n v="15"/>
    <n v="1"/>
    <n v="15"/>
    <s v="PBAT_Boden/Kompost_natürlich"/>
    <n v="1"/>
    <x v="6"/>
    <x v="59"/>
    <s v="Plastic Leak Project"/>
    <s v="CB (März 2020)"/>
    <s v="ja"/>
    <s v="ja"/>
    <m/>
    <m/>
    <m/>
    <s v="nein"/>
    <s v="ja"/>
    <m/>
    <s v="Dichte von Rodion übernommen"/>
  </r>
  <r>
    <s v="PBAT"/>
    <s v="PBAT"/>
    <s v="nein"/>
    <m/>
    <s v="Strips"/>
    <n v="4.3999999999999997E-2"/>
    <n v="2.0000000000000004E-2"/>
    <n v="1.35"/>
    <m/>
    <s v="keine"/>
    <m/>
    <s v="ja"/>
    <s v="Boden (soil burial test)"/>
    <s v="Boden/Kompost"/>
    <s v="ja"/>
    <m/>
    <m/>
    <m/>
    <m/>
    <m/>
    <m/>
    <s v="Gewichtsverlust"/>
    <m/>
    <n v="2.2999999999999998"/>
    <n v="94"/>
    <n v="2.4468085106382976E-2"/>
    <m/>
    <n v="2"/>
    <n v="45454.545454545456"/>
    <n v="3.3670033670033669E-2"/>
    <n v="1.9647872340425527"/>
    <n v="1"/>
    <n v="1.9647872340425547"/>
    <s v="PBAT_Boden/Kompost_natürlich"/>
    <n v="1"/>
    <x v="6"/>
    <x v="50"/>
    <m/>
    <m/>
    <s v="ja"/>
    <s v="nein"/>
    <m/>
    <m/>
    <m/>
    <s v="nein"/>
    <s v="ja"/>
    <m/>
    <s v="Thickness = 0,033-0,055mm; Dichte von Rodion übernommen (Achtung: additives wurden bei der Dichte außer Acht gelassen)"/>
  </r>
  <r>
    <s v="PBSA"/>
    <s v="Poly (butylenes succinate-co- adipate), PBSA"/>
    <s v="nein"/>
    <m/>
    <s v="no value"/>
    <s v="no value"/>
    <s v="no value"/>
    <n v="1.23"/>
    <m/>
    <m/>
    <m/>
    <s v="nein"/>
    <s v="inoculum made of farmland soil and mineral salt solution"/>
    <s v="Labor"/>
    <s v="nein"/>
    <n v="30"/>
    <m/>
    <m/>
    <m/>
    <s v="aerob"/>
    <m/>
    <s v="CO2-Entwicklung"/>
    <m/>
    <n v="2.9"/>
    <n v="14"/>
    <n v="0.20714285714285713"/>
    <m/>
    <s v=""/>
    <s v=""/>
    <s v=""/>
    <s v=""/>
    <s v=""/>
    <s v=""/>
    <s v=""/>
    <n v="1"/>
    <x v="2"/>
    <x v="4"/>
    <s v="Plastik Leak Project"/>
    <s v="CB (März 2020)"/>
    <s v="ja"/>
    <s v="ja"/>
    <m/>
    <m/>
    <m/>
    <s v="nein"/>
    <s v="ja"/>
    <m/>
    <s v="Dichte von Rodion übernommen"/>
  </r>
  <r>
    <s v="PBAT"/>
    <s v="Ecoflex biodegradable plastics"/>
    <s v="nein"/>
    <m/>
    <s v="Powder"/>
    <n v="0.3"/>
    <m/>
    <m/>
    <s v="Ecoflex® #0.2 200-300μm 04/0595-1"/>
    <s v="keine"/>
    <s v="keine"/>
    <s v="ja"/>
    <s v="freshly taken seawater"/>
    <s v="Meerwasser"/>
    <s v="ja"/>
    <n v="20"/>
    <m/>
    <m/>
    <m/>
    <m/>
    <m/>
    <s v="CO2-Entwicklung"/>
    <m/>
    <n v="0"/>
    <n v="1400"/>
    <n v="0"/>
    <m/>
    <n v="6"/>
    <n v="20000"/>
    <s v=""/>
    <n v="0"/>
    <n v="3"/>
    <n v="0"/>
    <s v="PBAT_Meerwasser_natürlich"/>
    <n v="1"/>
    <x v="6"/>
    <x v="60"/>
    <m/>
    <m/>
    <m/>
    <m/>
    <m/>
    <m/>
    <m/>
    <m/>
    <m/>
    <m/>
    <m/>
  </r>
  <r>
    <s v="PBS"/>
    <s v="PBS"/>
    <s v="nein"/>
    <m/>
    <s v="Powder"/>
    <n v="0.1"/>
    <n v="3.1415926535897934E-2"/>
    <n v="1.22"/>
    <s v="PBS 1020 (commercially named Bionolle 1020), obtained from Toyo Plastics Co., Ltd. (Japan), and manufactured by Showa High Polymer Co., Ltd. (Japan)"/>
    <s v="dried for 24 h at 80 °C"/>
    <m/>
    <s v="ja"/>
    <s v="Kompost (3 month-old compost, derived from properly aerated organic mature compost)"/>
    <s v="Boden/Kompost"/>
    <s v="ja"/>
    <s v="58-65%"/>
    <s v="7-8"/>
    <m/>
    <s v="50-55%"/>
    <s v="aerob"/>
    <m/>
    <s v="CO2-Entwicklung"/>
    <m/>
    <n v="50"/>
    <n v="120"/>
    <n v="0.41666666666666669"/>
    <m/>
    <n v="6"/>
    <n v="60000"/>
    <n v="4.9180327868852458E-2"/>
    <n v="25.347222222222225"/>
    <n v="3"/>
    <n v="31.374711673251493"/>
    <s v="PBS_Boden/Kompost_natürlich"/>
    <n v="1"/>
    <x v="6"/>
    <x v="55"/>
    <m/>
    <m/>
    <s v="ja "/>
    <s v="ja "/>
    <m/>
    <m/>
    <m/>
    <s v="nein"/>
    <s v="ja"/>
    <m/>
    <m/>
  </r>
  <r>
    <s v="PBS"/>
    <s v="PBS (Folie)"/>
    <s v="?"/>
    <m/>
    <s v="Strips"/>
    <n v="2"/>
    <n v="8.9999999999999998E-4"/>
    <n v="1.22"/>
    <s v="PBS (Showa Highpolymer, Tokyo, Japan)"/>
    <m/>
    <s v="bacterial biomass 7.5 × 108 cells/g-soil)"/>
    <s v="ja"/>
    <s v="Boden (agricultural soil)"/>
    <s v="Boden/Kompost"/>
    <s v="ja"/>
    <n v="25"/>
    <m/>
    <n v="60"/>
    <s v="35-40"/>
    <m/>
    <m/>
    <s v="Gewichtsverlust"/>
    <m/>
    <n v="1"/>
    <n v="28"/>
    <n v="3.5714285714285712E-2"/>
    <m/>
    <n v="2"/>
    <n v="1000"/>
    <n v="8.1967213114754098E-4"/>
    <n v="130.35714285714286"/>
    <n v="1"/>
    <n v="130.35714285714297"/>
    <s v="PBS_Boden/Kompost_natürlich"/>
    <n v="1"/>
    <x v="6"/>
    <x v="56"/>
    <s v="Emadian 2017; Plastic Leak Project"/>
    <m/>
    <s v="ja "/>
    <s v="ja"/>
    <m/>
    <m/>
    <m/>
    <s v="nein"/>
    <s v="ja"/>
    <m/>
    <s v="Dichte aus anderem Paper übernommen"/>
  </r>
  <r>
    <s v="PBS"/>
    <s v="PBS (Pulver)"/>
    <s v="?"/>
    <m/>
    <s v="Powder"/>
    <n v="0.25"/>
    <n v="0.19634954084936207"/>
    <n v="1.22"/>
    <s v="PBS (Showa Highpolymer, Tokyo, Japan)"/>
    <m/>
    <s v="bacterial biomass 7.5 × 108 cells/g-soil)"/>
    <s v="ja"/>
    <s v="Boden (agricultural soil)"/>
    <s v="Boden/Kompost"/>
    <s v="ja"/>
    <n v="25"/>
    <m/>
    <n v="60"/>
    <s v="35-40"/>
    <m/>
    <m/>
    <s v="Gewichtsverlust"/>
    <m/>
    <n v="16.8"/>
    <n v="28"/>
    <n v="0.6"/>
    <m/>
    <n v="6"/>
    <n v="24000"/>
    <n v="1.9672131147540985E-2"/>
    <n v="91.25"/>
    <n v="3"/>
    <n v="96.897926753434859"/>
    <s v="PBS_Boden/Kompost_natürlich"/>
    <n v="1"/>
    <x v="6"/>
    <x v="56"/>
    <s v="Emadian 2017; Plastic Leak Project"/>
    <m/>
    <s v="ja "/>
    <s v="ja"/>
    <m/>
    <m/>
    <m/>
    <s v="nein"/>
    <s v="ja"/>
    <m/>
    <s v="Dichte aus anderem Paper übernommen"/>
  </r>
  <r>
    <s v="PBS"/>
    <s v="PB (succinate)"/>
    <s v="nein"/>
    <m/>
    <s v="Film"/>
    <n v="0.1"/>
    <s v="no value"/>
    <n v="1.22"/>
    <m/>
    <m/>
    <m/>
    <s v="(ja)"/>
    <s v="Flusswasser (Labor)"/>
    <s v="Süßwasser"/>
    <s v="ja"/>
    <n v="25"/>
    <m/>
    <m/>
    <m/>
    <s v="aerob"/>
    <m/>
    <s v="Gewichtsverlust"/>
    <m/>
    <s v="2"/>
    <n v="28"/>
    <n v="7.1428571428571425E-2"/>
    <m/>
    <n v="2"/>
    <n v="20000"/>
    <n v="1.6393442622950821E-2"/>
    <n v="13.035714285714286"/>
    <n v="1"/>
    <n v="13.035714285714299"/>
    <s v="PBS_Süßwasser_natürlich"/>
    <n v="1"/>
    <x v="6"/>
    <x v="61"/>
    <m/>
    <m/>
    <s v="ja"/>
    <s v="ja"/>
    <m/>
    <m/>
    <m/>
    <s v="nein"/>
    <s v="ja"/>
    <m/>
    <s v="Dichte aus anderem Paper übernommen"/>
  </r>
  <r>
    <s v="PBS"/>
    <s v="PB (succinate)"/>
    <s v="nein"/>
    <m/>
    <s v="Film"/>
    <n v="0.1"/>
    <s v="no value"/>
    <n v="1.22"/>
    <m/>
    <m/>
    <m/>
    <s v="(ja)"/>
    <s v="Flusswasser (Labor)"/>
    <s v="Süßwasser"/>
    <s v="ja"/>
    <n v="25"/>
    <m/>
    <m/>
    <m/>
    <s v="aerob"/>
    <m/>
    <s v="biochemical oxygen demand (BOD)"/>
    <m/>
    <s v="3"/>
    <n v="28"/>
    <n v="0.10714285714285714"/>
    <m/>
    <n v="2"/>
    <n v="20000"/>
    <n v="1.6393442622950821E-2"/>
    <n v="19.553571428571431"/>
    <n v="1"/>
    <n v="19.553571428571448"/>
    <s v="PBS_Süßwasser_natürlich"/>
    <n v="1"/>
    <x v="6"/>
    <x v="61"/>
    <m/>
    <m/>
    <s v="ja"/>
    <s v="ja"/>
    <m/>
    <m/>
    <m/>
    <s v="nein"/>
    <s v="ja"/>
    <m/>
    <s v="Dichte aus anderem Paper übernommen"/>
  </r>
  <r>
    <s v="PBS"/>
    <s v="PB (succinate)"/>
    <s v="nein"/>
    <m/>
    <s v="Film"/>
    <n v="0.1"/>
    <s v="no value"/>
    <n v="1.22"/>
    <m/>
    <m/>
    <m/>
    <s v="(ja)"/>
    <s v="Seewasser (Labor)"/>
    <s v="Süßwasser"/>
    <s v="ja"/>
    <n v="25"/>
    <m/>
    <m/>
    <m/>
    <s v="aerob"/>
    <m/>
    <s v="Gewichtsverlust"/>
    <m/>
    <s v="22"/>
    <n v="28"/>
    <n v="0.7857142857142857"/>
    <m/>
    <n v="2"/>
    <n v="20000"/>
    <n v="1.6393442622950821E-2"/>
    <n v="143.39285714285714"/>
    <n v="1"/>
    <n v="143.39285714285714"/>
    <s v="PBS_Süßwasser_natürlich"/>
    <n v="1"/>
    <x v="6"/>
    <x v="61"/>
    <m/>
    <m/>
    <s v="ja"/>
    <s v="ja"/>
    <m/>
    <m/>
    <m/>
    <s v="nein"/>
    <s v="ja"/>
    <m/>
    <s v="Dichte aus anderem Paper übernommen"/>
  </r>
  <r>
    <s v="PBS"/>
    <s v="PB (succinate)"/>
    <s v="nein"/>
    <m/>
    <s v="Film"/>
    <n v="0.1"/>
    <s v="no value"/>
    <n v="1.22"/>
    <m/>
    <m/>
    <m/>
    <s v="(ja)"/>
    <s v="Seewasser (Labor)"/>
    <s v="Süßwasser"/>
    <s v="ja"/>
    <n v="25"/>
    <m/>
    <m/>
    <m/>
    <s v="aerob"/>
    <m/>
    <s v="biochemical oxygen demand (BOD)"/>
    <m/>
    <s v="12"/>
    <n v="28"/>
    <n v="0.42857142857142855"/>
    <m/>
    <n v="2"/>
    <n v="20000"/>
    <n v="1.6393442622950821E-2"/>
    <n v="78.214285714285722"/>
    <n v="1"/>
    <n v="78.214285714285722"/>
    <s v="PBS_Süßwasser_natürlich"/>
    <n v="1"/>
    <x v="6"/>
    <x v="61"/>
    <m/>
    <m/>
    <s v="ja"/>
    <s v="ja"/>
    <m/>
    <m/>
    <m/>
    <s v="nein"/>
    <s v="ja"/>
    <m/>
    <s v="Dichte aus anderem Paper übernommen"/>
  </r>
  <r>
    <s v="PCL"/>
    <s v="PCL"/>
    <m/>
    <m/>
    <s v="Film"/>
    <n v="0.1"/>
    <m/>
    <s v="--"/>
    <m/>
    <m/>
    <m/>
    <s v="(ja)"/>
    <s v="Meerwasser (Labor, _x000a_frisches Wasser alle 2 Tage)"/>
    <s v="Meerwasser"/>
    <s v="ja"/>
    <n v="25"/>
    <m/>
    <m/>
    <m/>
    <s v="aerob"/>
    <m/>
    <s v="Gewichtsverlust"/>
    <m/>
    <n v="25"/>
    <n v="70"/>
    <n v="0.35714285714285715"/>
    <m/>
    <n v="2"/>
    <s v=""/>
    <s v=""/>
    <s v=""/>
    <s v=""/>
    <s v=""/>
    <s v=""/>
    <n v="0"/>
    <x v="1"/>
    <x v="62"/>
    <s v="Emadian 2017"/>
    <m/>
    <s v="nein"/>
    <s v="nein"/>
    <m/>
    <m/>
    <m/>
    <s v="nein"/>
    <s v="nicht möglich"/>
    <s v="Artikel nicht gefunden"/>
    <s v="Dichte von Rodion übernommen"/>
  </r>
  <r>
    <s v="PCL"/>
    <s v="PCL"/>
    <s v="ja"/>
    <s v="Mikroorganismen"/>
    <s v="Strips"/>
    <n v="0.02"/>
    <n v="4.0000000000000002E-4"/>
    <n v="1.1100000000000001"/>
    <s v="PCL: TONETM polymer P-787 (Union Carbide/Dow)"/>
    <m/>
    <s v="Bakterien aus kommunaler Abwasseraufbereitungsanlage"/>
    <s v="nein"/>
    <s v="Wasser (Labor)"/>
    <s v="Wasser"/>
    <s v="ja"/>
    <n v="30"/>
    <m/>
    <m/>
    <m/>
    <s v="aerob"/>
    <m/>
    <s v="Gewichtsverlust"/>
    <m/>
    <n v="7.6"/>
    <n v="28"/>
    <n v="0.27142857142857141"/>
    <m/>
    <n v="2"/>
    <s v=""/>
    <s v=""/>
    <s v=""/>
    <s v=""/>
    <s v=""/>
    <s v=""/>
    <n v="1"/>
    <x v="4"/>
    <x v="11"/>
    <s v="Emadian 2017"/>
    <m/>
    <s v="ja "/>
    <s v="ja "/>
    <m/>
    <m/>
    <m/>
    <s v="nein"/>
    <s v="ja"/>
    <m/>
    <s v="Dichte von Rodion übernommen"/>
  </r>
  <r>
    <s v="PCL"/>
    <s v="PCL"/>
    <s v="ja"/>
    <s v="Mikroorganismen"/>
    <s v="Strips"/>
    <n v="0.02"/>
    <n v="4.0000000000000002E-4"/>
    <n v="1.1100000000000001"/>
    <s v="PCL: TONETM polymer P-787 (Union Carbide/Dow)"/>
    <m/>
    <s v="Bakterien aus kommunaler Abwasseraufbereitungsanlage"/>
    <s v="nein"/>
    <s v="Wasser (Labor)"/>
    <s v="Wasser"/>
    <s v="ja"/>
    <n v="30"/>
    <m/>
    <m/>
    <m/>
    <s v="aerob"/>
    <m/>
    <s v="biochemical oxygen demand (BOD)"/>
    <m/>
    <n v="34.799999999999997"/>
    <n v="28"/>
    <n v="1.2428571428571427"/>
    <m/>
    <n v="2"/>
    <s v=""/>
    <s v=""/>
    <s v=""/>
    <s v=""/>
    <s v=""/>
    <s v=""/>
    <n v="1"/>
    <x v="4"/>
    <x v="11"/>
    <s v="Emadian 2017"/>
    <m/>
    <s v="ja "/>
    <s v="ja "/>
    <m/>
    <m/>
    <m/>
    <s v="nein"/>
    <s v="ja"/>
    <m/>
    <s v="Dichte von Rodion übernommen"/>
  </r>
  <r>
    <s v="PCL"/>
    <s v="PCL"/>
    <s v="ja"/>
    <s v="Mikroorganismen"/>
    <s v="Strips"/>
    <n v="0.02"/>
    <n v="4.0000000000000002E-4"/>
    <n v="1.1100000000000001"/>
    <s v="PCL: TONETM polymer P-787 (Union Carbide/Dow)"/>
    <m/>
    <s v="Bakterien aus kommunaler Abwasseraufbereitungsanlage"/>
    <s v="nein"/>
    <s v="Wasser (Labor)"/>
    <s v="Wasser"/>
    <s v="ja"/>
    <n v="30"/>
    <m/>
    <m/>
    <m/>
    <s v="anaerob"/>
    <m/>
    <s v="Gewichtsverlust"/>
    <m/>
    <n v="0"/>
    <n v="28"/>
    <n v="0"/>
    <m/>
    <n v="2"/>
    <s v=""/>
    <s v=""/>
    <s v=""/>
    <s v=""/>
    <s v=""/>
    <s v=""/>
    <n v="1"/>
    <x v="4"/>
    <x v="11"/>
    <s v="Emadian 2017"/>
    <s v="CB (März 2020)"/>
    <s v="ja "/>
    <s v="ja "/>
    <m/>
    <m/>
    <m/>
    <s v="nein"/>
    <s v="ja"/>
    <m/>
    <s v="Dichte von Rodion übernommen"/>
  </r>
  <r>
    <s v="PCL"/>
    <s v="PCL"/>
    <s v="nein"/>
    <m/>
    <s v="Powder"/>
    <n v="0.1565"/>
    <n v="7.6944672669884612E-2"/>
    <n v="1.1100000000000001"/>
    <s v="fine particles of poly-e-caprolactone (PCL) with the trade name PLACCEL H7TM_x000a_"/>
    <s v="sterilized by immersion in a 0.1% sodium hypochlorite aqueous solution for 1 h and then washed thoroughly with sterilized water and added in a 5 : 7 mixing ratio to sludge (dry-weight basis)_x000a_"/>
    <m/>
    <s v="nein"/>
    <s v="Kompost (Labor)"/>
    <s v="Boden/Kompost"/>
    <s v="ja"/>
    <n v="55"/>
    <m/>
    <m/>
    <m/>
    <m/>
    <m/>
    <s v="CO2-Entwicklung"/>
    <m/>
    <n v="38"/>
    <n v="6"/>
    <n v="6.333333333333333"/>
    <m/>
    <n v="6"/>
    <s v=""/>
    <s v=""/>
    <s v=""/>
    <n v="3"/>
    <n v="701.16965106247437"/>
    <s v="PCL_Boden/Kompost_nicht natürlich"/>
    <n v="1"/>
    <x v="7"/>
    <x v="63"/>
    <s v="Emadian 2017"/>
    <m/>
    <s v="ja "/>
    <s v="ja "/>
    <m/>
    <m/>
    <m/>
    <s v="nein"/>
    <s v="ja"/>
    <m/>
    <s v="Tickness = 0,063-0,25mm; Dichte von Rodion übernommen"/>
  </r>
  <r>
    <s v="PCL"/>
    <s v="PCL (Pulver)"/>
    <m/>
    <m/>
    <s v="Powder"/>
    <s v="no value"/>
    <m/>
    <n v="1.1100000000000001"/>
    <m/>
    <m/>
    <m/>
    <s v="nein"/>
    <s v="Kompost"/>
    <s v="Boden/Kompost"/>
    <s v="ja"/>
    <n v="58"/>
    <m/>
    <m/>
    <n v="65"/>
    <m/>
    <m/>
    <s v="CO2-Entwicklung"/>
    <m/>
    <n v="88"/>
    <n v="28"/>
    <n v="3.1428571428571428"/>
    <m/>
    <n v="6"/>
    <s v=""/>
    <s v=""/>
    <s v=""/>
    <s v=""/>
    <s v=""/>
    <s v=""/>
    <n v="0"/>
    <x v="1"/>
    <x v="54"/>
    <m/>
    <m/>
    <s v="nein"/>
    <s v="nein"/>
    <m/>
    <m/>
    <m/>
    <s v="nein"/>
    <s v="nicht möglich"/>
    <s v="Artikel nicht gefunden"/>
    <s v="Dichte von Rodion übernommen"/>
  </r>
  <r>
    <s v="PCL"/>
    <s v="Poly (e-caprolactone), PCL"/>
    <s v="nein"/>
    <m/>
    <s v="no value"/>
    <s v="no value"/>
    <s v="no value"/>
    <n v="1.1100000000000001"/>
    <m/>
    <m/>
    <m/>
    <s v="nein"/>
    <s v="inoculum made of farmland soil and mineral salt solution"/>
    <s v="Labor"/>
    <s v="nein"/>
    <n v="30"/>
    <m/>
    <m/>
    <m/>
    <s v="aerob"/>
    <m/>
    <s v="CO2-Entwicklung"/>
    <m/>
    <n v="25.68"/>
    <n v="14"/>
    <n v="1.8342857142857143"/>
    <m/>
    <s v=""/>
    <s v=""/>
    <s v=""/>
    <s v=""/>
    <s v=""/>
    <s v=""/>
    <s v=""/>
    <n v="1"/>
    <x v="2"/>
    <x v="4"/>
    <s v="Plastik Leak Project"/>
    <s v="CB (März 2020)"/>
    <s v="ja"/>
    <s v="ja"/>
    <m/>
    <m/>
    <m/>
    <s v="nein"/>
    <s v="ja"/>
    <m/>
    <s v="Dichte von Rodion übernommen"/>
  </r>
  <r>
    <s v="PCL"/>
    <s v="PCL"/>
    <s v="nein"/>
    <m/>
    <s v="Film"/>
    <s v="no value"/>
    <s v="no value"/>
    <n v="1.1100000000000001"/>
    <m/>
    <m/>
    <m/>
    <s v="ja"/>
    <s v="Meerwasser (Ostsee)"/>
    <s v="Meerwasser"/>
    <s v="ja"/>
    <s v="3,2 - 21,6"/>
    <n v="8.1999999999999993"/>
    <m/>
    <m/>
    <s v="aerob"/>
    <m/>
    <s v="Gewichtsverlust"/>
    <m/>
    <n v="100"/>
    <n v="42"/>
    <n v="2.3809523809523809"/>
    <m/>
    <n v="2"/>
    <s v=""/>
    <s v=""/>
    <s v=""/>
    <s v=""/>
    <s v=""/>
    <s v=""/>
    <n v="1"/>
    <x v="3"/>
    <x v="39"/>
    <m/>
    <m/>
    <s v="ja"/>
    <s v="ja"/>
    <m/>
    <m/>
    <m/>
    <s v="nein"/>
    <s v="ja"/>
    <m/>
    <s v="Dichte von Rodion übernommen"/>
  </r>
  <r>
    <s v="PBS"/>
    <s v="PB (succinate)"/>
    <s v="nein"/>
    <m/>
    <s v="Film"/>
    <n v="0.1"/>
    <s v="no value"/>
    <n v="1.22"/>
    <m/>
    <m/>
    <m/>
    <s v="(ja)"/>
    <s v="Meerwasser (aus einer Bucht, Labor)"/>
    <s v="Meerwasser"/>
    <s v="ja"/>
    <n v="25"/>
    <m/>
    <m/>
    <m/>
    <s v="aerob"/>
    <m/>
    <s v="Gewichtsverlust"/>
    <m/>
    <n v="2"/>
    <n v="28"/>
    <n v="7.1428571428571425E-2"/>
    <m/>
    <n v="2"/>
    <n v="20000"/>
    <n v="1.6393442622950821E-2"/>
    <n v="13.035714285714286"/>
    <n v="1"/>
    <n v="13.035714285714299"/>
    <s v="PBS_Meerwasser_natürlich"/>
    <n v="1"/>
    <x v="6"/>
    <x v="61"/>
    <m/>
    <m/>
    <s v="ja"/>
    <s v="ja"/>
    <m/>
    <m/>
    <m/>
    <s v="nein"/>
    <s v="ja"/>
    <m/>
    <s v="Dichte aus anderem Paper übernommen"/>
  </r>
  <r>
    <s v="PBS"/>
    <s v="PB (succinate)"/>
    <s v="nein"/>
    <m/>
    <s v="Film"/>
    <n v="0.1"/>
    <s v="no value"/>
    <n v="1.22"/>
    <m/>
    <m/>
    <m/>
    <s v="(ja)"/>
    <s v="Meerwasser (aus einer Bucht, Labor)"/>
    <s v="Meerwasser"/>
    <s v="ja"/>
    <n v="25"/>
    <m/>
    <m/>
    <m/>
    <s v="aerob"/>
    <m/>
    <s v="biochemical oxygen demand (BOD)"/>
    <m/>
    <n v="1"/>
    <n v="28"/>
    <n v="3.5714285714285712E-2"/>
    <m/>
    <n v="2"/>
    <n v="20000"/>
    <n v="1.6393442622950821E-2"/>
    <n v="6.5178571428571432"/>
    <n v="1"/>
    <n v="6.5178571428571495"/>
    <s v="PBS_Meerwasser_natürlich"/>
    <n v="1"/>
    <x v="6"/>
    <x v="61"/>
    <m/>
    <m/>
    <s v="ja"/>
    <s v="ja"/>
    <m/>
    <m/>
    <m/>
    <s v="nein"/>
    <s v="ja"/>
    <m/>
    <s v="Dichte aus anderem Paper übernommen"/>
  </r>
  <r>
    <s v="PCL"/>
    <s v="PCL"/>
    <s v="nein"/>
    <m/>
    <s v="Strips"/>
    <n v="0.06"/>
    <n v="3.0000000000000001E-3"/>
    <n v="1.1100000000000001"/>
    <s v="Poly(ε-caprolactone) [PCL] samples (CAPA 680) were received from Solvay – Belgium"/>
    <m/>
    <m/>
    <s v="ja"/>
    <s v="Meerwasser (2m unter der Oberfläche)"/>
    <s v="Meerwasser"/>
    <s v="ja"/>
    <s v="18-19"/>
    <s v="7-8"/>
    <m/>
    <m/>
    <s v="aerob"/>
    <m/>
    <s v="Sonstiges"/>
    <s v="Cristallinity changes"/>
    <n v="61.7"/>
    <n v="42"/>
    <n v="1.4690476190476192"/>
    <m/>
    <n v="2"/>
    <s v=""/>
    <s v=""/>
    <s v=""/>
    <s v=""/>
    <s v=""/>
    <s v=""/>
    <n v="1"/>
    <x v="5"/>
    <x v="64"/>
    <s v="Plastik Leak Project"/>
    <s v="CB (März 2020)"/>
    <s v="ja"/>
    <s v="ja"/>
    <m/>
    <m/>
    <m/>
    <s v="nein"/>
    <s v="ja"/>
    <m/>
    <s v="Dichte von Rodion übernommen"/>
  </r>
  <r>
    <s v="PCL"/>
    <s v="PCL"/>
    <s v="nein"/>
    <m/>
    <s v="Strips"/>
    <n v="0.06"/>
    <n v="3.0000000000000001E-3"/>
    <n v="1.1100000000000001"/>
    <s v="Poly(ε-caprolactone) [PCL] samples (CAPA 680) were received from Solvay – Belgium"/>
    <m/>
    <m/>
    <s v="nein"/>
    <s v="Meerwasser (Labor)"/>
    <s v="Meerwasser"/>
    <s v="ja"/>
    <s v="21-3"/>
    <s v="7-8"/>
    <m/>
    <m/>
    <s v="aerob"/>
    <m/>
    <s v="Gewichtsverlust"/>
    <m/>
    <n v="1.5"/>
    <n v="42"/>
    <n v="3.5714285714285712E-2"/>
    <m/>
    <n v="2"/>
    <s v=""/>
    <s v=""/>
    <s v=""/>
    <n v="1"/>
    <n v="3.9107142857142891"/>
    <s v="PCL_Meerwasser_nicht natürlich"/>
    <n v="1"/>
    <x v="7"/>
    <x v="64"/>
    <s v="Plastik Leak Project"/>
    <s v="CB (März 2020)"/>
    <s v="ja"/>
    <s v="ja"/>
    <m/>
    <m/>
    <m/>
    <s v="nein"/>
    <s v="ja"/>
    <m/>
    <s v="Dichte von Rodion übernommen"/>
  </r>
  <r>
    <s v="PCL"/>
    <s v="PCL"/>
    <s v="nein"/>
    <m/>
    <s v="Strips"/>
    <n v="0.06"/>
    <n v="3.0000000000000001E-3"/>
    <n v="1.1100000000000001"/>
    <s v="Poly(ε-caprolactone) [PCL] samples (CAPA 680) were received from Solvay – Belgium"/>
    <m/>
    <m/>
    <s v="ja"/>
    <s v="Seewasser (2m unter der Oberfläche)"/>
    <s v="Süßwasser"/>
    <s v="ja"/>
    <s v="18-19"/>
    <s v="7-8"/>
    <m/>
    <m/>
    <s v="aerob"/>
    <m/>
    <s v="Sonstiges"/>
    <s v="Cristallinity changes"/>
    <n v="66.099999999999994"/>
    <n v="259"/>
    <n v="0.25521235521235519"/>
    <m/>
    <n v="2"/>
    <s v=""/>
    <s v=""/>
    <s v=""/>
    <s v=""/>
    <s v=""/>
    <s v=""/>
    <n v="1"/>
    <x v="5"/>
    <x v="64"/>
    <s v="Plastik Leak Project"/>
    <s v="CB (März 2020)"/>
    <s v="ja"/>
    <s v="ja"/>
    <m/>
    <m/>
    <m/>
    <s v="nein"/>
    <s v="ja"/>
    <m/>
    <s v="Dichte von Rodion übernommen"/>
  </r>
  <r>
    <s v="PCL"/>
    <s v="PCL"/>
    <s v="nein"/>
    <m/>
    <s v="Strips"/>
    <n v="0.06"/>
    <n v="3.0000000000000001E-3"/>
    <n v="1.1100000000000001"/>
    <s v="Poly(ε-caprolactone) [PCL] samples (CAPA 680) were received from Solvay – Belgium"/>
    <m/>
    <m/>
    <s v="nein"/>
    <s v="Seewasser (Labor)"/>
    <s v="Süßwasser"/>
    <s v="ja"/>
    <s v="21-3"/>
    <s v="7-8"/>
    <m/>
    <m/>
    <s v="aerob"/>
    <m/>
    <s v="Gewichtsverlust"/>
    <m/>
    <n v="8.5"/>
    <n v="294"/>
    <n v="2.8911564625850341E-2"/>
    <m/>
    <n v="2"/>
    <s v=""/>
    <s v=""/>
    <s v=""/>
    <n v="1"/>
    <n v="3.1658163265306105"/>
    <s v="PCL_Süßwasser_nicht natürlich"/>
    <n v="1"/>
    <x v="7"/>
    <x v="64"/>
    <s v="Plastik Leak Project"/>
    <s v="CB (März 2020)"/>
    <s v="ja"/>
    <s v="ja"/>
    <m/>
    <m/>
    <m/>
    <s v="nein"/>
    <s v="ja"/>
    <m/>
    <s v="Dichte von Rodion übernommen"/>
  </r>
  <r>
    <s v="PCL"/>
    <s v="PCL"/>
    <s v="nein"/>
    <m/>
    <s v="Strips"/>
    <n v="0.06"/>
    <n v="3.0000000000000001E-3"/>
    <n v="1.1100000000000001"/>
    <s v="Poly(ε-caprolactone) [PCL] samples (CAPA 680) were received from Solvay – Belgium"/>
    <m/>
    <m/>
    <s v="nein"/>
    <s v="Meerwasser (Labor)"/>
    <s v="Meerwasser"/>
    <s v="ja"/>
    <s v="21-3"/>
    <s v="7-8"/>
    <m/>
    <m/>
    <s v="aerob"/>
    <m/>
    <s v="Sonstiges"/>
    <s v="Cristallinity changes"/>
    <n v="55.5"/>
    <n v="42"/>
    <n v="1.3214285714285714"/>
    <m/>
    <n v="2"/>
    <s v=""/>
    <s v=""/>
    <s v=""/>
    <s v=""/>
    <s v=""/>
    <s v=""/>
    <n v="1"/>
    <x v="5"/>
    <x v="64"/>
    <s v="Plastik Leak Project"/>
    <s v="CB (März 2020)"/>
    <s v="ja"/>
    <s v="ja"/>
    <m/>
    <m/>
    <m/>
    <s v="nein"/>
    <s v="ja"/>
    <m/>
    <s v="Dichte von Rodion übernommen"/>
  </r>
  <r>
    <s v="PCL"/>
    <s v="PCL"/>
    <s v="nein"/>
    <m/>
    <s v="Strips"/>
    <n v="0.06"/>
    <n v="3.0000000000000001E-3"/>
    <n v="1.1100000000000001"/>
    <s v="Poly(ε-caprolactone) [PCL] samples (CAPA 680) were received from Solvay – Belgium"/>
    <m/>
    <m/>
    <s v="nein"/>
    <s v="Seewasser (Labor)"/>
    <s v="Süßwasser"/>
    <s v="ja"/>
    <s v="21-3"/>
    <s v="7-8"/>
    <m/>
    <m/>
    <s v="aerob"/>
    <m/>
    <s v="Sonstiges"/>
    <s v="Cristallinity changes"/>
    <n v="60"/>
    <n v="259"/>
    <n v="0.23166023166023167"/>
    <m/>
    <n v="2"/>
    <s v=""/>
    <s v=""/>
    <s v=""/>
    <s v=""/>
    <s v=""/>
    <s v=""/>
    <n v="1"/>
    <x v="5"/>
    <x v="64"/>
    <s v="Plastik Leak Project"/>
    <s v="CB (März 2020)"/>
    <s v="ja"/>
    <s v="ja"/>
    <m/>
    <m/>
    <m/>
    <s v="nein"/>
    <s v="ja"/>
    <m/>
    <s v="Dichte von Rodion übernommen"/>
  </r>
  <r>
    <s v="PCL"/>
    <s v="PCL"/>
    <s v="nein"/>
    <m/>
    <s v="Strips"/>
    <s v="no value"/>
    <n v="2.5000000000000005E-3"/>
    <n v="1.1100000000000001"/>
    <m/>
    <s v="keine"/>
    <m/>
    <s v="(ja)"/>
    <s v="A 300-ml Erlenmeyer flask was filled with 150 g of synthesized waste which contained equivalent weights of yard waste, kitchen garbage, paper waste, dry dog-food, dewatered sludge and soil (Ishigaki et al., in press) and compacted to a density of 430 g-wet waste l1."/>
    <s v="Labor"/>
    <s v="nein"/>
    <m/>
    <s v="&lt;6"/>
    <m/>
    <m/>
    <s v="anaerob"/>
    <m/>
    <s v="Gewichtsverlust"/>
    <m/>
    <n v="30"/>
    <n v="120"/>
    <n v="0.25"/>
    <m/>
    <n v="2"/>
    <s v=""/>
    <s v=""/>
    <s v=""/>
    <s v=""/>
    <s v=""/>
    <s v=""/>
    <n v="1"/>
    <x v="3"/>
    <x v="7"/>
    <s v="Chamas et al. 2020"/>
    <s v="CG (Mai 2020)"/>
    <s v="ja"/>
    <s v="ja"/>
    <m/>
    <m/>
    <m/>
    <s v="ja"/>
    <s v="ja"/>
    <m/>
    <s v="Dichte von Rodion übernommen"/>
  </r>
  <r>
    <s v="PCL"/>
    <s v="PCL"/>
    <s v="nein"/>
    <m/>
    <s v="Strips"/>
    <s v="no value"/>
    <n v="2.5000000000000005E-3"/>
    <n v="1.1100000000000001"/>
    <m/>
    <s v="keine"/>
    <m/>
    <s v="(ja)"/>
    <s v="A 300-ml Erlenmeyer flask was filled with 150 g of synthesized waste which contained equivalent weights of yard waste, kitchen garbage, paper waste, dry dog-food, dewatered sludge and soil (Ishigaki et al., in press) and compacted to a density of 430 g-wet waste l1."/>
    <s v="Labor"/>
    <s v="nein"/>
    <m/>
    <s v="7-8"/>
    <m/>
    <m/>
    <s v="aerob"/>
    <m/>
    <s v="Gewichtsverlust"/>
    <m/>
    <n v="15"/>
    <n v="120"/>
    <n v="0.125"/>
    <m/>
    <n v="2"/>
    <s v=""/>
    <s v=""/>
    <s v=""/>
    <s v=""/>
    <s v=""/>
    <s v=""/>
    <n v="1"/>
    <x v="3"/>
    <x v="7"/>
    <s v="Chamas et al. 2020"/>
    <s v="CG (Mai 2020)"/>
    <s v="ja"/>
    <s v="ja"/>
    <m/>
    <m/>
    <m/>
    <s v="ja"/>
    <s v="ja"/>
    <m/>
    <s v="Dichte von Rodion übernommen"/>
  </r>
  <r>
    <s v="PCL"/>
    <s v="PCL"/>
    <s v="ja"/>
    <s v="Mikroorganismen"/>
    <s v="Strips"/>
    <n v="0.1"/>
    <n v="8.9999999999999998E-4"/>
    <n v="1.1100000000000001"/>
    <m/>
    <s v="sterilized by exposing each film surface for 15 min to UV-irradiation using an UV lamp"/>
    <s v="‘Methane sludge’: sludge collected from an anaerobic laboratory reactor fed with waste water from sugar industry_x000a_"/>
    <s v="nein"/>
    <s v="methane sludge"/>
    <s v="Boden/Kompost"/>
    <s v="ja"/>
    <n v="37"/>
    <n v="7"/>
    <m/>
    <m/>
    <s v="anaerob"/>
    <m/>
    <s v="Gewichtsverlust"/>
    <m/>
    <n v="7.6"/>
    <n v="70"/>
    <n v="0.10857142857142857"/>
    <m/>
    <n v="2"/>
    <s v=""/>
    <s v=""/>
    <s v=""/>
    <s v=""/>
    <s v=""/>
    <s v=""/>
    <n v="1"/>
    <x v="4"/>
    <x v="65"/>
    <s v="Chamas et al. 2020"/>
    <s v="CG (Mai 2020)"/>
    <m/>
    <m/>
    <m/>
    <m/>
    <m/>
    <s v="ja"/>
    <s v="ja"/>
    <m/>
    <s v="Dichte von Rodion übernommen"/>
  </r>
  <r>
    <s v="PCL+"/>
    <s v="PCL/Stärke (60/40 w/w)"/>
    <s v="ja"/>
    <s v="Zusätze"/>
    <s v="Film"/>
    <n v="0.05"/>
    <s v="no value"/>
    <n v="1.1100000000000001"/>
    <s v="Mater-bi (Novamont) film supplied by Deltalène"/>
    <m/>
    <m/>
    <s v="ja"/>
    <s v="Boden"/>
    <s v="Boden/Kompost"/>
    <s v="ja"/>
    <m/>
    <m/>
    <m/>
    <m/>
    <s v="aerob"/>
    <m/>
    <s v="CO2-Entwicklung"/>
    <m/>
    <s v="75-88"/>
    <n v="365"/>
    <n v="0.22465753424657534"/>
    <m/>
    <n v="2"/>
    <s v=""/>
    <s v=""/>
    <s v=""/>
    <s v=""/>
    <s v=""/>
    <s v=""/>
    <n v="1"/>
    <x v="4"/>
    <x v="59"/>
    <s v="Plastic Leak Project"/>
    <s v="CB (März 2020)"/>
    <s v="ja"/>
    <s v="ja"/>
    <m/>
    <m/>
    <m/>
    <s v="nein"/>
    <s v="ja"/>
    <m/>
    <s v="Dichte von Rodion übernommen (Achtung: additives wurden bei der Dichte außer Acht gelassen)"/>
  </r>
  <r>
    <s v="PCL+"/>
    <s v="PCL with processing additive 1"/>
    <s v="ja"/>
    <s v="Zusätze"/>
    <s v="no value"/>
    <s v="no value"/>
    <s v="no value"/>
    <n v="1.1100000000000001"/>
    <m/>
    <m/>
    <m/>
    <s v="ja"/>
    <s v="Meerwasser (Ostsee)"/>
    <s v="Meerwasser"/>
    <s v="ja"/>
    <s v="8,85-21,23"/>
    <s v="8,0-8,68"/>
    <m/>
    <m/>
    <s v="aerob"/>
    <m/>
    <s v="Gewichtsverlust"/>
    <m/>
    <n v="100"/>
    <n v="56"/>
    <n v="1.7857142857142858"/>
    <m/>
    <s v=""/>
    <s v=""/>
    <s v=""/>
    <s v=""/>
    <s v=""/>
    <s v=""/>
    <s v=""/>
    <n v="1"/>
    <x v="2"/>
    <x v="66"/>
    <m/>
    <m/>
    <s v="ja"/>
    <s v="ja"/>
    <m/>
    <m/>
    <m/>
    <m/>
    <s v="ja"/>
    <m/>
    <s v="Dichte von Rodion übernommen (Achtung: additives wurden bei der Dichte außer Acht gelassen)"/>
  </r>
  <r>
    <s v="PCL+"/>
    <s v="PCL with processing additive 2"/>
    <s v="ja"/>
    <s v="Zusätze"/>
    <s v="no value"/>
    <s v="no value"/>
    <s v="no value"/>
    <n v="1.1100000000000001"/>
    <m/>
    <m/>
    <m/>
    <s v="ja"/>
    <s v="Meerwasser (Ostsee)"/>
    <s v="Meerwasser"/>
    <s v="ja"/>
    <s v="8,85-21,23"/>
    <s v="8,0-8,68"/>
    <m/>
    <m/>
    <s v="aerob"/>
    <m/>
    <s v="Gewichtsverlust"/>
    <m/>
    <n v="100"/>
    <n v="56"/>
    <n v="1.7857142857142858"/>
    <m/>
    <s v=""/>
    <s v=""/>
    <s v=""/>
    <s v=""/>
    <s v=""/>
    <s v=""/>
    <s v=""/>
    <n v="1"/>
    <x v="2"/>
    <x v="66"/>
    <m/>
    <s v="CB (März 2020)"/>
    <s v="ja"/>
    <s v="ja"/>
    <m/>
    <m/>
    <m/>
    <m/>
    <s v="ja"/>
    <m/>
    <s v="Dichte von Rodion übernommen (Achtung: additives wurden bei der Dichte außer Acht gelassen)"/>
  </r>
  <r>
    <s v="PCL+"/>
    <s v="PCL with processing additive 3"/>
    <s v="ja"/>
    <s v="Zusätze"/>
    <s v="no value"/>
    <s v="no value"/>
    <s v="no value"/>
    <n v="1.1100000000000001"/>
    <m/>
    <m/>
    <m/>
    <s v="ja"/>
    <s v="Meerwasser (Ostsee)"/>
    <s v="Meerwasser"/>
    <s v="ja"/>
    <s v="8,85-21,23"/>
    <s v="8,0-8,68"/>
    <m/>
    <m/>
    <s v="aerob"/>
    <m/>
    <s v="Gewichtsverlust"/>
    <m/>
    <n v="100"/>
    <n v="56"/>
    <n v="1.7857142857142858"/>
    <m/>
    <s v=""/>
    <s v=""/>
    <s v=""/>
    <s v=""/>
    <s v=""/>
    <s v=""/>
    <s v=""/>
    <n v="1"/>
    <x v="2"/>
    <x v="66"/>
    <m/>
    <s v="CB (März 2020)"/>
    <s v="ja"/>
    <s v="ja"/>
    <m/>
    <m/>
    <m/>
    <m/>
    <s v="ja"/>
    <m/>
    <s v="Dichte von Rodion übernommen (Achtung: additives wurden bei der Dichte außer Acht gelassen)"/>
  </r>
  <r>
    <s v="PCL+"/>
    <s v="PCL with processing additive 4"/>
    <s v="ja"/>
    <s v="Zusätze"/>
    <s v="no value"/>
    <s v="no value"/>
    <s v="no value"/>
    <n v="1.1100000000000001"/>
    <m/>
    <m/>
    <m/>
    <s v="ja"/>
    <s v="Meerwasser (Ostsee)"/>
    <s v="Meerwasser"/>
    <s v="ja"/>
    <s v="8,85-21,23"/>
    <s v="8,0-8,68"/>
    <m/>
    <m/>
    <s v="aerob"/>
    <m/>
    <s v="Gewichtsverlust"/>
    <m/>
    <n v="100"/>
    <n v="56"/>
    <n v="1.7857142857142858"/>
    <m/>
    <s v=""/>
    <s v=""/>
    <s v=""/>
    <s v=""/>
    <s v=""/>
    <s v=""/>
    <s v=""/>
    <n v="1"/>
    <x v="2"/>
    <x v="66"/>
    <m/>
    <s v="CB (März 2020)"/>
    <s v="ja"/>
    <s v="ja"/>
    <m/>
    <m/>
    <m/>
    <m/>
    <s v="ja"/>
    <m/>
    <s v="Dichte von Rodion übernommen (Achtung: additives wurden bei der Dichte außer Acht gelassen)"/>
  </r>
  <r>
    <s v="PCL+"/>
    <s v="Stärke/PCL"/>
    <s v="ja"/>
    <s v="Zusätze"/>
    <s v="Strips"/>
    <n v="0.02"/>
    <n v="4.0000000000000002E-4"/>
    <n v="1.1100000000000001"/>
    <s v="PCL: TONETM polymer P-787 (Union Carbide/Dow). blend starch + polycaprolactone: Mater-bi (MB) (Novamont)"/>
    <m/>
    <s v="Bakterien aus kommunaler _x000a_Abwasseraufbereitungsanlage"/>
    <s v="nein"/>
    <s v="Wasser (Labor)"/>
    <s v="Wasser"/>
    <s v="ja"/>
    <n v="30"/>
    <m/>
    <m/>
    <m/>
    <s v="aerob"/>
    <m/>
    <s v="Gewichtsverlust"/>
    <m/>
    <n v="53"/>
    <n v="28"/>
    <n v="1.8928571428571428"/>
    <m/>
    <n v="2"/>
    <s v=""/>
    <s v=""/>
    <s v=""/>
    <s v=""/>
    <s v=""/>
    <s v=""/>
    <n v="1"/>
    <x v="4"/>
    <x v="11"/>
    <s v="Emadian 2017"/>
    <m/>
    <s v="ja "/>
    <s v="ja "/>
    <m/>
    <m/>
    <m/>
    <s v="nein"/>
    <s v="ja"/>
    <m/>
    <s v="Dichte von Rodion übernommen (Achtung: additives wurden bei der Dichte außer Acht gelassen)"/>
  </r>
  <r>
    <s v="PCL+"/>
    <s v="Stärke/PCL"/>
    <s v="ja"/>
    <s v="Zusätze"/>
    <s v="Strips"/>
    <n v="0.02"/>
    <n v="4.0000000000000002E-4"/>
    <n v="1.1100000000000001"/>
    <s v="PCL: TONETM polymer P-787 (Union Carbide/Dow). blend starch + polycaprolactone: Mater-bi (MB) (Novamont)"/>
    <m/>
    <s v="Bakterien aus kommunaler _x000a_Abwasseraufbereitungsanlage"/>
    <s v="nein"/>
    <s v="Wasser (Labor)"/>
    <s v="Wasser"/>
    <s v="ja"/>
    <n v="30"/>
    <m/>
    <m/>
    <m/>
    <s v="aerob"/>
    <m/>
    <s v="biochemical oxygen demand (BOD)"/>
    <m/>
    <n v="42.8"/>
    <n v="28"/>
    <n v="1.5285714285714285"/>
    <m/>
    <n v="2"/>
    <s v=""/>
    <s v=""/>
    <s v=""/>
    <s v=""/>
    <s v=""/>
    <s v=""/>
    <n v="1"/>
    <x v="4"/>
    <x v="11"/>
    <s v="Emadian 2017"/>
    <m/>
    <s v="ja "/>
    <s v="ja "/>
    <m/>
    <m/>
    <m/>
    <s v="nein"/>
    <s v="ja"/>
    <m/>
    <s v="Dichte von Rodion übernommen (Achtung: additives wurden bei der Dichte außer Acht gelassen)"/>
  </r>
  <r>
    <s v="PCL+"/>
    <s v="Stärke/PCL"/>
    <s v="ja"/>
    <s v="Mikroorganismen"/>
    <s v="Strips"/>
    <n v="0.02"/>
    <n v="4.0000000000000002E-4"/>
    <n v="1.1100000000000001"/>
    <s v="PCL: TONETM polymer P-787 (Union Carbide/Dow). blend starch + polycaprolactone: Mater-bi (MB) (Novamont)"/>
    <m/>
    <s v="Bakterien aus kommunaler _x000a_Abwasseraufbereitungsanlage"/>
    <s v="nein"/>
    <s v="Wasser (Labor)"/>
    <s v="Wasser"/>
    <s v="ja"/>
    <n v="30"/>
    <m/>
    <m/>
    <m/>
    <s v="anaerob"/>
    <m/>
    <s v="Gewichtsverlust"/>
    <m/>
    <n v="44.82"/>
    <n v="28"/>
    <n v="1.6007142857142858"/>
    <m/>
    <n v="2"/>
    <s v=""/>
    <s v=""/>
    <s v=""/>
    <s v=""/>
    <s v=""/>
    <s v=""/>
    <n v="1"/>
    <x v="4"/>
    <x v="11"/>
    <s v="Emadian 2017"/>
    <s v="CB (März 2020)"/>
    <s v="ja "/>
    <s v="ja "/>
    <m/>
    <m/>
    <m/>
    <s v="nein"/>
    <s v="ja"/>
    <m/>
    <s v="Dichte von Rodion übernommen (Achtung: additives wurden bei der Dichte außer Acht gelassen)"/>
  </r>
  <r>
    <s v="PCL+"/>
    <s v="PCL with processing additive 1"/>
    <s v="ja"/>
    <s v="Zusätze"/>
    <s v="no value"/>
    <s v="no value"/>
    <s v="no value"/>
    <n v="1.1100000000000001"/>
    <m/>
    <m/>
    <m/>
    <s v="nein"/>
    <s v="Meerwasser (Labor)"/>
    <s v="Meerwasser"/>
    <s v="ja"/>
    <n v="37"/>
    <n v="7.2"/>
    <m/>
    <m/>
    <m/>
    <m/>
    <s v="Gewichtsverlust"/>
    <m/>
    <n v="19.8"/>
    <n v="56"/>
    <n v="0.35357142857142859"/>
    <m/>
    <s v=""/>
    <s v=""/>
    <s v=""/>
    <s v=""/>
    <s v=""/>
    <s v=""/>
    <s v=""/>
    <n v="1"/>
    <x v="2"/>
    <x v="66"/>
    <m/>
    <s v="CB (März 2020)"/>
    <s v="ja"/>
    <s v="ja"/>
    <m/>
    <m/>
    <m/>
    <m/>
    <s v="ja"/>
    <m/>
    <s v="Dichte von Rodion übernommen (Achtung: additives wurden bei der Dichte außer Acht gelassen)"/>
  </r>
  <r>
    <s v="PCL+"/>
    <s v="PCL with processing additive 2"/>
    <s v="ja"/>
    <s v="Zusätze"/>
    <s v="no value"/>
    <s v="no value"/>
    <s v="no value"/>
    <n v="1.1100000000000001"/>
    <m/>
    <m/>
    <m/>
    <s v="nein"/>
    <s v="Meerwasser (Labor)"/>
    <s v="Meerwasser"/>
    <s v="ja"/>
    <n v="37"/>
    <n v="7.2"/>
    <m/>
    <m/>
    <m/>
    <m/>
    <s v="Gewichtsverlust"/>
    <m/>
    <n v="10.29"/>
    <n v="56"/>
    <n v="0.18375"/>
    <m/>
    <s v=""/>
    <s v=""/>
    <s v=""/>
    <s v=""/>
    <s v=""/>
    <s v=""/>
    <s v=""/>
    <n v="1"/>
    <x v="2"/>
    <x v="66"/>
    <m/>
    <s v="CB (März 2020)"/>
    <s v="ja"/>
    <s v="ja"/>
    <m/>
    <m/>
    <m/>
    <m/>
    <s v="ja"/>
    <m/>
    <s v="Dichte von Rodion übernommen (Achtung: additives wurden bei der Dichte außer Acht gelassen)"/>
  </r>
  <r>
    <s v="PCL+"/>
    <s v="PCL with processing additive 3"/>
    <s v="ja"/>
    <s v="Zusätze"/>
    <s v="no value"/>
    <s v="no value"/>
    <s v="no value"/>
    <n v="1.1100000000000001"/>
    <m/>
    <m/>
    <m/>
    <s v="nein"/>
    <s v="Meerwasser (Labor)"/>
    <s v="Meerwasser"/>
    <s v="ja"/>
    <n v="37"/>
    <n v="7.2"/>
    <m/>
    <m/>
    <m/>
    <m/>
    <s v="Gewichtsverlust"/>
    <m/>
    <n v="11.12"/>
    <n v="56"/>
    <n v="0.19857142857142857"/>
    <m/>
    <s v=""/>
    <s v=""/>
    <s v=""/>
    <s v=""/>
    <s v=""/>
    <s v=""/>
    <s v=""/>
    <n v="1"/>
    <x v="2"/>
    <x v="66"/>
    <m/>
    <s v="CB (März 2020)"/>
    <s v="ja"/>
    <s v="ja"/>
    <m/>
    <m/>
    <m/>
    <m/>
    <s v="ja"/>
    <m/>
    <s v="Dichte von Rodion übernommen (Achtung: additives wurden bei der Dichte außer Acht gelassen)"/>
  </r>
  <r>
    <s v="PCL+"/>
    <s v="PCL with processing additive 4"/>
    <s v="ja"/>
    <s v="Zusätze"/>
    <s v="no value"/>
    <s v="no value"/>
    <s v="no value"/>
    <n v="1.1100000000000001"/>
    <m/>
    <m/>
    <m/>
    <s v="nein"/>
    <s v="Meerwasser (Labor)"/>
    <s v="Meerwasser"/>
    <s v="ja"/>
    <n v="37"/>
    <n v="7.2"/>
    <m/>
    <m/>
    <m/>
    <m/>
    <s v="Gewichtsverlust"/>
    <m/>
    <n v="11.74"/>
    <n v="56"/>
    <n v="0.20964285714285716"/>
    <m/>
    <s v=""/>
    <s v=""/>
    <s v=""/>
    <s v=""/>
    <s v=""/>
    <s v=""/>
    <s v=""/>
    <n v="1"/>
    <x v="2"/>
    <x v="66"/>
    <m/>
    <s v="CB (März 2020)"/>
    <s v="ja"/>
    <s v="ja"/>
    <m/>
    <m/>
    <m/>
    <m/>
    <s v="ja"/>
    <m/>
    <s v="Dichte von Rodion übernommen (Achtung: additives wurden bei der Dichte außer Acht gelassen)"/>
  </r>
  <r>
    <s v="PCL+"/>
    <s v="PCL/Stärke"/>
    <s v="ja"/>
    <s v="Zusätze"/>
    <s v="Film"/>
    <s v="no value"/>
    <s v="no value"/>
    <n v="1.1100000000000001"/>
    <m/>
    <m/>
    <m/>
    <s v="ja"/>
    <s v="Meerwasser (Ostsee)"/>
    <s v="Meerwasser"/>
    <s v="ja"/>
    <s v="3,2 - 21,6"/>
    <n v="8.1999999999999993"/>
    <m/>
    <m/>
    <s v="aerob"/>
    <m/>
    <s v="Gewichtsverlust"/>
    <m/>
    <n v="100"/>
    <n v="35"/>
    <n v="2.8571428571428572"/>
    <m/>
    <n v="2"/>
    <s v=""/>
    <s v=""/>
    <s v=""/>
    <s v=""/>
    <s v=""/>
    <s v=""/>
    <n v="1"/>
    <x v="3"/>
    <x v="39"/>
    <m/>
    <m/>
    <s v="ja"/>
    <s v="ja"/>
    <m/>
    <m/>
    <m/>
    <s v="nein"/>
    <s v="ja"/>
    <m/>
    <s v="Dichte von Rodion übernommen (Achtung: additives wurden bei der Dichte außer Acht gelassen)"/>
  </r>
  <r>
    <s v="PE+"/>
    <s v="EPI containing 3% totally degradable plastic additive (TDPA)"/>
    <s v="ja"/>
    <s v="Zusätze"/>
    <s v="Strips"/>
    <n v="0.75"/>
    <s v="no value"/>
    <n v="0.93799999999999994"/>
    <s v="samples were cut to sizes of 0,5 - 1 mm"/>
    <s v="keine"/>
    <m/>
    <s v="(ja)"/>
    <s v="Kompost"/>
    <s v="Boden/Kompost"/>
    <s v="ja"/>
    <m/>
    <m/>
    <m/>
    <m/>
    <s v="aerob"/>
    <m/>
    <s v="Gewichtsverlust"/>
    <m/>
    <n v="0.02"/>
    <n v="72"/>
    <n v="2.7777777777777778E-4"/>
    <m/>
    <n v="2"/>
    <s v=""/>
    <s v=""/>
    <s v=""/>
    <s v=""/>
    <s v=""/>
    <s v=""/>
    <n v="1"/>
    <x v="4"/>
    <x v="67"/>
    <s v="Plastik Leak Project"/>
    <s v="CB (März 2020)"/>
    <s v="ja "/>
    <s v="ja"/>
    <m/>
    <m/>
    <m/>
    <s v="nein"/>
    <s v="ja"/>
    <m/>
    <s v="Thickness = 0,5-1mm; Dichte aus anderem Paper übernommen"/>
  </r>
  <r>
    <s v="PE"/>
    <s v="Polyethylene, PE"/>
    <s v="nein"/>
    <m/>
    <s v="no value"/>
    <s v="no value"/>
    <s v="no value"/>
    <n v="0.93799999999999994"/>
    <m/>
    <m/>
    <m/>
    <s v="nein"/>
    <s v="inoculum made of farmland soil and mineral salt solution"/>
    <s v="Labor"/>
    <s v="nein"/>
    <n v="30"/>
    <m/>
    <m/>
    <m/>
    <s v="aerob"/>
    <m/>
    <s v="CO2-Entwicklung"/>
    <m/>
    <n v="0"/>
    <n v="14"/>
    <n v="0"/>
    <m/>
    <s v=""/>
    <s v=""/>
    <s v=""/>
    <s v=""/>
    <s v=""/>
    <s v=""/>
    <s v=""/>
    <n v="1"/>
    <x v="2"/>
    <x v="4"/>
    <s v="Plastik Leak Project"/>
    <s v="CB (März 2020)"/>
    <s v="ja"/>
    <s v="ja"/>
    <m/>
    <m/>
    <m/>
    <s v="nein"/>
    <s v="ja"/>
    <m/>
    <s v="Dichte aus anderem Paper übernommen"/>
  </r>
  <r>
    <s v="PE"/>
    <s v="polyethylene and biodegradable plastic carrier bags"/>
    <s v="ja"/>
    <s v="Mikroorganismen"/>
    <s v="Bags"/>
    <s v="no value"/>
    <m/>
    <s v="--"/>
    <m/>
    <m/>
    <s v=" aerobic and anaerobic benthic microbes"/>
    <s v="ja"/>
    <s v="temperate fine-grained organic-rich marine sediments"/>
    <s v="Sediment"/>
    <s v="nein"/>
    <m/>
    <m/>
    <m/>
    <m/>
    <m/>
    <m/>
    <m/>
    <m/>
    <m/>
    <m/>
    <e v="#DIV/0!"/>
    <m/>
    <s v=""/>
    <s v=""/>
    <s v=""/>
    <s v=""/>
    <s v=""/>
    <s v=""/>
    <s v=""/>
    <n v="0"/>
    <x v="1"/>
    <x v="68"/>
    <s v="Raddadi &amp; Fava (2019)"/>
    <s v="CG (Mai 2020)"/>
    <s v="ja"/>
    <s v="nein"/>
    <m/>
    <m/>
    <m/>
    <m/>
    <s v="nicht vorgesehen"/>
    <s v="https://www.sciencedirect.com/science/article/abs/pii/S0025326X15302277"/>
    <s v="Experimente mit Mikroorganismen im Labor (weder Boden noch Wasser)"/>
  </r>
  <r>
    <s v="PE"/>
    <s v="PE"/>
    <s v="ja"/>
    <s v="Mikroorganismen"/>
    <s v="Strips"/>
    <n v="0.02"/>
    <n v="4.0000000000000002E-4"/>
    <n v="0.93799999999999994"/>
    <m/>
    <m/>
    <s v="Bakterien aus kommunaler _x000a_Abwasseraufbereitungsanlage"/>
    <s v="nein"/>
    <s v="Wasser (Labor)"/>
    <s v="Wasser"/>
    <s v="ja"/>
    <n v="30"/>
    <m/>
    <m/>
    <m/>
    <s v="aerob"/>
    <m/>
    <s v="Gewichtsverlust"/>
    <m/>
    <n v="0"/>
    <n v="28"/>
    <n v="0"/>
    <m/>
    <n v="2"/>
    <s v=""/>
    <s v=""/>
    <s v=""/>
    <s v=""/>
    <s v=""/>
    <s v=""/>
    <n v="1"/>
    <x v="4"/>
    <x v="11"/>
    <s v="Emadian 2017"/>
    <s v="CB (März 2020)"/>
    <s v="ja"/>
    <s v="ja"/>
    <m/>
    <m/>
    <m/>
    <s v="nein"/>
    <s v="ja"/>
    <m/>
    <s v="Dichte aus anderem Paper übernommen"/>
  </r>
  <r>
    <s v="PE"/>
    <s v="PE"/>
    <s v="ja"/>
    <s v="Mikroorganismen"/>
    <s v="Strips"/>
    <n v="0.02"/>
    <n v="4.0000000000000002E-4"/>
    <n v="0.93799999999999994"/>
    <m/>
    <m/>
    <s v="Bakterien aus kommunaler _x000a_Abwasseraufbereitungsanlage"/>
    <s v="nein"/>
    <s v="Wasser (Labor)"/>
    <s v="Wasser"/>
    <s v="ja"/>
    <n v="30"/>
    <m/>
    <m/>
    <m/>
    <s v="aerob"/>
    <m/>
    <s v="biochemical oxygen demand (BOD)"/>
    <m/>
    <n v="4.0999999999999996"/>
    <n v="28"/>
    <n v="0.14285714285714285"/>
    <m/>
    <n v="2"/>
    <s v=""/>
    <s v=""/>
    <s v=""/>
    <s v=""/>
    <s v=""/>
    <s v=""/>
    <n v="1"/>
    <x v="4"/>
    <x v="11"/>
    <s v="Emadian 2017"/>
    <m/>
    <s v="ja "/>
    <s v="ja "/>
    <m/>
    <m/>
    <m/>
    <s v="nein"/>
    <s v="ja"/>
    <m/>
    <s v="Dichte aus anderem Paper übernommen"/>
  </r>
  <r>
    <s v="PE"/>
    <s v="PE"/>
    <s v="ja"/>
    <s v="Mikroorganismen"/>
    <s v="Strips"/>
    <n v="0.02"/>
    <n v="4.0000000000000002E-4"/>
    <n v="0.93799999999999994"/>
    <m/>
    <m/>
    <s v="Bakterien aus kommunaler _x000a_Abwasseraufbereitungsanlage"/>
    <s v="nein"/>
    <s v="Wasser (Labor)"/>
    <s v="Wasser"/>
    <s v="ja"/>
    <n v="30"/>
    <m/>
    <m/>
    <m/>
    <s v="anaerob"/>
    <m/>
    <s v="Gewichtsverlust"/>
    <m/>
    <n v="0"/>
    <n v="28"/>
    <n v="0"/>
    <m/>
    <n v="2"/>
    <s v=""/>
    <s v=""/>
    <s v=""/>
    <s v=""/>
    <s v=""/>
    <s v=""/>
    <n v="1"/>
    <x v="4"/>
    <x v="11"/>
    <s v="Emadian 2017"/>
    <s v="CB (März 2020)"/>
    <s v="ja "/>
    <s v="ja "/>
    <m/>
    <m/>
    <m/>
    <s v="nein"/>
    <s v="ja"/>
    <m/>
    <s v="Dichte aus anderem Paper übernommen"/>
  </r>
  <r>
    <s v="PBS"/>
    <s v="PB (succinate)"/>
    <s v="nein"/>
    <m/>
    <s v="Film"/>
    <n v="0.1"/>
    <s v="no value"/>
    <n v="1.22"/>
    <m/>
    <m/>
    <m/>
    <s v="(ja)"/>
    <s v="Meerwasser (aus dem Ozean, Labor)"/>
    <s v="Meerwasser"/>
    <s v="ja"/>
    <n v="25"/>
    <m/>
    <m/>
    <m/>
    <s v="aerob"/>
    <m/>
    <s v="Gewichtsverlust"/>
    <m/>
    <s v="2"/>
    <n v="28"/>
    <n v="7.1428571428571425E-2"/>
    <m/>
    <n v="2"/>
    <n v="20000"/>
    <n v="1.6393442622950821E-2"/>
    <n v="13.035714285714286"/>
    <n v="1"/>
    <n v="13.035714285714299"/>
    <s v="PBS_Meerwasser_natürlich"/>
    <n v="1"/>
    <x v="6"/>
    <x v="61"/>
    <m/>
    <m/>
    <s v="ja"/>
    <s v="ja"/>
    <m/>
    <m/>
    <m/>
    <s v="nein"/>
    <s v="ja"/>
    <m/>
    <s v="Dichte aus anderem Paper übernommen"/>
  </r>
  <r>
    <s v="PBS"/>
    <s v="PB (succinate)"/>
    <s v="nein"/>
    <m/>
    <s v="Film"/>
    <n v="0.1"/>
    <s v="no value"/>
    <n v="1.22"/>
    <m/>
    <m/>
    <m/>
    <s v="(ja)"/>
    <s v="Meerwasser (aus dem Ozean, Labor)"/>
    <s v="Meerwasser"/>
    <s v="ja"/>
    <n v="25"/>
    <m/>
    <m/>
    <m/>
    <s v="aerob"/>
    <m/>
    <s v="biochemical oxygen demand (BOD)"/>
    <m/>
    <n v="2"/>
    <n v="28"/>
    <n v="7.1428571428571425E-2"/>
    <m/>
    <n v="2"/>
    <n v="20000"/>
    <n v="1.6393442622950821E-2"/>
    <n v="13.035714285714286"/>
    <n v="1"/>
    <n v="13.035714285714299"/>
    <s v="PBS_Meerwasser_natürlich"/>
    <n v="1"/>
    <x v="6"/>
    <x v="61"/>
    <m/>
    <m/>
    <s v="ja"/>
    <s v="ja"/>
    <m/>
    <m/>
    <m/>
    <s v="nein"/>
    <s v="ja"/>
    <m/>
    <s v="Dichte aus anderem Paper übernommen"/>
  </r>
  <r>
    <s v="PBS"/>
    <m/>
    <s v="nein"/>
    <m/>
    <s v="Film"/>
    <n v="0.1"/>
    <m/>
    <n v="1.26"/>
    <s v="Bionolle 1001 MD"/>
    <m/>
    <m/>
    <s v="ja"/>
    <m/>
    <s v="Süßwasser"/>
    <s v="ja"/>
    <m/>
    <m/>
    <m/>
    <m/>
    <m/>
    <m/>
    <s v="CO2-Entwicklung"/>
    <m/>
    <n v="50"/>
    <n v="92"/>
    <n v="0.54347826086956519"/>
    <m/>
    <n v="2"/>
    <n v="20000"/>
    <n v="1.5873015873015872E-2"/>
    <n v="99.184782608695656"/>
    <n v="1"/>
    <n v="99.184782608695642"/>
    <s v="PBS_Süßwasser_natürlich"/>
    <n v="1"/>
    <x v="6"/>
    <x v="69"/>
    <m/>
    <m/>
    <m/>
    <m/>
    <m/>
    <m/>
    <m/>
    <m/>
    <m/>
    <m/>
    <m/>
  </r>
  <r>
    <s v="PBSA"/>
    <s v="PB (adiapate)"/>
    <s v="nein"/>
    <m/>
    <s v="Film"/>
    <n v="0.1"/>
    <s v="no value"/>
    <n v="1.23"/>
    <m/>
    <m/>
    <m/>
    <s v="(ja)"/>
    <s v="Flusswasser (Labor)"/>
    <s v="Süßwasser"/>
    <s v="ja"/>
    <n v="25"/>
    <m/>
    <m/>
    <m/>
    <s v="aerob"/>
    <m/>
    <s v="Gewichtsverlust"/>
    <m/>
    <s v="24"/>
    <n v="28"/>
    <n v="0.8571428571428571"/>
    <m/>
    <n v="2"/>
    <n v="20000"/>
    <n v="1.6260162601626015E-2"/>
    <n v="156.42857142857144"/>
    <n v="1"/>
    <n v="156.42857142857144"/>
    <s v="PBSA_Süßwasser_natürlich"/>
    <n v="1"/>
    <x v="6"/>
    <x v="61"/>
    <m/>
    <m/>
    <s v="ja"/>
    <s v="ja"/>
    <m/>
    <m/>
    <m/>
    <s v="nein"/>
    <s v="ja"/>
    <m/>
    <s v="Dichte von Rodion übernommen"/>
  </r>
  <r>
    <s v="PBSA"/>
    <s v="PB (adiapate)"/>
    <s v="nein"/>
    <m/>
    <s v="Film"/>
    <n v="0.1"/>
    <s v="no value"/>
    <n v="1.23"/>
    <m/>
    <m/>
    <m/>
    <s v="(ja)"/>
    <s v="Flusswasser (Labor)"/>
    <s v="Süßwasser"/>
    <s v="ja"/>
    <n v="25"/>
    <m/>
    <m/>
    <m/>
    <s v="aerob"/>
    <m/>
    <s v="biochemical oxygen demand (BOD)"/>
    <m/>
    <n v="20"/>
    <n v="28"/>
    <n v="0.7142857142857143"/>
    <m/>
    <n v="2"/>
    <n v="20000"/>
    <n v="1.6260162601626015E-2"/>
    <n v="130.35714285714286"/>
    <n v="1"/>
    <n v="130.35714285714283"/>
    <s v="PBSA_Süßwasser_natürlich"/>
    <n v="1"/>
    <x v="6"/>
    <x v="61"/>
    <m/>
    <m/>
    <s v="ja"/>
    <s v="ja"/>
    <m/>
    <m/>
    <m/>
    <s v="nein"/>
    <s v="ja"/>
    <m/>
    <s v="Dichte von Rodion übernommen"/>
  </r>
  <r>
    <s v="PE"/>
    <s v="PE"/>
    <s v="ja"/>
    <s v="Vorbehandlung"/>
    <s v="Shreds"/>
    <n v="3.5999999999999997E-2"/>
    <n v="5.9999999999999995E-8"/>
    <n v="0.93799999999999994"/>
    <s v="Garbage bag, Good Sense, Webster (black or clear) - shredded to a size of 3-5mm x 1-2 mm"/>
    <s v="Photodegradable films were exposed to sunlight for 6 and 12 weeks prior to their burial in soil but, for comparison, were also tested in soil without prior photoexpo- sure_x000a_"/>
    <m/>
    <s v="ja - acc."/>
    <s v="Boden (Labor) - Freshly collected Nixon sandy loam (College Farm, New Brunswick, N.J.) was used. In terms of texture, this soil is composed of 50% sand, 21% silt, and 29% clay. The organic matter content of the soil was 5%_x000a_"/>
    <s v="Boden/Kompost"/>
    <s v="ja"/>
    <m/>
    <n v="7.5"/>
    <m/>
    <m/>
    <m/>
    <m/>
    <s v="CO2-Entwicklung"/>
    <m/>
    <n v="3.2"/>
    <n v="84"/>
    <n v="3.8095238095238099E-2"/>
    <m/>
    <n v="6"/>
    <s v=""/>
    <s v=""/>
    <s v=""/>
    <s v=""/>
    <s v=""/>
    <s v=""/>
    <n v="1"/>
    <x v="4"/>
    <x v="70"/>
    <m/>
    <s v="CB (März 2020)"/>
    <s v="ja "/>
    <s v="ja "/>
    <m/>
    <m/>
    <m/>
    <s v="nein"/>
    <s v="ja"/>
    <m/>
    <s v="Dichte aus anderem Paper übernommen"/>
  </r>
  <r>
    <s v="PBSA"/>
    <s v="PB (adiapate)"/>
    <s v="nein"/>
    <m/>
    <s v="Film"/>
    <n v="0.1"/>
    <s v="no value"/>
    <n v="1.23"/>
    <m/>
    <m/>
    <m/>
    <s v="(ja)"/>
    <s v="Seewasser (Labor)"/>
    <s v="Süßwasser"/>
    <s v="ja"/>
    <n v="25"/>
    <m/>
    <m/>
    <m/>
    <s v="aerob"/>
    <m/>
    <s v="Gewichtsverlust"/>
    <m/>
    <n v="80"/>
    <n v="28"/>
    <n v="2.8571428571428572"/>
    <m/>
    <n v="2"/>
    <n v="20000"/>
    <n v="1.6260162601626015E-2"/>
    <n v="521.42857142857144"/>
    <n v="1"/>
    <n v="521.42857142857144"/>
    <s v="PBSA_Süßwasser_natürlich"/>
    <n v="1"/>
    <x v="6"/>
    <x v="61"/>
    <m/>
    <m/>
    <s v="ja"/>
    <s v="ja"/>
    <m/>
    <m/>
    <m/>
    <s v="nein"/>
    <s v="ja"/>
    <m/>
    <s v="Dichte von Rodion übernommen"/>
  </r>
  <r>
    <s v="PBSA"/>
    <s v="PB (adiapate)"/>
    <s v="nein"/>
    <m/>
    <s v="Film"/>
    <n v="0.1"/>
    <s v="no value"/>
    <n v="1.23"/>
    <m/>
    <m/>
    <m/>
    <s v="(ja)"/>
    <s v="Seewasser (Labor)"/>
    <s v="Süßwasser"/>
    <s v="ja"/>
    <n v="25"/>
    <m/>
    <m/>
    <m/>
    <s v="aerob"/>
    <m/>
    <s v="biochemical oxygen demand (BOD)"/>
    <m/>
    <n v="50"/>
    <n v="28"/>
    <n v="1.7857142857142858"/>
    <m/>
    <n v="2"/>
    <n v="20000"/>
    <n v="1.6260162601626015E-2"/>
    <n v="325.89285714285717"/>
    <n v="1"/>
    <n v="325.89285714285722"/>
    <s v="PBSA_Süßwasser_natürlich"/>
    <n v="1"/>
    <x v="6"/>
    <x v="61"/>
    <m/>
    <m/>
    <s v="ja"/>
    <s v="ja"/>
    <m/>
    <m/>
    <m/>
    <s v="nein"/>
    <s v="ja"/>
    <m/>
    <s v="Dichte von Rodion übernommen"/>
  </r>
  <r>
    <s v="PBSA"/>
    <s v="PB (adiapate)"/>
    <s v="nein"/>
    <m/>
    <s v="Film"/>
    <n v="0.1"/>
    <s v="no value"/>
    <n v="1.23"/>
    <m/>
    <m/>
    <m/>
    <s v="(ja)"/>
    <s v="Meerwasser (aus einer Bucht, Labor)"/>
    <s v="Meerwasser"/>
    <s v="ja"/>
    <n v="25"/>
    <m/>
    <m/>
    <m/>
    <s v="aerob"/>
    <m/>
    <s v="Gewichtsverlust"/>
    <m/>
    <n v="34"/>
    <n v="28"/>
    <n v="1.2142857142857142"/>
    <m/>
    <n v="2"/>
    <n v="20000"/>
    <n v="1.6260162601626015E-2"/>
    <n v="221.60714285714286"/>
    <n v="1"/>
    <n v="221.60714285714286"/>
    <s v="PBSA_Meerwasser_natürlich"/>
    <n v="1"/>
    <x v="6"/>
    <x v="61"/>
    <m/>
    <m/>
    <s v="ja"/>
    <s v="ja"/>
    <m/>
    <m/>
    <m/>
    <s v="nein"/>
    <s v="ja"/>
    <m/>
    <s v="Dichte von Rodion übernommen"/>
  </r>
  <r>
    <s v="PBSA"/>
    <s v="PB (adiapate)"/>
    <s v="nein"/>
    <m/>
    <s v="Film"/>
    <n v="0.1"/>
    <s v="no value"/>
    <n v="1.23"/>
    <m/>
    <m/>
    <m/>
    <s v="(ja)"/>
    <s v="Meerwasser (aus einer Bucht, Labor)"/>
    <s v="Meerwasser"/>
    <s v="ja"/>
    <n v="25"/>
    <m/>
    <m/>
    <m/>
    <s v="aerob"/>
    <m/>
    <s v="biochemical oxygen demand (BOD)"/>
    <m/>
    <n v="20"/>
    <n v="28"/>
    <n v="0.7142857142857143"/>
    <m/>
    <n v="2"/>
    <n v="20000"/>
    <n v="1.6260162601626015E-2"/>
    <n v="130.35714285714286"/>
    <n v="1"/>
    <n v="130.35714285714283"/>
    <s v="PBSA_Meerwasser_natürlich"/>
    <n v="1"/>
    <x v="6"/>
    <x v="61"/>
    <m/>
    <m/>
    <s v="ja"/>
    <s v="ja"/>
    <m/>
    <m/>
    <m/>
    <s v="nein"/>
    <s v="ja"/>
    <m/>
    <s v="Dichte von Rodion übernommen"/>
  </r>
  <r>
    <s v="PBSA"/>
    <s v="PB (adiapate)"/>
    <s v="nein"/>
    <m/>
    <s v="Film"/>
    <n v="0.1"/>
    <s v="no value"/>
    <n v="1.23"/>
    <m/>
    <m/>
    <m/>
    <s v="(ja)"/>
    <s v="Meerwasser (aus dem Ozean, Labor)"/>
    <s v="Meerwasser"/>
    <s v="ja"/>
    <n v="25"/>
    <m/>
    <m/>
    <m/>
    <s v="aerob"/>
    <m/>
    <s v="Gewichtsverlust"/>
    <m/>
    <s v="11"/>
    <n v="28"/>
    <n v="0.39285714285714285"/>
    <m/>
    <n v="2"/>
    <n v="20000"/>
    <n v="1.6260162601626015E-2"/>
    <n v="71.696428571428569"/>
    <n v="1"/>
    <n v="71.696428571428569"/>
    <s v="PBSA_Meerwasser_natürlich"/>
    <n v="1"/>
    <x v="6"/>
    <x v="61"/>
    <m/>
    <m/>
    <s v="ja"/>
    <s v="ja"/>
    <m/>
    <m/>
    <m/>
    <s v="nein"/>
    <s v="ja"/>
    <m/>
    <s v="Dichte von Rodion übernommen"/>
  </r>
  <r>
    <s v="PET"/>
    <s v="PET"/>
    <s v="ja"/>
    <s v="Mikroorganismen"/>
    <s v="Strips"/>
    <n v="0.2"/>
    <n v="2.9999999999999997E-4"/>
    <n v="1.38"/>
    <m/>
    <s v="keine"/>
    <s v="a novel species of the genus Ideonella"/>
    <s v="nein"/>
    <s v="culture fluid"/>
    <s v="Labor"/>
    <s v="nein"/>
    <n v="30"/>
    <m/>
    <m/>
    <m/>
    <m/>
    <m/>
    <s v="Gewichtsverlust"/>
    <m/>
    <n v="47"/>
    <n v="42"/>
    <n v="1.1190476190476191"/>
    <m/>
    <n v="2"/>
    <s v=""/>
    <s v=""/>
    <s v=""/>
    <s v=""/>
    <s v=""/>
    <s v=""/>
    <n v="1"/>
    <x v="4"/>
    <x v="71"/>
    <s v="Chamas et al. 2020"/>
    <s v="CG (Mai 2020)"/>
    <s v="ja"/>
    <s v="ja"/>
    <m/>
    <m/>
    <m/>
    <s v="ja"/>
    <s v="ja"/>
    <m/>
    <s v="Dichte aus anderem Paper übernommen"/>
  </r>
  <r>
    <s v="PBSA"/>
    <s v="PB (adiapate)"/>
    <s v="nein"/>
    <m/>
    <s v="Film"/>
    <n v="0.1"/>
    <s v="no value"/>
    <n v="1.23"/>
    <m/>
    <m/>
    <m/>
    <s v="(ja)"/>
    <s v="Meerwasser (aus dem Ozean, Labor)"/>
    <s v="Meerwasser"/>
    <s v="ja"/>
    <n v="25"/>
    <m/>
    <m/>
    <m/>
    <s v="aerob"/>
    <m/>
    <s v="biochemical oxygen demand (BOD)"/>
    <m/>
    <s v="10"/>
    <n v="28"/>
    <n v="0.35714285714285715"/>
    <m/>
    <n v="2"/>
    <n v="20000"/>
    <n v="1.6260162601626015E-2"/>
    <n v="65.178571428571431"/>
    <n v="1"/>
    <n v="65.178571428571416"/>
    <s v="PBSA_Meerwasser_natürlich"/>
    <n v="1"/>
    <x v="6"/>
    <x v="61"/>
    <m/>
    <m/>
    <s v="ja"/>
    <s v="ja"/>
    <m/>
    <m/>
    <m/>
    <s v="nein"/>
    <s v="ja"/>
    <m/>
    <s v="Dichte von Rodion übernommen"/>
  </r>
  <r>
    <s v="PBSA"/>
    <m/>
    <s v="nein"/>
    <m/>
    <s v="Film"/>
    <n v="0.1"/>
    <m/>
    <n v="1.23"/>
    <s v="Bionolle 3001 MD"/>
    <m/>
    <m/>
    <s v="ja"/>
    <m/>
    <s v="Süßwasser"/>
    <s v="ja"/>
    <m/>
    <m/>
    <m/>
    <m/>
    <m/>
    <m/>
    <s v="CO2-Entwicklung"/>
    <m/>
    <n v="50"/>
    <n v="45"/>
    <n v="1.1111111111111112"/>
    <m/>
    <n v="2"/>
    <n v="20000"/>
    <n v="1.6260162601626015E-2"/>
    <n v="202.7777777777778"/>
    <n v="1"/>
    <n v="202.7777777777778"/>
    <s v="PBSA_Süßwasser_natürlich"/>
    <n v="1"/>
    <x v="6"/>
    <x v="69"/>
    <m/>
    <m/>
    <m/>
    <m/>
    <m/>
    <m/>
    <m/>
    <m/>
    <m/>
    <m/>
    <m/>
  </r>
  <r>
    <s v="PBSe"/>
    <s v="Polybutylen-Sebacat"/>
    <s v="nein"/>
    <m/>
    <s v="Film"/>
    <n v="2.5000000000000001E-2"/>
    <s v="no value"/>
    <s v="no value"/>
    <m/>
    <s v="keine"/>
    <m/>
    <s v="ja"/>
    <s v="Mediterranean Sea - eulitoral"/>
    <s v="Meerwasser"/>
    <s v="ja"/>
    <m/>
    <m/>
    <m/>
    <m/>
    <m/>
    <m/>
    <s v="Gewichtsverlust"/>
    <s v="Desintegration is assessed photogrammetrically by quantifying the area change of the plastic film"/>
    <n v="50"/>
    <n v="511"/>
    <n v="9.7847358121330719E-2"/>
    <m/>
    <n v="2"/>
    <n v="80000"/>
    <s v=""/>
    <n v="4.4642857142857144"/>
    <n v="1"/>
    <n v="4.4642857142857144"/>
    <s v="PBSe_Meerwasser_natürlich"/>
    <n v="1"/>
    <x v="6"/>
    <x v="72"/>
    <m/>
    <s v="CG (August 2020)"/>
    <s v="ja"/>
    <s v="ja"/>
    <m/>
    <m/>
    <m/>
    <s v="nein"/>
    <s v="ja"/>
    <m/>
    <m/>
  </r>
  <r>
    <s v="PE"/>
    <s v="PE"/>
    <s v="ja"/>
    <s v="Mikroorganismen"/>
    <s v="Film"/>
    <s v="no value"/>
    <m/>
    <s v="--"/>
    <m/>
    <m/>
    <s v="Enterobacter asburiae YT1 and Bacillus sp. YP1. "/>
    <m/>
    <m/>
    <m/>
    <s v="nein"/>
    <m/>
    <m/>
    <m/>
    <m/>
    <m/>
    <m/>
    <m/>
    <m/>
    <m/>
    <m/>
    <e v="#DIV/0!"/>
    <m/>
    <n v="2"/>
    <s v=""/>
    <s v=""/>
    <s v=""/>
    <s v=""/>
    <s v=""/>
    <s v=""/>
    <n v="0"/>
    <x v="1"/>
    <x v="73"/>
    <s v="Raddadi &amp; Fava (2019)"/>
    <s v="CG (Mai 2020)"/>
    <s v="ja"/>
    <s v="nein"/>
    <m/>
    <m/>
    <m/>
    <m/>
    <s v="nicht vorgesehen"/>
    <s v="https://pubs.acs.org/doi/full/10.1021/es504038a"/>
    <s v="Experimente mit Mikroorganismen im Labor (weder Boden noch Wasser)"/>
  </r>
  <r>
    <s v="PHB"/>
    <s v="PHB"/>
    <s v="ja"/>
    <s v="Mikroorganismen"/>
    <s v="Strips"/>
    <n v="0.2"/>
    <n v="6.3999999999999997E-5"/>
    <n v="1.26"/>
    <m/>
    <m/>
    <s v="Bacteria were extracted from fertile garden soil"/>
    <s v="nein"/>
    <s v="Mikrobakterien aus dem Boden"/>
    <s v="Labor"/>
    <s v="nein"/>
    <n v="25"/>
    <m/>
    <m/>
    <m/>
    <m/>
    <s v="rotating (200rpm)"/>
    <s v="Gewichtsverlust"/>
    <m/>
    <n v="18"/>
    <n v="18"/>
    <n v="1"/>
    <m/>
    <n v="2"/>
    <s v=""/>
    <s v=""/>
    <s v=""/>
    <s v=""/>
    <s v=""/>
    <s v=""/>
    <n v="1"/>
    <x v="4"/>
    <x v="74"/>
    <s v="Plastic Leak Project"/>
    <m/>
    <s v="ja "/>
    <s v="ja "/>
    <m/>
    <m/>
    <m/>
    <s v="nein"/>
    <s v="ja"/>
    <m/>
    <s v="Dichte von Rodion übernommen"/>
  </r>
  <r>
    <s v="PE"/>
    <s v="PE"/>
    <s v="ja"/>
    <s v="Mikroorganismen"/>
    <s v="no value"/>
    <s v="no value"/>
    <m/>
    <s v="--"/>
    <m/>
    <m/>
    <s v="mesophilic mixed bacterial culture isolates obtained from a municipal landfill sediment"/>
    <m/>
    <m/>
    <m/>
    <s v="nein"/>
    <m/>
    <m/>
    <m/>
    <m/>
    <m/>
    <m/>
    <s v="Gewichtsverlust"/>
    <m/>
    <m/>
    <m/>
    <e v="#DIV/0!"/>
    <m/>
    <s v=""/>
    <s v=""/>
    <s v=""/>
    <s v=""/>
    <s v=""/>
    <s v=""/>
    <s v=""/>
    <n v="0"/>
    <x v="1"/>
    <x v="75"/>
    <s v="Raddadi &amp; Fava (2019)"/>
    <s v="CG (Mai 2020)"/>
    <s v="ja"/>
    <s v="nein"/>
    <m/>
    <m/>
    <m/>
    <m/>
    <s v="nicht vorgesehen"/>
    <s v="https://www.sciencedirect.com/science/article/pii/S0045653519301754"/>
    <s v="Experimente mit Mikroorganismen im Labor (weder Boden noch Wasser)"/>
  </r>
  <r>
    <s v="PE"/>
    <s v="PE"/>
    <s v="nein"/>
    <m/>
    <s v="Strips"/>
    <s v="no value"/>
    <n v="7.000000000000001E-4"/>
    <n v="0.93799999999999994"/>
    <s v="standard polyethylene bag produced from 33% recycled materials"/>
    <m/>
    <m/>
    <s v="ja"/>
    <s v="Meerwasser (0,6 m Tiefe)"/>
    <s v="Meerwasser"/>
    <s v="ja"/>
    <m/>
    <m/>
    <m/>
    <m/>
    <m/>
    <m/>
    <s v="Sonstiges"/>
    <s v="tensile strength"/>
    <n v="0.62666666666666671"/>
    <n v="280"/>
    <n v="2.2380952380952382E-3"/>
    <m/>
    <n v="2"/>
    <s v=""/>
    <s v=""/>
    <s v=""/>
    <s v=""/>
    <s v=""/>
    <s v=""/>
    <n v="1"/>
    <x v="3"/>
    <x v="76"/>
    <s v="Plastic Leak Project"/>
    <s v="CB (März 2020)"/>
    <s v="ja"/>
    <s v="ja"/>
    <m/>
    <m/>
    <m/>
    <s v="nein"/>
    <s v="ja"/>
    <m/>
    <s v="Dichte aus anderem Paper übernommen"/>
  </r>
  <r>
    <s v="PE"/>
    <s v="PE"/>
    <s v="nein"/>
    <m/>
    <s v="Film"/>
    <s v="no value"/>
    <s v="no value"/>
    <n v="0.93799999999999994"/>
    <m/>
    <m/>
    <m/>
    <s v="ja"/>
    <s v="Meerwasser (Ostsee)"/>
    <s v="Meerwasser"/>
    <s v="ja"/>
    <s v="3,2 - 21,6"/>
    <n v="8.1999999999999993"/>
    <m/>
    <m/>
    <s v="aerob"/>
    <m/>
    <s v="Gewichtsverlust"/>
    <m/>
    <n v="0"/>
    <n v="561"/>
    <n v="0"/>
    <m/>
    <n v="2"/>
    <s v=""/>
    <s v=""/>
    <s v=""/>
    <s v=""/>
    <s v=""/>
    <s v=""/>
    <n v="1"/>
    <x v="3"/>
    <x v="39"/>
    <m/>
    <m/>
    <s v="ja"/>
    <s v="ja"/>
    <s v="ja"/>
    <s v="ja"/>
    <s v="bedingt"/>
    <s v="nein"/>
    <s v="ja"/>
    <m/>
    <s v="Dichte aus anderem Paper übernommen"/>
  </r>
  <r>
    <s v="PE"/>
    <s v="PE"/>
    <s v="nein"/>
    <m/>
    <s v="Strips"/>
    <s v="no value"/>
    <n v="7.000000000000001E-4"/>
    <n v="0.93799999999999994"/>
    <s v="standard polyethylene bag produced from 33% recycled materials"/>
    <m/>
    <m/>
    <s v="ja"/>
    <s v="Meerwasser (0,6 m Tiefe)"/>
    <s v="Meerwasser"/>
    <s v="ja"/>
    <m/>
    <m/>
    <m/>
    <m/>
    <m/>
    <m/>
    <s v="Sonstiges"/>
    <s v="surface area remaining"/>
    <n v="0"/>
    <n v="280"/>
    <n v="0"/>
    <m/>
    <n v="2"/>
    <s v=""/>
    <s v=""/>
    <s v=""/>
    <s v=""/>
    <s v=""/>
    <s v=""/>
    <n v="1"/>
    <x v="3"/>
    <x v="76"/>
    <s v="Plastic Leak Project"/>
    <s v="CB (März 2020)"/>
    <s v="ja"/>
    <s v="ja"/>
    <m/>
    <m/>
    <m/>
    <s v="nein"/>
    <s v="ja"/>
    <m/>
    <s v="Dichte aus anderem Paper übernommen"/>
  </r>
  <r>
    <s v="PE"/>
    <s v="LP (Material a40)"/>
    <s v="ja"/>
    <s v="Vorbehandlung"/>
    <s v="Fragments"/>
    <n v="5.2500000000000005E-2"/>
    <n v="3.1415926535897929E-6"/>
    <n v="0.93799999999999994"/>
    <s v="low density Polyethylene Bralene as a semi-transparent film, containing Omyalen 2021 P (15%w/w) micro-milled lime as a filler in addition to commercial Addiflex HE (5% w/w) pro-oxidant additives"/>
    <s v="oxidized in an aerated oven at 70°C for 40 days"/>
    <m/>
    <s v="nein"/>
    <s v="Boden"/>
    <s v="Boden/Kompost"/>
    <s v="ja"/>
    <n v="25"/>
    <m/>
    <m/>
    <m/>
    <m/>
    <m/>
    <s v="CO2-Entwicklung"/>
    <m/>
    <n v="13"/>
    <n v="460"/>
    <n v="2.8260869565217391E-2"/>
    <m/>
    <n v="6"/>
    <s v=""/>
    <s v=""/>
    <s v=""/>
    <s v=""/>
    <s v=""/>
    <s v=""/>
    <n v="1"/>
    <x v="4"/>
    <x v="77"/>
    <s v="Plastik Leak Project"/>
    <s v="CB (März 2020)"/>
    <s v="ja"/>
    <s v="ja"/>
    <m/>
    <m/>
    <m/>
    <s v="nein"/>
    <s v="ja"/>
    <m/>
    <s v="Thicknes = 0,05-0,055mm; Durchmesser der surface area &lt;2mm; Dichte aus anderem Paper übernommen"/>
  </r>
  <r>
    <s v="PE"/>
    <s v="LP (Material a40)"/>
    <s v="ja"/>
    <s v="Vorbehandlung"/>
    <s v="Fragments"/>
    <n v="5.2500000000000005E-2"/>
    <n v="3.1415926535897929E-6"/>
    <n v="0.93799999999999994"/>
    <s v="low density Polyethylene Bralene as a semi-transparent film, containing Omyalen 2021 P (15%w/w) micro-milled lime as a filler in addition to commercial Addiflex HE (5% w/w) pro-oxidant additives"/>
    <s v="oxidized in an aerated oven at 70°C for 40 days"/>
    <m/>
    <s v="nein"/>
    <s v="Kompost"/>
    <s v="Boden/Kompost"/>
    <s v="ja"/>
    <n v="58"/>
    <m/>
    <m/>
    <m/>
    <m/>
    <m/>
    <s v="CO2-Entwicklung"/>
    <m/>
    <n v="19"/>
    <n v="460"/>
    <n v="4.1304347826086954E-2"/>
    <m/>
    <n v="6"/>
    <s v=""/>
    <s v=""/>
    <s v=""/>
    <s v=""/>
    <s v=""/>
    <s v=""/>
    <n v="1"/>
    <x v="4"/>
    <x v="77"/>
    <s v="Plastik Leak Project"/>
    <s v="CB (März 2020)"/>
    <s v="ja"/>
    <s v="ja"/>
    <m/>
    <m/>
    <m/>
    <s v="nein"/>
    <s v="ja"/>
    <m/>
    <s v="Thicknes = 0,05-0,055mm; Durchmesser der surface area &lt;2mm; Dichte aus anderem Paper übernommen"/>
  </r>
  <r>
    <s v="PE"/>
    <s v="LP (Material a80)"/>
    <s v="ja"/>
    <s v="Vorbehandlung"/>
    <s v="Fragments"/>
    <n v="5.2500000000000005E-2"/>
    <n v="3.1415926535897929E-6"/>
    <n v="0.93799999999999994"/>
    <s v="low density Polyethylene Bralene as a semi-transparent film, containing Omyalen 2021 P (15%w/w) micro-milled lime as a filler in addition to commercial Addiflex HE (5% w/w) pro-oxidant additives"/>
    <s v="oxidized in an aerated oven at 70°C for 80 days"/>
    <m/>
    <s v="nein"/>
    <s v="Boden"/>
    <s v="Boden/Kompost"/>
    <s v="ja"/>
    <n v="25"/>
    <m/>
    <m/>
    <m/>
    <m/>
    <m/>
    <s v="CO2-Entwicklung"/>
    <m/>
    <n v="16"/>
    <n v="460"/>
    <n v="3.4782608695652174E-2"/>
    <m/>
    <n v="6"/>
    <s v=""/>
    <s v=""/>
    <s v=""/>
    <s v=""/>
    <s v=""/>
    <s v=""/>
    <n v="1"/>
    <x v="4"/>
    <x v="77"/>
    <s v="Plastik Leak Project"/>
    <s v="CB (März 2020)"/>
    <s v="ja"/>
    <s v="ja"/>
    <m/>
    <m/>
    <m/>
    <s v="nein"/>
    <s v="ja"/>
    <m/>
    <s v="Thicknes = 0,05-0,055mm; Durchmesser der surface area &lt;2mm; Dichte aus anderem Paper übernommen"/>
  </r>
  <r>
    <s v="PE"/>
    <s v="LP (Material a80)"/>
    <s v="ja"/>
    <s v="Vorbehandlung"/>
    <s v="Fragments"/>
    <n v="5.2500000000000005E-2"/>
    <n v="3.1415926535897929E-6"/>
    <n v="0.93799999999999994"/>
    <s v="low density Polyethylene Bralene as a semi-transparent film, containing Omyalen 2021 P (15%w/w) micro-milled lime as a filler in addition to commercial Addiflex HE (5% w/w) pro-oxidant additives"/>
    <s v="oxidized in an aerated oven at 70°C for 40 days"/>
    <m/>
    <s v="nein"/>
    <s v="Kompost"/>
    <s v="Boden/Kompost"/>
    <s v="ja"/>
    <n v="58"/>
    <m/>
    <m/>
    <m/>
    <m/>
    <m/>
    <s v="CO2-Entwicklung"/>
    <m/>
    <n v="19"/>
    <n v="460"/>
    <n v="4.1304347826086954E-2"/>
    <m/>
    <n v="6"/>
    <s v=""/>
    <s v=""/>
    <s v=""/>
    <s v=""/>
    <s v=""/>
    <s v=""/>
    <n v="1"/>
    <x v="4"/>
    <x v="77"/>
    <s v="Plastik Leak Project"/>
    <s v="CB (März 2020)"/>
    <s v="ja"/>
    <s v="ja"/>
    <m/>
    <m/>
    <m/>
    <s v="nein"/>
    <s v="ja"/>
    <m/>
    <s v="Thicknes = 0,05-0,055mm; Durchmesser der surface area &lt;2mm; Dichte aus anderem Paper übernommen"/>
  </r>
  <r>
    <s v="PE"/>
    <s v="PE (mix of LDPE and HDPE; with indigenous bacteria)"/>
    <s v="ja"/>
    <s v="Mikroorganismen"/>
    <s v="Flakes"/>
    <s v="no value"/>
    <n v="1E-4"/>
    <n v="0.93799999999999994"/>
    <s v="PE pieces were collected form sandy beaches in Northern Crete. "/>
    <s v="natural weathering; sterilized with 70% ethanol solution overnight; dried at 50 °C for 24 h"/>
    <s v="indigenous marine bacteria"/>
    <s v="(ja)"/>
    <s v="enriched filtered saline water (C:N:P ratio of 100:10:1)"/>
    <s v="Meerwasser"/>
    <s v="ja"/>
    <n v="25"/>
    <m/>
    <m/>
    <m/>
    <m/>
    <s v="bewegt"/>
    <s v="Gewichtsverlust"/>
    <m/>
    <n v="0.3"/>
    <n v="180"/>
    <n v="1.6666666666666666E-3"/>
    <m/>
    <n v="2"/>
    <s v=""/>
    <s v=""/>
    <s v=""/>
    <s v=""/>
    <s v=""/>
    <s v=""/>
    <n v="1"/>
    <x v="3"/>
    <x v="78"/>
    <s v="Raddadi &amp; Fava (2019)"/>
    <s v="CG (Mai 2020)"/>
    <s v="ja"/>
    <s v="ja"/>
    <m/>
    <m/>
    <m/>
    <m/>
    <s v="ja"/>
    <m/>
    <s v="Dichte aus anderem Paper übernommen"/>
  </r>
  <r>
    <s v="PE"/>
    <s v="PE (mix of LDPE and HDPE; with additional competent strains)"/>
    <s v="ja"/>
    <s v="Mikroorganismen"/>
    <s v="Flakes"/>
    <s v="no value"/>
    <n v="1E-4"/>
    <n v="0.93799999999999994"/>
    <s v="PE pieces were collected form sandy beaches in Northern Crete. "/>
    <s v="natural weathering; sterilized with 70% ethanol solution overnight; dried at 50 °C for 24 h"/>
    <s v="indigenous marine bacteria + bacterial isolates belonging to the genera Lysinibacillus and Salinibacterium"/>
    <s v="(ja)"/>
    <s v="enriched filtered saline water (C:N:P ratio of 100:10:1)"/>
    <s v="Meerwasser"/>
    <s v="ja"/>
    <n v="25"/>
    <m/>
    <m/>
    <m/>
    <m/>
    <s v="bewegt"/>
    <s v="Gewichtsverlust"/>
    <m/>
    <n v="0.4"/>
    <n v="180"/>
    <n v="2.2222222222222222E-3"/>
    <m/>
    <n v="2"/>
    <s v=""/>
    <s v=""/>
    <s v=""/>
    <s v=""/>
    <s v=""/>
    <s v=""/>
    <n v="1"/>
    <x v="3"/>
    <x v="78"/>
    <s v="Raddadi &amp; Fava (2019)"/>
    <s v="CG (Mai 2020)"/>
    <s v="ja"/>
    <s v="ja"/>
    <m/>
    <m/>
    <m/>
    <m/>
    <s v="ja"/>
    <m/>
    <s v="Dichte aus anderem Paper übernommen"/>
  </r>
  <r>
    <s v="PE"/>
    <s v="PE (mix of LDPE and HDPE; with indigenous bacteria)"/>
    <s v="ja"/>
    <s v="Mikroorganismen"/>
    <s v="Flakes"/>
    <s v="no value"/>
    <n v="1E-4"/>
    <n v="0.93799999999999994"/>
    <s v="PE pieces were collected form sandy beaches in Northern Crete. "/>
    <s v="natural weathering; sterilized with 70% ethanol solution overnight; dried at 50 °C for 24 h"/>
    <s v="indigenous marine bacteria that had been feeding on PE exclusively for 6 months"/>
    <s v="(ja)"/>
    <s v="enriched filtered saline water (C:N:P ratio of 100:10:1)"/>
    <s v="Meerwasser"/>
    <s v="ja"/>
    <n v="25"/>
    <m/>
    <m/>
    <m/>
    <m/>
    <s v="bewegt"/>
    <s v="Gewichtsverlust"/>
    <m/>
    <n v="4.2"/>
    <n v="180"/>
    <n v="2.3333333333333334E-2"/>
    <m/>
    <n v="2"/>
    <s v=""/>
    <s v=""/>
    <s v=""/>
    <s v=""/>
    <s v=""/>
    <s v=""/>
    <n v="1"/>
    <x v="3"/>
    <x v="78"/>
    <s v="Raddadi &amp; Fava (2019)"/>
    <s v="CG (Mai 2020)"/>
    <s v="ja"/>
    <s v="ja"/>
    <m/>
    <m/>
    <m/>
    <m/>
    <s v="ja"/>
    <m/>
    <s v="Dichte aus anderem Paper übernommen"/>
  </r>
  <r>
    <s v="PE"/>
    <s v="PE (mix of LDPE and HDPE; with additional competent strains)"/>
    <s v="ja"/>
    <s v="Mikroorganismen"/>
    <s v="Flakes"/>
    <s v="no value"/>
    <n v="1E-4"/>
    <n v="0.93799999999999994"/>
    <s v="PE pieces were collected form sandy beaches in Northern Crete. "/>
    <s v="natural weathering; sterilized with 70% ethanol solution overnight; dried at 50 °C for 24 h"/>
    <s v="indigenous marine bacteria + bacterial isolates belonging to the genera Lysinibacillus and Salinibacterium that had both been feeding on PE exclusively for 6 months"/>
    <s v="(ja)"/>
    <s v="enriched filtered saline water (C:N:P ratio of 100:10:1)"/>
    <s v="Meerwasser"/>
    <s v="ja"/>
    <n v="25"/>
    <m/>
    <m/>
    <m/>
    <m/>
    <s v="bewegt"/>
    <s v="Gewichtsverlust"/>
    <m/>
    <n v="19"/>
    <n v="180"/>
    <n v="0.10555555555555556"/>
    <m/>
    <n v="2"/>
    <s v=""/>
    <s v=""/>
    <s v=""/>
    <s v=""/>
    <s v=""/>
    <s v=""/>
    <n v="1"/>
    <x v="3"/>
    <x v="78"/>
    <s v="Raddadi &amp; Fava (2019)"/>
    <s v="CG (Mai 2020)"/>
    <s v="ja"/>
    <s v="ja"/>
    <m/>
    <m/>
    <m/>
    <m/>
    <s v="ja"/>
    <m/>
    <s v="Dichte aus anderem Paper übernommen"/>
  </r>
  <r>
    <s v="PE"/>
    <s v="LP (Material b)"/>
    <s v="ja"/>
    <s v="Vorbehandlung"/>
    <s v="Fragments"/>
    <n v="3.2500000000000001E-2"/>
    <n v="3.1415926535897929E-6"/>
    <n v="0.93799999999999994"/>
    <s v="low density Polyethylene transparent film, containing pro-oxidant additives based on Mn and Fe stearates"/>
    <s v="oxidized in an aerated oven at 70°C for 40 days"/>
    <m/>
    <s v="nein"/>
    <s v="Boden"/>
    <s v="Boden/Kompost"/>
    <s v="ja"/>
    <n v="25"/>
    <m/>
    <m/>
    <m/>
    <m/>
    <m/>
    <s v="CO2-Entwicklung"/>
    <m/>
    <n v="7"/>
    <n v="460"/>
    <n v="1.5217391304347827E-2"/>
    <m/>
    <n v="6"/>
    <s v=""/>
    <s v=""/>
    <s v=""/>
    <s v=""/>
    <s v=""/>
    <s v=""/>
    <n v="1"/>
    <x v="4"/>
    <x v="77"/>
    <s v="Plastik Leak Project"/>
    <s v="CB (März 2020)"/>
    <s v="ja"/>
    <s v="ja"/>
    <m/>
    <m/>
    <m/>
    <s v="nein"/>
    <s v="ja"/>
    <m/>
    <s v="Thicknes = 0,03-0,035mm; Durchmesser der surface area &lt;2mm; Dichte aus anderem Paper übernommen"/>
  </r>
  <r>
    <s v="PE"/>
    <s v="LP (Material b)"/>
    <s v="ja"/>
    <s v="Vorbehandlung"/>
    <s v="Fragments"/>
    <n v="3.2500000000000001E-2"/>
    <n v="3.1415926535897929E-6"/>
    <n v="0.93799999999999994"/>
    <s v="low density Polyethylene transparent film, containing pro-oxidant additives based on Mn and Fe stearates"/>
    <s v="oxidized in an aerated oven at 70°C for 80 days"/>
    <m/>
    <s v="nein"/>
    <s v="Kompost"/>
    <s v="Boden/Kompost"/>
    <s v="ja"/>
    <n v="58"/>
    <m/>
    <m/>
    <m/>
    <m/>
    <m/>
    <s v="CO2-Entwicklung"/>
    <m/>
    <n v="23"/>
    <n v="460"/>
    <n v="0.05"/>
    <m/>
    <n v="6"/>
    <s v=""/>
    <s v=""/>
    <s v=""/>
    <s v=""/>
    <s v=""/>
    <s v=""/>
    <n v="1"/>
    <x v="4"/>
    <x v="77"/>
    <s v="Plastik Leak Project"/>
    <s v="CB (März 2020)"/>
    <s v="ja"/>
    <s v="ja"/>
    <m/>
    <m/>
    <m/>
    <s v="nein"/>
    <s v="ja"/>
    <m/>
    <s v="Thicknes = 0,03-0,035mm; Durchmesser der surface area &lt;2mm; Dichte aus anderem Paper übernommen"/>
  </r>
  <r>
    <s v="PBSe"/>
    <s v="Polybutylen-Sebacat"/>
    <s v="nein"/>
    <m/>
    <s v="Film"/>
    <n v="2.5000000000000001E-2"/>
    <s v="no value"/>
    <s v="no value"/>
    <m/>
    <s v="keine"/>
    <m/>
    <s v="ja"/>
    <s v="Mediterranean Sea - pelagic"/>
    <s v="Meerwasser"/>
    <s v="ja"/>
    <m/>
    <m/>
    <m/>
    <m/>
    <m/>
    <m/>
    <s v="Gewichtsverlust"/>
    <s v="Desintegration is assessed photogrammetrically by quantifying the area change of the plastic film"/>
    <n v="50"/>
    <n v="1564"/>
    <n v="3.1969309462915603E-2"/>
    <m/>
    <n v="2"/>
    <n v="80000"/>
    <s v=""/>
    <n v="1.4585997442455243"/>
    <n v="1"/>
    <n v="1.4585997442455243"/>
    <s v="PBSe_Meerwasser_natürlich"/>
    <n v="1"/>
    <x v="6"/>
    <x v="72"/>
    <m/>
    <s v="CG (August 2020)"/>
    <s v="ja"/>
    <s v="ja"/>
    <m/>
    <m/>
    <m/>
    <s v="nein"/>
    <s v="ja"/>
    <m/>
    <m/>
  </r>
  <r>
    <s v="PE"/>
    <s v="PE"/>
    <s v="nein"/>
    <m/>
    <s v="Strips"/>
    <n v="0.08"/>
    <n v="3.0000000000000001E-3"/>
    <n v="0.93799999999999994"/>
    <m/>
    <m/>
    <m/>
    <s v="nein"/>
    <s v="Meerwasser (Labor)"/>
    <s v="Meerwasser"/>
    <s v="ja"/>
    <s v="19-20"/>
    <s v="6,8 - 8,7"/>
    <m/>
    <m/>
    <s v="aerob"/>
    <m/>
    <s v="Gewichtsverlust"/>
    <m/>
    <n v="0.2"/>
    <n v="365"/>
    <n v="1.643835616438356E-3"/>
    <m/>
    <n v="2"/>
    <s v=""/>
    <s v=""/>
    <s v=""/>
    <n v="1"/>
    <n v="0.24000000000000021"/>
    <s v="PE_Meerwasser_nicht natürlich"/>
    <n v="1"/>
    <x v="7"/>
    <x v="79"/>
    <s v="Chamas et al. 2020"/>
    <m/>
    <s v="ja"/>
    <s v="ja"/>
    <s v="ja"/>
    <s v="Nein "/>
    <s v="bedingt"/>
    <s v="ja"/>
    <s v="ja"/>
    <m/>
    <s v="Dichte aus anderem Paper übernommen"/>
  </r>
  <r>
    <s v="PE+"/>
    <s v="PE with pro-oxidant"/>
    <s v="ja"/>
    <s v="Vorbehandlung"/>
    <s v="Film"/>
    <n v="3.5999999999999997E-2"/>
    <s v="no value"/>
    <n v="0.93799999999999994"/>
    <s v="_x000a_Actimais, SMS Trioplast_x000a_additives"/>
    <m/>
    <m/>
    <s v="ja"/>
    <s v="Boden"/>
    <s v="Boden/Kompost"/>
    <s v="ja"/>
    <m/>
    <m/>
    <m/>
    <m/>
    <s v="aerob"/>
    <m/>
    <s v="CO2-Entwicklung"/>
    <m/>
    <n v="15"/>
    <n v="365"/>
    <n v="4.1095890410958902E-2"/>
    <m/>
    <n v="2"/>
    <s v=""/>
    <s v=""/>
    <s v=""/>
    <s v=""/>
    <s v=""/>
    <s v=""/>
    <n v="1"/>
    <x v="4"/>
    <x v="59"/>
    <s v="Plastic Leak Project"/>
    <s v="CB (März 2020)"/>
    <s v="ja"/>
    <s v="ja"/>
    <m/>
    <m/>
    <m/>
    <s v="nein"/>
    <s v="ja"/>
    <m/>
    <s v="Dichte aus anderem Paper übernommen"/>
  </r>
  <r>
    <s v="PE+"/>
    <s v="PE/Stärke (91/9%)"/>
    <s v="ja"/>
    <s v="Zusätze"/>
    <s v="Strips"/>
    <n v="0.04"/>
    <n v="3.8709600000000001E-3"/>
    <n v="0.93799999999999994"/>
    <s v="Plastic bag"/>
    <s v="70 Grad, 20 d"/>
    <m/>
    <s v="nein"/>
    <s v="Boden (Labor, Bakterienimpfung)"/>
    <s v="Boden/Kompost"/>
    <s v="ja"/>
    <m/>
    <m/>
    <m/>
    <s v="38-70"/>
    <m/>
    <m/>
    <s v="Gewichtsverlust"/>
    <m/>
    <n v="36"/>
    <n v="510"/>
    <n v="7.0588235294117646E-2"/>
    <m/>
    <n v="2"/>
    <s v=""/>
    <s v=""/>
    <s v=""/>
    <s v=""/>
    <s v=""/>
    <s v=""/>
    <n v="1"/>
    <x v="4"/>
    <x v="13"/>
    <m/>
    <m/>
    <s v="ja "/>
    <s v="ja "/>
    <m/>
    <s v="ja"/>
    <m/>
    <s v="nein"/>
    <s v="ja"/>
    <m/>
    <s v="Dichte aus anderem Paper übernommen"/>
  </r>
  <r>
    <s v="PE+"/>
    <s v="PE-based, biodegradable"/>
    <s v="ja"/>
    <s v="Zusätze"/>
    <s v="Strips"/>
    <n v="0.02"/>
    <n v="3.7500000000000001E-4"/>
    <n v="0.93799999999999994"/>
    <s v="biodegradable bag"/>
    <m/>
    <m/>
    <s v="nein"/>
    <s v="Labor (blacked-out box)"/>
    <s v="Labor"/>
    <s v="nein"/>
    <n v="21"/>
    <m/>
    <m/>
    <m/>
    <m/>
    <m/>
    <s v="Sonstiges"/>
    <s v="tensile strength"/>
    <n v="18.260000000000002"/>
    <n v="810"/>
    <n v="2.2543209876543211E-2"/>
    <m/>
    <n v="2"/>
    <s v=""/>
    <s v=""/>
    <s v=""/>
    <s v=""/>
    <s v=""/>
    <s v=""/>
    <n v="1"/>
    <x v="4"/>
    <x v="16"/>
    <s v="Plastic Leak Project"/>
    <s v="CB (März 2020)"/>
    <s v="ja"/>
    <s v="ja"/>
    <m/>
    <m/>
    <m/>
    <s v="nein"/>
    <s v="ja"/>
    <m/>
    <s v="Dichte aus anderem Paper übernommen"/>
  </r>
  <r>
    <s v="PE+"/>
    <s v="PE-based, biodegradable"/>
    <s v="ja"/>
    <s v="Zusätze"/>
    <s v="Strips"/>
    <n v="0.02"/>
    <n v="3.7500000000000001E-4"/>
    <n v="0.93799999999999994"/>
    <s v="biodegradable bag"/>
    <m/>
    <m/>
    <s v="ja"/>
    <s v="soil (buried to a depth of approximately 0.25 m)"/>
    <s v="Boden/Kompost"/>
    <s v="ja"/>
    <m/>
    <m/>
    <m/>
    <m/>
    <m/>
    <m/>
    <s v="Sonstiges"/>
    <s v="tensile strength"/>
    <n v="25.03"/>
    <n v="810"/>
    <n v="3.0901234567901236E-2"/>
    <m/>
    <n v="2"/>
    <s v=""/>
    <s v=""/>
    <s v=""/>
    <s v=""/>
    <s v=""/>
    <s v=""/>
    <n v="1"/>
    <x v="4"/>
    <x v="16"/>
    <s v="Plastic Leak Project"/>
    <s v="CB (März 2020)"/>
    <s v="ja"/>
    <s v="ja"/>
    <m/>
    <m/>
    <m/>
    <s v="nein"/>
    <s v="ja"/>
    <m/>
    <s v="Dichte aus anderem Paper übernommen"/>
  </r>
  <r>
    <s v="PE+"/>
    <s v="PE-based, biodegradable"/>
    <s v="ja"/>
    <s v="Zusätze"/>
    <s v="Strips"/>
    <n v="0.02"/>
    <n v="3.7500000000000001E-4"/>
    <n v="0.93799999999999994"/>
    <s v="biodegradable bag"/>
    <m/>
    <m/>
    <s v="ja"/>
    <s v="open air"/>
    <s v="Luft"/>
    <s v="nein"/>
    <s v="1,5-21,7"/>
    <m/>
    <m/>
    <m/>
    <m/>
    <m/>
    <s v="Sonstiges"/>
    <s v="tensile strength"/>
    <n v="100"/>
    <n v="810"/>
    <n v="0.12345679012345678"/>
    <m/>
    <n v="2"/>
    <s v=""/>
    <s v=""/>
    <s v=""/>
    <s v=""/>
    <s v=""/>
    <s v=""/>
    <n v="1"/>
    <x v="4"/>
    <x v="16"/>
    <s v="Plastic Leak Project"/>
    <s v="CB (März 2020)"/>
    <s v="ja"/>
    <s v="ja"/>
    <m/>
    <m/>
    <m/>
    <s v="nein"/>
    <s v="ja"/>
    <m/>
    <s v="Dichte aus anderem Paper übernommen"/>
  </r>
  <r>
    <s v="PE+"/>
    <s v="PE-based, biodegradable"/>
    <s v="ja"/>
    <s v="Zusätze"/>
    <s v="Strips"/>
    <n v="0.02"/>
    <n v="3.7500000000000001E-4"/>
    <n v="0.93799999999999994"/>
    <s v="biodegradable bag"/>
    <m/>
    <m/>
    <s v="ja"/>
    <s v="marine environment (submerged on a beam at a depth of approximately 1 m)"/>
    <s v="Meerwasser"/>
    <s v="ja"/>
    <s v="8,8-18,10"/>
    <m/>
    <m/>
    <m/>
    <m/>
    <m/>
    <s v="Sonstiges"/>
    <s v="tensile strength"/>
    <n v="23.1"/>
    <n v="810"/>
    <n v="2.8518518518518519E-2"/>
    <m/>
    <n v="2"/>
    <s v=""/>
    <s v=""/>
    <s v=""/>
    <s v=""/>
    <s v=""/>
    <s v=""/>
    <n v="1"/>
    <x v="4"/>
    <x v="16"/>
    <s v="Plastic Leak Project"/>
    <s v="CB (März 2020)"/>
    <s v="ja"/>
    <s v="ja"/>
    <m/>
    <m/>
    <m/>
    <s v="nein"/>
    <s v="ja"/>
    <m/>
    <s v="Dichte aus anderem Paper übernommen"/>
  </r>
  <r>
    <s v="PE+"/>
    <s v="PE-based, compostable"/>
    <s v="ja"/>
    <s v="Zusätze"/>
    <s v="Strips"/>
    <n v="0.03"/>
    <n v="3.7500000000000001E-4"/>
    <n v="0.93799999999999994"/>
    <s v="compostable bag"/>
    <m/>
    <m/>
    <s v="nein"/>
    <s v="Labor (blacked-out box)"/>
    <s v="Labor"/>
    <s v="nein"/>
    <n v="21"/>
    <m/>
    <m/>
    <m/>
    <m/>
    <m/>
    <s v="Sonstiges"/>
    <s v="tensile strength"/>
    <n v="11.48"/>
    <n v="810"/>
    <n v="1.4172839506172839E-2"/>
    <m/>
    <n v="2"/>
    <s v=""/>
    <s v=""/>
    <s v=""/>
    <s v=""/>
    <s v=""/>
    <s v=""/>
    <n v="1"/>
    <x v="4"/>
    <x v="16"/>
    <s v="Plastic Leak Project"/>
    <s v="CB (März 2020)"/>
    <s v="ja"/>
    <s v="ja"/>
    <m/>
    <m/>
    <m/>
    <s v="nein"/>
    <s v="ja"/>
    <m/>
    <s v="Dichte aus anderem Paper übernommen"/>
  </r>
  <r>
    <s v="PE+"/>
    <s v="PE-based, compostable"/>
    <s v="ja"/>
    <s v="Zusätze"/>
    <s v="Strips"/>
    <n v="0.03"/>
    <n v="3.7500000000000001E-4"/>
    <n v="0.93799999999999994"/>
    <s v="compostable bag"/>
    <m/>
    <m/>
    <s v="ja"/>
    <s v="soil (buried to a depth of approximately 0.25 m)"/>
    <s v="Boden/Kompost"/>
    <s v="ja"/>
    <m/>
    <m/>
    <m/>
    <m/>
    <m/>
    <m/>
    <s v="Sonstiges"/>
    <s v="tensile strength"/>
    <n v="68.86"/>
    <n v="810"/>
    <n v="8.5012345679012349E-2"/>
    <m/>
    <n v="2"/>
    <s v=""/>
    <s v=""/>
    <s v=""/>
    <s v=""/>
    <s v=""/>
    <s v=""/>
    <n v="1"/>
    <x v="4"/>
    <x v="16"/>
    <s v="Plastic Leak Project"/>
    <s v="CB (März 2020)"/>
    <s v="ja"/>
    <s v="ja"/>
    <m/>
    <m/>
    <m/>
    <s v="nein"/>
    <s v="ja"/>
    <m/>
    <s v="Dichte aus anderem Paper übernommen"/>
  </r>
  <r>
    <s v="PE+"/>
    <s v="PE-based, compostable"/>
    <s v="ja"/>
    <s v="Zusätze"/>
    <s v="Strips"/>
    <n v="0.03"/>
    <n v="3.7500000000000001E-4"/>
    <n v="0.93799999999999994"/>
    <s v="compostable bag"/>
    <m/>
    <m/>
    <s v="ja"/>
    <s v="open air"/>
    <s v="Luft"/>
    <s v="nein"/>
    <s v="1,5-21,8"/>
    <m/>
    <m/>
    <m/>
    <m/>
    <m/>
    <s v="Sonstiges"/>
    <s v="tensile strength"/>
    <n v="100"/>
    <n v="810"/>
    <n v="0.12345679012345678"/>
    <m/>
    <n v="2"/>
    <s v=""/>
    <s v=""/>
    <s v=""/>
    <s v=""/>
    <s v=""/>
    <s v=""/>
    <n v="1"/>
    <x v="4"/>
    <x v="16"/>
    <s v="Plastic Leak Project"/>
    <s v="CB (März 2020)"/>
    <s v="ja"/>
    <s v="ja"/>
    <m/>
    <m/>
    <m/>
    <s v="nein"/>
    <s v="ja"/>
    <m/>
    <s v="Dichte aus anderem Paper übernommen"/>
  </r>
  <r>
    <s v="PE+"/>
    <s v="PE-based, compostable"/>
    <s v="ja"/>
    <s v="Zusätze"/>
    <s v="Strips"/>
    <n v="0.03"/>
    <n v="3.7500000000000001E-4"/>
    <n v="0.93799999999999994"/>
    <s v="compostable bag"/>
    <m/>
    <m/>
    <s v="ja"/>
    <s v="marine environment (submerged on a beam at a depth of approximately 1 m)"/>
    <s v="Meerwasser"/>
    <s v="ja"/>
    <s v="8,8-18,11"/>
    <m/>
    <m/>
    <m/>
    <m/>
    <m/>
    <s v="Sonstiges"/>
    <s v="tensile strength"/>
    <n v="100"/>
    <n v="810"/>
    <n v="0.12345679012345678"/>
    <m/>
    <n v="2"/>
    <s v=""/>
    <s v=""/>
    <s v=""/>
    <s v=""/>
    <s v=""/>
    <s v=""/>
    <n v="1"/>
    <x v="4"/>
    <x v="16"/>
    <s v="Plastic Leak Project"/>
    <s v="CB (März 2020)"/>
    <s v="ja"/>
    <s v="ja"/>
    <m/>
    <m/>
    <m/>
    <s v="nein"/>
    <s v="ja"/>
    <m/>
    <s v="Dichte aus anderem Paper übernommen"/>
  </r>
  <r>
    <s v="PE+"/>
    <s v="PE-based, oxo-biodegradable"/>
    <s v="ja"/>
    <s v="Zusätze"/>
    <s v="Strips"/>
    <n v="0.02"/>
    <n v="3.7500000000000001E-4"/>
    <n v="0.93799999999999994"/>
    <s v="Oxobio1"/>
    <m/>
    <m/>
    <s v="ja"/>
    <s v="soil (buried to a depth of approximately 0.25 m)"/>
    <s v="Boden/Kompost"/>
    <s v="ja"/>
    <m/>
    <m/>
    <m/>
    <m/>
    <m/>
    <m/>
    <s v="Sonstiges"/>
    <s v="tensile strength"/>
    <n v="75.459999999999994"/>
    <n v="810"/>
    <n v="9.316049382716049E-2"/>
    <m/>
    <n v="2"/>
    <s v=""/>
    <s v=""/>
    <s v=""/>
    <s v=""/>
    <s v=""/>
    <s v=""/>
    <n v="1"/>
    <x v="4"/>
    <x v="16"/>
    <s v="Plastic Leak Project"/>
    <s v="CB (März 2020)"/>
    <s v="ja"/>
    <s v="ja"/>
    <m/>
    <m/>
    <m/>
    <s v="nein"/>
    <s v="ja"/>
    <m/>
    <s v="Dichte aus anderem Paper übernommen"/>
  </r>
  <r>
    <s v="PE+"/>
    <s v="PE-based, oxo-biodegradable"/>
    <s v="ja"/>
    <s v="Zusätze"/>
    <s v="Strips"/>
    <n v="0.04"/>
    <n v="3.7500000000000001E-4"/>
    <n v="0.93799999999999994"/>
    <s v="Oxiobio2"/>
    <m/>
    <m/>
    <s v="ja"/>
    <s v="soil (buried to a depth of approximately 0.25 m)"/>
    <s v="Boden/Kompost"/>
    <s v="ja"/>
    <m/>
    <m/>
    <m/>
    <m/>
    <m/>
    <m/>
    <s v="Sonstiges"/>
    <s v="tensile strength"/>
    <n v="57.19"/>
    <n v="810"/>
    <n v="7.0604938271604939E-2"/>
    <m/>
    <n v="2"/>
    <s v=""/>
    <s v=""/>
    <s v=""/>
    <s v=""/>
    <s v=""/>
    <s v=""/>
    <n v="1"/>
    <x v="4"/>
    <x v="16"/>
    <s v="Plastic Leak Project"/>
    <s v="CB (März 2020)"/>
    <s v="ja"/>
    <s v="ja"/>
    <m/>
    <m/>
    <m/>
    <s v="nein"/>
    <s v="ja"/>
    <m/>
    <s v="Dichte aus anderem Paper übernommen"/>
  </r>
  <r>
    <s v="PE+"/>
    <s v="PE-based, oxo-biodegradable"/>
    <s v="ja"/>
    <s v="Zusätze"/>
    <s v="Strips"/>
    <n v="0.02"/>
    <n v="3.7500000000000001E-4"/>
    <n v="0.93799999999999994"/>
    <s v="Oxobio1"/>
    <m/>
    <m/>
    <s v="ja"/>
    <s v="open air"/>
    <s v="Luft"/>
    <s v="nein"/>
    <s v="1,5-21,5"/>
    <m/>
    <m/>
    <m/>
    <m/>
    <m/>
    <s v="Sonstiges"/>
    <s v="tensile strength"/>
    <n v="100"/>
    <n v="810"/>
    <n v="0.12345679012345678"/>
    <m/>
    <n v="2"/>
    <s v=""/>
    <s v=""/>
    <s v=""/>
    <s v=""/>
    <s v=""/>
    <s v=""/>
    <n v="1"/>
    <x v="4"/>
    <x v="16"/>
    <s v="Plastic Leak Project"/>
    <s v="CB (März 2020)"/>
    <s v="ja"/>
    <s v="ja"/>
    <m/>
    <m/>
    <m/>
    <s v="nein"/>
    <s v="ja"/>
    <m/>
    <s v="Dichte aus anderem Paper übernommen"/>
  </r>
  <r>
    <s v="PE+"/>
    <s v="PE-based, oxo-biodegradable"/>
    <s v="ja"/>
    <s v="Zusätze"/>
    <s v="Strips"/>
    <n v="0.02"/>
    <n v="3.7500000000000001E-4"/>
    <n v="0.93799999999999994"/>
    <s v="Oxobio1"/>
    <m/>
    <m/>
    <s v="nein"/>
    <s v="Labor (blacked-out box)"/>
    <s v="Labor"/>
    <s v="nein"/>
    <n v="21"/>
    <m/>
    <m/>
    <m/>
    <m/>
    <m/>
    <s v="Sonstiges"/>
    <s v="tensile strength"/>
    <n v="29.09"/>
    <n v="810"/>
    <n v="3.591358024691358E-2"/>
    <m/>
    <n v="2"/>
    <s v=""/>
    <s v=""/>
    <s v=""/>
    <s v=""/>
    <s v=""/>
    <s v=""/>
    <n v="1"/>
    <x v="4"/>
    <x v="16"/>
    <s v="Plastic Leak Project"/>
    <s v="CB (März 2020)"/>
    <s v="ja"/>
    <s v="ja"/>
    <m/>
    <m/>
    <m/>
    <s v="nein"/>
    <s v="ja"/>
    <m/>
    <s v="Dichte aus anderem Paper übernommen"/>
  </r>
  <r>
    <s v="PE+"/>
    <s v="PE-based, oxo-biodegradable"/>
    <s v="ja"/>
    <s v="Zusätze"/>
    <s v="Strips"/>
    <n v="0.04"/>
    <n v="3.7500000000000001E-4"/>
    <n v="0.93799999999999994"/>
    <s v="Oxiobio2"/>
    <m/>
    <m/>
    <s v="nein"/>
    <s v="Labor (blacked-out box)"/>
    <s v="Labor"/>
    <s v="nein"/>
    <n v="21"/>
    <m/>
    <m/>
    <m/>
    <m/>
    <m/>
    <s v="Sonstiges"/>
    <s v="tensile strength"/>
    <n v="19.07"/>
    <n v="810"/>
    <n v="2.3543209876543209E-2"/>
    <m/>
    <n v="2"/>
    <s v=""/>
    <s v=""/>
    <s v=""/>
    <s v=""/>
    <s v=""/>
    <s v=""/>
    <n v="1"/>
    <x v="4"/>
    <x v="16"/>
    <s v="Plastic Leak Project"/>
    <s v="CB (März 2020)"/>
    <s v="ja"/>
    <s v="ja"/>
    <m/>
    <m/>
    <m/>
    <s v="nein"/>
    <s v="ja"/>
    <m/>
    <s v="Dichte aus anderem Paper übernommen"/>
  </r>
  <r>
    <s v="PE+"/>
    <s v="PE-based, oxo-biodegradable"/>
    <s v="ja"/>
    <s v="Zusätze"/>
    <s v="Strips"/>
    <n v="0.04"/>
    <n v="3.7500000000000001E-4"/>
    <n v="0.93799999999999994"/>
    <s v="Oxiobio2"/>
    <m/>
    <m/>
    <s v="ja"/>
    <s v="open air"/>
    <s v="Luft"/>
    <s v="nein"/>
    <s v="1,5-21,6"/>
    <m/>
    <m/>
    <m/>
    <m/>
    <m/>
    <s v="Sonstiges"/>
    <s v="tensile strength"/>
    <n v="100"/>
    <n v="810"/>
    <n v="0.12345679012345678"/>
    <m/>
    <n v="2"/>
    <s v=""/>
    <s v=""/>
    <s v=""/>
    <s v=""/>
    <s v=""/>
    <s v=""/>
    <n v="1"/>
    <x v="4"/>
    <x v="16"/>
    <s v="Plastic Leak Project"/>
    <s v="CB (März 2020)"/>
    <s v="ja"/>
    <s v="ja"/>
    <m/>
    <m/>
    <m/>
    <s v="nein"/>
    <s v="ja"/>
    <m/>
    <s v="Dichte aus anderem Paper übernommen"/>
  </r>
  <r>
    <s v="PE+"/>
    <s v="PE-based, oxo-biodegradable"/>
    <s v="ja"/>
    <s v="Zusätze"/>
    <s v="Strips"/>
    <n v="0.02"/>
    <n v="3.7500000000000001E-4"/>
    <n v="0.93799999999999994"/>
    <s v="Oxobio1"/>
    <m/>
    <m/>
    <s v="ja"/>
    <s v="marine environment (submerged on a beam at a depth of approximately 1 m)"/>
    <s v="Meerwasser"/>
    <s v="ja"/>
    <s v="8,8-18,8"/>
    <m/>
    <m/>
    <m/>
    <m/>
    <m/>
    <s v="Sonstiges"/>
    <s v="tensile strength"/>
    <n v="59.85"/>
    <n v="810"/>
    <n v="7.3888888888888893E-2"/>
    <m/>
    <n v="2"/>
    <s v=""/>
    <s v=""/>
    <s v=""/>
    <s v=""/>
    <s v=""/>
    <s v=""/>
    <n v="1"/>
    <x v="4"/>
    <x v="16"/>
    <s v="Plastic Leak Project"/>
    <s v="CB (März 2020)"/>
    <s v="ja"/>
    <s v="ja"/>
    <m/>
    <m/>
    <m/>
    <s v="nein"/>
    <s v="ja"/>
    <m/>
    <s v="Dichte aus anderem Paper übernommen"/>
  </r>
  <r>
    <s v="PE+"/>
    <s v="PE/Stärke (92/8%)"/>
    <s v="ja"/>
    <s v="Zusätze"/>
    <s v="Shreds"/>
    <n v="3.5999999999999997E-2"/>
    <n v="5.9999999999999995E-8"/>
    <n v="0.93799999999999994"/>
    <s v="Garbage bag, Bioguard (Guardian Poly), red - shredded to a size of 3-5mm x 1-2 mm"/>
    <m/>
    <m/>
    <s v="(ja)"/>
    <s v="Boden (Labor) - Freshly collected Nixon sandy loam (College Farm, New Brunswick, N.J.) was used. In terms of texture, this soil is composed of 50% sand, 21% silt, and 29% clay. The organic matter content of the soil was 5%_x000a_"/>
    <s v="Boden/Kompost"/>
    <s v="ja"/>
    <m/>
    <n v="7.5"/>
    <m/>
    <m/>
    <m/>
    <m/>
    <s v="Gewichtsverlust"/>
    <m/>
    <n v="11.1"/>
    <n v="84"/>
    <n v="0.13214285714285715"/>
    <m/>
    <n v="6"/>
    <s v=""/>
    <s v=""/>
    <s v=""/>
    <s v=""/>
    <s v=""/>
    <s v=""/>
    <n v="1"/>
    <x v="4"/>
    <x v="70"/>
    <m/>
    <m/>
    <s v="ja "/>
    <s v="ja "/>
    <m/>
    <m/>
    <m/>
    <s v="nein"/>
    <s v="ja"/>
    <m/>
    <s v="Dichte aus anderem Paper übernommen"/>
  </r>
  <r>
    <s v="PE+"/>
    <s v="PE/Stärke (92/8%)"/>
    <s v="ja"/>
    <s v="Zusätze"/>
    <s v="Shreds"/>
    <n v="3.5999999999999997E-2"/>
    <n v="5.9999999999999995E-8"/>
    <n v="0.93799999999999994"/>
    <s v="Garbage bag, Bioguard (Guardian Poly), red - shredded to a size of 3-5mm x 1-2 mm"/>
    <m/>
    <m/>
    <s v="(ja)"/>
    <s v="Boden (Labor) - Freshly collected Nixon sandy loam (College Farm, New Brunswick, N.J.) was used. In terms of texture, this soil is composed of 50% sand, 21% silt, and 29% clay. The organic matter content of the soil was 5%_x000a_"/>
    <s v="Boden/Kompost"/>
    <s v="ja"/>
    <m/>
    <n v="7.5"/>
    <m/>
    <m/>
    <m/>
    <m/>
    <s v="CO2-Entwicklung"/>
    <m/>
    <n v="12.7"/>
    <n v="84"/>
    <n v="0.15119047619047618"/>
    <m/>
    <n v="6"/>
    <s v=""/>
    <s v=""/>
    <s v=""/>
    <s v=""/>
    <s v=""/>
    <s v=""/>
    <n v="1"/>
    <x v="4"/>
    <x v="70"/>
    <m/>
    <s v="CB (März 2020)"/>
    <s v="ja "/>
    <s v="ja "/>
    <m/>
    <m/>
    <m/>
    <s v="nein"/>
    <s v="ja"/>
    <m/>
    <s v="Dichte aus anderem Paper übernommen"/>
  </r>
  <r>
    <s v="PE+"/>
    <s v="PE/Stärke (98,5/1,5%)"/>
    <s v="ja"/>
    <s v="Zusätze"/>
    <s v="Shreds"/>
    <n v="3.3000000000000002E-2"/>
    <n v="5.9999999999999995E-8"/>
    <n v="0.93799999999999994"/>
    <s v="Shopping Bag, AMCO Plastics, white - shredded to a size of 3-5mm x 1-2 mm"/>
    <m/>
    <m/>
    <s v="(ja)"/>
    <s v="Boden (Labor) - Freshly collected Nixon sandy loam (College Farm, New Brunswick, N.J.) was used. In terms of texture, this soil is composed of 50% sand, 21% silt, and 29% clay. The organic matter content of the soil was 5%_x000a_"/>
    <s v="Boden/Kompost"/>
    <s v="ja"/>
    <m/>
    <n v="7.5"/>
    <m/>
    <m/>
    <m/>
    <m/>
    <s v="CO2-Entwicklung"/>
    <m/>
    <n v="4.0999999999999996"/>
    <n v="84"/>
    <n v="4.8809523809523803E-2"/>
    <m/>
    <n v="6"/>
    <s v=""/>
    <s v=""/>
    <s v=""/>
    <s v=""/>
    <s v=""/>
    <s v=""/>
    <n v="1"/>
    <x v="4"/>
    <x v="70"/>
    <m/>
    <s v="CB (März 2020)"/>
    <s v="ja "/>
    <s v="ja "/>
    <m/>
    <m/>
    <m/>
    <s v="nein"/>
    <s v="ja"/>
    <m/>
    <s v="Dichte aus anderem Paper übernommen"/>
  </r>
  <r>
    <s v="PE+"/>
    <s v="PE-based, oxo-biodegradable"/>
    <s v="ja"/>
    <s v="Zusätze"/>
    <s v="Strips"/>
    <n v="0.04"/>
    <n v="3.7500000000000001E-4"/>
    <n v="0.93799999999999994"/>
    <s v="Oxiobio2"/>
    <m/>
    <m/>
    <s v="ja"/>
    <s v="marine environment (submerged on a beam at a depth of approximately 1 m)"/>
    <s v="Meerwasser"/>
    <s v="ja"/>
    <s v="8,8-18,9"/>
    <m/>
    <m/>
    <m/>
    <m/>
    <m/>
    <s v="Sonstiges"/>
    <s v="tensile strength"/>
    <n v="16.52"/>
    <n v="810"/>
    <n v="2.0395061728395062E-2"/>
    <m/>
    <n v="2"/>
    <s v=""/>
    <s v=""/>
    <s v=""/>
    <s v=""/>
    <s v=""/>
    <s v=""/>
    <n v="1"/>
    <x v="4"/>
    <x v="16"/>
    <s v="Plastic Leak Project"/>
    <s v="CB (März 2020)"/>
    <s v="ja"/>
    <s v="ja"/>
    <m/>
    <m/>
    <m/>
    <s v="nein"/>
    <s v="ja"/>
    <m/>
    <s v="Dichte aus anderem Paper übernommen"/>
  </r>
  <r>
    <s v="PE+"/>
    <s v="PE/Stärke (92/8%)"/>
    <s v="ja"/>
    <s v="Zusätze"/>
    <s v="Film"/>
    <s v="no value"/>
    <s v="no value"/>
    <n v="0.93799999999999994"/>
    <m/>
    <m/>
    <m/>
    <s v="ja"/>
    <s v="Meerwasser (Ostsee)"/>
    <s v="Meerwasser"/>
    <s v="ja"/>
    <s v="3,2 - 21,6"/>
    <n v="8.1999999999999993"/>
    <m/>
    <m/>
    <s v="aerob"/>
    <m/>
    <s v="Gewichtsverlust"/>
    <m/>
    <n v="0"/>
    <n v="561"/>
    <n v="0"/>
    <m/>
    <n v="2"/>
    <s v=""/>
    <s v=""/>
    <s v=""/>
    <s v=""/>
    <s v=""/>
    <s v=""/>
    <n v="1"/>
    <x v="3"/>
    <x v="39"/>
    <m/>
    <m/>
    <s v="ja"/>
    <s v="ja"/>
    <s v="ja"/>
    <s v="ja"/>
    <s v="bedingt"/>
    <s v="nein"/>
    <s v="ja"/>
    <m/>
    <s v="Dichte aus anderem Paper übernommen"/>
  </r>
  <r>
    <s v="PE+"/>
    <s v="PE-based, oxo-degradable"/>
    <s v="ja"/>
    <s v="Zusätze"/>
    <s v="Strips"/>
    <s v="no value"/>
    <n v="4.0000000000000002E-4"/>
    <n v="0.93799999999999994"/>
    <s v="d2w polyethylene (oxo-biodegradable) with Totally Degradable Plastics Additives (TDPA™)"/>
    <m/>
    <m/>
    <s v="ja"/>
    <s v="Meerwasser (0,6 m Tiefe)"/>
    <s v="Meerwasser"/>
    <s v="ja"/>
    <m/>
    <m/>
    <m/>
    <m/>
    <m/>
    <m/>
    <s v="Sonstiges"/>
    <s v="tensile strength"/>
    <n v="0.67346938775510201"/>
    <n v="280"/>
    <n v="2.4052478134110786E-3"/>
    <m/>
    <n v="2"/>
    <s v=""/>
    <s v=""/>
    <s v=""/>
    <s v=""/>
    <s v=""/>
    <s v=""/>
    <n v="1"/>
    <x v="3"/>
    <x v="76"/>
    <s v="Plastic Leak Project"/>
    <s v="CB (März 2020)"/>
    <s v="ja"/>
    <s v="ja"/>
    <m/>
    <m/>
    <m/>
    <s v="nein"/>
    <s v="ja"/>
    <m/>
    <s v="Dichte aus anderem Paper übernommen"/>
  </r>
  <r>
    <s v="PE+"/>
    <s v="PE-based, oxo-degradable"/>
    <s v="ja"/>
    <s v="Zusätze"/>
    <s v="Strips"/>
    <s v="no value"/>
    <n v="4.0000000000000002E-4"/>
    <n v="0.93799999999999994"/>
    <s v="d2w polyethylene (oxo-biodegradable) with Totally Degradable Plastics Additives (TDPA™)"/>
    <m/>
    <m/>
    <s v="ja"/>
    <s v="Meerwasser (0,6 m Tiefe)"/>
    <s v="Meerwasser"/>
    <s v="ja"/>
    <m/>
    <m/>
    <m/>
    <m/>
    <m/>
    <m/>
    <s v="Sonstiges"/>
    <s v="surface area remaining"/>
    <n v="0.02"/>
    <n v="280"/>
    <n v="7.1428571428571426E-3"/>
    <m/>
    <n v="2"/>
    <s v=""/>
    <s v=""/>
    <s v=""/>
    <s v=""/>
    <s v=""/>
    <s v=""/>
    <n v="1"/>
    <x v="3"/>
    <x v="76"/>
    <s v="Plastic Leak Project"/>
    <s v="CB (März 2020)"/>
    <s v="ja"/>
    <s v="ja"/>
    <m/>
    <m/>
    <m/>
    <s v="nein"/>
    <s v="ja"/>
    <m/>
    <s v="Dichte aus anderem Paper übernommen"/>
  </r>
  <r>
    <s v="PE+"/>
    <s v="PE-based, oxo-degradable"/>
    <s v="ja"/>
    <s v="Zusätze"/>
    <s v="Strips"/>
    <s v="no value"/>
    <n v="4.0000000000000002E-4"/>
    <n v="0.93799999999999994"/>
    <s v="EPI polyethylene (oxo-biodegradable) with Totally Degradable Plastics Additives (TDPA™)"/>
    <m/>
    <m/>
    <s v="ja"/>
    <s v="Meerwasser (0,6 m Tiefe)"/>
    <s v="Meerwasser"/>
    <s v="ja"/>
    <m/>
    <m/>
    <m/>
    <m/>
    <m/>
    <m/>
    <s v="Sonstiges"/>
    <s v="tensile strength"/>
    <n v="0.73333333333333328"/>
    <n v="280"/>
    <n v="2.6190476190476189E-3"/>
    <m/>
    <n v="2"/>
    <s v=""/>
    <s v=""/>
    <s v=""/>
    <s v=""/>
    <s v=""/>
    <s v=""/>
    <n v="1"/>
    <x v="3"/>
    <x v="76"/>
    <s v="Plastic Leak Project"/>
    <s v="CB (März 2020)"/>
    <s v="ja"/>
    <s v="ja"/>
    <m/>
    <m/>
    <m/>
    <s v="nein"/>
    <s v="ja"/>
    <m/>
    <s v="Dichte aus anderem Paper übernommen"/>
  </r>
  <r>
    <s v="PE+"/>
    <s v="PE-based, oxo-degradable"/>
    <s v="ja"/>
    <s v="Zusätze"/>
    <s v="Strips"/>
    <s v="no value"/>
    <n v="4.0000000000000002E-4"/>
    <n v="0.93799999999999994"/>
    <s v="EPI polyethylene (oxo-biodegradable) with Totally Degradable Plastics Additives (TDPA™)"/>
    <m/>
    <m/>
    <s v="ja"/>
    <s v="Meerwasser (0,6 m Tiefe)"/>
    <s v="Meerwasser"/>
    <s v="ja"/>
    <m/>
    <m/>
    <m/>
    <m/>
    <m/>
    <m/>
    <s v="Sonstiges"/>
    <s v="surface area remaining"/>
    <n v="0"/>
    <n v="280"/>
    <n v="0"/>
    <m/>
    <n v="2"/>
    <s v=""/>
    <s v=""/>
    <s v=""/>
    <s v=""/>
    <s v=""/>
    <s v=""/>
    <n v="1"/>
    <x v="3"/>
    <x v="76"/>
    <s v="Plastic Leak Project"/>
    <s v="CB (März 2020)"/>
    <s v="ja"/>
    <s v="ja"/>
    <m/>
    <m/>
    <m/>
    <s v="nein"/>
    <s v="ja"/>
    <m/>
    <s v="Dichte aus anderem Paper übernommen"/>
  </r>
  <r>
    <s v="PE+"/>
    <s v="PE/MB (Masterbatch - haupsächlich _x000a_Getreidestärke, HDPE, 80/20%)"/>
    <s v="ja"/>
    <s v="Zusätze"/>
    <s v="Strips"/>
    <n v="0.08"/>
    <n v="3.0000000000000001E-3"/>
    <n v="0.93799999999999994"/>
    <s v="pro-degradant additive master batch (MB) consisted mainly of corn starch, linear low-density polyethylene as the carrier resin, styrene-butadiene copolymer and manganese stearate"/>
    <m/>
    <m/>
    <s v="ja"/>
    <s v="Meerwasser (Ostsee)"/>
    <s v="Meerwasser"/>
    <s v="ja"/>
    <s v="3,2 - 21,9"/>
    <s v="8,1 - 8,5"/>
    <m/>
    <m/>
    <s v="aerob"/>
    <m/>
    <s v="Gewichtsverlust"/>
    <m/>
    <n v="26"/>
    <n v="608"/>
    <n v="4.2763157894736843E-2"/>
    <m/>
    <n v="2"/>
    <s v=""/>
    <s v=""/>
    <s v=""/>
    <s v=""/>
    <s v=""/>
    <s v=""/>
    <n v="1"/>
    <x v="4"/>
    <x v="79"/>
    <s v="Chamas et al. 2020"/>
    <m/>
    <s v="ja"/>
    <s v="ja"/>
    <s v="ja"/>
    <s v="Nein "/>
    <s v="bedingt"/>
    <s v="ja"/>
    <s v="ja"/>
    <m/>
    <s v="Dichte aus anderem Paper übernommen"/>
  </r>
  <r>
    <s v="PE+"/>
    <s v="PE/Stärke (92/8%)"/>
    <s v="ja"/>
    <s v="Zusätze"/>
    <s v="Strips"/>
    <n v="0.08"/>
    <n v="3.0000000000000001E-3"/>
    <n v="0.93799999999999994"/>
    <m/>
    <m/>
    <m/>
    <s v="ja"/>
    <s v="Meerwasser (Ostsee)"/>
    <s v="Meerwasser"/>
    <s v="ja"/>
    <s v="3,2 - 21,8"/>
    <s v="8,1 - 8,5"/>
    <m/>
    <m/>
    <s v="aerob"/>
    <m/>
    <s v="Gewichtsverlust"/>
    <m/>
    <n v="0.5"/>
    <n v="608"/>
    <n v="8.2236842105263153E-4"/>
    <m/>
    <n v="2"/>
    <s v=""/>
    <s v=""/>
    <s v=""/>
    <s v=""/>
    <s v=""/>
    <s v=""/>
    <n v="1"/>
    <x v="4"/>
    <x v="79"/>
    <s v="Chamas et al. 2020"/>
    <m/>
    <s v="ja"/>
    <s v="ja"/>
    <s v="ja"/>
    <s v="Nein "/>
    <s v="bedingt"/>
    <s v="ja"/>
    <s v="ja"/>
    <m/>
    <s v="Dichte aus anderem Paper übernommen"/>
  </r>
  <r>
    <s v="PE+"/>
    <s v="PE/Stärke (95/5%)"/>
    <s v="ja"/>
    <s v="Zusätze"/>
    <s v="Strips"/>
    <n v="0.08"/>
    <n v="3.0000000000000001E-3"/>
    <n v="0.93799999999999994"/>
    <m/>
    <m/>
    <m/>
    <s v="ja"/>
    <s v="Meerwasser (Ostsee)"/>
    <s v="Meerwasser"/>
    <s v="ja"/>
    <s v="3,2 - 21,7"/>
    <s v="8,1 - 8,5"/>
    <m/>
    <m/>
    <s v="aerob"/>
    <m/>
    <s v="Gewichtsverlust"/>
    <m/>
    <n v="0.3"/>
    <n v="608"/>
    <n v="4.9342105263157896E-4"/>
    <m/>
    <n v="2"/>
    <s v=""/>
    <s v=""/>
    <s v=""/>
    <s v=""/>
    <s v=""/>
    <s v=""/>
    <n v="1"/>
    <x v="4"/>
    <x v="79"/>
    <s v="Chamas et al. 2020"/>
    <m/>
    <s v="ja"/>
    <s v="ja"/>
    <s v="ja"/>
    <s v="Nein "/>
    <s v="bedingt"/>
    <s v="ja"/>
    <s v="ja"/>
    <m/>
    <s v="Dichte aus anderem Paper übernommen"/>
  </r>
  <r>
    <s v="PE+"/>
    <s v="PE/Stärke (95/5%)"/>
    <s v="nein"/>
    <m/>
    <s v="Strips"/>
    <n v="0.08"/>
    <n v="3.0000000000000001E-3"/>
    <n v="0.93799999999999994"/>
    <m/>
    <m/>
    <m/>
    <s v="nein"/>
    <s v="Meerwasser (Labor)"/>
    <s v="Meerwasser"/>
    <s v="ja"/>
    <s v="19-21"/>
    <s v="6,8 - 8,7"/>
    <m/>
    <m/>
    <s v="aerob"/>
    <m/>
    <s v="Gewichtsverlust"/>
    <m/>
    <n v="0.3"/>
    <n v="365"/>
    <n v="1.643835616438356E-3"/>
    <m/>
    <n v="2"/>
    <s v=""/>
    <s v=""/>
    <s v=""/>
    <n v="1"/>
    <n v="0.24000000000000021"/>
    <s v="PE+_Meerwasser_nicht natürlich"/>
    <n v="1"/>
    <x v="7"/>
    <x v="79"/>
    <s v="Chamas et al. 2020"/>
    <m/>
    <s v="ja"/>
    <s v="ja"/>
    <s v="ja"/>
    <s v="Nein "/>
    <s v="bedingt"/>
    <s v="ja"/>
    <s v="ja"/>
    <m/>
    <s v="Dichte aus anderem Paper übernommen"/>
  </r>
  <r>
    <s v="PE+"/>
    <s v="PE/Stärke (95/8%)"/>
    <s v="nein"/>
    <m/>
    <s v="Strips"/>
    <n v="0.08"/>
    <n v="3.0000000000000001E-3"/>
    <n v="0.93799999999999994"/>
    <m/>
    <m/>
    <m/>
    <s v="nein"/>
    <s v="Meerwasser (Labor)"/>
    <s v="Meerwasser"/>
    <s v="ja"/>
    <s v="19-22"/>
    <s v="6,8 - 8,7"/>
    <m/>
    <m/>
    <s v="aerob"/>
    <m/>
    <s v="Gewichtsverlust"/>
    <m/>
    <n v="0.6"/>
    <n v="365"/>
    <n v="1.643835616438356E-3"/>
    <m/>
    <n v="2"/>
    <s v=""/>
    <s v=""/>
    <s v=""/>
    <n v="1"/>
    <n v="0.24000000000000021"/>
    <s v="PE+_Meerwasser_nicht natürlich"/>
    <n v="1"/>
    <x v="7"/>
    <x v="79"/>
    <s v="Chamas et al. 2020"/>
    <m/>
    <s v="ja"/>
    <s v="ja"/>
    <s v="ja"/>
    <s v="Nein "/>
    <s v="bedingt"/>
    <s v="ja"/>
    <s v="ja"/>
    <m/>
    <s v="Dichte aus anderem Paper übernommen"/>
  </r>
  <r>
    <s v="PBSe"/>
    <s v="Polybutylen-Sebacat"/>
    <s v="nein"/>
    <m/>
    <s v="Film"/>
    <n v="2.5000000000000001E-2"/>
    <s v="no value"/>
    <s v="no value"/>
    <m/>
    <s v="keine"/>
    <m/>
    <s v="ja"/>
    <s v="Mediterranean Sea - benthic"/>
    <s v="Benthic"/>
    <s v="ja"/>
    <m/>
    <m/>
    <m/>
    <m/>
    <m/>
    <m/>
    <s v="Gewichtsverlust"/>
    <s v="Desintegration is assessed photogrammetrically by quantifying the area change of the plastic film"/>
    <n v="50"/>
    <n v="909"/>
    <n v="5.5005500550055007E-2"/>
    <m/>
    <n v="2"/>
    <n v="80000"/>
    <s v=""/>
    <n v="2.5096259625962598"/>
    <n v="1"/>
    <n v="2.5096259625962598"/>
    <s v="PBSe_Benthic_natürlich"/>
    <n v="1"/>
    <x v="6"/>
    <x v="72"/>
    <m/>
    <s v="CG (August 2020)"/>
    <s v="ja"/>
    <s v="ja"/>
    <m/>
    <m/>
    <m/>
    <s v="nein"/>
    <s v="ja"/>
    <m/>
    <m/>
  </r>
  <r>
    <s v="PBSe"/>
    <s v="Polybutylen-Sebacat"/>
    <s v="nein"/>
    <m/>
    <s v="Film"/>
    <n v="2.5000000000000001E-2"/>
    <s v="no value"/>
    <s v="no value"/>
    <m/>
    <s v="keine"/>
    <m/>
    <s v="ja"/>
    <s v="South East Asia - benthic"/>
    <s v="Benthic"/>
    <s v="ja"/>
    <m/>
    <m/>
    <m/>
    <m/>
    <m/>
    <m/>
    <s v="Gewichtsverlust"/>
    <s v="Desintegration is assessed photogrammetrically by quantifying the area change of the plastic film"/>
    <n v="50"/>
    <n v="89"/>
    <n v="0.5617977528089888"/>
    <m/>
    <n v="2"/>
    <n v="80000"/>
    <s v=""/>
    <n v="25.632022471910116"/>
    <n v="1"/>
    <n v="25.632022471910123"/>
    <s v="PBSe_Benthic_natürlich"/>
    <n v="1"/>
    <x v="6"/>
    <x v="72"/>
    <m/>
    <s v="CG (August 2020)"/>
    <s v="ja"/>
    <s v="ja"/>
    <m/>
    <m/>
    <m/>
    <s v="nein"/>
    <s v="ja"/>
    <m/>
    <m/>
  </r>
  <r>
    <s v="PBSe"/>
    <s v="Polybutylene Sebacate"/>
    <s v="nein"/>
    <m/>
    <s v="Film"/>
    <n v="2.5000000000000001E-2"/>
    <m/>
    <m/>
    <s v="Aliphatic polyester"/>
    <s v="keine"/>
    <s v="nein"/>
    <s v="(ja)"/>
    <s v="natural soil - OWS laboratory"/>
    <s v="Boden/Kompost"/>
    <s v="ja"/>
    <s v="25-28"/>
    <s v="6-8,3"/>
    <m/>
    <s v="40-60"/>
    <m/>
    <s v="bewegt"/>
    <s v="CO2-Entwicklung"/>
    <m/>
    <n v="91.7"/>
    <n v="120"/>
    <n v="0.76416666666666666"/>
    <m/>
    <n v="2"/>
    <n v="80000"/>
    <s v=""/>
    <n v="34.865104166666669"/>
    <n v="1"/>
    <n v="34.865104166666669"/>
    <s v="PBSe_Boden/Kompost_natürlich"/>
    <n v="1"/>
    <x v="6"/>
    <x v="80"/>
    <m/>
    <m/>
    <m/>
    <m/>
    <m/>
    <m/>
    <m/>
    <m/>
    <m/>
    <m/>
    <m/>
  </r>
  <r>
    <s v="PBSe"/>
    <s v="Polybutylene Sebacate"/>
    <s v="nein"/>
    <m/>
    <s v="Film"/>
    <n v="2.5000000000000001E-2"/>
    <m/>
    <m/>
    <s v="Aliphatic polyester"/>
    <s v="keine"/>
    <s v="nein"/>
    <s v="(ja)"/>
    <s v="natural soil - Novamont laboratory"/>
    <s v="Boden/Kompost"/>
    <s v="ja"/>
    <s v="25-28"/>
    <s v="6-8,3"/>
    <m/>
    <s v="40-60"/>
    <m/>
    <s v="bewegt"/>
    <s v="CO2-Entwicklung"/>
    <m/>
    <n v="87.39"/>
    <n v="210"/>
    <n v="0.41614285714285715"/>
    <m/>
    <n v="2"/>
    <n v="80000"/>
    <s v=""/>
    <n v="18.986517857142857"/>
    <n v="1"/>
    <n v="18.986517857142854"/>
    <s v="PBSe_Boden/Kompost_natürlich"/>
    <n v="1"/>
    <x v="6"/>
    <x v="80"/>
    <m/>
    <m/>
    <m/>
    <m/>
    <m/>
    <m/>
    <m/>
    <m/>
    <m/>
    <m/>
    <m/>
  </r>
  <r>
    <s v="PBSe"/>
    <s v="PBSe"/>
    <s v="nein"/>
    <m/>
    <s v="Powder"/>
    <n v="2.5000000000000001E-2"/>
    <m/>
    <m/>
    <m/>
    <m/>
    <s v="keine"/>
    <s v="ja"/>
    <s v="natürlicher Boden"/>
    <s v="Boden/Kompost"/>
    <s v="ja"/>
    <n v="25"/>
    <m/>
    <m/>
    <m/>
    <m/>
    <m/>
    <s v="CO2-Entwicklung oder BOD"/>
    <m/>
    <n v="50"/>
    <n v="42"/>
    <n v="1.1904761904761905"/>
    <m/>
    <n v="6"/>
    <n v="240000"/>
    <s v=""/>
    <n v="18.105158730158731"/>
    <n v="3"/>
    <n v="22.410508338036781"/>
    <s v="PBSe_Boden/Kompost_natürlich"/>
    <n v="1"/>
    <x v="6"/>
    <x v="81"/>
    <m/>
    <m/>
    <m/>
    <m/>
    <m/>
    <m/>
    <m/>
    <m/>
    <m/>
    <m/>
    <m/>
  </r>
  <r>
    <s v="PBSe"/>
    <s v="Polybutylene Sebacate"/>
    <s v="nein"/>
    <m/>
    <s v="Film"/>
    <n v="2.5000000000000001E-2"/>
    <m/>
    <m/>
    <s v="Aliphatic polyester Film 25 microns"/>
    <s v="OWS Laboratory - KH2PO4 (0.1 g/L) and NH4Cl (0.05 g/L) were added to the seawaters (results from year 2 - Salamis)"/>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92.3"/>
    <n v="180"/>
    <n v="0.51277777777777778"/>
    <m/>
    <n v="2"/>
    <n v="80000"/>
    <s v=""/>
    <n v="23.395486111111111"/>
    <n v="1"/>
    <n v="23.395486111111115"/>
    <s v="PBSe_Meerwasser_nicht natürlich"/>
    <n v="1"/>
    <x v="6"/>
    <x v="52"/>
    <m/>
    <m/>
    <m/>
    <m/>
    <m/>
    <m/>
    <m/>
    <m/>
    <m/>
    <m/>
    <m/>
  </r>
  <r>
    <s v="PBSe"/>
    <s v="Polybutylene Sebacate"/>
    <s v="nein"/>
    <m/>
    <s v="Film"/>
    <n v="2.5000000000000001E-2"/>
    <m/>
    <m/>
    <s v="Aliphatic polyester Film 25 microns"/>
    <s v="Novamont Laboratory - KH2PO4 (0.1 g/L) and NH4Cl (0.05 g/L) were added to the seawaters (results from year 2 - Elba"/>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31.8"/>
    <n v="175"/>
    <n v="0.18171428571428572"/>
    <m/>
    <n v="2"/>
    <n v="80000"/>
    <s v=""/>
    <n v="8.2907142857142855"/>
    <n v="1"/>
    <n v="8.290714285714289"/>
    <s v="PBSe_Meerwasser_nicht natürlich"/>
    <n v="1"/>
    <x v="6"/>
    <x v="52"/>
    <m/>
    <m/>
    <m/>
    <m/>
    <m/>
    <m/>
    <m/>
    <m/>
    <m/>
    <m/>
    <m/>
  </r>
  <r>
    <s v="PBSe"/>
    <s v="Polybutylene Sebacate"/>
    <s v="nein"/>
    <m/>
    <s v="Film"/>
    <n v="2.5000000000000001E-2"/>
    <m/>
    <m/>
    <s v="Aliphatic polyester Film 25 microns"/>
    <s v="BASF Laboratory - KH2PO4 (0.1 g/L) and NH4Cl (0.05 g/L) were added to the seawaters (results from year 2)"/>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78.599999999999994"/>
    <n v="220"/>
    <n v="0.35727272727272724"/>
    <m/>
    <n v="2"/>
    <n v="80000"/>
    <s v=""/>
    <n v="16.300568181818182"/>
    <n v="1"/>
    <n v="16.300568181818178"/>
    <s v="PBSe_Meerwasser_nicht natürlich"/>
    <n v="1"/>
    <x v="6"/>
    <x v="52"/>
    <m/>
    <m/>
    <m/>
    <m/>
    <m/>
    <m/>
    <m/>
    <m/>
    <m/>
    <m/>
    <m/>
  </r>
  <r>
    <s v="PEG"/>
    <s v="Poly (ethylene glycol), PEG"/>
    <s v="nein"/>
    <m/>
    <s v="no value"/>
    <s v="no value"/>
    <s v="no value"/>
    <n v="1.2"/>
    <m/>
    <m/>
    <m/>
    <s v="nein"/>
    <s v="inoculum made of farmland soil and mineral salt solution"/>
    <s v="Labor"/>
    <s v="nein"/>
    <n v="30"/>
    <m/>
    <m/>
    <m/>
    <s v="aerob"/>
    <m/>
    <s v="CO2-Entwicklung"/>
    <m/>
    <n v="11.97"/>
    <n v="14"/>
    <n v="0.85500000000000009"/>
    <m/>
    <s v=""/>
    <s v=""/>
    <s v=""/>
    <s v=""/>
    <s v=""/>
    <s v=""/>
    <s v=""/>
    <n v="1"/>
    <x v="2"/>
    <x v="4"/>
    <s v="Plastik Leak Project"/>
    <s v="CB (März 2020)"/>
    <s v="ja"/>
    <s v="ja"/>
    <m/>
    <m/>
    <m/>
    <s v="nein"/>
    <s v="ja"/>
    <m/>
    <s v="Dichte von Rodion übernommen"/>
  </r>
  <r>
    <s v="PEO"/>
    <s v="Poly (ethylene oxide), PEO"/>
    <s v="nein"/>
    <m/>
    <s v="no value"/>
    <s v="no value"/>
    <s v="no value"/>
    <n v="1.2"/>
    <m/>
    <m/>
    <m/>
    <s v="nein"/>
    <s v="inoculum made of farmland soil and mineral salt solution"/>
    <s v="Labor"/>
    <s v="nein"/>
    <n v="30"/>
    <m/>
    <m/>
    <m/>
    <s v="aerob"/>
    <m/>
    <s v="CO2-Entwicklung"/>
    <m/>
    <n v="3.73"/>
    <n v="14"/>
    <n v="0.2664285714285714"/>
    <m/>
    <s v=""/>
    <s v=""/>
    <s v=""/>
    <s v=""/>
    <s v=""/>
    <s v=""/>
    <s v=""/>
    <n v="1"/>
    <x v="2"/>
    <x v="4"/>
    <s v="Plastik Leak Project"/>
    <s v="CB (März 2020)"/>
    <s v="ja"/>
    <s v="ja"/>
    <m/>
    <m/>
    <m/>
    <s v="nein"/>
    <s v="ja"/>
    <m/>
    <s v="Dichte von Rodion übernommen"/>
  </r>
  <r>
    <s v="PET"/>
    <s v="PET-B"/>
    <s v="ja"/>
    <s v="Mikroorganismen"/>
    <s v="Strips"/>
    <s v="no value"/>
    <n v="1.1309733552923255E-4"/>
    <n v="1.38"/>
    <s v="Pellets von BASF"/>
    <s v="Erwärmung in Stickstoff Atmosphäre, heating/cooling rate 10°C*min-1 , Mit Ethanol abgewaschen"/>
    <s v="Thermomonospora fusca"/>
    <s v="nein"/>
    <s v="10ml Glas mit 5ml phosphate buffer (Na2HPO4/KH2PO4, 100x10-3M, pH 7)"/>
    <s v="Labor"/>
    <s v="nein"/>
    <n v="55"/>
    <m/>
    <m/>
    <m/>
    <s v="aerob"/>
    <s v="shaken (50 rpm)"/>
    <s v="Gewichtsverlust"/>
    <m/>
    <n v="22.4"/>
    <n v="21"/>
    <n v="1.0666666666666667"/>
    <m/>
    <n v="2"/>
    <s v=""/>
    <s v=""/>
    <s v=""/>
    <s v=""/>
    <s v=""/>
    <s v=""/>
    <n v="1"/>
    <x v="3"/>
    <x v="82"/>
    <s v="Chamas et al. 2020"/>
    <m/>
    <s v="ja "/>
    <s v="ja "/>
    <m/>
    <m/>
    <m/>
    <s v="ja"/>
    <s v="ja"/>
    <m/>
    <s v="Dichte aus anderem Paper übernommen"/>
  </r>
  <r>
    <s v="PET"/>
    <s v="PET-G"/>
    <s v="ja"/>
    <s v="Mikroorganismen"/>
    <s v="Strips"/>
    <s v="no value"/>
    <n v="1.1309733552923255E-4"/>
    <n v="1.38"/>
    <s v="Granini fruit juice bottle"/>
    <s v="Erwärmung in Stickstoff Atmosphäre, heating/cooling rate 10°C*min-1 , Mit Ethanol abgewaschen"/>
    <s v="Thermomonospora fusca"/>
    <s v="nein"/>
    <s v="10ml Glas mit 5ml phosphate buffer (Na2HPO4/KH2PO4, 100x10-3M, pH 7)"/>
    <s v="Labor"/>
    <s v="nein"/>
    <n v="55"/>
    <m/>
    <m/>
    <m/>
    <s v="aerob"/>
    <s v="shaken (50 rpm)"/>
    <s v="Gewichtsverlust"/>
    <m/>
    <n v="50"/>
    <n v="21"/>
    <n v="2.3809523809523809"/>
    <m/>
    <n v="2"/>
    <s v=""/>
    <s v=""/>
    <s v=""/>
    <s v=""/>
    <s v=""/>
    <s v=""/>
    <n v="1"/>
    <x v="3"/>
    <x v="82"/>
    <s v="Chamas et al. 2020"/>
    <m/>
    <s v="ja "/>
    <s v="ja "/>
    <m/>
    <m/>
    <m/>
    <s v="ja"/>
    <s v="ja"/>
    <m/>
    <s v="Dichte aus anderem Paper übernommen"/>
  </r>
  <r>
    <s v="?"/>
    <s v="Polyester [Isopthalic Polyester Resin (PET)], Glass Fiber Reinforced Polymer [Glass Fiber - Chopped Strand Mat (CSM 450)"/>
    <s v="nein"/>
    <m/>
    <s v="Strips"/>
    <n v="3"/>
    <n v="7.4999999999999997E-3"/>
    <n v="1.38"/>
    <m/>
    <s v="cleaned with 70% v/v ethanol and dried in a hot air oven at 50  C for 24 h"/>
    <m/>
    <s v="ja"/>
    <s v="Meerwasser"/>
    <s v="Meerwasser"/>
    <s v="ja"/>
    <n v="28"/>
    <n v="8.18"/>
    <m/>
    <m/>
    <s v="aerob"/>
    <m/>
    <s v="Gewichtsverlust"/>
    <m/>
    <n v="7.49"/>
    <n v="365"/>
    <n v="2.052054794520548E-2"/>
    <m/>
    <n v="2"/>
    <s v=""/>
    <s v=""/>
    <s v=""/>
    <s v=""/>
    <s v=""/>
    <s v=""/>
    <n v="1"/>
    <x v="0"/>
    <x v="57"/>
    <s v="Chamas et al. 2020"/>
    <m/>
    <s v="ja "/>
    <s v="ja "/>
    <s v="ja"/>
    <s v="ja"/>
    <s v="Ja"/>
    <s v="ja"/>
    <s v="ja"/>
    <m/>
    <m/>
  </r>
  <r>
    <s v="PHB"/>
    <s v="Poly[3-hydroxybutyrate)-co-(3-hxdroxyvalerate)]"/>
    <s v="ja"/>
    <s v="Mikroorganismen"/>
    <s v="Strips"/>
    <n v="0.2"/>
    <n v="6.3999999999999997E-5"/>
    <n v="1.26"/>
    <m/>
    <m/>
    <s v="Bacteria were extracted from fertile garden soil"/>
    <s v="nein"/>
    <s v="Mikrobakterien aus dem Boden"/>
    <s v="Labor"/>
    <s v="nein"/>
    <n v="25"/>
    <m/>
    <m/>
    <m/>
    <m/>
    <s v="rotating (200rpm)"/>
    <s v="Gewichtsverlust"/>
    <m/>
    <n v="41"/>
    <n v="18"/>
    <n v="2.2777777777777777"/>
    <m/>
    <n v="2"/>
    <s v=""/>
    <s v=""/>
    <s v=""/>
    <s v=""/>
    <s v=""/>
    <s v=""/>
    <n v="1"/>
    <x v="4"/>
    <x v="74"/>
    <s v="Plastic Leak Project"/>
    <m/>
    <s v="ja "/>
    <s v="ja "/>
    <m/>
    <m/>
    <m/>
    <s v="nein"/>
    <s v="ja"/>
    <m/>
    <s v="Dichte aus anderem Paper übernommen"/>
  </r>
  <r>
    <s v="PET"/>
    <s v="PET"/>
    <s v="nein"/>
    <m/>
    <s v="Nets"/>
    <s v="no value"/>
    <s v="no value"/>
    <n v="1.38"/>
    <s v="PET nets consisting of fibers of the 34th metrical number were implanted into rabbits and dogs subcutaneously; synthetic PET prosthesis from human patient were also used"/>
    <s v="keine"/>
    <m/>
    <s v="nein"/>
    <s v="human and animal bodies"/>
    <s v="Sonstige"/>
    <s v="nein"/>
    <n v="36"/>
    <m/>
    <m/>
    <m/>
    <s v="aerob"/>
    <m/>
    <s v="Sonstiges"/>
    <s v="Schätzung"/>
    <n v="100"/>
    <n v="10950"/>
    <n v="9.1324200913242004E-3"/>
    <m/>
    <s v=""/>
    <s v=""/>
    <s v=""/>
    <s v=""/>
    <s v=""/>
    <s v=""/>
    <s v=""/>
    <n v="1"/>
    <x v="2"/>
    <x v="83"/>
    <s v="Müller 2001"/>
    <m/>
    <s v="ja "/>
    <s v="ja "/>
    <m/>
    <m/>
    <m/>
    <s v="nein"/>
    <s v="ja"/>
    <m/>
    <s v="Dichte aus anderem Paper übernommen"/>
  </r>
  <r>
    <s v="PET"/>
    <s v="PET"/>
    <s v="nein"/>
    <m/>
    <s v="Powder"/>
    <s v="no value"/>
    <s v="no value"/>
    <n v="1.38"/>
    <m/>
    <m/>
    <s v="E. coli"/>
    <s v="nein"/>
    <s v="1M KH2PO4/K2HPO4 solution"/>
    <s v="Labor"/>
    <s v="nein"/>
    <n v="65"/>
    <n v="8"/>
    <m/>
    <m/>
    <s v="aerob"/>
    <m/>
    <s v="Sonstiges"/>
    <s v="Terephtalic acid production"/>
    <n v="24"/>
    <n v="4"/>
    <n v="6"/>
    <m/>
    <n v="6"/>
    <s v=""/>
    <s v=""/>
    <s v=""/>
    <s v=""/>
    <s v=""/>
    <s v=""/>
    <n v="1"/>
    <x v="3"/>
    <x v="84"/>
    <m/>
    <m/>
    <s v="ja "/>
    <s v="ja "/>
    <m/>
    <m/>
    <m/>
    <s v="nein"/>
    <s v="ja"/>
    <m/>
    <s v="Dichte aus anderem Paper übernommen"/>
  </r>
  <r>
    <s v="PET"/>
    <s v="PET"/>
    <s v="nein"/>
    <m/>
    <s v="Strips"/>
    <s v="no value"/>
    <n v="1E-4"/>
    <n v="1.38"/>
    <m/>
    <s v="sterilizing them with 1% hypochlorite and_x000a_quick dip in alcohol"/>
    <s v="BHB"/>
    <s v="nein"/>
    <s v="Labor"/>
    <s v="Labor"/>
    <s v="nein"/>
    <m/>
    <m/>
    <m/>
    <m/>
    <s v="aerob"/>
    <m/>
    <s v="Gewichtsverlust"/>
    <m/>
    <n v="2"/>
    <n v="200"/>
    <n v="0.01"/>
    <m/>
    <n v="2"/>
    <s v=""/>
    <s v=""/>
    <s v=""/>
    <s v=""/>
    <s v=""/>
    <s v=""/>
    <n v="1"/>
    <x v="3"/>
    <x v="85"/>
    <s v="Chamas et al. 2020"/>
    <m/>
    <s v="ja "/>
    <s v="ja "/>
    <m/>
    <m/>
    <m/>
    <s v="ja"/>
    <s v="ja"/>
    <m/>
    <s v="Dichte aus anderem Paper übernommen"/>
  </r>
  <r>
    <s v="PET"/>
    <s v="PET"/>
    <s v="nein"/>
    <m/>
    <s v="Strips"/>
    <s v="no value"/>
    <n v="1E-4"/>
    <n v="1.38"/>
    <m/>
    <s v="sterilizing them with 1% hypochlorite and_x000a_quick dip in alcohol"/>
    <s v="AIA"/>
    <s v="nein"/>
    <s v="Labor"/>
    <s v="Labor"/>
    <s v="nein"/>
    <m/>
    <m/>
    <m/>
    <m/>
    <s v="aerob"/>
    <m/>
    <s v="Gewichtsverlust"/>
    <m/>
    <n v="0.2"/>
    <n v="200"/>
    <n v="1E-3"/>
    <m/>
    <n v="2"/>
    <s v=""/>
    <s v=""/>
    <s v=""/>
    <s v=""/>
    <s v=""/>
    <s v=""/>
    <n v="1"/>
    <x v="3"/>
    <x v="85"/>
    <s v="Chamas et al. 2020"/>
    <m/>
    <s v="ja "/>
    <s v="ja "/>
    <m/>
    <m/>
    <m/>
    <s v="ja"/>
    <s v="ja"/>
    <m/>
    <s v="Dichte aus anderem Paper übernommen"/>
  </r>
  <r>
    <s v="PET"/>
    <s v="PET"/>
    <s v="nein"/>
    <m/>
    <s v="Bottle"/>
    <n v="0.5"/>
    <m/>
    <n v="1.38"/>
    <m/>
    <m/>
    <m/>
    <s v="ja"/>
    <s v="Meerwasser"/>
    <s v="Meerwasser"/>
    <s v="ja"/>
    <m/>
    <m/>
    <m/>
    <m/>
    <s v="aerob"/>
    <m/>
    <m/>
    <m/>
    <n v="100"/>
    <n v="164250"/>
    <n v="6.0882800608828011E-4"/>
    <m/>
    <s v=""/>
    <s v=""/>
    <s v=""/>
    <s v=""/>
    <s v=""/>
    <s v=""/>
    <s v=""/>
    <n v="0"/>
    <x v="1"/>
    <x v="86"/>
    <s v="Joo 2018"/>
    <m/>
    <s v="nein"/>
    <s v="nein"/>
    <m/>
    <m/>
    <m/>
    <s v="nein"/>
    <s v="nicht möglich"/>
    <s v="Artikel nicht gefunden"/>
    <m/>
  </r>
  <r>
    <s v="PET"/>
    <s v="PET"/>
    <m/>
    <m/>
    <s v="no value"/>
    <s v="no value"/>
    <m/>
    <n v="1.38"/>
    <m/>
    <s v="keine"/>
    <m/>
    <s v="nein"/>
    <s v="unklar"/>
    <s v="Sonstige"/>
    <s v="nein"/>
    <s v="ambient conditions"/>
    <m/>
    <m/>
    <m/>
    <s v="aerob"/>
    <m/>
    <s v="Sonstiges"/>
    <s v="Modellierung"/>
    <n v="100"/>
    <n v="11680"/>
    <n v="8.5616438356164379E-3"/>
    <m/>
    <s v=""/>
    <s v=""/>
    <s v=""/>
    <s v=""/>
    <s v=""/>
    <s v=""/>
    <s v=""/>
    <n v="0"/>
    <x v="1"/>
    <x v="87"/>
    <s v="Müller 2001; Plastic Leak Project"/>
    <m/>
    <s v="ja "/>
    <s v="ja "/>
    <m/>
    <m/>
    <m/>
    <s v="nein"/>
    <s v="zu kaufen"/>
    <s v="https://www.sciencedirect.com/science/article/pii/0141391094900744"/>
    <m/>
  </r>
  <r>
    <s v="PET"/>
    <s v="PET"/>
    <s v="nein"/>
    <m/>
    <s v="Film"/>
    <s v="no value"/>
    <s v="no value"/>
    <n v="1.38"/>
    <m/>
    <m/>
    <s v="variety of micro- and macroorganisms"/>
    <s v="ja"/>
    <s v="Meerwasser (Ostesee)"/>
    <s v="Meerwasser"/>
    <s v="ja"/>
    <s v="3,2 - 21,6"/>
    <n v="8.1999999999999993"/>
    <m/>
    <m/>
    <s v="aerob"/>
    <m/>
    <s v="Gewichtsverlust"/>
    <m/>
    <n v="0.1"/>
    <n v="560"/>
    <n v="1.7857142857142857E-4"/>
    <m/>
    <n v="2"/>
    <s v=""/>
    <s v=""/>
    <s v=""/>
    <s v=""/>
    <s v=""/>
    <s v=""/>
    <n v="1"/>
    <x v="3"/>
    <x v="39"/>
    <m/>
    <m/>
    <s v="ja "/>
    <s v="ja "/>
    <m/>
    <m/>
    <m/>
    <s v="nein"/>
    <s v="ja"/>
    <m/>
    <s v="Dichte aus anderem Paper übernommen"/>
  </r>
  <r>
    <s v="PHBV"/>
    <s v="PHB (92%) and valerate (8%)"/>
    <s v="nein"/>
    <m/>
    <s v="Strips"/>
    <n v="5.3999999999999999E-2"/>
    <n v="2.5000000000000005E-3"/>
    <n v="1.24"/>
    <m/>
    <s v="keine"/>
    <m/>
    <s v="(ja)"/>
    <s v="A 300-ml Erlenmeyer flask was filled with 150 g of synthesized waste which contained equivalent weights of yard waste, kitchen garbage, paper waste, dry dog-food, dewatered sludge and soil (Ishigaki et al., in press) and compacted to a density of 430 g-wet waste l1."/>
    <s v="Labor"/>
    <s v="nein"/>
    <m/>
    <s v="&lt;6"/>
    <m/>
    <m/>
    <s v="anaerob"/>
    <m/>
    <s v="Gewichtsverlust"/>
    <m/>
    <n v="5"/>
    <n v="120"/>
    <n v="4.1666666666666664E-2"/>
    <m/>
    <n v="2"/>
    <s v=""/>
    <s v=""/>
    <s v=""/>
    <s v=""/>
    <s v=""/>
    <s v=""/>
    <n v="1"/>
    <x v="8"/>
    <x v="7"/>
    <s v="Chamas et al. 2020"/>
    <s v="CG (Mai 2020)"/>
    <s v="ja"/>
    <s v="ja"/>
    <m/>
    <m/>
    <m/>
    <s v="ja"/>
    <s v="ja"/>
    <m/>
    <s v="Dichte von Rodion übernommen"/>
  </r>
  <r>
    <s v="PET+"/>
    <s v="PETE + 1% additive"/>
    <s v="ja"/>
    <s v="Zusätze"/>
    <s v="Strips"/>
    <n v="0.36"/>
    <n v="1E-4"/>
    <n v="1.39"/>
    <s v="Blend of polyethylene terephthalate (PETE) with 1% EcoPure  additive (Bio-Tec Environmental LLC., NM, U.S.)."/>
    <s v="The soil media used for the experiments was a mixture of 43% certified organic top soil, 43% no-till farm soil and 14% sand. The soil media was amended with ammonium phosphate (Fisher Scientific, PA, U.S.) to maintain a C:N ratio of 20:1 based on the carbon content of the test specimen."/>
    <m/>
    <s v="nein"/>
    <s v="Soil"/>
    <s v="Boden/Kompost"/>
    <s v="ja"/>
    <m/>
    <n v="7.43"/>
    <m/>
    <m/>
    <s v="aerob"/>
    <m/>
    <s v="CO2-Entwicklung"/>
    <m/>
    <s v="0,9-1,0"/>
    <n v="660"/>
    <n v="0"/>
    <m/>
    <n v="2"/>
    <s v=""/>
    <s v=""/>
    <s v=""/>
    <s v=""/>
    <s v=""/>
    <s v=""/>
    <n v="1"/>
    <x v="4"/>
    <x v="47"/>
    <m/>
    <s v="CB (März 2020)"/>
    <s v="ja"/>
    <s v="ja"/>
    <m/>
    <m/>
    <m/>
    <s v="nein"/>
    <s v="ja"/>
    <m/>
    <s v="Dichte aus anderem Paper übernommen"/>
  </r>
  <r>
    <s v="PET+"/>
    <s v="PETE + 1% additive"/>
    <s v="ja"/>
    <s v="Zusätze"/>
    <s v="Strips"/>
    <n v="0.36"/>
    <n v="1E-4"/>
    <n v="1.39"/>
    <s v="Blend of polyethylene terephthalate (PETE) with 1% EcoPure  additive (Bio-Tec Environmental LLC., NM, U.S.)."/>
    <s v="An 80 g sample of each test specimenwas mixed with 350 g dry of mature compost inoculum. The compost contained a mixture of dairy manure and hardwood sawdust as described elsewhere. The screened compost was amended with ammonium phosphate (Fisher Scientific, PA, U.S.) to give a C:N ratio of 20:1 including the carbon content of the test specimen. The initial moisture content of the mixture was adjusted to 60%."/>
    <m/>
    <s v="nein"/>
    <s v="Compost"/>
    <s v="Boden/Kompost"/>
    <s v="ja"/>
    <n v="55"/>
    <n v="7.95"/>
    <m/>
    <n v="60"/>
    <s v="aerob"/>
    <s v="air was saturated by bubbling through bottles containing water at the incubator temperature"/>
    <s v="CO2-Entwicklung"/>
    <m/>
    <n v="0.6"/>
    <n v="115"/>
    <n v="0"/>
    <m/>
    <n v="2"/>
    <s v=""/>
    <s v=""/>
    <s v=""/>
    <s v=""/>
    <s v=""/>
    <s v=""/>
    <n v="1"/>
    <x v="4"/>
    <x v="47"/>
    <s v="Plastik Leak Project"/>
    <s v="CB (März 2020)"/>
    <s v="ja"/>
    <s v="ja"/>
    <m/>
    <m/>
    <m/>
    <s v="nein"/>
    <s v="ja"/>
    <m/>
    <s v="Dichte aus anderem Paper übernommen"/>
  </r>
  <r>
    <s v="PET+"/>
    <s v="PETE + 1% additive"/>
    <s v="ja"/>
    <s v="Zusätze"/>
    <s v="Strips"/>
    <n v="0.36"/>
    <n v="1E-4"/>
    <n v="1.39"/>
    <s v="Blend of polyethylene terephthalate (PETE) with 1% EcoPure  additive (Bio-Tec Environmental LLC., NM, U.S.)."/>
    <m/>
    <m/>
    <s v="nein"/>
    <s v="Anaerobic digestion (AD)"/>
    <s v="Boden/Kompost"/>
    <s v="ja"/>
    <n v="37"/>
    <n v="8.3000000000000007"/>
    <m/>
    <m/>
    <s v="anaerob"/>
    <m/>
    <s v="CO2-Entwicklung"/>
    <m/>
    <n v="2.2000000000000002"/>
    <n v="50"/>
    <n v="0"/>
    <m/>
    <n v="2"/>
    <s v=""/>
    <s v=""/>
    <s v=""/>
    <s v=""/>
    <s v=""/>
    <s v=""/>
    <n v="1"/>
    <x v="4"/>
    <x v="47"/>
    <s v="Plastik Leak Project"/>
    <s v="CB (März 2020)"/>
    <s v="ja"/>
    <s v="ja"/>
    <m/>
    <m/>
    <m/>
    <s v="nein"/>
    <s v="ja"/>
    <m/>
    <s v="Dichte aus anderem Paper übernommen"/>
  </r>
  <r>
    <s v="PHA"/>
    <s v="PHA"/>
    <s v="nein"/>
    <m/>
    <s v="Strips"/>
    <n v="0.62"/>
    <n v="1E-4"/>
    <s v="no value"/>
    <s v="Made from polyhydroxyalkanoates-based resin (Metabolix, MA, U.S.)"/>
    <s v="The soil media was a mixture of 43% certified organic top soil, 43% no-till farm soil and 14% sand. The soil media was amended with ammonium phosphate to maintain a C:N ratio of 20:1 based on the carbon content of the test specimen."/>
    <m/>
    <s v="nein"/>
    <s v="Soil"/>
    <s v="Boden/Kompost"/>
    <s v="ja"/>
    <n v="20"/>
    <n v="7.43"/>
    <m/>
    <n v="60"/>
    <s v="aerob"/>
    <m/>
    <s v="CO2-Entwicklung"/>
    <m/>
    <n v="69.2"/>
    <n v="660"/>
    <n v="0.10484848484848486"/>
    <m/>
    <n v="2"/>
    <s v=""/>
    <s v=""/>
    <s v=""/>
    <n v="1"/>
    <n v="118.6360606060606"/>
    <s v="PHA_Boden/Kompost_nicht natürlich"/>
    <n v="1"/>
    <x v="7"/>
    <x v="47"/>
    <s v="Plastik Leak Project"/>
    <s v="CB (März 2020)"/>
    <s v="ja"/>
    <s v="ja"/>
    <m/>
    <m/>
    <m/>
    <s v="nein"/>
    <s v="ja"/>
    <m/>
    <m/>
  </r>
  <r>
    <s v="PHA"/>
    <s v="PHA"/>
    <s v="nein"/>
    <m/>
    <s v="Film"/>
    <n v="1"/>
    <n v="8.9999999999999998E-4"/>
    <m/>
    <m/>
    <m/>
    <m/>
    <m/>
    <s v="Boden"/>
    <s v="Boden/Kompost"/>
    <s v="ja"/>
    <n v="35"/>
    <m/>
    <m/>
    <n v="30"/>
    <m/>
    <m/>
    <s v="Gewichtsverlust"/>
    <m/>
    <n v="35"/>
    <n v="60"/>
    <n v="0.58333333333333337"/>
    <m/>
    <n v="2"/>
    <s v=""/>
    <s v=""/>
    <s v=""/>
    <s v=""/>
    <s v=""/>
    <s v=""/>
    <n v="0"/>
    <x v="1"/>
    <x v="88"/>
    <m/>
    <m/>
    <s v="ja"/>
    <s v="nein"/>
    <m/>
    <m/>
    <m/>
    <s v="nein"/>
    <s v="nicht möglich"/>
    <s v="Artikel nicht gefunden"/>
    <m/>
  </r>
  <r>
    <s v="PHA"/>
    <s v="PHA"/>
    <s v="nein"/>
    <m/>
    <s v="Powder"/>
    <s v="no value"/>
    <s v="no value"/>
    <s v="no value"/>
    <s v="Mirel PHA- 2200 and Mirel PHA- 4100 --&gt; both are similar materials with differences only in percentage of crystallinity._x000a_"/>
    <m/>
    <m/>
    <s v="(ja)"/>
    <s v="Meerwasser (Labor)"/>
    <s v="Meerwasser"/>
    <s v="ja"/>
    <m/>
    <m/>
    <m/>
    <m/>
    <m/>
    <m/>
    <s v="CO2-Entwicklung"/>
    <m/>
    <s v="38,22-45,08"/>
    <n v="180"/>
    <n v="0.25"/>
    <m/>
    <n v="6"/>
    <s v=""/>
    <s v=""/>
    <s v=""/>
    <s v=""/>
    <s v=""/>
    <s v=""/>
    <n v="1"/>
    <x v="3"/>
    <x v="8"/>
    <s v="Emadian 2017"/>
    <m/>
    <s v="ja "/>
    <s v="ja "/>
    <m/>
    <m/>
    <m/>
    <s v="nein"/>
    <s v="ja"/>
    <m/>
    <m/>
  </r>
  <r>
    <s v="PHA"/>
    <s v="PHA"/>
    <s v="nein"/>
    <m/>
    <s v="Powder"/>
    <s v="no value"/>
    <s v="no value"/>
    <s v="no value"/>
    <s v="Mirel PHA- 2200"/>
    <s v="Plastic samples were pulverized. The samples were kept in an oven and held at 30 +/- 2°C for 26 weeks."/>
    <m/>
    <s v="(ja)"/>
    <s v="Meerwasser (Labor)"/>
    <s v="Meerwasser"/>
    <s v="ja"/>
    <m/>
    <m/>
    <m/>
    <m/>
    <m/>
    <m/>
    <s v="CO2-Entwicklung"/>
    <m/>
    <n v="38.22"/>
    <n v="180"/>
    <n v="0.21233333333333332"/>
    <m/>
    <n v="6"/>
    <s v=""/>
    <s v=""/>
    <s v=""/>
    <s v=""/>
    <s v=""/>
    <s v=""/>
    <n v="1"/>
    <x v="3"/>
    <x v="8"/>
    <s v="--"/>
    <s v="CB (März 2020)"/>
    <s v="ja "/>
    <s v="ja "/>
    <m/>
    <m/>
    <m/>
    <s v="nein"/>
    <s v="ja"/>
    <m/>
    <m/>
  </r>
  <r>
    <s v="PHA"/>
    <s v="PHA"/>
    <s v="nein"/>
    <m/>
    <s v="Powder"/>
    <s v="no value"/>
    <s v="no value"/>
    <s v="no value"/>
    <s v="Mirel PHA- 4100"/>
    <s v="Plastic samples were pulverized. The samples were kept in an oven and held at 30 +/- 2°C for 26 weeks."/>
    <m/>
    <s v="(ja)"/>
    <s v="Meerwasser (Labor)"/>
    <s v="Meerwasser"/>
    <s v="ja"/>
    <m/>
    <m/>
    <m/>
    <m/>
    <m/>
    <m/>
    <s v="CO2-Entwicklung"/>
    <m/>
    <n v="45.08"/>
    <n v="180"/>
    <n v="0.25044444444444441"/>
    <m/>
    <n v="6"/>
    <s v=""/>
    <s v=""/>
    <s v=""/>
    <s v=""/>
    <s v=""/>
    <s v=""/>
    <n v="1"/>
    <x v="3"/>
    <x v="8"/>
    <s v="--"/>
    <s v="CB (März 2020)"/>
    <s v="ja "/>
    <s v="ja "/>
    <m/>
    <m/>
    <m/>
    <s v="nein"/>
    <s v="ja"/>
    <m/>
    <m/>
  </r>
  <r>
    <s v="PBSeT"/>
    <s v="Polybutylene Sebacate-cobutylenterephtalate"/>
    <s v="nein"/>
    <m/>
    <s v="Film"/>
    <n v="2.5000000000000001E-2"/>
    <m/>
    <m/>
    <s v="Aliphatic-Aromatic polyester"/>
    <s v="OWS Laboratory - KH2PO4 (0.1 g/L) and NH4Cl (0.05 g/L) were added to the seawaters (results from year 2 - Salamis)"/>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78.400000000000006"/>
    <n v="180"/>
    <n v="0.43555555555555558"/>
    <m/>
    <n v="2"/>
    <n v="80000"/>
    <s v=""/>
    <n v="19.872222222222224"/>
    <n v="1"/>
    <n v="19.872222222222227"/>
    <s v="PBSeT_Meerwasser_nicht natürlich"/>
    <n v="1"/>
    <x v="6"/>
    <x v="52"/>
    <m/>
    <m/>
    <m/>
    <m/>
    <m/>
    <m/>
    <m/>
    <m/>
    <m/>
    <m/>
    <m/>
  </r>
  <r>
    <s v="PBSeT"/>
    <s v="Polybutylene Sebacate-cobutylenterephtalate"/>
    <s v="nein"/>
    <m/>
    <s v="Film"/>
    <n v="2.5000000000000001E-2"/>
    <m/>
    <m/>
    <s v="Aliphatic-Aromatic polyester"/>
    <s v="Novamont Laboratory - KH2PO4 (0.1 g/L) and NH4Cl (0.05 g/L) were added to the seawaters (results from year 2 - Elba"/>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2.6"/>
    <n v="175"/>
    <n v="1.4857142857142857E-2"/>
    <m/>
    <n v="2"/>
    <n v="80000"/>
    <s v=""/>
    <n v="0.67785714285714294"/>
    <n v="1"/>
    <n v="0.6778571428571436"/>
    <s v="PBSeT_Meerwasser_nicht natürlich"/>
    <n v="1"/>
    <x v="6"/>
    <x v="52"/>
    <m/>
    <m/>
    <m/>
    <m/>
    <m/>
    <m/>
    <m/>
    <m/>
    <m/>
    <m/>
    <m/>
  </r>
  <r>
    <s v="PHA+"/>
    <s v="PHA/Reishülse (RH) (60/40%)"/>
    <s v="ja"/>
    <s v="Zusätze"/>
    <s v="Strips"/>
    <n v="1"/>
    <n v="1.5E-3"/>
    <s v="no value"/>
    <m/>
    <m/>
    <m/>
    <s v="ja"/>
    <s v="Boden (alluvial-type soil) - Soil was maintained at  30% moisture by weight, and the samples were buried at a depth of 12-15 cm_x000a_"/>
    <s v="Boden/Kompost"/>
    <s v="ja"/>
    <m/>
    <m/>
    <m/>
    <n v="35"/>
    <m/>
    <m/>
    <s v="Gewichtsverlust"/>
    <m/>
    <s v="&gt;95"/>
    <n v="60"/>
    <n v="1.5833333333333333"/>
    <m/>
    <n v="2"/>
    <s v=""/>
    <s v=""/>
    <s v=""/>
    <s v=""/>
    <s v=""/>
    <s v=""/>
    <n v="1"/>
    <x v="4"/>
    <x v="89"/>
    <s v="Emadian 2017"/>
    <m/>
    <s v="ja "/>
    <s v="ja "/>
    <m/>
    <m/>
    <m/>
    <s v="nein"/>
    <s v="ja"/>
    <m/>
    <m/>
  </r>
  <r>
    <s v="PHA+"/>
    <s v="PHA-g-AA"/>
    <s v="ja"/>
    <s v="Zusätze"/>
    <s v="Strips"/>
    <n v="1"/>
    <n v="1.5E-3"/>
    <s v="no value"/>
    <m/>
    <m/>
    <m/>
    <s v="ja"/>
    <s v="Boden (alluvial-type soil) - Soil was maintained at  30% moisture by weight, and the samples were buried at a depth of 12-15 cm_x000a_"/>
    <s v="Boden/Kompost"/>
    <s v="ja"/>
    <m/>
    <m/>
    <m/>
    <n v="35"/>
    <m/>
    <m/>
    <s v="Gewichtsverlust"/>
    <m/>
    <n v="35"/>
    <n v="60"/>
    <n v="0.58333333333333337"/>
    <m/>
    <n v="2"/>
    <s v=""/>
    <s v=""/>
    <s v=""/>
    <s v=""/>
    <s v=""/>
    <s v=""/>
    <n v="1"/>
    <x v="4"/>
    <x v="89"/>
    <s v="Emadian 2017"/>
    <s v="CB (März 2020)"/>
    <s v="ja "/>
    <s v="ja "/>
    <m/>
    <m/>
    <m/>
    <s v="nein"/>
    <s v="ja"/>
    <m/>
    <m/>
  </r>
  <r>
    <s v="PHA+"/>
    <s v="PHA-g-AA/Reishülse (RH) (60/40%)"/>
    <s v="ja"/>
    <s v="Zusätze"/>
    <s v="Strips"/>
    <n v="1"/>
    <n v="1.5E-3"/>
    <s v="no value"/>
    <m/>
    <m/>
    <m/>
    <s v="ja"/>
    <s v="Boden (alluvial-type soil) - Soil was maintained at  30% moisture by weight, and the samples were buried at a depth of 12-15 cm_x000a_"/>
    <s v="Boden/Kompost"/>
    <s v="ja"/>
    <m/>
    <m/>
    <m/>
    <n v="35"/>
    <m/>
    <m/>
    <s v="Gewichtsverlust"/>
    <m/>
    <n v="90"/>
    <n v="60"/>
    <n v="1.5"/>
    <m/>
    <n v="2"/>
    <s v=""/>
    <s v=""/>
    <s v=""/>
    <s v=""/>
    <s v=""/>
    <s v=""/>
    <n v="1"/>
    <x v="4"/>
    <x v="89"/>
    <s v="Emadian 2017"/>
    <s v="CB (März 2020)"/>
    <s v="ja "/>
    <s v="ja "/>
    <m/>
    <m/>
    <m/>
    <s v="nein"/>
    <s v="ja"/>
    <m/>
    <m/>
  </r>
  <r>
    <s v="PHB"/>
    <s v="PHB"/>
    <s v="ja"/>
    <s v="Mikroorganismen"/>
    <s v="Strips"/>
    <n v="0.1"/>
    <n v="8.9999999999999998E-4"/>
    <m/>
    <m/>
    <s v="sterilized by exposing each film surface for 15 min to UV-irradiation using an UV lamp"/>
    <s v="‘Methane sludge’: sludge collected from an anaerobic laboratory reactor fed with waste water from sugar industry_x000a_"/>
    <s v="nein"/>
    <s v="methane sludge"/>
    <s v="Boden/Kompost"/>
    <s v="ja"/>
    <n v="37"/>
    <n v="7"/>
    <m/>
    <m/>
    <s v="anaerob"/>
    <m/>
    <s v="Gewichtsverlust"/>
    <m/>
    <n v="23"/>
    <n v="70"/>
    <n v="0.32857142857142857"/>
    <m/>
    <n v="2"/>
    <s v=""/>
    <s v=""/>
    <s v=""/>
    <s v=""/>
    <s v=""/>
    <s v=""/>
    <n v="1"/>
    <x v="4"/>
    <x v="65"/>
    <s v="Chamas et al. 2020"/>
    <s v="CG (Mai 2020)"/>
    <m/>
    <m/>
    <m/>
    <m/>
    <m/>
    <s v="ja"/>
    <s v="ja"/>
    <m/>
    <m/>
  </r>
  <r>
    <s v="PHB"/>
    <s v="Poly (3-hydroxybutyrate-co- 3-hydroxyhexanoate), PHBHHx"/>
    <s v="nein"/>
    <m/>
    <s v="no value"/>
    <s v="no value"/>
    <s v="no value"/>
    <n v="1.26"/>
    <m/>
    <m/>
    <m/>
    <s v="nein"/>
    <s v="inoculum made of farmland soil and mineral salt solution"/>
    <s v="Labor"/>
    <s v="nein"/>
    <n v="30"/>
    <m/>
    <m/>
    <m/>
    <s v="aerob"/>
    <m/>
    <s v="CO2-Entwicklung"/>
    <m/>
    <n v="62.16"/>
    <n v="14"/>
    <n v="4.4399999999999995"/>
    <m/>
    <s v=""/>
    <s v=""/>
    <s v=""/>
    <s v=""/>
    <s v=""/>
    <s v=""/>
    <s v=""/>
    <n v="1"/>
    <x v="2"/>
    <x v="4"/>
    <s v="Plastik Leak Project"/>
    <s v="CB (März 2020)"/>
    <s v="ja"/>
    <s v="ja"/>
    <m/>
    <m/>
    <m/>
    <s v="nein"/>
    <s v="ja"/>
    <m/>
    <s v="Dichte von Rodion übernommen"/>
  </r>
  <r>
    <s v="PHB"/>
    <s v="P(3HB, 4HB)"/>
    <s v="nein"/>
    <m/>
    <s v="Powder"/>
    <s v="no value"/>
    <s v="no value"/>
    <n v="1.23"/>
    <m/>
    <s v="keine"/>
    <m/>
    <s v="nein"/>
    <s v="Kompost"/>
    <s v="Boden/Kompost"/>
    <s v="ja"/>
    <n v="58"/>
    <n v="8.1999999999999993"/>
    <m/>
    <m/>
    <s v="aerob"/>
    <m/>
    <s v="CO2-Entwicklung"/>
    <m/>
    <n v="90.3"/>
    <n v="110"/>
    <n v="0.82090909090909092"/>
    <m/>
    <n v="6"/>
    <s v=""/>
    <s v=""/>
    <s v=""/>
    <s v=""/>
    <s v=""/>
    <s v=""/>
    <n v="1"/>
    <x v="3"/>
    <x v="90"/>
    <s v="Emadian 2017"/>
    <s v="CB (März 2020)"/>
    <s v="ja "/>
    <s v="ja"/>
    <m/>
    <m/>
    <m/>
    <s v="nein"/>
    <s v="ja"/>
    <m/>
    <m/>
  </r>
  <r>
    <s v="PHB"/>
    <s v="PHB"/>
    <s v="nein"/>
    <m/>
    <s v="Film"/>
    <n v="4.5499999999999999E-2"/>
    <s v="no value"/>
    <n v="1.23"/>
    <m/>
    <s v="keine"/>
    <m/>
    <s v="nein"/>
    <s v="Kompost"/>
    <s v="Boden/Kompost"/>
    <s v="ja"/>
    <n v="58"/>
    <n v="8.1999999999999993"/>
    <m/>
    <m/>
    <s v="aerob"/>
    <m/>
    <s v="CO2-Entwicklung"/>
    <m/>
    <n v="79.7"/>
    <n v="110"/>
    <n v="0.7245454545454546"/>
    <m/>
    <n v="2"/>
    <s v=""/>
    <s v=""/>
    <s v=""/>
    <n v="1"/>
    <n v="60.164443181818179"/>
    <s v="PHB_Boden/Kompost_nicht natürlich"/>
    <n v="1"/>
    <x v="7"/>
    <x v="90"/>
    <s v="Emadian 2017"/>
    <m/>
    <s v="ja "/>
    <s v="ja"/>
    <m/>
    <m/>
    <m/>
    <s v="nein"/>
    <s v="ja"/>
    <m/>
    <s v="Thickness = 0,001-0,09mm; Dichte von Rodion übernommen"/>
  </r>
  <r>
    <s v="PHBV"/>
    <s v="PHB (92%) and valerate (8%)"/>
    <s v="nein"/>
    <m/>
    <s v="Strips"/>
    <n v="5.3999999999999999E-2"/>
    <n v="2.5000000000000005E-3"/>
    <n v="1.24"/>
    <m/>
    <s v="keine"/>
    <m/>
    <s v="(ja)"/>
    <s v="A 300-ml Erlenmeyer flask was filled with 150 g of synthesized waste which contained equivalent weights of yard waste, kitchen garbage, paper waste, dry dog-food, dewatered sludge and soil (Ishigaki et al., in press) and compacted to a density of 430 g-wet waste l1."/>
    <s v="Labor"/>
    <s v="nein"/>
    <m/>
    <s v="7-8"/>
    <m/>
    <m/>
    <s v="aerob"/>
    <m/>
    <s v="Gewichtsverlust"/>
    <m/>
    <n v="100"/>
    <n v="120"/>
    <n v="0.83333333333333337"/>
    <m/>
    <n v="2"/>
    <s v=""/>
    <s v=""/>
    <s v=""/>
    <s v=""/>
    <s v=""/>
    <s v=""/>
    <n v="1"/>
    <x v="8"/>
    <x v="7"/>
    <s v="Chamas et al. 2020"/>
    <s v="CG (Mai 2020)"/>
    <s v="ja"/>
    <s v="ja"/>
    <m/>
    <m/>
    <m/>
    <s v="ja"/>
    <s v="ja"/>
    <m/>
    <s v="Dichte von Rodion übernommen"/>
  </r>
  <r>
    <s v="PLA"/>
    <s v="PLA "/>
    <s v="nein"/>
    <m/>
    <s v="Strips"/>
    <n v="0.03"/>
    <n v="2.2499999999999999E-4"/>
    <m/>
    <m/>
    <s v="bleaching of PLA fibres to destroy lignin"/>
    <s v="sodium acide was aded to each buffer solution to inhibit the growth of microorganisms"/>
    <s v="nein"/>
    <s v="mineral solution"/>
    <s v="Labor"/>
    <s v="nein"/>
    <n v="37"/>
    <m/>
    <m/>
    <m/>
    <m/>
    <m/>
    <s v="Gewichtsverlust"/>
    <m/>
    <n v="88.3"/>
    <n v="1"/>
    <n v="88.3"/>
    <m/>
    <n v="2"/>
    <s v=""/>
    <s v=""/>
    <s v=""/>
    <s v=""/>
    <s v=""/>
    <s v=""/>
    <n v="1"/>
    <x v="8"/>
    <x v="91"/>
    <s v="Chamas et al. 2020"/>
    <s v="CG (Mai 2020)"/>
    <m/>
    <m/>
    <m/>
    <m/>
    <m/>
    <s v="ja"/>
    <s v="ja"/>
    <m/>
    <m/>
  </r>
  <r>
    <s v="PHB"/>
    <s v="PHB"/>
    <s v="nein"/>
    <m/>
    <s v="Strips"/>
    <n v="3.5000000000000003E-2"/>
    <n v="2.5000000000000005E-3"/>
    <n v="1.26"/>
    <s v="Biomer, Germany"/>
    <m/>
    <m/>
    <s v="nein"/>
    <s v="Kompost"/>
    <s v="Boden/Kompost"/>
    <s v="ja"/>
    <n v="55"/>
    <m/>
    <m/>
    <n v="70"/>
    <m/>
    <m/>
    <s v="CO2-Entwicklung"/>
    <m/>
    <n v="80"/>
    <n v="28"/>
    <n v="2.8571428571428572"/>
    <m/>
    <n v="2"/>
    <s v=""/>
    <s v=""/>
    <s v=""/>
    <n v="1"/>
    <n v="182.49999999999997"/>
    <s v="PHB_Boden/Kompost_nicht natürlich"/>
    <n v="1"/>
    <x v="7"/>
    <x v="92"/>
    <s v="Emadian 2017"/>
    <m/>
    <s v="ja "/>
    <s v="ja "/>
    <m/>
    <m/>
    <m/>
    <s v="nein"/>
    <s v="ja"/>
    <m/>
    <s v="Dichte von Rodion übernommen"/>
  </r>
  <r>
    <s v="PBSeT"/>
    <s v="Polybutylene Sebacate-cobutylenterephtalate"/>
    <s v="nein"/>
    <m/>
    <s v="Film"/>
    <n v="2.5000000000000001E-2"/>
    <m/>
    <m/>
    <s v="Aliphatic-Aromatic polyester"/>
    <s v="BASF Laboratory - KH2PO4 (0.1 g/L) and NH4Cl (0.05 g/L) were added to the seawaters (results from year 2)"/>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44.8"/>
    <n v="220"/>
    <n v="0.20363636363636362"/>
    <m/>
    <n v="2"/>
    <n v="80000"/>
    <s v=""/>
    <n v="9.290909090909091"/>
    <n v="1"/>
    <n v="9.2909090909090892"/>
    <s v="PBSeT_Meerwasser_nicht natürlich"/>
    <n v="1"/>
    <x v="6"/>
    <x v="52"/>
    <m/>
    <m/>
    <m/>
    <m/>
    <m/>
    <m/>
    <m/>
    <m/>
    <m/>
    <m/>
    <m/>
  </r>
  <r>
    <s v="PHB"/>
    <s v="PHB"/>
    <s v="nein"/>
    <m/>
    <s v="Strips"/>
    <s v="no value"/>
    <n v="1E-4"/>
    <n v="1.26"/>
    <m/>
    <m/>
    <m/>
    <s v="ja"/>
    <s v="Flusswasser (Mangroven), auf und im Sediment"/>
    <s v="Sediment"/>
    <s v="nein"/>
    <n v="32"/>
    <n v="7.06"/>
    <m/>
    <m/>
    <m/>
    <m/>
    <s v="Gewichtsverlust"/>
    <m/>
    <n v="100"/>
    <n v="56"/>
    <n v="1.7857142857142858"/>
    <m/>
    <n v="2"/>
    <s v=""/>
    <s v=""/>
    <s v=""/>
    <s v=""/>
    <s v=""/>
    <s v=""/>
    <n v="1"/>
    <x v="3"/>
    <x v="93"/>
    <s v="Emadian 2017; Dilkes-Hoffmann et al. 2019"/>
    <m/>
    <s v="ja "/>
    <s v="ja "/>
    <m/>
    <m/>
    <m/>
    <s v="nein"/>
    <s v="ja"/>
    <m/>
    <s v="Dichte von Rodion übernommen"/>
  </r>
  <r>
    <s v="PHB"/>
    <s v="Polyhydroxyalkanoate Copolymer"/>
    <s v="ja"/>
    <s v="Zusätze"/>
    <s v="Film"/>
    <s v="0,0,9-0,1"/>
    <m/>
    <m/>
    <s v="Grade: Mirel™ P5001; it is a compound &gt; 70% PHB copolymer, plasticizer, fillers - Film 90-100 microns"/>
    <s v="OWS Laboratory - KH2PO4 (0.1 g/L) and NH4Cl (0.05 g/L) were added to the seawaters (results from year 2 - Salamis)"/>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72.400000000000006"/>
    <n v="180"/>
    <n v="0.40222222222222226"/>
    <m/>
    <n v="2"/>
    <s v=""/>
    <s v=""/>
    <s v=""/>
    <s v=""/>
    <s v=""/>
    <s v=""/>
    <n v="1"/>
    <x v="4"/>
    <x v="52"/>
    <m/>
    <m/>
    <m/>
    <m/>
    <m/>
    <m/>
    <m/>
    <m/>
    <m/>
    <m/>
    <m/>
  </r>
  <r>
    <s v="PHB"/>
    <s v="Polyhydroxyalkanoate Copolymer"/>
    <s v="ja"/>
    <s v="Zusätze"/>
    <s v="Film"/>
    <s v="0,0,9-0,1"/>
    <m/>
    <m/>
    <s v="Grade: Mirel™ P5001; it is a compound &gt; 70% PHB copolymer, plasticizer, fillers - Film 90-100 microns"/>
    <s v="Novamont Laboratory - KH2PO4 (0.1 g/L) and NH4Cl (0.05 g/L) were added to the seawaters (results from year 2 - Elba"/>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84.7"/>
    <n v="175"/>
    <n v="0.48400000000000004"/>
    <m/>
    <n v="2"/>
    <s v=""/>
    <s v=""/>
    <s v=""/>
    <s v=""/>
    <s v=""/>
    <s v=""/>
    <n v="1"/>
    <x v="4"/>
    <x v="52"/>
    <m/>
    <m/>
    <m/>
    <m/>
    <m/>
    <m/>
    <m/>
    <m/>
    <m/>
    <m/>
    <m/>
  </r>
  <r>
    <s v="PHB"/>
    <s v="Polyhydroxyalkanoate Copolymer"/>
    <s v="ja"/>
    <s v="Zusätze"/>
    <s v="Film"/>
    <s v="0,0,9-0,1"/>
    <m/>
    <m/>
    <s v="Grade: Mirel™ P5001; it is a compound &gt; 70% PHB copolymer, plasticizer, fillers - Film 90-100 microns"/>
    <s v="BASF Laboratory - KH2PO4 (0.1 g/L) and NH4Cl (0.05 g/L) were added to the seawaters (results from year 2)"/>
    <m/>
    <m/>
    <s v="seawater was collected at Isola d’Elba (Italy). An uniform sample of seawater was collected at a depth of 15-20 m; the biodegradation of plastic was tested after milling and dispersing the test materials in seawater. _x000a_"/>
    <s v="Meerwasser"/>
    <s v="ja"/>
    <s v="20-28"/>
    <s v="7.8-8.3"/>
    <m/>
    <m/>
    <m/>
    <s v="bewegt"/>
    <s v="CO2-Entwicklung"/>
    <m/>
    <n v="84.3"/>
    <n v="220"/>
    <n v="0.38318181818181818"/>
    <m/>
    <n v="2"/>
    <s v=""/>
    <s v=""/>
    <s v=""/>
    <s v=""/>
    <s v=""/>
    <s v=""/>
    <n v="1"/>
    <x v="4"/>
    <x v="52"/>
    <m/>
    <m/>
    <m/>
    <m/>
    <m/>
    <m/>
    <m/>
    <m/>
    <m/>
    <m/>
    <m/>
  </r>
  <r>
    <s v="PBSe"/>
    <s v="Polybutylene Sebacate"/>
    <s v="nein"/>
    <m/>
    <s v="Film"/>
    <n v="2.5000000000000001E-2"/>
    <m/>
    <m/>
    <s v="Aliphatic polyester Film 25 microns"/>
    <s v="OWS Laboratory - KH2PO4 (0.1 g/L) and NH4Cl (0.05 g/L) were added to the seawaters (results from year 2 - Elba)"/>
    <s v="nein"/>
    <s v="(ja)"/>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78.2"/>
    <n v="180"/>
    <n v="0.43444444444444447"/>
    <m/>
    <n v="2"/>
    <n v="80000"/>
    <s v=""/>
    <n v="19.821527777777781"/>
    <n v="1"/>
    <n v="19.821527777777785"/>
    <s v="PBSe_Meerwasser_natürlich"/>
    <n v="1"/>
    <x v="6"/>
    <x v="52"/>
    <m/>
    <m/>
    <m/>
    <m/>
    <m/>
    <m/>
    <m/>
    <m/>
    <m/>
    <m/>
    <m/>
  </r>
  <r>
    <s v="PBSe"/>
    <s v="Polybutylene Sebacate"/>
    <s v="nein"/>
    <m/>
    <s v="Film"/>
    <n v="2.5000000000000001E-2"/>
    <m/>
    <m/>
    <s v="Aliphatic polyester Film 25 microns"/>
    <s v="AUA Laboratory - KH2PO4 (0.1 g/L) and NH4Cl (0.05 g/L) were added to the seawaters (results from year 2 - Salamis)"/>
    <m/>
    <m/>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100"/>
    <n v="120"/>
    <n v="0.83333333333333337"/>
    <m/>
    <n v="2"/>
    <n v="80000"/>
    <s v=""/>
    <n v="38.020833333333336"/>
    <n v="1"/>
    <n v="38.020833333333336"/>
    <s v="PBSe_Meerwasser_nicht natürlich"/>
    <n v="1"/>
    <x v="6"/>
    <x v="52"/>
    <m/>
    <m/>
    <m/>
    <m/>
    <m/>
    <m/>
    <m/>
    <m/>
    <m/>
    <m/>
    <m/>
  </r>
  <r>
    <s v="PBSe"/>
    <s v="Polybutylene Sebacate"/>
    <s v="nein"/>
    <m/>
    <s v="Film"/>
    <n v="2.5000000000000001E-2"/>
    <m/>
    <m/>
    <s v="Aliphatic polyester Film 25 microns"/>
    <s v="Novamont Laboratory - KH2PO4 (0.1 g/L) and NH4Cl (0.05 g/L) were added to the seawaters (results from year 2 - Salamis)"/>
    <m/>
    <m/>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64"/>
    <n v="180"/>
    <n v="0.35555555555555557"/>
    <m/>
    <n v="2"/>
    <n v="80000"/>
    <s v=""/>
    <n v="16.222222222222225"/>
    <n v="1"/>
    <n v="16.222222222222225"/>
    <s v="PBSe_Meerwasser_nicht natürlich"/>
    <n v="1"/>
    <x v="6"/>
    <x v="52"/>
    <m/>
    <m/>
    <m/>
    <m/>
    <m/>
    <m/>
    <m/>
    <m/>
    <m/>
    <m/>
    <m/>
  </r>
  <r>
    <s v="PBSeT"/>
    <s v="Polybutylene Sebacate-cobutylenterephtalate"/>
    <s v="nein"/>
    <m/>
    <s v="Film"/>
    <n v="2.5000000000000001E-2"/>
    <m/>
    <m/>
    <s v="Aliphatic-Aromatic polyester"/>
    <s v="OWS Laboratory - KH2PO4 (0.1 g/L) and NH4Cl (0.05 g/L) were added to the seawaters (results from year 2 - Elba)"/>
    <s v="nein"/>
    <s v="(ja)"/>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30.1"/>
    <n v="180"/>
    <n v="0.16722222222222222"/>
    <m/>
    <n v="2"/>
    <n v="80000"/>
    <s v=""/>
    <n v="7.6295138888888889"/>
    <n v="1"/>
    <n v="7.629513888888888"/>
    <s v="PBSeT_Meerwasser_natürlich"/>
    <n v="1"/>
    <x v="6"/>
    <x v="52"/>
    <m/>
    <m/>
    <m/>
    <m/>
    <m/>
    <m/>
    <m/>
    <m/>
    <m/>
    <m/>
    <m/>
  </r>
  <r>
    <s v="PBSeT"/>
    <s v="Polybutylen Sebacat-cobutylenterephtalat"/>
    <s v="nein"/>
    <m/>
    <s v="Film"/>
    <n v="2.5000000000000001E-2"/>
    <s v="no value"/>
    <s v="no value"/>
    <m/>
    <s v="keine"/>
    <m/>
    <s v="ja"/>
    <s v="Mediterranean Sea - eulitoral"/>
    <s v="Meerwasser"/>
    <s v="ja"/>
    <m/>
    <m/>
    <m/>
    <m/>
    <m/>
    <m/>
    <s v="Gewichtsverlust"/>
    <s v="Desintegration is assessed photogrammetrically by quantifying the area change of the plastic film"/>
    <n v="50"/>
    <n v="753"/>
    <n v="6.6401062416998669E-2"/>
    <m/>
    <n v="2"/>
    <n v="80000"/>
    <s v=""/>
    <n v="3.0295484727755646"/>
    <n v="1"/>
    <n v="3.0295484727755642"/>
    <s v="PBSeT_Meerwasser_natürlich"/>
    <n v="1"/>
    <x v="6"/>
    <x v="72"/>
    <m/>
    <s v="CG (August 2020)"/>
    <s v="ja"/>
    <s v="ja"/>
    <m/>
    <m/>
    <m/>
    <s v="nein"/>
    <s v="ja"/>
    <m/>
    <m/>
  </r>
  <r>
    <s v="PBSeT"/>
    <s v="Polybutylen Sebacat-cobutylenterephtalat"/>
    <s v="nein"/>
    <m/>
    <s v="Film"/>
    <n v="2.5000000000000001E-2"/>
    <s v="no value"/>
    <s v="no value"/>
    <m/>
    <s v="keine"/>
    <m/>
    <s v="ja"/>
    <s v="Mediterranean Sea - pelagic"/>
    <s v="Meerwasser"/>
    <s v="ja"/>
    <m/>
    <m/>
    <m/>
    <m/>
    <m/>
    <m/>
    <s v="Gewichtsverlust"/>
    <s v="Desintegration is assessed photogrammetrically by quantifying the area change of the plastic film"/>
    <n v="50"/>
    <n v="2347"/>
    <n v="2.1303792074989347E-2"/>
    <m/>
    <n v="2"/>
    <n v="80000"/>
    <s v=""/>
    <n v="0.97198551342138895"/>
    <n v="1"/>
    <n v="0.97198551342138906"/>
    <s v="PBSeT_Meerwasser_natürlich"/>
    <n v="1"/>
    <x v="6"/>
    <x v="72"/>
    <m/>
    <s v="CG (August 2020)"/>
    <s v="ja"/>
    <s v="ja"/>
    <m/>
    <m/>
    <m/>
    <s v="nein"/>
    <s v="ja"/>
    <m/>
    <m/>
  </r>
  <r>
    <s v="PHB"/>
    <s v="PHB (R-PHB)"/>
    <m/>
    <m/>
    <s v="no value"/>
    <s v="no value"/>
    <m/>
    <n v="1.26"/>
    <m/>
    <m/>
    <m/>
    <m/>
    <s v="Meerwasser (Labor, _x000a_frisches Wasser alle 2 Tage)"/>
    <s v="Meerwasser"/>
    <s v="ja"/>
    <n v="25"/>
    <m/>
    <m/>
    <m/>
    <s v="aerob"/>
    <m/>
    <s v="Gewichtsverlust"/>
    <m/>
    <n v="8"/>
    <n v="70"/>
    <n v="0.11428571428571428"/>
    <m/>
    <s v=""/>
    <s v=""/>
    <s v=""/>
    <s v=""/>
    <s v=""/>
    <s v=""/>
    <s v=""/>
    <n v="0"/>
    <x v="1"/>
    <x v="62"/>
    <s v="Emadian 2017"/>
    <m/>
    <s v="nein"/>
    <s v="nein"/>
    <m/>
    <m/>
    <m/>
    <s v="nein"/>
    <s v="nicht möglich"/>
    <s v="Artikel nicht gefunden"/>
    <s v="Dichte von Rodion übernommen"/>
  </r>
  <r>
    <s v="PBSeT"/>
    <s v="Polybutylen Sebacat-cobutylenterephtalat"/>
    <s v="nein"/>
    <m/>
    <s v="Film"/>
    <n v="2.5000000000000001E-2"/>
    <s v="no value"/>
    <s v="no value"/>
    <m/>
    <s v="keine"/>
    <m/>
    <s v="ja"/>
    <s v="Mediterranean Sea - benthic"/>
    <s v="Benthic"/>
    <s v="ja"/>
    <m/>
    <m/>
    <m/>
    <m/>
    <m/>
    <m/>
    <s v="Gewichtsverlust"/>
    <s v="Desintegration is assessed photogrammetrically by quantifying the area change of the plastic film"/>
    <n v="50"/>
    <n v="1071"/>
    <n v="4.6685340802987862E-2"/>
    <m/>
    <n v="2"/>
    <n v="80000"/>
    <s v=""/>
    <n v="2.1300186741363212"/>
    <n v="1"/>
    <n v="2.1300186741363212"/>
    <s v="PBSeT_Benthic_natürlich"/>
    <n v="1"/>
    <x v="6"/>
    <x v="72"/>
    <m/>
    <s v="CG (August 2020)"/>
    <s v="ja"/>
    <s v="ja"/>
    <m/>
    <m/>
    <m/>
    <s v="nein"/>
    <s v="ja"/>
    <m/>
    <m/>
  </r>
  <r>
    <s v="PHB"/>
    <s v="PHB"/>
    <s v="ja"/>
    <s v="Mikroorganismen"/>
    <s v="Film"/>
    <n v="0.17099999999999999"/>
    <s v="no value"/>
    <n v="1.26"/>
    <s v="contained 1% by weight of a proprietary nucleating agent"/>
    <m/>
    <s v="13 marine microorganisms"/>
    <s v="nein"/>
    <s v="Meerwasser (Labor)"/>
    <s v="Meerwasser"/>
    <s v="ja"/>
    <n v="30"/>
    <m/>
    <m/>
    <m/>
    <m/>
    <m/>
    <s v="CO2-Entwicklung"/>
    <m/>
    <n v="90"/>
    <n v="100"/>
    <n v="0.9"/>
    <m/>
    <n v="2"/>
    <s v=""/>
    <s v=""/>
    <s v=""/>
    <s v=""/>
    <s v=""/>
    <s v=""/>
    <n v="1"/>
    <x v="4"/>
    <x v="94"/>
    <s v="Dilkes-Hoffman et al. 2019; Plastic Leak Project"/>
    <s v="CB (März 2020)"/>
    <s v="ja"/>
    <s v="ja"/>
    <m/>
    <m/>
    <m/>
    <s v="nein"/>
    <s v="ja"/>
    <m/>
    <s v="Thickness = 0,152-0,19mm; Dichte von Rodion übernommen"/>
  </r>
  <r>
    <s v="PHB"/>
    <s v="PHB"/>
    <s v="ja"/>
    <s v="Mikroorganismen"/>
    <s v="Film"/>
    <n v="0.17099999999999999"/>
    <s v="no value"/>
    <n v="1.26"/>
    <s v="contained 1% by weight of a proprietary nucleating agent"/>
    <m/>
    <s v="13 marine microorganisms"/>
    <s v="nein"/>
    <s v="Meerwasser (Labor)"/>
    <s v="Meerwasser"/>
    <s v="ja"/>
    <n v="30"/>
    <m/>
    <m/>
    <m/>
    <m/>
    <m/>
    <s v="CO2-Entwicklung"/>
    <m/>
    <n v="82"/>
    <n v="100"/>
    <n v="0.82"/>
    <m/>
    <n v="2"/>
    <s v=""/>
    <s v=""/>
    <s v=""/>
    <s v=""/>
    <s v=""/>
    <s v=""/>
    <n v="1"/>
    <x v="4"/>
    <x v="94"/>
    <s v="Dilkes-Hoffman et al. 2019; Plastic Leak Project"/>
    <s v="CB (März 2020)"/>
    <s v="ja"/>
    <s v="ja"/>
    <m/>
    <m/>
    <m/>
    <s v="nein"/>
    <s v="ja"/>
    <m/>
    <s v="Thickness = 0,152-0,19mm; Dichte von Rodion übernommen"/>
  </r>
  <r>
    <s v="PHB"/>
    <s v="PHB"/>
    <s v="ja"/>
    <s v="Mikroorganismen"/>
    <s v="Film"/>
    <n v="0.17099999999999999"/>
    <s v="no value"/>
    <n v="1.26"/>
    <s v="contained 1% by weight of a proprietary nucleating agent"/>
    <m/>
    <s v="13 marine microorganisms"/>
    <s v="nein"/>
    <s v="Meerwasser (Labor)"/>
    <s v="Meerwasser"/>
    <s v="ja"/>
    <n v="30"/>
    <m/>
    <m/>
    <m/>
    <m/>
    <m/>
    <s v="CO2-Entwicklung"/>
    <m/>
    <n v="80"/>
    <n v="100"/>
    <n v="0.8"/>
    <m/>
    <n v="2"/>
    <s v=""/>
    <s v=""/>
    <s v=""/>
    <s v=""/>
    <s v=""/>
    <s v=""/>
    <n v="1"/>
    <x v="4"/>
    <x v="94"/>
    <s v="Dilkes-Hoffman et al. 2019; Plastic Leak Project"/>
    <s v="CB (März 2020)"/>
    <s v="ja"/>
    <s v="ja"/>
    <m/>
    <m/>
    <m/>
    <s v="nein"/>
    <s v="ja"/>
    <m/>
    <s v="Thickness = 0,152-0,19mm; Dichte von Rodion übernommen"/>
  </r>
  <r>
    <s v="PHB"/>
    <s v="PHB"/>
    <s v="nein"/>
    <m/>
    <s v="Strips"/>
    <n v="0.17099999999999999"/>
    <n v="1.6129E-3"/>
    <n v="1.26"/>
    <s v="contained 1% by weight of a proprietary nucleating agent"/>
    <s v="polymer films were incubated in sterilized seawater for 96 h."/>
    <s v="keine"/>
    <s v="nein"/>
    <s v="Meerwasser"/>
    <s v="Meerwasser"/>
    <s v="ja"/>
    <n v="21"/>
    <m/>
    <m/>
    <m/>
    <m/>
    <s v="ruhend"/>
    <s v="Gewichtsverlust"/>
    <m/>
    <n v="99"/>
    <n v="49"/>
    <n v="2.0204081632653059"/>
    <m/>
    <n v="2"/>
    <s v=""/>
    <s v=""/>
    <s v=""/>
    <n v="1"/>
    <n v="630.5188775510203"/>
    <s v="PHB_Meerwasser_nicht natürlich"/>
    <n v="1"/>
    <x v="7"/>
    <x v="94"/>
    <s v="Dilkes-Hoffman et al. 2019; Plastic Leak Project"/>
    <m/>
    <s v="ja"/>
    <s v="ja"/>
    <m/>
    <m/>
    <m/>
    <s v="nein"/>
    <s v="ja"/>
    <m/>
    <s v="Thickness = 0,152-0,19mm; Dichte von Rodion übernommen"/>
  </r>
  <r>
    <s v="PHB"/>
    <s v="PHB"/>
    <s v="nein"/>
    <m/>
    <s v="Film"/>
    <n v="0.17099999999999999"/>
    <s v="no value"/>
    <n v="1.26"/>
    <s v="contained 1% by weight of a proprietary nucleating agent"/>
    <s v="polymer films were incubated in sterilized seawater for 96 h."/>
    <s v="keine"/>
    <s v="nein"/>
    <s v="Meerwasser"/>
    <s v="Meerwasser"/>
    <s v="ja"/>
    <s v="12-22"/>
    <s v="7,9-8,1"/>
    <m/>
    <m/>
    <m/>
    <s v="dynamisch"/>
    <s v="Gewichtsverlust"/>
    <m/>
    <n v="30"/>
    <n v="90"/>
    <n v="0.33333333333333331"/>
    <m/>
    <n v="2"/>
    <s v=""/>
    <s v=""/>
    <s v=""/>
    <n v="1"/>
    <n v="104.02499999999999"/>
    <s v="PHB_Meerwasser_nicht natürlich"/>
    <n v="1"/>
    <x v="7"/>
    <x v="94"/>
    <s v="Dilkes-Hoffman et al. 2019; Plastic Leak Project"/>
    <m/>
    <s v="ja"/>
    <s v="ja"/>
    <m/>
    <m/>
    <m/>
    <s v="nein"/>
    <s v="ja"/>
    <m/>
    <s v="Thickness = 0,152-0,19mm; Dichte von Rodion übernommen"/>
  </r>
  <r>
    <s v="PBSeT"/>
    <s v="Polybutylen Sebacat-cobutylenterephtalat"/>
    <s v="nein"/>
    <m/>
    <s v="Film"/>
    <n v="2.5000000000000001E-2"/>
    <s v="no value"/>
    <s v="no value"/>
    <m/>
    <s v="keine"/>
    <m/>
    <s v="ja"/>
    <s v="South East Asia - benthic"/>
    <s v="Benthic"/>
    <s v="ja"/>
    <m/>
    <m/>
    <m/>
    <m/>
    <m/>
    <m/>
    <s v="Gewichtsverlust"/>
    <s v="Desintegration is assessed photogrammetrically by quantifying the area change of the plastic film"/>
    <n v="50"/>
    <n v="156"/>
    <n v="0.32051282051282054"/>
    <m/>
    <n v="2"/>
    <n v="80000"/>
    <s v=""/>
    <n v="14.623397435897438"/>
    <n v="1"/>
    <n v="14.623397435897438"/>
    <s v="PBSeT_Benthic_natürlich"/>
    <n v="1"/>
    <x v="6"/>
    <x v="72"/>
    <m/>
    <s v="CG (August 2020)"/>
    <s v="ja"/>
    <s v="ja"/>
    <m/>
    <m/>
    <m/>
    <s v="nein"/>
    <s v="ja"/>
    <m/>
    <m/>
  </r>
  <r>
    <s v="PBSeT"/>
    <s v="Polybutylene Sebacate-cobutylenterephtalate"/>
    <s v="nein"/>
    <m/>
    <s v="Film"/>
    <n v="2.5000000000000001E-2"/>
    <m/>
    <m/>
    <s v="Aliphatic-Aromatic polyester"/>
    <s v="keine"/>
    <s v="nein"/>
    <s v="(ja)"/>
    <s v="natural soil - OWS laboratory"/>
    <s v="Boden/Kompost"/>
    <s v="ja"/>
    <s v="25-28"/>
    <s v="6-8,3"/>
    <m/>
    <s v="40-60"/>
    <m/>
    <s v="bewegt"/>
    <s v="CO2-Entwicklung"/>
    <m/>
    <n v="37.200000000000003"/>
    <n v="120"/>
    <n v="0.31"/>
    <m/>
    <n v="2"/>
    <n v="80000"/>
    <s v=""/>
    <n v="14.143750000000001"/>
    <n v="1"/>
    <n v="14.143750000000001"/>
    <s v="PBSeT_Boden/Kompost_natürlich"/>
    <n v="1"/>
    <x v="6"/>
    <x v="80"/>
    <m/>
    <m/>
    <m/>
    <m/>
    <m/>
    <m/>
    <m/>
    <m/>
    <m/>
    <m/>
    <m/>
  </r>
  <r>
    <s v="PHB"/>
    <s v="PHB"/>
    <s v="nein"/>
    <m/>
    <s v="Film"/>
    <s v="no value"/>
    <s v="no value"/>
    <n v="1.26"/>
    <s v="recovery of PHB from dried biomass was carried out by digestion method using sodium hypochlorite"/>
    <m/>
    <s v="bacterium Cupriavidus necator (former Ralstonia eutropha)"/>
    <s v="nein"/>
    <s v="Boden (Labor)"/>
    <s v="Boden/Kompost"/>
    <s v="ja"/>
    <m/>
    <m/>
    <m/>
    <m/>
    <m/>
    <m/>
    <s v="Gewichtsverlust"/>
    <m/>
    <n v="64.3"/>
    <n v="180"/>
    <n v="0.35722222222222222"/>
    <m/>
    <n v="2"/>
    <s v=""/>
    <s v=""/>
    <s v=""/>
    <s v=""/>
    <s v=""/>
    <s v=""/>
    <n v="1"/>
    <x v="3"/>
    <x v="95"/>
    <s v="Plastik Leak Project"/>
    <m/>
    <s v="ja"/>
    <s v="ja"/>
    <m/>
    <m/>
    <m/>
    <s v="nein"/>
    <s v="ja"/>
    <m/>
    <s v="Dichte von Rodion übernommen"/>
  </r>
  <r>
    <s v="PBSeT"/>
    <s v="Polybutylene Sebacate-cobutylenterephtalate"/>
    <s v="nein"/>
    <m/>
    <s v="Film"/>
    <n v="2.5000000000000001E-2"/>
    <m/>
    <m/>
    <s v="Aliphatic-Aromatic polyester"/>
    <s v="keine"/>
    <s v="nein"/>
    <s v="(ja)"/>
    <s v="natural soil - Novamont laboratory"/>
    <s v="Boden/Kompost"/>
    <s v="ja"/>
    <s v="25-28"/>
    <s v="6-8,3"/>
    <m/>
    <s v="40-60"/>
    <m/>
    <s v="bewegt"/>
    <s v="CO2-Entwicklung"/>
    <m/>
    <n v="90.47"/>
    <n v="210"/>
    <n v="0.43080952380952381"/>
    <m/>
    <n v="2"/>
    <n v="80000"/>
    <s v=""/>
    <n v="19.655684523809526"/>
    <n v="1"/>
    <n v="19.655684523809523"/>
    <s v="PBSeT_Boden/Kompost_natürlich"/>
    <n v="1"/>
    <x v="6"/>
    <x v="80"/>
    <m/>
    <m/>
    <m/>
    <m/>
    <m/>
    <m/>
    <m/>
    <m/>
    <m/>
    <m/>
    <m/>
  </r>
  <r>
    <s v="PBSeT"/>
    <s v="Polybutylene Sebacate-cobutylenterephtalate"/>
    <s v="nein"/>
    <m/>
    <s v="Film"/>
    <n v="2.5000000000000001E-2"/>
    <m/>
    <m/>
    <s v="Aliphatic-Aromatic polyester"/>
    <s v="AUA Laboratory - KH2PO4 (0.1 g/L) and NH4Cl (0.05 g/L) were added to the seawaters (results from year 2 - Salamis)"/>
    <m/>
    <m/>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78.2"/>
    <n v="120"/>
    <n v="0.65166666666666673"/>
    <m/>
    <n v="2"/>
    <n v="80000"/>
    <s v=""/>
    <n v="29.732291666666669"/>
    <n v="1"/>
    <n v="29.732291666666669"/>
    <s v="PBSeT_Meerwasser_nicht natürlich"/>
    <n v="1"/>
    <x v="6"/>
    <x v="52"/>
    <m/>
    <m/>
    <m/>
    <m/>
    <m/>
    <m/>
    <m/>
    <m/>
    <m/>
    <m/>
    <m/>
  </r>
  <r>
    <s v="PLA"/>
    <s v="PLA"/>
    <s v="nein"/>
    <m/>
    <s v="Strips"/>
    <n v="0.2"/>
    <n v="8.9999999999999998E-4"/>
    <s v="no value"/>
    <s v="PLA by NatureWorks LLC, PHB by Biomer, PEG and ATBC by Sigma-Aldrich"/>
    <s v="dried overnight (80°C)"/>
    <m/>
    <s v="nein"/>
    <s v="synthetisches Material mit Kompost"/>
    <s v="Labor"/>
    <s v="nein"/>
    <n v="58"/>
    <m/>
    <m/>
    <m/>
    <m/>
    <m/>
    <s v="Gewichtsverlust"/>
    <m/>
    <n v="100"/>
    <n v="28"/>
    <n v="3.5714285714285716"/>
    <m/>
    <n v="2"/>
    <s v=""/>
    <s v=""/>
    <s v=""/>
    <s v=""/>
    <s v=""/>
    <s v=""/>
    <n v="1"/>
    <x v="8"/>
    <x v="96"/>
    <s v="Emadian 2017"/>
    <s v="CB (März 2020)"/>
    <s v="ja"/>
    <s v="ja"/>
    <m/>
    <m/>
    <m/>
    <s v="nein"/>
    <s v="ja"/>
    <m/>
    <m/>
  </r>
  <r>
    <s v="PLA"/>
    <s v="PLA"/>
    <s v="nein"/>
    <m/>
    <s v="Strips"/>
    <n v="3"/>
    <n v="6.2500000000000012E-4"/>
    <s v="no value"/>
    <m/>
    <s v="vacuum-dried at 40°C for 72 h"/>
    <m/>
    <s v="nein"/>
    <s v="synthetisches Material mit Kompost"/>
    <s v="Labor"/>
    <s v="nein"/>
    <n v="58"/>
    <m/>
    <m/>
    <m/>
    <s v="aerob"/>
    <m/>
    <s v="Gewichtsverlust"/>
    <m/>
    <n v="63.6"/>
    <n v="90"/>
    <n v="0.70666666666666667"/>
    <m/>
    <n v="2"/>
    <s v=""/>
    <s v=""/>
    <s v=""/>
    <s v=""/>
    <s v=""/>
    <s v=""/>
    <n v="1"/>
    <x v="8"/>
    <x v="97"/>
    <s v="Emadian 2017"/>
    <m/>
    <s v="ja"/>
    <s v="ja"/>
    <m/>
    <m/>
    <m/>
    <s v="nein"/>
    <s v="ja"/>
    <m/>
    <m/>
  </r>
  <r>
    <s v="PLA"/>
    <s v="PLA"/>
    <s v="ja"/>
    <s v="Mikroorganismen"/>
    <s v="Strips"/>
    <n v="0.02"/>
    <n v="4.0000000000000002E-4"/>
    <s v="no value"/>
    <s v="PLA: Natureworks PLA (Cargill Dow)"/>
    <m/>
    <s v="Bakterien aus kommunaler Abwasseraufbereitungsanlage"/>
    <s v="nein"/>
    <s v="Wasser (Labor)"/>
    <s v="Labor"/>
    <s v="nein"/>
    <n v="30"/>
    <m/>
    <m/>
    <m/>
    <s v="aerob"/>
    <m/>
    <s v="Gewichtsverlust"/>
    <m/>
    <n v="39"/>
    <n v="28"/>
    <n v="1.3928571428571428"/>
    <m/>
    <n v="2"/>
    <s v=""/>
    <s v=""/>
    <s v=""/>
    <s v=""/>
    <s v=""/>
    <s v=""/>
    <n v="1"/>
    <x v="4"/>
    <x v="11"/>
    <s v="Emadian 2017"/>
    <m/>
    <s v="ja "/>
    <s v="ja "/>
    <m/>
    <m/>
    <m/>
    <s v="nein"/>
    <s v="ja"/>
    <m/>
    <m/>
  </r>
  <r>
    <s v="PHB+"/>
    <s v="PHB (P3HB-co-10%4HB)"/>
    <s v="ja"/>
    <s v="Zusätze"/>
    <s v="Film"/>
    <n v="0.1"/>
    <s v="no value"/>
    <n v="1.26"/>
    <m/>
    <m/>
    <m/>
    <s v="(ja)"/>
    <s v="Flusswasser (Labor)"/>
    <s v="Süßwasser"/>
    <s v="ja"/>
    <n v="25"/>
    <m/>
    <m/>
    <m/>
    <s v="aerob"/>
    <m/>
    <s v="Gewichtsverlust"/>
    <m/>
    <n v="100"/>
    <n v="28"/>
    <n v="3.5714285714285716"/>
    <m/>
    <n v="2"/>
    <s v=""/>
    <s v=""/>
    <s v=""/>
    <s v=""/>
    <s v=""/>
    <s v=""/>
    <n v="1"/>
    <x v="4"/>
    <x v="61"/>
    <s v="Dilkes-Hoffman et al. 2019"/>
    <m/>
    <s v="ja "/>
    <s v="ja "/>
    <m/>
    <s v="biodegradable"/>
    <m/>
    <s v="nein"/>
    <s v="ja"/>
    <m/>
    <s v="Dichte von Rodion übernommen (Achtung: additives wurden bei der Dichte außer Acht gelassen)"/>
  </r>
  <r>
    <s v="PHB+"/>
    <s v="PHB (P3HB-co-10%4HB)"/>
    <s v="ja"/>
    <s v="Zusätze"/>
    <s v="Film"/>
    <n v="0.1"/>
    <s v="no value"/>
    <n v="1.26"/>
    <m/>
    <m/>
    <m/>
    <s v="(ja)"/>
    <s v="Flusswasser (Labor)"/>
    <s v="Süßwasser"/>
    <s v="ja"/>
    <n v="25"/>
    <m/>
    <m/>
    <m/>
    <s v="aerob"/>
    <m/>
    <s v="biochemical oxygen demand (BOD)"/>
    <m/>
    <n v="90"/>
    <n v="28"/>
    <n v="3.2142857142857144"/>
    <m/>
    <n v="2"/>
    <s v=""/>
    <s v=""/>
    <s v=""/>
    <s v=""/>
    <s v=""/>
    <s v=""/>
    <n v="1"/>
    <x v="4"/>
    <x v="61"/>
    <s v="Dilkes-Hoffman et al. 2019"/>
    <m/>
    <s v="ja "/>
    <s v="ja "/>
    <m/>
    <s v="biodegradable"/>
    <m/>
    <s v="nein"/>
    <s v="ja"/>
    <m/>
    <s v="Dichte von Rodion übernommen (Achtung: additives wurden bei der Dichte außer Acht gelassen)"/>
  </r>
  <r>
    <s v="PHB+"/>
    <s v="PHB (P3HB-co-10%4HB)"/>
    <s v="ja"/>
    <s v="Zusätze"/>
    <s v="Film"/>
    <n v="0.1"/>
    <s v="no value"/>
    <n v="1.26"/>
    <m/>
    <m/>
    <m/>
    <s v="(ja)"/>
    <s v="Seewasser (Labor)"/>
    <s v="Süßwasser"/>
    <s v="ja"/>
    <n v="25"/>
    <m/>
    <m/>
    <m/>
    <s v="aerob"/>
    <m/>
    <s v="Gewichtsverlust"/>
    <m/>
    <n v="74"/>
    <n v="28"/>
    <n v="2.6428571428571428"/>
    <m/>
    <n v="2"/>
    <s v=""/>
    <s v=""/>
    <s v=""/>
    <s v=""/>
    <s v=""/>
    <s v=""/>
    <n v="1"/>
    <x v="4"/>
    <x v="61"/>
    <s v="Dilkes-Hoffman et al. 2019"/>
    <m/>
    <s v="ja "/>
    <s v="ja "/>
    <m/>
    <s v="biodegradable"/>
    <m/>
    <s v="nein"/>
    <s v="ja"/>
    <m/>
    <s v="Dichte von Rodion übernommen (Achtung: additives wurden bei der Dichte außer Acht gelassen)"/>
  </r>
  <r>
    <s v="PHB+"/>
    <s v="PHB (P3HB-co-10%4HB)"/>
    <s v="ja"/>
    <s v="Zusätze"/>
    <s v="Film"/>
    <n v="0.1"/>
    <s v="no value"/>
    <n v="1.26"/>
    <m/>
    <m/>
    <m/>
    <s v="(ja)"/>
    <s v="Seewasser (Labor)"/>
    <s v="Süßwasser"/>
    <s v="ja"/>
    <n v="25"/>
    <m/>
    <m/>
    <m/>
    <s v="aerob"/>
    <m/>
    <s v="biochemical oxygen demand (BOD)"/>
    <m/>
    <n v="55"/>
    <n v="28"/>
    <n v="1.9642857142857142"/>
    <m/>
    <n v="2"/>
    <s v=""/>
    <s v=""/>
    <s v=""/>
    <s v=""/>
    <s v=""/>
    <s v=""/>
    <n v="1"/>
    <x v="4"/>
    <x v="61"/>
    <s v="Dilkes-Hoffman et al. 2019"/>
    <m/>
    <s v="ja "/>
    <s v="ja "/>
    <m/>
    <s v="biodegradable"/>
    <m/>
    <s v="nein"/>
    <s v="ja"/>
    <m/>
    <s v="Dichte von Rodion übernommen (Achtung: additives wurden bei der Dichte außer Acht gelassen)"/>
  </r>
  <r>
    <s v="PHB+"/>
    <s v="PHB (P3HB-co-10%4HB)"/>
    <s v="ja"/>
    <s v="Zusätze"/>
    <s v="Film"/>
    <n v="0.1"/>
    <s v="no value"/>
    <n v="1.26"/>
    <m/>
    <m/>
    <m/>
    <s v="(ja)"/>
    <s v="Meerwasser (aus einer Bucht, Labor)"/>
    <s v="Meerwasser"/>
    <s v="ja"/>
    <n v="25"/>
    <m/>
    <m/>
    <m/>
    <s v="aerob"/>
    <m/>
    <s v="Gewichtsverlust"/>
    <m/>
    <n v="70"/>
    <n v="28"/>
    <n v="2.5"/>
    <m/>
    <n v="2"/>
    <s v=""/>
    <s v=""/>
    <s v=""/>
    <s v=""/>
    <s v=""/>
    <s v=""/>
    <n v="1"/>
    <x v="4"/>
    <x v="61"/>
    <s v="Dilkes-Hoffman et al. 2019"/>
    <m/>
    <s v="ja "/>
    <s v="ja "/>
    <m/>
    <s v="biodegradable"/>
    <m/>
    <s v="nein"/>
    <s v="ja"/>
    <m/>
    <s v="Dichte von Rodion übernommen (Achtung: additives wurden bei der Dichte außer Acht gelassen)"/>
  </r>
  <r>
    <s v="PHB+"/>
    <s v="PHB (P3HB-co-10%4HB)"/>
    <s v="ja"/>
    <s v="Zusätze"/>
    <s v="Film"/>
    <n v="0.1"/>
    <s v="no value"/>
    <n v="1.26"/>
    <m/>
    <m/>
    <m/>
    <s v="(ja)"/>
    <s v="Meerwasser (aus einer Bucht, Labor)"/>
    <s v="Meerwasser"/>
    <s v="ja"/>
    <n v="25"/>
    <m/>
    <m/>
    <m/>
    <s v="aerob"/>
    <m/>
    <s v="biochemical oxygen demand (BOD)"/>
    <m/>
    <n v="51"/>
    <n v="28"/>
    <n v="1.8214285714285714"/>
    <m/>
    <n v="2"/>
    <s v=""/>
    <s v=""/>
    <s v=""/>
    <s v=""/>
    <s v=""/>
    <s v=""/>
    <n v="1"/>
    <x v="4"/>
    <x v="61"/>
    <s v="Dilkes-Hoffman et al. 2019"/>
    <m/>
    <s v="ja "/>
    <s v="ja "/>
    <m/>
    <s v="biodegradable"/>
    <m/>
    <s v="nein"/>
    <s v="ja"/>
    <m/>
    <s v="Dichte von Rodion übernommen (Achtung: additives wurden bei der Dichte außer Acht gelassen)"/>
  </r>
  <r>
    <s v="PHB+"/>
    <s v="PHB (P3HB-co-10%4HB)"/>
    <s v="ja"/>
    <s v="Zusätze"/>
    <s v="Film"/>
    <n v="0.1"/>
    <s v="no value"/>
    <n v="1.26"/>
    <m/>
    <m/>
    <m/>
    <s v="(ja)"/>
    <s v="Meerwasser (aus dem Ozean, Labor)"/>
    <s v="Meerwasser"/>
    <s v="ja"/>
    <n v="25"/>
    <m/>
    <m/>
    <m/>
    <s v="aerob"/>
    <m/>
    <s v="Gewichtsverlust"/>
    <m/>
    <n v="59"/>
    <n v="28"/>
    <n v="2.1071428571428572"/>
    <m/>
    <n v="2"/>
    <s v=""/>
    <s v=""/>
    <s v=""/>
    <s v=""/>
    <s v=""/>
    <s v=""/>
    <n v="1"/>
    <x v="4"/>
    <x v="61"/>
    <s v="Dilkes-Hoffman et al. 2019"/>
    <m/>
    <s v="ja "/>
    <s v="ja "/>
    <m/>
    <s v="biodegradable"/>
    <m/>
    <s v="nein"/>
    <s v="ja"/>
    <m/>
    <s v="Dichte von Rodion übernommen (Achtung: additives wurden bei der Dichte außer Acht gelassen)"/>
  </r>
  <r>
    <s v="PHB+"/>
    <s v="PHB (P3HB-co-10%4HB)"/>
    <s v="ja"/>
    <s v="Zusätze"/>
    <s v="Film"/>
    <n v="0.1"/>
    <s v="no value"/>
    <n v="1.26"/>
    <m/>
    <m/>
    <m/>
    <s v="(ja)"/>
    <s v="Meerwasser (aus dem Ozean, Labor)"/>
    <s v="Meerwasser"/>
    <s v="ja"/>
    <n v="25"/>
    <m/>
    <m/>
    <m/>
    <s v="aerob"/>
    <m/>
    <s v="biochemical oxygen demand (BOD)"/>
    <m/>
    <n v="43"/>
    <n v="28"/>
    <n v="1.5357142857142858"/>
    <m/>
    <n v="2"/>
    <s v=""/>
    <s v=""/>
    <s v=""/>
    <s v=""/>
    <s v=""/>
    <s v=""/>
    <n v="1"/>
    <x v="4"/>
    <x v="61"/>
    <s v="Dilkes-Hoffman et al. 2019"/>
    <m/>
    <s v="ja "/>
    <s v="ja "/>
    <m/>
    <s v="biodegradable"/>
    <m/>
    <s v="nein"/>
    <s v="ja"/>
    <m/>
    <s v="Dichte von Rodion übernommen (Achtung: additives wurden bei der Dichte außer Acht gelassen)"/>
  </r>
  <r>
    <s v="PHB+"/>
    <s v="PHB (P3HB-co-14%3HV)"/>
    <s v="ja"/>
    <s v="Zusätze"/>
    <s v="Film"/>
    <n v="0.1"/>
    <s v="no value"/>
    <n v="1.26"/>
    <m/>
    <m/>
    <m/>
    <s v="(ja)"/>
    <s v="Flusswasser (Labor)"/>
    <s v="Süßwasser"/>
    <s v="ja"/>
    <n v="25"/>
    <m/>
    <m/>
    <m/>
    <s v="aerob"/>
    <m/>
    <s v="Gewichtsverlust"/>
    <m/>
    <n v="100"/>
    <n v="28"/>
    <n v="3.5714285714285716"/>
    <m/>
    <n v="2"/>
    <s v=""/>
    <s v=""/>
    <s v=""/>
    <s v=""/>
    <s v=""/>
    <s v=""/>
    <n v="1"/>
    <x v="4"/>
    <x v="61"/>
    <s v="Dilkes-Hoffman et al. 2019"/>
    <m/>
    <s v="ja "/>
    <s v="ja "/>
    <m/>
    <s v="biodegradable"/>
    <m/>
    <s v="nein"/>
    <s v="ja"/>
    <m/>
    <s v="Dichte von Rodion übernommen (Achtung: additives wurden bei der Dichte außer Acht gelassen)"/>
  </r>
  <r>
    <s v="PHB+"/>
    <s v="PHB (P3HB-co-14%3HV)"/>
    <s v="ja"/>
    <s v="Zusätze"/>
    <s v="Film"/>
    <n v="0.1"/>
    <s v="no value"/>
    <n v="1.26"/>
    <m/>
    <m/>
    <m/>
    <s v="(ja)"/>
    <s v="Flusswasser (Labor)"/>
    <s v="Süßwasser"/>
    <s v="ja"/>
    <n v="25"/>
    <m/>
    <m/>
    <m/>
    <s v="aerob"/>
    <m/>
    <s v="biochemical oxygen demand (BOD)"/>
    <m/>
    <n v="76"/>
    <n v="28"/>
    <n v="2.7142857142857144"/>
    <m/>
    <n v="2"/>
    <s v=""/>
    <s v=""/>
    <s v=""/>
    <s v=""/>
    <s v=""/>
    <s v=""/>
    <n v="1"/>
    <x v="4"/>
    <x v="61"/>
    <s v="Dilkes-Hoffman et al. 2019"/>
    <m/>
    <s v="ja "/>
    <s v="ja "/>
    <m/>
    <s v="biodegradable"/>
    <m/>
    <s v="nein"/>
    <s v="ja"/>
    <m/>
    <s v="Dichte von Rodion übernommen (Achtung: additives wurden bei der Dichte außer Acht gelassen)"/>
  </r>
  <r>
    <s v="PHB+"/>
    <s v="PHB (P3HB-co-14%3HV)"/>
    <s v="ja"/>
    <s v="Zusätze"/>
    <s v="Film"/>
    <n v="0.1"/>
    <s v="no value"/>
    <n v="1.26"/>
    <m/>
    <m/>
    <m/>
    <s v="(ja)"/>
    <s v="Seewasser (Labor)"/>
    <s v="Süßwasser"/>
    <s v="ja"/>
    <n v="25"/>
    <m/>
    <m/>
    <m/>
    <s v="aerob"/>
    <m/>
    <s v="Gewichtsverlust"/>
    <m/>
    <n v="100"/>
    <n v="28"/>
    <n v="3.5714285714285716"/>
    <m/>
    <n v="2"/>
    <s v=""/>
    <s v=""/>
    <s v=""/>
    <s v=""/>
    <s v=""/>
    <s v=""/>
    <n v="1"/>
    <x v="4"/>
    <x v="61"/>
    <s v="Dilkes-Hoffman et al. 2019"/>
    <m/>
    <s v="ja "/>
    <s v="ja "/>
    <m/>
    <s v="biodegradable"/>
    <m/>
    <s v="nein"/>
    <s v="ja"/>
    <m/>
    <s v="Dichte von Rodion übernommen (Achtung: additives wurden bei der Dichte außer Acht gelassen)"/>
  </r>
  <r>
    <s v="PHB+"/>
    <s v="PHB (P3HB-co-14%3HV)"/>
    <s v="ja"/>
    <s v="Zusätze"/>
    <s v="Film"/>
    <n v="0.1"/>
    <s v="no value"/>
    <n v="1.26"/>
    <m/>
    <m/>
    <m/>
    <s v="(ja)"/>
    <s v="Seewasser (Labor)"/>
    <s v="Süßwasser"/>
    <s v="ja"/>
    <n v="25"/>
    <m/>
    <m/>
    <m/>
    <s v="aerob"/>
    <m/>
    <s v="biochemical oxygen demand (BOD)"/>
    <m/>
    <n v="71"/>
    <n v="28"/>
    <n v="2.5357142857142856"/>
    <m/>
    <n v="2"/>
    <s v=""/>
    <s v=""/>
    <s v=""/>
    <s v=""/>
    <s v=""/>
    <s v=""/>
    <n v="1"/>
    <x v="4"/>
    <x v="61"/>
    <s v="Dilkes-Hoffman et al. 2019"/>
    <m/>
    <s v="ja "/>
    <s v="ja "/>
    <m/>
    <s v="biodegradable"/>
    <m/>
    <s v="nein"/>
    <s v="ja"/>
    <m/>
    <s v="Dichte von Rodion übernommen (Achtung: additives wurden bei der Dichte außer Acht gelassen)"/>
  </r>
  <r>
    <s v="PHB+"/>
    <s v="PHB (P3HB-co-14%3HV)"/>
    <s v="ja"/>
    <s v="Zusätze"/>
    <s v="Film"/>
    <n v="0.1"/>
    <s v="no value"/>
    <n v="1.26"/>
    <m/>
    <m/>
    <m/>
    <s v="(ja)"/>
    <s v="Meerwasser (aus einer Bucht, Labor)"/>
    <s v="Meerwasser"/>
    <s v="ja"/>
    <n v="25"/>
    <m/>
    <m/>
    <m/>
    <s v="aerob"/>
    <m/>
    <s v="Gewichtsverlust"/>
    <m/>
    <n v="100"/>
    <n v="28"/>
    <n v="3.5714285714285716"/>
    <m/>
    <n v="2"/>
    <s v=""/>
    <s v=""/>
    <s v=""/>
    <s v=""/>
    <s v=""/>
    <s v=""/>
    <n v="1"/>
    <x v="4"/>
    <x v="61"/>
    <s v="Dilkes-Hoffman et al. 2019"/>
    <m/>
    <s v="ja "/>
    <s v="ja "/>
    <m/>
    <s v="biodegradable"/>
    <m/>
    <s v="nein"/>
    <s v="ja"/>
    <m/>
    <s v="Dichte von Rodion übernommen (Achtung: additives wurden bei der Dichte außer Acht gelassen)"/>
  </r>
  <r>
    <s v="PHB+"/>
    <s v="PHB (P3HB-co-14%3HV)"/>
    <s v="ja"/>
    <s v="Zusätze"/>
    <s v="Film"/>
    <n v="0.1"/>
    <s v="no value"/>
    <n v="1.26"/>
    <m/>
    <m/>
    <m/>
    <s v="(ja)"/>
    <s v="Meerwasser (aus einer Bucht, Labor)"/>
    <s v="Meerwasser"/>
    <s v="ja"/>
    <n v="25"/>
    <m/>
    <m/>
    <m/>
    <s v="aerob"/>
    <m/>
    <s v="biochemical oxygen demand (BOD)"/>
    <m/>
    <n v="84"/>
    <n v="28"/>
    <n v="3"/>
    <m/>
    <n v="2"/>
    <s v=""/>
    <s v=""/>
    <s v=""/>
    <s v=""/>
    <s v=""/>
    <s v=""/>
    <n v="1"/>
    <x v="4"/>
    <x v="61"/>
    <s v="Dilkes-Hoffman et al. 2019"/>
    <m/>
    <s v="ja "/>
    <s v="ja "/>
    <m/>
    <s v="biodegradable"/>
    <m/>
    <s v="nein"/>
    <s v="ja"/>
    <m/>
    <s v="Dichte von Rodion übernommen (Achtung: additives wurden bei der Dichte außer Acht gelassen)"/>
  </r>
  <r>
    <s v="PHB+"/>
    <s v="PHB (P3HB-co-14%3HV)"/>
    <s v="ja"/>
    <s v="Zusätze"/>
    <s v="Film"/>
    <n v="0.1"/>
    <s v="no value"/>
    <n v="1.26"/>
    <m/>
    <m/>
    <m/>
    <s v="(ja)"/>
    <s v="Meerwasser (aus dem Ozean, Labor)"/>
    <s v="Meerwasser"/>
    <s v="ja"/>
    <n v="25"/>
    <m/>
    <m/>
    <m/>
    <s v="aerob"/>
    <m/>
    <s v="Gewichtsverlust"/>
    <m/>
    <n v="100"/>
    <n v="28"/>
    <n v="3.5714285714285716"/>
    <m/>
    <n v="2"/>
    <s v=""/>
    <s v=""/>
    <s v=""/>
    <s v=""/>
    <s v=""/>
    <s v=""/>
    <n v="1"/>
    <x v="4"/>
    <x v="61"/>
    <s v="Dilkes-Hoffman et al. 2019"/>
    <m/>
    <s v="ja "/>
    <s v="ja "/>
    <m/>
    <s v="biodegradable"/>
    <m/>
    <s v="nein"/>
    <s v="ja"/>
    <m/>
    <s v="Dichte von Rodion übernommen (Achtung: additives wurden bei der Dichte außer Acht gelassen)"/>
  </r>
  <r>
    <s v="PHB+"/>
    <s v="PHB (P3HB-co-14%3HV)"/>
    <s v="ja"/>
    <s v="Zusätze"/>
    <s v="Film"/>
    <n v="0.1"/>
    <s v="no value"/>
    <n v="1.26"/>
    <m/>
    <m/>
    <m/>
    <s v="(ja)"/>
    <s v="Meerwasser (aus dem Ozean, Labor)"/>
    <s v="Meerwasser"/>
    <s v="ja"/>
    <n v="25"/>
    <m/>
    <m/>
    <m/>
    <s v="aerob"/>
    <m/>
    <s v="biochemical oxygen demand (BOD)"/>
    <m/>
    <n v="78"/>
    <n v="28"/>
    <n v="2.7857142857142856"/>
    <m/>
    <n v="2"/>
    <s v=""/>
    <s v=""/>
    <s v=""/>
    <s v=""/>
    <s v=""/>
    <s v=""/>
    <n v="1"/>
    <x v="4"/>
    <x v="61"/>
    <s v="Dilkes-Hoffman et al. 2019"/>
    <m/>
    <s v="ja "/>
    <s v="ja "/>
    <m/>
    <s v="biodegradable"/>
    <m/>
    <s v="nein"/>
    <s v="ja"/>
    <m/>
    <s v="Dichte von Rodion übernommen (Achtung: additives wurden bei der Dichte außer Acht gelassen)"/>
  </r>
  <r>
    <s v="PHB+"/>
    <s v="PHB/CAB (50/50%)"/>
    <s v="ja"/>
    <s v="Zusätze"/>
    <s v="Film"/>
    <s v="no value"/>
    <s v="no value"/>
    <n v="1.26"/>
    <s v="recovery of PHB from dried biomass was carried out by digestion method using sodium hypochlorite; Cellulose Acetate Butyrate (CAB) was used as blending agent"/>
    <m/>
    <s v="bacterium Cupriavidus necator (former Ralstonia eutropha)"/>
    <s v="nein"/>
    <s v="Boden (Labor)"/>
    <s v="Boden/Kompost"/>
    <s v="ja"/>
    <m/>
    <m/>
    <m/>
    <m/>
    <m/>
    <m/>
    <s v="Gewichtsverlust"/>
    <m/>
    <n v="31.5"/>
    <n v="180"/>
    <n v="0.17499999999999999"/>
    <m/>
    <n v="2"/>
    <s v=""/>
    <s v=""/>
    <s v=""/>
    <s v=""/>
    <s v=""/>
    <s v=""/>
    <n v="1"/>
    <x v="3"/>
    <x v="95"/>
    <s v="Plastik Leak Project"/>
    <m/>
    <s v="ja"/>
    <s v="ja"/>
    <m/>
    <m/>
    <m/>
    <s v="nein"/>
    <s v="ja"/>
    <m/>
    <s v="Dichte von Rodion übernommen (Achtung: additives wurden bei der Dichte außer Acht gelassen)"/>
  </r>
  <r>
    <s v="PLA"/>
    <s v="PLA"/>
    <s v="ja"/>
    <s v="Mikroorganismen"/>
    <s v="Strips"/>
    <n v="0.02"/>
    <n v="4.0000000000000002E-4"/>
    <s v="no value"/>
    <s v="PLA: Natureworks PLA (Cargill Dow)"/>
    <m/>
    <s v="Bakterien aus kommunaler Abwasseraufbereitungsanlage"/>
    <s v="nein"/>
    <s v="Wasser (Labor)"/>
    <s v="Labor"/>
    <s v="nein"/>
    <n v="30"/>
    <m/>
    <m/>
    <m/>
    <s v="aerob"/>
    <m/>
    <s v="biochemical oxygen demand (BOD)"/>
    <m/>
    <n v="3.7"/>
    <n v="28"/>
    <n v="0.13214285714285715"/>
    <m/>
    <n v="2"/>
    <s v=""/>
    <s v=""/>
    <s v=""/>
    <s v=""/>
    <s v=""/>
    <s v=""/>
    <n v="1"/>
    <x v="4"/>
    <x v="11"/>
    <s v="Emadian 2017"/>
    <m/>
    <s v="ja "/>
    <s v="ja "/>
    <m/>
    <m/>
    <m/>
    <s v="nein"/>
    <s v="ja"/>
    <m/>
    <m/>
  </r>
  <r>
    <s v="PBSeT"/>
    <s v="Polybutylene Sebacate-cobutylenterephtalate"/>
    <s v="nein"/>
    <m/>
    <s v="Film"/>
    <n v="2.5000000000000001E-2"/>
    <m/>
    <m/>
    <s v="Aliphatic-Aromatic polyester"/>
    <s v="Novamont Laboratory - KH2PO4 (0.1 g/L) and NH4Cl (0.05 g/L) were added to the seawaters (results from year 2 - Salamis)"/>
    <m/>
    <m/>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18"/>
    <n v="180"/>
    <n v="0.1"/>
    <m/>
    <n v="2"/>
    <n v="80000"/>
    <s v=""/>
    <n v="4.5625"/>
    <n v="1"/>
    <n v="4.5624999999999991"/>
    <s v="PBSeT_Meerwasser_nicht natürlich"/>
    <n v="1"/>
    <x v="6"/>
    <x v="52"/>
    <m/>
    <m/>
    <m/>
    <m/>
    <m/>
    <m/>
    <m/>
    <m/>
    <m/>
    <m/>
    <m/>
  </r>
  <r>
    <s v="PHBV"/>
    <s v="Poly (3-hydroxybutyrate-co- 3-hydroxyvalerate), PHBV"/>
    <s v="nein"/>
    <m/>
    <s v="no value"/>
    <s v="no value"/>
    <s v="no value"/>
    <n v="1.24"/>
    <m/>
    <m/>
    <m/>
    <s v="nein"/>
    <s v="inoculum made of farmland soil and mineral salt solution"/>
    <s v="Boden/Kompost"/>
    <s v="ja"/>
    <n v="30"/>
    <m/>
    <m/>
    <m/>
    <s v="aerob"/>
    <m/>
    <s v="CO2-Entwicklung"/>
    <m/>
    <n v="53.47"/>
    <n v="14"/>
    <n v="3.8192857142857144"/>
    <m/>
    <s v=""/>
    <s v=""/>
    <s v=""/>
    <s v=""/>
    <s v=""/>
    <s v=""/>
    <s v=""/>
    <n v="1"/>
    <x v="2"/>
    <x v="4"/>
    <s v="Plastik Leak Project"/>
    <s v="CB (März 2020)"/>
    <s v="ja"/>
    <s v="ja"/>
    <m/>
    <m/>
    <m/>
    <s v="nein"/>
    <s v="ja"/>
    <m/>
    <s v="Dichte von Rodion übernommen"/>
  </r>
  <r>
    <s v="PHBV"/>
    <s v="PHBV"/>
    <s v="nein"/>
    <m/>
    <s v="Film"/>
    <s v="no value"/>
    <s v="no value"/>
    <n v="1.24"/>
    <m/>
    <m/>
    <m/>
    <s v="ja"/>
    <s v="Meerwasser (Ostsee)"/>
    <s v="Wasser"/>
    <s v="ja"/>
    <s v="3,2 - 21,6"/>
    <n v="8.1999999999999993"/>
    <m/>
    <m/>
    <s v="aerob"/>
    <m/>
    <s v="Gewichtsverlust"/>
    <m/>
    <n v="60"/>
    <n v="42"/>
    <n v="1.4285714285714286"/>
    <m/>
    <n v="2"/>
    <s v=""/>
    <s v=""/>
    <s v=""/>
    <s v=""/>
    <s v=""/>
    <s v=""/>
    <n v="1"/>
    <x v="3"/>
    <x v="39"/>
    <m/>
    <m/>
    <s v="ja"/>
    <s v="ja"/>
    <m/>
    <m/>
    <m/>
    <s v="nein"/>
    <s v="ja"/>
    <m/>
    <s v="Dichte von Rodion übernommen"/>
  </r>
  <r>
    <s v="PHBV"/>
    <s v="PHBV-20 (20%mol HV)"/>
    <s v="nein"/>
    <m/>
    <s v="Film"/>
    <n v="4.0500000000000001E-2"/>
    <s v="no value"/>
    <n v="1.24"/>
    <m/>
    <s v="keine"/>
    <m/>
    <s v="nein"/>
    <s v="Kompost"/>
    <s v="Boden/Kompost"/>
    <s v="ja"/>
    <n v="58"/>
    <n v="8.1999999999999993"/>
    <m/>
    <m/>
    <s v="aerob"/>
    <m/>
    <s v="CO2-Entwicklung"/>
    <m/>
    <n v="89.3"/>
    <n v="110"/>
    <n v="0.81181818181818177"/>
    <m/>
    <n v="2"/>
    <s v=""/>
    <s v=""/>
    <s v=""/>
    <n v="1"/>
    <n v="60.003511363636356"/>
    <s v="PHBV_Boden/Kompost_nicht natürlich"/>
    <n v="1"/>
    <x v="7"/>
    <x v="90"/>
    <s v="Emadian 2017"/>
    <s v="CB (März 2020)"/>
    <s v="ja "/>
    <s v="ja"/>
    <m/>
    <m/>
    <m/>
    <s v="nein"/>
    <s v="ja"/>
    <m/>
    <s v="Thickness = 0,001-0,09mm; Dichte von Rodion übernommen"/>
  </r>
  <r>
    <s v="PHBV"/>
    <s v="PHBV-40 (40%mol HV)"/>
    <s v="nein"/>
    <m/>
    <s v="Film"/>
    <n v="4.0500000000000001E-2"/>
    <s v="no value"/>
    <n v="1.24"/>
    <m/>
    <s v="keine"/>
    <m/>
    <s v="nein"/>
    <s v="Kompost"/>
    <s v="Boden/Kompost"/>
    <s v="ja"/>
    <n v="58"/>
    <n v="8.1999999999999993"/>
    <m/>
    <m/>
    <s v="aerob"/>
    <m/>
    <s v="CO2-Entwicklung"/>
    <m/>
    <n v="90.5"/>
    <n v="110"/>
    <n v="0.82272727272727275"/>
    <m/>
    <n v="2"/>
    <s v=""/>
    <s v=""/>
    <s v=""/>
    <n v="1"/>
    <n v="60.809829545454541"/>
    <s v="PHBV_Boden/Kompost_nicht natürlich"/>
    <n v="1"/>
    <x v="7"/>
    <x v="90"/>
    <s v="Emadian 2017"/>
    <s v="CB (März 2020)"/>
    <s v="ja "/>
    <s v="ja"/>
    <m/>
    <m/>
    <m/>
    <s v="nein"/>
    <s v="ja"/>
    <m/>
    <s v="Thickness = 0,001-0,09mm; Dichte von Rodion übernommen"/>
  </r>
  <r>
    <s v="PHBV"/>
    <s v="PHBV"/>
    <s v="nein"/>
    <m/>
    <s v="Pellets"/>
    <s v="no value"/>
    <s v="no value"/>
    <n v="1.24"/>
    <s v="PHBV with a molar ratio ofHB to HV of92:8 and commercialized in pellet form under the name ENMAT Y1000P was supplied by Tianan Biological Materials Co. Ltd. (China)."/>
    <s v="PHBV pellets were dried at 50 C under vacuum for 24 h"/>
    <m/>
    <s v="ja"/>
    <s v="Meerwasser (im Meer)"/>
    <s v="Meerwasser"/>
    <s v="ja"/>
    <s v="7,7 - 20,6"/>
    <s v="7,9 - 8,5"/>
    <m/>
    <m/>
    <s v="aerob"/>
    <m/>
    <s v="Gewichtsverlust"/>
    <m/>
    <n v="8"/>
    <n v="365"/>
    <n v="2.1917808219178082E-2"/>
    <m/>
    <n v="6"/>
    <s v=""/>
    <s v=""/>
    <s v=""/>
    <s v=""/>
    <s v=""/>
    <s v=""/>
    <n v="1"/>
    <x v="3"/>
    <x v="98"/>
    <m/>
    <m/>
    <s v="ja "/>
    <s v="ja "/>
    <m/>
    <m/>
    <m/>
    <s v="nein"/>
    <s v="ja"/>
    <m/>
    <s v="Dichte von Rodion übernommen"/>
  </r>
  <r>
    <s v="PHBV"/>
    <s v="PHBV"/>
    <s v="nein"/>
    <m/>
    <s v="Pellets"/>
    <s v="no value"/>
    <s v="no value"/>
    <n v="1.24"/>
    <s v="PHBV with a molar ratio ofHB to HV of92:8 and commercialized in pellet form under the name ENMAT Y1000P was supplied by Tianan Biological Materials Co. Ltd. (China)."/>
    <s v="PHBV pellets were dried at 50 C under vacuum for 24 h"/>
    <m/>
    <s v="ja"/>
    <s v="Meerwasser (abgefüllt)"/>
    <s v="Meerwasser"/>
    <s v="ja"/>
    <n v="4"/>
    <s v="7,9 - 8,5"/>
    <m/>
    <m/>
    <s v="aerob"/>
    <m/>
    <s v="Gewichtsverlust"/>
    <m/>
    <n v="0"/>
    <n v="365"/>
    <n v="0"/>
    <m/>
    <n v="6"/>
    <s v=""/>
    <s v=""/>
    <s v=""/>
    <s v=""/>
    <s v=""/>
    <s v=""/>
    <n v="1"/>
    <x v="3"/>
    <x v="98"/>
    <m/>
    <m/>
    <s v="ja "/>
    <s v="ja "/>
    <m/>
    <m/>
    <m/>
    <s v="nein"/>
    <s v="ja"/>
    <m/>
    <s v="Dichte von Rodion übernommen"/>
  </r>
  <r>
    <s v="PHBV"/>
    <s v="PHBV"/>
    <s v="nein"/>
    <m/>
    <s v="Pellets"/>
    <s v="no value"/>
    <s v="no value"/>
    <n v="1.24"/>
    <s v="PHBV with a molar ratio ofHB to HV of92:8 and commercialized in pellet form under the name ENMAT Y1000P was supplied by Tianan Biological Materials Co. Ltd. (China)."/>
    <s v="PHBV pellets were dried at 50 C under vacuum for 24 h"/>
    <m/>
    <s v="ja"/>
    <s v="Meerwasser (abgefüllt)"/>
    <s v="Meerwasser"/>
    <s v="ja"/>
    <n v="25"/>
    <s v="7,9 - 8,5"/>
    <m/>
    <m/>
    <s v="aerob"/>
    <m/>
    <s v="Gewichtsverlust"/>
    <m/>
    <n v="1"/>
    <n v="365"/>
    <n v="2.7397260273972603E-3"/>
    <m/>
    <n v="6"/>
    <s v=""/>
    <s v=""/>
    <s v=""/>
    <s v=""/>
    <s v=""/>
    <s v=""/>
    <n v="1"/>
    <x v="3"/>
    <x v="98"/>
    <m/>
    <m/>
    <s v="ja "/>
    <s v="ja "/>
    <m/>
    <m/>
    <m/>
    <s v="nein"/>
    <s v="ja"/>
    <m/>
    <s v="Dichte von Rodion übernommen"/>
  </r>
  <r>
    <s v="PHBV"/>
    <s v="PHBV"/>
    <s v="nein"/>
    <m/>
    <s v="Pellets"/>
    <s v="no value"/>
    <s v="no value"/>
    <n v="1.24"/>
    <s v="PHBV with a molar ratio ofHB to HV of92:8 and commercialized in pellet form under the name ENMAT Y1000P was supplied by Tianan Biological Materials Co. Ltd. (China)."/>
    <s v="PHBV pellets were dried at 50 C under vacuum for 24 h"/>
    <m/>
    <s v="ja"/>
    <s v="Meerwasser (abgefüllt)"/>
    <s v="Meerwasser"/>
    <s v="ja"/>
    <n v="40"/>
    <s v="7,9 - 8,5"/>
    <m/>
    <m/>
    <s v="aerob"/>
    <m/>
    <s v="Gewichtsverlust"/>
    <m/>
    <n v="2"/>
    <n v="365"/>
    <n v="5.4794520547945206E-3"/>
    <m/>
    <n v="6"/>
    <s v=""/>
    <s v=""/>
    <s v=""/>
    <s v=""/>
    <s v=""/>
    <s v=""/>
    <n v="1"/>
    <x v="3"/>
    <x v="98"/>
    <m/>
    <m/>
    <s v="ja "/>
    <s v="ja "/>
    <m/>
    <m/>
    <m/>
    <s v="nein"/>
    <s v="ja"/>
    <m/>
    <s v="Dichte von Rodion übernommen"/>
  </r>
  <r>
    <s v="PHBV"/>
    <s v="PHBV-3 (3%mol HV)"/>
    <s v="nein"/>
    <m/>
    <s v="Film"/>
    <n v="4.0500000000000001E-2"/>
    <s v="no value"/>
    <n v="1.24"/>
    <m/>
    <s v="keine"/>
    <m/>
    <s v="nein"/>
    <s v="Kompost"/>
    <s v="Boden/Kompost"/>
    <s v="ja"/>
    <n v="58"/>
    <n v="8.1999999999999993"/>
    <m/>
    <m/>
    <s v="aerob"/>
    <m/>
    <s v="CO2-Entwicklung"/>
    <m/>
    <n v="80.2"/>
    <n v="110"/>
    <n v="0.72909090909090912"/>
    <m/>
    <n v="2"/>
    <s v=""/>
    <s v=""/>
    <s v=""/>
    <n v="1"/>
    <n v="53.888931818181817"/>
    <s v="PHBV_Boden/Kompost_nicht natürlich"/>
    <n v="1"/>
    <x v="7"/>
    <x v="90"/>
    <s v="Emadian 2017"/>
    <s v="CB (März 2020)"/>
    <s v="ja "/>
    <s v="ja"/>
    <m/>
    <m/>
    <m/>
    <s v="nein"/>
    <s v="ja"/>
    <m/>
    <s v="Thickness = 0,001-0,08mm; Dichte von Rodion übernommen"/>
  </r>
  <r>
    <s v="PHB"/>
    <s v="Polyhydroxyalkanoate Copolymer"/>
    <s v="ja"/>
    <s v="Zusätze"/>
    <s v="Film"/>
    <s v="0,0,9-0,1"/>
    <m/>
    <m/>
    <s v="Grade: Mirel™ P5001; it is a compound &gt; 70% PHB copolymer, plasticizer, fillers - Film 90-100 microns"/>
    <s v="OWS Laboratory - KH2PO4 (0.1 g/L) and NH4Cl (0.05 g/L) were added to the seawaters (results from year 2 - Elba)"/>
    <s v="nein"/>
    <s v="(ja)"/>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74.7"/>
    <n v="180"/>
    <n v="0.41500000000000004"/>
    <m/>
    <n v="2"/>
    <s v=""/>
    <s v=""/>
    <s v=""/>
    <s v=""/>
    <s v=""/>
    <s v=""/>
    <n v="1"/>
    <x v="4"/>
    <x v="52"/>
    <m/>
    <m/>
    <m/>
    <m/>
    <m/>
    <m/>
    <m/>
    <m/>
    <m/>
    <m/>
    <m/>
  </r>
  <r>
    <s v="PHB"/>
    <s v="Polyhydroxyalkanoate Copolymer"/>
    <s v="ja"/>
    <s v="Zusätze"/>
    <s v="Film"/>
    <s v="0,0,9-0,1"/>
    <m/>
    <m/>
    <s v="Grade: Mirel™ P5001; it is a compound &gt; 70% PHB copolymer, plasticizer, fillers - Film 90-100 microns"/>
    <s v="AUA Laboratory - KH2PO4 (0.1 g/L) and NH4Cl (0.05 g/L) were added to the seawaters (results from year 2 - Salamis)"/>
    <m/>
    <m/>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97.2"/>
    <n v="120"/>
    <n v="0.81"/>
    <m/>
    <n v="2"/>
    <s v=""/>
    <s v=""/>
    <s v=""/>
    <s v=""/>
    <s v=""/>
    <s v=""/>
    <n v="1"/>
    <x v="4"/>
    <x v="52"/>
    <m/>
    <m/>
    <m/>
    <m/>
    <m/>
    <m/>
    <m/>
    <m/>
    <m/>
    <m/>
    <m/>
  </r>
  <r>
    <s v="PHBV"/>
    <s v="PHBV"/>
    <s v="nein"/>
    <m/>
    <s v="Strips"/>
    <n v="0.17099999999999999"/>
    <n v="1.6129E-3"/>
    <n v="1.24"/>
    <s v="valerate content by weight: 5%; contained 1% by weight of a proprietary nucleating agent"/>
    <s v="polymer films were incubated in sterilized seawater for 96 h."/>
    <s v="keine"/>
    <s v="nein"/>
    <s v="Meerwasser"/>
    <s v="Meerwasser"/>
    <s v="ja"/>
    <n v="21"/>
    <m/>
    <m/>
    <m/>
    <m/>
    <s v="ruhend"/>
    <s v="Gewichtsverlust"/>
    <m/>
    <n v="99"/>
    <n v="49"/>
    <n v="2.0204081632653059"/>
    <m/>
    <n v="2"/>
    <s v=""/>
    <s v=""/>
    <s v=""/>
    <n v="1"/>
    <n v="630.5188775510203"/>
    <s v="PHBV_Meerwasser_nicht natürlich"/>
    <n v="1"/>
    <x v="7"/>
    <x v="94"/>
    <s v="Dilkes-Hoffman et al. 2019; Plastic Leak Project"/>
    <m/>
    <s v="ja"/>
    <s v="ja"/>
    <m/>
    <m/>
    <m/>
    <s v="nein"/>
    <s v="ja"/>
    <m/>
    <s v="Thickness = 0,152-0,19mm; Dichte von Rodion übernommen"/>
  </r>
  <r>
    <s v="PHBV"/>
    <s v="PHBV"/>
    <s v="nein"/>
    <m/>
    <s v="Film"/>
    <n v="0.17099999999999999"/>
    <s v="no value"/>
    <n v="1.24"/>
    <s v="valerate content by weight: 8%; contained 1% by weight of a proprietary nucleating agent"/>
    <s v="polymer films were incubated in sterilized seawater for 96 h."/>
    <s v="keine"/>
    <s v="nein"/>
    <s v="Meerwasser"/>
    <s v="Meerwasser"/>
    <s v="ja"/>
    <s v="12-22"/>
    <s v="7,9-8,1"/>
    <m/>
    <m/>
    <m/>
    <s v="dynamisch"/>
    <s v="Gewichtsverlust"/>
    <m/>
    <n v="30"/>
    <n v="90"/>
    <n v="0.33333333333333331"/>
    <m/>
    <n v="2"/>
    <s v=""/>
    <s v=""/>
    <s v=""/>
    <n v="1"/>
    <n v="104.02499999999999"/>
    <s v="PHBV_Meerwasser_nicht natürlich"/>
    <n v="1"/>
    <x v="7"/>
    <x v="94"/>
    <s v="Dilkes-Hoffman et al. 2019; Plastic Leak Project"/>
    <m/>
    <s v="ja"/>
    <s v="ja"/>
    <m/>
    <m/>
    <m/>
    <s v="nein"/>
    <s v="ja"/>
    <m/>
    <s v="Thickness = 0,152-0,19mm; Dichte von Rodion übernommen"/>
  </r>
  <r>
    <s v="PHBV"/>
    <s v="PHBV"/>
    <s v="ja"/>
    <s v="Mikroorganismen"/>
    <s v="Film"/>
    <n v="0.17099999999999999"/>
    <s v="no value"/>
    <n v="1.24"/>
    <s v="valerate content by weight: 5%; contained 1% by weight of a proprietary nucleating agent"/>
    <m/>
    <s v="13 marine microorganisms"/>
    <s v="nein"/>
    <s v="Meerwasser (Labor)"/>
    <s v="Meerwasser"/>
    <s v="ja"/>
    <n v="30"/>
    <m/>
    <m/>
    <m/>
    <m/>
    <m/>
    <s v="CO2-Entwicklung"/>
    <m/>
    <n v="95"/>
    <n v="100"/>
    <n v="0.95"/>
    <m/>
    <n v="2"/>
    <s v=""/>
    <s v=""/>
    <s v=""/>
    <s v=""/>
    <s v=""/>
    <s v=""/>
    <n v="1"/>
    <x v="4"/>
    <x v="94"/>
    <s v="Dilkes-Hoffman et al. 2019; Plastic Leak Project"/>
    <s v="CB (März 2020)"/>
    <s v="ja"/>
    <s v="ja"/>
    <m/>
    <m/>
    <m/>
    <s v="nein"/>
    <s v="ja"/>
    <m/>
    <s v="Thickness = 0,152-0,19mm; Dichte von Rodion übernommen"/>
  </r>
  <r>
    <s v="PHBV"/>
    <s v="PHBV"/>
    <s v="ja"/>
    <s v="Mikroorganismen"/>
    <s v="Film"/>
    <n v="0.17099999999999999"/>
    <s v="no value"/>
    <n v="1.24"/>
    <s v="valerate content by weight: 8%; contained 1% by weight of a proprietary nucleating agent"/>
    <m/>
    <s v="13 marine microorganisms"/>
    <s v="nein"/>
    <s v="Meerwasser (Labor)"/>
    <s v="Meerwasser"/>
    <s v="ja"/>
    <n v="30"/>
    <m/>
    <m/>
    <m/>
    <m/>
    <m/>
    <s v="CO2-Entwicklung"/>
    <m/>
    <n v="98"/>
    <n v="100"/>
    <n v="0.98"/>
    <m/>
    <n v="2"/>
    <s v=""/>
    <s v=""/>
    <s v=""/>
    <s v=""/>
    <s v=""/>
    <s v=""/>
    <n v="1"/>
    <x v="4"/>
    <x v="94"/>
    <s v="Dilkes-Hoffman et al. 2019; Plastic Leak Project"/>
    <s v="CB (März 2020)"/>
    <s v="ja"/>
    <s v="ja"/>
    <m/>
    <m/>
    <m/>
    <s v="nein"/>
    <s v="ja"/>
    <m/>
    <s v="Thickness = 0,152-0,19mm; Dichte von Rodion übernommen"/>
  </r>
  <r>
    <s v="PHBV"/>
    <s v="PHBV"/>
    <s v="ja"/>
    <s v="Mikroorganismen"/>
    <s v="Film"/>
    <n v="0.17099999999999999"/>
    <s v="no value"/>
    <n v="1.24"/>
    <s v="valerate content by weight: 12%; contained 1% by weight of a proprietary nucleating agent"/>
    <m/>
    <s v="13 marine microorganisms"/>
    <s v="nein"/>
    <s v="Meerwasser (Labor)"/>
    <s v="Meerwasser"/>
    <s v="ja"/>
    <n v="30"/>
    <m/>
    <m/>
    <m/>
    <m/>
    <m/>
    <s v="CO2-Entwicklung"/>
    <m/>
    <n v="85"/>
    <n v="100"/>
    <n v="0.85"/>
    <m/>
    <n v="2"/>
    <s v=""/>
    <s v=""/>
    <s v=""/>
    <s v=""/>
    <s v=""/>
    <s v=""/>
    <n v="1"/>
    <x v="4"/>
    <x v="94"/>
    <s v="Dilkes-Hoffman et al. 2019; Plastic Leak Project"/>
    <s v="CB (März 2020)"/>
    <s v="ja"/>
    <s v="ja"/>
    <m/>
    <m/>
    <m/>
    <s v="nein"/>
    <s v="ja"/>
    <m/>
    <s v="Thickness = 0,152-0,19mm; Dichte von Rodion übernommen"/>
  </r>
  <r>
    <s v="PLA"/>
    <s v="PLA"/>
    <s v="ja"/>
    <s v="Mikroorganismen"/>
    <s v="Strips"/>
    <n v="0.02"/>
    <n v="4.0000000000000002E-4"/>
    <s v="no value"/>
    <s v="PLA: Natureworks PLA (Cargill Dow)"/>
    <m/>
    <s v="Bakterien aus kommunaler Abwasseraufbereitungsanlage"/>
    <s v="nein"/>
    <s v="Wasser (Labor)"/>
    <s v="Labor"/>
    <s v="nein"/>
    <n v="30"/>
    <m/>
    <m/>
    <m/>
    <s v="anaerob"/>
    <m/>
    <s v="Gewichtsverlust"/>
    <m/>
    <n v="0"/>
    <n v="28"/>
    <n v="0"/>
    <m/>
    <n v="2"/>
    <s v=""/>
    <s v=""/>
    <s v=""/>
    <s v=""/>
    <s v=""/>
    <s v=""/>
    <n v="1"/>
    <x v="4"/>
    <x v="11"/>
    <s v="Emadian 2017"/>
    <s v="CB (März 2020)"/>
    <s v="ja "/>
    <s v="ja "/>
    <m/>
    <m/>
    <m/>
    <s v="nein"/>
    <s v="ja"/>
    <m/>
    <m/>
  </r>
  <r>
    <s v="PHB"/>
    <s v="Polyhydroxyalkanoate Copolymer"/>
    <s v="ja"/>
    <s v="Zusätze"/>
    <s v="Film"/>
    <s v="0,0,9-0,1"/>
    <m/>
    <m/>
    <s v="Grade: Mirel™ P5001; it is a compound &gt; 70% PHB copolymer, plasticizer, fillers - Film 90-100 microns"/>
    <s v="Novamont Laboratory - KH2PO4 (0.1 g/L) and NH4Cl (0.05 g/L) were added to the seawaters (results from year 2 - Salamis)"/>
    <m/>
    <m/>
    <s v="seawater was collected at Salamina Island (Greece). An uniform sample of seawater was collected at a depth of 15-20 m; the biodegradation of plastic was tested after milling and dispersing the test materials in seawater. _x000a_"/>
    <s v="Meerwasser"/>
    <s v="ja"/>
    <s v="20-28"/>
    <s v="7.8-8.3"/>
    <m/>
    <m/>
    <m/>
    <s v="bewegt"/>
    <s v="CO2-Entwicklung"/>
    <m/>
    <n v="68.7"/>
    <n v="180"/>
    <n v="0.38166666666666671"/>
    <m/>
    <n v="2"/>
    <s v=""/>
    <s v=""/>
    <s v=""/>
    <s v=""/>
    <s v=""/>
    <s v=""/>
    <n v="1"/>
    <x v="4"/>
    <x v="52"/>
    <m/>
    <m/>
    <m/>
    <m/>
    <m/>
    <m/>
    <m/>
    <m/>
    <m/>
    <m/>
    <m/>
  </r>
  <r>
    <s v="PBSe"/>
    <s v="Polybutylene Sebacate"/>
    <s v="nein"/>
    <m/>
    <s v="Film"/>
    <n v="2.5000000000000001E-2"/>
    <m/>
    <m/>
    <s v="Aliphatic polyester Film 25 microns"/>
    <s v="OWS Laboratory - KH2PO4 (0.1 g/L) and NH4Cl (0.05 g/L) were added to the seawaters (results from year 2 - Elba)"/>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54.4"/>
    <n v="313"/>
    <n v="0.17380191693290734"/>
    <m/>
    <n v="2"/>
    <n v="80000"/>
    <s v=""/>
    <n v="7.9297124600638966"/>
    <n v="1"/>
    <n v="7.9297124600638966"/>
    <s v="PBSe_Benthic_natürlich"/>
    <n v="1"/>
    <x v="6"/>
    <x v="52"/>
    <m/>
    <m/>
    <m/>
    <m/>
    <m/>
    <m/>
    <m/>
    <m/>
    <m/>
    <m/>
    <m/>
  </r>
  <r>
    <s v="PHBV"/>
    <s v="PHBV"/>
    <s v="ja"/>
    <s v="Mikroorganismen"/>
    <s v="Strips"/>
    <n v="0.1"/>
    <n v="8.9999999999999998E-4"/>
    <n v="1.24"/>
    <m/>
    <s v="sterilized by exposing each film surface for 15 min to UV-irradiation using an UV lamp"/>
    <s v="‘Methane sludge’: sludge collected from an anaerobic laboratory reactor fed with waste water from sugar industry_x000a_"/>
    <s v="nein"/>
    <s v="methane sludge"/>
    <s v="Boden/Kompost"/>
    <s v="ja"/>
    <n v="37"/>
    <n v="7"/>
    <m/>
    <m/>
    <s v="anaerob"/>
    <m/>
    <s v="Gewichtsverlust"/>
    <m/>
    <n v="22.5"/>
    <n v="70"/>
    <n v="0.32142857142857145"/>
    <m/>
    <n v="2"/>
    <s v=""/>
    <s v=""/>
    <s v=""/>
    <s v=""/>
    <s v=""/>
    <s v=""/>
    <n v="1"/>
    <x v="4"/>
    <x v="65"/>
    <s v="Chamas et al. 2020"/>
    <s v="CG (Mai 2020)"/>
    <m/>
    <m/>
    <m/>
    <m/>
    <m/>
    <s v="ja"/>
    <s v="ja"/>
    <m/>
    <s v="Dichte von Rodion übernommen"/>
  </r>
  <r>
    <s v="PLA"/>
    <s v="PLA "/>
    <s v="nein"/>
    <m/>
    <s v="Coupon"/>
    <n v="0.2"/>
    <n v="0.12566370614359174"/>
    <s v="no value"/>
    <s v="precast food containers produced from semi crystalline PLA resins"/>
    <s v="sterilized with 70% ethanol"/>
    <s v="Soil"/>
    <s v="nein"/>
    <s v="Soil (Labor)"/>
    <s v="Boden/Kompost"/>
    <s v="ja"/>
    <n v="45"/>
    <n v="7.1"/>
    <m/>
    <m/>
    <m/>
    <m/>
    <s v="Gewichtsverlust"/>
    <m/>
    <n v="50"/>
    <n v="63"/>
    <n v="0.79365079365079361"/>
    <m/>
    <n v="2"/>
    <s v=""/>
    <s v=""/>
    <s v=""/>
    <n v="1"/>
    <n v="289.68253968253964"/>
    <s v="PLA_Boden/Kompost_nicht natürlich"/>
    <n v="1"/>
    <x v="7"/>
    <x v="99"/>
    <s v="Chamas et al. 2020"/>
    <s v="sflo (4.12.2019)"/>
    <s v="ja"/>
    <s v="ja"/>
    <m/>
    <m/>
    <m/>
    <s v="ja"/>
    <s v="ja"/>
    <m/>
    <m/>
  </r>
  <r>
    <s v="PLA"/>
    <s v="PLA "/>
    <s v="nein"/>
    <m/>
    <s v="Coupon"/>
    <n v="0.2"/>
    <n v="0.12566370614359174"/>
    <s v="no value"/>
    <s v="precast food containers produced from semi crystalline PLA resins"/>
    <s v="sterilized with 70% ethanol"/>
    <s v="Soil"/>
    <s v="nein"/>
    <s v="Soil (Labor)"/>
    <s v="Boden/Kompost"/>
    <s v="ja"/>
    <n v="50"/>
    <n v="7.1"/>
    <m/>
    <m/>
    <m/>
    <m/>
    <s v="Gewichtsverlust"/>
    <m/>
    <n v="3"/>
    <n v="30"/>
    <n v="0.1"/>
    <m/>
    <n v="2"/>
    <s v=""/>
    <s v=""/>
    <s v=""/>
    <n v="1"/>
    <n v="36.500000000000036"/>
    <s v="PLA_Boden/Kompost_nicht natürlich"/>
    <n v="1"/>
    <x v="7"/>
    <x v="99"/>
    <s v="Chamas et al. 2020"/>
    <s v="sflo (4.12.2019)"/>
    <s v="ja"/>
    <s v="ja"/>
    <m/>
    <m/>
    <m/>
    <s v="ja"/>
    <s v="ja"/>
    <m/>
    <m/>
  </r>
  <r>
    <s v="PLA"/>
    <s v="PLA "/>
    <s v="nein"/>
    <m/>
    <s v="Coupon"/>
    <n v="0.2"/>
    <n v="0.12566370614359174"/>
    <s v="no value"/>
    <s v="precast food containers produced from semi crystalline PLA resins"/>
    <s v="sterilized with 70% ethanol"/>
    <s v="Compost"/>
    <s v="nein"/>
    <s v="Compost (labor)"/>
    <s v="Boden/Kompost"/>
    <s v="ja"/>
    <n v="37"/>
    <n v="7.2"/>
    <m/>
    <m/>
    <m/>
    <m/>
    <s v="Gewichtsverlust"/>
    <m/>
    <n v="20"/>
    <n v="365"/>
    <n v="5.4794520547945202E-2"/>
    <m/>
    <n v="2"/>
    <s v=""/>
    <s v=""/>
    <s v=""/>
    <n v="1"/>
    <n v="20"/>
    <s v="PLA_Boden/Kompost_nicht natürlich"/>
    <n v="1"/>
    <x v="7"/>
    <x v="99"/>
    <s v="Chamas et al. 2020"/>
    <s v="sflo (4.12.2019)"/>
    <s v="ja"/>
    <s v="ja"/>
    <m/>
    <m/>
    <m/>
    <s v="ja"/>
    <s v="ja"/>
    <m/>
    <m/>
  </r>
  <r>
    <s v="PLA"/>
    <s v="PLA "/>
    <s v="nein"/>
    <m/>
    <s v="Coupon"/>
    <n v="0.2"/>
    <n v="0.12566370614359174"/>
    <s v="no value"/>
    <s v="precast food containers produced from semi crystalline PLA resins"/>
    <s v="sterilized with 70% ethanol"/>
    <s v="Compost"/>
    <s v="nein"/>
    <s v="Compost (labor)"/>
    <s v="Boden/Kompost"/>
    <s v="ja"/>
    <n v="45"/>
    <n v="7.2"/>
    <m/>
    <m/>
    <m/>
    <m/>
    <s v="Gewichtsverlust"/>
    <m/>
    <n v="57"/>
    <n v="63"/>
    <n v="0.90476190476190477"/>
    <m/>
    <n v="2"/>
    <s v=""/>
    <s v=""/>
    <s v=""/>
    <n v="1"/>
    <n v="330.23809523809518"/>
    <s v="PLA_Boden/Kompost_nicht natürlich"/>
    <n v="1"/>
    <x v="7"/>
    <x v="99"/>
    <s v="Chamas et al. 2020"/>
    <s v="sflo (4.12.2019)"/>
    <s v="ja"/>
    <s v="ja"/>
    <m/>
    <m/>
    <m/>
    <s v="ja"/>
    <s v="ja"/>
    <m/>
    <m/>
  </r>
  <r>
    <s v="PLA"/>
    <s v="PLA "/>
    <s v="nein"/>
    <m/>
    <s v="Coupon"/>
    <n v="0.2"/>
    <n v="0.12566370614359174"/>
    <s v="no value"/>
    <s v="precast food containers produced from semi crystalline PLA resins"/>
    <s v="sterilized with 70% ethanol"/>
    <s v="Compost"/>
    <s v="nein"/>
    <s v="Compost (labor)"/>
    <s v="Boden/Kompost"/>
    <s v="ja"/>
    <n v="50"/>
    <n v="7.2"/>
    <m/>
    <m/>
    <m/>
    <m/>
    <s v="Gewichtsverlust"/>
    <m/>
    <n v="44"/>
    <n v="35"/>
    <n v="1.2571428571428571"/>
    <m/>
    <n v="2"/>
    <s v=""/>
    <s v=""/>
    <s v=""/>
    <n v="1"/>
    <n v="458.85714285714283"/>
    <s v="PLA_Boden/Kompost_nicht natürlich"/>
    <n v="1"/>
    <x v="7"/>
    <x v="99"/>
    <s v="Chamas et al. 2020"/>
    <s v="sflo (4.12.2019)"/>
    <s v="ja"/>
    <s v="ja"/>
    <m/>
    <m/>
    <m/>
    <s v="ja"/>
    <s v="ja"/>
    <m/>
    <m/>
  </r>
  <r>
    <s v="PLA"/>
    <s v="PLA "/>
    <s v="nein"/>
    <m/>
    <s v="Coupon"/>
    <n v="0.2"/>
    <n v="0.12566370614359174"/>
    <s v="no value"/>
    <s v="precast food containers produced from semi crystalline PLA resins"/>
    <s v="sterilized with 70% ethanol"/>
    <s v="Soil"/>
    <s v="nein"/>
    <s v="Soil (Labor)"/>
    <s v="Boden/Kompost"/>
    <s v="ja"/>
    <n v="37"/>
    <n v="7.1"/>
    <m/>
    <m/>
    <m/>
    <m/>
    <s v="Gewichtsverlust"/>
    <m/>
    <n v="0"/>
    <n v="365"/>
    <n v="0"/>
    <m/>
    <n v="2"/>
    <s v=""/>
    <s v=""/>
    <s v=""/>
    <n v="1"/>
    <n v="0"/>
    <s v="PLA_Boden/Kompost_nicht natürlich"/>
    <n v="1"/>
    <x v="7"/>
    <x v="99"/>
    <s v="Chamas et al. 2020"/>
    <s v="sflo (4.12.2019)"/>
    <s v="ja"/>
    <s v="ja"/>
    <m/>
    <m/>
    <m/>
    <s v="ja"/>
    <s v="ja"/>
    <m/>
    <m/>
  </r>
  <r>
    <s v="PLA+"/>
    <s v="PLA/PHB (75/25%)-ATBC"/>
    <s v="ja"/>
    <s v="Zusätze"/>
    <s v="Strips"/>
    <n v="0.2"/>
    <n v="8.9999999999999998E-4"/>
    <s v="no value"/>
    <s v="PLA by NatureWorks LLC, PHB by Biomer, PEG and ATBC by Sigma-Aldrich"/>
    <s v="PLA dried overnight (80°C); PHB treated at 40°C for 4 h"/>
    <m/>
    <s v="nein"/>
    <s v="synthetisches Material mit Kompost"/>
    <s v="Labor"/>
    <s v="nein"/>
    <n v="58"/>
    <m/>
    <m/>
    <m/>
    <m/>
    <m/>
    <s v="Gewichtsverlust"/>
    <m/>
    <n v="100"/>
    <n v="28"/>
    <n v="3.5714285714285716"/>
    <m/>
    <n v="2"/>
    <s v=""/>
    <s v=""/>
    <s v=""/>
    <s v=""/>
    <s v=""/>
    <s v=""/>
    <n v="1"/>
    <x v="4"/>
    <x v="96"/>
    <s v="Emadian 2017"/>
    <m/>
    <s v="ja"/>
    <s v="ja"/>
    <m/>
    <m/>
    <m/>
    <s v="nein"/>
    <s v="ja"/>
    <m/>
    <m/>
  </r>
  <r>
    <s v="PLA"/>
    <s v="Poly (lactic acid), PLA"/>
    <s v="nein"/>
    <m/>
    <s v="no value"/>
    <s v="no value"/>
    <s v="no value"/>
    <s v="no value"/>
    <m/>
    <m/>
    <m/>
    <s v="nein"/>
    <s v="inoculum made of farmland soil and mineral salt solution"/>
    <s v="Labor"/>
    <s v="nein"/>
    <n v="30"/>
    <m/>
    <m/>
    <m/>
    <s v="aerob"/>
    <m/>
    <s v="CO2-Entwicklung"/>
    <m/>
    <n v="0.97"/>
    <n v="14"/>
    <n v="6.9285714285714284E-2"/>
    <m/>
    <s v=""/>
    <s v=""/>
    <s v=""/>
    <s v=""/>
    <s v=""/>
    <s v=""/>
    <s v=""/>
    <n v="1"/>
    <x v="2"/>
    <x v="4"/>
    <s v="Plastik Leak Project"/>
    <s v="CB (März 2020)"/>
    <s v="ja"/>
    <s v="ja"/>
    <m/>
    <m/>
    <m/>
    <s v="nein"/>
    <s v="ja"/>
    <m/>
    <m/>
  </r>
  <r>
    <s v="PLA"/>
    <s v="PLA"/>
    <s v="nein"/>
    <m/>
    <s v="Strips"/>
    <s v="no value"/>
    <n v="2.5000000000000001E-5"/>
    <n v="1.25"/>
    <s v="flower pots"/>
    <s v="dried at 80°C for 18h"/>
    <s v="keine"/>
    <s v="nein"/>
    <s v="Kompost (Labor)"/>
    <s v="Boden/Kompost"/>
    <s v="ja"/>
    <n v="58"/>
    <m/>
    <m/>
    <m/>
    <m/>
    <m/>
    <s v="CO2-Entwicklung"/>
    <m/>
    <n v="13"/>
    <n v="60"/>
    <n v="0.21666666666666667"/>
    <m/>
    <n v="2"/>
    <s v=""/>
    <s v=""/>
    <s v=""/>
    <s v=""/>
    <s v=""/>
    <s v=""/>
    <n v="1"/>
    <x v="3"/>
    <x v="0"/>
    <s v="Emadian 2017"/>
    <m/>
    <s v="ja "/>
    <m/>
    <m/>
    <m/>
    <m/>
    <s v="nein"/>
    <s v="ja"/>
    <m/>
    <m/>
  </r>
  <r>
    <s v="PLA+"/>
    <s v="PLA/PHB (75/25%)-PEG"/>
    <s v="ja"/>
    <s v="Zusätze"/>
    <s v="Strips"/>
    <n v="0.2"/>
    <n v="8.9999999999999998E-4"/>
    <s v="no value"/>
    <s v="PLA by NatureWorks LLC, PHB by Biomer, PEG and ATBC by Sigma-Aldrich"/>
    <s v="PLA dried overnight (80°C); PHB treated at 40°C for 4 h"/>
    <m/>
    <s v="nein"/>
    <s v="synthetisches Material mit Kompost"/>
    <s v="Labor"/>
    <s v="nein"/>
    <n v="58"/>
    <m/>
    <m/>
    <m/>
    <m/>
    <m/>
    <s v="Gewichtsverlust"/>
    <m/>
    <n v="100"/>
    <n v="35"/>
    <n v="2.8571428571428572"/>
    <m/>
    <n v="2"/>
    <s v=""/>
    <s v=""/>
    <s v=""/>
    <s v=""/>
    <s v=""/>
    <s v=""/>
    <n v="1"/>
    <x v="4"/>
    <x v="96"/>
    <s v="Emadian 2017"/>
    <s v="CB (März 2020)"/>
    <s v="ja"/>
    <s v="ja"/>
    <m/>
    <m/>
    <m/>
    <s v="nein"/>
    <s v="ja"/>
    <m/>
    <m/>
  </r>
  <r>
    <s v="PLA"/>
    <s v="PLA"/>
    <s v="nein"/>
    <m/>
    <s v="Strips"/>
    <n v="0.03"/>
    <n v="1.1999999999999999E-3"/>
    <s v="no value"/>
    <s v="Two different grades of PLA from NatureWorks were used in this study (PLA8302D/amorphous aPLA and PLA2002D/ semicrystalline cPLA)_x000a_"/>
    <s v="biocomposite films were cut into rectangular shapes and dried at 50-63°C overnight"/>
    <m/>
    <s v="nein"/>
    <s v="Kompost"/>
    <s v="Boden/Kompost"/>
    <s v="ja"/>
    <n v="58"/>
    <m/>
    <n v="60"/>
    <m/>
    <s v="aerob"/>
    <m/>
    <s v="Gewichtsverlust"/>
    <m/>
    <n v="60"/>
    <n v="30"/>
    <n v="2"/>
    <m/>
    <n v="2"/>
    <s v=""/>
    <s v=""/>
    <s v=""/>
    <n v="1"/>
    <n v="109.5"/>
    <s v="PLA_Boden/Kompost_nicht natürlich"/>
    <n v="1"/>
    <x v="7"/>
    <x v="100"/>
    <s v="Emadian 2017"/>
    <m/>
    <s v="ja"/>
    <s v="ja"/>
    <m/>
    <m/>
    <m/>
    <s v="nein"/>
    <s v="ja"/>
    <m/>
    <m/>
  </r>
  <r>
    <s v="PLA"/>
    <s v="PLA"/>
    <s v="nein"/>
    <m/>
    <s v="Strips"/>
    <n v="1"/>
    <n v="2.0000000000000004E-2"/>
    <s v="no value"/>
    <m/>
    <s v="extruded, milled, dried, compression molded (180°C)"/>
    <m/>
    <s v="nein"/>
    <s v="Meerwasser (Labor Aquarium), UV Beleuchtung"/>
    <s v="Meerwasser"/>
    <s v="ja"/>
    <s v="22-25"/>
    <s v="7,9-8,5"/>
    <m/>
    <m/>
    <m/>
    <m/>
    <s v="Gewichtsverlust"/>
    <m/>
    <n v="2.5"/>
    <n v="540"/>
    <n v="4.6296296296296294E-3"/>
    <m/>
    <n v="2"/>
    <s v=""/>
    <s v=""/>
    <s v=""/>
    <n v="1"/>
    <n v="8.4490740740740815"/>
    <s v="PLA_Meerwasser_nicht natürlich"/>
    <n v="1"/>
    <x v="7"/>
    <x v="101"/>
    <s v="Chamas et al. 2020"/>
    <s v="sflo (4.12.2019)"/>
    <s v="ja"/>
    <s v="ja"/>
    <m/>
    <m/>
    <m/>
    <s v="ja"/>
    <s v="ja"/>
    <m/>
    <m/>
  </r>
  <r>
    <s v="PLA+"/>
    <s v="PLA-ATBC"/>
    <s v="ja"/>
    <s v="Zusätze"/>
    <s v="Strips"/>
    <n v="0.2"/>
    <n v="8.9999999999999998E-4"/>
    <s v="no value"/>
    <s v="PLA by NatureWorks LLC, PHB by Biomer, PEG and ATBC by Sigma-Aldrich"/>
    <s v="PLA dried overnight (80°C); PHB treated at 40°C for 4 h"/>
    <m/>
    <s v="nein"/>
    <s v="synthetisches Material mit Kompost"/>
    <s v="Labor"/>
    <s v="nein"/>
    <n v="58"/>
    <m/>
    <m/>
    <m/>
    <m/>
    <m/>
    <s v="Gewichtsverlust"/>
    <m/>
    <n v="100"/>
    <n v="28"/>
    <n v="3.5714285714285716"/>
    <m/>
    <n v="2"/>
    <s v=""/>
    <s v=""/>
    <s v=""/>
    <s v=""/>
    <s v=""/>
    <s v=""/>
    <n v="1"/>
    <x v="4"/>
    <x v="96"/>
    <s v="Emadian 2017"/>
    <s v="CB (März 2020)"/>
    <s v="ja"/>
    <s v="ja"/>
    <m/>
    <m/>
    <m/>
    <s v="nein"/>
    <s v="ja"/>
    <m/>
    <m/>
  </r>
  <r>
    <s v="PLA+"/>
    <s v="PLA-PEG"/>
    <s v="ja"/>
    <s v="Zusätze"/>
    <s v="Strips"/>
    <n v="0.2"/>
    <n v="8.9999999999999998E-4"/>
    <s v="no value"/>
    <s v="PLA by NatureWorks LLC, PHB by Biomer, PEG and ATBC by Sigma-Aldrich"/>
    <s v="PLA dried overnight (80°C); PHB treated at 40°C for 4 h"/>
    <m/>
    <s v="nein"/>
    <s v="synthetisches Material mit Kompost"/>
    <s v="Labor"/>
    <s v="nein"/>
    <n v="58"/>
    <m/>
    <m/>
    <m/>
    <m/>
    <m/>
    <s v="Gewichtsverlust"/>
    <m/>
    <n v="100"/>
    <n v="28"/>
    <n v="3.5714285714285716"/>
    <m/>
    <n v="2"/>
    <s v=""/>
    <s v=""/>
    <s v=""/>
    <s v=""/>
    <s v=""/>
    <s v=""/>
    <n v="1"/>
    <x v="4"/>
    <x v="96"/>
    <s v="Emadian 2017"/>
    <s v="CB (März 2020)"/>
    <s v="ja"/>
    <s v="ja"/>
    <m/>
    <m/>
    <m/>
    <s v="nein"/>
    <s v="ja"/>
    <m/>
    <m/>
  </r>
  <r>
    <s v="PP"/>
    <s v="PP-TT"/>
    <s v="ja"/>
    <s v="Vorbehandlung"/>
    <s v="Strips"/>
    <n v="0.05"/>
    <n v="2E-3"/>
    <n v="0.90300000000000002"/>
    <s v="Commercial PP (Reliance Industries Ltd. Mumbai India)"/>
    <s v="80°C for 10 days, sterilised overnight in 70% ethanol "/>
    <s v="1% Soil Sample, from local plastic dumping site; two chemical solutions"/>
    <s v="nein"/>
    <s v="Erlenmeyerkolben, Orbitek shaker 180rpm"/>
    <s v="Labor"/>
    <s v="nein"/>
    <s v="30-37"/>
    <n v="7"/>
    <m/>
    <m/>
    <s v="aerob"/>
    <m/>
    <s v="Gewichtsverlust"/>
    <m/>
    <n v="10.7"/>
    <n v="365"/>
    <n v="2.9315068493150683E-2"/>
    <m/>
    <n v="2"/>
    <s v=""/>
    <s v=""/>
    <s v=""/>
    <s v=""/>
    <s v=""/>
    <s v=""/>
    <n v="1"/>
    <x v="4"/>
    <x v="102"/>
    <s v="Plastik Leak Project; Chamas et al. 2020"/>
    <s v="sflo (4.12.19)"/>
    <s v="ja"/>
    <s v="ja"/>
    <m/>
    <m/>
    <m/>
    <s v="ja"/>
    <s v="ja"/>
    <m/>
    <s v="Dichte aus anderem Paper übernommen"/>
  </r>
  <r>
    <s v="PP"/>
    <s v="PP-UT"/>
    <s v="nein"/>
    <m/>
    <s v="Strips"/>
    <n v="0.05"/>
    <n v="2E-3"/>
    <n v="0.90300000000000002"/>
    <s v="Commercial PP (Reliance Industries Ltd. Mumbai India)"/>
    <s v="Unpretreated, sterilised overnight in 70% ethanol"/>
    <s v="1% Soil Sample, from local plastic dumping site; two chemical solutions"/>
    <s v="nein"/>
    <s v="Erlenmeyerkolben, Orbitek shaker 180rpm"/>
    <s v="Labor"/>
    <s v="nein"/>
    <s v="30-37"/>
    <n v="7"/>
    <m/>
    <m/>
    <s v="aerob"/>
    <m/>
    <s v="Gewichtsverlust"/>
    <m/>
    <n v="0.43"/>
    <n v="365"/>
    <n v="1.1780821917808219E-3"/>
    <m/>
    <n v="2"/>
    <s v=""/>
    <s v=""/>
    <s v=""/>
    <s v=""/>
    <s v=""/>
    <s v=""/>
    <n v="1"/>
    <x v="8"/>
    <x v="102"/>
    <s v="Plastik Leak Project; Chamas et al. 2020"/>
    <s v="sflo (4.12.19)"/>
    <s v="ja"/>
    <s v="ja"/>
    <m/>
    <m/>
    <m/>
    <s v="ja"/>
    <s v="ja"/>
    <m/>
    <s v="Dichte aus anderem Paper übernommen"/>
  </r>
  <r>
    <s v="PLA"/>
    <s v="PLA"/>
    <s v="nein"/>
    <m/>
    <s v="Strips"/>
    <s v="no value"/>
    <n v="1E-4"/>
    <s v="no value"/>
    <s v="PLA bottles (500 mL) used for packaging of spring water, commercialized by Biota brands of America (Telluride, CO), were obtained from NatureWorksTM PLA (Blair, NE). The PLA bottles were composed of 96% L-lactide with bluetone additive and had dimensions of 0.2m height and 0.065m in base diameter"/>
    <m/>
    <m/>
    <s v="nein"/>
    <s v="Kompost"/>
    <s v="Boden/Kompost"/>
    <s v="ja"/>
    <n v="58"/>
    <n v="8.5"/>
    <n v="63"/>
    <m/>
    <m/>
    <m/>
    <s v="CO2-Entwicklung"/>
    <m/>
    <n v="84"/>
    <n v="58"/>
    <n v="1.4482758620689655"/>
    <m/>
    <n v="2"/>
    <s v=""/>
    <s v=""/>
    <s v=""/>
    <s v=""/>
    <s v=""/>
    <s v=""/>
    <n v="1"/>
    <x v="3"/>
    <x v="103"/>
    <s v="Emadian 2017"/>
    <m/>
    <s v="ja "/>
    <s v="ja "/>
    <m/>
    <m/>
    <m/>
    <s v="nein"/>
    <s v="ja"/>
    <m/>
    <m/>
  </r>
  <r>
    <s v="PLA"/>
    <s v="PLA"/>
    <s v="nein"/>
    <m/>
    <s v="Strips"/>
    <n v="3.5000000000000003E-2"/>
    <n v="2.5000000000000005E-3"/>
    <s v="no value"/>
    <s v="Natureworks, USA"/>
    <m/>
    <m/>
    <s v="nein"/>
    <s v="Kompost"/>
    <s v="Boden/Kompost"/>
    <s v="ja"/>
    <n v="55"/>
    <m/>
    <m/>
    <n v="70"/>
    <m/>
    <m/>
    <s v="CO2-Entwicklung"/>
    <m/>
    <n v="70"/>
    <n v="28"/>
    <n v="2.5"/>
    <m/>
    <n v="2"/>
    <s v=""/>
    <s v=""/>
    <s v=""/>
    <n v="1"/>
    <n v="159.68750000000003"/>
    <s v="PLA_Boden/Kompost_nicht natürlich"/>
    <n v="1"/>
    <x v="7"/>
    <x v="92"/>
    <s v="Emadian 2017"/>
    <m/>
    <s v="ja "/>
    <s v="ja "/>
    <m/>
    <m/>
    <m/>
    <s v="nein"/>
    <s v="ja"/>
    <m/>
    <m/>
  </r>
  <r>
    <s v="PLA"/>
    <s v="PLA"/>
    <s v="nein"/>
    <m/>
    <s v="Powder"/>
    <s v="no value"/>
    <s v="no value"/>
    <s v="no value"/>
    <s v="Natureworks PLA bottle and Natureworks PLA Frito Lay bag with aluminum coating"/>
    <m/>
    <m/>
    <s v="(ja)"/>
    <s v="Meerwasser (Labor)"/>
    <s v="Meerwasser"/>
    <s v="ja"/>
    <m/>
    <m/>
    <m/>
    <m/>
    <m/>
    <m/>
    <s v="CO2-Entwicklung"/>
    <m/>
    <s v="3,11-4,45"/>
    <n v="180"/>
    <n v="2.4722222222222222E-2"/>
    <m/>
    <n v="6"/>
    <s v=""/>
    <s v=""/>
    <s v=""/>
    <s v=""/>
    <s v=""/>
    <s v=""/>
    <n v="1"/>
    <x v="3"/>
    <x v="8"/>
    <s v="Emadian 2017"/>
    <m/>
    <s v="ja "/>
    <s v="ja "/>
    <m/>
    <m/>
    <m/>
    <s v="nein"/>
    <s v="ja"/>
    <m/>
    <m/>
  </r>
  <r>
    <s v="PLA"/>
    <s v="PLA"/>
    <s v="nein"/>
    <m/>
    <s v="Powder"/>
    <s v="no value"/>
    <s v="no value"/>
    <s v="no value"/>
    <s v="Natureworks PLA bottle"/>
    <s v="Plastic samples were pulverized. The samples were kept in an oven and held at 30 +/- 2°C for 26 weeks."/>
    <m/>
    <s v="(ja)"/>
    <s v="Meerwasser (Labor)"/>
    <s v="Meerwasser"/>
    <s v="ja"/>
    <m/>
    <m/>
    <m/>
    <m/>
    <m/>
    <m/>
    <s v="CO2-Entwicklung"/>
    <m/>
    <n v="3.11"/>
    <n v="180"/>
    <n v="1.7277777777777777E-2"/>
    <m/>
    <n v="6"/>
    <s v=""/>
    <s v=""/>
    <s v=""/>
    <s v=""/>
    <s v=""/>
    <s v=""/>
    <n v="1"/>
    <x v="3"/>
    <x v="8"/>
    <s v="--"/>
    <s v="CB (März 2020)"/>
    <s v="ja "/>
    <s v="ja "/>
    <m/>
    <m/>
    <m/>
    <s v="nein"/>
    <s v="ja"/>
    <m/>
    <m/>
  </r>
  <r>
    <s v="PLA"/>
    <s v="PLA"/>
    <s v="nein"/>
    <m/>
    <s v="Powder"/>
    <s v="no value"/>
    <s v="no value"/>
    <s v="no value"/>
    <s v="Natureworks PLA Frito Lay bag with aluminum coating"/>
    <s v="Plastic samples were pulverized. The samples were kept in an oven and held at 30 +/- 2°C for 26 weeks."/>
    <m/>
    <s v="(ja)"/>
    <s v="Meerwasser (Labor)"/>
    <s v="Meerwasser"/>
    <s v="ja"/>
    <m/>
    <m/>
    <m/>
    <m/>
    <m/>
    <m/>
    <s v="CO2-Entwicklung"/>
    <m/>
    <n v="4.45"/>
    <n v="180"/>
    <n v="2.4722222222222222E-2"/>
    <m/>
    <n v="6"/>
    <s v=""/>
    <s v=""/>
    <s v=""/>
    <s v=""/>
    <s v=""/>
    <s v=""/>
    <n v="1"/>
    <x v="3"/>
    <x v="8"/>
    <s v="--"/>
    <s v="CB (März 2020)"/>
    <s v="ja "/>
    <s v="ja "/>
    <m/>
    <m/>
    <m/>
    <s v="nein"/>
    <s v="ja"/>
    <m/>
    <m/>
  </r>
  <r>
    <s v="PLA+"/>
    <s v="PLA/PFF(poultry feather fibre)/Stärke (80/5/15%)a"/>
    <s v="ja"/>
    <s v="Zusätze"/>
    <s v="Strips"/>
    <s v="no value"/>
    <n v="2.5000000000000001E-5"/>
    <s v="no value"/>
    <s v="flower pots"/>
    <s v="dried at 80°C for 18h"/>
    <s v="keine"/>
    <s v="nein"/>
    <s v="Kompost (Labor)"/>
    <s v="Boden/Kompost"/>
    <s v="ja"/>
    <n v="58"/>
    <m/>
    <m/>
    <m/>
    <m/>
    <m/>
    <s v="CO2-Entwicklung"/>
    <m/>
    <n v="53"/>
    <n v="60"/>
    <n v="0.8833333333333333"/>
    <m/>
    <n v="2"/>
    <s v=""/>
    <s v=""/>
    <s v=""/>
    <s v=""/>
    <s v=""/>
    <s v=""/>
    <n v="1"/>
    <x v="3"/>
    <x v="0"/>
    <s v="Emadian 2017"/>
    <m/>
    <s v="ja "/>
    <m/>
    <m/>
    <m/>
    <m/>
    <s v="nein"/>
    <s v="ja"/>
    <m/>
    <m/>
  </r>
  <r>
    <s v="PBSe"/>
    <s v="Polybutylene Sebacate"/>
    <s v="nein"/>
    <m/>
    <s v="Film"/>
    <n v="2.5000000000000001E-2"/>
    <m/>
    <m/>
    <s v="Aliphatic polyester Film 25 microns"/>
    <s v="Novamont Laboratory - KH2PO4 (0.1 g/L) and NH4Cl (0.05 g/L) were added to the seawaters (results from year 2 - Elba"/>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37.4"/>
    <n v="248"/>
    <n v="0.15080645161290321"/>
    <m/>
    <n v="2"/>
    <n v="80000"/>
    <s v=""/>
    <n v="6.8805443548387091"/>
    <n v="1"/>
    <n v="6.8805443548387064"/>
    <s v="PBSe_Benthic_natürlich"/>
    <n v="1"/>
    <x v="6"/>
    <x v="52"/>
    <m/>
    <m/>
    <m/>
    <m/>
    <m/>
    <m/>
    <m/>
    <m/>
    <m/>
    <m/>
    <m/>
  </r>
  <r>
    <s v="PBSe"/>
    <s v="Polybutylene Sebacate"/>
    <s v="nein"/>
    <m/>
    <s v="Film"/>
    <n v="2.5000000000000001E-2"/>
    <m/>
    <m/>
    <s v="Aliphatic polyester Film 25 microns"/>
    <s v="BASF Laboratory - KH2PO4 (0.1 g/L) and NH4Cl (0.05 g/L) were added to the seawaters (results from year 2)"/>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64.8"/>
    <n v="210"/>
    <n v="0.30857142857142855"/>
    <m/>
    <n v="2"/>
    <n v="80000"/>
    <s v=""/>
    <n v="14.078571428571429"/>
    <n v="1"/>
    <n v="14.078571428571426"/>
    <s v="PBSe_Benthic_natürlich"/>
    <n v="1"/>
    <x v="6"/>
    <x v="52"/>
    <m/>
    <m/>
    <m/>
    <m/>
    <m/>
    <m/>
    <m/>
    <m/>
    <m/>
    <m/>
    <m/>
  </r>
  <r>
    <s v="PBSeT"/>
    <s v="Polybutylene Sebacate-cobutylenterephtalate"/>
    <s v="nein"/>
    <m/>
    <s v="Film"/>
    <n v="2.5000000000000001E-2"/>
    <m/>
    <m/>
    <s v="Aliphatic-Aromatic polyester"/>
    <s v="OWS Laboratory - KH2PO4 (0.1 g/L) and NH4Cl (0.05 g/L) were added to the seawaters (results from year 2 - Elba)"/>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51.8"/>
    <n v="313"/>
    <n v="0.16549520766773163"/>
    <m/>
    <n v="2"/>
    <n v="80000"/>
    <s v=""/>
    <n v="7.5507188498402558"/>
    <n v="1"/>
    <n v="7.5507188498402558"/>
    <s v="PBSeT_Benthic_natürlich"/>
    <n v="1"/>
    <x v="6"/>
    <x v="52"/>
    <m/>
    <m/>
    <m/>
    <m/>
    <m/>
    <m/>
    <m/>
    <m/>
    <m/>
    <m/>
    <m/>
  </r>
  <r>
    <s v="PBSeT"/>
    <s v="Polybutylene Sebacate-cobutylenterephtalate"/>
    <s v="nein"/>
    <m/>
    <s v="Film"/>
    <n v="2.5000000000000001E-2"/>
    <m/>
    <m/>
    <s v="Aliphatic-Aromatic polyester"/>
    <s v="Novamont Laboratory - KH2PO4 (0.1 g/L) and NH4Cl (0.05 g/L) were added to the seawaters (results from year 2 - Elba"/>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54.8"/>
    <n v="248"/>
    <n v="0.22096774193548385"/>
    <m/>
    <n v="2"/>
    <n v="80000"/>
    <s v=""/>
    <n v="10.081653225806452"/>
    <n v="1"/>
    <n v="10.081653225806448"/>
    <s v="PBSeT_Benthic_natürlich"/>
    <n v="1"/>
    <x v="6"/>
    <x v="52"/>
    <m/>
    <m/>
    <m/>
    <m/>
    <m/>
    <m/>
    <m/>
    <m/>
    <m/>
    <m/>
    <m/>
  </r>
  <r>
    <s v="PLA"/>
    <s v="PLLA (Pulver)"/>
    <m/>
    <m/>
    <s v="Powder"/>
    <s v="no value"/>
    <m/>
    <s v="--"/>
    <m/>
    <m/>
    <m/>
    <s v="nein"/>
    <s v="Kompost"/>
    <s v="Boden/Kompost"/>
    <s v="ja"/>
    <n v="58"/>
    <m/>
    <m/>
    <n v="65"/>
    <m/>
    <m/>
    <s v="CO2-Entwicklung"/>
    <m/>
    <n v="52"/>
    <n v="45"/>
    <n v="1.1555555555555554"/>
    <m/>
    <n v="6"/>
    <s v=""/>
    <s v=""/>
    <s v=""/>
    <s v=""/>
    <s v=""/>
    <s v=""/>
    <n v="0"/>
    <x v="1"/>
    <x v="54"/>
    <m/>
    <m/>
    <s v="nein"/>
    <s v="nein"/>
    <m/>
    <m/>
    <m/>
    <s v="nein"/>
    <s v="nicht möglich"/>
    <s v="Artikel nicht gefunden"/>
    <m/>
  </r>
  <r>
    <s v="PBSeT"/>
    <s v="Polybutylene Sebacate-cobutylenterephtalate"/>
    <s v="nein"/>
    <m/>
    <s v="Film"/>
    <n v="2.5000000000000001E-2"/>
    <m/>
    <m/>
    <s v="Aliphatic-Aromatic polyester"/>
    <s v="BASF Laboratory - KH2PO4 (0.1 g/L) and NH4Cl (0.05 g/L) were added to the seawaters (results from year 2)"/>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44.2"/>
    <n v="210"/>
    <n v="0.21047619047619048"/>
    <m/>
    <n v="2"/>
    <n v="80000"/>
    <s v=""/>
    <n v="9.6029761904761912"/>
    <n v="1"/>
    <n v="9.6029761904761894"/>
    <s v="PBSeT_Benthic_natürlich"/>
    <n v="1"/>
    <x v="6"/>
    <x v="52"/>
    <m/>
    <m/>
    <m/>
    <m/>
    <m/>
    <m/>
    <m/>
    <m/>
    <m/>
    <m/>
    <m/>
  </r>
  <r>
    <s v="PHB"/>
    <s v="Polyhydroxyalkanoate Copolymer"/>
    <s v="ja"/>
    <s v="Zusätze"/>
    <s v="Film"/>
    <s v="0,0,9-0,1"/>
    <m/>
    <m/>
    <s v="Grade: Mirel™ P5001; it is a compound &gt; 70% PHB copolymer, plasticizer, fillers - Film 90-100 microns"/>
    <s v="OWS Laboratory - KH2PO4 (0.1 g/L) and NH4Cl (0.05 g/L) were added to the seawaters (results from year 2 - Elba)"/>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84.8"/>
    <n v="313"/>
    <n v="0.27092651757188496"/>
    <m/>
    <n v="2"/>
    <s v=""/>
    <s v=""/>
    <s v=""/>
    <s v=""/>
    <s v=""/>
    <s v=""/>
    <n v="1"/>
    <x v="4"/>
    <x v="52"/>
    <m/>
    <m/>
    <m/>
    <m/>
    <m/>
    <m/>
    <m/>
    <m/>
    <m/>
    <m/>
    <m/>
  </r>
  <r>
    <s v="PLA"/>
    <s v="PLA (PLLA-C)"/>
    <m/>
    <m/>
    <s v="no value"/>
    <s v="no value"/>
    <m/>
    <m/>
    <m/>
    <m/>
    <m/>
    <s v="(ja)"/>
    <s v="Meerwasser (Labor, _x000a_frisches Wasser alle 2 Tage)"/>
    <s v="Meerwasser"/>
    <s v="ja"/>
    <n v="25"/>
    <m/>
    <m/>
    <m/>
    <s v="aerob"/>
    <m/>
    <s v="Gewichtsverlust"/>
    <m/>
    <n v="0"/>
    <n v="70"/>
    <n v="0"/>
    <m/>
    <s v=""/>
    <s v=""/>
    <s v=""/>
    <s v=""/>
    <s v=""/>
    <s v=""/>
    <s v=""/>
    <n v="0"/>
    <x v="1"/>
    <x v="62"/>
    <s v="Emadian 2017"/>
    <m/>
    <s v="nein"/>
    <s v="nein"/>
    <m/>
    <m/>
    <m/>
    <s v="nein"/>
    <s v="nicht möglich"/>
    <s v="Artikel nicht gefunden"/>
    <m/>
  </r>
  <r>
    <s v="PLA"/>
    <s v="PLA (PLLA-A)"/>
    <m/>
    <m/>
    <s v="no value"/>
    <s v="no value"/>
    <m/>
    <m/>
    <m/>
    <m/>
    <m/>
    <s v="(ja)"/>
    <s v="Meerwasser (Labor, _x000a_frisches Wasser alle 2 Tage)"/>
    <s v="Meerwasser"/>
    <s v="ja"/>
    <n v="25"/>
    <m/>
    <m/>
    <m/>
    <s v="aerob"/>
    <m/>
    <s v="Gewichtsverlust"/>
    <m/>
    <n v="0"/>
    <n v="70"/>
    <n v="0"/>
    <m/>
    <s v=""/>
    <s v=""/>
    <s v=""/>
    <s v=""/>
    <s v=""/>
    <s v=""/>
    <s v=""/>
    <n v="0"/>
    <x v="1"/>
    <x v="62"/>
    <s v="Emadian 2017"/>
    <m/>
    <s v="nein"/>
    <s v="nein"/>
    <m/>
    <m/>
    <m/>
    <s v="nein"/>
    <s v="nicht möglich"/>
    <s v="Artikel nicht gefunden"/>
    <m/>
  </r>
  <r>
    <s v="PHB"/>
    <s v="Polyhydroxyalkanoate Copolymer"/>
    <s v="ja"/>
    <s v="Zusätze"/>
    <s v="Film"/>
    <s v="0,0,9-0,1"/>
    <m/>
    <m/>
    <s v="Grade: Mirel™ P5001; it is a compound &gt; 70% PHB copolymer, plasticizer, fillers - Film 90-100 microns"/>
    <s v="Novamont Laboratory - KH2PO4 (0.1 g/L) and NH4Cl (0.05 g/L) were added to the seawaters (results from year 2 - Elba"/>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77.7"/>
    <n v="248"/>
    <n v="0.31330645161290321"/>
    <m/>
    <n v="2"/>
    <s v=""/>
    <s v=""/>
    <s v=""/>
    <s v=""/>
    <s v=""/>
    <s v=""/>
    <n v="1"/>
    <x v="4"/>
    <x v="52"/>
    <m/>
    <m/>
    <m/>
    <m/>
    <m/>
    <m/>
    <m/>
    <m/>
    <m/>
    <m/>
    <m/>
  </r>
  <r>
    <s v="PLA+"/>
    <s v="PLA/B (70/30%)"/>
    <s v="ja"/>
    <s v="Zusätze"/>
    <s v="Strips"/>
    <n v="1"/>
    <n v="2.0000000000000004E-2"/>
    <s v="no value"/>
    <s v="PLA Composite with 30 wt % buriti fiber"/>
    <s v="extruded, milled, dried, compression molded (180°C)"/>
    <m/>
    <s v="nein"/>
    <s v="Meerwasser (Labor Aquarium), UV Beleuchtung"/>
    <s v="Meerwasser"/>
    <s v="ja"/>
    <s v="22-25"/>
    <s v="7,9-8,5"/>
    <m/>
    <m/>
    <m/>
    <m/>
    <s v="Gewichtsverlust"/>
    <m/>
    <n v="10"/>
    <n v="100"/>
    <n v="0.1"/>
    <m/>
    <n v="2"/>
    <s v=""/>
    <s v=""/>
    <s v=""/>
    <s v=""/>
    <s v=""/>
    <s v=""/>
    <n v="1"/>
    <x v="4"/>
    <x v="101"/>
    <s v="Chamas et al. 2020"/>
    <s v="sflo (4.12.2019)"/>
    <s v="ja"/>
    <s v="ja"/>
    <m/>
    <m/>
    <m/>
    <s v="ja"/>
    <s v="ja"/>
    <m/>
    <m/>
  </r>
  <r>
    <s v="PLA+"/>
    <s v="PLA/B/T (65/30/5%)"/>
    <s v="ja"/>
    <s v="Zusätze"/>
    <s v="Strips"/>
    <n v="1"/>
    <n v="2.0000000000000004E-2"/>
    <s v="no value"/>
    <s v="PLA with triacetin (5wt%) and buriti fiber (30wt%)"/>
    <s v="extruded, milled, dried, compression molded (180°C)"/>
    <m/>
    <s v="nein"/>
    <s v="Meerwasser (Labor Aquarium), UV Beleuchtung"/>
    <s v="Meerwasser"/>
    <s v="ja"/>
    <s v="22-25"/>
    <s v="7,9-8,5"/>
    <m/>
    <m/>
    <m/>
    <m/>
    <s v="Gewichtsverlust"/>
    <m/>
    <n v="12"/>
    <n v="100"/>
    <n v="0.12"/>
    <m/>
    <n v="2"/>
    <s v=""/>
    <s v=""/>
    <s v=""/>
    <s v=""/>
    <s v=""/>
    <s v=""/>
    <n v="1"/>
    <x v="4"/>
    <x v="101"/>
    <s v="Chamas et al. 2020"/>
    <s v="sflo (4.12.2019)"/>
    <s v="ja"/>
    <s v="ja"/>
    <m/>
    <m/>
    <m/>
    <s v="ja"/>
    <s v="ja"/>
    <m/>
    <m/>
  </r>
  <r>
    <s v="PLA+"/>
    <s v="PLA/T (95/5%)"/>
    <s v="ja"/>
    <s v="Zusätze"/>
    <s v="Strips"/>
    <n v="1"/>
    <n v="2.0000000000000004E-2"/>
    <s v="no value"/>
    <s v="Triacetin-containing PLA (5 wt%)"/>
    <s v="extruded, milled, dried, compression molded (180°C)"/>
    <m/>
    <s v="nein"/>
    <s v="Meerwasser (Labor Aquarium), UV Beleuchtung"/>
    <s v="Meerwasser"/>
    <s v="ja"/>
    <s v="22-25"/>
    <s v="7,9-8,5"/>
    <m/>
    <m/>
    <m/>
    <m/>
    <s v="Gewichtsverlust"/>
    <m/>
    <n v="1.5"/>
    <n v="500"/>
    <n v="3.0000000000000001E-3"/>
    <m/>
    <n v="2"/>
    <s v=""/>
    <s v=""/>
    <s v=""/>
    <s v=""/>
    <s v=""/>
    <s v=""/>
    <n v="1"/>
    <x v="4"/>
    <x v="101"/>
    <s v="Chamas et al. 2020"/>
    <s v="sflo (4.12.2019)"/>
    <s v="ja"/>
    <s v="ja"/>
    <m/>
    <m/>
    <m/>
    <s v="ja"/>
    <s v="ja"/>
    <m/>
    <m/>
  </r>
  <r>
    <s v="PP"/>
    <s v="Commercial PP"/>
    <s v="ja"/>
    <s v="Mikroorganismen"/>
    <s v="Strips"/>
    <n v="0.05"/>
    <n v="2E-3"/>
    <n v="0.90300000000000002"/>
    <m/>
    <s v="keine"/>
    <s v="fresh mycelium of the previously grown fungus on potato dextrose agar plates"/>
    <s v="nein"/>
    <s v="mineral salt medium"/>
    <s v="Labor"/>
    <s v="nein"/>
    <n v="30"/>
    <m/>
    <m/>
    <m/>
    <m/>
    <s v="bewegt"/>
    <s v="Gewichtsverlust"/>
    <m/>
    <s v="4-5"/>
    <n v="365"/>
    <n v="1.3698630136986301E-2"/>
    <m/>
    <n v="2"/>
    <s v=""/>
    <s v=""/>
    <s v=""/>
    <s v=""/>
    <s v=""/>
    <s v=""/>
    <n v="1"/>
    <x v="4"/>
    <x v="104"/>
    <s v="Plastik Leak Project"/>
    <s v="CB (März 2020)"/>
    <s v="ja"/>
    <s v="ja"/>
    <m/>
    <m/>
    <m/>
    <s v="nein"/>
    <s v="ja"/>
    <m/>
    <s v="Dichte aus anderem Paper übernommen"/>
  </r>
  <r>
    <s v="PP"/>
    <s v="Commercial PP"/>
    <s v="ja"/>
    <s v="Mikroorganismen"/>
    <s v="Strips"/>
    <n v="0.05"/>
    <n v="2E-3"/>
    <n v="0.90300000000000002"/>
    <m/>
    <s v="subjected to UV radiation (UV-C) at &gt;300nm wavelength for 10 days"/>
    <s v="fresh mycelium of the previously grown fungus on potato dextrose agar plates"/>
    <s v="nein"/>
    <s v="mineral salt medium"/>
    <s v="Labor"/>
    <s v="nein"/>
    <n v="30"/>
    <m/>
    <m/>
    <m/>
    <m/>
    <s v="bewegt"/>
    <s v="Gewichtsverlust"/>
    <m/>
    <s v="9-11"/>
    <n v="365"/>
    <n v="3.0136986301369864E-2"/>
    <m/>
    <n v="2"/>
    <s v=""/>
    <s v=""/>
    <s v=""/>
    <s v=""/>
    <s v=""/>
    <s v=""/>
    <n v="1"/>
    <x v="4"/>
    <x v="104"/>
    <s v="Plastik Leak Project"/>
    <s v="CB (März 2020)"/>
    <s v="ja"/>
    <s v="ja"/>
    <m/>
    <m/>
    <m/>
    <s v="nein"/>
    <s v="ja"/>
    <m/>
    <s v="Dichte aus anderem Paper übernommen"/>
  </r>
  <r>
    <s v="PLA+"/>
    <s v="PLA/Soft wood (70/30%)"/>
    <s v="ja"/>
    <s v="Zusätze"/>
    <s v="Strips"/>
    <n v="0.03"/>
    <n v="1.1999999999999999E-3"/>
    <s v="no value"/>
    <s v="Two different grades of PLA from NatureWorks were used in this study (PLA8302D/amorphous aPLA and PLA2002D/ semicrystalline cPLA) + wood fibers from yellow birch (HW)"/>
    <s v="The biocomposite films were cut into rectangular shapes with the size of 3x4 cm, and dried at 5063C overnight prior to the testing. The samples from each formulation were placed in compost."/>
    <m/>
    <s v="nein"/>
    <s v="Kompost"/>
    <s v="Boden/Kompost"/>
    <s v="ja"/>
    <n v="58"/>
    <m/>
    <n v="60"/>
    <m/>
    <s v="aerob"/>
    <m/>
    <s v="Gewichtsverlust"/>
    <m/>
    <n v="40"/>
    <n v="30"/>
    <n v="1.3333333333333333"/>
    <m/>
    <n v="2"/>
    <s v=""/>
    <s v=""/>
    <s v=""/>
    <s v=""/>
    <s v=""/>
    <s v=""/>
    <n v="1"/>
    <x v="4"/>
    <x v="100"/>
    <s v="Emadian 2017"/>
    <m/>
    <s v="ja"/>
    <s v="ja"/>
    <m/>
    <m/>
    <m/>
    <s v="nein"/>
    <s v="ja"/>
    <m/>
    <m/>
  </r>
  <r>
    <s v="PP"/>
    <s v="Commercial PP"/>
    <s v="ja"/>
    <s v="Mikroorganismen"/>
    <s v="Strips"/>
    <n v="0.05"/>
    <n v="2E-3"/>
    <n v="0.90300000000000002"/>
    <m/>
    <s v="thermally pretreated at 100°C for 10 days"/>
    <s v="fresh mycelium of the previously grown fungus on potato dextrose agar plates"/>
    <s v="nein"/>
    <s v="mineral salt medium"/>
    <s v="Labor"/>
    <s v="nein"/>
    <n v="30"/>
    <m/>
    <m/>
    <m/>
    <m/>
    <s v="bewegt"/>
    <s v="Gewichtsverlust"/>
    <m/>
    <s v="3-5,5"/>
    <n v="365"/>
    <n v="1.5068493150684932E-2"/>
    <m/>
    <n v="2"/>
    <s v=""/>
    <s v=""/>
    <s v=""/>
    <s v=""/>
    <s v=""/>
    <s v=""/>
    <n v="1"/>
    <x v="4"/>
    <x v="104"/>
    <s v="Plastik Leak Project"/>
    <s v="CB (März 2020)"/>
    <s v="ja"/>
    <s v="ja"/>
    <m/>
    <m/>
    <m/>
    <s v="nein"/>
    <s v="ja"/>
    <m/>
    <s v="Dichte aus anderem Paper übernommen"/>
  </r>
  <r>
    <s v="PP"/>
    <s v="PP films (PP-SUV)"/>
    <s v="ja"/>
    <s v="Mikroorganismen"/>
    <s v="Strips"/>
    <n v="0.05"/>
    <n v="2.2499999999999999E-4"/>
    <n v="0.90300000000000002"/>
    <s v="with additives"/>
    <s v="UV-pretreated at 225 nm for 6 days"/>
    <s v="B. subtilis, B. flexus, P. stutzeri, P. azotoformans"/>
    <s v="nein"/>
    <s v="mineral salt medium"/>
    <s v="Labor"/>
    <s v="nein"/>
    <s v="35-37"/>
    <n v="7"/>
    <m/>
    <m/>
    <s v="aerob"/>
    <s v="be"/>
    <s v="Gewichtsverlust"/>
    <m/>
    <s v="0,6-2,7"/>
    <n v="365"/>
    <n v="7.3972602739726034E-3"/>
    <m/>
    <n v="2"/>
    <s v=""/>
    <s v=""/>
    <s v=""/>
    <s v=""/>
    <s v=""/>
    <s v=""/>
    <n v="1"/>
    <x v="4"/>
    <x v="105"/>
    <s v="Plastik Leak Project"/>
    <s v="CB (März 2020)"/>
    <s v="ja"/>
    <s v="ja"/>
    <m/>
    <m/>
    <m/>
    <s v="nein"/>
    <s v="ja"/>
    <m/>
    <s v="Dichte aus anderem Paper übernommen"/>
  </r>
  <r>
    <s v="PLA+"/>
    <s v="PLA/NPK (62,5/37,5%)"/>
    <s v="ja"/>
    <s v="Zusätze"/>
    <s v="Film"/>
    <s v="no value"/>
    <s v="no value"/>
    <s v="no value"/>
    <m/>
    <m/>
    <m/>
    <s v="ja"/>
    <s v="Boden"/>
    <s v="Boden/Kompost"/>
    <s v="ja"/>
    <n v="30"/>
    <m/>
    <n v="80"/>
    <m/>
    <m/>
    <m/>
    <s v="Gewichtsverlust"/>
    <m/>
    <n v="37.4"/>
    <n v="56"/>
    <n v="0.66785714285714282"/>
    <m/>
    <n v="2"/>
    <s v=""/>
    <s v=""/>
    <s v=""/>
    <s v=""/>
    <s v=""/>
    <s v=""/>
    <n v="1"/>
    <x v="3"/>
    <x v="106"/>
    <s v="Emadian 2017"/>
    <m/>
    <s v="ja"/>
    <s v="ja"/>
    <m/>
    <m/>
    <m/>
    <s v="nein"/>
    <s v="ja"/>
    <m/>
    <m/>
  </r>
  <r>
    <s v="PLA+"/>
    <s v="PLA/NPK/EFP (25/37,5/37,5%)"/>
    <s v="ja"/>
    <s v="Zusätze"/>
    <s v="Film"/>
    <s v="no value"/>
    <s v="no value"/>
    <s v="no value"/>
    <m/>
    <m/>
    <m/>
    <s v="ja"/>
    <s v="Boden"/>
    <s v="Boden/Kompost"/>
    <s v="ja"/>
    <n v="30"/>
    <m/>
    <n v="80"/>
    <m/>
    <m/>
    <m/>
    <s v="Gewichtsverlust"/>
    <m/>
    <n v="43"/>
    <n v="56"/>
    <n v="0.7678571428571429"/>
    <m/>
    <n v="2"/>
    <s v=""/>
    <s v=""/>
    <s v=""/>
    <s v=""/>
    <s v=""/>
    <s v=""/>
    <n v="1"/>
    <x v="3"/>
    <x v="106"/>
    <s v="Emadian 2017"/>
    <m/>
    <s v="ja"/>
    <s v="ja"/>
    <m/>
    <m/>
    <m/>
    <s v="nein"/>
    <s v="ja"/>
    <m/>
    <m/>
  </r>
  <r>
    <s v="PLA+"/>
    <s v="PLA/NPK/EFP (37,5/25/37,5%)"/>
    <s v="ja"/>
    <s v="Zusätze"/>
    <s v="Film"/>
    <s v="no value"/>
    <s v="no value"/>
    <s v="no value"/>
    <m/>
    <m/>
    <m/>
    <s v="ja"/>
    <s v="Boden"/>
    <s v="Boden/Kompost"/>
    <s v="ja"/>
    <n v="30"/>
    <m/>
    <n v="80"/>
    <m/>
    <m/>
    <m/>
    <s v="Gewichtsverlust"/>
    <m/>
    <n v="43"/>
    <n v="56"/>
    <n v="0.7678571428571429"/>
    <m/>
    <n v="2"/>
    <s v=""/>
    <s v=""/>
    <s v=""/>
    <s v=""/>
    <s v=""/>
    <s v=""/>
    <n v="1"/>
    <x v="3"/>
    <x v="106"/>
    <s v="Emadian 2017"/>
    <s v="CB (März 2020)"/>
    <s v="ja"/>
    <s v="ja"/>
    <m/>
    <m/>
    <m/>
    <s v="nein"/>
    <s v="ja"/>
    <m/>
    <m/>
  </r>
  <r>
    <s v="PLA+"/>
    <s v="PLA/NPK/EFP (50/12,5/37,5%)"/>
    <s v="ja"/>
    <s v="Zusätze"/>
    <s v="Film"/>
    <s v="no value"/>
    <s v="no value"/>
    <s v="no value"/>
    <m/>
    <m/>
    <m/>
    <s v="ja"/>
    <s v="Boden"/>
    <s v="Boden/Kompost"/>
    <s v="ja"/>
    <n v="30"/>
    <m/>
    <n v="80"/>
    <m/>
    <m/>
    <m/>
    <s v="Gewichtsverlust"/>
    <m/>
    <n v="38.5"/>
    <n v="56"/>
    <n v="0.6875"/>
    <m/>
    <n v="2"/>
    <s v=""/>
    <s v=""/>
    <s v=""/>
    <s v=""/>
    <s v=""/>
    <s v=""/>
    <n v="1"/>
    <x v="3"/>
    <x v="106"/>
    <s v="Emadian 2017"/>
    <s v="CB (März 2020)"/>
    <s v="ja"/>
    <s v="ja"/>
    <m/>
    <m/>
    <m/>
    <s v="nein"/>
    <s v="ja"/>
    <m/>
    <m/>
  </r>
  <r>
    <s v="PLA+"/>
    <s v="PLA/corn (90/10%)"/>
    <s v="ja"/>
    <s v="Zusätze"/>
    <s v="strips and pellets"/>
    <n v="7.5"/>
    <s v="Sheets: 0,025 m x 0,025 m; pellets: 0,015 m x 0,015 m"/>
    <s v="no value"/>
    <s v="Sheets of 25 mm x 25 mm x 3 mm as well as cylindrical pieces of 15 mm x 15 mm x 12 mm"/>
    <s v="vacuum-dried at 40°C for 72 h"/>
    <m/>
    <s v="nein"/>
    <s v="synthetisches Material mit Kompost"/>
    <s v="Labor"/>
    <s v="nein"/>
    <n v="58"/>
    <m/>
    <m/>
    <m/>
    <s v="aerob"/>
    <m/>
    <s v="Gewichtsverlust"/>
    <m/>
    <n v="79.7"/>
    <n v="90"/>
    <n v="0.88555555555555554"/>
    <m/>
    <s v=""/>
    <s v=""/>
    <s v=""/>
    <s v=""/>
    <s v=""/>
    <s v=""/>
    <s v=""/>
    <n v="1"/>
    <x v="2"/>
    <x v="97"/>
    <s v="Emadian 2017"/>
    <m/>
    <s v="ja"/>
    <s v="ja"/>
    <m/>
    <m/>
    <m/>
    <s v="nein"/>
    <s v="ja"/>
    <m/>
    <s v="Thickness = 3-12mm"/>
  </r>
  <r>
    <s v="PLA+"/>
    <s v="PLA/Hanffaser (SF) (60/40%)"/>
    <s v="ja"/>
    <s v="Zusätze"/>
    <s v="Strips"/>
    <n v="1"/>
    <n v="8.9999999999999998E-4"/>
    <s v="no value"/>
    <m/>
    <m/>
    <m/>
    <s v="ja"/>
    <s v="Boden (alluvial-type soil) - Soil was maintained at  30% moisture by weight, and the samples were buried at a depth of 12-15 cm_x000a_"/>
    <s v="Boden/Kompost"/>
    <s v="ja"/>
    <m/>
    <m/>
    <m/>
    <n v="30"/>
    <m/>
    <m/>
    <s v="Gewichtsverlust"/>
    <m/>
    <s v="&gt;60"/>
    <n v="98"/>
    <n v="0.61224489795918369"/>
    <m/>
    <n v="2"/>
    <s v=""/>
    <s v=""/>
    <s v=""/>
    <s v=""/>
    <s v=""/>
    <s v=""/>
    <n v="1"/>
    <x v="4"/>
    <x v="88"/>
    <s v="Emadian 2017; Plastic Leak Project"/>
    <m/>
    <s v="ja "/>
    <s v="ja "/>
    <m/>
    <m/>
    <m/>
    <s v="nein"/>
    <s v="ja"/>
    <m/>
    <m/>
  </r>
  <r>
    <s v="PP"/>
    <s v="PP films (PP-TT)"/>
    <s v="ja"/>
    <s v="Mikroorganismen"/>
    <s v="Strips"/>
    <n v="0.05"/>
    <n v="2.2499999999999999E-4"/>
    <n v="0.90300000000000002"/>
    <s v="with additives"/>
    <s v="thermally pretreated at 100°C for 8 days"/>
    <s v="B. subtilis, B. flexus, P. stutzeri, P. azotoformans"/>
    <s v="nein"/>
    <s v="mineral salt medium"/>
    <s v="Labor"/>
    <s v="nein"/>
    <s v="35-37"/>
    <n v="7"/>
    <m/>
    <m/>
    <s v="aerob"/>
    <s v="be"/>
    <s v="Gewichtsverlust"/>
    <m/>
    <s v="0,5-0,8"/>
    <n v="365"/>
    <n v="2.1917808219178085E-3"/>
    <m/>
    <n v="2"/>
    <s v=""/>
    <s v=""/>
    <s v=""/>
    <s v=""/>
    <s v=""/>
    <s v=""/>
    <n v="1"/>
    <x v="4"/>
    <x v="105"/>
    <s v="Plastik Leak Project"/>
    <s v="CB (März 2020)"/>
    <s v="ja"/>
    <s v="ja"/>
    <m/>
    <m/>
    <m/>
    <s v="nein"/>
    <s v="ja"/>
    <m/>
    <s v="Dichte aus anderem Paper übernommen"/>
  </r>
  <r>
    <s v="PP"/>
    <s v="PP granules"/>
    <s v="ja"/>
    <s v="Mikroorganismen"/>
    <s v="Granules"/>
    <n v="0.24"/>
    <n v="0.18095573684677208"/>
    <n v="0.9"/>
    <m/>
    <s v="irradiated for 25 days under UV light"/>
    <s v="bacteria sampled at the sediment of Mangrove sites"/>
    <s v="nein"/>
    <s v="mineral salt medium"/>
    <s v="Labor"/>
    <s v="nein"/>
    <m/>
    <m/>
    <m/>
    <m/>
    <m/>
    <m/>
    <s v="Gewichtsverlust"/>
    <m/>
    <n v="3.6"/>
    <n v="40"/>
    <n v="0.09"/>
    <m/>
    <n v="6"/>
    <s v=""/>
    <s v=""/>
    <s v=""/>
    <s v=""/>
    <s v=""/>
    <s v=""/>
    <n v="1"/>
    <x v="4"/>
    <x v="42"/>
    <s v="Plastik Leak Project"/>
    <s v="CB (März 2020)"/>
    <s v="ja"/>
    <s v="ja"/>
    <m/>
    <m/>
    <m/>
    <s v="nein"/>
    <s v="ja"/>
    <m/>
    <s v="Thickness &lt;0,25"/>
  </r>
  <r>
    <s v="PP"/>
    <s v="PP"/>
    <s v="nein"/>
    <m/>
    <s v="Strips"/>
    <n v="2.9999999999999997E-4"/>
    <n v="2.5000000000000001E-4"/>
    <s v="--"/>
    <m/>
    <s v="keine"/>
    <s v="microbial consortia extracte from soil samples with high plastic waste content"/>
    <s v="nein"/>
    <s v="mineral solution"/>
    <s v="Labor"/>
    <s v="nein"/>
    <n v="30"/>
    <m/>
    <m/>
    <m/>
    <m/>
    <m/>
    <s v="Gewichtsverlust"/>
    <m/>
    <m/>
    <m/>
    <e v="#DIV/0!"/>
    <m/>
    <n v="2"/>
    <s v=""/>
    <s v=""/>
    <s v=""/>
    <s v=""/>
    <s v=""/>
    <s v=""/>
    <n v="0"/>
    <x v="1"/>
    <x v="107"/>
    <s v="Raddadi &amp; Fava (2019)"/>
    <s v="CG (Mai 2020)"/>
    <s v="ja"/>
    <s v="ja"/>
    <m/>
    <m/>
    <m/>
    <m/>
    <s v="ja"/>
    <m/>
    <s v="Präsentiert keine Werte für Abbau; Fokus auf Zusammensetzung der Mikroorganismen"/>
  </r>
  <r>
    <s v="PP"/>
    <s v="PP"/>
    <s v="ja"/>
    <s v="Mikroorganismen"/>
    <s v="Strips"/>
    <n v="0.15"/>
    <n v="5.0000000000000001E-4"/>
    <n v="0.90300000000000002"/>
    <s v="plastic strips (5×1 cm, thickness: 0.15 mm)"/>
    <s v="keine"/>
    <s v="bacteria extracted from the dung of cows that fed around plastic dump sites"/>
    <s v="nein"/>
    <s v="minimal media"/>
    <s v="Labor"/>
    <s v="nein"/>
    <n v="50"/>
    <m/>
    <m/>
    <m/>
    <m/>
    <m/>
    <s v="Gewichtsverlust"/>
    <m/>
    <n v="56.3"/>
    <n v="140"/>
    <n v="0.40214285714285714"/>
    <m/>
    <n v="2"/>
    <s v=""/>
    <s v=""/>
    <s v=""/>
    <s v=""/>
    <s v=""/>
    <s v=""/>
    <n v="1"/>
    <x v="4"/>
    <x v="17"/>
    <s v="Raddadi &amp; Fava (2019)"/>
    <s v="CG (Mai 2020)"/>
    <s v="ja"/>
    <s v="ja"/>
    <m/>
    <m/>
    <m/>
    <m/>
    <s v="ja"/>
    <m/>
    <s v="Dichte aus anderem Paper übernommen"/>
  </r>
  <r>
    <s v="PP"/>
    <s v="PP"/>
    <s v="ja"/>
    <s v="Mikroorganismen"/>
    <s v="Pellets"/>
    <n v="2.5"/>
    <s v="refer to thickness"/>
    <n v="0.90300000000000002"/>
    <s v="pellets (shape: round, size: 2.5mm diameter) of PE and PP"/>
    <s v="keine"/>
    <s v="bacteria extracted from the dung of cows that fed around plastic dump sites"/>
    <s v="nein"/>
    <s v="minimal media"/>
    <s v="Labor"/>
    <s v="nein"/>
    <n v="50"/>
    <m/>
    <m/>
    <m/>
    <m/>
    <m/>
    <s v="Gewichtsverlust"/>
    <m/>
    <n v="44.2"/>
    <n v="140"/>
    <n v="0.31571428571428573"/>
    <m/>
    <n v="6"/>
    <s v=""/>
    <s v=""/>
    <s v=""/>
    <s v=""/>
    <s v=""/>
    <s v=""/>
    <n v="1"/>
    <x v="4"/>
    <x v="17"/>
    <s v="Raddadi &amp; Fava (2019)"/>
    <s v="CG (Mai 2020)"/>
    <s v="ja"/>
    <s v="ja"/>
    <m/>
    <m/>
    <m/>
    <m/>
    <s v="ja"/>
    <m/>
    <s v="Dichte aus anderem Paper übernommen"/>
  </r>
  <r>
    <s v="PP+"/>
    <s v="Catalyst-blend PP"/>
    <s v="ja"/>
    <s v="Zusätze"/>
    <s v="Strips"/>
    <n v="0.05"/>
    <n v="2E-3"/>
    <n v="0.90300000000000002"/>
    <m/>
    <s v="keine"/>
    <s v="fresh mycelium of the previously grown fungus on potato dextrose agar plates"/>
    <s v="nein"/>
    <s v="mineral salt medium"/>
    <s v="Labor"/>
    <s v="nein"/>
    <n v="30"/>
    <m/>
    <m/>
    <m/>
    <m/>
    <s v="bewegt"/>
    <s v="Gewichtsverlust"/>
    <m/>
    <s v="4,5-6"/>
    <n v="365"/>
    <n v="1.643835616438356E-2"/>
    <m/>
    <n v="2"/>
    <s v=""/>
    <s v=""/>
    <s v=""/>
    <s v=""/>
    <s v=""/>
    <s v=""/>
    <n v="1"/>
    <x v="4"/>
    <x v="104"/>
    <s v="Plastik Leak Project"/>
    <s v="CB (März 2020)"/>
    <s v="ja"/>
    <s v="ja"/>
    <m/>
    <m/>
    <m/>
    <s v="nein"/>
    <s v="ja"/>
    <m/>
    <s v="Dichte aus anderem Paper übernommen"/>
  </r>
  <r>
    <s v="PP+"/>
    <s v="Catalyst-blend PP"/>
    <s v="ja"/>
    <s v="Zusätze"/>
    <s v="Strips"/>
    <n v="0.05"/>
    <n v="2E-3"/>
    <n v="0.90300000000000002"/>
    <m/>
    <s v="subjected to UV radiation (UV-C) at &gt;300nm wavelength for 10 days"/>
    <s v="fresh mycelium of the previously grown fungus on potato dextrose agar plates"/>
    <s v="nein"/>
    <s v="mineral salt medium"/>
    <s v="Labor"/>
    <s v="nein"/>
    <n v="30"/>
    <m/>
    <m/>
    <m/>
    <m/>
    <s v="bewegt"/>
    <s v="Gewichtsverlust"/>
    <m/>
    <s v="9,42-18,8"/>
    <n v="365"/>
    <n v="5.1506849315068493E-2"/>
    <m/>
    <n v="2"/>
    <s v=""/>
    <s v=""/>
    <s v=""/>
    <s v=""/>
    <s v=""/>
    <s v=""/>
    <n v="1"/>
    <x v="4"/>
    <x v="104"/>
    <s v="Plastik Leak Project"/>
    <s v="CB (März 2020)"/>
    <s v="ja"/>
    <s v="ja"/>
    <m/>
    <m/>
    <m/>
    <s v="nein"/>
    <s v="ja"/>
    <m/>
    <s v="Dichte aus anderem Paper übernommen"/>
  </r>
  <r>
    <s v="PP+"/>
    <s v="Catalyst-blend PP"/>
    <s v="ja"/>
    <s v="Zusätze"/>
    <s v="Strips"/>
    <n v="0.05"/>
    <n v="2E-3"/>
    <n v="0.90300000000000002"/>
    <m/>
    <s v="thermally pretreated at 100°C for 10 days"/>
    <s v="fresh mycelium of the previously grown fungus on potato dextrose agar plates"/>
    <s v="nein"/>
    <s v="mineral salt medium"/>
    <s v="Labor"/>
    <s v="nein"/>
    <n v="30"/>
    <m/>
    <m/>
    <m/>
    <m/>
    <s v="bewegt"/>
    <s v="Gewichtsverlust"/>
    <m/>
    <s v="6,5-8"/>
    <n v="365"/>
    <n v="2.1917808219178082E-2"/>
    <m/>
    <n v="2"/>
    <s v=""/>
    <s v=""/>
    <s v=""/>
    <s v=""/>
    <s v=""/>
    <s v=""/>
    <n v="1"/>
    <x v="4"/>
    <x v="104"/>
    <s v="Plastik Leak Project"/>
    <s v="CB (März 2020)"/>
    <s v="ja"/>
    <s v="ja"/>
    <m/>
    <m/>
    <m/>
    <s v="nein"/>
    <s v="ja"/>
    <m/>
    <s v="Dichte aus anderem Paper übernommen"/>
  </r>
  <r>
    <s v="PP+"/>
    <s v="Starch-blend PP"/>
    <s v="ja"/>
    <s v="Zusätze"/>
    <s v="Strips"/>
    <n v="0.05"/>
    <n v="2E-3"/>
    <n v="0.90300000000000002"/>
    <m/>
    <s v="keine"/>
    <s v="fresh mycelium of the previously grown fungus on potato dextrose agar plates"/>
    <s v="nein"/>
    <s v="mineral salt medium"/>
    <s v="Labor"/>
    <s v="nein"/>
    <n v="30"/>
    <m/>
    <m/>
    <m/>
    <m/>
    <s v="bewegt"/>
    <s v="Gewichtsverlust"/>
    <m/>
    <s v="6-9"/>
    <n v="365"/>
    <n v="2.4657534246575342E-2"/>
    <m/>
    <n v="2"/>
    <s v=""/>
    <s v=""/>
    <s v=""/>
    <s v=""/>
    <s v=""/>
    <s v=""/>
    <n v="1"/>
    <x v="4"/>
    <x v="104"/>
    <s v="Plastik Leak Project"/>
    <s v="CB (März 2020)"/>
    <s v="ja"/>
    <s v="ja"/>
    <m/>
    <m/>
    <m/>
    <s v="nein"/>
    <s v="ja"/>
    <m/>
    <s v="Dichte aus anderem Paper übernommen"/>
  </r>
  <r>
    <s v="PC"/>
    <s v="Bisphenol A polycarbonate (PC) (Lexan®) "/>
    <s v="nein"/>
    <m/>
    <s v="Coupon"/>
    <n v="1.5"/>
    <n v="1.4999999999999999E-2"/>
    <s v="no value"/>
    <m/>
    <s v="keine"/>
    <m/>
    <s v="ja"/>
    <s v="polymer samples were tied to fiber reinforced racks and were vertically submerged in the ocean waters of Bay of Bengal at a depth of three meters near Fisheries survey of Indi"/>
    <s v="Meerwasser"/>
    <s v="ja"/>
    <m/>
    <m/>
    <m/>
    <m/>
    <m/>
    <m/>
    <s v="Gewichtsverlust"/>
    <m/>
    <n v="0.69"/>
    <n v="365"/>
    <n v="1.8904109589041095E-3"/>
    <m/>
    <n v="2"/>
    <n v="1333.3333333333333"/>
    <s v=""/>
    <n v="5.1749999999999998"/>
    <n v="1"/>
    <n v="5.1750000000000123"/>
    <s v="PC_Meerwasser_natürlich"/>
    <n v="1"/>
    <x v="6"/>
    <x v="45"/>
    <m/>
    <s v="CG (August 2020)"/>
    <s v="ja"/>
    <s v="ja"/>
    <m/>
    <m/>
    <m/>
    <s v="nein"/>
    <s v="ja"/>
    <m/>
    <m/>
  </r>
  <r>
    <s v="PP"/>
    <s v="PP"/>
    <s v="nein"/>
    <m/>
    <s v="Granules"/>
    <n v="2.4"/>
    <n v="18.095573684677209"/>
    <n v="0.9"/>
    <s v="isotactic PP microplastic granules (white, spherical)"/>
    <s v="UV treated, sterilized"/>
    <m/>
    <s v="nein"/>
    <s v="Sediment"/>
    <s v="Sediment"/>
    <s v="nein"/>
    <m/>
    <m/>
    <m/>
    <m/>
    <m/>
    <m/>
    <s v="Gewichtsverlust"/>
    <m/>
    <s v="4-6,4"/>
    <n v="40"/>
    <n v="0.16"/>
    <m/>
    <n v="6"/>
    <s v=""/>
    <s v=""/>
    <s v=""/>
    <s v=""/>
    <s v=""/>
    <s v=""/>
    <n v="1"/>
    <x v="8"/>
    <x v="108"/>
    <s v="Plastik Leak Project"/>
    <s v="CB (März 2020)"/>
    <s v="ja"/>
    <s v="ja"/>
    <m/>
    <m/>
    <m/>
    <s v="nein"/>
    <s v="ja"/>
    <m/>
    <m/>
  </r>
  <r>
    <s v="PP+"/>
    <s v="Starch-blend PP"/>
    <s v="ja"/>
    <s v="Zusätze"/>
    <s v="Strips"/>
    <n v="0.05"/>
    <n v="2E-3"/>
    <n v="0.90300000000000002"/>
    <m/>
    <s v="subjected to UV radiation (UV-C) at &gt;300nm wavelength for 10 days"/>
    <s v="fresh mycelium of the previously grown fungus on potato dextrose agar plates"/>
    <s v="nein"/>
    <s v="mineral salt medium"/>
    <s v="Labor"/>
    <s v="nein"/>
    <n v="30"/>
    <m/>
    <m/>
    <m/>
    <m/>
    <s v="bewegt"/>
    <s v="Gewichtsverlust"/>
    <m/>
    <s v="8,5-9"/>
    <n v="365"/>
    <n v="2.4657534246575342E-2"/>
    <m/>
    <n v="2"/>
    <s v=""/>
    <s v=""/>
    <s v=""/>
    <s v=""/>
    <s v=""/>
    <s v=""/>
    <n v="1"/>
    <x v="4"/>
    <x v="104"/>
    <s v="Plastik Leak Project"/>
    <s v="CB (März 2020)"/>
    <s v="ja"/>
    <s v="ja"/>
    <m/>
    <m/>
    <m/>
    <s v="nein"/>
    <s v="ja"/>
    <m/>
    <s v="Dichte aus anderem Paper übernommen"/>
  </r>
  <r>
    <s v="PP"/>
    <s v="PP (Pulver)"/>
    <m/>
    <m/>
    <s v="Powder"/>
    <s v="no value"/>
    <m/>
    <s v="--"/>
    <m/>
    <m/>
    <m/>
    <s v="nein"/>
    <s v="Kompost"/>
    <s v="Boden/Kompost"/>
    <s v="ja"/>
    <n v="58"/>
    <m/>
    <m/>
    <n v="65"/>
    <m/>
    <m/>
    <s v="CO2-Entwicklung"/>
    <m/>
    <n v="2"/>
    <n v="45"/>
    <n v="4.4444444444444446E-2"/>
    <m/>
    <n v="6"/>
    <s v=""/>
    <s v=""/>
    <s v=""/>
    <s v=""/>
    <s v=""/>
    <s v=""/>
    <n v="0"/>
    <x v="1"/>
    <x v="54"/>
    <m/>
    <m/>
    <s v="nein"/>
    <s v="nein"/>
    <m/>
    <m/>
    <m/>
    <s v="nein"/>
    <s v="nicht möglich"/>
    <s v="Artikel nicht gefunden"/>
    <m/>
  </r>
  <r>
    <s v="PP"/>
    <s v="PP with additives"/>
    <s v="ja"/>
    <s v="Zusätze"/>
    <s v="Film"/>
    <n v="6.3E-2"/>
    <s v="no value"/>
    <n v="0.90300000000000002"/>
    <m/>
    <s v="exposed for a short duration (20-45 h) in the Ametek-Sepap 12.24 photo-aging unit and then thermo-oxidation was performed in aerated and ventilated oven at 60 C for 336-2712 h."/>
    <s v="R. rhodochrous ATCC 29672"/>
    <s v="nein"/>
    <s v="Mineral medium"/>
    <s v="Labor"/>
    <s v="nein"/>
    <n v="27"/>
    <m/>
    <m/>
    <m/>
    <s v="aerob"/>
    <s v="bewegt"/>
    <s v="Sonstiges"/>
    <s v="ATP oncentration"/>
    <s v="ATP concentration of 0-6 pmol mL-1"/>
    <n v="120"/>
    <e v="#VALUE!"/>
    <m/>
    <n v="2"/>
    <s v=""/>
    <s v=""/>
    <s v=""/>
    <s v=""/>
    <s v=""/>
    <s v=""/>
    <n v="1"/>
    <x v="4"/>
    <x v="109"/>
    <s v="Raddadi &amp; Fava (2019); Plastic Lead Project"/>
    <s v="CG (Mai 2020)"/>
    <s v="ja"/>
    <s v="ja"/>
    <m/>
    <m/>
    <m/>
    <s v="nein"/>
    <s v="ja"/>
    <m/>
    <s v="Thickness: 51-63 µm; Dichte aus anderem Paper übernommen"/>
  </r>
  <r>
    <s v="PP"/>
    <s v="PP"/>
    <s v="ja"/>
    <s v="Mikroorganismen"/>
    <s v="Film"/>
    <n v="6.3E-2"/>
    <s v="no value"/>
    <n v="0.90300000000000002"/>
    <m/>
    <s v="exposed for a short duration (20-45 h) in the Ametek-Sepap 12.24 photo-aging unit and then thermo-oxidation was performed in aerated and ventilated oven at 60 C for 336-2712 h."/>
    <s v="R. rhodochrous ATCC 29672"/>
    <s v="nein"/>
    <s v="Mineral medium"/>
    <s v="Labor"/>
    <s v="nein"/>
    <n v="27"/>
    <m/>
    <m/>
    <m/>
    <s v="aerob"/>
    <s v="bewegt"/>
    <s v="Sonstiges"/>
    <s v="ATP oncentration"/>
    <s v="ATP concentration of 2-4 pmol mL-1"/>
    <n v="120"/>
    <e v="#VALUE!"/>
    <m/>
    <n v="2"/>
    <s v=""/>
    <s v=""/>
    <s v=""/>
    <s v=""/>
    <s v=""/>
    <s v=""/>
    <n v="1"/>
    <x v="4"/>
    <x v="109"/>
    <s v="Raddadi &amp; Fava (2019); Plastic Lead Project"/>
    <s v="CG (Mai 2020)"/>
    <s v="ja"/>
    <s v="ja"/>
    <m/>
    <m/>
    <m/>
    <s v="nein"/>
    <s v="ja"/>
    <m/>
    <s v="Thickness: 51-63 µm; Dichte aus anderem Paper übernommen"/>
  </r>
  <r>
    <s v="PCL"/>
    <s v="PCL"/>
    <s v="nein"/>
    <m/>
    <s v="Film"/>
    <n v="0.1"/>
    <s v="no value"/>
    <n v="1.1100000000000001"/>
    <m/>
    <m/>
    <m/>
    <s v="(ja)"/>
    <s v="Flusswasser (Labor)"/>
    <s v="Süßwasser"/>
    <s v="ja"/>
    <n v="25"/>
    <m/>
    <m/>
    <m/>
    <s v="aerob"/>
    <m/>
    <s v="Gewichtsverlust"/>
    <m/>
    <n v="100"/>
    <n v="28"/>
    <n v="3.5714285714285716"/>
    <m/>
    <n v="2"/>
    <n v="20000"/>
    <n v="1.8018018018018018E-2"/>
    <n v="651.78571428571433"/>
    <n v="1"/>
    <n v="651.78571428571445"/>
    <s v="PCL_Süßwasser_natürlich"/>
    <n v="1"/>
    <x v="6"/>
    <x v="61"/>
    <s v="Dilkes-Hoffman et al. 2019"/>
    <m/>
    <s v="ja "/>
    <s v="ja "/>
    <s v="ja "/>
    <s v="biodegradable"/>
    <m/>
    <s v="nein"/>
    <s v="ja"/>
    <m/>
    <s v="Dichte von Rodion übernommen"/>
  </r>
  <r>
    <s v="PCL"/>
    <s v="PCL"/>
    <s v="nein"/>
    <m/>
    <s v="Film"/>
    <n v="0.1"/>
    <s v="no value"/>
    <n v="1.1100000000000001"/>
    <m/>
    <m/>
    <m/>
    <s v="(ja)"/>
    <s v="Flusswasser (Labor)"/>
    <s v="Süßwasser"/>
    <s v="ja"/>
    <n v="25"/>
    <m/>
    <m/>
    <m/>
    <s v="aerob"/>
    <m/>
    <s v="biochemical oxygen demand (BOD)"/>
    <m/>
    <n v="75"/>
    <n v="28"/>
    <n v="2.6785714285714284"/>
    <m/>
    <n v="2"/>
    <n v="20000"/>
    <n v="1.8018018018018018E-2"/>
    <n v="488.83928571428572"/>
    <n v="1"/>
    <n v="488.83928571428578"/>
    <s v="PCL_Süßwasser_natürlich"/>
    <n v="1"/>
    <x v="6"/>
    <x v="61"/>
    <s v="Dilkes-Hoffman et al. 2019"/>
    <m/>
    <s v="ja "/>
    <s v="ja "/>
    <s v="ja "/>
    <s v="biodegradable"/>
    <m/>
    <s v="nein"/>
    <s v="ja"/>
    <m/>
    <s v="Dichte von Rodion übernommen"/>
  </r>
  <r>
    <s v="PP"/>
    <s v="PP"/>
    <s v="ja"/>
    <s v="Mikroorganismen"/>
    <s v="no value"/>
    <s v="no value"/>
    <m/>
    <s v="--"/>
    <m/>
    <m/>
    <s v="Bacillus flexus + Pseudomonas azotoformans(B1) and B. flexus + B. subtilis(B2)"/>
    <m/>
    <m/>
    <m/>
    <s v="nein"/>
    <m/>
    <m/>
    <m/>
    <m/>
    <m/>
    <m/>
    <s v="Gewichtsverlust"/>
    <m/>
    <m/>
    <m/>
    <e v="#DIV/0!"/>
    <m/>
    <s v=""/>
    <s v=""/>
    <s v=""/>
    <s v=""/>
    <s v=""/>
    <s v=""/>
    <s v=""/>
    <n v="0"/>
    <x v="1"/>
    <x v="110"/>
    <s v="Raddadi &amp; Fava (2019)"/>
    <s v="CG (Mai 2020)"/>
    <s v="ja"/>
    <s v="nein"/>
    <m/>
    <m/>
    <m/>
    <m/>
    <s v="nicht vorgesehen"/>
    <s v="https://www.tandfonline.com/doi/full/10.1080/10826068.2014.985836?scroll=top&amp;needAccess=true"/>
    <s v="Experimente mit Mikroorganismen im Labor (weder Boden noch Wasser)"/>
  </r>
  <r>
    <s v="PP+"/>
    <s v="Starch-blend PP"/>
    <s v="ja"/>
    <s v="Zusätze"/>
    <s v="Strips"/>
    <n v="0.05"/>
    <n v="2E-3"/>
    <n v="0.90300000000000002"/>
    <m/>
    <s v="thermally pretreated at 100°C for 10 days"/>
    <s v="fresh mycelium of the previously grown fungus on potato dextrose agar plates"/>
    <s v="nein"/>
    <s v="mineral salt medium"/>
    <s v="Labor"/>
    <s v="nein"/>
    <n v="30"/>
    <m/>
    <m/>
    <m/>
    <m/>
    <s v="bewegt"/>
    <s v="Gewichtsverlust"/>
    <m/>
    <s v="8,5-9,5"/>
    <n v="365"/>
    <n v="2.6027397260273973E-2"/>
    <m/>
    <n v="2"/>
    <s v=""/>
    <s v=""/>
    <s v=""/>
    <s v=""/>
    <s v=""/>
    <s v=""/>
    <n v="1"/>
    <x v="4"/>
    <x v="104"/>
    <s v="Plastik Leak Project"/>
    <s v="CB (März 2020)"/>
    <s v="ja"/>
    <s v="ja"/>
    <m/>
    <m/>
    <m/>
    <s v="nein"/>
    <s v="ja"/>
    <m/>
    <s v="Dichte aus anderem Paper übernommen"/>
  </r>
  <r>
    <s v="PS"/>
    <s v="Polystyrene"/>
    <s v="ja"/>
    <s v="Mikroorganismen"/>
    <s v="Shreds"/>
    <n v="0.05"/>
    <s v="no value"/>
    <n v="1.05"/>
    <s v="pure standard polystyrene flakes comprising a mixture of polymers of two different molecular weights, 4,000 and 200,000 (Sigma Cat. Number 33,165-1);"/>
    <s v="dried overnight at 60°C, weighed, disinfested"/>
    <s v="polyethylene-degrading bacterium R. ruber strain C208"/>
    <s v="nein"/>
    <s v="Labor"/>
    <s v="Labor"/>
    <s v="nein"/>
    <n v="35"/>
    <n v="7"/>
    <m/>
    <m/>
    <m/>
    <m/>
    <s v="Gewichtsverlust"/>
    <m/>
    <n v="0.8"/>
    <n v="56"/>
    <n v="1.4285714285714287E-2"/>
    <m/>
    <n v="6"/>
    <s v=""/>
    <s v=""/>
    <s v=""/>
    <s v=""/>
    <s v=""/>
    <s v=""/>
    <n v="1"/>
    <x v="4"/>
    <x v="111"/>
    <s v="Plastik Leak Project"/>
    <s v="CB (März 2020)"/>
    <s v="ja"/>
    <s v="ja"/>
    <m/>
    <m/>
    <m/>
    <s v="nein"/>
    <s v="ja"/>
    <m/>
    <s v="Dichte aus anderem Paper übernommen"/>
  </r>
  <r>
    <s v="PP"/>
    <s v="PP without additives"/>
    <s v="ja"/>
    <s v="Mikroorganismen"/>
    <s v="no value"/>
    <s v="no value"/>
    <m/>
    <s v="--"/>
    <m/>
    <m/>
    <s v="a mesophilic bacterium capable of polypropylene (PP) biodegradation was isolated from soil"/>
    <m/>
    <s v="compost conditions"/>
    <s v="Boden/Kompost"/>
    <s v="ja"/>
    <m/>
    <m/>
    <m/>
    <m/>
    <m/>
    <m/>
    <m/>
    <m/>
    <m/>
    <m/>
    <e v="#DIV/0!"/>
    <m/>
    <s v=""/>
    <s v=""/>
    <s v=""/>
    <s v=""/>
    <s v=""/>
    <s v=""/>
    <s v=""/>
    <n v="0"/>
    <x v="1"/>
    <x v="112"/>
    <s v="Raddadi &amp; Fava (2019)"/>
    <s v="CG (Mai 2020)"/>
    <s v="ja"/>
    <s v="nein"/>
    <m/>
    <m/>
    <m/>
    <m/>
    <s v="nicht vorgesehen"/>
    <s v="https://www.sciencedirect.com/science/article/pii/S0964830516303146"/>
    <s v="Experimente mit Mikroorganismen im Labor (weder Boden noch Wasser)"/>
  </r>
  <r>
    <s v="PCL"/>
    <s v="PCL"/>
    <s v="nein"/>
    <m/>
    <s v="Film"/>
    <n v="0.1"/>
    <s v="no value"/>
    <n v="1.1100000000000001"/>
    <m/>
    <m/>
    <m/>
    <s v="(ja)"/>
    <s v="Seewasser (Labor)"/>
    <s v="Süßwasser"/>
    <s v="ja"/>
    <n v="25"/>
    <m/>
    <m/>
    <m/>
    <s v="aerob"/>
    <m/>
    <s v="Gewichtsverlust"/>
    <m/>
    <n v="100"/>
    <n v="28"/>
    <n v="3.5714285714285716"/>
    <m/>
    <n v="2"/>
    <n v="20000"/>
    <n v="1.8018018018018018E-2"/>
    <n v="651.78571428571433"/>
    <n v="1"/>
    <n v="651.78571428571445"/>
    <s v="PCL_Süßwasser_natürlich"/>
    <n v="1"/>
    <x v="6"/>
    <x v="61"/>
    <s v="Dilkes-Hoffman et al. 2019"/>
    <m/>
    <s v="ja "/>
    <s v="ja "/>
    <s v="ja "/>
    <s v="biodegradable"/>
    <m/>
    <s v="nein"/>
    <s v="ja"/>
    <m/>
    <s v="Dichte von Rodion übernommen"/>
  </r>
  <r>
    <s v="PS"/>
    <s v="PS granules"/>
    <s v="ja"/>
    <s v="Mikroorganismen"/>
    <s v="Granules"/>
    <n v="0.24"/>
    <n v="0.18095573684677208"/>
    <n v="1.05"/>
    <m/>
    <s v="irradiated for 25 days under UV light"/>
    <s v="bacteria sampled at the sediment of Mangrove sites"/>
    <s v="nein"/>
    <s v="mineral salt medium"/>
    <s v="Labor"/>
    <s v="nein"/>
    <m/>
    <m/>
    <m/>
    <m/>
    <m/>
    <m/>
    <s v="Gewichtsverlust"/>
    <m/>
    <s v="5,8-7,4"/>
    <n v="40"/>
    <n v="0.185"/>
    <m/>
    <n v="6"/>
    <s v=""/>
    <s v=""/>
    <s v=""/>
    <s v=""/>
    <s v=""/>
    <s v=""/>
    <n v="1"/>
    <x v="4"/>
    <x v="42"/>
    <s v="Plastik Leak Project"/>
    <s v="CB (März 2020)"/>
    <s v="ja"/>
    <s v="ja"/>
    <m/>
    <m/>
    <m/>
    <s v="nein"/>
    <s v="ja"/>
    <m/>
    <s v="Thickness &lt;0,25; Dichte aus anderem Paper übernommen"/>
  </r>
  <r>
    <s v="PP+"/>
    <s v="PP/Stärke (95/5%)"/>
    <s v="ja"/>
    <s v="Zusätze"/>
    <s v="Strips"/>
    <n v="0.05"/>
    <n v="3.0000000000000001E-3"/>
    <n v="0.90300000000000002"/>
    <s v="BioBag"/>
    <m/>
    <m/>
    <s v="ja"/>
    <s v="Boden"/>
    <s v="Boden/Kompost"/>
    <s v="ja"/>
    <m/>
    <m/>
    <m/>
    <m/>
    <s v="aerob"/>
    <m/>
    <s v="Gewichtsverlust"/>
    <m/>
    <n v="0.84"/>
    <n v="150"/>
    <n v="5.5999999999999999E-3"/>
    <m/>
    <n v="2"/>
    <s v=""/>
    <s v=""/>
    <s v=""/>
    <s v=""/>
    <s v=""/>
    <s v=""/>
    <n v="1"/>
    <x v="4"/>
    <x v="24"/>
    <s v="Chamas et al. 2020"/>
    <m/>
    <s v="ja"/>
    <s v="ja"/>
    <s v="ja"/>
    <s v="ja"/>
    <s v="Ja"/>
    <s v="ja"/>
    <s v="ja"/>
    <m/>
    <s v="Dichte aus anderem Paper übernommen"/>
  </r>
  <r>
    <s v="PP+"/>
    <s v="PP/Stärke (95/5%)"/>
    <s v="ja"/>
    <s v="Zusätze"/>
    <s v="Strips"/>
    <n v="0.05"/>
    <n v="3.0000000000000001E-3"/>
    <n v="0.90300000000000002"/>
    <s v="BioBag"/>
    <m/>
    <m/>
    <s v="ja"/>
    <s v="Meerwasser"/>
    <s v="Meerwasser"/>
    <s v="ja"/>
    <m/>
    <m/>
    <m/>
    <m/>
    <s v="aerob"/>
    <m/>
    <s v="Gewichtsverlust"/>
    <m/>
    <n v="7.59"/>
    <n v="150"/>
    <n v="5.0599999999999999E-2"/>
    <m/>
    <n v="2"/>
    <s v=""/>
    <s v=""/>
    <s v=""/>
    <s v=""/>
    <s v=""/>
    <s v=""/>
    <n v="1"/>
    <x v="4"/>
    <x v="24"/>
    <s v="Chamas et al. 2020"/>
    <m/>
    <s v="ja"/>
    <s v="ja"/>
    <s v="ja"/>
    <s v="ja"/>
    <s v="Ja"/>
    <s v="ja"/>
    <s v="ja"/>
    <m/>
    <s v="Dichte aus anderem Paper übernommen"/>
  </r>
  <r>
    <s v="PVC"/>
    <s v="pPVC"/>
    <s v="ja"/>
    <s v="Mikroorganismen"/>
    <s v="Strips"/>
    <n v="0.5"/>
    <n v="1.0500000000000002E-3"/>
    <n v="1.4075000000000002"/>
    <m/>
    <s v="exposure to the atmosphere"/>
    <s v="Fungi and yeasts enriched from pPVC exposed to the atmosphere"/>
    <s v="nein"/>
    <s v="Labor (incubation)"/>
    <s v="Labor"/>
    <s v="nein"/>
    <m/>
    <m/>
    <m/>
    <m/>
    <m/>
    <m/>
    <s v="Gewichtsverlust"/>
    <m/>
    <s v="1,7-6,8"/>
    <n v="42"/>
    <n v="0.16190476190476191"/>
    <m/>
    <n v="2"/>
    <s v=""/>
    <s v=""/>
    <s v=""/>
    <s v=""/>
    <s v=""/>
    <s v=""/>
    <n v="1"/>
    <x v="4"/>
    <x v="113"/>
    <s v="Plastic Leak Project"/>
    <s v="CB (März 2020)"/>
    <s v="ja"/>
    <s v="ja"/>
    <m/>
    <m/>
    <m/>
    <s v="nein"/>
    <s v="ja"/>
    <m/>
    <s v="Dichte aus anderem Paper übernommen"/>
  </r>
  <r>
    <s v="Starch-blend"/>
    <s v="Bioplastik (aus Kartoffelabfällen)"/>
    <s v="nein"/>
    <m/>
    <s v="Strips"/>
    <n v="6.0000000000000001E-3"/>
    <n v="6.2500000000000012E-4"/>
    <s v="no value"/>
    <s v="100% compostable and biodegradable plastic made from potato almidon; manufactured by SPHERE-SPAIN into shopping bags with a commercial final usage at AENA airports_x000a_"/>
    <s v="bags were cut into smaller pieces 25x25 mm, and vacuum-dried at 40 ± 2o C for 72 h_x000a_"/>
    <m/>
    <s v="nein"/>
    <s v="synthetisches Material mit Kompost"/>
    <s v="Labor"/>
    <s v="nein"/>
    <n v="58"/>
    <m/>
    <m/>
    <m/>
    <s v="aerob"/>
    <m/>
    <s v="Gewichtsverlust"/>
    <m/>
    <n v="89.04"/>
    <n v="90"/>
    <n v="0.9893333333333334"/>
    <m/>
    <n v="2"/>
    <s v=""/>
    <s v=""/>
    <s v=""/>
    <s v=""/>
    <s v=""/>
    <s v=""/>
    <n v="1"/>
    <x v="8"/>
    <x v="114"/>
    <m/>
    <m/>
    <s v="ja"/>
    <s v="ja"/>
    <m/>
    <m/>
    <m/>
    <s v="nein"/>
    <s v="ja"/>
    <m/>
    <m/>
  </r>
  <r>
    <s v="PP"/>
    <s v="PP"/>
    <s v="nein"/>
    <m/>
    <s v="Strips"/>
    <n v="2"/>
    <n v="1.0619999999999998E-3"/>
    <n v="0.90300000000000002"/>
    <s v="PP pellets were cut into plaques"/>
    <s v="washed with distilled water, dried at 40°C under vaccum for 48h"/>
    <m/>
    <s v="nein"/>
    <s v="Air"/>
    <s v="Luft"/>
    <s v="nein"/>
    <n v="30"/>
    <m/>
    <n v="60"/>
    <m/>
    <m/>
    <m/>
    <s v="Gewichtsverlust"/>
    <m/>
    <n v="1.0483484721847417E-4"/>
    <n v="20.833333333333332"/>
    <n v="5.0320726664867604E-6"/>
    <m/>
    <n v="2"/>
    <s v=""/>
    <s v=""/>
    <s v=""/>
    <s v=""/>
    <s v=""/>
    <s v=""/>
    <n v="1"/>
    <x v="8"/>
    <x v="115"/>
    <s v="Plastic Leak Project"/>
    <s v="CB (März 2020)"/>
    <s v="ja"/>
    <s v="nein"/>
    <m/>
    <m/>
    <m/>
    <s v="nein"/>
    <s v="ja"/>
    <m/>
    <s v="Dichte aus anderem Paper übernommen"/>
  </r>
  <r>
    <s v="PHB"/>
    <s v="Ecoflex biodegradable plastics"/>
    <s v="ja"/>
    <s v="Mikroorganismen"/>
    <s v="Film"/>
    <n v="0.1"/>
    <s v="no value"/>
    <n v="1.26"/>
    <m/>
    <m/>
    <s v="ja"/>
    <s v="nein"/>
    <s v="nutrition-depleted activated sludge"/>
    <s v="Schlamm"/>
    <s v="nein"/>
    <s v="Raumtemperatur"/>
    <m/>
    <m/>
    <m/>
    <m/>
    <m/>
    <s v="Gewichtsverlust"/>
    <m/>
    <n v="5"/>
    <n v="18"/>
    <n v="0.27777777777777779"/>
    <m/>
    <n v="2"/>
    <s v=""/>
    <s v=""/>
    <s v=""/>
    <s v=""/>
    <s v=""/>
    <s v=""/>
    <n v="1"/>
    <x v="4"/>
    <x v="116"/>
    <m/>
    <s v="CB (März 2020)"/>
    <s v="ja"/>
    <s v="ja"/>
    <m/>
    <m/>
    <m/>
    <m/>
    <s v="ja"/>
    <m/>
    <s v="Dichte von Rodion übernommen"/>
  </r>
  <r>
    <s v="PHB"/>
    <s v="PHB"/>
    <s v="ja"/>
    <s v="Mikroorganismen"/>
    <s v="Film"/>
    <n v="0.1"/>
    <s v="no value"/>
    <n v="1.26"/>
    <m/>
    <m/>
    <s v="ja"/>
    <s v="nein"/>
    <s v="nutrition-depleted activated sludge"/>
    <s v="Schlamm"/>
    <s v="nein"/>
    <s v="Raumtemperatur"/>
    <m/>
    <m/>
    <m/>
    <m/>
    <m/>
    <s v="Gewichtsverlust"/>
    <m/>
    <n v="20"/>
    <n v="18"/>
    <n v="1.1111111111111112"/>
    <m/>
    <n v="2"/>
    <s v=""/>
    <s v=""/>
    <s v=""/>
    <s v=""/>
    <s v=""/>
    <s v=""/>
    <n v="1"/>
    <x v="4"/>
    <x v="116"/>
    <m/>
    <s v="CB (März 2020)"/>
    <s v="ja"/>
    <s v="ja"/>
    <m/>
    <m/>
    <m/>
    <m/>
    <s v="ja"/>
    <m/>
    <s v="Dichte von Rodion übernommen"/>
  </r>
  <r>
    <s v="PHB+"/>
    <s v="P(HB-co-12%-HHx)"/>
    <s v="ja"/>
    <s v="Zusätze"/>
    <s v="Film"/>
    <n v="0.1"/>
    <s v="no value"/>
    <n v="1.26"/>
    <m/>
    <m/>
    <s v="ja"/>
    <s v="nein"/>
    <s v="nutrition-depleted activated sludge"/>
    <s v="Schlamm"/>
    <s v="nein"/>
    <s v="Raumtemperatur"/>
    <m/>
    <m/>
    <m/>
    <m/>
    <m/>
    <s v="Gewichtsverlust"/>
    <m/>
    <n v="40"/>
    <n v="18"/>
    <n v="2.2222222222222223"/>
    <m/>
    <n v="2"/>
    <s v=""/>
    <s v=""/>
    <s v=""/>
    <s v=""/>
    <s v=""/>
    <s v=""/>
    <n v="1"/>
    <x v="4"/>
    <x v="116"/>
    <m/>
    <s v="CB (März 2020)"/>
    <s v="ja"/>
    <s v="ja"/>
    <m/>
    <m/>
    <m/>
    <m/>
    <s v="ja"/>
    <m/>
    <s v="Dichte von Rodion übernommen (Achtung: additives wurden bei der Dichte außer Acht gelassen)"/>
  </r>
  <r>
    <s v="PP+"/>
    <s v="PP + 2% additive"/>
    <s v="ja"/>
    <s v="Zusätze"/>
    <s v="Strips"/>
    <n v="0.37"/>
    <n v="1E-4"/>
    <n v="0.90300000000000002"/>
    <s v="Blend of polypropylene (PP) with 2% ECM MasterBatch Pellets  additive (ECM BioFilms Inc., OH, U.S.)"/>
    <s v="The soil media used for the experiments was a mixture of 43% certified organic top soil, 43% no-till farm soil and 14% sand. The soil media was amended with ammonium phosphate (Fisher Scientific, PA, U.S.) to maintain a C:N ratio of 20:1 based on the carbon content of the test specimen."/>
    <m/>
    <s v="nein"/>
    <s v="Soil"/>
    <s v="Boden/Kompost"/>
    <s v="ja"/>
    <m/>
    <n v="7.43"/>
    <m/>
    <m/>
    <s v="aerob"/>
    <m/>
    <s v="CO2-Entwicklung"/>
    <m/>
    <n v="1"/>
    <n v="660"/>
    <n v="1.5151515151515152E-3"/>
    <m/>
    <n v="2"/>
    <s v=""/>
    <s v=""/>
    <s v=""/>
    <s v=""/>
    <s v=""/>
    <s v=""/>
    <n v="1"/>
    <x v="4"/>
    <x v="47"/>
    <s v="Plastik Leak Project"/>
    <s v="CB (März 2020)"/>
    <s v="ja"/>
    <s v="ja"/>
    <m/>
    <m/>
    <m/>
    <s v="nein"/>
    <s v="ja"/>
    <m/>
    <s v="Dichte aus anderem Paper übernommen"/>
  </r>
  <r>
    <s v="PP+"/>
    <s v="PP + 2% additive"/>
    <s v="ja"/>
    <s v="Zusätze"/>
    <s v="Strips"/>
    <n v="0.37"/>
    <n v="1E-4"/>
    <n v="0.90300000000000002"/>
    <s v="Blend of polypropylene (PP) with 2% ECM MasterBatch Pellets  additive (ECM BioFilms Inc., OH, U.S.)"/>
    <m/>
    <m/>
    <s v="nein"/>
    <s v="Anaerobic digestion (AD)"/>
    <s v="Boden/Kompost"/>
    <s v="ja"/>
    <n v="37"/>
    <n v="8.3000000000000007"/>
    <m/>
    <m/>
    <s v="anaerob"/>
    <m/>
    <s v="CO2-Entwicklung"/>
    <m/>
    <n v="3.1"/>
    <n v="50"/>
    <n v="6.2E-2"/>
    <m/>
    <n v="2"/>
    <s v=""/>
    <s v=""/>
    <s v=""/>
    <s v=""/>
    <s v=""/>
    <s v=""/>
    <n v="1"/>
    <x v="4"/>
    <x v="47"/>
    <s v="Plastik Leak Project"/>
    <s v="CB (März 2020)"/>
    <s v="ja"/>
    <s v="ja"/>
    <m/>
    <m/>
    <m/>
    <s v="nein"/>
    <s v="ja"/>
    <m/>
    <s v="Dichte aus anderem Paper übernommen"/>
  </r>
  <r>
    <s v="PP+"/>
    <s v="PP/Stärke"/>
    <s v="ja"/>
    <s v="Zusätze"/>
    <s v="Strips"/>
    <n v="0.48"/>
    <n v="1E-4"/>
    <n v="0.90300000000000002"/>
    <s v="Plastarch: A blend of polypropylene with corn starch."/>
    <s v="The soil media used for the experiments was a mixture of 43% certified organic top soil, 43% no-till farm soil and 14% sand. The soil media was amended with ammonium phosphate (Fisher Scientific, PA, U.S.) to maintain a C:N ratio of 20:1 based on the carbon content of the test specimen."/>
    <m/>
    <s v="nein"/>
    <s v="Soil"/>
    <s v="Boden/Kompost"/>
    <s v="ja"/>
    <m/>
    <n v="7.43"/>
    <m/>
    <m/>
    <s v="aerob"/>
    <m/>
    <s v="CO2-Entwicklung"/>
    <m/>
    <n v="31.3"/>
    <n v="660"/>
    <n v="0"/>
    <m/>
    <n v="2"/>
    <s v=""/>
    <s v=""/>
    <s v=""/>
    <s v=""/>
    <s v=""/>
    <s v=""/>
    <n v="1"/>
    <x v="4"/>
    <x v="47"/>
    <s v="Plastik Leak Project"/>
    <s v="CB (März 2020)"/>
    <s v="ja"/>
    <s v="ja"/>
    <m/>
    <m/>
    <m/>
    <s v="nein"/>
    <s v="ja"/>
    <m/>
    <s v="Dichte aus anderem Paper übernommen"/>
  </r>
  <r>
    <s v="PP+"/>
    <s v="PP/Stärke"/>
    <s v="ja"/>
    <s v="Zusätze"/>
    <s v="Strips"/>
    <n v="0.48"/>
    <n v="1E-4"/>
    <n v="0.90300000000000002"/>
    <s v="Plastarch: A blend of polypropylene with corn starch."/>
    <s v="An 80 g sample of each test specimenwas mixed with 350 g dry of mature compost inoculum. The compost contained a mixture of dairy manure and hardwood sawdust as described elsewhere. The screened compost was amended with ammonium phosphate (Fisher Scientific, PA, U.S.) to give a C:N ratio of 20:1 including the carbon content of the test specimen. The initial moisture content of the mixture was adjusted to 60%."/>
    <m/>
    <s v="nein"/>
    <s v="Compost"/>
    <s v="Boden/Kompost"/>
    <s v="ja"/>
    <n v="55"/>
    <n v="7.95"/>
    <m/>
    <n v="60"/>
    <s v="aerob"/>
    <s v="air was saturated by bubbling through bottles containing water at the incubator temperature"/>
    <s v="CO2-Entwicklung"/>
    <m/>
    <n v="51.3"/>
    <n v="115"/>
    <n v="0"/>
    <m/>
    <n v="2"/>
    <s v=""/>
    <s v=""/>
    <s v=""/>
    <s v=""/>
    <s v=""/>
    <s v=""/>
    <n v="1"/>
    <x v="4"/>
    <x v="47"/>
    <s v="Plastik Leak Project"/>
    <s v="CB (März 2020)"/>
    <s v="ja"/>
    <s v="ja"/>
    <m/>
    <m/>
    <m/>
    <s v="nein"/>
    <s v="ja"/>
    <m/>
    <s v="Dichte aus anderem Paper übernommen"/>
  </r>
  <r>
    <s v="PP+"/>
    <s v="PP/Stärke"/>
    <s v="ja"/>
    <s v="Zusätze"/>
    <s v="Strips"/>
    <n v="0.48"/>
    <n v="1E-4"/>
    <n v="0.90300000000000002"/>
    <s v="Plastarch: A blend of polypropylene with corn starch."/>
    <m/>
    <m/>
    <s v="nein"/>
    <s v="Anaerobic digestion (AD)"/>
    <s v="Boden/Kompost"/>
    <s v="ja"/>
    <n v="37"/>
    <n v="8.3000000000000007"/>
    <m/>
    <m/>
    <s v="anaerob"/>
    <m/>
    <s v="CO2-Entwicklung"/>
    <m/>
    <n v="26.4"/>
    <n v="50"/>
    <n v="0"/>
    <m/>
    <n v="2"/>
    <s v=""/>
    <s v=""/>
    <s v=""/>
    <s v=""/>
    <s v=""/>
    <s v=""/>
    <n v="1"/>
    <x v="4"/>
    <x v="47"/>
    <s v="Plastik Leak Project"/>
    <s v="CB (März 2020)"/>
    <s v="ja"/>
    <s v="ja"/>
    <m/>
    <m/>
    <m/>
    <s v="nein"/>
    <s v="ja"/>
    <m/>
    <s v="Dichte aus anderem Paper übernommen"/>
  </r>
  <r>
    <s v="PPC"/>
    <s v="Poly (propylene carbonate), PPC"/>
    <s v="nein"/>
    <m/>
    <s v="no value"/>
    <s v="no value"/>
    <s v="no value"/>
    <n v="0.90300000000000002"/>
    <m/>
    <m/>
    <m/>
    <s v="nein"/>
    <s v="inoculum made of farmland soil and mineral salt solution"/>
    <s v="Labor"/>
    <s v="nein"/>
    <n v="30"/>
    <m/>
    <m/>
    <m/>
    <s v="aerob"/>
    <m/>
    <s v="CO2-Entwicklung"/>
    <m/>
    <n v="3.38"/>
    <n v="14"/>
    <n v="0.24142857142857141"/>
    <m/>
    <s v=""/>
    <s v=""/>
    <s v=""/>
    <s v=""/>
    <s v=""/>
    <s v=""/>
    <s v=""/>
    <n v="1"/>
    <x v="2"/>
    <x v="4"/>
    <s v="Plastik Leak Project"/>
    <s v="CB (März 2020)"/>
    <s v="ja"/>
    <s v="ja"/>
    <m/>
    <m/>
    <m/>
    <s v="nein"/>
    <s v="ja"/>
    <m/>
    <s v="Dichte aus anderem Paper übernommen"/>
  </r>
  <r>
    <s v="HDPE+"/>
    <s v="HDPE/catalyst"/>
    <s v="ja"/>
    <s v="Zusätze"/>
    <s v="Strips"/>
    <n v="0.05"/>
    <n v="3.0000000000000001E-3"/>
    <n v="0.94950000000000001"/>
    <s v="HDPE + pro-oxidant"/>
    <m/>
    <m/>
    <s v="ja"/>
    <s v="Sonne"/>
    <s v="Sonne"/>
    <s v="nein"/>
    <m/>
    <m/>
    <m/>
    <m/>
    <s v="aerob"/>
    <m/>
    <s v="Gewichtsverlust"/>
    <m/>
    <n v="22.7"/>
    <n v="150"/>
    <n v="0.15133333333333332"/>
    <m/>
    <n v="2"/>
    <s v=""/>
    <s v=""/>
    <s v=""/>
    <s v=""/>
    <s v=""/>
    <s v=""/>
    <n v="1"/>
    <x v="4"/>
    <x v="24"/>
    <s v="Chamas et al. 2020"/>
    <m/>
    <s v="ja"/>
    <s v="ja"/>
    <s v="ja"/>
    <s v="ja"/>
    <s v="Ja"/>
    <s v="ja"/>
    <s v="ja"/>
    <m/>
    <s v="Dichte aus anderem Paper übernommen (Achtung: additives wurden bei der Dichte außer Acht gelassen)"/>
  </r>
  <r>
    <s v="PS"/>
    <s v="PS"/>
    <s v="ja"/>
    <s v="Mikroorganismen"/>
    <s v="Flakes"/>
    <n v="0.05"/>
    <n v="1E-4"/>
    <n v="1.05"/>
    <s v="trash at a beach"/>
    <s v="whethered PS, having been artificially exposed to microorganisms for 6 months"/>
    <s v="indingenuous - Kiloniellaceae, Alcanivoracaceae, Brucellaceae, Flavobacteriaceae, Pseudomonadaceae, Bacillaceae and Pseudonocardiaceae"/>
    <s v="nein"/>
    <s v="enriched seawater"/>
    <s v="Meerwasser"/>
    <s v="ja"/>
    <m/>
    <m/>
    <m/>
    <m/>
    <m/>
    <m/>
    <s v="Gewichtsverlust"/>
    <m/>
    <n v="2.2999999999999998"/>
    <n v="180"/>
    <n v="1.2777777777777777E-2"/>
    <m/>
    <n v="2"/>
    <s v=""/>
    <s v=""/>
    <s v=""/>
    <s v=""/>
    <s v=""/>
    <s v=""/>
    <n v="1"/>
    <x v="4"/>
    <x v="117"/>
    <s v="Plastic Leak Project"/>
    <s v="CB (März 2020)"/>
    <s v="ja "/>
    <s v="ja "/>
    <m/>
    <m/>
    <m/>
    <s v="nein"/>
    <s v="ja"/>
    <m/>
    <s v="Dichte aus anderem Paper übernommen"/>
  </r>
  <r>
    <s v="PS"/>
    <s v="PS"/>
    <s v="ja"/>
    <s v="Mikroorganismen"/>
    <s v="Flakes"/>
    <n v="0.05"/>
    <n v="1E-4"/>
    <n v="1.05"/>
    <s v="trash at a beach"/>
    <s v="whethered PS"/>
    <s v="as indigenuous (see above) + Rhodococcus, Shewanella and Pseudomonas"/>
    <s v="nein"/>
    <s v="enriched seawater"/>
    <s v="Meerwasser"/>
    <s v="ja"/>
    <m/>
    <m/>
    <m/>
    <m/>
    <s v="aerob"/>
    <m/>
    <s v="Gewichtsverlust"/>
    <m/>
    <n v="4.7"/>
    <n v="180"/>
    <n v="2.6111111111111113E-2"/>
    <m/>
    <n v="2"/>
    <s v=""/>
    <s v=""/>
    <s v=""/>
    <s v=""/>
    <s v=""/>
    <s v=""/>
    <n v="1"/>
    <x v="4"/>
    <x v="117"/>
    <s v="Plastic Leak Project"/>
    <s v="CB (März 2020)"/>
    <s v="ja "/>
    <s v="ja "/>
    <m/>
    <m/>
    <m/>
    <s v="nein"/>
    <s v="ja"/>
    <m/>
    <s v="Dichte aus anderem Paper übernommen"/>
  </r>
  <r>
    <s v="PS"/>
    <s v="PS"/>
    <s v="ja"/>
    <s v="Mikroorganismen"/>
    <s v="Flakes"/>
    <n v="0.05"/>
    <n v="1E-4"/>
    <n v="1.05"/>
    <s v="trash at a beach"/>
    <s v="whethered PS, having been artificially exposed to microorganisms for 6 months"/>
    <s v="as indigenuous (see above) + Rhodococcus, Shewanella and Pseudomonas"/>
    <s v="nein"/>
    <s v="enriched seawater"/>
    <s v="Meerwasser"/>
    <s v="ja"/>
    <m/>
    <m/>
    <m/>
    <m/>
    <m/>
    <m/>
    <s v="Gewichtsverlust"/>
    <m/>
    <n v="4.7"/>
    <n v="180"/>
    <n v="2.6111111111111113E-2"/>
    <m/>
    <n v="2"/>
    <s v=""/>
    <s v=""/>
    <s v=""/>
    <s v=""/>
    <s v=""/>
    <s v=""/>
    <n v="1"/>
    <x v="4"/>
    <x v="117"/>
    <s v="Plastic Leak Project"/>
    <s v="CB (März 2020)"/>
    <s v="ja "/>
    <s v="ja "/>
    <m/>
    <m/>
    <m/>
    <s v="nein"/>
    <s v="ja"/>
    <m/>
    <s v="Dichte aus anderem Paper übernommen"/>
  </r>
  <r>
    <s v="PS"/>
    <s v="PS"/>
    <s v="ja"/>
    <s v="Mikroorganismen"/>
    <s v="Flakes"/>
    <n v="0.05"/>
    <n v="1E-4"/>
    <n v="1.05"/>
    <s v="trash at a beach"/>
    <s v="whethered PS"/>
    <s v="indingenuous - Kiloniellaceae, Alcanivoracaceae, Brucellaceae, Flavobacteriaceae, Pseudomonadaceae, Bacillaceae and Pseudonocardiaceae"/>
    <s v="nein"/>
    <s v="enriched seawater"/>
    <s v="Meerwasser"/>
    <s v="ja"/>
    <m/>
    <m/>
    <m/>
    <m/>
    <s v="aerob"/>
    <m/>
    <s v="Gewichtsverlust"/>
    <m/>
    <n v="0.19"/>
    <n v="180"/>
    <n v="1.0555555555555557E-3"/>
    <m/>
    <n v="2"/>
    <s v=""/>
    <s v=""/>
    <s v=""/>
    <s v=""/>
    <s v=""/>
    <s v=""/>
    <n v="1"/>
    <x v="4"/>
    <x v="117"/>
    <s v="Plastic Leak Project"/>
    <s v="CB (März 2020)"/>
    <s v="ja "/>
    <s v="ja "/>
    <m/>
    <m/>
    <m/>
    <s v="nein"/>
    <s v="ja"/>
    <m/>
    <s v="Dichte aus anderem Paper übernommen"/>
  </r>
  <r>
    <s v="HDPE+"/>
    <s v="HDPE/Stärke (95/5%)"/>
    <s v="ja"/>
    <s v="Zusätze"/>
    <s v="Strips"/>
    <n v="0.27"/>
    <n v="3.0000000000000001E-3"/>
    <n v="0.94950000000000001"/>
    <s v="BioBag"/>
    <m/>
    <m/>
    <s v="ja"/>
    <s v="Sonne"/>
    <s v="Sonne"/>
    <s v="nein"/>
    <m/>
    <m/>
    <m/>
    <m/>
    <s v="aerob"/>
    <m/>
    <s v="Gewichtsverlust"/>
    <m/>
    <n v="11.3"/>
    <n v="150"/>
    <n v="7.5333333333333335E-2"/>
    <m/>
    <n v="2"/>
    <s v=""/>
    <s v=""/>
    <s v=""/>
    <s v=""/>
    <s v=""/>
    <s v=""/>
    <n v="1"/>
    <x v="4"/>
    <x v="24"/>
    <s v="Chamas et al. 2020"/>
    <m/>
    <s v="ja"/>
    <s v="ja"/>
    <s v="ja"/>
    <s v="ja"/>
    <s v="Ja"/>
    <s v="ja"/>
    <s v="ja"/>
    <m/>
    <s v="Dichte aus anderem Paper übernommen (Achtung: additives wurden bei der Dichte außer Acht gelassen)"/>
  </r>
  <r>
    <s v="LDPE+"/>
    <s v="LDPE/catalyst"/>
    <s v="ja"/>
    <s v="Zusätze"/>
    <s v="Strips"/>
    <n v="0.13"/>
    <n v="3.0000000000000001E-3"/>
    <n v="0.92649999999999999"/>
    <s v="LDPE + pro-oxidant"/>
    <m/>
    <m/>
    <s v="ja"/>
    <s v="Sonne"/>
    <s v="Sonne"/>
    <s v="nein"/>
    <m/>
    <m/>
    <m/>
    <m/>
    <s v="aerob"/>
    <m/>
    <s v="Gewichtsverlust"/>
    <m/>
    <n v="5.4"/>
    <n v="150"/>
    <n v="3.6000000000000004E-2"/>
    <m/>
    <n v="2"/>
    <s v=""/>
    <s v=""/>
    <s v=""/>
    <s v=""/>
    <s v=""/>
    <s v=""/>
    <n v="1"/>
    <x v="4"/>
    <x v="24"/>
    <s v="Chamas et al. 2020"/>
    <m/>
    <s v="ja"/>
    <s v="ja"/>
    <s v="ja"/>
    <s v="ja"/>
    <s v="Ja"/>
    <s v="ja"/>
    <s v="ja"/>
    <m/>
    <s v="Dichte aus anderem Paper übernommen (Achtung: additives wurden bei der Dichte außer Acht gelassen)"/>
  </r>
  <r>
    <s v="PS"/>
    <s v="PS"/>
    <s v="ja"/>
    <s v="Mikroorganismen"/>
    <s v="no value"/>
    <s v="no value"/>
    <m/>
    <s v="--"/>
    <m/>
    <s v="ozonation"/>
    <s v="fungus Penicillium variabile CCF3219"/>
    <s v="nein"/>
    <s v="mineral liquid"/>
    <s v="Labor"/>
    <s v="nein"/>
    <m/>
    <m/>
    <m/>
    <m/>
    <m/>
    <m/>
    <s v="CO2-Entwicklung"/>
    <m/>
    <m/>
    <m/>
    <e v="#DIV/0!"/>
    <m/>
    <s v=""/>
    <s v=""/>
    <s v=""/>
    <s v=""/>
    <s v=""/>
    <s v=""/>
    <s v=""/>
    <n v="0"/>
    <x v="1"/>
    <x v="118"/>
    <s v="Raddadi &amp; Fava (2019)"/>
    <s v="CG (Mai 2020)"/>
    <s v="ja"/>
    <s v="nein"/>
    <m/>
    <m/>
    <m/>
    <m/>
    <s v="nicht vorgesehen"/>
    <s v="https://www.sciencedirect.com/science/article/abs/pii/S1871678416323214"/>
    <s v="Experimente mit Mikroorganismen im Labor (weder Boden noch Wasser)"/>
  </r>
  <r>
    <s v="PS"/>
    <s v="PS"/>
    <s v="ja"/>
    <s v="Mikroorganismen"/>
    <s v="no value"/>
    <s v="no value"/>
    <m/>
    <s v="--"/>
    <m/>
    <m/>
    <s v="Exiguobacterium sp."/>
    <m/>
    <m/>
    <m/>
    <s v="nein"/>
    <m/>
    <m/>
    <m/>
    <m/>
    <m/>
    <m/>
    <m/>
    <m/>
    <m/>
    <m/>
    <e v="#DIV/0!"/>
    <m/>
    <s v=""/>
    <s v=""/>
    <s v=""/>
    <s v=""/>
    <s v=""/>
    <s v=""/>
    <s v=""/>
    <n v="0"/>
    <x v="1"/>
    <x v="119"/>
    <s v="Raddadi &amp; Fava (2019)"/>
    <s v="CG (Mai 2020)"/>
    <s v="ja"/>
    <s v="nein"/>
    <m/>
    <m/>
    <m/>
    <m/>
    <s v="nicht vorgesehen"/>
    <s v="https://pubs.acs.org/doi/pdf/10.1021/acs.est.5b02663"/>
    <s v="Experimente mit Mikroorganismen im Labor (weder Boden noch Wasser)"/>
  </r>
  <r>
    <s v="PS"/>
    <s v="PS (with indigenous bacteria)"/>
    <s v="nein"/>
    <m/>
    <s v="Flakes"/>
    <s v="no value"/>
    <n v="1E-4"/>
    <n v="1.05"/>
    <s v="Polystyrene pieces were collected form sandy beaches in Northern Crete. "/>
    <s v="natural weathering; sterilized with 70% ethanol solution overnight; dried at 50 °C for 24 h"/>
    <s v="indigenous marine bacteria"/>
    <s v="(ja)"/>
    <s v="enriched filtered saline water (C:N:P ratio of 100:10:1)"/>
    <s v="Meerwasser"/>
    <s v="ja"/>
    <m/>
    <m/>
    <m/>
    <m/>
    <m/>
    <m/>
    <s v="Gewichtsverlust"/>
    <m/>
    <n v="0.19"/>
    <n v="180"/>
    <n v="1.0555555555555557E-3"/>
    <m/>
    <n v="2"/>
    <s v=""/>
    <s v=""/>
    <s v=""/>
    <s v=""/>
    <s v=""/>
    <s v=""/>
    <n v="1"/>
    <x v="3"/>
    <x v="120"/>
    <s v="Raddadi &amp; Fava (2019); Chamas et al. 2020"/>
    <s v="CG (Mai 2020)"/>
    <s v="ja"/>
    <s v="ja"/>
    <m/>
    <m/>
    <m/>
    <s v="ja"/>
    <s v="ja"/>
    <m/>
    <s v="Dichte aus anderem Paper übernommen"/>
  </r>
  <r>
    <s v="PS"/>
    <s v="PS (with additional competent strains)"/>
    <s v="nein"/>
    <m/>
    <s v="Flakes"/>
    <s v="no value"/>
    <n v="1E-4"/>
    <n v="1.05"/>
    <s v="Polystyrene pieces were collected form sandy beaches in Northern Crete. "/>
    <s v="natural weathering; sterilized with 70% ethanol solution overnight; dried at 50 °C for 24 h"/>
    <s v="indigenous marine bacteria + competent strains able to use PS as sole carbon source affiliated with the genera Rhodococcus, Shewanella and Pseudomonas"/>
    <s v="(ja)"/>
    <s v="enriched filtered saline water (C:N:P ratio of 100:10:1)"/>
    <s v="Meerwasser"/>
    <s v="ja"/>
    <m/>
    <m/>
    <m/>
    <m/>
    <m/>
    <m/>
    <s v="Gewichtsverlust"/>
    <m/>
    <n v="4.7"/>
    <n v="180"/>
    <n v="2.6111111111111113E-2"/>
    <m/>
    <n v="2"/>
    <s v=""/>
    <s v=""/>
    <s v=""/>
    <s v=""/>
    <s v=""/>
    <s v=""/>
    <n v="1"/>
    <x v="3"/>
    <x v="120"/>
    <s v="Raddadi &amp; Fava (2019); Chamas et al. 2020"/>
    <s v="CG (Mai 2020)"/>
    <s v="ja"/>
    <s v="ja"/>
    <m/>
    <m/>
    <m/>
    <s v="ja"/>
    <s v="ja"/>
    <m/>
    <s v="Dichte aus anderem Paper übernommen"/>
  </r>
  <r>
    <s v="PS"/>
    <s v="PS (with indigenous bacteria)"/>
    <s v="nein"/>
    <m/>
    <s v="Flakes"/>
    <s v="no value"/>
    <n v="1E-4"/>
    <n v="1.05"/>
    <s v="Polystyrene pieces were collected form sandy beaches in Northern Crete. "/>
    <s v="natural weathering; sterilized with 70% ethanol solution overnight; dried at 50 °C for 24 h"/>
    <s v="indigenous marine bacteria  that had been feeding on PS exclusively for 6 months"/>
    <s v="(ja)"/>
    <s v="enriched filtered saline water (C:N:P ratio of 100:10:1)"/>
    <s v="Meerwasser"/>
    <s v="ja"/>
    <m/>
    <m/>
    <m/>
    <m/>
    <m/>
    <m/>
    <s v="Gewichtsverlust"/>
    <m/>
    <n v="2.2999999999999998"/>
    <n v="180"/>
    <n v="1.2777777777777777E-2"/>
    <m/>
    <n v="2"/>
    <s v=""/>
    <s v=""/>
    <s v=""/>
    <s v=""/>
    <s v=""/>
    <s v=""/>
    <n v="1"/>
    <x v="3"/>
    <x v="120"/>
    <s v="Raddadi &amp; Fava (2019); Chamas et al. 2020"/>
    <s v="CG (Mai 2020)"/>
    <s v="ja"/>
    <s v="ja"/>
    <m/>
    <m/>
    <m/>
    <s v="ja"/>
    <s v="ja"/>
    <m/>
    <s v="Dichte aus anderem Paper übernommen"/>
  </r>
  <r>
    <s v="PS"/>
    <s v="PS (with additional competent strains)"/>
    <s v="nein"/>
    <m/>
    <s v="Flakes"/>
    <s v="no value"/>
    <n v="1E-4"/>
    <n v="1.05"/>
    <s v="Polystyrene pieces were collected form sandy beaches in Northern Crete. "/>
    <s v="natural weathering; sterilized with 70% ethanol solution overnight; dried at 50 °C for 24 h"/>
    <s v="indigenous marine bacteria + competent strains able to use PS as sole carbon source affiliated with the genera Rhodococcus, Shewanella and Pseudomonas that had both been feeding on PS exclusively for 6 months"/>
    <s v="(ja)"/>
    <s v="enriched filtered saline water (C:N:P ratio of 100:10:1)"/>
    <s v="Meerwasser"/>
    <s v="ja"/>
    <m/>
    <m/>
    <m/>
    <m/>
    <m/>
    <m/>
    <s v="Gewichtsverlust"/>
    <m/>
    <n v="4.7"/>
    <n v="180"/>
    <n v="2.6111111111111113E-2"/>
    <m/>
    <n v="2"/>
    <s v=""/>
    <s v=""/>
    <s v=""/>
    <s v=""/>
    <s v=""/>
    <s v=""/>
    <n v="1"/>
    <x v="3"/>
    <x v="120"/>
    <s v="Raddadi &amp; Fava (2019); Chamas et al. 2020"/>
    <s v="CG (Mai 2020)"/>
    <s v="ja"/>
    <s v="ja"/>
    <m/>
    <m/>
    <m/>
    <s v="ja"/>
    <s v="ja"/>
    <m/>
    <s v="Dichte aus anderem Paper übernommen"/>
  </r>
  <r>
    <s v="PS"/>
    <s v="PS premium cup for whiskey bottle"/>
    <m/>
    <m/>
    <s v="Flakes"/>
    <s v="no value"/>
    <s v="no value"/>
    <n v="1.05"/>
    <s v="Cup of a whiskey bottle"/>
    <s v="previously buried in garden soil"/>
    <s v="bacteria were extracted by phosphate buffer from the garden soil and incubated for 48 h at 35°C on standard broth agar"/>
    <s v="ja"/>
    <s v="garden soil"/>
    <s v="Boden/Kompost"/>
    <s v="ja"/>
    <m/>
    <m/>
    <m/>
    <m/>
    <m/>
    <m/>
    <s v="Sonstiges"/>
    <s v="Schätzung"/>
    <m/>
    <m/>
    <e v="#DIV/0!"/>
    <m/>
    <n v="2"/>
    <s v=""/>
    <s v=""/>
    <s v=""/>
    <s v=""/>
    <s v=""/>
    <s v=""/>
    <n v="1"/>
    <x v="3"/>
    <x v="6"/>
    <s v="Chamas et al. 2020"/>
    <s v="CG (Mai 2020)"/>
    <m/>
    <m/>
    <m/>
    <m/>
    <m/>
    <s v="ja"/>
    <s v="ja"/>
    <m/>
    <s v="Dichte aus anderem Paper übernommen"/>
  </r>
  <r>
    <s v="PS+"/>
    <s v="PS + 2% additive"/>
    <s v="ja"/>
    <s v="Zusätze"/>
    <s v="Strips"/>
    <n v="0.23"/>
    <n v="1E-4"/>
    <n v="1.05"/>
    <s v="Blend of polystyrene (PS) with 2% ECM MasterBatch Pellets  additive (ECM BioFilms Inc., OH, U.S.)"/>
    <s v="The soil media used for the experiments was a mixture of 43% certified organic top soil, 43% no-till farm soil and 14% sand. The soil media was amended with ammonium phosphate (Fisher Scientific, PA, U.S.) to maintain a C:N ratio of 20:1 based on the carbon content of the test specimen."/>
    <m/>
    <s v="nein"/>
    <s v="Soil"/>
    <s v="Boden/Kompost"/>
    <s v="ja"/>
    <m/>
    <n v="7.43"/>
    <m/>
    <m/>
    <s v="aerob"/>
    <m/>
    <s v="CO2-Entwicklung"/>
    <m/>
    <s v="0,9-1,0"/>
    <n v="660"/>
    <n v="0"/>
    <m/>
    <n v="2"/>
    <s v=""/>
    <s v=""/>
    <s v=""/>
    <s v=""/>
    <s v=""/>
    <s v=""/>
    <n v="1"/>
    <x v="4"/>
    <x v="47"/>
    <s v="Plastik Leak Project"/>
    <s v="CB (März 2020)"/>
    <s v="ja"/>
    <s v="ja"/>
    <m/>
    <m/>
    <m/>
    <s v="nein"/>
    <s v="ja"/>
    <m/>
    <s v="Dichte aus anderem Paper übernommen"/>
  </r>
  <r>
    <s v="PCL"/>
    <s v="PCL"/>
    <s v="nein"/>
    <m/>
    <s v="Film"/>
    <n v="0.1"/>
    <s v="no value"/>
    <n v="1.1100000000000001"/>
    <m/>
    <m/>
    <m/>
    <s v="(ja)"/>
    <s v="Seewasser (Labor)"/>
    <s v="Süßwasser"/>
    <s v="ja"/>
    <n v="25"/>
    <m/>
    <m/>
    <m/>
    <s v="aerob"/>
    <m/>
    <s v="biochemical oxygen demand (BOD)"/>
    <m/>
    <n v="77"/>
    <n v="28"/>
    <n v="2.75"/>
    <m/>
    <n v="2"/>
    <n v="20000"/>
    <n v="1.8018018018018018E-2"/>
    <n v="501.875"/>
    <n v="1"/>
    <n v="501.87500000000006"/>
    <s v="PCL_Süßwasser_natürlich"/>
    <n v="1"/>
    <x v="6"/>
    <x v="61"/>
    <s v="Dilkes-Hoffman et al. 2019"/>
    <m/>
    <s v="ja "/>
    <s v="ja "/>
    <s v="ja "/>
    <s v="biodegradable"/>
    <m/>
    <s v="nein"/>
    <s v="ja"/>
    <m/>
    <s v="Dichte von Rodion übernommen"/>
  </r>
  <r>
    <s v="PU"/>
    <s v="PU (Polyether-urea-urethane)"/>
    <s v="nein"/>
    <m/>
    <s v="Strips"/>
    <n v="2"/>
    <s v="no value"/>
    <n v="1.2"/>
    <s v="cut into dumb-bell shaped samples according to PN-EN ISO Standard"/>
    <m/>
    <s v="keine"/>
    <s v="nein"/>
    <s v="Meerwasser (Labor)"/>
    <s v="Meerwasser"/>
    <s v="ja"/>
    <s v="19,5 - 21"/>
    <s v="7,6 -8,7"/>
    <m/>
    <m/>
    <s v="aerob"/>
    <m/>
    <s v="Gewichtsverlust"/>
    <m/>
    <n v="0"/>
    <n v="365"/>
    <n v="0"/>
    <m/>
    <n v="2"/>
    <s v=""/>
    <s v=""/>
    <s v=""/>
    <n v="1"/>
    <n v="0"/>
    <s v="PU_Meerwasser_nicht natürlich"/>
    <n v="1"/>
    <x v="7"/>
    <x v="121"/>
    <m/>
    <m/>
    <s v="ja "/>
    <s v="ja "/>
    <m/>
    <m/>
    <m/>
    <s v="nein"/>
    <s v="ja"/>
    <m/>
    <s v="Dichte aus anderem Paper übernommen"/>
  </r>
  <r>
    <s v="PU"/>
    <s v="PU (PUA)"/>
    <s v="nein"/>
    <m/>
    <s v="Strips"/>
    <n v="2"/>
    <s v="no value"/>
    <n v="1.2"/>
    <s v="cut into dumb-bell shaped samples according to PN-EN ISO Standard"/>
    <m/>
    <s v="keine"/>
    <s v="nein"/>
    <s v="Meerwasser (Labor)"/>
    <s v="Meerwasser"/>
    <s v="ja"/>
    <s v="19,5 - 21"/>
    <s v="7,6 -8,7"/>
    <m/>
    <m/>
    <s v="aerob"/>
    <m/>
    <s v="Gewichtsverlust"/>
    <m/>
    <n v="0"/>
    <n v="365"/>
    <n v="0"/>
    <m/>
    <n v="2"/>
    <s v=""/>
    <s v=""/>
    <s v=""/>
    <n v="1"/>
    <n v="0"/>
    <s v="PU_Meerwasser_nicht natürlich"/>
    <n v="1"/>
    <x v="7"/>
    <x v="121"/>
    <m/>
    <m/>
    <s v="ja "/>
    <s v="ja "/>
    <m/>
    <m/>
    <m/>
    <s v="nein"/>
    <s v="ja"/>
    <m/>
    <s v="Dichte aus anderem Paper übernommen"/>
  </r>
  <r>
    <s v="PU"/>
    <s v="PU (PUB)"/>
    <s v="nein"/>
    <m/>
    <s v="Strips"/>
    <n v="2"/>
    <s v="no value"/>
    <n v="1.2"/>
    <s v="cut into dumb-bell shaped samples according to PN-EN ISO Standard"/>
    <m/>
    <s v="keine"/>
    <s v="nein"/>
    <s v="Meerwasser (Labor)"/>
    <s v="Meerwasser"/>
    <s v="ja"/>
    <s v="19,5 - 21"/>
    <s v="7,6 -8,7"/>
    <m/>
    <m/>
    <s v="aerob"/>
    <m/>
    <s v="Gewichtsverlust"/>
    <m/>
    <n v="0"/>
    <n v="365"/>
    <n v="0"/>
    <m/>
    <n v="2"/>
    <s v=""/>
    <s v=""/>
    <s v=""/>
    <n v="1"/>
    <n v="0"/>
    <s v="PU_Meerwasser_nicht natürlich"/>
    <n v="1"/>
    <x v="7"/>
    <x v="121"/>
    <m/>
    <m/>
    <s v="ja "/>
    <s v="ja "/>
    <m/>
    <m/>
    <m/>
    <s v="nein"/>
    <s v="ja"/>
    <m/>
    <s v="Dichte aus anderem Paper übernommen"/>
  </r>
  <r>
    <s v="PCL"/>
    <s v="PCL"/>
    <s v="nein"/>
    <m/>
    <s v="Film"/>
    <n v="0.1"/>
    <s v="no value"/>
    <n v="1.1100000000000001"/>
    <m/>
    <m/>
    <m/>
    <s v="(ja)"/>
    <s v="Meerwasser (aus einer Bucht, Labor)"/>
    <s v="Meerwasser"/>
    <s v="ja"/>
    <n v="25"/>
    <m/>
    <m/>
    <m/>
    <s v="aerob"/>
    <m/>
    <s v="Gewichtsverlust"/>
    <m/>
    <n v="100"/>
    <n v="28"/>
    <n v="3.5714285714285716"/>
    <m/>
    <n v="2"/>
    <n v="20000"/>
    <n v="1.8018018018018018E-2"/>
    <n v="651.78571428571433"/>
    <n v="1"/>
    <n v="651.78571428571445"/>
    <s v="PCL_Meerwasser_natürlich"/>
    <n v="1"/>
    <x v="6"/>
    <x v="61"/>
    <s v="Dilkes-Hoffman et al. 2019"/>
    <m/>
    <s v="ja "/>
    <s v="ja "/>
    <s v="ja "/>
    <s v="biodegradable"/>
    <m/>
    <s v="nein"/>
    <s v="ja"/>
    <m/>
    <s v="Dichte von Rodion übernommen"/>
  </r>
  <r>
    <s v="PCL"/>
    <s v="PCL"/>
    <s v="nein"/>
    <m/>
    <s v="Film"/>
    <n v="0.1"/>
    <s v="no value"/>
    <n v="1.1100000000000001"/>
    <m/>
    <m/>
    <m/>
    <s v="(ja)"/>
    <s v="Meerwasser (aus einer Bucht, Labor)"/>
    <s v="Meerwasser"/>
    <s v="ja"/>
    <n v="25"/>
    <m/>
    <m/>
    <m/>
    <s v="aerob"/>
    <m/>
    <s v="biochemical oxygen demand (BOD)"/>
    <m/>
    <n v="79"/>
    <n v="28"/>
    <n v="2.8214285714285716"/>
    <m/>
    <n v="2"/>
    <n v="20000"/>
    <n v="1.8018018018018018E-2"/>
    <n v="514.91071428571433"/>
    <n v="1"/>
    <n v="514.91071428571433"/>
    <s v="PCL_Meerwasser_natürlich"/>
    <n v="1"/>
    <x v="6"/>
    <x v="61"/>
    <s v="Dilkes-Hoffman et al. 2019"/>
    <m/>
    <s v="ja "/>
    <s v="ja "/>
    <s v="ja "/>
    <s v="biodegradable"/>
    <m/>
    <s v="nein"/>
    <s v="ja"/>
    <m/>
    <s v="Dichte von Rodion übernommen"/>
  </r>
  <r>
    <s v="PCL"/>
    <s v="PCL"/>
    <s v="nein"/>
    <m/>
    <s v="Film"/>
    <n v="0.1"/>
    <s v="no value"/>
    <n v="1.1100000000000001"/>
    <m/>
    <m/>
    <m/>
    <s v="(ja)"/>
    <s v="Meerwasser (aus dem Ozean, Labor)"/>
    <s v="Meerwasser"/>
    <s v="ja"/>
    <n v="25"/>
    <m/>
    <m/>
    <m/>
    <s v="aerob"/>
    <m/>
    <s v="Gewichtsverlust"/>
    <m/>
    <n v="67"/>
    <n v="28"/>
    <n v="2.3928571428571428"/>
    <m/>
    <n v="2"/>
    <n v="20000"/>
    <n v="1.8018018018018018E-2"/>
    <n v="436.69642857142856"/>
    <n v="1"/>
    <n v="436.69642857142856"/>
    <s v="PCL_Meerwasser_natürlich"/>
    <n v="1"/>
    <x v="6"/>
    <x v="61"/>
    <s v="Dilkes-Hoffman et al. 2019"/>
    <m/>
    <s v="ja "/>
    <s v="ja "/>
    <s v="ja "/>
    <s v="biodegradable"/>
    <m/>
    <s v="nein"/>
    <s v="ja"/>
    <m/>
    <s v="Dichte von Rodion übernommen"/>
  </r>
  <r>
    <s v="PVA"/>
    <s v="Poly (vinyl alcohol), PVA"/>
    <s v="nein"/>
    <m/>
    <s v="no value"/>
    <s v="no value"/>
    <s v="no value"/>
    <n v="1.4075000000000002"/>
    <m/>
    <m/>
    <m/>
    <s v="nein"/>
    <s v="inoculum made of farmland soil and mineral salt solution"/>
    <s v="Labor"/>
    <s v="nein"/>
    <n v="30"/>
    <m/>
    <m/>
    <m/>
    <s v="aerob"/>
    <m/>
    <s v="CO2-Entwicklung"/>
    <m/>
    <n v="5.0199999999999996"/>
    <n v="14"/>
    <n v="0.35857142857142854"/>
    <m/>
    <s v=""/>
    <s v=""/>
    <s v=""/>
    <s v=""/>
    <s v=""/>
    <s v=""/>
    <s v=""/>
    <n v="1"/>
    <x v="2"/>
    <x v="4"/>
    <s v="Plastik Leak Project"/>
    <s v="CB (März 2020)"/>
    <s v="ja"/>
    <s v="ja"/>
    <m/>
    <m/>
    <m/>
    <s v="nein"/>
    <s v="ja"/>
    <m/>
    <s v="Dichte aus anderem Paper übernommen"/>
  </r>
  <r>
    <s v="PVC"/>
    <s v="PVC electric cable"/>
    <m/>
    <m/>
    <s v="Flakes"/>
    <s v="no value"/>
    <s v="no value"/>
    <n v="1.4075000000000002"/>
    <s v="Electric cable"/>
    <s v="previously buried in garden soil"/>
    <s v="bacteria were extracted by phosphate buffer from the garden soil and incubated for 48 h at 35°C on standard broth agar"/>
    <s v="ja"/>
    <s v="garden soil"/>
    <s v="Boden/Kompost"/>
    <s v="ja"/>
    <m/>
    <m/>
    <m/>
    <m/>
    <m/>
    <m/>
    <s v="Sonstiges"/>
    <s v="Schätzung"/>
    <m/>
    <m/>
    <e v="#DIV/0!"/>
    <m/>
    <n v="2"/>
    <s v=""/>
    <s v=""/>
    <s v=""/>
    <s v=""/>
    <s v=""/>
    <s v=""/>
    <n v="1"/>
    <x v="3"/>
    <x v="6"/>
    <s v="Chamas et al. 2020"/>
    <s v="CG (Mai 2020)"/>
    <m/>
    <m/>
    <m/>
    <m/>
    <m/>
    <s v="ja"/>
    <s v="ja"/>
    <m/>
    <s v="Dichte aus anderem Paper übernommen"/>
  </r>
  <r>
    <s v="PVC"/>
    <s v="PVC"/>
    <s v="nein"/>
    <m/>
    <s v="Strips"/>
    <s v="no value"/>
    <n v="0.15000000000000002"/>
    <n v="1.4075000000000002"/>
    <m/>
    <s v="sterilized with 70% ethanol"/>
    <s v="fungal isolates"/>
    <s v="nein"/>
    <s v="mineral salts medium"/>
    <s v="Labor"/>
    <s v="nein"/>
    <n v="30"/>
    <m/>
    <m/>
    <m/>
    <s v="aerob"/>
    <s v="bewegt"/>
    <s v="CO2-Entwicklung"/>
    <m/>
    <s v="7.31 g l-1 whereas in control (no PVC pieces) it was 4.90 g l-1 after 4 weeks"/>
    <n v="28"/>
    <e v="#VALUE!"/>
    <m/>
    <n v="2"/>
    <s v=""/>
    <s v=""/>
    <s v=""/>
    <s v=""/>
    <s v=""/>
    <s v=""/>
    <n v="1"/>
    <x v="3"/>
    <x v="122"/>
    <s v="Raddadi &amp; Fava (2019)"/>
    <s v="CG (Mai 2020)"/>
    <s v="ja"/>
    <s v="ja"/>
    <m/>
    <m/>
    <m/>
    <m/>
    <s v="ja"/>
    <m/>
    <s v="Dichte aus anderem Paper übernommen"/>
  </r>
  <r>
    <s v="PVC"/>
    <s v="PVC"/>
    <s v="nein"/>
    <m/>
    <s v="Film"/>
    <s v="no value"/>
    <s v="no value"/>
    <n v="1.4075000000000002"/>
    <m/>
    <m/>
    <s v="Mixed microbial culture was used as a source of microorganisms – activated sludge from municipal wastewater treatment._x000a_"/>
    <s v="nein"/>
    <s v="Mineralisches Material, anaerober Schlamm"/>
    <s v="Labor"/>
    <s v="nein"/>
    <m/>
    <m/>
    <m/>
    <m/>
    <s v="anaerob"/>
    <m/>
    <s v="CO2-Entwicklung"/>
    <m/>
    <n v="3"/>
    <n v="75"/>
    <n v="0.04"/>
    <m/>
    <n v="2"/>
    <s v=""/>
    <s v=""/>
    <s v=""/>
    <s v=""/>
    <s v=""/>
    <s v=""/>
    <n v="1"/>
    <x v="3"/>
    <x v="123"/>
    <m/>
    <m/>
    <s v="ja"/>
    <s v="ja"/>
    <m/>
    <m/>
    <m/>
    <s v="nein"/>
    <s v="ja"/>
    <m/>
    <s v="Dichte aus anderem Paper übernommen"/>
  </r>
  <r>
    <s v="PVC+"/>
    <s v="PVC/nanofillers clays _x000a_Cloisite 30B (90/10%)"/>
    <s v="nein"/>
    <m/>
    <s v="Film"/>
    <s v="no value"/>
    <s v="no value"/>
    <n v="1.4075000000000002"/>
    <m/>
    <m/>
    <s v="Mixed microbial culture was used as a source of microorganisms – activated sludge from municipal wastewater treatment._x000a_"/>
    <s v="nein"/>
    <s v="Mineralisches Material, anaerober Schlamm"/>
    <s v="Labor"/>
    <s v="nein"/>
    <m/>
    <m/>
    <m/>
    <m/>
    <s v="anaerob"/>
    <m/>
    <s v="CO2-Entwicklung"/>
    <m/>
    <n v="7"/>
    <n v="75"/>
    <n v="9.3333333333333338E-2"/>
    <m/>
    <n v="2"/>
    <s v=""/>
    <s v=""/>
    <s v=""/>
    <s v=""/>
    <s v=""/>
    <s v=""/>
    <n v="1"/>
    <x v="3"/>
    <x v="123"/>
    <m/>
    <m/>
    <s v="ja"/>
    <s v="ja"/>
    <m/>
    <m/>
    <m/>
    <s v="nein"/>
    <s v="ja"/>
    <m/>
    <s v="Dichte aus anderem Paper übernommen"/>
  </r>
  <r>
    <s v="PVC+"/>
    <s v="PVC/nanofillers Cloisite  Na+ (90/10%)"/>
    <s v="nein"/>
    <m/>
    <s v="Film"/>
    <s v="no value"/>
    <s v="no value"/>
    <n v="1.4075000000000002"/>
    <m/>
    <m/>
    <s v="Mixed microbial culture was used as a source of microorganisms – activated sludge from municipal wastewater treatment._x000a_"/>
    <s v="nein"/>
    <s v="Mineralisches Material, anaerober Schlamm"/>
    <s v="Labor"/>
    <s v="nein"/>
    <m/>
    <m/>
    <m/>
    <m/>
    <s v="anaerob"/>
    <m/>
    <s v="CO2-Entwicklung"/>
    <m/>
    <n v="5"/>
    <n v="75"/>
    <n v="6.6666666666666666E-2"/>
    <m/>
    <n v="2"/>
    <s v=""/>
    <s v=""/>
    <s v=""/>
    <s v=""/>
    <s v=""/>
    <s v=""/>
    <n v="1"/>
    <x v="3"/>
    <x v="123"/>
    <m/>
    <m/>
    <s v="ja"/>
    <s v="ja"/>
    <m/>
    <m/>
    <m/>
    <s v="nein"/>
    <s v="ja"/>
    <m/>
    <s v="Dichte aus anderem Paper übernommen"/>
  </r>
  <r>
    <s v="PVC"/>
    <s v="PVC"/>
    <s v="ja"/>
    <s v="Mikroorganismen"/>
    <s v="no value"/>
    <s v="no value"/>
    <m/>
    <s v="--"/>
    <m/>
    <m/>
    <s v="Pseudomonas aeruginosa and Achromobacter sp. "/>
    <m/>
    <m/>
    <m/>
    <s v="nein"/>
    <m/>
    <m/>
    <m/>
    <m/>
    <m/>
    <m/>
    <m/>
    <m/>
    <m/>
    <m/>
    <e v="#DIV/0!"/>
    <m/>
    <s v=""/>
    <s v=""/>
    <s v=""/>
    <s v=""/>
    <s v=""/>
    <s v=""/>
    <s v=""/>
    <n v="0"/>
    <x v="1"/>
    <x v="124"/>
    <s v="Raddadi &amp; Fava (2019)"/>
    <s v="CG (Mai 2020)"/>
    <s v="ja"/>
    <s v="nein"/>
    <m/>
    <m/>
    <m/>
    <m/>
    <s v="nicht vorgesehen"/>
    <s v="https://www.sciencedirect.com/science/article/abs/pii/S030438941200074X"/>
    <s v="Experimente mit Mikroorganismen im Labor (weder Boden noch Wasser)"/>
  </r>
  <r>
    <s v="PVC"/>
    <s v="PVC"/>
    <s v="ja"/>
    <s v="Mikroorganismen"/>
    <s v="no value"/>
    <s v="no value"/>
    <m/>
    <s v="--"/>
    <m/>
    <m/>
    <s v="consortia enriched from marine samples (litter and water) "/>
    <m/>
    <m/>
    <m/>
    <s v="nein"/>
    <m/>
    <m/>
    <m/>
    <m/>
    <m/>
    <m/>
    <s v="Gewichtsverlust"/>
    <m/>
    <m/>
    <m/>
    <e v="#DIV/0!"/>
    <m/>
    <s v=""/>
    <s v=""/>
    <s v=""/>
    <s v=""/>
    <s v=""/>
    <s v=""/>
    <s v=""/>
    <n v="0"/>
    <x v="1"/>
    <x v="125"/>
    <s v="Raddadi &amp; Fava (2019)"/>
    <s v="CG (Mai 2020)"/>
    <s v="ja"/>
    <s v="nein"/>
    <m/>
    <m/>
    <m/>
    <m/>
    <s v="nicht vorgesehen"/>
    <s v="https://www.sciencedirect.com/science/article/abs/pii/S014111361930813X"/>
    <s v="Experimente mit Mikroorganismen im Labor (weder Boden noch Wasser)"/>
  </r>
  <r>
    <s v="PP+"/>
    <s v="PP/Stärke (95/5%)"/>
    <s v="ja"/>
    <s v="Zusätze"/>
    <s v="Strips"/>
    <n v="0.05"/>
    <n v="3.0000000000000001E-3"/>
    <n v="0.90300000000000002"/>
    <s v="BioBag"/>
    <m/>
    <m/>
    <s v="ja"/>
    <s v="Sonne"/>
    <s v="Sonne"/>
    <s v="nein"/>
    <m/>
    <m/>
    <m/>
    <m/>
    <s v="aerob"/>
    <m/>
    <s v="Gewichtsverlust"/>
    <m/>
    <n v="10.050000000000001"/>
    <n v="150"/>
    <n v="6.7000000000000004E-2"/>
    <m/>
    <n v="2"/>
    <s v=""/>
    <s v=""/>
    <s v=""/>
    <s v=""/>
    <s v=""/>
    <s v=""/>
    <n v="1"/>
    <x v="4"/>
    <x v="24"/>
    <s v="Chamas et al. 2020"/>
    <m/>
    <s v="ja"/>
    <s v="ja"/>
    <s v="ja"/>
    <s v="ja"/>
    <s v="Ja"/>
    <s v="ja"/>
    <s v="ja"/>
    <m/>
    <s v="Dichte aus anderem Paper übernommen"/>
  </r>
  <r>
    <s v="PVC+"/>
    <s v="PVC/DOA Dioctyladiapat)/ESO (epoxiertes Sojaöl) (70/19,2/10,8%)"/>
    <s v="ja"/>
    <s v="Zusätze"/>
    <s v="Shreds"/>
    <n v="4.2999999999999997E-2"/>
    <n v="5.9999999999999995E-8"/>
    <n v="1.4075000000000002"/>
    <s v="Food wrap, Borden Resinite, clear - shredded to a size of 3-5mm x 1-2 mm"/>
    <m/>
    <m/>
    <s v="(ja)"/>
    <s v="Boden (Labor) - Freshly collected Nixon sandy loam (College Farm, New Brunswick, N.J.) was used. In terms of texture, this soil is composed of 50% sand, 21% silt, and 29% clay. The organic matter content of the soil was 5%_x000a_"/>
    <s v="Boden/Kompost"/>
    <s v="ja"/>
    <m/>
    <n v="7.5"/>
    <m/>
    <m/>
    <m/>
    <m/>
    <s v="Gewichtsverlust"/>
    <m/>
    <n v="13.1"/>
    <n v="84"/>
    <n v="0.15595238095238095"/>
    <m/>
    <n v="6"/>
    <s v=""/>
    <s v=""/>
    <s v=""/>
    <s v=""/>
    <s v=""/>
    <s v=""/>
    <n v="1"/>
    <x v="4"/>
    <x v="70"/>
    <m/>
    <m/>
    <s v="ja "/>
    <s v="ja "/>
    <m/>
    <m/>
    <m/>
    <s v="nein"/>
    <s v="ja"/>
    <m/>
    <s v="Dichte aus anderem Paper übernommen; Achtung: Additive wurden dabei nicht berücksichtigt"/>
  </r>
  <r>
    <s v="PVC+"/>
    <s v="PVC/DOA Dioctyladiapat)/ESO (epoxiertes Sojaöl) (70/19,2/10,8%)"/>
    <s v="ja"/>
    <s v="Zusätze"/>
    <s v="Shreds"/>
    <n v="4.2999999999999997E-2"/>
    <n v="5.9999999999999995E-8"/>
    <n v="1.4075000000000002"/>
    <s v="Food wrap, Borden Resinite, clear - shredded to a size of 3-5mm x 1-2 mm"/>
    <m/>
    <m/>
    <s v="(ja)"/>
    <s v="Boden (Labor) - Freshly collected Nixon sandy loam (College Farm, New Brunswick, N.J.) was used. In terms of texture, this soil is composed of 50% sand, 21% silt, and 29% clay. The organic matter content of the soil was 5%_x000a_"/>
    <s v="Boden/Kompost"/>
    <s v="ja"/>
    <m/>
    <n v="7.5"/>
    <m/>
    <m/>
    <m/>
    <m/>
    <s v="CO2-Entwicklung"/>
    <m/>
    <n v="28.8"/>
    <n v="84"/>
    <n v="0.34285714285714286"/>
    <m/>
    <n v="6"/>
    <s v=""/>
    <s v=""/>
    <s v=""/>
    <s v=""/>
    <s v=""/>
    <s v=""/>
    <n v="1"/>
    <x v="4"/>
    <x v="70"/>
    <m/>
    <s v="CB (März 2020)"/>
    <s v="ja "/>
    <s v="ja "/>
    <m/>
    <m/>
    <m/>
    <s v="nein"/>
    <s v="ja"/>
    <m/>
    <s v="Dichte aus anderem Paper übernommen; Achtung: Additive wurden dabei nicht berücksichtigt"/>
  </r>
  <r>
    <s v="Starch-blend"/>
    <s v="Stärke-basiert"/>
    <s v="nein"/>
    <m/>
    <s v="Strips"/>
    <s v="no value"/>
    <n v="7.000000000000001E-4"/>
    <s v="no value"/>
    <s v="BioBag (Mater-Bi) consists of corn starch, vegetable oils and compostable esters"/>
    <m/>
    <m/>
    <s v="ja"/>
    <s v="Meerwasser (0,6 m Tiefe)"/>
    <s v="Meerwasser"/>
    <s v="ja"/>
    <m/>
    <m/>
    <m/>
    <m/>
    <m/>
    <m/>
    <s v="Sonstiges"/>
    <s v="tensile strength"/>
    <n v="100"/>
    <n v="112"/>
    <n v="0.8928571428571429"/>
    <m/>
    <n v="2"/>
    <s v=""/>
    <s v=""/>
    <s v=""/>
    <s v=""/>
    <s v=""/>
    <s v=""/>
    <n v="1"/>
    <x v="3"/>
    <x v="76"/>
    <s v="Chamas et al. 2020"/>
    <s v="CB (März 2020)"/>
    <s v="ja"/>
    <s v="ja"/>
    <m/>
    <m/>
    <m/>
    <s v="ja"/>
    <s v="ja"/>
    <m/>
    <m/>
  </r>
  <r>
    <s v="Starch-blend"/>
    <s v="Stärke-basiert"/>
    <s v="nein"/>
    <m/>
    <s v="Strips"/>
    <s v="no value"/>
    <n v="7.000000000000001E-4"/>
    <s v="no value"/>
    <s v="BioBag (Mater-Bi) consists of corn starch, vegetable oils and compostable esters"/>
    <m/>
    <m/>
    <s v="ja"/>
    <s v="Meerwasser (0,6 m Tiefe)"/>
    <s v="Meerwasser"/>
    <s v="ja"/>
    <m/>
    <m/>
    <m/>
    <m/>
    <m/>
    <m/>
    <s v="Sonstiges"/>
    <s v="surface area remaining"/>
    <n v="100"/>
    <n v="112"/>
    <n v="0.8928571428571429"/>
    <m/>
    <n v="2"/>
    <s v=""/>
    <s v=""/>
    <s v=""/>
    <s v=""/>
    <s v=""/>
    <s v=""/>
    <n v="1"/>
    <x v="3"/>
    <x v="76"/>
    <s v="Chamas et al. 2020"/>
    <s v="CB (März 2020)"/>
    <s v="ja"/>
    <s v="ja"/>
    <m/>
    <m/>
    <m/>
    <s v="ja"/>
    <s v="ja"/>
    <m/>
    <m/>
  </r>
  <r>
    <s v="Starch-blend"/>
    <s v="wheat-starch derived resin"/>
    <s v="nein"/>
    <m/>
    <s v="Strips"/>
    <n v="0.5"/>
    <n v="1E-4"/>
    <s v="no value"/>
    <s v="Made from a wheat starch-derived resin (OP-47 Bio , Summit Plastic Company, OH, U.S.)"/>
    <s v="The soil media used for the experiments was a mixture of 43% certified organic top soil, 43% no-till farm soil and 14% sand. The soil media was amended with ammonium phosphate (Fisher Scientific, PA, U.S.) to maintain a C:N ratio of 20:1 based on the carbon content of the test specimen."/>
    <m/>
    <s v="nein"/>
    <s v="Soil"/>
    <s v="Boden/Kompost"/>
    <s v="ja"/>
    <n v="20"/>
    <n v="7.43"/>
    <m/>
    <n v="60"/>
    <s v="aerob"/>
    <m/>
    <s v="CO2-Entwicklung"/>
    <m/>
    <n v="19.7"/>
    <n v="660"/>
    <n v="2.9848484848484846E-2"/>
    <m/>
    <n v="2"/>
    <s v=""/>
    <s v=""/>
    <s v=""/>
    <n v="1"/>
    <n v="27.236742424242415"/>
    <s v="Starch-blend_Boden/Kompost_nicht natürlich"/>
    <n v="1"/>
    <x v="7"/>
    <x v="47"/>
    <s v="Plastik Leak Project"/>
    <s v="CB (März 2020)"/>
    <s v="ja"/>
    <s v="ja"/>
    <m/>
    <m/>
    <m/>
    <s v="nein"/>
    <s v="ja"/>
    <m/>
    <m/>
  </r>
  <r>
    <s v="PCL"/>
    <s v="PCL"/>
    <s v="nein"/>
    <m/>
    <s v="Film"/>
    <n v="0.1"/>
    <s v="no value"/>
    <n v="1.1100000000000001"/>
    <m/>
    <m/>
    <m/>
    <s v="(ja)"/>
    <s v="Meerwasser (aus dem Ozean, Labor)"/>
    <s v="Meerwasser"/>
    <s v="ja"/>
    <n v="25"/>
    <m/>
    <m/>
    <m/>
    <s v="aerob"/>
    <m/>
    <s v="biochemical oxygen demand (BOD)"/>
    <m/>
    <n v="56"/>
    <n v="28"/>
    <n v="2"/>
    <m/>
    <n v="2"/>
    <n v="20000"/>
    <n v="1.8018018018018018E-2"/>
    <n v="365"/>
    <n v="1"/>
    <n v="365.00000000000006"/>
    <s v="PCL_Meerwasser_natürlich"/>
    <n v="1"/>
    <x v="6"/>
    <x v="61"/>
    <s v="Dilkes-Hoffman et al. 2019"/>
    <m/>
    <s v="ja "/>
    <s v="ja "/>
    <s v="ja "/>
    <s v="biodegradable"/>
    <m/>
    <s v="nein"/>
    <s v="ja"/>
    <m/>
    <s v="Dichte von Rodion übernommen"/>
  </r>
  <r>
    <s v="Starch-blend"/>
    <s v="Soluble starch"/>
    <s v="nein"/>
    <m/>
    <s v="no value"/>
    <s v="no value"/>
    <s v="no value"/>
    <s v="no value"/>
    <m/>
    <m/>
    <m/>
    <s v="nein"/>
    <s v="inoculum made of farmland soil and mineral salt solution"/>
    <s v="Labor"/>
    <s v="nein"/>
    <n v="30"/>
    <m/>
    <m/>
    <m/>
    <s v="aerob"/>
    <m/>
    <s v="CO2-Entwicklung"/>
    <m/>
    <n v="78.34"/>
    <n v="14"/>
    <n v="5.5957142857142861"/>
    <m/>
    <s v=""/>
    <s v=""/>
    <s v=""/>
    <s v=""/>
    <s v=""/>
    <s v=""/>
    <s v=""/>
    <n v="1"/>
    <x v="2"/>
    <x v="4"/>
    <s v="Plastik Leak Project"/>
    <s v="CB (März 2020)"/>
    <s v="ja"/>
    <s v="ja"/>
    <m/>
    <m/>
    <m/>
    <s v="nein"/>
    <s v="ja"/>
    <m/>
    <m/>
  </r>
  <r>
    <s v="Starch-blend"/>
    <s v="Mater-Bi HF03V1"/>
    <s v="nein"/>
    <m/>
    <s v="Pellets"/>
    <s v="no value"/>
    <s v="no value"/>
    <n v="1.28"/>
    <s v="commercial biodegradable plastic produced by Novamont in the form of pellets"/>
    <m/>
    <m/>
    <s v="nein"/>
    <s v="Soil enriched with compost (40 g/Kg) and a salt solution"/>
    <s v="Boden/Kompost"/>
    <s v="ja"/>
    <n v="28"/>
    <n v="7.9"/>
    <m/>
    <n v="14.6"/>
    <m/>
    <m/>
    <s v="CO2-Entwicklung"/>
    <m/>
    <n v="50"/>
    <n v="250"/>
    <n v="0.2"/>
    <m/>
    <n v="6"/>
    <s v=""/>
    <s v=""/>
    <s v=""/>
    <s v=""/>
    <s v=""/>
    <s v=""/>
    <n v="1"/>
    <x v="3"/>
    <x v="126"/>
    <s v="Plastic Leak Project"/>
    <s v="CB (März 2020)"/>
    <s v="ja"/>
    <s v="ja"/>
    <m/>
    <m/>
    <m/>
    <s v="nein"/>
    <s v="ja"/>
    <m/>
    <m/>
  </r>
  <r>
    <s v="PS"/>
    <s v="Goodfellow"/>
    <s v="nein"/>
    <m/>
    <s v="Strips"/>
    <n v="0.192"/>
    <n v="1.1999999999999999E-3"/>
    <n v="1.05"/>
    <m/>
    <s v="nein"/>
    <m/>
    <s v="nein"/>
    <s v="Solar simulator"/>
    <s v="Sonne"/>
    <s v="nein"/>
    <s v="25 - 35"/>
    <m/>
    <m/>
    <m/>
    <m/>
    <m/>
    <s v="CO2-Entwicklung"/>
    <m/>
    <n v="50"/>
    <n v="109500"/>
    <n v="4.5662100456621003E-4"/>
    <m/>
    <n v="2"/>
    <s v=""/>
    <s v=""/>
    <s v=""/>
    <s v=""/>
    <s v=""/>
    <s v=""/>
    <n v="1"/>
    <x v="8"/>
    <x v="127"/>
    <m/>
    <m/>
    <s v="ja "/>
    <s v="ja "/>
    <m/>
    <m/>
    <s v="Ja"/>
    <s v="nein"/>
    <s v="ja"/>
    <m/>
    <s v="Dichte aus anderem Paper übernommen"/>
  </r>
  <r>
    <s v="Starch-blend"/>
    <s v="Mater-Bi HF03V1"/>
    <s v="nein"/>
    <m/>
    <s v="Powder"/>
    <n v="0.42749999999999999"/>
    <n v="0.57414569239761959"/>
    <n v="1.28"/>
    <s v="commercial biodegradable plastic produced by Novamont in the form of pellets"/>
    <m/>
    <m/>
    <s v="nein"/>
    <s v="Soil enriched with compost (40 g/Kg) and a salt solution"/>
    <s v="Boden/Kompost"/>
    <s v="ja"/>
    <n v="28"/>
    <n v="7.9"/>
    <m/>
    <n v="14.6"/>
    <m/>
    <m/>
    <s v="CO2-Entwicklung"/>
    <m/>
    <n v="55"/>
    <n v="180"/>
    <n v="0.30555555555555558"/>
    <m/>
    <n v="6"/>
    <s v=""/>
    <s v=""/>
    <s v=""/>
    <n v="3"/>
    <n v="101.29025539691933"/>
    <s v="Starch-blend_Boden/Kompost_nicht natürlich"/>
    <n v="1"/>
    <x v="7"/>
    <x v="126"/>
    <s v="Plastic Leak Project"/>
    <s v="CB (März 2020)"/>
    <s v="ja"/>
    <s v="ja"/>
    <m/>
    <m/>
    <m/>
    <s v="nein"/>
    <s v="ja"/>
    <m/>
    <s v="Thickness = 0,355-0,5mm"/>
  </r>
  <r>
    <s v="Starch-blend"/>
    <s v="Mater-Bi HF03V1"/>
    <s v="nein"/>
    <m/>
    <s v="Powder"/>
    <n v="0.19500000000000001"/>
    <n v="0.1194590606527519"/>
    <n v="1.28"/>
    <s v="commercial biodegradable plastic produced by Novamont in the form of pellets"/>
    <m/>
    <m/>
    <s v="nein"/>
    <s v="Soil enriched with compost (40 g/Kg) and a salt solution"/>
    <s v="Boden/Kompost"/>
    <s v="ja"/>
    <n v="28"/>
    <n v="7.9"/>
    <m/>
    <n v="14.6"/>
    <m/>
    <m/>
    <s v="CO2-Entwicklung"/>
    <m/>
    <n v="50"/>
    <n v="250"/>
    <n v="0.2"/>
    <m/>
    <n v="6"/>
    <s v=""/>
    <s v=""/>
    <s v=""/>
    <n v="3"/>
    <n v="29.366730126163393"/>
    <s v="Starch-blend_Boden/Kompost_nicht natürlich"/>
    <n v="1"/>
    <x v="7"/>
    <x v="126"/>
    <s v="Plastic Leak Project"/>
    <s v="CB (März 2020)"/>
    <s v="ja"/>
    <s v="ja"/>
    <m/>
    <m/>
    <m/>
    <s v="nein"/>
    <s v="ja"/>
    <m/>
    <s v="Thickness = 0,18-0,21mm"/>
  </r>
  <r>
    <s v="Starch-blend"/>
    <s v="Mater-Bi HF03V1"/>
    <s v="nein"/>
    <m/>
    <s v="Powder"/>
    <n v="0.1"/>
    <n v="7.8539816339744835E-3"/>
    <n v="1.28"/>
    <s v="commercial biodegradable plastic produced by Novamont in the form of pellets"/>
    <m/>
    <m/>
    <s v="nein"/>
    <s v="Soil enriched with compost (40 g/Kg) and a salt solution"/>
    <s v="Boden/Kompost"/>
    <s v="ja"/>
    <n v="28"/>
    <n v="7.9"/>
    <m/>
    <n v="14.6"/>
    <m/>
    <m/>
    <s v="CO2-Entwicklung"/>
    <m/>
    <n v="50"/>
    <n v="100"/>
    <n v="0.5"/>
    <m/>
    <n v="6"/>
    <s v=""/>
    <s v=""/>
    <s v=""/>
    <n v="3"/>
    <n v="37.649654007901788"/>
    <s v="Starch-blend_Boden/Kompost_nicht natürlich"/>
    <n v="1"/>
    <x v="7"/>
    <x v="126"/>
    <s v="Plastic Leak Project"/>
    <s v="CB (März 2020)"/>
    <s v="ja"/>
    <s v="ja"/>
    <m/>
    <m/>
    <m/>
    <s v="nein"/>
    <s v="ja"/>
    <m/>
    <s v="Tickness = 0,075-0,125mm"/>
  </r>
  <r>
    <s v="PCL"/>
    <s v="PCL"/>
    <s v="nein"/>
    <m/>
    <s v="Strips"/>
    <n v="0.06"/>
    <n v="3.0000000000000001E-3"/>
    <n v="1.1100000000000001"/>
    <s v="Poly(ε-caprolactone) [PCL] samples (CAPA 680) were received from Solvay – Belgium"/>
    <m/>
    <m/>
    <s v="ja"/>
    <s v="Meerwasser (2m unter der Oberfläche)"/>
    <s v="Meerwasser"/>
    <s v="ja"/>
    <s v="18-19"/>
    <s v="7-8"/>
    <m/>
    <m/>
    <s v="aerob"/>
    <m/>
    <s v="Gewichtsverlust"/>
    <m/>
    <n v="100"/>
    <n v="42"/>
    <n v="2.3809523809523809"/>
    <m/>
    <n v="2"/>
    <n v="33333.333333333336"/>
    <n v="3.003003003003003E-2"/>
    <n v="260.71428571428572"/>
    <n v="1"/>
    <n v="260.71428571428572"/>
    <s v="PCL_Meerwasser_natürlich"/>
    <n v="1"/>
    <x v="6"/>
    <x v="64"/>
    <s v="Plastik Leak Project"/>
    <s v="CB (März 2020)"/>
    <s v="ja"/>
    <s v="ja"/>
    <m/>
    <m/>
    <m/>
    <s v="nein"/>
    <s v="ja"/>
    <m/>
    <s v="Dichte von Rodion übernommen"/>
  </r>
  <r>
    <s v="Starch-blend"/>
    <s v="a blend of starch (60%) and polyvinyl alcohol (40%) (SPVA; Mater-bi)_x000a_"/>
    <s v="nein"/>
    <m/>
    <s v="Strips"/>
    <s v="no value"/>
    <n v="2.5000000000000005E-3"/>
    <m/>
    <m/>
    <s v="keine"/>
    <m/>
    <s v="(ja)"/>
    <s v="A 300-ml Erlenmeyer flask was filled with 150 g of synthesized waste which contained equivalent weights of yard waste, kitchen garbage, paper waste, dry dog-food, dewatered sludge and soil (Ishigaki et al., in press) and compacted to a density of 430 g-wet waste l1."/>
    <s v="Labor"/>
    <s v="nein"/>
    <m/>
    <s v="&lt;6"/>
    <m/>
    <m/>
    <s v="anaerob"/>
    <m/>
    <s v="Gewichtsverlust"/>
    <m/>
    <n v="50"/>
    <n v="120"/>
    <n v="0.41666666666666669"/>
    <m/>
    <n v="2"/>
    <s v=""/>
    <s v=""/>
    <s v=""/>
    <s v=""/>
    <s v=""/>
    <s v=""/>
    <n v="1"/>
    <x v="3"/>
    <x v="7"/>
    <s v="Chamas et al. 2020"/>
    <s v="CG (Mai 2020)"/>
    <s v="ja"/>
    <s v="ja"/>
    <m/>
    <m/>
    <m/>
    <s v="ja"/>
    <s v="ja"/>
    <m/>
    <m/>
  </r>
  <r>
    <s v="Starch-blend"/>
    <s v="a blend of starch (60%) and polyvinyl alcohol (40%) (SPVA; Mater-bi)_x000a_"/>
    <s v="nein"/>
    <m/>
    <s v="Strips"/>
    <s v="no value"/>
    <n v="2.5000000000000005E-3"/>
    <m/>
    <m/>
    <s v="keine"/>
    <m/>
    <s v="(ja)"/>
    <s v="A 300-ml Erlenmeyer flask was filled with 150 g of synthesized waste which contained equivalent weights of yard waste, kitchen garbage, paper waste, dry dog-food, dewatered sludge and soil (Ishigaki et al., in press) and compacted to a density of 430 g-wet waste l1."/>
    <s v="Labor"/>
    <s v="nein"/>
    <m/>
    <s v="7-8"/>
    <m/>
    <m/>
    <s v="aerob"/>
    <m/>
    <s v="Gewichtsverlust"/>
    <m/>
    <n v="50"/>
    <n v="120"/>
    <n v="0.41666666666666669"/>
    <m/>
    <n v="2"/>
    <s v=""/>
    <s v=""/>
    <s v=""/>
    <s v=""/>
    <s v=""/>
    <s v=""/>
    <n v="1"/>
    <x v="3"/>
    <x v="7"/>
    <s v="Chamas et al. 2020"/>
    <s v="CG (Mai 2020)"/>
    <s v="ja"/>
    <s v="ja"/>
    <m/>
    <m/>
    <m/>
    <s v="ja"/>
    <s v="ja"/>
    <m/>
    <m/>
  </r>
  <r>
    <s v="PCL"/>
    <s v="PCL"/>
    <s v="nein"/>
    <m/>
    <s v="Strips"/>
    <n v="0.06"/>
    <n v="3.0000000000000001E-3"/>
    <n v="1.1100000000000001"/>
    <s v="Poly(ε-caprolactone) [PCL] samples (CAPA 680) were received from Solvay – Belgium"/>
    <m/>
    <m/>
    <s v="ja"/>
    <s v="Seewasser (2m unter der Oberfläche)"/>
    <s v="Süßwasser"/>
    <s v="ja"/>
    <s v="18-19"/>
    <s v="7-8"/>
    <m/>
    <m/>
    <s v="aerob"/>
    <m/>
    <s v="Gewichtsverlust"/>
    <m/>
    <n v="39"/>
    <n v="294"/>
    <n v="0.1326530612244898"/>
    <m/>
    <n v="2"/>
    <n v="33333.333333333336"/>
    <n v="3.003003003003003E-2"/>
    <n v="14.525510204081632"/>
    <n v="1"/>
    <n v="14.52551020408163"/>
    <s v="PCL_Süßwasser_natürlich"/>
    <n v="1"/>
    <x v="6"/>
    <x v="64"/>
    <s v="Plastik Leak Project"/>
    <s v="CB (März 2020)"/>
    <s v="ja"/>
    <s v="ja"/>
    <m/>
    <m/>
    <m/>
    <s v="nein"/>
    <s v="ja"/>
    <m/>
    <s v="Dichte von Rodion übernommen"/>
  </r>
  <r>
    <s v="PE"/>
    <s v="PE"/>
    <s v="nein"/>
    <m/>
    <s v="Strips"/>
    <n v="0.1"/>
    <n v="7.0685834705770342E-4"/>
    <n v="0.93799999999999994"/>
    <s v="disks of diameter 30 mm, thickness 0,1 mm and mass 73+-5 mg"/>
    <s v="keine"/>
    <m/>
    <s v="ja"/>
    <s v="Boden"/>
    <s v="Boden/Kompost"/>
    <s v="ja"/>
    <s v="Realbedingungen "/>
    <m/>
    <m/>
    <m/>
    <m/>
    <m/>
    <s v="Gewichtsverlust"/>
    <m/>
    <n v="0"/>
    <n v="300"/>
    <n v="0"/>
    <m/>
    <n v="2"/>
    <n v="20000"/>
    <n v="2.1321961620469083E-2"/>
    <n v="0"/>
    <n v="1"/>
    <n v="0"/>
    <s v="PE_Boden/Kompost_natürlich"/>
    <n v="1"/>
    <x v="6"/>
    <x v="128"/>
    <s v="Plastik Leak Project"/>
    <s v="CB (März 2020)"/>
    <s v="ja"/>
    <s v="ja"/>
    <m/>
    <m/>
    <m/>
    <s v="nein"/>
    <s v="ja"/>
    <m/>
    <s v="Dichte aus anderem Paper übernommen"/>
  </r>
  <r>
    <s v="PE"/>
    <s v="PE-B (Gewichtsverlust)"/>
    <s v="nein"/>
    <m/>
    <s v="Shreds"/>
    <n v="3.5999999999999997E-2"/>
    <n v="5.9999999999999995E-8"/>
    <n v="0.93799999999999994"/>
    <s v="Garbage bag, Good Sense, Webster (black or clear) - shredded to a size of 3-5mm x 1-2 mm"/>
    <s v="keine"/>
    <s v="keine"/>
    <s v="(ja)"/>
    <s v="Boden (Labor) - Freshly collected Nixon sandy loam (College Farm, New Brunswick, N.J.) was used. Water content was adjusted to 50% of holding capacity, pH was raised to 7.5 and phosphorus and nitrogen fertilizer was applied_x000a_"/>
    <s v="Boden/Kompost"/>
    <s v="ja"/>
    <m/>
    <n v="7.5"/>
    <m/>
    <m/>
    <m/>
    <m/>
    <s v="Gewichtsverlust"/>
    <s v="Plastic pieces were picked out of the soil manually with tweezers"/>
    <n v="1.2"/>
    <n v="84"/>
    <n v="1.4285714285714285E-2"/>
    <m/>
    <n v="6"/>
    <n v="166666.66666666669"/>
    <n v="0.17768301350390905"/>
    <n v="0.31285714285714278"/>
    <n v="3"/>
    <n v="0.31411698162144208"/>
    <s v="PE_Boden/Kompost_natürlich"/>
    <n v="1"/>
    <x v="6"/>
    <x v="70"/>
    <m/>
    <s v="CB (März 2020)"/>
    <s v="ja "/>
    <s v="ja "/>
    <m/>
    <m/>
    <m/>
    <s v="nein"/>
    <s v="ja"/>
    <m/>
    <s v="Dichte aus anderem Paper übernommen"/>
  </r>
  <r>
    <s v="PE"/>
    <s v="PE-B (CO2-Produktion)"/>
    <s v="nein"/>
    <m/>
    <s v="Shreds"/>
    <n v="3.5999999999999997E-2"/>
    <m/>
    <m/>
    <s v="Garbage bag, Good Sense, Webster (black or clear) - shredded to a size of 3-5mm x 1-2 mm"/>
    <s v="keine"/>
    <s v="keine"/>
    <s v="(ja)"/>
    <s v="Boden (Labor) - Freshly collected Nixon sandy loam (College Farm, New Brunswick, N.J.) was used. Water content was adjusted to 50% of holding capacity, pH was raised to 7.5 and phosphorus and nitrogen fertilizer was applied_x000a_"/>
    <s v="Boden/Kompost"/>
    <s v="ja"/>
    <m/>
    <m/>
    <m/>
    <m/>
    <m/>
    <m/>
    <s v="CO2-Entwicklung"/>
    <m/>
    <n v="3.2"/>
    <n v="160"/>
    <n v="0.02"/>
    <m/>
    <n v="6"/>
    <n v="166666.66666666669"/>
    <s v=""/>
    <n v="0.43799999999999994"/>
    <n v="3"/>
    <n v="0.44275687232004596"/>
    <s v="PE_Boden/Kompost_natürlich"/>
    <n v="1"/>
    <x v="6"/>
    <x v="70"/>
    <m/>
    <m/>
    <m/>
    <m/>
    <m/>
    <m/>
    <m/>
    <m/>
    <m/>
    <m/>
    <s v="Dichte aus anderem Paper übernommen"/>
  </r>
  <r>
    <s v="PE"/>
    <s v="PE-C (Gewichtsverlust)"/>
    <s v="nein"/>
    <m/>
    <s v="Shreds"/>
    <n v="3.5999999999999997E-2"/>
    <m/>
    <m/>
    <s v="Garbage bag, Good Sense, Webster (black or clear) - shredded to a size of 3-5mm x 1-2 mm"/>
    <s v="keine"/>
    <s v="keine"/>
    <s v="(ja)"/>
    <s v="Boden (Labor) - Freshly collected Nixon sandy loam (College Farm, New Brunswick, N.J.) was used. Water content was adjusted to 50% of holding capacity, pH was raised to 7.5 and phosphorus and nitrogen fertilizer was applied_x000a_"/>
    <s v="Boden/Kompost"/>
    <s v="ja"/>
    <m/>
    <m/>
    <m/>
    <m/>
    <m/>
    <m/>
    <s v="Gewichtsverlust"/>
    <s v="Plastic pieces were picked out of the soil manually with tweezers"/>
    <n v="1.5"/>
    <n v="84"/>
    <n v="1.7857142857142856E-2"/>
    <m/>
    <n v="6"/>
    <n v="166666.66666666669"/>
    <s v=""/>
    <n v="0.39107142857142857"/>
    <n v="3"/>
    <n v="0.39304324511714689"/>
    <s v="PE_Boden/Kompost_natürlich"/>
    <n v="1"/>
    <x v="6"/>
    <x v="70"/>
    <m/>
    <m/>
    <m/>
    <m/>
    <m/>
    <m/>
    <m/>
    <m/>
    <m/>
    <m/>
    <s v="Dichte aus anderem Paper übernommen"/>
  </r>
  <r>
    <s v="PE"/>
    <s v="PE-B (CO2-Produktion)"/>
    <s v="nein"/>
    <m/>
    <s v="Shreds"/>
    <n v="3.5999999999999997E-2"/>
    <m/>
    <m/>
    <s v="Garbage bag, Good Sense, Webster (black or clear) - shredded to a size of 3-5mm x 1-2 mm"/>
    <s v="keine"/>
    <s v="keine"/>
    <s v="(ja)"/>
    <s v="Boden (Labor) - Freshly collected Nixon sandy loam (College Farm, New Brunswick, N.J.) was used. Water content was adjusted to 50% of holding capacity, pH was raised to 7.5 and phosphorus and nitrogen fertilizer was applied_x000a_"/>
    <s v="Boden/Kompost"/>
    <s v="ja"/>
    <m/>
    <m/>
    <m/>
    <m/>
    <m/>
    <m/>
    <s v="CO2-Entwicklung"/>
    <m/>
    <n v="4.5"/>
    <n v="160"/>
    <n v="2.8125000000000001E-2"/>
    <m/>
    <n v="6"/>
    <n v="166666.66666666669"/>
    <s v=""/>
    <n v="0.61593749999999992"/>
    <n v="3"/>
    <n v="0.62541470533243171"/>
    <s v="PE_Boden/Kompost_natürlich"/>
    <n v="1"/>
    <x v="6"/>
    <x v="70"/>
    <m/>
    <m/>
    <m/>
    <m/>
    <m/>
    <m/>
    <m/>
    <m/>
    <m/>
    <m/>
    <s v="Dichte aus anderem Paper übernommen"/>
  </r>
  <r>
    <s v="PE"/>
    <s v="PE"/>
    <s v="nein"/>
    <m/>
    <s v="Strips"/>
    <n v="0.08"/>
    <n v="3.0000000000000001E-3"/>
    <n v="0.93799999999999994"/>
    <m/>
    <m/>
    <m/>
    <s v="ja"/>
    <s v="Meerwasser (Ostsee)"/>
    <s v="Meerwasser"/>
    <s v="ja"/>
    <s v="3,2 - 21,6"/>
    <s v="8,1 - 8,5"/>
    <m/>
    <m/>
    <s v="aerob"/>
    <m/>
    <s v="Gewichtsverlust"/>
    <m/>
    <n v="0"/>
    <n v="608"/>
    <n v="0"/>
    <m/>
    <n v="2"/>
    <n v="25000"/>
    <n v="2.6652452025586356E-2"/>
    <n v="0"/>
    <n v="1"/>
    <n v="0"/>
    <s v="PE_Meerwasser_natürlich"/>
    <n v="1"/>
    <x v="6"/>
    <x v="79"/>
    <s v="Chamas et al. 2020"/>
    <m/>
    <s v="ja"/>
    <s v="ja"/>
    <s v="ja"/>
    <s v="Nein "/>
    <s v="bedingt"/>
    <s v="ja"/>
    <s v="ja"/>
    <m/>
    <s v="Dichte aus anderem Paper übernommen"/>
  </r>
  <r>
    <s v="PEA"/>
    <s v="Polyethylene adiapate"/>
    <s v="nein"/>
    <m/>
    <s v="Film"/>
    <n v="0.1"/>
    <s v="no value"/>
    <n v="0.93799999999999994"/>
    <m/>
    <m/>
    <m/>
    <s v="(ja)"/>
    <s v="Flusswasser (Labor)"/>
    <s v="Süßwasser"/>
    <s v="ja"/>
    <n v="25"/>
    <m/>
    <m/>
    <m/>
    <s v="aerob"/>
    <m/>
    <s v="biochemical oxygen demand (BOD)"/>
    <m/>
    <n v="70"/>
    <n v="28"/>
    <n v="2.5"/>
    <m/>
    <n v="2"/>
    <n v="20000"/>
    <n v="2.1321961620469083E-2"/>
    <n v="456.25"/>
    <n v="1"/>
    <n v="456.25000000000006"/>
    <s v="PEA_Süßwasser_natürlich"/>
    <n v="1"/>
    <x v="6"/>
    <x v="61"/>
    <m/>
    <m/>
    <s v="ja"/>
    <s v="ja"/>
    <s v="ja"/>
    <s v="biodegradable"/>
    <s v="Ja"/>
    <s v="nein"/>
    <s v="ja"/>
    <m/>
    <s v="Dichte aus anderem Paper übernommen"/>
  </r>
  <r>
    <s v="PEA"/>
    <s v="Polyethylene adiapate"/>
    <s v="nein"/>
    <m/>
    <s v="Film"/>
    <n v="0.1"/>
    <s v="no value"/>
    <n v="0.93799999999999994"/>
    <m/>
    <m/>
    <m/>
    <s v="(ja)"/>
    <s v="Seewasser (Labor)"/>
    <s v="Süßwasser"/>
    <s v="ja"/>
    <n v="25"/>
    <m/>
    <m/>
    <m/>
    <s v="aerob"/>
    <m/>
    <s v="Gewichtsverlust"/>
    <m/>
    <n v="95"/>
    <n v="28"/>
    <n v="3.3928571428571428"/>
    <m/>
    <n v="2"/>
    <n v="20000"/>
    <n v="2.1321961620469083E-2"/>
    <n v="619.19642857142856"/>
    <n v="1"/>
    <n v="619.19642857142856"/>
    <s v="PEA_Süßwasser_natürlich"/>
    <n v="1"/>
    <x v="6"/>
    <x v="61"/>
    <m/>
    <m/>
    <s v="ja"/>
    <s v="ja"/>
    <s v="ja"/>
    <s v="biodegradable"/>
    <s v="Ja"/>
    <s v="nein"/>
    <s v="ja"/>
    <m/>
    <s v="Dichte aus anderem Paper übernommen"/>
  </r>
  <r>
    <s v="PEA"/>
    <s v="Polyethylene adiapate"/>
    <s v="nein"/>
    <m/>
    <s v="Film"/>
    <n v="0.1"/>
    <s v="no value"/>
    <n v="0.93799999999999994"/>
    <m/>
    <m/>
    <m/>
    <s v="(ja)"/>
    <s v="Seewasser (Labor)"/>
    <s v="Süßwasser"/>
    <s v="ja"/>
    <n v="25"/>
    <m/>
    <m/>
    <m/>
    <s v="aerob"/>
    <m/>
    <s v="biochemical oxygen demand (BOD)"/>
    <m/>
    <n v="68"/>
    <n v="28"/>
    <n v="2.4285714285714284"/>
    <m/>
    <n v="2"/>
    <n v="20000"/>
    <n v="2.1321961620469083E-2"/>
    <n v="443.21428571428572"/>
    <n v="1"/>
    <n v="443.21428571428572"/>
    <s v="PEA_Süßwasser_natürlich"/>
    <n v="1"/>
    <x v="6"/>
    <x v="61"/>
    <m/>
    <m/>
    <s v="ja"/>
    <s v="ja"/>
    <s v="ja"/>
    <s v="biodegradable"/>
    <s v="Ja"/>
    <s v="nein"/>
    <s v="ja"/>
    <m/>
    <s v="Dichte aus anderem Paper übernommen"/>
  </r>
  <r>
    <s v="PEA"/>
    <s v="Polyethylene adiapate"/>
    <s v="nein"/>
    <m/>
    <s v="Film"/>
    <n v="0.1"/>
    <s v="no value"/>
    <n v="0.93799999999999994"/>
    <m/>
    <m/>
    <m/>
    <s v="(ja)"/>
    <s v="Meerwasser (aus einer Bucht, Labor)"/>
    <s v="Meerwasser"/>
    <s v="ja"/>
    <n v="25"/>
    <m/>
    <m/>
    <m/>
    <s v="aerob"/>
    <m/>
    <s v="Gewichtsverlust"/>
    <m/>
    <n v="100"/>
    <n v="28"/>
    <n v="3.5714285714285716"/>
    <m/>
    <n v="2"/>
    <n v="20000"/>
    <n v="2.1321961620469083E-2"/>
    <n v="651.78571428571433"/>
    <n v="1"/>
    <n v="651.78571428571445"/>
    <s v="PEA_Meerwasser_natürlich"/>
    <n v="1"/>
    <x v="6"/>
    <x v="61"/>
    <m/>
    <m/>
    <s v="ja"/>
    <s v="ja"/>
    <s v="ja"/>
    <s v="biodegradable"/>
    <s v="Ja"/>
    <s v="nein"/>
    <s v="ja"/>
    <m/>
    <s v="Dichte aus anderem Paper übernommen"/>
  </r>
  <r>
    <s v="PEA"/>
    <s v="Polyethylene adiapate"/>
    <s v="nein"/>
    <m/>
    <s v="Film"/>
    <n v="0.1"/>
    <s v="no value"/>
    <n v="0.93799999999999994"/>
    <m/>
    <m/>
    <m/>
    <s v="(ja)"/>
    <s v="Meerwasser (aus einer Bucht, Labor)"/>
    <s v="Meerwasser"/>
    <s v="ja"/>
    <n v="25"/>
    <m/>
    <m/>
    <m/>
    <s v="aerob"/>
    <m/>
    <s v="biochemical oxygen demand (BOD)"/>
    <m/>
    <n v="65"/>
    <n v="28"/>
    <n v="2.3214285714285716"/>
    <m/>
    <n v="2"/>
    <n v="20000"/>
    <n v="2.1321961620469083E-2"/>
    <n v="423.66071428571433"/>
    <n v="1"/>
    <n v="423.66071428571433"/>
    <s v="PEA_Meerwasser_natürlich"/>
    <n v="1"/>
    <x v="6"/>
    <x v="61"/>
    <m/>
    <m/>
    <s v="ja"/>
    <s v="ja"/>
    <s v="ja"/>
    <s v="biodegradable"/>
    <s v="Ja"/>
    <s v="nein"/>
    <s v="ja"/>
    <m/>
    <s v="Dichte aus anderem Paper übernommen"/>
  </r>
  <r>
    <s v="PEA"/>
    <s v="Polyethylene adiapate"/>
    <s v="nein"/>
    <m/>
    <s v="Film"/>
    <n v="0.1"/>
    <s v="no value"/>
    <n v="0.93799999999999994"/>
    <m/>
    <m/>
    <m/>
    <s v="(ja)"/>
    <s v="Meerwasser (aus dem Ozean, Labor)"/>
    <s v="Meerwasser"/>
    <s v="ja"/>
    <n v="25"/>
    <m/>
    <m/>
    <m/>
    <s v="aerob"/>
    <m/>
    <s v="Gewichtsverlust"/>
    <m/>
    <n v="57"/>
    <n v="28"/>
    <n v="2.0357142857142856"/>
    <m/>
    <n v="2"/>
    <n v="20000"/>
    <n v="2.1321961620469083E-2"/>
    <n v="371.51785714285711"/>
    <n v="1"/>
    <n v="371.51785714285711"/>
    <s v="PEA_Meerwasser_natürlich"/>
    <n v="1"/>
    <x v="6"/>
    <x v="61"/>
    <m/>
    <m/>
    <s v="ja"/>
    <s v="ja"/>
    <s v="ja"/>
    <s v="biodegradable"/>
    <s v="Ja"/>
    <s v="nein"/>
    <s v="ja"/>
    <m/>
    <s v="Dichte aus anderem Paper übernommen"/>
  </r>
  <r>
    <s v="PEA"/>
    <s v="Polyethylene adiapate"/>
    <s v="nein"/>
    <m/>
    <s v="Film"/>
    <n v="0.1"/>
    <s v="no value"/>
    <n v="0.93799999999999994"/>
    <m/>
    <m/>
    <m/>
    <s v="(ja)"/>
    <s v="Meerwasser (aus dem Ozean, Labor)"/>
    <s v="Meerwasser"/>
    <s v="ja"/>
    <n v="25"/>
    <m/>
    <m/>
    <m/>
    <s v="aerob"/>
    <m/>
    <s v="biochemical oxygen demand (BOD)"/>
    <m/>
    <n v="46"/>
    <n v="28"/>
    <n v="1.6428571428571428"/>
    <m/>
    <n v="2"/>
    <n v="20000"/>
    <n v="2.1321961620469083E-2"/>
    <n v="299.82142857142861"/>
    <n v="1"/>
    <n v="299.82142857142856"/>
    <s v="PEA_Meerwasser_natürlich"/>
    <n v="1"/>
    <x v="6"/>
    <x v="61"/>
    <m/>
    <m/>
    <s v="ja"/>
    <s v="ja"/>
    <s v="ja"/>
    <s v="biodegradable"/>
    <s v="Ja"/>
    <s v="nein"/>
    <s v="ja"/>
    <m/>
    <s v="Dichte aus anderem Paper übernommen"/>
  </r>
  <r>
    <s v="PEA"/>
    <s v="Polyethylene adiapate"/>
    <s v="nein"/>
    <m/>
    <s v="Film"/>
    <n v="0.1"/>
    <s v="no value"/>
    <n v="0.93799999999999994"/>
    <m/>
    <m/>
    <m/>
    <s v="(ja)"/>
    <s v="Flusswasser (Labor)"/>
    <s v="Süßwasser"/>
    <s v="ja"/>
    <n v="25"/>
    <m/>
    <m/>
    <m/>
    <s v="aerob"/>
    <m/>
    <s v="Gewichtsverlust"/>
    <m/>
    <n v="100"/>
    <n v="28"/>
    <n v="3.5714285714285716"/>
    <m/>
    <n v="2"/>
    <n v="20000"/>
    <n v="2.1321961620469083E-2"/>
    <n v="651.78571428571433"/>
    <n v="1"/>
    <n v="651.78571428571445"/>
    <s v="PEA_Süßwasser_natürlich"/>
    <n v="1"/>
    <x v="6"/>
    <x v="61"/>
    <m/>
    <m/>
    <s v="ja"/>
    <s v="ja"/>
    <s v="ja"/>
    <s v="biodegradable"/>
    <s v="Ja"/>
    <s v="nein"/>
    <s v="ja"/>
    <m/>
    <s v="Dichte aus anderem Paper übernommen"/>
  </r>
  <r>
    <s v="PES"/>
    <s v="PE (succinate)"/>
    <s v="nein"/>
    <m/>
    <s v="Film"/>
    <n v="0.1"/>
    <s v="no value"/>
    <n v="0.93799999999999994"/>
    <m/>
    <m/>
    <m/>
    <s v="(ja)"/>
    <s v="Flusswasser (Labor)"/>
    <s v="Süßwasser"/>
    <s v="ja"/>
    <n v="25"/>
    <m/>
    <m/>
    <m/>
    <s v="aerob"/>
    <m/>
    <s v="Gewichtsverlust"/>
    <m/>
    <n v="100"/>
    <n v="28"/>
    <n v="3.5714285714285716"/>
    <m/>
    <n v="2"/>
    <n v="20000"/>
    <n v="2.1321961620469083E-2"/>
    <n v="651.78571428571433"/>
    <n v="1"/>
    <n v="651.78571428571445"/>
    <s v="PES_Süßwasser_natürlich"/>
    <n v="1"/>
    <x v="6"/>
    <x v="61"/>
    <m/>
    <m/>
    <s v="ja"/>
    <s v="ja"/>
    <s v="ja"/>
    <s v="biodegradable"/>
    <s v="Ja"/>
    <s v="nein"/>
    <s v="ja"/>
    <m/>
    <s v="Dichte aus anderem Paper übernommen"/>
  </r>
  <r>
    <s v="PES"/>
    <s v="PE (succinate)"/>
    <s v="nein"/>
    <m/>
    <s v="Film"/>
    <n v="0.1"/>
    <s v="no value"/>
    <n v="0.93799999999999994"/>
    <m/>
    <m/>
    <m/>
    <s v="(ja)"/>
    <s v="Flusswasser (Labor)"/>
    <s v="Süßwasser"/>
    <s v="ja"/>
    <n v="25"/>
    <m/>
    <m/>
    <m/>
    <s v="aerob"/>
    <m/>
    <s v="biochemical oxygen demand (BOD)"/>
    <m/>
    <n v="83"/>
    <n v="28"/>
    <n v="2.9642857142857144"/>
    <m/>
    <n v="2"/>
    <n v="20000"/>
    <n v="2.1321961620469083E-2"/>
    <n v="540.98214285714289"/>
    <n v="1"/>
    <n v="540.98214285714289"/>
    <s v="PES_Süßwasser_natürlich"/>
    <n v="1"/>
    <x v="6"/>
    <x v="61"/>
    <m/>
    <m/>
    <s v="ja"/>
    <s v="ja"/>
    <s v="ja"/>
    <s v="biodegradable"/>
    <s v="Ja"/>
    <s v="nein"/>
    <s v="ja"/>
    <m/>
    <s v="Dichte aus anderem Paper übernommen"/>
  </r>
  <r>
    <s v="PES"/>
    <s v="PE (succinate)"/>
    <s v="nein"/>
    <m/>
    <s v="Film"/>
    <n v="0.1"/>
    <s v="no value"/>
    <n v="0.93799999999999994"/>
    <m/>
    <m/>
    <m/>
    <s v="(ja)"/>
    <s v="Seewasser (Labor)"/>
    <s v="Süßwasser"/>
    <s v="ja"/>
    <n v="25"/>
    <m/>
    <m/>
    <m/>
    <s v="aerob"/>
    <m/>
    <s v="Gewichtsverlust"/>
    <m/>
    <n v="100"/>
    <n v="28"/>
    <n v="3.5714285714285716"/>
    <m/>
    <n v="2"/>
    <n v="20000"/>
    <n v="2.1321961620469083E-2"/>
    <n v="651.78571428571433"/>
    <n v="1"/>
    <n v="651.78571428571445"/>
    <s v="PES_Süßwasser_natürlich"/>
    <n v="1"/>
    <x v="6"/>
    <x v="61"/>
    <m/>
    <m/>
    <s v="ja"/>
    <s v="ja"/>
    <s v="ja"/>
    <s v="biodegradable"/>
    <s v="Ja"/>
    <s v="nein"/>
    <s v="ja"/>
    <m/>
    <s v="Dichte aus anderem Paper übernommen"/>
  </r>
  <r>
    <s v="PES"/>
    <s v="PE (succinate)"/>
    <s v="nein"/>
    <m/>
    <s v="Film"/>
    <n v="0.1"/>
    <s v="no value"/>
    <n v="0.93799999999999994"/>
    <m/>
    <m/>
    <m/>
    <s v="(ja)"/>
    <s v="Seewasser (Labor)"/>
    <s v="Süßwasser"/>
    <s v="ja"/>
    <n v="25"/>
    <m/>
    <m/>
    <m/>
    <s v="aerob"/>
    <m/>
    <s v="biochemical oxygen demand (BOD)"/>
    <m/>
    <n v="77"/>
    <n v="28"/>
    <n v="2.75"/>
    <m/>
    <n v="2"/>
    <n v="20000"/>
    <n v="2.1321961620469083E-2"/>
    <n v="501.875"/>
    <n v="1"/>
    <n v="501.87500000000006"/>
    <s v="PES_Süßwasser_natürlich"/>
    <n v="1"/>
    <x v="6"/>
    <x v="61"/>
    <m/>
    <m/>
    <s v="ja"/>
    <s v="ja"/>
    <s v="ja"/>
    <s v="biodegradable"/>
    <s v="Ja"/>
    <s v="nein"/>
    <s v="ja"/>
    <m/>
    <s v="Dichte aus anderem Paper übernommen"/>
  </r>
  <r>
    <s v="PES"/>
    <s v="PE (succinate)"/>
    <s v="nein"/>
    <m/>
    <s v="Film"/>
    <n v="0.1"/>
    <s v="no value"/>
    <n v="0.93799999999999994"/>
    <m/>
    <m/>
    <m/>
    <s v="(ja)"/>
    <s v="Meerwasser (aus einer Bucht, Labor)"/>
    <s v="Meerwasser"/>
    <s v="ja"/>
    <n v="25"/>
    <m/>
    <m/>
    <m/>
    <s v="aerob"/>
    <m/>
    <s v="Gewichtsverlust"/>
    <m/>
    <s v="2"/>
    <n v="28"/>
    <n v="7.1428571428571425E-2"/>
    <m/>
    <n v="2"/>
    <n v="20000"/>
    <n v="2.1321961620469083E-2"/>
    <n v="13.035714285714286"/>
    <n v="1"/>
    <n v="13.035714285714299"/>
    <s v="PES_Meerwasser_natürlich"/>
    <n v="1"/>
    <x v="6"/>
    <x v="61"/>
    <m/>
    <m/>
    <s v="ja"/>
    <s v="ja"/>
    <s v="ja"/>
    <s v="biodegradable"/>
    <s v="Ja"/>
    <s v="nein"/>
    <s v="ja"/>
    <m/>
    <s v="Dichte aus anderem Paper übernommen"/>
  </r>
  <r>
    <s v="PES"/>
    <s v="PE (succinate)"/>
    <s v="nein"/>
    <m/>
    <s v="Film"/>
    <n v="0.1"/>
    <s v="no value"/>
    <n v="0.93799999999999994"/>
    <m/>
    <m/>
    <m/>
    <s v="(ja)"/>
    <s v="Meerwasser (aus einer Bucht, Labor)"/>
    <s v="Meerwasser"/>
    <s v="ja"/>
    <n v="25"/>
    <m/>
    <m/>
    <m/>
    <s v="aerob"/>
    <m/>
    <s v="biochemical oxygen demand (BOD)"/>
    <m/>
    <n v="1"/>
    <n v="28"/>
    <n v="3.5714285714285712E-2"/>
    <m/>
    <n v="2"/>
    <n v="20000"/>
    <n v="2.1321961620469083E-2"/>
    <n v="6.5178571428571432"/>
    <n v="1"/>
    <n v="6.5178571428571495"/>
    <s v="PES_Meerwasser_natürlich"/>
    <n v="1"/>
    <x v="6"/>
    <x v="61"/>
    <m/>
    <m/>
    <s v="ja"/>
    <s v="ja"/>
    <s v="ja"/>
    <s v="biodegradable"/>
    <s v="Ja"/>
    <s v="nein"/>
    <s v="ja"/>
    <m/>
    <s v="Dichte aus anderem Paper übernommen"/>
  </r>
  <r>
    <s v="PES"/>
    <s v="PE (succinate)"/>
    <s v="nein"/>
    <m/>
    <s v="Film"/>
    <n v="0.1"/>
    <s v="no value"/>
    <n v="0.93799999999999994"/>
    <m/>
    <m/>
    <m/>
    <s v="(ja)"/>
    <s v="Meerwasser (aus dem Ozean, Labor)"/>
    <s v="Meerwasser"/>
    <s v="ja"/>
    <n v="25"/>
    <m/>
    <m/>
    <m/>
    <s v="aerob"/>
    <m/>
    <s v="Gewichtsverlust"/>
    <m/>
    <s v="5"/>
    <n v="28"/>
    <n v="0.17857142857142858"/>
    <m/>
    <n v="2"/>
    <n v="20000"/>
    <n v="2.1321961620469083E-2"/>
    <n v="32.589285714285715"/>
    <n v="1"/>
    <n v="32.589285714285744"/>
    <s v="PES_Meerwasser_natürlich"/>
    <n v="1"/>
    <x v="6"/>
    <x v="61"/>
    <m/>
    <m/>
    <s v="ja"/>
    <s v="ja"/>
    <s v="ja"/>
    <s v="biodegradable"/>
    <s v="Ja"/>
    <s v="nein"/>
    <s v="ja"/>
    <m/>
    <s v="Dichte aus anderem Paper übernommen"/>
  </r>
  <r>
    <s v="PES"/>
    <s v="PE (succinate)"/>
    <s v="nein"/>
    <m/>
    <s v="Film"/>
    <n v="0.1"/>
    <s v="no value"/>
    <n v="0.93799999999999994"/>
    <m/>
    <m/>
    <m/>
    <s v="(ja)"/>
    <s v="Meerwasser (aus dem Ozean, Labor)"/>
    <s v="Meerwasser"/>
    <s v="ja"/>
    <n v="25"/>
    <m/>
    <m/>
    <m/>
    <s v="aerob"/>
    <m/>
    <s v="biochemical oxygen demand (BOD)"/>
    <m/>
    <s v="3"/>
    <n v="28"/>
    <n v="0.10714285714285714"/>
    <m/>
    <n v="2"/>
    <n v="20000"/>
    <n v="2.1321961620469083E-2"/>
    <n v="19.553571428571431"/>
    <n v="1"/>
    <n v="19.553571428571448"/>
    <s v="PES_Meerwasser_natürlich"/>
    <n v="1"/>
    <x v="6"/>
    <x v="61"/>
    <m/>
    <m/>
    <s v="ja"/>
    <s v="ja"/>
    <s v="ja"/>
    <s v="biodegradable"/>
    <s v="Ja"/>
    <s v="nein"/>
    <s v="ja"/>
    <m/>
    <s v="Dichte aus anderem Paper übernommen"/>
  </r>
  <r>
    <s v="PET"/>
    <s v="PET"/>
    <s v="nein"/>
    <m/>
    <s v="Film"/>
    <n v="0.2"/>
    <s v="no value"/>
    <n v="1.38"/>
    <s v="Amorphous PET sheet"/>
    <s v="Arrhenius prediction for 20degrees based on experiments with over drying at 60, 70, 80 and 90 degrees at dry soil, wet soil, 45% and 100% RH"/>
    <s v="nein"/>
    <s v="(ja)"/>
    <s v="air (45% Relative Humidity)"/>
    <s v="Luft"/>
    <s v="nein"/>
    <m/>
    <m/>
    <n v="45"/>
    <m/>
    <m/>
    <m/>
    <s v="Arrhenius projection based on viscosity and chain scission"/>
    <s v="Arrhenius projection based on viscosity and chain scission"/>
    <n v="50"/>
    <n v="11680"/>
    <n v="4.2808219178082189E-3"/>
    <m/>
    <n v="2"/>
    <s v=""/>
    <s v=""/>
    <s v=""/>
    <s v=""/>
    <s v=""/>
    <s v=""/>
    <n v="1"/>
    <x v="8"/>
    <x v="129"/>
    <s v="Sang et. Al. 2020"/>
    <m/>
    <s v="ja"/>
    <s v="ja"/>
    <m/>
    <m/>
    <m/>
    <m/>
    <m/>
    <m/>
    <m/>
  </r>
  <r>
    <s v="PET"/>
    <s v="PET"/>
    <s v="nein"/>
    <m/>
    <s v="Film"/>
    <n v="0.2"/>
    <s v="no value"/>
    <n v="1.38"/>
    <s v="Amorphous PET sheet"/>
    <s v="Arrhenius prediction for 20degrees based on experiments with over drying at 60, 70, 80 and 90 degrees at dry soil, wet soil, 45% and 100% RH"/>
    <s v="nein"/>
    <s v="(ja)"/>
    <s v="air (100% Relative Humidity)"/>
    <s v="Luft"/>
    <s v="nein"/>
    <m/>
    <m/>
    <n v="100"/>
    <m/>
    <m/>
    <m/>
    <s v="Arrhenius projection based on viscosity and chain scission"/>
    <s v="Arrhenius projection based on viscosity and chain scission"/>
    <n v="50"/>
    <n v="9125"/>
    <n v="5.4794520547945206E-3"/>
    <m/>
    <n v="2"/>
    <s v=""/>
    <s v=""/>
    <s v=""/>
    <s v=""/>
    <s v=""/>
    <s v=""/>
    <n v="1"/>
    <x v="8"/>
    <x v="129"/>
    <s v="Sang et. Al. 2020"/>
    <m/>
    <s v="ja"/>
    <s v="ja"/>
    <m/>
    <m/>
    <m/>
    <m/>
    <m/>
    <m/>
    <m/>
  </r>
  <r>
    <s v="PET"/>
    <s v="PET"/>
    <s v="nein"/>
    <m/>
    <s v="Film"/>
    <s v="no value"/>
    <s v="no value"/>
    <n v="1.38"/>
    <s v="PET Bottle supplied by ICI, Chemicals and Polymers, Wilton"/>
    <s v="Arrhenius prediction for 20degrees based on experiments with over drying at 60, 70, 80 and 90 degrees at dry soil, wet soil, 45% and 100% RH"/>
    <s v="nein"/>
    <s v="(ja)"/>
    <s v="Wet Soil"/>
    <s v="Boden/Kompost"/>
    <s v="ja"/>
    <m/>
    <m/>
    <m/>
    <m/>
    <m/>
    <m/>
    <s v="Arrhenius projection based on viscosity and chain scission"/>
    <s v="Arrhenius projection based on viscosity and chain scission"/>
    <n v="50"/>
    <n v="12775"/>
    <n v="3.9138943248532287E-3"/>
    <m/>
    <n v="2"/>
    <s v=""/>
    <s v=""/>
    <s v=""/>
    <s v=""/>
    <s v=""/>
    <s v=""/>
    <n v="1"/>
    <x v="3"/>
    <x v="129"/>
    <s v="Sang et. Al. 2020"/>
    <m/>
    <s v="ja"/>
    <s v="ja"/>
    <m/>
    <m/>
    <m/>
    <m/>
    <m/>
    <m/>
    <m/>
  </r>
  <r>
    <s v="PET"/>
    <s v="PET"/>
    <s v="nein"/>
    <m/>
    <s v="Film"/>
    <s v="no value"/>
    <s v="no value"/>
    <n v="1.38"/>
    <s v="PET Bottle supplied by ICI, Chemicals and Polymers, Wilton"/>
    <s v="Arrhenius prediction for 20degrees based on experiments with over drying at 60, 70, 80 and 90 degrees at dry soil, wet soil, 45% and 100% RH"/>
    <s v="nein"/>
    <s v="(ja)"/>
    <s v="air (45% Relative Humidity)"/>
    <s v="Luft"/>
    <s v="nein"/>
    <m/>
    <m/>
    <n v="45"/>
    <m/>
    <m/>
    <m/>
    <s v="Arrhenius projection based on viscosity and chain scission"/>
    <s v="Arrhenius projection based on viscosity and chain scission"/>
    <n v="50"/>
    <n v="17520"/>
    <n v="2.8538812785388126E-3"/>
    <m/>
    <n v="2"/>
    <s v=""/>
    <s v=""/>
    <s v=""/>
    <s v=""/>
    <s v=""/>
    <s v=""/>
    <n v="1"/>
    <x v="3"/>
    <x v="129"/>
    <s v="Sang et. Al. 2020"/>
    <m/>
    <s v="ja"/>
    <s v="ja"/>
    <m/>
    <m/>
    <m/>
    <m/>
    <m/>
    <m/>
    <m/>
  </r>
  <r>
    <s v="PET"/>
    <s v="PET"/>
    <s v="nein"/>
    <m/>
    <s v="Film"/>
    <s v="no value"/>
    <s v="no value"/>
    <n v="1.38"/>
    <s v="PET Bottle supplied by ICI, Chemicals and Polymers, Wilton"/>
    <s v="Arrhenius prediction for 20degrees based on experiments with over drying at 60, 70, 80 and 90 degrees at dry soil, wet soil, 45% and 100% RH"/>
    <s v="nein"/>
    <s v="(ja)"/>
    <s v="air (100% Relative Humidity)"/>
    <s v="Luft"/>
    <s v="nein"/>
    <m/>
    <m/>
    <n v="100"/>
    <m/>
    <m/>
    <m/>
    <s v="Arrhenius projection based on viscosity and chain scission"/>
    <s v="Arrhenius projection based on viscosity and chain scission"/>
    <n v="50"/>
    <n v="9855"/>
    <n v="5.0735667174023336E-3"/>
    <m/>
    <n v="2"/>
    <s v=""/>
    <s v=""/>
    <s v=""/>
    <s v=""/>
    <s v=""/>
    <s v=""/>
    <n v="1"/>
    <x v="3"/>
    <x v="129"/>
    <s v="Sang et. Al. 2020"/>
    <m/>
    <s v="ja"/>
    <s v="ja"/>
    <m/>
    <m/>
    <m/>
    <m/>
    <m/>
    <m/>
    <m/>
  </r>
  <r>
    <s v="PET"/>
    <s v="PET"/>
    <s v="nein"/>
    <m/>
    <s v="Film"/>
    <n v="0.12"/>
    <s v="no value"/>
    <n v="1.38"/>
    <s v="Cinematograph film composed of a PET substrate, polyuethane/epoxy acrylate adhensive layers"/>
    <s v="Arrhenius prediction for 20degrees based on experiments with over drying at 60, 70, 80 and 90 degrees and 45% and 100 % RH"/>
    <s v="nein"/>
    <s v="(ja)"/>
    <s v="air (45% Relative Humidity)"/>
    <s v="Luft"/>
    <s v="nein"/>
    <m/>
    <m/>
    <n v="45"/>
    <m/>
    <m/>
    <m/>
    <s v="Arrhenius projection based on viscosity and chain scission"/>
    <s v="viscosity and chain scission &amp; Microscopic examination"/>
    <n v="20"/>
    <n v="365000"/>
    <n v="5.4794520547945207E-5"/>
    <m/>
    <n v="2"/>
    <s v=""/>
    <s v=""/>
    <s v=""/>
    <s v=""/>
    <s v=""/>
    <s v=""/>
    <n v="1"/>
    <x v="8"/>
    <x v="129"/>
    <s v="Sang et. Al. 2020"/>
    <m/>
    <s v="ja"/>
    <s v="ja"/>
    <m/>
    <m/>
    <m/>
    <m/>
    <m/>
    <m/>
    <m/>
  </r>
  <r>
    <s v="PET"/>
    <s v="PET"/>
    <s v="nein"/>
    <m/>
    <s v="Film"/>
    <n v="0.12"/>
    <s v="no value"/>
    <n v="1.38"/>
    <s v="Cinematograph film composed of a PET substrate, polyuethane/epoxy acrylate adhensive layers"/>
    <s v="Arrhenius prediction for 20degrees based on experiments with over drying at 60, 70, 80 and 90 degrees and 45% and 100 % RH"/>
    <s v="nein"/>
    <s v="(ja)"/>
    <s v="air (100% Relative Humidity)"/>
    <s v="Luft"/>
    <s v="nein"/>
    <m/>
    <m/>
    <n v="100"/>
    <m/>
    <m/>
    <m/>
    <s v="Arrhenius projection based on viscosity and chain scission"/>
    <s v="viscosity and chain scission &amp; Microscopic examination"/>
    <n v="20"/>
    <n v="33215"/>
    <n v="6.0213758843895835E-4"/>
    <m/>
    <n v="2"/>
    <s v=""/>
    <s v=""/>
    <s v=""/>
    <s v=""/>
    <s v=""/>
    <s v=""/>
    <n v="1"/>
    <x v="8"/>
    <x v="129"/>
    <s v="Sang et. Al. 2020"/>
    <m/>
    <s v="ja"/>
    <s v="ja"/>
    <m/>
    <m/>
    <m/>
    <m/>
    <m/>
    <m/>
    <m/>
  </r>
  <r>
    <s v="PET"/>
    <s v="PET"/>
    <s v="nein"/>
    <m/>
    <s v="Film"/>
    <n v="0.12"/>
    <s v="no value"/>
    <n v="1.38"/>
    <s v="Cinematograph film composed of a PET substrate, polyuethane/epoxy acrylate adhensive layers"/>
    <s v="Arrhenius prediction for 20degrees based on experiments with over drying at 60, 70, 80 and 90 degrees and at 45% and 100 % RH"/>
    <s v="nein"/>
    <s v="(ja)"/>
    <s v="air (100% Relative Humidity)"/>
    <s v="Luft"/>
    <s v="nein"/>
    <m/>
    <m/>
    <n v="100"/>
    <m/>
    <m/>
    <m/>
    <s v="Arrhenius projection based on viscosity and chain scission"/>
    <s v="viscosity and chain scission &amp; Microscopic examination"/>
    <n v="20"/>
    <n v="31755"/>
    <n v="6.2982207526373799E-4"/>
    <m/>
    <n v="2"/>
    <s v=""/>
    <s v=""/>
    <s v=""/>
    <s v=""/>
    <s v=""/>
    <s v=""/>
    <n v="1"/>
    <x v="8"/>
    <x v="129"/>
    <s v="Sang et. Al. 2020"/>
    <m/>
    <s v="ja"/>
    <s v="ja"/>
    <m/>
    <m/>
    <m/>
    <m/>
    <m/>
    <m/>
    <m/>
  </r>
  <r>
    <s v="PET"/>
    <s v="PET"/>
    <s v="nein"/>
    <m/>
    <s v="Film"/>
    <n v="0.3"/>
    <s v="no value"/>
    <n v="1.38"/>
    <s v="polyestersheet and biaxially oriented bottle materials (unstabilised)"/>
    <s v="Arrhenius prediction for 20degrees based on experiments with over drying at 60, 70, 80 and 90 degrees at wet soil, 45% and 100% RH"/>
    <s v="nein"/>
    <s v="(ja)"/>
    <s v="air (45% Relative Humidity)"/>
    <s v="Luft"/>
    <s v="nein"/>
    <m/>
    <m/>
    <n v="45"/>
    <m/>
    <m/>
    <m/>
    <s v="Arrhenius projection based on viscosity and chain scission"/>
    <s v="Arrhenius projection based on viscosity and chain scission"/>
    <n v="50"/>
    <n v="99645"/>
    <n v="5.0178132369913192E-4"/>
    <m/>
    <n v="2"/>
    <s v=""/>
    <s v=""/>
    <s v=""/>
    <s v=""/>
    <s v=""/>
    <s v=""/>
    <n v="1"/>
    <x v="8"/>
    <x v="87"/>
    <m/>
    <m/>
    <s v="ja"/>
    <s v="ja"/>
    <m/>
    <m/>
    <m/>
    <m/>
    <m/>
    <m/>
    <m/>
  </r>
  <r>
    <s v="PET"/>
    <s v="PET"/>
    <s v="nein"/>
    <m/>
    <s v="Film"/>
    <n v="0.2"/>
    <s v="no value"/>
    <n v="1.38"/>
    <s v="Amorphous PET sheet"/>
    <s v="Arrhenius prediction for 20degrees based on experiments with over drying at 60, 70, 80 and 90 degrees at dry soil, wet soil, 45% and 100% RH"/>
    <s v="nein"/>
    <s v="(ja)"/>
    <s v="Wet Soil"/>
    <s v="Boden/Kompost"/>
    <s v="ja"/>
    <m/>
    <m/>
    <m/>
    <m/>
    <m/>
    <m/>
    <s v="Arrhenius projection based on viscosity and chain scission"/>
    <s v="Arrhenius projection based on viscosity and chain scission"/>
    <n v="50"/>
    <n v="10950"/>
    <n v="4.5662100456621002E-3"/>
    <m/>
    <n v="2"/>
    <n v="10000"/>
    <n v="7.2463768115942039E-3"/>
    <n v="1.6666666666666665"/>
    <n v="1"/>
    <n v="1.6666666666666665"/>
    <s v="PET_Boden/Kompost_natürlich"/>
    <n v="1"/>
    <x v="6"/>
    <x v="129"/>
    <s v="Sang et. Al. 2020"/>
    <m/>
    <s v="ja"/>
    <s v="ja"/>
    <m/>
    <m/>
    <m/>
    <m/>
    <m/>
    <m/>
    <m/>
  </r>
  <r>
    <s v="PET"/>
    <s v="PET"/>
    <s v="nein"/>
    <m/>
    <s v="Film"/>
    <n v="0.3"/>
    <s v="no value"/>
    <n v="1.38"/>
    <s v="polyestershhet and biaxially oriented bottle materials (unstabilised)"/>
    <s v="Arrhenius prediction for 20degrees based on experiments with over drying at 60, 70, 80 and 90 degrees at wet soil, 45% and 100% RH"/>
    <s v="nein"/>
    <s v="(ja)"/>
    <s v="air (100% Relative Humidity)"/>
    <s v="Luft"/>
    <s v="nein"/>
    <m/>
    <m/>
    <n v="100"/>
    <m/>
    <m/>
    <m/>
    <s v="Arrhenius projection based on viscosity and chain scission"/>
    <s v="Arrhenius projection based on viscosity and chain scission"/>
    <n v="50"/>
    <n v="33945"/>
    <n v="1.4729709824716454E-3"/>
    <m/>
    <n v="2"/>
    <s v=""/>
    <s v=""/>
    <s v=""/>
    <s v=""/>
    <s v=""/>
    <s v=""/>
    <n v="1"/>
    <x v="8"/>
    <x v="87"/>
    <m/>
    <m/>
    <s v="ja"/>
    <s v="ja"/>
    <m/>
    <m/>
    <m/>
    <m/>
    <m/>
    <m/>
    <m/>
  </r>
  <r>
    <s v="PET"/>
    <s v="PET"/>
    <s v="nein"/>
    <m/>
    <s v="Film"/>
    <n v="0.3"/>
    <s v="no value"/>
    <n v="1.38"/>
    <s v="polyestershhet and biaxially oriented bottle materials (unstabilised)"/>
    <s v="Arrhenius prediction for 20degrees based on experiments with over drying at 60, 70, 80 and 90 degrees at wet soil, 45% and 100% RH"/>
    <s v="nein"/>
    <s v="(ja)"/>
    <s v="Wet Soil"/>
    <s v="Boden/Kompost"/>
    <s v="ja"/>
    <m/>
    <m/>
    <m/>
    <m/>
    <m/>
    <m/>
    <s v="Arrhenius projection based on viscosity and chain scission"/>
    <s v="Arrhenius projection based on viscosity and chain scission"/>
    <n v="50"/>
    <n v="65700"/>
    <n v="7.6103500761035003E-4"/>
    <m/>
    <n v="2"/>
    <n v="6666.666666666667"/>
    <n v="4.8309178743961359E-3"/>
    <n v="0.41666666666666663"/>
    <n v="1"/>
    <n v="0.41666666666666663"/>
    <s v="PET_Boden/Kompost_natürlich"/>
    <n v="1"/>
    <x v="6"/>
    <x v="87"/>
    <m/>
    <m/>
    <s v="ja"/>
    <s v="ja"/>
    <m/>
    <m/>
    <m/>
    <m/>
    <m/>
    <m/>
    <m/>
  </r>
  <r>
    <s v="PET"/>
    <s v="PET"/>
    <s v="nein"/>
    <m/>
    <s v="Film"/>
    <n v="0.5"/>
    <s v="no value"/>
    <n v="1.38"/>
    <s v="Bottle from 1997"/>
    <s v="keine"/>
    <s v="nein"/>
    <s v="ja"/>
    <s v="Meerwasser"/>
    <s v="Meerwasser"/>
    <s v="ja"/>
    <m/>
    <m/>
    <m/>
    <m/>
    <m/>
    <m/>
    <s v="Gewichtsverlust"/>
    <s v="Schätzung"/>
    <n v="5"/>
    <n v="6570"/>
    <n v="7.6103500761035003E-4"/>
    <m/>
    <n v="2"/>
    <n v="4000"/>
    <n v="2.8985507246376816E-3"/>
    <n v="0.69444444444444442"/>
    <n v="1"/>
    <n v="0.6944444444444452"/>
    <s v="PET_Meerwasser_natürlich"/>
    <n v="1"/>
    <x v="6"/>
    <x v="130"/>
    <m/>
    <m/>
    <m/>
    <m/>
    <m/>
    <m/>
    <m/>
    <m/>
    <m/>
    <m/>
    <m/>
  </r>
  <r>
    <s v="PHB"/>
    <s v="Polyhydroxyalkanoate Copolymer"/>
    <s v="ja"/>
    <s v="Zusätze"/>
    <s v="Film"/>
    <n v="8.5000000000000006E-2"/>
    <m/>
    <m/>
    <s v="Grade: Mirel™ P5001 (&gt; 70% PHB copolymer, plasticizer &amp; fillers)"/>
    <s v="keine"/>
    <s v="nein"/>
    <s v="(ja)"/>
    <s v="natural soil - OWS laboratory"/>
    <s v="Boden/Kompost"/>
    <s v="ja"/>
    <s v="25-28"/>
    <s v="6-8,3"/>
    <m/>
    <s v="40-60"/>
    <m/>
    <s v="bewegt"/>
    <s v="CO2-Entwicklung"/>
    <m/>
    <n v="90.2"/>
    <n v="120"/>
    <n v="0.75166666666666671"/>
    <m/>
    <n v="2"/>
    <s v=""/>
    <s v=""/>
    <s v=""/>
    <s v=""/>
    <s v=""/>
    <s v=""/>
    <n v="1"/>
    <x v="4"/>
    <x v="80"/>
    <m/>
    <m/>
    <m/>
    <m/>
    <m/>
    <m/>
    <m/>
    <m/>
    <m/>
    <m/>
    <m/>
  </r>
  <r>
    <s v="PET"/>
    <s v="PET"/>
    <s v="nein"/>
    <m/>
    <s v="Film"/>
    <n v="0.3"/>
    <s v="no value"/>
    <n v="1.38"/>
    <s v="Bottle"/>
    <s v="keine"/>
    <s v="nein"/>
    <s v="ja"/>
    <s v="wet soil"/>
    <s v="Boden/Kompost"/>
    <s v="ja"/>
    <n v="20"/>
    <s v="5,8-8,2"/>
    <m/>
    <m/>
    <m/>
    <m/>
    <s v="Arrhenius projection based on viscosity and chain scission"/>
    <s v="Arrhenius projection based on viscosity and chain scission"/>
    <n v="5"/>
    <n v="12775"/>
    <n v="3.9138943248532291E-4"/>
    <m/>
    <n v="2"/>
    <n v="6666.666666666667"/>
    <n v="4.8309178743961359E-3"/>
    <n v="0.21428571428571427"/>
    <n v="1"/>
    <n v="0.21428571428571452"/>
    <s v="PET_Boden/Kompost_natürlich"/>
    <n v="1"/>
    <x v="6"/>
    <x v="131"/>
    <m/>
    <m/>
    <m/>
    <m/>
    <m/>
    <m/>
    <m/>
    <m/>
    <m/>
    <m/>
    <s v="Dichte aus anderem Paper übernommen"/>
  </r>
  <r>
    <s v="PHA"/>
    <s v="PHA"/>
    <s v="nein"/>
    <m/>
    <s v="Strips"/>
    <n v="1"/>
    <n v="1.5E-3"/>
    <s v="no value"/>
    <m/>
    <m/>
    <m/>
    <s v="ja"/>
    <s v="Boden (alluvial-type soil) - Soil was maintained at  30% moisture by weight, and the samples were buried at a depth of 12-15 cm_x000a_"/>
    <s v="Boden/Kompost"/>
    <s v="ja"/>
    <m/>
    <m/>
    <m/>
    <n v="35"/>
    <m/>
    <m/>
    <s v="Gewichtsverlust"/>
    <m/>
    <n v="30"/>
    <n v="60"/>
    <n v="0.5"/>
    <m/>
    <n v="2"/>
    <n v="2000"/>
    <s v=""/>
    <n v="912.5"/>
    <n v="1"/>
    <n v="912.50000000000023"/>
    <s v="PHA_Boden/Kompost_natürlich"/>
    <n v="1"/>
    <x v="6"/>
    <x v="89"/>
    <s v="Emadian 2017"/>
    <s v="CB (März 2020)"/>
    <s v="ja "/>
    <s v="ja "/>
    <m/>
    <m/>
    <m/>
    <s v="nein"/>
    <s v="ja"/>
    <m/>
    <m/>
  </r>
  <r>
    <s v="PHB"/>
    <s v="Polyhydroxyalkanoate Copolymer"/>
    <s v="ja"/>
    <s v="Zusätze"/>
    <s v="Film"/>
    <n v="8.5000000000000006E-2"/>
    <m/>
    <m/>
    <s v="Grade: Mirel™ P5001 (&gt; 70% PHB copolymer, plasticizer &amp; fillers)"/>
    <s v="keine"/>
    <s v="nein"/>
    <s v="(ja)"/>
    <s v="natural soil - Novamont laboratory"/>
    <s v="Boden/Kompost"/>
    <s v="ja"/>
    <s v="25-28"/>
    <s v="6-8,3"/>
    <m/>
    <s v="40-60"/>
    <m/>
    <s v="bewegt"/>
    <s v="CO2-Entwicklung"/>
    <m/>
    <n v="82.6"/>
    <n v="210"/>
    <n v="0.39333333333333331"/>
    <m/>
    <n v="2"/>
    <s v=""/>
    <s v=""/>
    <s v=""/>
    <s v=""/>
    <s v=""/>
    <s v=""/>
    <n v="1"/>
    <x v="4"/>
    <x v="80"/>
    <m/>
    <m/>
    <m/>
    <m/>
    <m/>
    <m/>
    <m/>
    <m/>
    <m/>
    <m/>
    <m/>
  </r>
  <r>
    <s v="PHA"/>
    <s v="PHA"/>
    <s v="nein"/>
    <m/>
    <s v="Film"/>
    <n v="8.5000000000000006E-2"/>
    <s v="no value"/>
    <s v="no value"/>
    <s v="polyhydroxyalkanoate copolymer (PHA, MIREL® P5001, Metabolix, Cambridge, USA)"/>
    <s v="keine"/>
    <m/>
    <s v="ja"/>
    <s v="Mediterranean Sea - eulitoral"/>
    <s v="Meerwasser"/>
    <s v="ja"/>
    <s v="11-30"/>
    <s v="7,6-8,2"/>
    <m/>
    <m/>
    <m/>
    <m/>
    <s v="Gewichtsverlust"/>
    <s v="Desintegration is assessed photogrammetrically by quantifying the area change of the plastic film"/>
    <n v="65"/>
    <n v="678"/>
    <n v="9.5870206489675522E-2"/>
    <m/>
    <n v="2"/>
    <n v="23529.411764705881"/>
    <s v=""/>
    <n v="14.871865781710916"/>
    <n v="1"/>
    <n v="14.871865781710916"/>
    <s v="PHA_Meerwasser_natürlich"/>
    <n v="1"/>
    <x v="6"/>
    <x v="48"/>
    <m/>
    <s v="CG (August 2020)"/>
    <s v="ja"/>
    <s v="ja"/>
    <m/>
    <m/>
    <m/>
    <s v="nein"/>
    <s v="ja"/>
    <m/>
    <m/>
  </r>
  <r>
    <s v="PHA"/>
    <s v="PHA"/>
    <s v="nein"/>
    <m/>
    <s v="Film"/>
    <n v="8.5000000000000006E-2"/>
    <s v="no value"/>
    <s v="no value"/>
    <s v="polyhydroxyalkanoate copolymer (PHA, MIREL® P5001, Metabolix, Cambridge, USA)"/>
    <s v="keine"/>
    <m/>
    <s v="ja"/>
    <s v="Mediterranean Sea - pelagic"/>
    <s v="Meerwasser"/>
    <s v="ja"/>
    <s v="14-25"/>
    <n v="8.1999999999999993"/>
    <m/>
    <m/>
    <m/>
    <m/>
    <s v="Gewichtsverlust"/>
    <s v="Desintegration is assessed photogrammetrically by quantifying the area change of the plastic film"/>
    <n v="75"/>
    <n v="678"/>
    <n v="0.11061946902654868"/>
    <m/>
    <n v="2"/>
    <n v="23529.411764705881"/>
    <s v=""/>
    <n v="17.159845132743364"/>
    <n v="1"/>
    <n v="17.159845132743364"/>
    <s v="PHA_Meerwasser_natürlich"/>
    <n v="1"/>
    <x v="6"/>
    <x v="48"/>
    <m/>
    <s v="CG (August 2020)"/>
    <s v="ja"/>
    <s v="ja"/>
    <m/>
    <m/>
    <m/>
    <s v="nein"/>
    <s v="ja"/>
    <m/>
    <m/>
  </r>
  <r>
    <s v="PHA"/>
    <s v="PHA"/>
    <s v="nein"/>
    <m/>
    <s v="Film"/>
    <n v="8.5000000000000006E-2"/>
    <s v="no value"/>
    <s v="no value"/>
    <s v="polyhydroxyalkanoate copolymer (PHA, MIREL® P5001, Metabolix, Cambridge, USA)"/>
    <s v="keine"/>
    <m/>
    <s v="ja"/>
    <s v="Mediterranean Sea - benthic"/>
    <s v="Benthic"/>
    <s v="ja"/>
    <s v="14-20"/>
    <n v="8.1999999999999993"/>
    <m/>
    <m/>
    <m/>
    <m/>
    <s v="Gewichtsverlust"/>
    <s v="Desintegration is assessed photogrammetrically by quantifying the area change of the plastic film"/>
    <n v="1"/>
    <n v="678"/>
    <n v="1.4749262536873156E-3"/>
    <m/>
    <n v="2"/>
    <n v="23529.411764705881"/>
    <s v=""/>
    <n v="0.22879793510324484"/>
    <n v="1"/>
    <n v="0.22879793510324506"/>
    <s v="PHA_Benthic_natürlich"/>
    <n v="1"/>
    <x v="6"/>
    <x v="48"/>
    <m/>
    <s v="CG (August 2020)"/>
    <s v="ja"/>
    <s v="ja"/>
    <m/>
    <m/>
    <m/>
    <s v="nein"/>
    <s v="ja"/>
    <m/>
    <m/>
  </r>
  <r>
    <s v="PHA"/>
    <s v="PHA"/>
    <s v="nein"/>
    <m/>
    <s v="Film"/>
    <n v="8.5000000000000006E-2"/>
    <s v="no value"/>
    <s v="no value"/>
    <s v="polyhydroxyalkanoate copolymer (PHA, MIREL® P5001, Metabolix, Cambridge, USA)"/>
    <s v="keine"/>
    <m/>
    <s v="ja"/>
    <s v="South East Asia - benthic"/>
    <s v="Benthic"/>
    <s v="ja"/>
    <n v="28.6"/>
    <n v="8.1"/>
    <m/>
    <m/>
    <m/>
    <m/>
    <s v="Gewichtsverlust"/>
    <s v="Desintegration is assessed photogrammetrically by quantifying the area change of the plastic film"/>
    <n v="61.2"/>
    <n v="64"/>
    <n v="0.95625000000000004"/>
    <m/>
    <n v="2"/>
    <n v="23529.411764705881"/>
    <s v=""/>
    <n v="148.33828125000002"/>
    <n v="1"/>
    <n v="148.33828124999999"/>
    <s v="PHA_Benthic_natürlich"/>
    <n v="1"/>
    <x v="6"/>
    <x v="48"/>
    <m/>
    <s v="CG (August 2020)"/>
    <s v="ja"/>
    <s v="ja"/>
    <m/>
    <m/>
    <m/>
    <s v="nein"/>
    <s v="ja"/>
    <m/>
    <m/>
  </r>
  <r>
    <s v="PHBV"/>
    <s v="Poly(B-hydroxybutyrate-co-valerate) (PHB/HV)"/>
    <s v="nein"/>
    <m/>
    <s v="Strips"/>
    <s v="no value"/>
    <m/>
    <m/>
    <m/>
    <m/>
    <s v="keine"/>
    <s v="nein"/>
    <s v="the bottom of each flask was filled with 50 g of wet perlite and then about 25 g of a mixture of 20-25 g milled dry perlite, 10-12.5 g of soil, and 15-20 ml of distilled water were added. The test samples were allocated inside this mixture, and finally, 50 g of wet perlite were added."/>
    <s v="Boden/Kompost"/>
    <s v="ja"/>
    <m/>
    <m/>
    <m/>
    <m/>
    <m/>
    <m/>
    <s v="CO2-Entwicklung"/>
    <m/>
    <n v="35"/>
    <n v="125"/>
    <n v="0.28000000000000003"/>
    <m/>
    <n v="2"/>
    <s v=""/>
    <s v=""/>
    <s v=""/>
    <s v=""/>
    <s v=""/>
    <s v=""/>
    <n v="1"/>
    <x v="3"/>
    <x v="132"/>
    <m/>
    <m/>
    <m/>
    <m/>
    <m/>
    <m/>
    <m/>
    <m/>
    <m/>
    <m/>
    <m/>
  </r>
  <r>
    <s v="PCL"/>
    <s v="Poly(e-caprolactone)"/>
    <s v="nein"/>
    <m/>
    <s v="Strips"/>
    <s v="no value"/>
    <m/>
    <m/>
    <m/>
    <m/>
    <s v="keine"/>
    <s v="nein"/>
    <s v="the bottom of each flask was filled with 50 g of wet perlite and then about 25 g of a mixture of 20-25 g milled dry perlite, 10-12.5 g of soil, and 15-20 ml of distilled water were added. The test samples were allocated inside this mixture, and finally, 50 g of wet perlite were added."/>
    <s v="Boden/Kompost"/>
    <s v="ja"/>
    <m/>
    <m/>
    <m/>
    <m/>
    <m/>
    <m/>
    <s v="CO2-Entwicklung"/>
    <m/>
    <n v="20"/>
    <n v="125"/>
    <n v="0.16"/>
    <m/>
    <n v="2"/>
    <s v=""/>
    <s v=""/>
    <s v=""/>
    <s v=""/>
    <s v=""/>
    <s v=""/>
    <n v="1"/>
    <x v="3"/>
    <x v="132"/>
    <m/>
    <m/>
    <m/>
    <m/>
    <m/>
    <m/>
    <m/>
    <m/>
    <m/>
    <m/>
    <m/>
  </r>
  <r>
    <s v="Cellulose"/>
    <s v="Cellulose"/>
    <s v="nein"/>
    <m/>
    <s v="Strips"/>
    <s v="no value"/>
    <m/>
    <m/>
    <m/>
    <m/>
    <s v="keine"/>
    <s v="nein"/>
    <s v="the bottom of each flask was filled with 50 g of wet perlite and then about 25 g of a mixture of 20-25 g milled dry perlite, 10-12.5 g of soil, and 15-20 ml of distilled water were added. The test samples were allocated inside this mixture, and finally, 50 g of wet perlite were added."/>
    <s v="Boden/Kompost"/>
    <s v="ja"/>
    <m/>
    <m/>
    <m/>
    <m/>
    <m/>
    <m/>
    <s v="CO2-Entwicklung"/>
    <m/>
    <n v="48"/>
    <n v="125"/>
    <n v="0.38400000000000001"/>
    <m/>
    <n v="2"/>
    <s v=""/>
    <s v=""/>
    <s v=""/>
    <s v=""/>
    <s v=""/>
    <s v=""/>
    <n v="1"/>
    <x v="3"/>
    <x v="132"/>
    <m/>
    <m/>
    <m/>
    <m/>
    <m/>
    <m/>
    <m/>
    <m/>
    <m/>
    <m/>
    <m/>
  </r>
  <r>
    <s v="Starch-blend"/>
    <s v="MaterBi"/>
    <s v="nein"/>
    <m/>
    <s v="Film"/>
    <s v="no value"/>
    <m/>
    <m/>
    <s v="external packaging of a commercial paper roll"/>
    <m/>
    <s v="keine"/>
    <s v="nein"/>
    <s v="the bottom of each flask was filled with 50 g of wet perlite and then about 25 g of a mixture of 20-25 g milled dry perlite, 10-12.5 g of soil, and 15-20 ml of distilled water were added. The test samples were allocated inside this mixture, and finally, 50 g of wet perlite were added."/>
    <s v="Boden/Kompost"/>
    <s v="ja"/>
    <m/>
    <m/>
    <m/>
    <m/>
    <m/>
    <m/>
    <s v="CO2-Entwicklung"/>
    <m/>
    <n v="18"/>
    <n v="125"/>
    <n v="0.14399999999999999"/>
    <m/>
    <n v="2"/>
    <s v=""/>
    <s v=""/>
    <s v=""/>
    <s v=""/>
    <s v=""/>
    <s v=""/>
    <n v="1"/>
    <x v="3"/>
    <x v="132"/>
    <m/>
    <m/>
    <m/>
    <m/>
    <m/>
    <m/>
    <m/>
    <m/>
    <m/>
    <m/>
    <m/>
  </r>
  <r>
    <s v="PLA(-blend)"/>
    <s v="PLA"/>
    <m/>
    <m/>
    <m/>
    <n v="0.03"/>
    <m/>
    <m/>
    <m/>
    <m/>
    <m/>
    <m/>
    <s v="Mediterranean soil"/>
    <s v="Boden/Kompost"/>
    <s v="ja"/>
    <s v="20-25"/>
    <m/>
    <m/>
    <m/>
    <m/>
    <m/>
    <m/>
    <m/>
    <n v="0"/>
    <n v="334"/>
    <n v="0"/>
    <m/>
    <s v=""/>
    <s v=""/>
    <s v=""/>
    <s v=""/>
    <s v=""/>
    <s v=""/>
    <s v=""/>
    <n v="1"/>
    <x v="2"/>
    <x v="133"/>
    <m/>
    <m/>
    <m/>
    <m/>
    <m/>
    <m/>
    <m/>
    <m/>
    <m/>
    <m/>
    <m/>
  </r>
  <r>
    <s v="PLA(-blend)"/>
    <s v="PLA"/>
    <m/>
    <m/>
    <m/>
    <n v="7.4999999999999997E-2"/>
    <m/>
    <m/>
    <m/>
    <m/>
    <m/>
    <m/>
    <s v="Mediterranean soil"/>
    <s v="Boden/Kompost"/>
    <s v="ja"/>
    <s v="20-25"/>
    <m/>
    <m/>
    <m/>
    <m/>
    <m/>
    <m/>
    <m/>
    <n v="0"/>
    <n v="334"/>
    <n v="0"/>
    <m/>
    <s v=""/>
    <s v=""/>
    <s v=""/>
    <s v=""/>
    <s v=""/>
    <s v=""/>
    <s v=""/>
    <n v="1"/>
    <x v="2"/>
    <x v="133"/>
    <m/>
    <m/>
    <m/>
    <m/>
    <m/>
    <m/>
    <m/>
    <m/>
    <m/>
    <m/>
    <m/>
  </r>
  <r>
    <s v="PCL"/>
    <s v="PCL/TPS (75/16), 9 % Additive"/>
    <s v="ja"/>
    <s v="Zusätze"/>
    <m/>
    <m/>
    <m/>
    <m/>
    <m/>
    <m/>
    <m/>
    <m/>
    <m/>
    <m/>
    <s v="nein"/>
    <m/>
    <m/>
    <m/>
    <m/>
    <m/>
    <m/>
    <m/>
    <m/>
    <m/>
    <m/>
    <e v="#DIV/0!"/>
    <m/>
    <s v=""/>
    <s v=""/>
    <s v=""/>
    <s v=""/>
    <s v=""/>
    <s v=""/>
    <s v=""/>
    <n v="1"/>
    <x v="2"/>
    <x v="134"/>
    <m/>
    <m/>
    <m/>
    <m/>
    <m/>
    <m/>
    <m/>
    <m/>
    <m/>
    <m/>
    <m/>
  </r>
  <r>
    <s v="PHA"/>
    <m/>
    <s v="nein"/>
    <m/>
    <s v="Film"/>
    <n v="0.1"/>
    <s v="no value"/>
    <s v="no value"/>
    <s v="PHA (MirelTM P5001)"/>
    <s v="keine"/>
    <m/>
    <s v="ja"/>
    <s v="Mediterranean Sea - eulitoral"/>
    <s v="Meerwasser"/>
    <s v="ja"/>
    <m/>
    <m/>
    <m/>
    <m/>
    <m/>
    <m/>
    <s v="Gewichtsverlust"/>
    <s v="Desintegration is assessed photogrammetrically by quantifying the area change of the plastic film"/>
    <n v="50"/>
    <n v="429"/>
    <n v="0.11655011655011654"/>
    <m/>
    <n v="2"/>
    <n v="20000"/>
    <s v=""/>
    <n v="21.270396270396272"/>
    <n v="1"/>
    <n v="21.270396270396269"/>
    <s v="PHA_Meerwasser_natürlich"/>
    <n v="1"/>
    <x v="6"/>
    <x v="72"/>
    <m/>
    <s v="CG (August 2020)"/>
    <s v="ja"/>
    <s v="ja"/>
    <m/>
    <m/>
    <m/>
    <s v="nein"/>
    <s v="ja"/>
    <m/>
    <m/>
  </r>
  <r>
    <s v="PHA"/>
    <m/>
    <s v="nein"/>
    <m/>
    <s v="Film"/>
    <n v="0.1"/>
    <s v="no value"/>
    <s v="no value"/>
    <s v="PHA (MirelTM P5001)"/>
    <s v="keine"/>
    <m/>
    <s v="ja"/>
    <s v="Mediterranean Sea - benthic"/>
    <s v="Benthic"/>
    <s v="ja"/>
    <m/>
    <m/>
    <m/>
    <m/>
    <m/>
    <m/>
    <s v="Gewichtsverlust"/>
    <s v="Desintegration is assessed photogrammetrically by quantifying the area change of the plastic film"/>
    <n v="50"/>
    <n v="738"/>
    <n v="6.7750677506775062E-2"/>
    <m/>
    <n v="2"/>
    <n v="20000"/>
    <s v=""/>
    <n v="12.364498644986449"/>
    <n v="1"/>
    <n v="12.364498644986449"/>
    <s v="PHA_Benthic_natürlich"/>
    <n v="1"/>
    <x v="6"/>
    <x v="72"/>
    <m/>
    <s v="CG (August 2020)"/>
    <s v="ja"/>
    <s v="ja"/>
    <m/>
    <m/>
    <m/>
    <s v="nein"/>
    <s v="ja"/>
    <m/>
    <m/>
  </r>
  <r>
    <s v="PHA"/>
    <m/>
    <s v="nein"/>
    <m/>
    <s v="Film"/>
    <n v="0.1"/>
    <s v="no value"/>
    <s v="no value"/>
    <s v="PHA (MirelTM P5001)"/>
    <s v="keine"/>
    <m/>
    <s v="ja"/>
    <s v="South East Asia - benthic"/>
    <s v="Benthic"/>
    <s v="ja"/>
    <m/>
    <m/>
    <m/>
    <m/>
    <m/>
    <m/>
    <s v="Gewichtsverlust"/>
    <s v="Desintegration is assessed photogrammetrically by quantifying the area change of the plastic film"/>
    <n v="50"/>
    <n v="55"/>
    <n v="0.90909090909090906"/>
    <m/>
    <n v="2"/>
    <n v="20000"/>
    <s v=""/>
    <n v="165.90909090909091"/>
    <n v="1"/>
    <n v="165.90909090909091"/>
    <s v="PHA_Benthic_natürlich"/>
    <n v="1"/>
    <x v="6"/>
    <x v="72"/>
    <m/>
    <s v="CG (August 2020)"/>
    <s v="ja"/>
    <s v="ja"/>
    <m/>
    <m/>
    <m/>
    <s v="nein"/>
    <s v="ja"/>
    <m/>
    <m/>
  </r>
  <r>
    <s v="PHB"/>
    <s v="PHB"/>
    <s v="nein"/>
    <m/>
    <s v="Strips"/>
    <n v="0.1"/>
    <n v="7.0685834705770342E-4"/>
    <n v="1.26"/>
    <s v="disks of diameter 30 mm, thickness 0,1 mm and mass 73+-5 mg"/>
    <s v="keine"/>
    <m/>
    <s v="ja"/>
    <s v="Boden"/>
    <s v="Boden/Kompost"/>
    <s v="ja"/>
    <s v="Realbedingungen "/>
    <m/>
    <m/>
    <m/>
    <m/>
    <m/>
    <s v="Gewichtsverlust"/>
    <m/>
    <n v="61"/>
    <n v="60"/>
    <n v="1.0166666666666666"/>
    <m/>
    <n v="2"/>
    <n v="20000"/>
    <n v="1.5873015873015872E-2"/>
    <n v="185.54166666666666"/>
    <n v="1"/>
    <n v="185.54166666666669"/>
    <s v="PHB_Boden/Kompost_natürlich"/>
    <n v="1"/>
    <x v="6"/>
    <x v="128"/>
    <s v="Plastik Leak Project"/>
    <m/>
    <s v="ja"/>
    <s v="ja"/>
    <m/>
    <m/>
    <m/>
    <s v="nein"/>
    <s v="ja"/>
    <m/>
    <s v="Dichte von Rodion übernommen"/>
  </r>
  <r>
    <s v="PHB"/>
    <s v="PHB"/>
    <s v="nein"/>
    <m/>
    <s v="Pellets"/>
    <n v="10"/>
    <n v="9.4247779607693804E-4"/>
    <n v="1.26"/>
    <s v="diameter 10 mm, height 2,5 cm mass 350 mg"/>
    <s v="keine"/>
    <m/>
    <s v="ja"/>
    <s v="Boden"/>
    <s v="Boden/Kompost"/>
    <s v="ja"/>
    <s v="Realbedingungen "/>
    <m/>
    <m/>
    <m/>
    <m/>
    <m/>
    <s v="Gewichtsverlust"/>
    <m/>
    <n v="50"/>
    <n v="270"/>
    <n v="0.18518518518518517"/>
    <m/>
    <n v="6"/>
    <n v="600"/>
    <n v="4.7619047619047619E-4"/>
    <n v="1126.5432098765432"/>
    <n v="3"/>
    <n v="1394.4316299222885"/>
    <s v="PHB_Boden/Kompost_natürlich"/>
    <n v="1"/>
    <x v="6"/>
    <x v="128"/>
    <s v="Plastik Leak Project"/>
    <s v="CB (März 2020)"/>
    <s v="ja"/>
    <s v="ja"/>
    <m/>
    <m/>
    <m/>
    <s v="nein"/>
    <s v="ja"/>
    <m/>
    <s v="Dichte von Rodion übernommen"/>
  </r>
  <r>
    <s v="PHB"/>
    <s v="PHB (P3HB)"/>
    <s v="nein"/>
    <m/>
    <s v="Film"/>
    <n v="0.1"/>
    <s v="no value"/>
    <n v="1.26"/>
    <m/>
    <m/>
    <m/>
    <s v="(ja)"/>
    <s v="Flusswasser (Labor)"/>
    <s v="Süßwasser"/>
    <s v="ja"/>
    <n v="25"/>
    <m/>
    <m/>
    <m/>
    <s v="aerob"/>
    <m/>
    <s v="Gewichtsverlust"/>
    <m/>
    <n v="100"/>
    <n v="28"/>
    <n v="3.5714285714285716"/>
    <m/>
    <n v="2"/>
    <n v="20000"/>
    <n v="1.5873015873015872E-2"/>
    <n v="651.78571428571433"/>
    <n v="1"/>
    <n v="651.78571428571445"/>
    <s v="PHB_Süßwasser_natürlich"/>
    <n v="1"/>
    <x v="6"/>
    <x v="61"/>
    <m/>
    <m/>
    <s v="ja"/>
    <s v="ja"/>
    <m/>
    <s v="biodegradable"/>
    <m/>
    <s v="nein"/>
    <s v="ja"/>
    <m/>
    <s v="Dichte von Rodion übernommen"/>
  </r>
  <r>
    <s v="PHB"/>
    <s v="PHB (P3HB)"/>
    <s v="nein"/>
    <m/>
    <s v="Film"/>
    <n v="0.1"/>
    <s v="no value"/>
    <n v="1.26"/>
    <m/>
    <m/>
    <m/>
    <s v="(ja)"/>
    <s v="Flusswasser (Labor)"/>
    <s v="Süßwasser"/>
    <s v="ja"/>
    <n v="25"/>
    <m/>
    <m/>
    <m/>
    <s v="aerob"/>
    <m/>
    <s v="biochemical oxygen demand (BOD)"/>
    <m/>
    <n v="75"/>
    <n v="28"/>
    <n v="2.6785714285714284"/>
    <m/>
    <n v="2"/>
    <n v="20000"/>
    <n v="1.5873015873015872E-2"/>
    <n v="488.83928571428572"/>
    <n v="1"/>
    <n v="488.83928571428578"/>
    <s v="PHB_Süßwasser_natürlich"/>
    <n v="1"/>
    <x v="6"/>
    <x v="61"/>
    <s v="Dilkes-Hoffman et al. 2019"/>
    <m/>
    <s v="ja "/>
    <s v="ja "/>
    <m/>
    <s v="biodegradable"/>
    <m/>
    <s v="nein"/>
    <s v="ja"/>
    <m/>
    <s v="Dichte von Rodion übernommen"/>
  </r>
  <r>
    <s v="PCL (Film)_x000a_PBSA, PBAT, PBS,"/>
    <m/>
    <m/>
    <m/>
    <m/>
    <m/>
    <m/>
    <m/>
    <m/>
    <m/>
    <m/>
    <m/>
    <m/>
    <s v="Meerwasser"/>
    <s v="ja"/>
    <m/>
    <m/>
    <m/>
    <m/>
    <m/>
    <m/>
    <m/>
    <m/>
    <m/>
    <m/>
    <e v="#DIV/0!"/>
    <m/>
    <s v=""/>
    <s v=""/>
    <s v=""/>
    <s v=""/>
    <s v=""/>
    <s v=""/>
    <s v=""/>
    <n v="1"/>
    <x v="2"/>
    <x v="135"/>
    <m/>
    <m/>
    <m/>
    <m/>
    <m/>
    <m/>
    <m/>
    <m/>
    <m/>
    <m/>
    <m/>
  </r>
  <r>
    <s v="PCL (Film)_x000a_PBSA, PBAT, PBS,"/>
    <m/>
    <m/>
    <m/>
    <m/>
    <m/>
    <m/>
    <m/>
    <m/>
    <m/>
    <m/>
    <m/>
    <m/>
    <s v="Meerwasser"/>
    <s v="ja"/>
    <m/>
    <m/>
    <m/>
    <m/>
    <m/>
    <m/>
    <m/>
    <m/>
    <m/>
    <m/>
    <e v="#DIV/0!"/>
    <m/>
    <s v=""/>
    <s v=""/>
    <s v=""/>
    <s v=""/>
    <s v=""/>
    <s v=""/>
    <s v=""/>
    <n v="1"/>
    <x v="2"/>
    <x v="135"/>
    <m/>
    <m/>
    <m/>
    <m/>
    <m/>
    <m/>
    <m/>
    <m/>
    <m/>
    <m/>
    <m/>
  </r>
  <r>
    <s v="PHB"/>
    <s v="PHB (P3HB)"/>
    <s v="nein"/>
    <m/>
    <s v="Film"/>
    <n v="0.1"/>
    <s v="no value"/>
    <n v="1.26"/>
    <m/>
    <m/>
    <m/>
    <s v="(ja)"/>
    <s v="Seewasser (Labor)"/>
    <s v="Süßwasser"/>
    <s v="ja"/>
    <n v="25"/>
    <m/>
    <m/>
    <m/>
    <s v="aerob"/>
    <m/>
    <s v="Gewichtsverlust"/>
    <m/>
    <n v="93"/>
    <n v="28"/>
    <n v="3.3214285714285716"/>
    <m/>
    <n v="2"/>
    <n v="20000"/>
    <n v="1.5873015873015872E-2"/>
    <n v="606.16071428571433"/>
    <n v="1"/>
    <n v="606.16071428571433"/>
    <s v="PHB_Süßwasser_natürlich"/>
    <n v="1"/>
    <x v="6"/>
    <x v="61"/>
    <s v="Dilkes-Hoffman et al. 2019"/>
    <m/>
    <s v="ja "/>
    <s v="ja "/>
    <m/>
    <s v="biodegradable"/>
    <m/>
    <s v="nein"/>
    <s v="ja"/>
    <m/>
    <s v="Dichte von Rodion übernommen"/>
  </r>
  <r>
    <s v="PHB"/>
    <s v="PHB (P3HB)"/>
    <s v="nein"/>
    <m/>
    <s v="Film"/>
    <n v="0.1"/>
    <s v="no value"/>
    <n v="1.26"/>
    <m/>
    <m/>
    <m/>
    <s v="(ja)"/>
    <s v="Seewasser (Labor)"/>
    <s v="Süßwasser"/>
    <s v="ja"/>
    <n v="25"/>
    <m/>
    <m/>
    <m/>
    <s v="aerob"/>
    <m/>
    <s v="biochemical oxygen demand (BOD)"/>
    <m/>
    <n v="52"/>
    <n v="28"/>
    <n v="1.8571428571428572"/>
    <m/>
    <n v="2"/>
    <n v="20000"/>
    <n v="1.5873015873015872E-2"/>
    <n v="338.92857142857144"/>
    <n v="1"/>
    <n v="338.92857142857144"/>
    <s v="PHB_Süßwasser_natürlich"/>
    <n v="1"/>
    <x v="6"/>
    <x v="61"/>
    <s v="Dilkes-Hoffman et al. 2019"/>
    <m/>
    <s v="ja "/>
    <s v="ja "/>
    <m/>
    <s v="biodegradable"/>
    <m/>
    <s v="nein"/>
    <s v="ja"/>
    <m/>
    <s v="Dichte von Rodion übernommen"/>
  </r>
  <r>
    <s v="PHB"/>
    <s v="PHB (P3HB)"/>
    <s v="nein"/>
    <m/>
    <s v="Film"/>
    <n v="0.1"/>
    <s v="no value"/>
    <n v="1.26"/>
    <m/>
    <m/>
    <m/>
    <s v="(ja)"/>
    <s v="Meerwasser (aus einer Bucht, Labor)"/>
    <s v="Meerwasser"/>
    <s v="ja"/>
    <n v="25"/>
    <m/>
    <m/>
    <m/>
    <s v="aerob"/>
    <m/>
    <s v="Gewichtsverlust"/>
    <m/>
    <n v="41"/>
    <n v="28"/>
    <n v="1.4642857142857142"/>
    <m/>
    <n v="2"/>
    <n v="20000"/>
    <n v="1.5873015873015872E-2"/>
    <n v="267.23214285714283"/>
    <n v="1"/>
    <n v="267.23214285714283"/>
    <s v="PHB_Meerwasser_natürlich"/>
    <n v="1"/>
    <x v="6"/>
    <x v="61"/>
    <s v="Dilkes-Hoffman et al. 2019"/>
    <m/>
    <s v="ja "/>
    <s v="ja "/>
    <m/>
    <s v="biodegradable"/>
    <m/>
    <s v="nein"/>
    <s v="ja"/>
    <m/>
    <s v="Dichte von Rodion übernommen"/>
  </r>
  <r>
    <s v="PHB"/>
    <s v="Polyhydroxyalkanoate Copolymer"/>
    <s v="ja"/>
    <s v="Zusätze"/>
    <s v="Film"/>
    <s v="0,0,9-0,1"/>
    <m/>
    <m/>
    <s v="Grade: Mirel™ P5001; it is a compound &gt; 70% PHB copolymer, plasticizer, fillers - Film 90-100 microns"/>
    <s v="BASF Laboratory - KH2PO4 (0.1 g/L) and NH4Cl (0.05 g/L) were added to the seawaters (results from year 2)"/>
    <s v="nein"/>
    <s v="(ja)"/>
    <s v="The sediment was collected at Isola d’Elba (Italy). The samples of sediments were withdrawn from the eulittoral zone of the shoreline, where the tides maintain wet (sandy) sediment.  the Elba sediment is similar to a sandy sand"/>
    <s v="Benthic"/>
    <s v="ja"/>
    <s v="20-28"/>
    <s v="7.85-8.8"/>
    <m/>
    <s v="6.3-20.3"/>
    <m/>
    <s v="bewegt"/>
    <s v="CO2-Entwicklung"/>
    <m/>
    <n v="75.5"/>
    <n v="210"/>
    <n v="0.35952380952380952"/>
    <m/>
    <n v="2"/>
    <s v=""/>
    <s v=""/>
    <s v=""/>
    <s v=""/>
    <s v=""/>
    <s v=""/>
    <n v="1"/>
    <x v="4"/>
    <x v="52"/>
    <m/>
    <m/>
    <m/>
    <m/>
    <m/>
    <m/>
    <m/>
    <m/>
    <m/>
    <m/>
    <m/>
  </r>
  <r>
    <s v="PHB"/>
    <s v="PHB (P3HB)"/>
    <s v="nein"/>
    <m/>
    <s v="Film"/>
    <n v="0.1"/>
    <s v="no value"/>
    <n v="1.26"/>
    <m/>
    <m/>
    <m/>
    <s v="(ja)"/>
    <s v="Meerwasser (aus einer Bucht, Labor)"/>
    <s v="Meerwasser"/>
    <s v="ja"/>
    <n v="25"/>
    <m/>
    <m/>
    <m/>
    <s v="aerob"/>
    <m/>
    <s v="biochemical oxygen demand (BOD)"/>
    <m/>
    <n v="27"/>
    <n v="28"/>
    <n v="0.9642857142857143"/>
    <m/>
    <n v="2"/>
    <n v="20000"/>
    <n v="1.5873015873015872E-2"/>
    <n v="175.98214285714289"/>
    <n v="1"/>
    <n v="175.98214285714289"/>
    <s v="PHB_Meerwasser_natürlich"/>
    <n v="1"/>
    <x v="6"/>
    <x v="61"/>
    <s v="Dilkes-Hoffman et al. 2019"/>
    <m/>
    <s v="ja "/>
    <s v="ja "/>
    <m/>
    <s v="biodegradable"/>
    <m/>
    <s v="nein"/>
    <s v="ja"/>
    <m/>
    <s v="Dichte von Rodion übernommen"/>
  </r>
  <r>
    <s v="PHB"/>
    <s v="PHB (P3HB)"/>
    <s v="nein"/>
    <m/>
    <s v="Film"/>
    <n v="0.1"/>
    <s v="no value"/>
    <n v="1.26"/>
    <m/>
    <m/>
    <m/>
    <s v="(ja)"/>
    <s v="Meerwasser (aus dem Ozean, Labor)"/>
    <s v="Meerwasser"/>
    <s v="ja"/>
    <n v="25"/>
    <m/>
    <m/>
    <m/>
    <s v="aerob"/>
    <m/>
    <s v="Gewichtsverlust"/>
    <m/>
    <s v="23"/>
    <n v="28"/>
    <n v="0.8214285714285714"/>
    <m/>
    <n v="2"/>
    <n v="20000"/>
    <n v="1.5873015873015872E-2"/>
    <n v="149.91071428571431"/>
    <n v="1"/>
    <n v="149.91071428571428"/>
    <s v="PHB_Meerwasser_natürlich"/>
    <n v="1"/>
    <x v="6"/>
    <x v="61"/>
    <s v="Dilkes-Hoffman et al. 2019"/>
    <m/>
    <s v="ja "/>
    <s v="ja "/>
    <m/>
    <s v="biodegradable"/>
    <m/>
    <s v="nein"/>
    <s v="ja"/>
    <m/>
    <s v="Dichte von Rodion übernommen"/>
  </r>
  <r>
    <s v="PHB"/>
    <s v="PHB (P3HB)"/>
    <s v="nein"/>
    <m/>
    <s v="Film"/>
    <n v="0.1"/>
    <s v="no value"/>
    <n v="1.26"/>
    <m/>
    <m/>
    <m/>
    <s v="(ja)"/>
    <s v="Meerwasser (aus dem Ozean, Labor)"/>
    <s v="Meerwasser"/>
    <s v="ja"/>
    <n v="25"/>
    <m/>
    <m/>
    <m/>
    <s v="aerob"/>
    <m/>
    <s v="biochemical oxygen demand (BOD)"/>
    <m/>
    <s v="14"/>
    <n v="28"/>
    <n v="0.5"/>
    <m/>
    <n v="2"/>
    <n v="20000"/>
    <n v="1.5873015873015872E-2"/>
    <n v="91.25"/>
    <n v="1"/>
    <n v="91.250000000000014"/>
    <s v="PHB_Meerwasser_natürlich"/>
    <n v="1"/>
    <x v="6"/>
    <x v="61"/>
    <s v="Dilkes-Hoffman et al. 2019"/>
    <m/>
    <s v="ja "/>
    <s v="ja "/>
    <m/>
    <s v="biodegradable"/>
    <m/>
    <s v="nein"/>
    <s v="ja"/>
    <m/>
    <s v="Dichte von Rodion übernommen"/>
  </r>
  <r>
    <s v="PBSe"/>
    <s v="Polybutylene Sebacate"/>
    <s v="nein"/>
    <m/>
    <s v="Film"/>
    <n v="2.5000000000000001E-2"/>
    <m/>
    <m/>
    <s v="Aliphatic polyester Film 25 microns"/>
    <s v="OWS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59.4"/>
    <n v="240"/>
    <n v="0.2475"/>
    <m/>
    <n v="2"/>
    <n v="80000"/>
    <s v=""/>
    <n v="11.292187500000001"/>
    <n v="1"/>
    <n v="11.292187500000001"/>
    <s v="PBSe_Benthic_natürlich"/>
    <n v="1"/>
    <x v="6"/>
    <x v="52"/>
    <m/>
    <m/>
    <m/>
    <m/>
    <m/>
    <m/>
    <m/>
    <m/>
    <m/>
    <m/>
    <m/>
  </r>
  <r>
    <s v="PHB"/>
    <s v="PHB (P3HB)"/>
    <s v="nein"/>
    <m/>
    <s v="Strips"/>
    <n v="0.05"/>
    <n v="9.6000000000000002E-5"/>
    <n v="1.26"/>
    <m/>
    <s v="P(3HB) was purified by a previously reported method. The purified P(3HB) was dissolved in chloroform (20 mg/mL) at 60 C to make a solvent cast film at 25 C for 1 week."/>
    <m/>
    <s v="(ja)"/>
    <s v="Meerwasser (Labor, wöchentlich frisches Wasser, geschüttelt)"/>
    <s v="Meerwasser"/>
    <s v="ja"/>
    <n v="25"/>
    <n v="8"/>
    <m/>
    <m/>
    <m/>
    <m/>
    <s v="biochemical oxygen demand (BOD)"/>
    <m/>
    <n v="80"/>
    <n v="14"/>
    <n v="5.7142857142857144"/>
    <m/>
    <n v="2"/>
    <n v="40000"/>
    <n v="3.1746031746031744E-2"/>
    <n v="521.42857142857144"/>
    <n v="1"/>
    <n v="521.42857142857144"/>
    <s v="PHB_Meerwasser_natürlich"/>
    <n v="1"/>
    <x v="6"/>
    <x v="58"/>
    <s v="Plastic Leak Project"/>
    <m/>
    <s v="ja"/>
    <s v="ja"/>
    <m/>
    <m/>
    <m/>
    <s v="nein"/>
    <s v="ja"/>
    <m/>
    <s v="Dichte von Rodion übernommen"/>
  </r>
  <r>
    <s v="PHB"/>
    <s v="PHB"/>
    <s v="nein"/>
    <m/>
    <s v="Strips"/>
    <n v="0.17099999999999999"/>
    <n v="1.6129E-3"/>
    <n v="1.26"/>
    <s v="contained 1% by weight of a proprietary nucleating agent"/>
    <s v="polymer films were incubated in sterilized seawater for 96 h."/>
    <s v="inoculum slurry of marine sediment."/>
    <s v="(ja)"/>
    <s v="Meerwasser (Aquarium)"/>
    <s v="Meerwasser"/>
    <s v="ja"/>
    <n v="21"/>
    <m/>
    <m/>
    <m/>
    <m/>
    <s v="ruhend"/>
    <s v="Gewichtsverlust"/>
    <m/>
    <n v="90"/>
    <n v="18"/>
    <n v="5"/>
    <m/>
    <n v="2"/>
    <n v="11695.906432748539"/>
    <n v="9.2824654228163012E-3"/>
    <n v="1560.3749999999998"/>
    <n v="1"/>
    <n v="1560.375"/>
    <s v="PHB_Meerwasser_natürlich"/>
    <n v="1"/>
    <x v="6"/>
    <x v="94"/>
    <s v="Dilkes-Hoffman et al. 2019; Plastic Leak Project"/>
    <s v="CB (März 2020)"/>
    <s v="ja"/>
    <s v="ja"/>
    <m/>
    <m/>
    <m/>
    <s v="nein"/>
    <s v="ja"/>
    <m/>
    <s v="Thickness = 0,152-0,19mm; Dichte von Rodion übernommen"/>
  </r>
  <r>
    <s v="PHB"/>
    <s v="PHB"/>
    <s v="nein"/>
    <m/>
    <s v="Film"/>
    <n v="0.17099999999999999"/>
    <s v="no value"/>
    <n v="1.26"/>
    <s v="contained 1% by weight of a proprietary nucleating agent"/>
    <s v="polymer films were incubated in sterilized seawater for 96 h."/>
    <s v="inoculum slurry of marine sediment."/>
    <s v="(ja)"/>
    <s v="Meerwasser (Aquarium)"/>
    <s v="Meerwasser"/>
    <s v="ja"/>
    <s v="12-22"/>
    <s v="7,9-8,1"/>
    <m/>
    <m/>
    <m/>
    <s v="dynamisch"/>
    <s v="Gewichtsverlust"/>
    <m/>
    <n v="30"/>
    <n v="90"/>
    <n v="0.33333333333333331"/>
    <m/>
    <n v="2"/>
    <n v="11695.906432748539"/>
    <n v="9.2824654228163012E-3"/>
    <n v="104.02499999999998"/>
    <n v="1"/>
    <n v="104.02499999999999"/>
    <s v="PHB_Meerwasser_natürlich"/>
    <n v="1"/>
    <x v="6"/>
    <x v="94"/>
    <s v="Dilkes-Hoffman et al. 2019; Plastic Leak Project"/>
    <s v="CB (März 2020)"/>
    <s v="ja"/>
    <s v="ja"/>
    <m/>
    <m/>
    <m/>
    <s v="nein"/>
    <s v="ja"/>
    <m/>
    <s v="Thickness = 0,152-0,19mm; Dichte von Rodion übernommen"/>
  </r>
  <r>
    <s v="PBSe"/>
    <s v="Polybutylene Sebacate"/>
    <s v="nein"/>
    <m/>
    <s v="Film"/>
    <n v="2.5000000000000001E-2"/>
    <m/>
    <m/>
    <s v="Aliphatic polyester Film 25 microns"/>
    <s v="AUA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41.5"/>
    <n v="134"/>
    <n v="0.30970149253731344"/>
    <m/>
    <n v="2"/>
    <n v="80000"/>
    <s v=""/>
    <n v="14.130130597014926"/>
    <n v="1"/>
    <n v="14.130130597014929"/>
    <s v="PBSe_Benthic_natürlich"/>
    <n v="1"/>
    <x v="6"/>
    <x v="52"/>
    <m/>
    <m/>
    <m/>
    <m/>
    <m/>
    <m/>
    <m/>
    <m/>
    <m/>
    <m/>
    <m/>
  </r>
  <r>
    <s v="PHB"/>
    <s v="PHB"/>
    <s v="nein"/>
    <m/>
    <s v="Strips"/>
    <n v="0.1"/>
    <n v="7.0685834705770342E-4"/>
    <n v="1.26"/>
    <s v="disks of diameter 30 mm, thickness 0,1 mm and mass 73+-5 mg"/>
    <s v="keine"/>
    <m/>
    <s v="ja"/>
    <s v="Meerwasser"/>
    <s v="Meerwasser"/>
    <s v="ja"/>
    <n v="28.75"/>
    <s v="7,0-7,5"/>
    <m/>
    <m/>
    <m/>
    <m/>
    <s v="Gewichtsverlust"/>
    <m/>
    <n v="58"/>
    <n v="160"/>
    <n v="0.36249999999999999"/>
    <m/>
    <n v="2"/>
    <n v="20000"/>
    <n v="1.5873015873015872E-2"/>
    <n v="66.15625"/>
    <n v="1"/>
    <n v="66.15625"/>
    <s v="PHB_Meerwasser_natürlich"/>
    <n v="1"/>
    <x v="6"/>
    <x v="136"/>
    <s v="Emadian 2017; Plastic Leak Project"/>
    <m/>
    <s v="ja "/>
    <s v="ja"/>
    <m/>
    <m/>
    <m/>
    <s v="nein"/>
    <s v="ja"/>
    <m/>
    <s v="Dichte von Rodion übernommen"/>
  </r>
  <r>
    <s v="PHB"/>
    <s v="PHB"/>
    <s v="nein"/>
    <m/>
    <s v="Pellets"/>
    <n v="10"/>
    <n v="3.1415926535897931E-4"/>
    <n v="1.26"/>
    <s v="diameter 10 mm, height 0,5 cm mass 330+-25 mg"/>
    <s v="keine"/>
    <m/>
    <s v="ja"/>
    <s v="Meerwasser"/>
    <s v="Meerwasser"/>
    <s v="ja"/>
    <n v="28.75"/>
    <s v="7,0-7,5"/>
    <m/>
    <m/>
    <m/>
    <m/>
    <s v="Gewichtsverlust"/>
    <m/>
    <n v="38"/>
    <n v="160"/>
    <n v="0.23749999999999999"/>
    <m/>
    <n v="6"/>
    <n v="600"/>
    <n v="4.7619047619047619E-4"/>
    <n v="1444.7916666666667"/>
    <n v="3"/>
    <n v="1680.1189721944274"/>
    <s v="PHB_Meerwasser_natürlich"/>
    <n v="1"/>
    <x v="6"/>
    <x v="136"/>
    <s v="Emadian 2017; Plastic Leak Project"/>
    <m/>
    <s v="ja "/>
    <s v="ja"/>
    <m/>
    <m/>
    <m/>
    <s v="nein"/>
    <s v="ja"/>
    <m/>
    <s v="Dichte von Rodion übernommen"/>
  </r>
  <r>
    <s v="PBSe"/>
    <s v="Polybutylene Sebacate"/>
    <s v="nein"/>
    <m/>
    <s v="Film"/>
    <n v="2.5000000000000001E-2"/>
    <m/>
    <m/>
    <s v="Aliphatic polyester Film 25 microns"/>
    <s v="LeAF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46"/>
    <n v="224"/>
    <n v="0.20535714285714285"/>
    <m/>
    <n v="2"/>
    <n v="80000"/>
    <s v=""/>
    <n v="9.3694196428571441"/>
    <n v="1"/>
    <n v="9.3694196428571423"/>
    <s v="PBSe_Benthic_natürlich"/>
    <n v="1"/>
    <x v="6"/>
    <x v="52"/>
    <m/>
    <m/>
    <m/>
    <m/>
    <m/>
    <m/>
    <m/>
    <m/>
    <m/>
    <m/>
    <m/>
  </r>
  <r>
    <s v="PHBV"/>
    <s v="PHBV"/>
    <s v="nein"/>
    <m/>
    <s v="Strips"/>
    <n v="0.06"/>
    <n v="1E-4"/>
    <s v="no value"/>
    <s v="solvent cast as part of the experiment"/>
    <s v="Thin film strips were cut from the formed films with dimensions of 135mm x 22mm. These strips were cut into irregular nominally 1 cm long samples for biodegradability testing"/>
    <s v="keine"/>
    <s v="(ja)"/>
    <s v="Boden/Kompost (90/10%)"/>
    <s v="Boden/Kompost"/>
    <s v="ja"/>
    <n v="25"/>
    <m/>
    <n v="65"/>
    <m/>
    <m/>
    <m/>
    <s v="CO2-Entwicklung"/>
    <m/>
    <n v="50"/>
    <n v="108.5"/>
    <n v="0.46082949308755761"/>
    <m/>
    <n v="2"/>
    <n v="33333.333333333336"/>
    <s v=""/>
    <n v="50.460829493087552"/>
    <n v="1"/>
    <n v="50.460829493087559"/>
    <s v="PHBV_Boden/Kompost_natürlich"/>
    <n v="1"/>
    <x v="6"/>
    <x v="19"/>
    <s v="Plastik Leak Project"/>
    <m/>
    <s v="ja"/>
    <s v="ja"/>
    <m/>
    <m/>
    <m/>
    <s v="nein"/>
    <s v="ja"/>
    <m/>
    <s v="50% biodegradation reached between weeks 13,5 and 17,6"/>
  </r>
  <r>
    <s v="PHBV"/>
    <s v="PHBV"/>
    <s v="nein"/>
    <m/>
    <s v="Strips"/>
    <n v="0.5"/>
    <n v="1E-3"/>
    <n v="1.24"/>
    <m/>
    <s v="keine"/>
    <m/>
    <s v="(ja)"/>
    <s v="composting medium made of chicken manure and wood chip dust 50:50 (w/w) with a C/N ratio of 50/50. water was added, initially and periodically, to reach and maintain 50% moisture content during the composting._x000a_"/>
    <s v="Boden/Kompost"/>
    <s v="ja"/>
    <m/>
    <m/>
    <m/>
    <n v="50"/>
    <m/>
    <m/>
    <s v="Gewichtsverlust"/>
    <m/>
    <n v="50"/>
    <n v="30"/>
    <n v="1.6666666666666667"/>
    <m/>
    <n v="2"/>
    <n v="4000"/>
    <n v="3.2258064516129032E-3"/>
    <n v="1520.8333333333335"/>
    <n v="1"/>
    <n v="1520.8333333333335"/>
    <s v="PHBV_Boden/Kompost_natürlich"/>
    <n v="1"/>
    <x v="6"/>
    <x v="137"/>
    <s v="Chamas et al. 2020"/>
    <s v="CG (Mai 2020)"/>
    <m/>
    <m/>
    <m/>
    <m/>
    <m/>
    <s v="ja"/>
    <s v="ja"/>
    <m/>
    <s v="Dichte von Rodion übernommen"/>
  </r>
  <r>
    <s v="PBSe"/>
    <s v="Polybutylene Sebacate"/>
    <s v="nein"/>
    <m/>
    <s v="Film"/>
    <n v="2.5000000000000001E-2"/>
    <m/>
    <m/>
    <s v="Aliphatic polyester Film 25 microns"/>
    <s v="Novamont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73.5"/>
    <n v="257"/>
    <n v="0.28599221789883267"/>
    <m/>
    <n v="2"/>
    <n v="80000"/>
    <s v=""/>
    <n v="13.048394941634241"/>
    <n v="1"/>
    <n v="13.048394941634241"/>
    <s v="PBSe_Benthic_natürlich"/>
    <n v="1"/>
    <x v="6"/>
    <x v="52"/>
    <m/>
    <m/>
    <m/>
    <m/>
    <m/>
    <m/>
    <m/>
    <m/>
    <m/>
    <m/>
    <m/>
  </r>
  <r>
    <s v="PHBV"/>
    <s v="PHBV"/>
    <s v="nein"/>
    <m/>
    <s v="Strips"/>
    <n v="0.1"/>
    <n v="7.0685834705770342E-4"/>
    <n v="1.24"/>
    <s v="disks of diameter 30 mm, thickness 0,1 mm and mass 73+-5 mg"/>
    <s v="keine"/>
    <m/>
    <s v="ja"/>
    <s v="Boden"/>
    <s v="Boden/Kompost"/>
    <s v="ja"/>
    <s v="Realbedingungen "/>
    <m/>
    <m/>
    <m/>
    <m/>
    <m/>
    <s v="Gewichtsverlust"/>
    <m/>
    <n v="60"/>
    <n v="300"/>
    <n v="0.2"/>
    <m/>
    <n v="2"/>
    <n v="20000"/>
    <n v="1.6129032258064516E-2"/>
    <n v="36.5"/>
    <n v="1"/>
    <n v="36.500000000000007"/>
    <s v="PHBV_Boden/Kompost_natürlich"/>
    <n v="1"/>
    <x v="6"/>
    <x v="128"/>
    <s v="Plastik Leak Project"/>
    <m/>
    <s v="ja"/>
    <s v="ja"/>
    <m/>
    <m/>
    <m/>
    <s v="nein"/>
    <s v="ja"/>
    <m/>
    <s v="Dichte von Rodion übernommen"/>
  </r>
  <r>
    <s v="PHBV"/>
    <s v="PHBV"/>
    <s v="nein"/>
    <m/>
    <s v="Pellets"/>
    <n v="10"/>
    <n v="9.4247779607693804E-4"/>
    <n v="1.24"/>
    <s v="diameter 10 mm, height 2,5 cm mass 350 mg"/>
    <s v="keine"/>
    <m/>
    <s v="ja"/>
    <s v="Boden"/>
    <s v="Boden/Kompost"/>
    <s v="ja"/>
    <s v="Realbedingungen "/>
    <m/>
    <m/>
    <m/>
    <m/>
    <m/>
    <s v="Gewichtsverlust"/>
    <m/>
    <n v="35"/>
    <n v="300"/>
    <n v="0.11666666666666667"/>
    <m/>
    <n v="6"/>
    <n v="600"/>
    <n v="4.8387096774193548E-4"/>
    <n v="709.72222222222217"/>
    <n v="3"/>
    <n v="813.71210917617498"/>
    <s v="PHBV_Boden/Kompost_natürlich"/>
    <n v="1"/>
    <x v="6"/>
    <x v="128"/>
    <s v="Plastik Leak Project"/>
    <s v="CB (März 2020)"/>
    <s v="ja"/>
    <s v="ja"/>
    <m/>
    <m/>
    <m/>
    <s v="nein"/>
    <s v="ja"/>
    <m/>
    <s v="Dichte von Rodion übernommen"/>
  </r>
  <r>
    <s v="PHBV"/>
    <s v="PHBV"/>
    <s v="nein"/>
    <m/>
    <s v="Strips"/>
    <n v="0.17099999999999999"/>
    <n v="1.6129E-3"/>
    <n v="1.24"/>
    <s v="valerate content by weight: 5%; contained 1% by weight of a proprietary nucleating agent"/>
    <s v="polymer films were incubated in sterilized seawater for 96 h."/>
    <s v="inoculum slurry of marine sediment."/>
    <s v="(ja)"/>
    <s v="Meerwasser (Aquarium)"/>
    <s v="Meerwasser"/>
    <s v="ja"/>
    <n v="21"/>
    <m/>
    <m/>
    <m/>
    <m/>
    <s v="ruhend"/>
    <s v="Gewichtsverlust"/>
    <m/>
    <n v="55"/>
    <n v="26"/>
    <n v="2.1153846153846154"/>
    <m/>
    <n v="2"/>
    <n v="11695.906432748539"/>
    <n v="9.4321826070552749E-3"/>
    <n v="660.15865384615381"/>
    <n v="1"/>
    <n v="660.15865384615381"/>
    <s v="PHBV_Meerwasser_natürlich"/>
    <n v="1"/>
    <x v="6"/>
    <x v="94"/>
    <s v="Dilkes-Hoffman et al. 2019; Plastic Leak Project"/>
    <s v="CB (März 2020)"/>
    <s v="ja"/>
    <s v="ja"/>
    <m/>
    <m/>
    <m/>
    <s v="nein"/>
    <s v="ja"/>
    <m/>
    <s v="Thickness = 0,152-0,19mm; Dichte von Rodion übernommen"/>
  </r>
  <r>
    <s v="PBSeT"/>
    <s v="Polybutylene Sebacate-cobutylenterephtalate"/>
    <s v="nein"/>
    <m/>
    <s v="Film"/>
    <n v="2.5000000000000001E-2"/>
    <m/>
    <m/>
    <s v="Aliphatic-Aromatic polyester"/>
    <s v="OWS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39.1"/>
    <n v="240"/>
    <n v="0.16291666666666668"/>
    <m/>
    <n v="2"/>
    <n v="80000"/>
    <s v=""/>
    <n v="7.4330729166666671"/>
    <n v="1"/>
    <n v="7.4330729166666671"/>
    <s v="PBSeT_Benthic_natürlich"/>
    <n v="1"/>
    <x v="6"/>
    <x v="52"/>
    <m/>
    <m/>
    <m/>
    <m/>
    <m/>
    <m/>
    <m/>
    <m/>
    <m/>
    <m/>
    <m/>
  </r>
  <r>
    <s v="PHBV"/>
    <s v="PHBV"/>
    <s v="nein"/>
    <m/>
    <s v="Film"/>
    <n v="0.17099999999999999"/>
    <s v="no value"/>
    <n v="1.24"/>
    <s v="valerate content by weight: 8%; contained 1% by weight of a proprietary nucleating agent"/>
    <s v="polymer films were incubated in sterilized seawater for 96 h."/>
    <s v="inoculum slurry of marine sediment."/>
    <s v="(ja)"/>
    <s v="Meerwasser (Aquarium)"/>
    <s v="Meerwasser"/>
    <s v="ja"/>
    <s v="12-22"/>
    <s v="7,9-8,1"/>
    <m/>
    <m/>
    <m/>
    <s v="dynamisch"/>
    <s v="Gewichtsverlust"/>
    <m/>
    <n v="50"/>
    <n v="90"/>
    <n v="0.55555555555555558"/>
    <m/>
    <n v="2"/>
    <n v="11695.906432748539"/>
    <n v="9.4321826070552749E-3"/>
    <n v="173.375"/>
    <n v="1"/>
    <n v="173.37499999999997"/>
    <s v="PHBV_Meerwasser_natürlich"/>
    <n v="1"/>
    <x v="6"/>
    <x v="94"/>
    <s v="Dilkes-Hoffman et al. 2019; Plastic Leak Project"/>
    <s v="CB (März 2020)"/>
    <s v="ja"/>
    <s v="ja"/>
    <m/>
    <m/>
    <m/>
    <s v="nein"/>
    <s v="ja"/>
    <m/>
    <s v="Thickness = 0,152-0,19mm; Dichte von Rodion übernommen"/>
  </r>
  <r>
    <s v="PLA(-blend)"/>
    <m/>
    <m/>
    <m/>
    <s v="Film"/>
    <m/>
    <m/>
    <m/>
    <m/>
    <m/>
    <m/>
    <m/>
    <m/>
    <s v="Süßwasser"/>
    <s v="ja"/>
    <m/>
    <m/>
    <m/>
    <m/>
    <m/>
    <m/>
    <m/>
    <m/>
    <m/>
    <m/>
    <e v="#DIV/0!"/>
    <m/>
    <n v="2"/>
    <s v=""/>
    <s v=""/>
    <s v=""/>
    <n v="1"/>
    <s v=""/>
    <s v="PLA(-blend)_Süßwasser_nicht natürlich"/>
    <n v="1"/>
    <x v="6"/>
    <x v="138"/>
    <m/>
    <m/>
    <m/>
    <m/>
    <m/>
    <m/>
    <m/>
    <m/>
    <m/>
    <m/>
    <m/>
  </r>
  <r>
    <s v="PLA(-blend)"/>
    <s v="PLA (Folie)"/>
    <s v="nein"/>
    <m/>
    <s v="Strips"/>
    <n v="2"/>
    <n v="8.9999999999999998E-4"/>
    <s v="no value"/>
    <s v="PLA (Mitsui Chemicals, Tokyo, Japan)_x000a_"/>
    <m/>
    <s v="bacterial biomass 7.5 × 108 cells/g-soil)"/>
    <s v="ja"/>
    <s v="Boden (agricultural soil)"/>
    <s v="Boden/Kompost"/>
    <s v="ja"/>
    <n v="25"/>
    <m/>
    <n v="60"/>
    <s v="35-40"/>
    <m/>
    <m/>
    <s v="Gewichtsverlust"/>
    <m/>
    <n v="0"/>
    <n v="28"/>
    <n v="0"/>
    <m/>
    <n v="2"/>
    <n v="1000"/>
    <s v=""/>
    <n v="0"/>
    <n v="1"/>
    <n v="0"/>
    <s v="PLA(-blend)_Boden/Kompost_natürlich"/>
    <n v="1"/>
    <x v="6"/>
    <x v="56"/>
    <s v="Emadian 2017; Plastic Leak Project"/>
    <s v="CB (März 2020)"/>
    <s v="ja "/>
    <s v="ja"/>
    <m/>
    <m/>
    <m/>
    <s v="nein"/>
    <s v="ja"/>
    <m/>
    <m/>
  </r>
  <r>
    <s v="PBSeT"/>
    <s v="Polybutylene Sebacate-cobutylenterephtalate"/>
    <s v="nein"/>
    <m/>
    <s v="Film"/>
    <n v="2.5000000000000001E-2"/>
    <m/>
    <m/>
    <s v="Aliphatic-Aromatic polyester"/>
    <s v="AUA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50.2"/>
    <n v="134"/>
    <n v="0.37462686567164183"/>
    <m/>
    <n v="2"/>
    <n v="80000"/>
    <s v=""/>
    <n v="17.092350746268661"/>
    <n v="1"/>
    <n v="17.092350746268661"/>
    <s v="PBSeT_Benthic_natürlich"/>
    <n v="1"/>
    <x v="6"/>
    <x v="52"/>
    <m/>
    <m/>
    <m/>
    <m/>
    <m/>
    <m/>
    <m/>
    <m/>
    <m/>
    <m/>
    <m/>
  </r>
  <r>
    <s v="PLA(-blend)"/>
    <s v="PLA (Pulver)"/>
    <s v="nein"/>
    <m/>
    <s v="Powder"/>
    <n v="0.25"/>
    <n v="0.19634954084936207"/>
    <s v="no value"/>
    <s v="PLA (Mitsui Chemicals, Tokyo, Japan)_x000a_"/>
    <m/>
    <s v="bacterial biomass 7.5 × 108 cells/g-soil)"/>
    <s v="ja"/>
    <s v="Boden (agricultural soil)"/>
    <s v="Boden/Kompost"/>
    <s v="ja"/>
    <n v="25"/>
    <m/>
    <n v="60"/>
    <s v="35-40"/>
    <m/>
    <m/>
    <s v="Gewichtsverlust"/>
    <m/>
    <n v="13.8"/>
    <n v="28"/>
    <n v="0.49285714285714288"/>
    <m/>
    <n v="6"/>
    <n v="24000"/>
    <s v=""/>
    <n v="74.955357142857153"/>
    <n v="3"/>
    <n v="78.694724300850595"/>
    <s v="PLA(-blend)_Boden/Kompost_natürlich"/>
    <n v="1"/>
    <x v="6"/>
    <x v="56"/>
    <s v="Emadian 2017; Plastic Leak Project"/>
    <m/>
    <s v="ja "/>
    <s v="ja"/>
    <m/>
    <m/>
    <m/>
    <s v="nein"/>
    <s v="ja"/>
    <m/>
    <m/>
  </r>
  <r>
    <s v="PLA(-blend)"/>
    <s v="Plastiktüten aus mind. 30% bio-basiertem PLA, zertifiziert für home-composting"/>
    <s v="nein"/>
    <m/>
    <s v="Strips"/>
    <n v="1.0999999999999999E-2"/>
    <n v="0.03"/>
    <s v="no value"/>
    <s v="Plastic bag for fruits / vegetables"/>
    <s v="air-dried, cut into strips of 20 x 15 cm"/>
    <m/>
    <s v="ja"/>
    <s v="Ufersubstrat eines Flusses"/>
    <s v="River sediment"/>
    <s v="ja"/>
    <s v="-1,3 bis 22,7"/>
    <m/>
    <m/>
    <m/>
    <s v="aerob"/>
    <m/>
    <s v="Gewichtsverlust"/>
    <m/>
    <s v="-2 bis 3"/>
    <n v="77"/>
    <n v="0"/>
    <m/>
    <n v="2"/>
    <n v="181818.18181818182"/>
    <s v=""/>
    <n v="0"/>
    <n v="1"/>
    <n v="0"/>
    <s v="PLA(-blend)_River sediment_natürlich"/>
    <n v="1"/>
    <x v="6"/>
    <x v="139"/>
    <s v="Plastik Leak Project"/>
    <s v="CB (März 2020)"/>
    <s v="ja"/>
    <s v="ja"/>
    <m/>
    <m/>
    <m/>
    <s v="nein"/>
    <s v="ja"/>
    <m/>
    <s v="thickness = 0,01-0,012mm"/>
  </r>
  <r>
    <s v="PLA(-blend)"/>
    <s v="Plastiktüten aus mind. 30% bio-basiertem PLA, zertifiziert für home-composting"/>
    <s v="nein"/>
    <m/>
    <s v="Strips"/>
    <n v="1.0999999999999999E-2"/>
    <n v="0.03"/>
    <s v="no value"/>
    <s v="Plastic bag for fruits / vegetables"/>
    <s v="air-dried, cut into strips of 20 x 15 cm"/>
    <m/>
    <s v="ja"/>
    <s v="Ufersubstrat eines Flusses"/>
    <s v="River sediment"/>
    <s v="ja"/>
    <s v="-1,3 bis 22,7"/>
    <m/>
    <m/>
    <m/>
    <s v="aerob"/>
    <m/>
    <s v="CO2-Entwicklung"/>
    <m/>
    <n v="4.3E-3"/>
    <n v="77"/>
    <n v="5.5844155844155847E-5"/>
    <m/>
    <n v="2"/>
    <n v="181818.18181818182"/>
    <s v=""/>
    <n v="1.1210714285714285E-3"/>
    <n v="1"/>
    <n v="1.121071428571826E-3"/>
    <s v="PLA(-blend)_River sediment_natürlich"/>
    <n v="1"/>
    <x v="6"/>
    <x v="139"/>
    <s v="Plastik Leak Project"/>
    <s v="CB (März 2020)"/>
    <s v="ja"/>
    <s v="ja"/>
    <m/>
    <m/>
    <m/>
    <s v="nein"/>
    <s v="ja"/>
    <m/>
    <s v="thickness = 0,01-0,012mm"/>
  </r>
  <r>
    <s v="PBSeT"/>
    <s v="Polybutylene Sebacate-cobutylenterephtalate"/>
    <s v="nein"/>
    <m/>
    <s v="Film"/>
    <n v="2.5000000000000001E-2"/>
    <m/>
    <m/>
    <s v="Aliphatic-Aromatic polyester"/>
    <s v="LeAF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40.5"/>
    <n v="224"/>
    <n v="0.18080357142857142"/>
    <m/>
    <n v="2"/>
    <n v="80000"/>
    <s v=""/>
    <n v="8.2491629464285712"/>
    <n v="1"/>
    <n v="8.249162946428573"/>
    <s v="PBSeT_Benthic_natürlich"/>
    <n v="1"/>
    <x v="6"/>
    <x v="52"/>
    <m/>
    <m/>
    <m/>
    <m/>
    <m/>
    <m/>
    <m/>
    <m/>
    <m/>
    <m/>
    <m/>
  </r>
  <r>
    <s v="PLA(-blend)"/>
    <s v="PLA"/>
    <s v="nein"/>
    <m/>
    <s v="Strips"/>
    <n v="1"/>
    <n v="8.9999999999999998E-4"/>
    <s v="no value"/>
    <m/>
    <m/>
    <m/>
    <s v="ja"/>
    <s v="Boden (alluvial-type soil) - Soil was maintained at  30% moisture by weight, and the samples were buried at a depth of 12-15 cm_x000a_"/>
    <s v="Boden/Kompost"/>
    <s v="ja"/>
    <m/>
    <m/>
    <m/>
    <n v="30"/>
    <m/>
    <m/>
    <s v="Gewichtsverlust"/>
    <m/>
    <n v="10"/>
    <n v="98"/>
    <n v="0.10204081632653061"/>
    <m/>
    <n v="2"/>
    <n v="2000"/>
    <s v=""/>
    <n v="186.22448979591837"/>
    <n v="1"/>
    <n v="186.22448979591832"/>
    <s v="PLA(-blend)_Boden/Kompost_natürlich"/>
    <n v="1"/>
    <x v="6"/>
    <x v="88"/>
    <s v="Emadian 2017; Plastic Leak Project"/>
    <m/>
    <s v="ja "/>
    <s v="ja "/>
    <m/>
    <m/>
    <m/>
    <s v="nein"/>
    <s v="ja"/>
    <m/>
    <m/>
  </r>
  <r>
    <s v="PLA(-blend)"/>
    <s v="Plastiktüten aus mind. 30% bio-basiertem PLA, zertifiziert für home-composting"/>
    <s v="nein"/>
    <m/>
    <s v="Strips"/>
    <n v="1.0999999999999999E-2"/>
    <n v="0.03"/>
    <s v="no value"/>
    <s v="Plastic bag for fruits / vegetables"/>
    <s v="air-dried, cut into strips of 20 x 15 cm"/>
    <m/>
    <s v="ja"/>
    <s v="Flusswasser"/>
    <s v="Süßwasser"/>
    <s v="ja"/>
    <s v="3,6 bis 11,1"/>
    <m/>
    <m/>
    <m/>
    <s v="aerob"/>
    <m/>
    <s v="Gewichtsverlust"/>
    <m/>
    <s v="4 - 5"/>
    <n v="77"/>
    <n v="6.4935064935064929E-2"/>
    <m/>
    <n v="2"/>
    <n v="181818.18181818182"/>
    <s v=""/>
    <n v="1.3035714285714284"/>
    <n v="1"/>
    <n v="1.3035714285714297"/>
    <s v="PLA(-blend)_Süßwasser_natürlich"/>
    <n v="1"/>
    <x v="6"/>
    <x v="139"/>
    <s v="Plastik Leak Project"/>
    <s v="CB (März 2020)"/>
    <s v="ja"/>
    <s v="ja"/>
    <m/>
    <m/>
    <m/>
    <s v="nein"/>
    <s v="ja"/>
    <m/>
    <s v="thickness = 0,01-0,012mm"/>
  </r>
  <r>
    <s v="PLA(-blend)"/>
    <s v="Plastiktüten aus mind. 30% bio-basiertem PLA, zertifiziert für home-composting"/>
    <s v="nein"/>
    <m/>
    <s v="Strips"/>
    <n v="1.0999999999999999E-2"/>
    <n v="0.03"/>
    <s v="no value"/>
    <s v="Plastic bag for fruits / vegetables"/>
    <s v="air-dried, cut into strips of 20 x 15 cm"/>
    <m/>
    <s v="ja"/>
    <s v="Flusswasser"/>
    <s v="Süßwasser"/>
    <s v="ja"/>
    <s v="3,6 bis 11,1"/>
    <m/>
    <m/>
    <m/>
    <s v="aerob"/>
    <m/>
    <s v="CO2-Entwicklung"/>
    <m/>
    <n v="0.54"/>
    <n v="77"/>
    <n v="7.0129870129870134E-3"/>
    <m/>
    <n v="2"/>
    <n v="181818.18181818182"/>
    <s v=""/>
    <n v="0.14078571428571429"/>
    <n v="1"/>
    <n v="0.14078571428571324"/>
    <s v="PLA(-blend)_Süßwasser_natürlich"/>
    <n v="1"/>
    <x v="6"/>
    <x v="139"/>
    <s v="Plastik Leak Project"/>
    <s v="CB (März 2020)"/>
    <s v="ja"/>
    <s v="ja"/>
    <m/>
    <m/>
    <m/>
    <s v="nein"/>
    <s v="ja"/>
    <m/>
    <s v="thickness = 0,01-0,012mm"/>
  </r>
  <r>
    <s v="PBSeT"/>
    <s v="Polybutylene Sebacate-cobutylenterephtalate"/>
    <s v="nein"/>
    <m/>
    <s v="Film"/>
    <n v="2.5000000000000001E-2"/>
    <m/>
    <m/>
    <s v="Aliphatic-Aromatic polyester"/>
    <s v="Novamont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69.099999999999994"/>
    <n v="257"/>
    <n v="0.26887159533073929"/>
    <m/>
    <n v="2"/>
    <n v="80000"/>
    <s v=""/>
    <n v="12.267266536964982"/>
    <n v="1"/>
    <n v="12.26726653696498"/>
    <s v="PBSeT_Benthic_natürlich"/>
    <n v="1"/>
    <x v="6"/>
    <x v="52"/>
    <m/>
    <m/>
    <m/>
    <m/>
    <m/>
    <m/>
    <m/>
    <m/>
    <m/>
    <m/>
    <m/>
  </r>
  <r>
    <s v="PP"/>
    <s v="PP"/>
    <s v="nein"/>
    <m/>
    <s v="Shreds"/>
    <n v="2.5000000000000001E-2"/>
    <n v="5.9999999999999995E-8"/>
    <n v="0.90300000000000002"/>
    <s v="Food wrap, manufacturer unknown, clear - shredded to a size of 3-5mm x 1-2 mm"/>
    <m/>
    <m/>
    <s v="(ja)"/>
    <s v="Boden (Labor) - Freshly collected Nixon sandy loam (College Farm, New Brunswick, N.J.) was used. Water content was adjusted to 50% of holding capacity, pH was raised to 7.5 and phosphorus and nitrogen fertilizer was applied_x000a_"/>
    <s v="Boden/Kompost"/>
    <s v="ja"/>
    <m/>
    <n v="7.5"/>
    <m/>
    <m/>
    <m/>
    <m/>
    <s v="Gewichtsverlust"/>
    <s v="Plastic pieces were picked out of the soil manually with tweezers"/>
    <n v="8.6"/>
    <n v="84"/>
    <n v="0.10238095238095238"/>
    <m/>
    <n v="6"/>
    <n v="240000"/>
    <n v="0.26578073089700993"/>
    <n v="1.5570436507936509"/>
    <n v="3"/>
    <n v="1.603942008231777"/>
    <s v="PP_Boden/Kompost_natürlich"/>
    <n v="1"/>
    <x v="6"/>
    <x v="70"/>
    <m/>
    <m/>
    <s v="ja "/>
    <s v="ja "/>
    <m/>
    <m/>
    <m/>
    <s v="nein"/>
    <s v="ja"/>
    <m/>
    <s v="Dichte aus anderem Paper übernommen"/>
  </r>
  <r>
    <s v="PP"/>
    <s v="PP"/>
    <s v="nein"/>
    <m/>
    <s v="Shreds"/>
    <n v="2.5000000000000001E-2"/>
    <n v="5.9999999999999995E-8"/>
    <n v="0.90300000000000002"/>
    <s v="Food wrap, manufacturer unknown, clear - shredded to a size of 3-5mm x 1-2 mm"/>
    <m/>
    <m/>
    <s v="(ja)"/>
    <s v="Boden (Labor) - Freshly collected Nixon sandy loam (College Farm, New Brunswick, N.J.) was used. Water content was adjusted to 50% of holding capacity, pH was raised to 7.5 and phosphorus and nitrogen fertilizer was applied_x000a_"/>
    <s v="Boden/Kompost"/>
    <s v="ja"/>
    <m/>
    <n v="7.5"/>
    <m/>
    <m/>
    <m/>
    <m/>
    <s v="CO2-Entwicklung"/>
    <m/>
    <n v="3.1"/>
    <n v="160"/>
    <n v="1.9375E-2"/>
    <m/>
    <n v="6"/>
    <n v="240000"/>
    <n v="0.26578073089700993"/>
    <n v="0.29466145833333335"/>
    <n v="3"/>
    <n v="0.29775984121096721"/>
    <s v="PP_Boden/Kompost_natürlich"/>
    <n v="1"/>
    <x v="6"/>
    <x v="70"/>
    <m/>
    <s v="CB (März 2020)"/>
    <s v="ja "/>
    <s v="ja "/>
    <m/>
    <m/>
    <m/>
    <s v="nein"/>
    <s v="ja"/>
    <m/>
    <s v="Dichte aus anderem Paper übernommen"/>
  </r>
  <r>
    <s v="PP"/>
    <s v="PP"/>
    <s v="nein"/>
    <m/>
    <s v="Strips"/>
    <n v="2"/>
    <n v="1.0619999999999998E-3"/>
    <n v="0.90300000000000002"/>
    <s v="PP pellets were cut into plaques"/>
    <s v="washed with distilled water, dried at 40°C under vaccum for 48h"/>
    <m/>
    <s v="(ja)"/>
    <s v="Meerwasser (Labor)"/>
    <s v="Meerwasser"/>
    <s v="ja"/>
    <n v="28"/>
    <m/>
    <m/>
    <m/>
    <m/>
    <m/>
    <s v="Gewichtsverlust"/>
    <m/>
    <n v="1.1312219975284771E-3"/>
    <n v="20.833333333333332"/>
    <n v="5.4298655881366905E-5"/>
    <m/>
    <n v="2"/>
    <n v="1000"/>
    <n v="1.1074197120708748E-3"/>
    <n v="0.19819009396698919"/>
    <n v="1"/>
    <n v="0.19819009396727871"/>
    <s v="PP_Meerwasser_natürlich"/>
    <n v="1"/>
    <x v="6"/>
    <x v="115"/>
    <s v="Plastic Leak Project"/>
    <s v="CB (März 2020)"/>
    <s v="ja"/>
    <s v="nein"/>
    <m/>
    <m/>
    <m/>
    <s v="nein"/>
    <s v="ja"/>
    <m/>
    <s v="Dichte aus anderem Paper übernommen"/>
  </r>
  <r>
    <s v="PHB"/>
    <s v="Polyhydroxyalkanoate Copolymer"/>
    <s v="ja"/>
    <s v="Zusätze"/>
    <s v="Film"/>
    <s v="0,0,9-0,1"/>
    <m/>
    <m/>
    <s v="Grade: Mirel™ P5001; it is a compound &gt; 70% PHB copolymer, plasticizer, fillers - Film 90-100 microns"/>
    <s v="OWS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59"/>
    <n v="240"/>
    <n v="0.24583333333333332"/>
    <m/>
    <n v="2"/>
    <s v=""/>
    <s v=""/>
    <s v=""/>
    <s v=""/>
    <s v=""/>
    <s v=""/>
    <n v="1"/>
    <x v="4"/>
    <x v="52"/>
    <m/>
    <m/>
    <m/>
    <m/>
    <m/>
    <m/>
    <m/>
    <m/>
    <m/>
    <m/>
    <m/>
  </r>
  <r>
    <s v="PP"/>
    <s v="PP"/>
    <s v="nein"/>
    <m/>
    <s v="Strips"/>
    <n v="1.5"/>
    <n v="1.4999999999999999E-2"/>
    <n v="0.90300000000000002"/>
    <s v="Commercial polymer sample from Industrial Insulations Ltd.; average weight of each sample coupon was 20 g"/>
    <s v="keine"/>
    <m/>
    <s v="ja"/>
    <s v="Meerwasser (3m Tiefe)"/>
    <s v="Meerwasser"/>
    <s v="ja"/>
    <m/>
    <m/>
    <m/>
    <m/>
    <m/>
    <m/>
    <s v="Gewichtsverlust"/>
    <m/>
    <n v="0.5"/>
    <n v="180"/>
    <n v="2.7777777777777779E-3"/>
    <m/>
    <n v="2"/>
    <n v="1333.3333333333333"/>
    <n v="1.4765596160944998E-3"/>
    <n v="7.604166666666667"/>
    <n v="1"/>
    <n v="7.6041666666666741"/>
    <s v="PP_Meerwasser_natürlich"/>
    <n v="1"/>
    <x v="6"/>
    <x v="36"/>
    <s v="Chamas et al. 2020"/>
    <m/>
    <s v="ja"/>
    <s v="ja"/>
    <m/>
    <m/>
    <m/>
    <s v="ja"/>
    <s v="ja"/>
    <m/>
    <s v="Dichte aus anderem Paper übernommen"/>
  </r>
  <r>
    <s v="PP"/>
    <s v="PP"/>
    <s v="nein"/>
    <m/>
    <s v="Coupon"/>
    <n v="1.5"/>
    <n v="1.4999999999999999E-2"/>
    <n v="0.90300000000000002"/>
    <m/>
    <s v="keine"/>
    <m/>
    <s v="ja"/>
    <s v="polymer samples were tied to fiber reinforced racks and were vertically submerged in the ocean waters of Bay of Bengal at a depth of three meters near Fisheries survey of Indi"/>
    <s v="Meerwasser"/>
    <s v="ja"/>
    <m/>
    <m/>
    <m/>
    <m/>
    <m/>
    <m/>
    <s v="Gewichtsverlust"/>
    <m/>
    <n v="0.65"/>
    <n v="365"/>
    <n v="1.7808219178082193E-3"/>
    <m/>
    <n v="2"/>
    <n v="1333.3333333333333"/>
    <n v="1.4765596160944998E-3"/>
    <n v="4.8750000000000009"/>
    <n v="1"/>
    <n v="4.8749999999999618"/>
    <s v="PP_Meerwasser_natürlich"/>
    <n v="1"/>
    <x v="6"/>
    <x v="45"/>
    <m/>
    <s v="CG (August 2020)"/>
    <s v="ja"/>
    <s v="ja"/>
    <m/>
    <m/>
    <m/>
    <s v="nein"/>
    <s v="ja"/>
    <m/>
    <s v="Dichte aus anderem Paper übernommen"/>
  </r>
  <r>
    <s v="PU"/>
    <s v="Polyurethane [Polyether based Polyurethane (PU)]"/>
    <s v="nein"/>
    <m/>
    <s v="Strips"/>
    <n v="3"/>
    <n v="7.4999999999999997E-3"/>
    <n v="1.2"/>
    <m/>
    <s v="cleaned with 70% v/v ethanol and dried in a hot air oven at 50  C for 24 h"/>
    <m/>
    <s v="ja"/>
    <s v="Meerwasser"/>
    <s v="Meerwasser"/>
    <s v="ja"/>
    <n v="28"/>
    <n v="8.18"/>
    <m/>
    <m/>
    <s v="aerob"/>
    <m/>
    <s v="Gewichtsverlust"/>
    <m/>
    <n v="4.25"/>
    <n v="365"/>
    <n v="1.1643835616438357E-2"/>
    <m/>
    <n v="2"/>
    <n v="666.66666666666663"/>
    <n v="5.5555555555555556E-4"/>
    <n v="63.75"/>
    <n v="1"/>
    <n v="63.749999999999964"/>
    <s v="PU_Meerwasser_natürlich"/>
    <n v="1"/>
    <x v="6"/>
    <x v="57"/>
    <s v="Chamas et al. 2020"/>
    <m/>
    <s v="ja "/>
    <s v="ja "/>
    <s v="ja"/>
    <s v="ja"/>
    <s v="Ja"/>
    <s v="ja"/>
    <s v="ja"/>
    <m/>
    <s v="Dichte aus anderem Paper übernommen"/>
  </r>
  <r>
    <s v="PHB"/>
    <s v="Polyhydroxyalkanoate Copolymer"/>
    <s v="ja"/>
    <s v="Zusätze"/>
    <s v="Film"/>
    <s v="0,0,9-0,1"/>
    <m/>
    <m/>
    <s v="Grade: Mirel™ P5001; it is a compound &gt; 70% PHB copolymer, plasticizer, fillers - Film 90-100 microns"/>
    <s v="AUA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64.099999999999994"/>
    <n v="134"/>
    <n v="0.47835820895522385"/>
    <m/>
    <n v="2"/>
    <s v=""/>
    <s v=""/>
    <s v=""/>
    <s v=""/>
    <s v=""/>
    <s v=""/>
    <n v="1"/>
    <x v="4"/>
    <x v="52"/>
    <m/>
    <m/>
    <m/>
    <m/>
    <m/>
    <m/>
    <m/>
    <m/>
    <m/>
    <m/>
    <m/>
  </r>
  <r>
    <s v="PU"/>
    <s v="PU (Polyether-urea-urethane)"/>
    <s v="nein"/>
    <m/>
    <s v="Strips"/>
    <n v="2"/>
    <s v="no value"/>
    <n v="1.2"/>
    <s v="cut into dumb-bell shaped samples according to PN-EN ISO Standard"/>
    <m/>
    <m/>
    <s v="ja"/>
    <s v="Meerwasser"/>
    <s v="Meerwasser"/>
    <s v="ja"/>
    <s v="3,2-19,3"/>
    <s v="8,17-8,2"/>
    <m/>
    <m/>
    <s v="aerob"/>
    <m/>
    <s v="Gewichtsverlust"/>
    <m/>
    <n v="0"/>
    <n v="365"/>
    <n v="0"/>
    <m/>
    <n v="2"/>
    <n v="1000"/>
    <n v="8.3333333333333339E-4"/>
    <n v="0"/>
    <n v="1"/>
    <n v="0"/>
    <s v="PU_Meerwasser_natürlich"/>
    <n v="1"/>
    <x v="6"/>
    <x v="140"/>
    <m/>
    <m/>
    <s v="ja "/>
    <s v="ja "/>
    <m/>
    <m/>
    <m/>
    <s v="nein"/>
    <s v="ja"/>
    <m/>
    <s v="Dichte aus anderem Paper übernommen"/>
  </r>
  <r>
    <s v="PU"/>
    <s v="PU (PUA)"/>
    <s v="nein"/>
    <m/>
    <s v="Strips"/>
    <n v="2"/>
    <s v="no value"/>
    <n v="1.2"/>
    <s v="cut into dumb-bell shaped samples according to PN-EN ISO Standard"/>
    <m/>
    <m/>
    <s v="ja"/>
    <s v="Meerwasser"/>
    <s v="Meerwasser"/>
    <s v="ja"/>
    <s v="3,2-19,3"/>
    <s v="8,17-8,2"/>
    <m/>
    <m/>
    <s v="aerob"/>
    <m/>
    <s v="Gewichtsverlust"/>
    <m/>
    <n v="19.3"/>
    <n v="365"/>
    <n v="5.2876712328767124E-2"/>
    <m/>
    <n v="2"/>
    <n v="1000"/>
    <n v="8.3333333333333339E-4"/>
    <n v="193"/>
    <n v="1"/>
    <n v="193.00000000000006"/>
    <s v="PU_Meerwasser_natürlich"/>
    <n v="1"/>
    <x v="6"/>
    <x v="140"/>
    <m/>
    <m/>
    <s v="ja "/>
    <s v="ja "/>
    <m/>
    <m/>
    <m/>
    <s v="nein"/>
    <s v="ja"/>
    <m/>
    <s v="Dichte aus anderem Paper übernommen"/>
  </r>
  <r>
    <s v="PU"/>
    <s v="PU (PUB)"/>
    <s v="nein"/>
    <m/>
    <s v="Strips"/>
    <n v="2"/>
    <s v="no value"/>
    <n v="1.2"/>
    <s v="cut into dumb-bell shaped samples according to PN-EN ISO Standard"/>
    <m/>
    <m/>
    <s v="ja"/>
    <s v="Meerwasser"/>
    <s v="Meerwasser"/>
    <s v="ja"/>
    <s v="3,2-19,3"/>
    <s v="8,17-8,2"/>
    <m/>
    <m/>
    <s v="aerob"/>
    <m/>
    <s v="Gewichtsverlust"/>
    <m/>
    <n v="4.2"/>
    <n v="365"/>
    <n v="1.1506849315068493E-2"/>
    <m/>
    <n v="2"/>
    <n v="1000"/>
    <n v="8.3333333333333339E-4"/>
    <n v="42"/>
    <n v="1"/>
    <n v="42.000000000000036"/>
    <s v="PU_Meerwasser_natürlich"/>
    <n v="1"/>
    <x v="6"/>
    <x v="140"/>
    <m/>
    <m/>
    <s v="ja "/>
    <s v="ja "/>
    <m/>
    <m/>
    <m/>
    <s v="nein"/>
    <s v="ja"/>
    <m/>
    <s v="Dichte aus anderem Paper übernommen"/>
  </r>
  <r>
    <s v="PHB"/>
    <s v="Polyhydroxyalkanoate Copolymer"/>
    <s v="ja"/>
    <s v="Zusätze"/>
    <s v="Film"/>
    <s v="0,0,9-0,1"/>
    <m/>
    <m/>
    <s v="Grade: Mirel™ P5001; it is a compound &gt; 70% PHB copolymer, plasticizer, fillers - Film 90-100 microns"/>
    <s v="LeAF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50.5"/>
    <n v="224"/>
    <n v="0.22544642857142858"/>
    <m/>
    <n v="2"/>
    <s v=""/>
    <s v=""/>
    <s v=""/>
    <s v=""/>
    <s v=""/>
    <s v=""/>
    <n v="1"/>
    <x v="4"/>
    <x v="52"/>
    <m/>
    <m/>
    <m/>
    <m/>
    <m/>
    <m/>
    <m/>
    <m/>
    <m/>
    <m/>
    <m/>
  </r>
  <r>
    <s v="Starch-blend"/>
    <s v="Mater-Bi (60% Stärke + 40% Harz)"/>
    <s v="nein"/>
    <m/>
    <s v="Strips"/>
    <n v="3.75"/>
    <s v="no value"/>
    <s v="no value"/>
    <s v="samples were cut to sizes of 0,25 to 0,5 cm"/>
    <s v="keine"/>
    <m/>
    <s v="(ja)"/>
    <s v="Kompost"/>
    <s v="Boden/Kompost"/>
    <s v="ja"/>
    <m/>
    <m/>
    <m/>
    <m/>
    <s v="aerob"/>
    <m/>
    <s v="Gewichtsverlust"/>
    <m/>
    <n v="26.9"/>
    <n v="72"/>
    <n v="0.37361111111111112"/>
    <m/>
    <n v="2"/>
    <n v="533.33333333333337"/>
    <s v=""/>
    <n v="2556.901041666667"/>
    <n v="1"/>
    <n v="2556.901041666667"/>
    <s v="Starch-blend_Boden/Kompost_natürlich"/>
    <n v="1"/>
    <x v="6"/>
    <x v="67"/>
    <s v="Plastik Leak Project"/>
    <s v="CB (März 2020)"/>
    <s v="ja "/>
    <s v="ja"/>
    <m/>
    <m/>
    <m/>
    <s v="nein"/>
    <s v="ja"/>
    <m/>
    <s v="thickness = 2,5-5mm"/>
  </r>
  <r>
    <s v="Starch-blend"/>
    <s v="Mater-Bi (Maisstärke)"/>
    <s v="nein"/>
    <m/>
    <s v="Strips"/>
    <n v="2.1999999999999999E-2"/>
    <s v="no value"/>
    <s v="no value"/>
    <s v="carrier bags sampled at the supermarket"/>
    <m/>
    <m/>
    <s v="ja"/>
    <s v="Meerwasser mit Ablagerung"/>
    <s v="Meerwasser"/>
    <s v="ja"/>
    <s v="11-26"/>
    <m/>
    <m/>
    <m/>
    <m/>
    <m/>
    <s v="biochemical oxygen demand (BOD)"/>
    <m/>
    <n v="68.900000000000006"/>
    <n v="236"/>
    <n v="0.29194915254237291"/>
    <m/>
    <n v="2"/>
    <n v="90909.090909090912"/>
    <s v=""/>
    <n v="11.721758474576271"/>
    <n v="1"/>
    <n v="11.721758474576271"/>
    <s v="Starch-blend_Meerwasser_natürlich"/>
    <n v="1"/>
    <x v="6"/>
    <x v="141"/>
    <s v="Emadian 2017; Chamas et al. 2020"/>
    <m/>
    <s v="ja "/>
    <s v="ja "/>
    <m/>
    <m/>
    <m/>
    <s v="ja"/>
    <s v="ja"/>
    <m/>
    <m/>
  </r>
  <r>
    <s v="Starch-blend"/>
    <s v="Starch"/>
    <s v="nein"/>
    <m/>
    <s v="Strips"/>
    <n v="0.02"/>
    <m/>
    <s v="no value"/>
    <m/>
    <m/>
    <s v="keine"/>
    <s v="(ja)"/>
    <s v="Boden/Kompost (90/10%)"/>
    <s v="Boden/Kompost"/>
    <s v="ja"/>
    <n v="25"/>
    <m/>
    <n v="65"/>
    <m/>
    <m/>
    <m/>
    <s v="CO2-Entwicklung"/>
    <m/>
    <n v="50"/>
    <n v="42.699999999999996"/>
    <n v="1.1709601873536302"/>
    <m/>
    <n v="2"/>
    <n v="100000"/>
    <s v=""/>
    <n v="42.740046838407501"/>
    <n v="1"/>
    <n v="42.740046838407508"/>
    <s v="Starch-blend_Boden/Kompost_natürlich"/>
    <n v="1"/>
    <x v="6"/>
    <x v="19"/>
    <m/>
    <m/>
    <m/>
    <m/>
    <m/>
    <m/>
    <m/>
    <m/>
    <m/>
    <m/>
    <m/>
  </r>
  <r>
    <s v="PHB"/>
    <s v="Polyhydroxyalkanoate Copolymer"/>
    <s v="ja"/>
    <s v="Zusätze"/>
    <s v="Film"/>
    <s v="0,0,9-0,1"/>
    <m/>
    <m/>
    <s v="Grade: Mirel™ P5001; it is a compound &gt; 70% PHB copolymer, plasticizer, fillers - Film 90-100 microns"/>
    <s v="Novamont Laboratory - KH2PO4 (0.1 g/L) and NH4Cl (0.05 g/L) were added to the seawaters (results from year 2 - Salamis)"/>
    <s v="nein"/>
    <s v="(ja)"/>
    <s v="The sediment was collected at Salamina Island (Greece). The samples of sediments were withdrawn from the eulittoral zone of the shoreline, where the tides maintain wet (sandy) sediment.  the sediment from Salamina Island is coarse with stones."/>
    <s v="Benthic"/>
    <s v="ja"/>
    <s v="20-28"/>
    <s v="7.85-8.8"/>
    <m/>
    <s v="6.3-20.3"/>
    <m/>
    <s v="bewegt"/>
    <s v="CO2-Entwicklung"/>
    <m/>
    <n v="151.4"/>
    <n v="257"/>
    <n v="0.58910505836575877"/>
    <m/>
    <n v="2"/>
    <s v=""/>
    <s v=""/>
    <s v=""/>
    <s v=""/>
    <s v=""/>
    <s v=""/>
    <n v="1"/>
    <x v="4"/>
    <x v="52"/>
    <m/>
    <m/>
    <m/>
    <m/>
    <m/>
    <m/>
    <m/>
    <m/>
    <m/>
    <m/>
    <m/>
  </r>
  <r>
    <s v="PLLA"/>
    <s v="Poly-L-lactide (PLLA)_x000a_"/>
    <s v="ja"/>
    <s v="Mikroorganismen"/>
    <s v="Film"/>
    <n v="0.03"/>
    <m/>
    <s v="no value"/>
    <m/>
    <m/>
    <s v="The microbial inoculum was prepared by mixing 50 g of household waste compost with 100 ml of ASTM mineral salts solution, and then filtered through a gauze and centrifuged for 5 min at 2000 rpm. The supernatant was used as the inoculum. Thermophilic compost was used as inoculum for the thermophilic experiments, and mesophilic compost for the mesophilic experiments, in order to obtain a microbial population adapted to the test temperature."/>
    <s v="nein"/>
    <s v="mineral salt solution"/>
    <s v="Labor"/>
    <s v="nein"/>
    <n v="52"/>
    <m/>
    <m/>
    <m/>
    <m/>
    <s v="bewegt"/>
    <s v="CO2-Entwicklung"/>
    <m/>
    <n v="60"/>
    <n v="40"/>
    <n v="1.5"/>
    <m/>
    <n v="2"/>
    <s v=""/>
    <s v=""/>
    <s v=""/>
    <s v=""/>
    <s v=""/>
    <s v=""/>
    <n v="1"/>
    <x v="4"/>
    <x v="138"/>
    <m/>
    <m/>
    <m/>
    <m/>
    <m/>
    <m/>
    <m/>
    <m/>
    <m/>
    <m/>
    <m/>
  </r>
  <r>
    <s v="PLLA"/>
    <s v="Poly-L-lactide (PLLA)_x000a_"/>
    <s v="nein"/>
    <m/>
    <s v="Film"/>
    <n v="0.03"/>
    <m/>
    <s v="no value"/>
    <m/>
    <m/>
    <s v="keine"/>
    <s v="(ja)"/>
    <s v="Compost consisting of peat and wood chips and biowaste composed of vegetables and fruit waste."/>
    <s v="Boden/Kompost"/>
    <s v="ja"/>
    <m/>
    <m/>
    <m/>
    <m/>
    <m/>
    <m/>
    <s v="CO2-Entwicklung"/>
    <m/>
    <n v="99"/>
    <n v="70"/>
    <n v="1.4142857142857144"/>
    <m/>
    <n v="2"/>
    <n v="66666.666666666672"/>
    <s v=""/>
    <n v="77.432142857142864"/>
    <n v="1"/>
    <n v="77.432142857142864"/>
    <s v="PLLA_Boden/Kompost_natürlich"/>
    <n v="1"/>
    <x v="6"/>
    <x v="138"/>
    <m/>
    <m/>
    <m/>
    <m/>
    <m/>
    <m/>
    <m/>
    <m/>
    <m/>
    <m/>
    <m/>
  </r>
  <r>
    <s v="PBAT+PLA"/>
    <s v="ecovio (ecoflex®+ Polylactic acid (PLA))"/>
    <s v="ja"/>
    <s v="Zusätze"/>
    <s v="Film"/>
    <s v="no value"/>
    <m/>
    <m/>
    <s v="Ecovio der BASF"/>
    <m/>
    <m/>
    <m/>
    <s v="according to ISO 17556"/>
    <m/>
    <s v="nein"/>
    <m/>
    <m/>
    <m/>
    <m/>
    <m/>
    <m/>
    <m/>
    <m/>
    <m/>
    <m/>
    <e v="#DIV/0!"/>
    <m/>
    <n v="2"/>
    <s v=""/>
    <s v=""/>
    <s v=""/>
    <s v=""/>
    <s v=""/>
    <s v=""/>
    <n v="1"/>
    <x v="3"/>
    <x v="142"/>
    <m/>
    <m/>
    <m/>
    <m/>
    <m/>
    <m/>
    <m/>
    <m/>
    <m/>
    <m/>
    <m/>
  </r>
  <r>
    <s v="PLA"/>
    <m/>
    <s v="nein"/>
    <m/>
    <s v="Film"/>
    <n v="0.02"/>
    <m/>
    <m/>
    <m/>
    <m/>
    <m/>
    <s v="ja"/>
    <s v="Boden"/>
    <s v="Boden/Kompost"/>
    <s v="ja"/>
    <m/>
    <m/>
    <m/>
    <m/>
    <m/>
    <m/>
    <s v="Sonstiges"/>
    <s v="tensile strength"/>
    <n v="66"/>
    <n v="30"/>
    <n v="2.2000000000000002"/>
    <m/>
    <n v="2"/>
    <s v=""/>
    <s v=""/>
    <s v=""/>
    <s v=""/>
    <s v=""/>
    <s v=""/>
    <n v="1"/>
    <x v="5"/>
    <x v="143"/>
    <m/>
    <m/>
    <m/>
    <m/>
    <m/>
    <m/>
    <m/>
    <m/>
    <m/>
    <m/>
    <m/>
  </r>
  <r>
    <s v="PLA"/>
    <m/>
    <s v="nein"/>
    <m/>
    <s v="Film"/>
    <n v="0.05"/>
    <m/>
    <m/>
    <m/>
    <m/>
    <m/>
    <s v="ja"/>
    <s v="Boden"/>
    <s v="Boden/Kompost"/>
    <s v="ja"/>
    <m/>
    <m/>
    <m/>
    <m/>
    <m/>
    <m/>
    <s v="Sonstiges"/>
    <s v="tensile strength"/>
    <n v="50"/>
    <n v="30"/>
    <n v="1.6666666666666667"/>
    <m/>
    <n v="2"/>
    <s v=""/>
    <s v=""/>
    <s v=""/>
    <s v=""/>
    <s v=""/>
    <s v=""/>
    <n v="1"/>
    <x v="5"/>
    <x v="143"/>
    <m/>
    <m/>
    <m/>
    <m/>
    <m/>
    <m/>
    <m/>
    <m/>
    <m/>
    <m/>
    <m/>
  </r>
  <r>
    <s v="PLA"/>
    <m/>
    <s v="nein"/>
    <m/>
    <s v="Film"/>
    <n v="0.03"/>
    <m/>
    <m/>
    <m/>
    <m/>
    <m/>
    <s v="(ja)"/>
    <s v="Kompost"/>
    <s v="Boden/Kompost"/>
    <s v="ja"/>
    <m/>
    <m/>
    <m/>
    <m/>
    <m/>
    <m/>
    <s v="Sonstiges"/>
    <s v="tensile strength"/>
    <n v="33"/>
    <n v="30"/>
    <n v="1.1000000000000001"/>
    <m/>
    <n v="2"/>
    <s v=""/>
    <s v=""/>
    <s v=""/>
    <s v=""/>
    <s v=""/>
    <s v=""/>
    <n v="1"/>
    <x v="5"/>
    <x v="143"/>
    <m/>
    <m/>
    <m/>
    <m/>
    <m/>
    <m/>
    <m/>
    <m/>
    <m/>
    <m/>
    <m/>
  </r>
  <r>
    <s v="PHBH"/>
    <m/>
    <s v="nein"/>
    <m/>
    <s v="Film"/>
    <n v="0.1"/>
    <m/>
    <m/>
    <m/>
    <m/>
    <m/>
    <s v="(ja)"/>
    <s v="Meerwasser"/>
    <s v="Meerwasser"/>
    <s v="ja"/>
    <n v="27"/>
    <m/>
    <m/>
    <m/>
    <m/>
    <m/>
    <s v="CO2-Entwicklung"/>
    <m/>
    <n v="23"/>
    <n v="28"/>
    <n v="0.8214285714285714"/>
    <m/>
    <n v="2"/>
    <n v="20000"/>
    <s v=""/>
    <n v="149.91071428571431"/>
    <n v="1"/>
    <n v="149.91071428571428"/>
    <s v="PHBH_Meerwasser_natürlich"/>
    <n v="1"/>
    <x v="6"/>
    <x v="135"/>
    <m/>
    <m/>
    <m/>
    <m/>
    <m/>
    <m/>
    <m/>
    <m/>
    <m/>
    <m/>
    <m/>
  </r>
  <r>
    <s v="PCL"/>
    <m/>
    <s v="nein"/>
    <m/>
    <s v="Film"/>
    <n v="0.1"/>
    <m/>
    <m/>
    <m/>
    <m/>
    <m/>
    <s v="(ja)"/>
    <s v="Meerwasser"/>
    <s v="Meerwasser"/>
    <s v="ja"/>
    <n v="27"/>
    <m/>
    <m/>
    <m/>
    <m/>
    <m/>
    <s v="CO2-Entwicklung"/>
    <m/>
    <n v="14"/>
    <n v="28"/>
    <n v="0.5"/>
    <m/>
    <n v="2"/>
    <n v="20000"/>
    <s v=""/>
    <n v="91.25"/>
    <n v="1"/>
    <n v="91.250000000000014"/>
    <s v="PCL_Meerwasser_natürlich"/>
    <n v="1"/>
    <x v="6"/>
    <x v="135"/>
    <m/>
    <m/>
    <m/>
    <m/>
    <m/>
    <m/>
    <m/>
    <m/>
    <m/>
    <m/>
    <m/>
  </r>
  <r>
    <s v="PBS"/>
    <m/>
    <s v="nein"/>
    <m/>
    <s v="Film"/>
    <n v="0.1"/>
    <m/>
    <m/>
    <m/>
    <m/>
    <m/>
    <s v="(ja)"/>
    <s v="Meerwasser"/>
    <s v="Meerwasser"/>
    <s v="ja"/>
    <n v="27"/>
    <m/>
    <m/>
    <m/>
    <m/>
    <m/>
    <s v="CO2-Entwicklung"/>
    <m/>
    <n v="3"/>
    <n v="28"/>
    <n v="0.10714285714285714"/>
    <m/>
    <n v="2"/>
    <n v="20000"/>
    <s v=""/>
    <n v="19.553571428571431"/>
    <n v="1"/>
    <n v="19.553571428571448"/>
    <s v="PBS_Meerwasser_natürlich"/>
    <n v="1"/>
    <x v="6"/>
    <x v="135"/>
    <m/>
    <m/>
    <m/>
    <m/>
    <m/>
    <m/>
    <m/>
    <m/>
    <m/>
    <m/>
    <m/>
  </r>
  <r>
    <s v="PBSA"/>
    <m/>
    <s v="nein"/>
    <m/>
    <s v="Film"/>
    <n v="0.1"/>
    <m/>
    <m/>
    <m/>
    <m/>
    <m/>
    <s v="(ja)"/>
    <s v="Meerwasser"/>
    <s v="Meerwasser"/>
    <s v="ja"/>
    <n v="27"/>
    <m/>
    <m/>
    <m/>
    <m/>
    <m/>
    <s v="CO2-Entwicklung"/>
    <m/>
    <n v="4"/>
    <n v="28"/>
    <n v="0.14285714285714285"/>
    <m/>
    <n v="2"/>
    <n v="20000"/>
    <s v=""/>
    <n v="26.071428571428573"/>
    <n v="1"/>
    <n v="26.071428571428598"/>
    <s v="PBSA_Meerwasser_natürlich"/>
    <n v="1"/>
    <x v="6"/>
    <x v="135"/>
    <m/>
    <m/>
    <m/>
    <m/>
    <m/>
    <m/>
    <m/>
    <m/>
    <m/>
    <m/>
    <m/>
  </r>
  <r>
    <s v="PLA(-blend)"/>
    <m/>
    <s v="nein"/>
    <m/>
    <s v="Film"/>
    <n v="0.1"/>
    <m/>
    <m/>
    <m/>
    <m/>
    <m/>
    <s v="(ja)"/>
    <s v="Meerwasser"/>
    <s v="Meerwasser"/>
    <s v="ja"/>
    <n v="27"/>
    <m/>
    <m/>
    <m/>
    <m/>
    <m/>
    <s v="CO2-Entwicklung"/>
    <m/>
    <n v="0"/>
    <n v="28"/>
    <n v="0"/>
    <m/>
    <n v="2"/>
    <n v="20000"/>
    <s v=""/>
    <n v="0"/>
    <n v="1"/>
    <n v="0"/>
    <s v="PLA(-blend)_Meerwasser_natürlich"/>
    <n v="1"/>
    <x v="6"/>
    <x v="135"/>
    <m/>
    <m/>
    <m/>
    <m/>
    <m/>
    <m/>
    <m/>
    <m/>
    <m/>
    <m/>
    <m/>
  </r>
  <r>
    <s v="PBAT + PLA"/>
    <s v="ecovio (ecoflex®+ Polylactic acid (PLA))"/>
    <s v="ja"/>
    <s v="Mikroorganismen"/>
    <s v="Film"/>
    <m/>
    <m/>
    <m/>
    <s v="19% Ecoflex F BX 7011 70% NatureWorks PLA 4041D 10% Citrofol B1 + 1% Ecoflex Batch FBA"/>
    <m/>
    <m/>
    <m/>
    <m/>
    <m/>
    <s v="nein"/>
    <m/>
    <m/>
    <m/>
    <m/>
    <m/>
    <m/>
    <m/>
    <m/>
    <m/>
    <m/>
    <e v="#DIV/0!"/>
    <m/>
    <n v="2"/>
    <s v=""/>
    <s v=""/>
    <s v=""/>
    <s v=""/>
    <s v=""/>
    <s v=""/>
    <n v="1"/>
    <x v="4"/>
    <x v="60"/>
    <m/>
    <m/>
    <m/>
    <m/>
    <m/>
    <m/>
    <m/>
    <m/>
    <m/>
    <m/>
    <m/>
  </r>
  <r>
    <s v="PBAT + PLA"/>
    <s v="ecovio (ecoflex®+ Polylactic acid (PLA))"/>
    <s v="ja"/>
    <s v="Mikroorganismen"/>
    <s v="Film"/>
    <m/>
    <m/>
    <m/>
    <s v="53% Ecoflex F BX 7011 45% NatureWorks PLA 4041D 1% Ecoflex Batch SL1 + 1% Ecoflex Batch FBA"/>
    <m/>
    <m/>
    <m/>
    <m/>
    <m/>
    <s v="nein"/>
    <m/>
    <m/>
    <m/>
    <m/>
    <m/>
    <m/>
    <m/>
    <m/>
    <m/>
    <m/>
    <e v="#DIV/0!"/>
    <m/>
    <n v="2"/>
    <s v=""/>
    <s v=""/>
    <s v=""/>
    <s v=""/>
    <s v=""/>
    <s v=""/>
    <n v="1"/>
    <x v="4"/>
    <x v="60"/>
    <m/>
    <m/>
    <m/>
    <m/>
    <m/>
    <m/>
    <m/>
    <m/>
    <m/>
    <m/>
    <m/>
  </r>
  <r>
    <s v="PHA"/>
    <m/>
    <s v="nein"/>
    <m/>
    <s v="Film"/>
    <n v="0.1"/>
    <m/>
    <m/>
    <s v="AONILEX"/>
    <m/>
    <m/>
    <s v="(ja)"/>
    <s v="Meerwasser"/>
    <s v="Meerwasser"/>
    <s v="ja"/>
    <n v="35"/>
    <m/>
    <m/>
    <m/>
    <m/>
    <m/>
    <s v="CO2-Entwicklung"/>
    <m/>
    <n v="70"/>
    <n v="7"/>
    <n v="10"/>
    <m/>
    <n v="2"/>
    <n v="20000"/>
    <s v=""/>
    <n v="1825"/>
    <n v="1"/>
    <n v="1825.0000000000002"/>
    <s v="PHA_Meerwasser_natürlich"/>
    <n v="1"/>
    <x v="6"/>
    <x v="144"/>
    <m/>
    <m/>
    <m/>
    <m/>
    <m/>
    <m/>
    <m/>
    <m/>
    <m/>
    <m/>
    <m/>
  </r>
  <r>
    <s v="PHA"/>
    <m/>
    <s v="nein"/>
    <m/>
    <s v="Film"/>
    <n v="0.1"/>
    <m/>
    <m/>
    <s v="AONILEX"/>
    <m/>
    <m/>
    <s v="(ja)"/>
    <s v="Kompost"/>
    <s v="Boden/Kompost"/>
    <s v="ja"/>
    <n v="55"/>
    <m/>
    <m/>
    <m/>
    <m/>
    <m/>
    <s v="CO2-Entwicklung"/>
    <m/>
    <n v="60"/>
    <n v="7"/>
    <n v="8.5714285714285712"/>
    <m/>
    <n v="2"/>
    <n v="20000"/>
    <s v=""/>
    <n v="1564.2857142857144"/>
    <n v="1"/>
    <n v="1564.2857142857144"/>
    <s v="PHA_Boden/Kompost_natürlich"/>
    <n v="1"/>
    <x v="6"/>
    <x v="144"/>
    <m/>
    <m/>
    <m/>
    <m/>
    <m/>
    <m/>
    <m/>
    <m/>
    <m/>
    <m/>
    <m/>
  </r>
  <r>
    <s v="PBS"/>
    <m/>
    <s v="nein"/>
    <m/>
    <s v="Film"/>
    <n v="0.1"/>
    <m/>
    <n v="1.26"/>
    <s v="Bionolle 1001 MD"/>
    <m/>
    <m/>
    <s v="ja"/>
    <m/>
    <s v="Boden/Kompost"/>
    <s v="ja"/>
    <m/>
    <m/>
    <m/>
    <m/>
    <m/>
    <m/>
    <s v="CO2-Entwicklung"/>
    <m/>
    <n v="50"/>
    <n v="230"/>
    <n v="0.21739130434782608"/>
    <m/>
    <n v="2"/>
    <n v="20000"/>
    <n v="1.5873015873015872E-2"/>
    <n v="39.673913043478265"/>
    <n v="1"/>
    <n v="39.673913043478265"/>
    <s v="PBS_Boden/Kompost_natürlich"/>
    <n v="1"/>
    <x v="6"/>
    <x v="69"/>
    <m/>
    <m/>
    <m/>
    <m/>
    <m/>
    <m/>
    <m/>
    <m/>
    <m/>
    <m/>
    <m/>
  </r>
  <r>
    <s v="PBSA"/>
    <m/>
    <s v="nein"/>
    <m/>
    <s v="Film"/>
    <n v="0.1"/>
    <m/>
    <n v="1.23"/>
    <s v="Bionolle 3001 MD"/>
    <m/>
    <m/>
    <s v="ja"/>
    <m/>
    <s v="Boden/Kompost"/>
    <s v="ja"/>
    <m/>
    <m/>
    <m/>
    <m/>
    <m/>
    <m/>
    <s v="CO2-Entwicklung"/>
    <m/>
    <n v="50"/>
    <n v="181"/>
    <n v="0.27624309392265195"/>
    <m/>
    <n v="2"/>
    <n v="20000"/>
    <n v="1.6260162601626015E-2"/>
    <n v="50.414364640883981"/>
    <n v="1"/>
    <n v="50.414364640883996"/>
    <s v="PBSA_Boden/Kompost_natürlich"/>
    <n v="1"/>
    <x v="6"/>
    <x v="69"/>
    <m/>
    <m/>
    <m/>
    <m/>
    <m/>
    <m/>
    <m/>
    <m/>
    <m/>
    <m/>
    <m/>
  </r>
  <r>
    <s v="PBS"/>
    <m/>
    <s v="nein"/>
    <m/>
    <s v="Film"/>
    <n v="0.1"/>
    <m/>
    <n v="1.26"/>
    <s v="Bionolle 1001 MD"/>
    <m/>
    <m/>
    <s v="ja"/>
    <m/>
    <s v="Meerwasser"/>
    <s v="ja"/>
    <m/>
    <m/>
    <m/>
    <m/>
    <m/>
    <m/>
    <s v="CO2-Entwicklung"/>
    <m/>
    <n v="12.5"/>
    <n v="360"/>
    <n v="3.4722222222222224E-2"/>
    <m/>
    <n v="2"/>
    <n v="20000"/>
    <n v="1.5873015873015872E-2"/>
    <n v="6.3368055555555562"/>
    <n v="1"/>
    <n v="6.3368055555555562"/>
    <s v="PBS_Meerwasser_natürlich"/>
    <n v="1"/>
    <x v="6"/>
    <x v="69"/>
    <m/>
    <m/>
    <m/>
    <m/>
    <m/>
    <m/>
    <m/>
    <m/>
    <m/>
    <m/>
    <m/>
  </r>
  <r>
    <s v="PBSA"/>
    <m/>
    <s v="nein"/>
    <m/>
    <s v="Film"/>
    <n v="0.1"/>
    <m/>
    <n v="1.23"/>
    <s v="Bionolle 3001 MD"/>
    <m/>
    <m/>
    <s v="ja"/>
    <m/>
    <s v="Meerwasser"/>
    <s v="ja"/>
    <m/>
    <m/>
    <m/>
    <m/>
    <m/>
    <m/>
    <s v="CO2-Entwicklung"/>
    <m/>
    <n v="50"/>
    <n v="272"/>
    <n v="0.18382352941176472"/>
    <m/>
    <n v="2"/>
    <n v="20000"/>
    <n v="1.6260162601626015E-2"/>
    <n v="33.547794117647065"/>
    <n v="1"/>
    <n v="33.547794117647058"/>
    <s v="PBSA_Meerwasser_natürlich"/>
    <n v="1"/>
    <x v="6"/>
    <x v="69"/>
    <m/>
    <m/>
    <m/>
    <m/>
    <m/>
    <m/>
    <m/>
    <m/>
    <m/>
    <m/>
    <m/>
  </r>
  <r>
    <s v="PBAT"/>
    <s v="Ecoflex biodegradable plastics"/>
    <s v="nein"/>
    <m/>
    <s v="Powder"/>
    <n v="0.3"/>
    <m/>
    <m/>
    <s v="Ecoflex® #0.2 200-300μm 04/0595-1"/>
    <s v="keine"/>
    <s v="keine"/>
    <s v="ja"/>
    <s v="freshly taken seawater"/>
    <s v="Meerwasser"/>
    <s v="ja"/>
    <n v="20"/>
    <m/>
    <m/>
    <m/>
    <m/>
    <m/>
    <s v="CO2-Entwicklung"/>
    <m/>
    <n v="0"/>
    <n v="1400"/>
    <n v="0"/>
    <m/>
    <n v="6"/>
    <n v="20000"/>
    <s v=""/>
    <n v="0"/>
    <n v="3"/>
    <n v="0"/>
    <s v="PBAT_Meerwasser_natürlich"/>
    <n v="1"/>
    <x v="6"/>
    <x v="60"/>
    <m/>
    <m/>
    <m/>
    <m/>
    <m/>
    <m/>
    <m/>
    <m/>
    <m/>
    <m/>
    <m/>
  </r>
  <r>
    <s v="PBAT"/>
    <s v="Ecoflex biodegradable plastics"/>
    <s v="nein"/>
    <m/>
    <s v="Powder"/>
    <n v="0.3"/>
    <m/>
    <m/>
    <s v="Ecoflex® #0.2 200-300μm 04/0595-1"/>
    <s v="keine"/>
    <s v="keine"/>
    <s v="ja"/>
    <s v="freshly taken seawater"/>
    <s v="Meerwasser"/>
    <s v="ja"/>
    <n v="20"/>
    <m/>
    <m/>
    <m/>
    <m/>
    <m/>
    <s v="CO2-Entwicklung"/>
    <m/>
    <n v="0"/>
    <n v="1400"/>
    <n v="0"/>
    <m/>
    <n v="6"/>
    <n v="20000"/>
    <s v=""/>
    <n v="0"/>
    <n v="3"/>
    <n v="0"/>
    <s v="PBAT_Meerwasser_natürlich"/>
    <n v="1"/>
    <x v="6"/>
    <x v="60"/>
    <m/>
    <m/>
    <m/>
    <m/>
    <m/>
    <m/>
    <m/>
    <m/>
    <m/>
    <m/>
    <m/>
  </r>
  <r>
    <s v="PBAT"/>
    <s v="Ecoflex biodegradable plastics"/>
    <s v="nein"/>
    <m/>
    <s v="Powder"/>
    <n v="0.3"/>
    <m/>
    <m/>
    <s v="Ecoflex® #0.2 200-300μm 04/0595-1"/>
    <s v="keine"/>
    <s v="keine"/>
    <s v="ja"/>
    <s v="freshly taken seawater"/>
    <s v="Meerwasser"/>
    <s v="ja"/>
    <n v="20"/>
    <m/>
    <m/>
    <m/>
    <m/>
    <m/>
    <s v="CO2-Entwicklung"/>
    <m/>
    <n v="0"/>
    <n v="1400"/>
    <n v="0"/>
    <m/>
    <n v="6"/>
    <n v="20000"/>
    <s v=""/>
    <n v="0"/>
    <n v="3"/>
    <n v="0"/>
    <s v="PBAT_Meerwasser_natürlich"/>
    <n v="1"/>
    <x v="6"/>
    <x v="60"/>
    <m/>
    <m/>
    <m/>
    <m/>
    <m/>
    <m/>
    <m/>
    <m/>
    <m/>
    <m/>
    <m/>
  </r>
  <r>
    <s v="PBAT"/>
    <s v="Ecoflex biodegradable plastics"/>
    <s v="nein"/>
    <m/>
    <s v="Powder"/>
    <n v="0.3"/>
    <m/>
    <m/>
    <s v="Ecoflex® #0.2 200-300μm 04/0595-1"/>
    <s v="keine"/>
    <s v="keine"/>
    <s v="ja"/>
    <s v="freshly taken seawater"/>
    <s v="Meerwasser"/>
    <s v="ja"/>
    <n v="20"/>
    <m/>
    <m/>
    <m/>
    <m/>
    <m/>
    <s v="CO2-Entwicklung"/>
    <m/>
    <n v="50"/>
    <n v="840"/>
    <n v="5.9523809523809521E-2"/>
    <m/>
    <n v="6"/>
    <n v="20000"/>
    <s v=""/>
    <n v="10.863095238095239"/>
    <n v="3"/>
    <n v="13.446305002822067"/>
    <s v="PBAT_Meerwasser_natürlich"/>
    <n v="1"/>
    <x v="6"/>
    <x v="60"/>
    <m/>
    <m/>
    <m/>
    <m/>
    <m/>
    <m/>
    <m/>
    <m/>
    <m/>
    <m/>
    <m/>
  </r>
  <r>
    <s v="PBAT"/>
    <s v="Ecoflex biodegradable plastics"/>
    <s v="nein"/>
    <m/>
    <s v="Powder"/>
    <n v="0.3"/>
    <m/>
    <m/>
    <s v="Ecoflex® #0.2 200-300μm 04/0595-1"/>
    <s v="keine"/>
    <s v="keine"/>
    <s v="ja"/>
    <s v="freshly taken seawater"/>
    <s v="Meerwasser"/>
    <s v="ja"/>
    <n v="20"/>
    <m/>
    <m/>
    <m/>
    <m/>
    <m/>
    <s v="CO2-Entwicklung"/>
    <m/>
    <n v="50"/>
    <n v="1100"/>
    <n v="4.5454545454545456E-2"/>
    <m/>
    <n v="6"/>
    <n v="20000"/>
    <s v=""/>
    <n v="8.295454545454545"/>
    <n v="3"/>
    <n v="10.268087456700489"/>
    <s v="PBAT_Meerwasser_natürlich"/>
    <n v="1"/>
    <x v="6"/>
    <x v="60"/>
    <m/>
    <m/>
    <m/>
    <m/>
    <m/>
    <m/>
    <m/>
    <m/>
    <m/>
    <m/>
    <m/>
  </r>
  <r>
    <s v="PHA"/>
    <s v="PHA"/>
    <s v="nein"/>
    <m/>
    <s v="Film"/>
    <n v="8.5000000000000006E-2"/>
    <m/>
    <s v="no value"/>
    <s v="polyhydroxyalkanoate copolymer (PHA, MIREL® P5001, Metabolix, Cambridge, USA)"/>
    <s v="keine"/>
    <m/>
    <s v="ja"/>
    <s v="South East Asia - pelagic"/>
    <s v="Meerwasser"/>
    <s v="ja"/>
    <m/>
    <m/>
    <m/>
    <m/>
    <m/>
    <m/>
    <s v="Gewichtsverlust"/>
    <s v="Desintegration is assessed photogrammetrically by quantifying the area change of the plastic film"/>
    <n v="96.2"/>
    <n v="210"/>
    <n v="0.45809523809523811"/>
    <m/>
    <n v="2"/>
    <n v="23529.411764705881"/>
    <s v=""/>
    <n v="71.062023809523808"/>
    <n v="1"/>
    <n v="71.062023809523808"/>
    <s v="PHA_Meerwasser_natürlich"/>
    <n v="1"/>
    <x v="6"/>
    <x v="48"/>
    <m/>
    <m/>
    <m/>
    <m/>
    <m/>
    <m/>
    <m/>
    <m/>
    <m/>
    <m/>
    <m/>
  </r>
  <r>
    <m/>
    <m/>
    <m/>
    <m/>
    <m/>
    <m/>
    <m/>
    <m/>
    <m/>
    <m/>
    <m/>
    <m/>
    <m/>
    <m/>
    <m/>
    <m/>
    <m/>
    <m/>
    <m/>
    <m/>
    <m/>
    <m/>
    <m/>
    <m/>
    <m/>
    <m/>
    <m/>
    <m/>
    <m/>
    <m/>
    <m/>
    <m/>
    <m/>
    <m/>
    <m/>
    <x v="9"/>
    <x v="145"/>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A17:L165" firstHeaderRow="1" firstDataRow="2" firstDataCol="1"/>
  <pivotFields count="48">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Col" showAll="0" sortType="ascending">
      <items count="12">
        <item x="6"/>
        <item x="4"/>
        <item x="2"/>
        <item x="1"/>
        <item m="1" x="10"/>
        <item x="8"/>
        <item x="5"/>
        <item x="7"/>
        <item x="0"/>
        <item x="3"/>
        <item x="9"/>
        <item t="default"/>
      </items>
    </pivotField>
    <pivotField axis="axisRow" showAll="0">
      <items count="153">
        <item x="65"/>
        <item x="56"/>
        <item x="22"/>
        <item x="0"/>
        <item x="122"/>
        <item x="87"/>
        <item x="55"/>
        <item x="110"/>
        <item x="19"/>
        <item x="102"/>
        <item x="105"/>
        <item x="96"/>
        <item x="139"/>
        <item x="42"/>
        <item x="108"/>
        <item x="12"/>
        <item x="41"/>
        <item x="25"/>
        <item x="128"/>
        <item x="107"/>
        <item x="40"/>
        <item x="37"/>
        <item x="51"/>
        <item x="124"/>
        <item x="98"/>
        <item x="2"/>
        <item m="1" x="150"/>
        <item x="31"/>
        <item x="59"/>
        <item x="109"/>
        <item x="23"/>
        <item x="84"/>
        <item x="1"/>
        <item x="125"/>
        <item x="47"/>
        <item x="8"/>
        <item x="4"/>
        <item x="106"/>
        <item x="32"/>
        <item x="46"/>
        <item x="39"/>
        <item x="64"/>
        <item x="77"/>
        <item x="7"/>
        <item x="95"/>
        <item x="114"/>
        <item x="112"/>
        <item x="104"/>
        <item x="103"/>
        <item x="99"/>
        <item m="1" x="148"/>
        <item x="61"/>
        <item x="14"/>
        <item x="137"/>
        <item x="91"/>
        <item x="11"/>
        <item x="100"/>
        <item x="3"/>
        <item x="67"/>
        <item x="111"/>
        <item m="1" x="146"/>
        <item x="28"/>
        <item x="82"/>
        <item x="24"/>
        <item x="57"/>
        <item x="63"/>
        <item x="16"/>
        <item x="68"/>
        <item x="76"/>
        <item m="1" x="151"/>
        <item x="13"/>
        <item x="6"/>
        <item x="43"/>
        <item x="75"/>
        <item x="26"/>
        <item x="101"/>
        <item x="53"/>
        <item x="115"/>
        <item x="83"/>
        <item x="66"/>
        <item x="121"/>
        <item x="79"/>
        <item x="18"/>
        <item x="97"/>
        <item x="85"/>
        <item x="35"/>
        <item x="33"/>
        <item x="27"/>
        <item x="15"/>
        <item x="17"/>
        <item x="93"/>
        <item m="1" x="147"/>
        <item x="21"/>
        <item x="117"/>
        <item x="120"/>
        <item x="78"/>
        <item x="92"/>
        <item x="58"/>
        <item x="38"/>
        <item x="94"/>
        <item x="118"/>
        <item x="141"/>
        <item x="126"/>
        <item x="29"/>
        <item x="34"/>
        <item x="44"/>
        <item x="62"/>
        <item x="86"/>
        <item x="10"/>
        <item x="136"/>
        <item x="116"/>
        <item x="50"/>
        <item x="127"/>
        <item x="113"/>
        <item x="90"/>
        <item m="1" x="149"/>
        <item x="74"/>
        <item x="88"/>
        <item x="89"/>
        <item x="70"/>
        <item x="73"/>
        <item x="119"/>
        <item x="54"/>
        <item x="71"/>
        <item x="49"/>
        <item x="145"/>
        <item x="123"/>
        <item x="45"/>
        <item x="48"/>
        <item x="72"/>
        <item x="36"/>
        <item x="20"/>
        <item x="30"/>
        <item x="129"/>
        <item x="130"/>
        <item x="5"/>
        <item x="9"/>
        <item x="52"/>
        <item x="60"/>
        <item x="69"/>
        <item x="80"/>
        <item x="81"/>
        <item x="131"/>
        <item x="132"/>
        <item x="133"/>
        <item x="134"/>
        <item x="135"/>
        <item x="138"/>
        <item x="140"/>
        <item x="142"/>
        <item x="143"/>
        <item x="144"/>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6"/>
  </rowFields>
  <rowItems count="147">
    <i>
      <x/>
    </i>
    <i>
      <x v="1"/>
    </i>
    <i>
      <x v="2"/>
    </i>
    <i>
      <x v="3"/>
    </i>
    <i>
      <x v="4"/>
    </i>
    <i>
      <x v="5"/>
    </i>
    <i>
      <x v="6"/>
    </i>
    <i>
      <x v="7"/>
    </i>
    <i>
      <x v="8"/>
    </i>
    <i>
      <x v="9"/>
    </i>
    <i>
      <x v="10"/>
    </i>
    <i>
      <x v="11"/>
    </i>
    <i>
      <x v="12"/>
    </i>
    <i>
      <x v="13"/>
    </i>
    <i>
      <x v="14"/>
    </i>
    <i>
      <x v="15"/>
    </i>
    <i>
      <x v="16"/>
    </i>
    <i>
      <x v="17"/>
    </i>
    <i>
      <x v="18"/>
    </i>
    <i>
      <x v="19"/>
    </i>
    <i>
      <x v="20"/>
    </i>
    <i>
      <x v="21"/>
    </i>
    <i>
      <x v="22"/>
    </i>
    <i>
      <x v="23"/>
    </i>
    <i>
      <x v="24"/>
    </i>
    <i>
      <x v="25"/>
    </i>
    <i>
      <x v="27"/>
    </i>
    <i>
      <x v="28"/>
    </i>
    <i>
      <x v="29"/>
    </i>
    <i>
      <x v="30"/>
    </i>
    <i>
      <x v="31"/>
    </i>
    <i>
      <x v="32"/>
    </i>
    <i>
      <x v="33"/>
    </i>
    <i>
      <x v="34"/>
    </i>
    <i>
      <x v="35"/>
    </i>
    <i>
      <x v="36"/>
    </i>
    <i>
      <x v="37"/>
    </i>
    <i>
      <x v="38"/>
    </i>
    <i>
      <x v="39"/>
    </i>
    <i>
      <x v="40"/>
    </i>
    <i>
      <x v="41"/>
    </i>
    <i>
      <x v="42"/>
    </i>
    <i>
      <x v="43"/>
    </i>
    <i>
      <x v="44"/>
    </i>
    <i>
      <x v="45"/>
    </i>
    <i>
      <x v="46"/>
    </i>
    <i>
      <x v="47"/>
    </i>
    <i>
      <x v="48"/>
    </i>
    <i>
      <x v="49"/>
    </i>
    <i>
      <x v="51"/>
    </i>
    <i>
      <x v="52"/>
    </i>
    <i>
      <x v="53"/>
    </i>
    <i>
      <x v="54"/>
    </i>
    <i>
      <x v="55"/>
    </i>
    <i>
      <x v="56"/>
    </i>
    <i>
      <x v="57"/>
    </i>
    <i>
      <x v="58"/>
    </i>
    <i>
      <x v="59"/>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t="grand">
      <x/>
    </i>
  </rowItems>
  <colFields count="1">
    <field x="35"/>
  </colFields>
  <colItems count="11">
    <i>
      <x/>
    </i>
    <i>
      <x v="1"/>
    </i>
    <i>
      <x v="2"/>
    </i>
    <i>
      <x v="3"/>
    </i>
    <i>
      <x v="5"/>
    </i>
    <i>
      <x v="6"/>
    </i>
    <i>
      <x v="7"/>
    </i>
    <i>
      <x v="8"/>
    </i>
    <i>
      <x v="9"/>
    </i>
    <i>
      <x v="10"/>
    </i>
    <i t="grand">
      <x/>
    </i>
  </colItems>
  <dataFields count="1">
    <dataField name="Anzahl von SSDR_n" fld="32" subtotal="count" baseField="0" baseItem="0"/>
  </dataFields>
  <formats count="3">
    <format dxfId="2">
      <pivotArea field="36" type="button" dataOnly="0" labelOnly="1" outline="0" axis="axisRow" fieldPosition="0"/>
    </format>
    <format dxfId="1">
      <pivotArea dataOnly="0" labelOnly="1" fieldPosition="0">
        <references count="1">
          <reference field="35"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elle1" displayName="Tabelle1" ref="A1:AW650" totalsRowShown="0" headerRowDxfId="67" dataDxfId="66">
  <autoFilter ref="A1:AW650"/>
  <sortState ref="A285:AW625">
    <sortCondition ref="N1:N650"/>
  </sortState>
  <tableColumns count="49">
    <tableColumn id="53" name="Conventional? " dataDxfId="65"/>
    <tableColumn id="3" name="Plastikart" dataDxfId="64"/>
    <tableColumn id="4" name="Details zur Plastikart" dataDxfId="63"/>
    <tableColumn id="5" name="Accelerated" dataDxfId="62"/>
    <tableColumn id="52" name="Art des Accelerants" dataDxfId="61"/>
    <tableColumn id="6" name="Form" dataDxfId="60"/>
    <tableColumn id="7" name="Thickness [mm]" dataDxfId="59"/>
    <tableColumn id="8" name="Surface Area_x000a_[m2]" dataDxfId="58"/>
    <tableColumn id="9" name="Density _x000a_[g/cm3]" dataDxfId="57"/>
    <tableColumn id="10" name="Produkt" dataDxfId="56"/>
    <tableColumn id="11" name="Vorbehandlung" dataDxfId="55"/>
    <tableColumn id="12" name="Mikroorganismen" dataDxfId="54"/>
    <tableColumn id="13" name="Natürliche Umgebung_x000a_[ja/nein]" dataDxfId="53"/>
    <tableColumn id="15" name="Umgebung" dataDxfId="52"/>
    <tableColumn id="35" name="Umgebungs-kategorie" dataDxfId="51"/>
    <tableColumn id="47" name="Umgebung relevant?" dataDxfId="50">
      <calculatedColumnFormula>IF(OR(Tabelle1[[#This Row],[Umgebungs-kategorie]]="Boden/Kompost",Tabelle1[[#This Row],[Umgebungs-kategorie]]="Wasser",Tabelle1[[#This Row],[Umgebungs-kategorie]]="Meerwasser",Tabelle1[[#This Row],[Umgebungs-kategorie]]="Süßwasser",Tabelle1[[#This Row],[Umgebungs-kategorie]]="River sediment",Tabelle1[[#This Row],[Umgebungs-kategorie]]="Benthic"),"ja","nein")</calculatedColumnFormula>
    </tableColumn>
    <tableColumn id="16" name="Bedingungen: Temp.[°C]" dataDxfId="49"/>
    <tableColumn id="17" name="Bedingungen: pH-Wert" dataDxfId="48"/>
    <tableColumn id="18" name="Bedingungen: rel. Luft. [%]" dataDxfId="47"/>
    <tableColumn id="19" name="Bedingungen: Wasserg. [%]" dataDxfId="46"/>
    <tableColumn id="20" name="Bedingungen: Sauerstoff-Milieu" dataDxfId="45"/>
    <tableColumn id="21" name="Bedingungen: Inkubation" dataDxfId="44"/>
    <tableColumn id="22" name="Messkriterium" dataDxfId="43"/>
    <tableColumn id="41" name="Spezifikation" dataDxfId="42"/>
    <tableColumn id="23" name="biologische_x000a_Abbaubarkeit [%]" dataDxfId="41"/>
    <tableColumn id="24" name="Dauer des Abbaus_x000a_[Tage]" dataDxfId="40"/>
    <tableColumn id="25" name="Abbaurate [%/d]" dataDxfId="39">
      <calculatedColumnFormula>Y2/Z2</calculatedColumnFormula>
    </tableColumn>
    <tableColumn id="49" name="Art des Abbaus? (Oberfläche / Bulk)" dataDxfId="38"/>
    <tableColumn id="36" name="Formfaktor" dataDxfId="37">
      <calculatedColumnFormula>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calculatedColumnFormula>
    </tableColumn>
    <tableColumn id="42" name="specific surface [m^2/m^3]" dataDxfId="36">
      <calculatedColumnFormula>IF(Tabelle1[[#This Row],[Nicht einbezogen weil…]]="",IFERROR(1000*Tabelle1[[#This Row],[Formfaktor]]/Tabelle1[[#This Row],[Thickness '[mm']]],""),"")</calculatedColumnFormula>
    </tableColumn>
    <tableColumn id="38" name="specific surface area [m^2/g]" dataDxfId="35">
      <calculatedColumnFormula>IF(Tabelle1[[#This Row],[Nicht einbezogen weil…]]="",IFERROR(Tabelle1[[#This Row],[specific surface '[m^2/m^3']]]/Tabelle1[[#This Row],[Density 
'[g/cm3']]]/1000000,""),"")</calculatedColumnFormula>
    </tableColumn>
    <tableColumn id="26" name="specific surface degradation rate (SSDR)_x000a_[µm*y-1]" dataDxfId="34">
      <calculatedColumnFormula>IF(Tabelle1[[#This Row],[Nicht einbezogen weil…]]="",IFERROR(365*10*Tabelle1[[#This Row],[Abbaurate '[%/d']]]*Tabelle1[[#This Row],[Thickness '[mm']]]/Tabelle1[[#This Row],[Formfaktor]],""),"")</calculatedColumnFormula>
    </tableColumn>
    <tableColumn id="48" name="Exponent" dataDxfId="33">
      <calculatedColumnFormula>IF(OR(Tabelle1[[#This Row],[Nicht einbezogen weil…]]="",Tabelle1[[#This Row],[Nicht einbezogen weil…]]="nicht-natürlich"),IF(Tabelle1[[#This Row],[Formfaktor]]=2, 1,IF(Tabelle1[[#This Row],[Formfaktor]]=4,2,IF(Tabelle1[[#This Row],[Formfaktor]]=6,3,""))),"")</calculatedColumnFormula>
    </tableColumn>
    <tableColumn id="43" name="SSDR_n" dataDxfId="32">
      <calculatedColumnFormula>IF(OR(Tabelle1[[#This Row],[Nicht einbezogen weil…]]="",Tabelle1[[#This Row],[Nicht einbezogen weil…]]="nicht-natürlich"),IFERROR(Tabelle1[[#This Row],[Thickness '[mm']]]/Tabelle1[[#This Row],[Dauer des Abbaus
'[Tage']]]*1000*0.5*365*(1-(1-Tabelle1[[#This Row],[Abbaurate '[%/d']]]/100*Tabelle1[[#This Row],[Dauer des Abbaus
'[Tage']]])^(1/Tabelle1[[#This Row],[Exponent]])),""),"")</calculatedColumnFormula>
    </tableColumn>
    <tableColumn id="45" name="Hilfsspalte" dataDxfId="31">
      <calculatedColumnFormula>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calculatedColumnFormula>
    </tableColumn>
    <tableColumn id="44" name="Flexspalte" dataDxfId="30"/>
    <tableColumn id="46" name="Nicht einbezogen weil…" dataDxfId="29">
      <calculatedColumnFormula>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calculatedColumnFormula>
    </tableColumn>
    <tableColumn id="27" name="Quelle" dataDxfId="28"/>
    <tableColumn id="28" name="Crossref" dataDxfId="27"/>
    <tableColumn id="29" name="Hinzugefügt von (Datum)" dataDxfId="26"/>
    <tableColumn id="30" name="Citavi" dataDxfId="25"/>
    <tableColumn id="31" name="PDF" dataDxfId="24"/>
    <tableColumn id="32" name="Gutes Paper" dataDxfId="23"/>
    <tableColumn id="33" name="Empfehlung für Delphi - Rangfolgen (J/N/V)" dataDxfId="22"/>
    <tableColumn id="34" name="Empfehlung für Delphi - Abbauzeiten (J/N/V)" dataDxfId="21"/>
    <tableColumn id="37" name="in Sangwon enthalten?" dataDxfId="20"/>
    <tableColumn id="39" name="Checked CB?" dataDxfId="19"/>
    <tableColumn id="40" name="Link" dataDxfId="18"/>
    <tableColumn id="14" name="Anmerkungen" dataDxfId="17"/>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sciencedirect.com/science/article/pii/S0045653519301754" TargetMode="External"/><Relationship Id="rId13" Type="http://schemas.openxmlformats.org/officeDocument/2006/relationships/hyperlink" Target="https://www.sciencedirect.com/science/article/abs/pii/S0025326X15302277" TargetMode="External"/><Relationship Id="rId18" Type="http://schemas.openxmlformats.org/officeDocument/2006/relationships/comments" Target="../comments1.xml"/><Relationship Id="rId3" Type="http://schemas.openxmlformats.org/officeDocument/2006/relationships/hyperlink" Target="https://www.tandfonline.com/doi/full/10.1080/10826068.2014.985836?scroll=top&amp;needAccess=true" TargetMode="External"/><Relationship Id="rId7" Type="http://schemas.openxmlformats.org/officeDocument/2006/relationships/hyperlink" Target="https://www.sciencedirect.com/science/article/pii/S0964830516303146" TargetMode="External"/><Relationship Id="rId12" Type="http://schemas.openxmlformats.org/officeDocument/2006/relationships/hyperlink" Target="https://www.sciencedirect.com/science/article/abs/pii/S1011134418301957" TargetMode="External"/><Relationship Id="rId17" Type="http://schemas.openxmlformats.org/officeDocument/2006/relationships/table" Target="../tables/table1.xml"/><Relationship Id="rId2" Type="http://schemas.openxmlformats.org/officeDocument/2006/relationships/hyperlink" Target="https://www.sciencedirect.com/science/article/pii/S0269749117309648" TargetMode="External"/><Relationship Id="rId16" Type="http://schemas.openxmlformats.org/officeDocument/2006/relationships/vmlDrawing" Target="../drawings/vmlDrawing1.vml"/><Relationship Id="rId1" Type="http://schemas.openxmlformats.org/officeDocument/2006/relationships/hyperlink" Target="https://www.sciencedirect.com/science/article/pii/0141391094900744" TargetMode="External"/><Relationship Id="rId6" Type="http://schemas.openxmlformats.org/officeDocument/2006/relationships/hyperlink" Target="https://www.sciencedirect.com/science/article/abs/pii/S1871678418301560" TargetMode="External"/><Relationship Id="rId11" Type="http://schemas.openxmlformats.org/officeDocument/2006/relationships/hyperlink" Target="https://pubs.acs.org/doi/full/10.1021/es504038a" TargetMode="External"/><Relationship Id="rId5" Type="http://schemas.openxmlformats.org/officeDocument/2006/relationships/hyperlink" Target="https://www.sciencedirect.com/science/article/abs/pii/S014111361930813X" TargetMode="External"/><Relationship Id="rId15" Type="http://schemas.openxmlformats.org/officeDocument/2006/relationships/printerSettings" Target="../printerSettings/printerSettings1.bin"/><Relationship Id="rId10" Type="http://schemas.openxmlformats.org/officeDocument/2006/relationships/hyperlink" Target="https://pubs.acs.org/doi/pdf/10.1021/acs.est.5b02663" TargetMode="External"/><Relationship Id="rId4" Type="http://schemas.openxmlformats.org/officeDocument/2006/relationships/hyperlink" Target="https://www.sciencedirect.com/science/article/abs/pii/S030438941200074X" TargetMode="External"/><Relationship Id="rId9" Type="http://schemas.openxmlformats.org/officeDocument/2006/relationships/hyperlink" Target="https://www.sciencedirect.com/science/article/abs/pii/S1871678416323214" TargetMode="External"/><Relationship Id="rId14" Type="http://schemas.openxmlformats.org/officeDocument/2006/relationships/hyperlink" Target="https://www.sciencedirect.com/science/article/abs/pii/S0025326X1830852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AW650"/>
  <sheetViews>
    <sheetView zoomScale="85" zoomScaleNormal="85" workbookViewId="0">
      <pane xSplit="3" ySplit="1" topLeftCell="L564" activePane="bottomRight" state="frozen"/>
      <selection activeCell="K13" sqref="K13"/>
      <selection pane="topRight" activeCell="K13" sqref="K13"/>
      <selection pane="bottomLeft" activeCell="K13" sqref="K13"/>
      <selection pane="bottomRight" activeCell="C595" sqref="C595"/>
    </sheetView>
  </sheetViews>
  <sheetFormatPr baseColWidth="10" defaultColWidth="11.42578125" defaultRowHeight="17.25" customHeight="1"/>
  <cols>
    <col min="1" max="1" width="11.42578125" style="10"/>
    <col min="2" max="2" width="10.42578125" style="550" customWidth="1"/>
    <col min="3" max="3" width="34.140625" style="3" customWidth="1"/>
    <col min="4" max="5" width="13.28515625" style="3" customWidth="1"/>
    <col min="6" max="6" width="11.140625" style="3" customWidth="1"/>
    <col min="7" max="7" width="16.42578125" style="3" customWidth="1"/>
    <col min="8" max="8" width="17.5703125" style="3" hidden="1" customWidth="1"/>
    <col min="9" max="9" width="15.28515625" style="3" customWidth="1"/>
    <col min="10" max="10" width="25" style="3" customWidth="1"/>
    <col min="11" max="11" width="25.85546875" style="8" customWidth="1"/>
    <col min="12" max="12" width="17.42578125" style="3" customWidth="1"/>
    <col min="13" max="13" width="7" style="3" customWidth="1"/>
    <col min="14" max="14" width="21.7109375" style="3" customWidth="1"/>
    <col min="15" max="15" width="16.7109375" style="3" customWidth="1"/>
    <col min="16" max="16" width="12.7109375" style="3" hidden="1" customWidth="1"/>
    <col min="17" max="18" width="8.140625" style="4" customWidth="1"/>
    <col min="19" max="19" width="8.140625" style="4" hidden="1" customWidth="1"/>
    <col min="20" max="20" width="8.140625" style="4" customWidth="1"/>
    <col min="21" max="21" width="8.140625" style="4" hidden="1" customWidth="1"/>
    <col min="22" max="22" width="10.85546875" style="4" customWidth="1"/>
    <col min="23" max="23" width="18.42578125" style="3" customWidth="1"/>
    <col min="24" max="24" width="31" style="3" customWidth="1"/>
    <col min="25" max="25" width="15.28515625" style="4" customWidth="1"/>
    <col min="26" max="26" width="12.7109375" style="4" customWidth="1"/>
    <col min="27" max="27" width="13.85546875" style="4" customWidth="1"/>
    <col min="28" max="30" width="13.85546875" style="4" hidden="1" customWidth="1"/>
    <col min="31" max="31" width="11.42578125" style="4" hidden="1" customWidth="1"/>
    <col min="32" max="33" width="14.5703125" style="4" hidden="1" customWidth="1"/>
    <col min="34" max="34" width="14.5703125" style="4" customWidth="1"/>
    <col min="35" max="35" width="41.28515625" style="4" hidden="1" customWidth="1"/>
    <col min="36" max="36" width="14.5703125" style="6" customWidth="1"/>
    <col min="37" max="37" width="14.5703125" style="90" customWidth="1"/>
    <col min="38" max="38" width="23.42578125" style="3" customWidth="1"/>
    <col min="39" max="40" width="14.42578125" style="3" hidden="1" customWidth="1"/>
    <col min="41" max="42" width="7.5703125" style="3" hidden="1" customWidth="1"/>
    <col min="43" max="43" width="4" style="3" hidden="1" customWidth="1"/>
    <col min="44" max="45" width="4" style="2" hidden="1" customWidth="1"/>
    <col min="46" max="46" width="12.85546875" style="10" hidden="1" customWidth="1"/>
    <col min="47" max="47" width="11.42578125" style="76" hidden="1" customWidth="1"/>
    <col min="48" max="48" width="11.42578125" style="10" hidden="1" customWidth="1"/>
    <col min="49" max="49" width="29.28515625" style="10" customWidth="1"/>
    <col min="50" max="16384" width="11.42578125" style="10"/>
  </cols>
  <sheetData>
    <row r="1" spans="1:49" s="8" customFormat="1" ht="99" customHeight="1">
      <c r="A1" s="313" t="s">
        <v>1139</v>
      </c>
      <c r="B1" s="549" t="s">
        <v>355</v>
      </c>
      <c r="C1" s="313" t="s">
        <v>356</v>
      </c>
      <c r="D1" s="313" t="s">
        <v>329</v>
      </c>
      <c r="E1" s="314" t="s">
        <v>1126</v>
      </c>
      <c r="F1" s="3" t="s">
        <v>197</v>
      </c>
      <c r="G1" s="313" t="s">
        <v>212</v>
      </c>
      <c r="H1" s="313" t="s">
        <v>345</v>
      </c>
      <c r="I1" s="313" t="s">
        <v>769</v>
      </c>
      <c r="J1" s="313" t="s">
        <v>202</v>
      </c>
      <c r="K1" s="315" t="s">
        <v>203</v>
      </c>
      <c r="L1" s="313" t="s">
        <v>205</v>
      </c>
      <c r="M1" s="313" t="s">
        <v>344</v>
      </c>
      <c r="N1" s="313" t="s">
        <v>0</v>
      </c>
      <c r="O1" s="313" t="s">
        <v>359</v>
      </c>
      <c r="P1" s="313" t="s">
        <v>942</v>
      </c>
      <c r="Q1" s="313" t="s">
        <v>346</v>
      </c>
      <c r="R1" s="313" t="s">
        <v>347</v>
      </c>
      <c r="S1" s="313" t="s">
        <v>348</v>
      </c>
      <c r="T1" s="313" t="s">
        <v>349</v>
      </c>
      <c r="U1" s="313" t="s">
        <v>350</v>
      </c>
      <c r="V1" s="313" t="s">
        <v>351</v>
      </c>
      <c r="W1" s="313" t="s">
        <v>456</v>
      </c>
      <c r="X1" s="313" t="s">
        <v>477</v>
      </c>
      <c r="Y1" s="313" t="s">
        <v>1</v>
      </c>
      <c r="Z1" s="313" t="s">
        <v>15</v>
      </c>
      <c r="AA1" s="313" t="s">
        <v>41</v>
      </c>
      <c r="AB1" s="313" t="s">
        <v>1012</v>
      </c>
      <c r="AC1" s="313" t="s">
        <v>807</v>
      </c>
      <c r="AD1" s="313" t="s">
        <v>806</v>
      </c>
      <c r="AE1" s="313" t="s">
        <v>768</v>
      </c>
      <c r="AF1" s="313" t="s">
        <v>352</v>
      </c>
      <c r="AG1" s="313" t="s">
        <v>821</v>
      </c>
      <c r="AH1" s="313" t="s">
        <v>820</v>
      </c>
      <c r="AI1" s="313" t="s">
        <v>811</v>
      </c>
      <c r="AJ1" s="316" t="s">
        <v>809</v>
      </c>
      <c r="AK1" s="316" t="s">
        <v>940</v>
      </c>
      <c r="AL1" s="313" t="s">
        <v>340</v>
      </c>
      <c r="AM1" s="313" t="s">
        <v>195</v>
      </c>
      <c r="AN1" s="313" t="s">
        <v>306</v>
      </c>
      <c r="AO1" s="313" t="s">
        <v>193</v>
      </c>
      <c r="AP1" s="313" t="s">
        <v>194</v>
      </c>
      <c r="AQ1" s="313" t="s">
        <v>257</v>
      </c>
      <c r="AR1" s="313" t="s">
        <v>353</v>
      </c>
      <c r="AS1" s="313" t="s">
        <v>354</v>
      </c>
      <c r="AT1" s="313" t="s">
        <v>360</v>
      </c>
      <c r="AU1" s="317" t="s">
        <v>462</v>
      </c>
      <c r="AV1" s="313" t="s">
        <v>475</v>
      </c>
      <c r="AW1" s="313" t="s">
        <v>774</v>
      </c>
    </row>
    <row r="2" spans="1:49" ht="24" customHeight="1">
      <c r="B2" s="318" t="s">
        <v>357</v>
      </c>
      <c r="C2" s="3" t="s">
        <v>460</v>
      </c>
      <c r="D2" s="3" t="s">
        <v>200</v>
      </c>
      <c r="E2" s="10" t="s">
        <v>1127</v>
      </c>
      <c r="F2" s="12" t="s">
        <v>288</v>
      </c>
      <c r="G2" s="12" t="s">
        <v>341</v>
      </c>
      <c r="H2" s="12">
        <f>0.005*0.005</f>
        <v>2.5000000000000001E-5</v>
      </c>
      <c r="I2" s="12">
        <f>0.89*0.5+1.32*0.25+1.26*0.25</f>
        <v>1.0900000000000001</v>
      </c>
      <c r="J2" s="3" t="s">
        <v>457</v>
      </c>
      <c r="K2" s="8" t="s">
        <v>458</v>
      </c>
      <c r="L2" s="3" t="s">
        <v>229</v>
      </c>
      <c r="M2" s="3" t="s">
        <v>223</v>
      </c>
      <c r="N2" s="3" t="s">
        <v>461</v>
      </c>
      <c r="O2" s="3" t="s">
        <v>358</v>
      </c>
      <c r="P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 s="4">
        <v>58</v>
      </c>
      <c r="W2" s="3" t="s">
        <v>90</v>
      </c>
      <c r="Y2" s="4">
        <v>40</v>
      </c>
      <c r="Z2" s="4">
        <v>60</v>
      </c>
      <c r="AA2" s="5">
        <f>Y2/Z2</f>
        <v>0.66666666666666663</v>
      </c>
      <c r="AB2" s="5"/>
      <c r="AC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 s="97" t="str">
        <f>IF(Tabelle1[[#This Row],[Nicht einbezogen weil…]]="",IFERROR(1000*Tabelle1[[#This Row],[Formfaktor]]/Tabelle1[[#This Row],[Thickness '[mm']]],""),"")</f>
        <v/>
      </c>
      <c r="AE2" s="98" t="str">
        <f>IF(Tabelle1[[#This Row],[Nicht einbezogen weil…]]="",IFERROR(Tabelle1[[#This Row],[specific surface '[m^2/m^3']]]/Tabelle1[[#This Row],[Density 
'[g/cm3']]]/1000000,""),"")</f>
        <v/>
      </c>
      <c r="AF2" s="97" t="str">
        <f>IF(Tabelle1[[#This Row],[Nicht einbezogen weil…]]="",IFERROR(365*10*Tabelle1[[#This Row],[Abbaurate '[%/d']]]*Tabelle1[[#This Row],[Thickness '[mm']]]/Tabelle1[[#This Row],[Formfaktor]],""),"")</f>
        <v/>
      </c>
      <c r="AG2" s="99" t="str">
        <f>IF(OR(Tabelle1[[#This Row],[Nicht einbezogen weil…]]="",Tabelle1[[#This Row],[Nicht einbezogen weil…]]="nicht-natürlich"),IF(Tabelle1[[#This Row],[Formfaktor]]=2, 1,IF(Tabelle1[[#This Row],[Formfaktor]]=4,2,IF(Tabelle1[[#This Row],[Formfaktor]]=6,3,""))),"")</f>
        <v/>
      </c>
      <c r="AH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 s="71">
        <v>1</v>
      </c>
      <c r="AK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Plastikart unklar</v>
      </c>
      <c r="AL2" s="3" t="s">
        <v>131</v>
      </c>
      <c r="AN2" s="3" t="s">
        <v>538</v>
      </c>
      <c r="AO2" s="3" t="s">
        <v>235</v>
      </c>
      <c r="AT2" s="319"/>
      <c r="AU2" s="320" t="s">
        <v>200</v>
      </c>
      <c r="AV2" s="319"/>
    </row>
    <row r="3" spans="1:49" ht="17.25" customHeight="1">
      <c r="B3" s="321" t="s">
        <v>357</v>
      </c>
      <c r="C3" s="322" t="s">
        <v>890</v>
      </c>
      <c r="D3" s="322" t="s">
        <v>200</v>
      </c>
      <c r="E3" s="10" t="s">
        <v>205</v>
      </c>
      <c r="F3" s="322" t="s">
        <v>198</v>
      </c>
      <c r="G3" s="322" t="s">
        <v>341</v>
      </c>
      <c r="H3" s="322"/>
      <c r="I3" s="322"/>
      <c r="J3" s="322"/>
      <c r="K3" s="73"/>
      <c r="L3" s="322" t="s">
        <v>889</v>
      </c>
      <c r="M3" s="322"/>
      <c r="N3" s="322"/>
      <c r="O3" s="322"/>
      <c r="P3" s="322"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 s="72"/>
      <c r="R3" s="72"/>
      <c r="S3" s="72"/>
      <c r="T3" s="72"/>
      <c r="U3" s="72"/>
      <c r="V3" s="72"/>
      <c r="W3" s="322"/>
      <c r="X3" s="322"/>
      <c r="Y3" s="72"/>
      <c r="Z3" s="72"/>
      <c r="AA3" s="97" t="e">
        <f>Y3/Z3</f>
        <v>#DIV/0!</v>
      </c>
      <c r="AB3" s="97"/>
      <c r="AC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 s="97" t="str">
        <f>IF(Tabelle1[[#This Row],[Nicht einbezogen weil…]]="",IFERROR(1000*Tabelle1[[#This Row],[Formfaktor]]/Tabelle1[[#This Row],[Thickness '[mm']]],""),"")</f>
        <v/>
      </c>
      <c r="AE3" s="98" t="str">
        <f>IF(Tabelle1[[#This Row],[Nicht einbezogen weil…]]="",IFERROR(Tabelle1[[#This Row],[specific surface '[m^2/m^3']]]/Tabelle1[[#This Row],[Density 
'[g/cm3']]]/1000000,""),"")</f>
        <v/>
      </c>
      <c r="AF3" s="97" t="str">
        <f>IF(Tabelle1[[#This Row],[Nicht einbezogen weil…]]="",IFERROR(365*10*Tabelle1[[#This Row],[Abbaurate '[%/d']]]*Tabelle1[[#This Row],[Thickness '[mm']]]/Tabelle1[[#This Row],[Formfaktor]],""),"")</f>
        <v/>
      </c>
      <c r="AG3" s="99" t="str">
        <f>IF(OR(Tabelle1[[#This Row],[Nicht einbezogen weil…]]="",Tabelle1[[#This Row],[Nicht einbezogen weil…]]="nicht-natürlich"),IF(Tabelle1[[#This Row],[Formfaktor]]=2, 1,IF(Tabelle1[[#This Row],[Formfaktor]]=4,2,IF(Tabelle1[[#This Row],[Formfaktor]]=6,3,""))),"")</f>
        <v/>
      </c>
      <c r="AH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 s="96">
        <v>0</v>
      </c>
      <c r="AK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3" s="323" t="s">
        <v>828</v>
      </c>
      <c r="AM3" s="322" t="s">
        <v>855</v>
      </c>
      <c r="AN3" s="322" t="s">
        <v>824</v>
      </c>
      <c r="AO3" s="322" t="s">
        <v>200</v>
      </c>
      <c r="AP3" s="322" t="s">
        <v>223</v>
      </c>
      <c r="AQ3" s="322"/>
      <c r="AR3" s="72"/>
      <c r="AS3" s="72"/>
      <c r="AT3" s="73"/>
      <c r="AU3" s="324" t="s">
        <v>701</v>
      </c>
      <c r="AV3" s="325" t="s">
        <v>865</v>
      </c>
      <c r="AW3" s="73" t="s">
        <v>933</v>
      </c>
    </row>
    <row r="4" spans="1:49" ht="17.25" customHeight="1">
      <c r="B4" s="7" t="s">
        <v>357</v>
      </c>
      <c r="C4" s="3" t="s">
        <v>357</v>
      </c>
      <c r="D4" s="74"/>
      <c r="E4" s="10"/>
      <c r="F4" s="74" t="s">
        <v>341</v>
      </c>
      <c r="G4" s="74" t="s">
        <v>341</v>
      </c>
      <c r="H4" s="74"/>
      <c r="P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AA4" s="5"/>
      <c r="AB4" s="5"/>
      <c r="AC4"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 s="97" t="str">
        <f>IF(Tabelle1[[#This Row],[Nicht einbezogen weil…]]="",IFERROR(1000*Tabelle1[[#This Row],[Formfaktor]]/Tabelle1[[#This Row],[Thickness '[mm']]],""),"")</f>
        <v/>
      </c>
      <c r="AE4" s="98" t="str">
        <f>IF(Tabelle1[[#This Row],[Nicht einbezogen weil…]]="",IFERROR(Tabelle1[[#This Row],[specific surface '[m^2/m^3']]]/Tabelle1[[#This Row],[Density 
'[g/cm3']]]/1000000,""),"")</f>
        <v/>
      </c>
      <c r="AF4" s="97" t="str">
        <f>IF(Tabelle1[[#This Row],[Nicht einbezogen weil…]]="",IFERROR(365*10*Tabelle1[[#This Row],[Abbaurate '[%/d']]]*Tabelle1[[#This Row],[Thickness '[mm']]]/Tabelle1[[#This Row],[Formfaktor]],""),"")</f>
        <v/>
      </c>
      <c r="AG4" s="99" t="str">
        <f>IF(OR(Tabelle1[[#This Row],[Nicht einbezogen weil…]]="",Tabelle1[[#This Row],[Nicht einbezogen weil…]]="nicht-natürlich"),IF(Tabelle1[[#This Row],[Formfaktor]]=2, 1,IF(Tabelle1[[#This Row],[Formfaktor]]=4,2,IF(Tabelle1[[#This Row],[Formfaktor]]=6,3,""))),"")</f>
        <v/>
      </c>
      <c r="AH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 s="6">
        <v>0</v>
      </c>
      <c r="AK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 s="3" t="s">
        <v>385</v>
      </c>
      <c r="AM4" s="3" t="s">
        <v>962</v>
      </c>
      <c r="AO4" s="3" t="s">
        <v>200</v>
      </c>
      <c r="AP4" s="12" t="s">
        <v>200</v>
      </c>
      <c r="AT4" s="10" t="s">
        <v>223</v>
      </c>
      <c r="AU4" s="89" t="s">
        <v>701</v>
      </c>
      <c r="AV4" s="89" t="s">
        <v>702</v>
      </c>
    </row>
    <row r="5" spans="1:49" ht="17.25" customHeight="1">
      <c r="B5" s="7" t="s">
        <v>357</v>
      </c>
      <c r="C5" s="3" t="s">
        <v>873</v>
      </c>
      <c r="D5" s="3" t="s">
        <v>200</v>
      </c>
      <c r="E5" s="10" t="s">
        <v>205</v>
      </c>
      <c r="F5" s="3" t="s">
        <v>341</v>
      </c>
      <c r="G5" s="3" t="s">
        <v>341</v>
      </c>
      <c r="L5" s="3" t="s">
        <v>874</v>
      </c>
      <c r="P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AA5" s="5" t="e">
        <f t="shared" ref="AA5:AA16" si="0">Y5/Z5</f>
        <v>#DIV/0!</v>
      </c>
      <c r="AB5" s="5"/>
      <c r="AC5"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5" s="97" t="str">
        <f>IF(Tabelle1[[#This Row],[Nicht einbezogen weil…]]="",IFERROR(1000*Tabelle1[[#This Row],[Formfaktor]]/Tabelle1[[#This Row],[Thickness '[mm']]],""),"")</f>
        <v/>
      </c>
      <c r="AE5" s="98" t="str">
        <f>IF(Tabelle1[[#This Row],[Nicht einbezogen weil…]]="",IFERROR(Tabelle1[[#This Row],[specific surface '[m^2/m^3']]]/Tabelle1[[#This Row],[Density 
'[g/cm3']]]/1000000,""),"")</f>
        <v/>
      </c>
      <c r="AF5" s="97" t="str">
        <f>IF(Tabelle1[[#This Row],[Nicht einbezogen weil…]]="",IFERROR(365*10*Tabelle1[[#This Row],[Abbaurate '[%/d']]]*Tabelle1[[#This Row],[Thickness '[mm']]]/Tabelle1[[#This Row],[Formfaktor]],""),"")</f>
        <v/>
      </c>
      <c r="AG5" s="99" t="str">
        <f>IF(OR(Tabelle1[[#This Row],[Nicht einbezogen weil…]]="",Tabelle1[[#This Row],[Nicht einbezogen weil…]]="nicht-natürlich"),IF(Tabelle1[[#This Row],[Formfaktor]]=2, 1,IF(Tabelle1[[#This Row],[Formfaktor]]=4,2,IF(Tabelle1[[#This Row],[Formfaktor]]=6,3,""))),"")</f>
        <v/>
      </c>
      <c r="AH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 s="6">
        <v>0</v>
      </c>
      <c r="AK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5" s="326" t="s">
        <v>840</v>
      </c>
      <c r="AM5" s="3" t="s">
        <v>855</v>
      </c>
      <c r="AN5" s="3" t="s">
        <v>824</v>
      </c>
      <c r="AO5" s="3" t="s">
        <v>200</v>
      </c>
      <c r="AP5" s="3" t="s">
        <v>223</v>
      </c>
      <c r="AU5" s="324" t="s">
        <v>701</v>
      </c>
      <c r="AV5" s="14" t="s">
        <v>872</v>
      </c>
      <c r="AW5" s="73" t="s">
        <v>933</v>
      </c>
    </row>
    <row r="6" spans="1:49" ht="17.25" customHeight="1">
      <c r="B6" s="318" t="s">
        <v>357</v>
      </c>
      <c r="C6" s="3" t="s">
        <v>643</v>
      </c>
      <c r="D6" s="3" t="s">
        <v>223</v>
      </c>
      <c r="E6" s="10"/>
      <c r="F6" s="12" t="s">
        <v>341</v>
      </c>
      <c r="G6" s="12" t="s">
        <v>341</v>
      </c>
      <c r="H6" s="12" t="s">
        <v>341</v>
      </c>
      <c r="I6" s="12" t="s">
        <v>341</v>
      </c>
      <c r="M6" s="3" t="s">
        <v>223</v>
      </c>
      <c r="N6" s="3" t="s">
        <v>655</v>
      </c>
      <c r="O6" s="3" t="s">
        <v>294</v>
      </c>
      <c r="P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6" s="4">
        <v>30</v>
      </c>
      <c r="U6" s="4" t="s">
        <v>12</v>
      </c>
      <c r="W6" s="3" t="s">
        <v>190</v>
      </c>
      <c r="Y6" s="4">
        <v>14.86</v>
      </c>
      <c r="Z6" s="4">
        <v>14</v>
      </c>
      <c r="AA6" s="5">
        <f t="shared" si="0"/>
        <v>1.0614285714285714</v>
      </c>
      <c r="AB6" s="5"/>
      <c r="AC6"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6" s="97" t="str">
        <f>IF(Tabelle1[[#This Row],[Nicht einbezogen weil…]]="",IFERROR(1000*Tabelle1[[#This Row],[Formfaktor]]/Tabelle1[[#This Row],[Thickness '[mm']]],""),"")</f>
        <v/>
      </c>
      <c r="AE6" s="98" t="str">
        <f>IF(Tabelle1[[#This Row],[Nicht einbezogen weil…]]="",IFERROR(Tabelle1[[#This Row],[specific surface '[m^2/m^3']]]/Tabelle1[[#This Row],[Density 
'[g/cm3']]]/1000000,""),"")</f>
        <v/>
      </c>
      <c r="AF6" s="97" t="str">
        <f>IF(Tabelle1[[#This Row],[Nicht einbezogen weil…]]="",IFERROR(365*10*Tabelle1[[#This Row],[Abbaurate '[%/d']]]*Tabelle1[[#This Row],[Thickness '[mm']]]/Tabelle1[[#This Row],[Formfaktor]],""),"")</f>
        <v/>
      </c>
      <c r="AG6" s="99" t="str">
        <f>IF(OR(Tabelle1[[#This Row],[Nicht einbezogen weil…]]="",Tabelle1[[#This Row],[Nicht einbezogen weil…]]="nicht-natürlich"),IF(Tabelle1[[#This Row],[Formfaktor]]=2, 1,IF(Tabelle1[[#This Row],[Formfaktor]]=4,2,IF(Tabelle1[[#This Row],[Formfaktor]]=6,3,""))),"")</f>
        <v/>
      </c>
      <c r="AH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 s="71">
        <v>1</v>
      </c>
      <c r="AK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Plastikart unklar</v>
      </c>
      <c r="AL6" s="3" t="s">
        <v>386</v>
      </c>
      <c r="AM6" s="3" t="s">
        <v>962</v>
      </c>
      <c r="AN6" s="3" t="s">
        <v>538</v>
      </c>
      <c r="AO6" s="3" t="s">
        <v>200</v>
      </c>
      <c r="AP6" s="3" t="s">
        <v>200</v>
      </c>
      <c r="AT6" s="10" t="s">
        <v>223</v>
      </c>
      <c r="AU6" s="13" t="s">
        <v>200</v>
      </c>
    </row>
    <row r="7" spans="1:49" ht="17.25" customHeight="1">
      <c r="B7" s="318" t="s">
        <v>357</v>
      </c>
      <c r="C7" s="3" t="s">
        <v>634</v>
      </c>
      <c r="D7" s="3" t="s">
        <v>223</v>
      </c>
      <c r="E7" s="10"/>
      <c r="F7" s="12" t="s">
        <v>341</v>
      </c>
      <c r="G7" s="12" t="s">
        <v>341</v>
      </c>
      <c r="H7" s="12" t="s">
        <v>341</v>
      </c>
      <c r="I7" s="12" t="s">
        <v>341</v>
      </c>
      <c r="M7" s="3" t="s">
        <v>223</v>
      </c>
      <c r="N7" s="3" t="s">
        <v>655</v>
      </c>
      <c r="O7" s="3" t="s">
        <v>294</v>
      </c>
      <c r="P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7" s="4">
        <v>30</v>
      </c>
      <c r="U7" s="4" t="s">
        <v>12</v>
      </c>
      <c r="W7" s="3" t="s">
        <v>190</v>
      </c>
      <c r="Y7" s="4">
        <v>64.599999999999994</v>
      </c>
      <c r="Z7" s="4">
        <v>14</v>
      </c>
      <c r="AA7" s="5">
        <f t="shared" si="0"/>
        <v>4.6142857142857139</v>
      </c>
      <c r="AB7" s="5"/>
      <c r="AC7"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7" s="97" t="str">
        <f>IF(Tabelle1[[#This Row],[Nicht einbezogen weil…]]="",IFERROR(1000*Tabelle1[[#This Row],[Formfaktor]]/Tabelle1[[#This Row],[Thickness '[mm']]],""),"")</f>
        <v/>
      </c>
      <c r="AE7" s="98" t="str">
        <f>IF(Tabelle1[[#This Row],[Nicht einbezogen weil…]]="",IFERROR(Tabelle1[[#This Row],[specific surface '[m^2/m^3']]]/Tabelle1[[#This Row],[Density 
'[g/cm3']]]/1000000,""),"")</f>
        <v/>
      </c>
      <c r="AF7" s="97" t="str">
        <f>IF(Tabelle1[[#This Row],[Nicht einbezogen weil…]]="",IFERROR(365*10*Tabelle1[[#This Row],[Abbaurate '[%/d']]]*Tabelle1[[#This Row],[Thickness '[mm']]]/Tabelle1[[#This Row],[Formfaktor]],""),"")</f>
        <v/>
      </c>
      <c r="AG7" s="99" t="str">
        <f>IF(OR(Tabelle1[[#This Row],[Nicht einbezogen weil…]]="",Tabelle1[[#This Row],[Nicht einbezogen weil…]]="nicht-natürlich"),IF(Tabelle1[[#This Row],[Formfaktor]]=2, 1,IF(Tabelle1[[#This Row],[Formfaktor]]=4,2,IF(Tabelle1[[#This Row],[Formfaktor]]=6,3,""))),"")</f>
        <v/>
      </c>
      <c r="AH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7" s="71">
        <v>1</v>
      </c>
      <c r="AK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Plastikart unklar</v>
      </c>
      <c r="AL7" s="3" t="s">
        <v>386</v>
      </c>
      <c r="AM7" s="3" t="s">
        <v>962</v>
      </c>
      <c r="AN7" s="3" t="s">
        <v>538</v>
      </c>
      <c r="AO7" s="3" t="s">
        <v>200</v>
      </c>
      <c r="AP7" s="3" t="s">
        <v>200</v>
      </c>
      <c r="AT7" s="10" t="s">
        <v>223</v>
      </c>
      <c r="AU7" s="13" t="s">
        <v>200</v>
      </c>
    </row>
    <row r="8" spans="1:49" ht="17.25" customHeight="1">
      <c r="B8" s="318" t="s">
        <v>357</v>
      </c>
      <c r="C8" s="3" t="s">
        <v>633</v>
      </c>
      <c r="D8" s="3" t="s">
        <v>223</v>
      </c>
      <c r="E8" s="10"/>
      <c r="F8" s="12" t="s">
        <v>341</v>
      </c>
      <c r="G8" s="12" t="s">
        <v>341</v>
      </c>
      <c r="H8" s="12" t="s">
        <v>341</v>
      </c>
      <c r="I8" s="12" t="s">
        <v>341</v>
      </c>
      <c r="M8" s="3" t="s">
        <v>223</v>
      </c>
      <c r="N8" s="3" t="s">
        <v>655</v>
      </c>
      <c r="O8" s="3" t="s">
        <v>294</v>
      </c>
      <c r="P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8" s="4">
        <v>30</v>
      </c>
      <c r="U8" s="4" t="s">
        <v>12</v>
      </c>
      <c r="W8" s="3" t="s">
        <v>190</v>
      </c>
      <c r="Y8" s="4">
        <v>73.77</v>
      </c>
      <c r="Z8" s="4">
        <v>14</v>
      </c>
      <c r="AA8" s="5">
        <f t="shared" si="0"/>
        <v>5.2692857142857141</v>
      </c>
      <c r="AB8" s="5"/>
      <c r="AC8"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8" s="97" t="str">
        <f>IF(Tabelle1[[#This Row],[Nicht einbezogen weil…]]="",IFERROR(1000*Tabelle1[[#This Row],[Formfaktor]]/Tabelle1[[#This Row],[Thickness '[mm']]],""),"")</f>
        <v/>
      </c>
      <c r="AE8" s="98" t="str">
        <f>IF(Tabelle1[[#This Row],[Nicht einbezogen weil…]]="",IFERROR(Tabelle1[[#This Row],[specific surface '[m^2/m^3']]]/Tabelle1[[#This Row],[Density 
'[g/cm3']]]/1000000,""),"")</f>
        <v/>
      </c>
      <c r="AF8" s="97" t="str">
        <f>IF(Tabelle1[[#This Row],[Nicht einbezogen weil…]]="",IFERROR(365*10*Tabelle1[[#This Row],[Abbaurate '[%/d']]]*Tabelle1[[#This Row],[Thickness '[mm']]]/Tabelle1[[#This Row],[Formfaktor]],""),"")</f>
        <v/>
      </c>
      <c r="AG8" s="99" t="str">
        <f>IF(OR(Tabelle1[[#This Row],[Nicht einbezogen weil…]]="",Tabelle1[[#This Row],[Nicht einbezogen weil…]]="nicht-natürlich"),IF(Tabelle1[[#This Row],[Formfaktor]]=2, 1,IF(Tabelle1[[#This Row],[Formfaktor]]=4,2,IF(Tabelle1[[#This Row],[Formfaktor]]=6,3,""))),"")</f>
        <v/>
      </c>
      <c r="AH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 s="71">
        <v>1</v>
      </c>
      <c r="AK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Plastikart unklar</v>
      </c>
      <c r="AL8" s="3" t="s">
        <v>386</v>
      </c>
      <c r="AM8" s="3" t="s">
        <v>962</v>
      </c>
      <c r="AN8" s="3" t="s">
        <v>538</v>
      </c>
      <c r="AO8" s="3" t="s">
        <v>200</v>
      </c>
      <c r="AP8" s="3" t="s">
        <v>200</v>
      </c>
      <c r="AT8" s="10" t="s">
        <v>223</v>
      </c>
      <c r="AU8" s="13" t="s">
        <v>200</v>
      </c>
    </row>
    <row r="9" spans="1:49" ht="17.25" customHeight="1">
      <c r="B9" s="7" t="s">
        <v>357</v>
      </c>
      <c r="C9" s="3" t="s">
        <v>982</v>
      </c>
      <c r="E9" s="10"/>
      <c r="F9" s="3" t="s">
        <v>288</v>
      </c>
      <c r="G9" s="3">
        <v>0.1</v>
      </c>
      <c r="H9" s="3">
        <f>PI()*(0.025^2)</f>
        <v>1.9634954084936209E-3</v>
      </c>
      <c r="L9" s="3" t="s">
        <v>981</v>
      </c>
      <c r="M9" s="3" t="s">
        <v>223</v>
      </c>
      <c r="N9" s="3" t="s">
        <v>951</v>
      </c>
      <c r="O9" s="3" t="s">
        <v>294</v>
      </c>
      <c r="P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9" s="4">
        <v>30</v>
      </c>
      <c r="U9" s="4" t="s">
        <v>12</v>
      </c>
      <c r="Z9" s="4">
        <f>8*7</f>
        <v>56</v>
      </c>
      <c r="AA9" s="5">
        <f t="shared" si="0"/>
        <v>0</v>
      </c>
      <c r="AB9" s="5"/>
      <c r="AC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9" s="5" t="str">
        <f>IF(Tabelle1[[#This Row],[Nicht einbezogen weil…]]="",IFERROR(1000*Tabelle1[[#This Row],[Formfaktor]]/Tabelle1[[#This Row],[Thickness '[mm']]],""),"")</f>
        <v/>
      </c>
      <c r="AE9" s="5" t="str">
        <f>IF(Tabelle1[[#This Row],[Nicht einbezogen weil…]]="",IFERROR(Tabelle1[[#This Row],[specific surface '[m^2/m^3']]]/Tabelle1[[#This Row],[Density 
'[g/cm3']]]/1000000,""),"")</f>
        <v/>
      </c>
      <c r="AF9" s="5" t="str">
        <f>IF(Tabelle1[[#This Row],[Nicht einbezogen weil…]]="",IFERROR(365*10*Tabelle1[[#This Row],[Abbaurate '[%/d']]]*Tabelle1[[#This Row],[Thickness '[mm']]]/Tabelle1[[#This Row],[Formfaktor]],""),"")</f>
        <v/>
      </c>
      <c r="AG9" s="327" t="str">
        <f>IF(OR(Tabelle1[[#This Row],[Nicht einbezogen weil…]]="",Tabelle1[[#This Row],[Nicht einbezogen weil…]]="nicht-natürlich"),IF(Tabelle1[[#This Row],[Formfaktor]]=2, 1,IF(Tabelle1[[#This Row],[Formfaktor]]=4,2,IF(Tabelle1[[#This Row],[Formfaktor]]=6,3,""))),"")</f>
        <v/>
      </c>
      <c r="AH9"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 s="6">
        <v>0</v>
      </c>
      <c r="AK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9" s="3" t="s">
        <v>1161</v>
      </c>
      <c r="AM9" s="3" t="s">
        <v>967</v>
      </c>
      <c r="AN9" s="3" t="s">
        <v>824</v>
      </c>
      <c r="AT9" s="10" t="s">
        <v>200</v>
      </c>
      <c r="AU9" s="13" t="s">
        <v>200</v>
      </c>
    </row>
    <row r="10" spans="1:49" ht="17.25" customHeight="1">
      <c r="B10" s="7" t="s">
        <v>357</v>
      </c>
      <c r="C10" s="3" t="s">
        <v>985</v>
      </c>
      <c r="E10" s="10"/>
      <c r="F10" s="3" t="s">
        <v>250</v>
      </c>
      <c r="G10" s="3" t="s">
        <v>341</v>
      </c>
      <c r="H10" s="3" t="s">
        <v>341</v>
      </c>
      <c r="J10" s="3" t="s">
        <v>993</v>
      </c>
      <c r="K10" s="8" t="s">
        <v>989</v>
      </c>
      <c r="L10" s="3" t="s">
        <v>997</v>
      </c>
      <c r="M10" s="3" t="s">
        <v>200</v>
      </c>
      <c r="N10" s="3" t="s">
        <v>998</v>
      </c>
      <c r="O10" s="3" t="s">
        <v>294</v>
      </c>
      <c r="P1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10" s="3" t="s">
        <v>478</v>
      </c>
      <c r="X10" s="3" t="s">
        <v>999</v>
      </c>
      <c r="AA10" s="5" t="e">
        <f t="shared" si="0"/>
        <v>#DIV/0!</v>
      </c>
      <c r="AB10" s="5"/>
      <c r="AC1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0" s="5" t="str">
        <f>IF(Tabelle1[[#This Row],[Nicht einbezogen weil…]]="",IFERROR(1000*Tabelle1[[#This Row],[Formfaktor]]/Tabelle1[[#This Row],[Thickness '[mm']]],""),"")</f>
        <v/>
      </c>
      <c r="AE10" s="5" t="str">
        <f>IF(Tabelle1[[#This Row],[Nicht einbezogen weil…]]="",IFERROR(Tabelle1[[#This Row],[specific surface '[m^2/m^3']]]/Tabelle1[[#This Row],[Density 
'[g/cm3']]]/1000000,""),"")</f>
        <v/>
      </c>
      <c r="AF10" s="5" t="str">
        <f>IF(Tabelle1[[#This Row],[Nicht einbezogen weil…]]="",IFERROR(365*10*Tabelle1[[#This Row],[Abbaurate '[%/d']]]*Tabelle1[[#This Row],[Thickness '[mm']]]/Tabelle1[[#This Row],[Formfaktor]],""),"")</f>
        <v/>
      </c>
      <c r="AG10" s="328" t="str">
        <f>IF(OR(Tabelle1[[#This Row],[Nicht einbezogen weil…]]="",Tabelle1[[#This Row],[Nicht einbezogen weil…]]="nicht-natürlich"),IF(Tabelle1[[#This Row],[Formfaktor]]=2, 1,IF(Tabelle1[[#This Row],[Formfaktor]]=4,2,IF(Tabelle1[[#This Row],[Formfaktor]]=6,3,""))),"")</f>
        <v/>
      </c>
      <c r="AH10"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 s="6">
        <v>1</v>
      </c>
      <c r="AK1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Plastikart unklar</v>
      </c>
      <c r="AL10" s="3" t="s">
        <v>979</v>
      </c>
      <c r="AM10" s="3" t="s">
        <v>967</v>
      </c>
      <c r="AN10" s="3" t="s">
        <v>824</v>
      </c>
      <c r="AT10" s="10" t="s">
        <v>200</v>
      </c>
      <c r="AU10" s="13" t="s">
        <v>200</v>
      </c>
    </row>
    <row r="11" spans="1:49" ht="17.25" customHeight="1">
      <c r="B11" s="329" t="s">
        <v>357</v>
      </c>
      <c r="C11" s="3" t="s">
        <v>772</v>
      </c>
      <c r="D11" s="3" t="s">
        <v>223</v>
      </c>
      <c r="E11" s="10"/>
      <c r="F11" s="3" t="s">
        <v>288</v>
      </c>
      <c r="G11" s="3" t="s">
        <v>341</v>
      </c>
      <c r="H11" s="3">
        <f>0.05*0.05</f>
        <v>2.5000000000000005E-3</v>
      </c>
      <c r="K11" s="8" t="s">
        <v>229</v>
      </c>
      <c r="M11" s="3" t="s">
        <v>301</v>
      </c>
      <c r="N11" s="3" t="s">
        <v>1004</v>
      </c>
      <c r="O11" s="3" t="s">
        <v>294</v>
      </c>
      <c r="P1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R11" s="9" t="s">
        <v>1007</v>
      </c>
      <c r="U11" s="4" t="s">
        <v>89</v>
      </c>
      <c r="W11" s="3" t="s">
        <v>13</v>
      </c>
      <c r="Y11" s="4">
        <v>33</v>
      </c>
      <c r="Z11" s="4">
        <v>120</v>
      </c>
      <c r="AA11" s="5">
        <f t="shared" si="0"/>
        <v>0.27500000000000002</v>
      </c>
      <c r="AB11" s="5"/>
      <c r="AC1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 s="5" t="str">
        <f>IF(Tabelle1[[#This Row],[Nicht einbezogen weil…]]="",IFERROR(1000*Tabelle1[[#This Row],[Formfaktor]]/Tabelle1[[#This Row],[Thickness '[mm']]],""),"")</f>
        <v/>
      </c>
      <c r="AE11" s="5" t="str">
        <f>IF(Tabelle1[[#This Row],[Nicht einbezogen weil…]]="",IFERROR(Tabelle1[[#This Row],[specific surface '[m^2/m^3']]]/Tabelle1[[#This Row],[Density 
'[g/cm3']]]/1000000,""),"")</f>
        <v/>
      </c>
      <c r="AF11" s="5" t="str">
        <f>IF(Tabelle1[[#This Row],[Nicht einbezogen weil…]]="",IFERROR(365*10*Tabelle1[[#This Row],[Abbaurate '[%/d']]]*Tabelle1[[#This Row],[Thickness '[mm']]]/Tabelle1[[#This Row],[Formfaktor]],""),"")</f>
        <v/>
      </c>
      <c r="AG11" s="327" t="str">
        <f>IF(OR(Tabelle1[[#This Row],[Nicht einbezogen weil…]]="",Tabelle1[[#This Row],[Nicht einbezogen weil…]]="nicht-natürlich"),IF(Tabelle1[[#This Row],[Formfaktor]]=2, 1,IF(Tabelle1[[#This Row],[Formfaktor]]=4,2,IF(Tabelle1[[#This Row],[Formfaktor]]=6,3,""))),"")</f>
        <v/>
      </c>
      <c r="AH11"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1" s="6">
        <v>1</v>
      </c>
      <c r="AK1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Plastikart unklar</v>
      </c>
      <c r="AL11" s="3" t="s">
        <v>976</v>
      </c>
      <c r="AM11" s="3" t="s">
        <v>967</v>
      </c>
      <c r="AN11" s="3" t="s">
        <v>824</v>
      </c>
      <c r="AO11" s="3" t="s">
        <v>200</v>
      </c>
      <c r="AP11" s="3" t="s">
        <v>200</v>
      </c>
      <c r="AT11" s="10" t="s">
        <v>200</v>
      </c>
      <c r="AU11" s="13" t="s">
        <v>200</v>
      </c>
    </row>
    <row r="12" spans="1:49" ht="17.25" customHeight="1">
      <c r="B12" s="329" t="s">
        <v>357</v>
      </c>
      <c r="C12" s="3" t="s">
        <v>772</v>
      </c>
      <c r="D12" s="3" t="s">
        <v>223</v>
      </c>
      <c r="E12" s="10"/>
      <c r="F12" s="3" t="s">
        <v>288</v>
      </c>
      <c r="G12" s="3" t="s">
        <v>341</v>
      </c>
      <c r="H12" s="3">
        <f>0.05*0.05</f>
        <v>2.5000000000000005E-3</v>
      </c>
      <c r="K12" s="8" t="s">
        <v>229</v>
      </c>
      <c r="M12" s="3" t="s">
        <v>301</v>
      </c>
      <c r="N12" s="3" t="s">
        <v>1004</v>
      </c>
      <c r="O12" s="3" t="s">
        <v>294</v>
      </c>
      <c r="P1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R12" s="9" t="s">
        <v>51</v>
      </c>
      <c r="U12" s="4" t="s">
        <v>12</v>
      </c>
      <c r="W12" s="3" t="s">
        <v>13</v>
      </c>
      <c r="Y12" s="4">
        <v>32</v>
      </c>
      <c r="Z12" s="4">
        <v>120</v>
      </c>
      <c r="AA12" s="5">
        <f t="shared" si="0"/>
        <v>0.26666666666666666</v>
      </c>
      <c r="AB12" s="5"/>
      <c r="AC1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2" s="5" t="str">
        <f>IF(Tabelle1[[#This Row],[Nicht einbezogen weil…]]="",IFERROR(1000*Tabelle1[[#This Row],[Formfaktor]]/Tabelle1[[#This Row],[Thickness '[mm']]],""),"")</f>
        <v/>
      </c>
      <c r="AE12" s="5" t="str">
        <f>IF(Tabelle1[[#This Row],[Nicht einbezogen weil…]]="",IFERROR(Tabelle1[[#This Row],[specific surface '[m^2/m^3']]]/Tabelle1[[#This Row],[Density 
'[g/cm3']]]/1000000,""),"")</f>
        <v/>
      </c>
      <c r="AF12" s="5" t="str">
        <f>IF(Tabelle1[[#This Row],[Nicht einbezogen weil…]]="",IFERROR(365*10*Tabelle1[[#This Row],[Abbaurate '[%/d']]]*Tabelle1[[#This Row],[Thickness '[mm']]]/Tabelle1[[#This Row],[Formfaktor]],""),"")</f>
        <v/>
      </c>
      <c r="AG12" s="327" t="str">
        <f>IF(OR(Tabelle1[[#This Row],[Nicht einbezogen weil…]]="",Tabelle1[[#This Row],[Nicht einbezogen weil…]]="nicht-natürlich"),IF(Tabelle1[[#This Row],[Formfaktor]]=2, 1,IF(Tabelle1[[#This Row],[Formfaktor]]=4,2,IF(Tabelle1[[#This Row],[Formfaktor]]=6,3,""))),"")</f>
        <v/>
      </c>
      <c r="AH12"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2" s="6">
        <v>1</v>
      </c>
      <c r="AK1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Plastikart unklar</v>
      </c>
      <c r="AL12" s="3" t="s">
        <v>976</v>
      </c>
      <c r="AM12" s="3" t="s">
        <v>967</v>
      </c>
      <c r="AN12" s="3" t="s">
        <v>824</v>
      </c>
      <c r="AO12" s="3" t="s">
        <v>200</v>
      </c>
      <c r="AP12" s="3" t="s">
        <v>200</v>
      </c>
      <c r="AT12" s="10" t="s">
        <v>200</v>
      </c>
      <c r="AU12" s="13" t="s">
        <v>200</v>
      </c>
    </row>
    <row r="13" spans="1:49" ht="17.25" customHeight="1">
      <c r="B13" s="7" t="s">
        <v>844</v>
      </c>
      <c r="C13" s="3" t="s">
        <v>639</v>
      </c>
      <c r="D13" s="3" t="s">
        <v>223</v>
      </c>
      <c r="E13" s="10"/>
      <c r="F13" s="74" t="s">
        <v>341</v>
      </c>
      <c r="G13" s="74" t="s">
        <v>341</v>
      </c>
      <c r="H13" s="74" t="s">
        <v>341</v>
      </c>
      <c r="I13" s="3" t="s">
        <v>341</v>
      </c>
      <c r="M13" s="3" t="s">
        <v>223</v>
      </c>
      <c r="N13" s="3" t="s">
        <v>655</v>
      </c>
      <c r="O13" s="3" t="s">
        <v>294</v>
      </c>
      <c r="P1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13" s="4">
        <v>30</v>
      </c>
      <c r="U13" s="4" t="s">
        <v>12</v>
      </c>
      <c r="W13" s="3" t="s">
        <v>190</v>
      </c>
      <c r="Y13" s="4">
        <v>36.29</v>
      </c>
      <c r="Z13" s="4">
        <v>14</v>
      </c>
      <c r="AA13" s="5">
        <f t="shared" si="0"/>
        <v>2.5921428571428571</v>
      </c>
      <c r="AB13" s="5"/>
      <c r="AC13"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3" s="97" t="str">
        <f>IF(Tabelle1[[#This Row],[Nicht einbezogen weil…]]="",IFERROR(1000*Tabelle1[[#This Row],[Formfaktor]]/Tabelle1[[#This Row],[Thickness '[mm']]],""),"")</f>
        <v/>
      </c>
      <c r="AE13" s="98" t="str">
        <f>IF(Tabelle1[[#This Row],[Nicht einbezogen weil…]]="",IFERROR(Tabelle1[[#This Row],[specific surface '[m^2/m^3']]]/Tabelle1[[#This Row],[Density 
'[g/cm3']]]/1000000,""),"")</f>
        <v/>
      </c>
      <c r="AF13" s="97" t="str">
        <f>IF(Tabelle1[[#This Row],[Nicht einbezogen weil…]]="",IFERROR(365*10*Tabelle1[[#This Row],[Abbaurate '[%/d']]]*Tabelle1[[#This Row],[Thickness '[mm']]]/Tabelle1[[#This Row],[Formfaktor]],""),"")</f>
        <v/>
      </c>
      <c r="AG13" s="99" t="str">
        <f>IF(OR(Tabelle1[[#This Row],[Nicht einbezogen weil…]]="",Tabelle1[[#This Row],[Nicht einbezogen weil…]]="nicht-natürlich"),IF(Tabelle1[[#This Row],[Formfaktor]]=2, 1,IF(Tabelle1[[#This Row],[Formfaktor]]=4,2,IF(Tabelle1[[#This Row],[Formfaktor]]=6,3,""))),"")</f>
        <v/>
      </c>
      <c r="AH1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3" s="71">
        <v>1</v>
      </c>
      <c r="AK1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3" s="3" t="s">
        <v>386</v>
      </c>
      <c r="AM13" s="3" t="s">
        <v>962</v>
      </c>
      <c r="AN13" s="3" t="s">
        <v>538</v>
      </c>
      <c r="AO13" s="3" t="s">
        <v>200</v>
      </c>
      <c r="AP13" s="3" t="s">
        <v>200</v>
      </c>
      <c r="AT13" s="10" t="s">
        <v>223</v>
      </c>
      <c r="AU13" s="13" t="s">
        <v>200</v>
      </c>
    </row>
    <row r="14" spans="1:49" ht="17.25" customHeight="1">
      <c r="B14" s="7" t="s">
        <v>330</v>
      </c>
      <c r="C14" s="3" t="s">
        <v>189</v>
      </c>
      <c r="D14" s="3" t="s">
        <v>223</v>
      </c>
      <c r="E14" s="10"/>
      <c r="F14" s="12" t="s">
        <v>241</v>
      </c>
      <c r="G14" s="12" t="s">
        <v>341</v>
      </c>
      <c r="H14" s="12" t="s">
        <v>341</v>
      </c>
      <c r="I14" s="3" t="s">
        <v>341</v>
      </c>
      <c r="J14" s="3" t="s">
        <v>499</v>
      </c>
      <c r="M14" s="3" t="s">
        <v>301</v>
      </c>
      <c r="N14" s="3" t="s">
        <v>94</v>
      </c>
      <c r="O14" s="3" t="s">
        <v>23</v>
      </c>
      <c r="P1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4" s="3" t="s">
        <v>190</v>
      </c>
      <c r="Y14" s="4">
        <v>33.31</v>
      </c>
      <c r="Z14" s="4">
        <v>180</v>
      </c>
      <c r="AA14" s="5">
        <f t="shared" si="0"/>
        <v>0.18505555555555556</v>
      </c>
      <c r="AB14" s="5"/>
      <c r="AC1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4" s="97" t="str">
        <f>IF(Tabelle1[[#This Row],[Nicht einbezogen weil…]]="",IFERROR(1000*Tabelle1[[#This Row],[Formfaktor]]/Tabelle1[[#This Row],[Thickness '[mm']]],""),"")</f>
        <v/>
      </c>
      <c r="AE14" s="98" t="str">
        <f>IF(Tabelle1[[#This Row],[Nicht einbezogen weil…]]="",IFERROR(Tabelle1[[#This Row],[specific surface '[m^2/m^3']]]/Tabelle1[[#This Row],[Density 
'[g/cm3']]]/1000000,""),"")</f>
        <v/>
      </c>
      <c r="AF14" s="97" t="str">
        <f>IF(Tabelle1[[#This Row],[Nicht einbezogen weil…]]="",IFERROR(365*10*Tabelle1[[#This Row],[Abbaurate '[%/d']]]*Tabelle1[[#This Row],[Thickness '[mm']]]/Tabelle1[[#This Row],[Formfaktor]],""),"")</f>
        <v/>
      </c>
      <c r="AG14" s="99" t="str">
        <f>IF(OR(Tabelle1[[#This Row],[Nicht einbezogen weil…]]="",Tabelle1[[#This Row],[Nicht einbezogen weil…]]="nicht-natürlich"),IF(Tabelle1[[#This Row],[Formfaktor]]=2, 1,IF(Tabelle1[[#This Row],[Formfaktor]]=4,2,IF(Tabelle1[[#This Row],[Formfaktor]]=6,3,""))),"")</f>
        <v/>
      </c>
      <c r="AH1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4" s="71">
        <v>1</v>
      </c>
      <c r="AK1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4" s="3" t="s">
        <v>76</v>
      </c>
      <c r="AM14" s="3" t="s">
        <v>196</v>
      </c>
      <c r="AO14" s="3" t="s">
        <v>235</v>
      </c>
      <c r="AP14" s="3" t="s">
        <v>235</v>
      </c>
      <c r="AT14" s="10" t="s">
        <v>223</v>
      </c>
      <c r="AU14" s="13" t="s">
        <v>200</v>
      </c>
    </row>
    <row r="15" spans="1:49" ht="17.25" customHeight="1">
      <c r="B15" s="7" t="s">
        <v>330</v>
      </c>
      <c r="C15" s="3" t="s">
        <v>34</v>
      </c>
      <c r="D15" s="3" t="s">
        <v>223</v>
      </c>
      <c r="E15" s="10"/>
      <c r="F15" s="12" t="s">
        <v>341</v>
      </c>
      <c r="G15" s="12" t="s">
        <v>341</v>
      </c>
      <c r="H15" s="12" t="s">
        <v>341</v>
      </c>
      <c r="I15" s="3" t="s">
        <v>598</v>
      </c>
      <c r="K15" s="3" t="s">
        <v>599</v>
      </c>
      <c r="M15" s="3" t="s">
        <v>301</v>
      </c>
      <c r="N15" s="3" t="s">
        <v>38</v>
      </c>
      <c r="O15" s="3" t="s">
        <v>358</v>
      </c>
      <c r="P1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5" s="4">
        <v>55</v>
      </c>
      <c r="W15" s="3" t="s">
        <v>13</v>
      </c>
      <c r="Y15" s="4">
        <v>35</v>
      </c>
      <c r="Z15" s="4">
        <v>14</v>
      </c>
      <c r="AA15" s="5">
        <f t="shared" si="0"/>
        <v>2.5</v>
      </c>
      <c r="AB15" s="5"/>
      <c r="AC15"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5" s="97" t="str">
        <f>IF(Tabelle1[[#This Row],[Nicht einbezogen weil…]]="",IFERROR(1000*Tabelle1[[#This Row],[Formfaktor]]/Tabelle1[[#This Row],[Thickness '[mm']]],""),"")</f>
        <v/>
      </c>
      <c r="AE15" s="98" t="str">
        <f>IF(Tabelle1[[#This Row],[Nicht einbezogen weil…]]="",IFERROR(Tabelle1[[#This Row],[specific surface '[m^2/m^3']]]/Tabelle1[[#This Row],[Density 
'[g/cm3']]]/1000000,""),"")</f>
        <v/>
      </c>
      <c r="AF15" s="97" t="str">
        <f>IF(Tabelle1[[#This Row],[Nicht einbezogen weil…]]="",IFERROR(365*10*Tabelle1[[#This Row],[Abbaurate '[%/d']]]*Tabelle1[[#This Row],[Thickness '[mm']]]/Tabelle1[[#This Row],[Formfaktor]],""),"")</f>
        <v/>
      </c>
      <c r="AG15" s="99" t="str">
        <f>IF(OR(Tabelle1[[#This Row],[Nicht einbezogen weil…]]="",Tabelle1[[#This Row],[Nicht einbezogen weil…]]="nicht-natürlich"),IF(Tabelle1[[#This Row],[Formfaktor]]=2, 1,IF(Tabelle1[[#This Row],[Formfaktor]]=4,2,IF(Tabelle1[[#This Row],[Formfaktor]]=6,3,""))),"")</f>
        <v/>
      </c>
      <c r="AH1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 s="71">
        <v>1</v>
      </c>
      <c r="AK1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5" s="12" t="s">
        <v>1160</v>
      </c>
      <c r="AM15" s="3" t="s">
        <v>196</v>
      </c>
      <c r="AO15" s="3" t="s">
        <v>235</v>
      </c>
      <c r="AP15" s="3" t="s">
        <v>235</v>
      </c>
      <c r="AT15" s="10" t="s">
        <v>223</v>
      </c>
      <c r="AU15" s="13" t="s">
        <v>200</v>
      </c>
      <c r="AW15" s="10" t="s">
        <v>777</v>
      </c>
    </row>
    <row r="16" spans="1:49" ht="17.25" customHeight="1">
      <c r="B16" s="7" t="s">
        <v>330</v>
      </c>
      <c r="C16" s="3" t="s">
        <v>33</v>
      </c>
      <c r="D16" s="3" t="s">
        <v>223</v>
      </c>
      <c r="E16" s="10"/>
      <c r="F16" s="74" t="s">
        <v>1099</v>
      </c>
      <c r="G16" s="12" t="s">
        <v>341</v>
      </c>
      <c r="H16" s="12" t="s">
        <v>341</v>
      </c>
      <c r="I16" s="74" t="s">
        <v>598</v>
      </c>
      <c r="K16" s="3" t="s">
        <v>599</v>
      </c>
      <c r="M16" s="3" t="s">
        <v>301</v>
      </c>
      <c r="N16" s="3" t="s">
        <v>38</v>
      </c>
      <c r="O16" s="3" t="s">
        <v>358</v>
      </c>
      <c r="P1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6" s="4">
        <v>55</v>
      </c>
      <c r="W16" s="3" t="s">
        <v>13</v>
      </c>
      <c r="Y16" s="4">
        <v>44</v>
      </c>
      <c r="Z16" s="4">
        <v>14</v>
      </c>
      <c r="AA16" s="5">
        <f t="shared" si="0"/>
        <v>3.1428571428571428</v>
      </c>
      <c r="AB16" s="5"/>
      <c r="AC1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4</v>
      </c>
      <c r="AD16" s="97" t="str">
        <f>IF(Tabelle1[[#This Row],[Nicht einbezogen weil…]]="",IFERROR(1000*Tabelle1[[#This Row],[Formfaktor]]/Tabelle1[[#This Row],[Thickness '[mm']]],""),"")</f>
        <v/>
      </c>
      <c r="AE16" s="98" t="str">
        <f>IF(Tabelle1[[#This Row],[Nicht einbezogen weil…]]="",IFERROR(Tabelle1[[#This Row],[specific surface '[m^2/m^3']]]/Tabelle1[[#This Row],[Density 
'[g/cm3']]]/1000000,""),"")</f>
        <v/>
      </c>
      <c r="AF16" s="97" t="str">
        <f>IF(Tabelle1[[#This Row],[Nicht einbezogen weil…]]="",IFERROR(365*10*Tabelle1[[#This Row],[Abbaurate '[%/d']]]*Tabelle1[[#This Row],[Thickness '[mm']]]/Tabelle1[[#This Row],[Formfaktor]],""),"")</f>
        <v/>
      </c>
      <c r="AG16" s="99" t="str">
        <f>IF(OR(Tabelle1[[#This Row],[Nicht einbezogen weil…]]="",Tabelle1[[#This Row],[Nicht einbezogen weil…]]="nicht-natürlich"),IF(Tabelle1[[#This Row],[Formfaktor]]=2, 1,IF(Tabelle1[[#This Row],[Formfaktor]]=4,2,IF(Tabelle1[[#This Row],[Formfaktor]]=6,3,""))),"")</f>
        <v/>
      </c>
      <c r="AH1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6" s="71">
        <v>1</v>
      </c>
      <c r="AK1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6" s="12" t="s">
        <v>1160</v>
      </c>
      <c r="AM16" s="3" t="s">
        <v>196</v>
      </c>
      <c r="AO16" s="3" t="s">
        <v>235</v>
      </c>
      <c r="AP16" s="3" t="s">
        <v>235</v>
      </c>
      <c r="AT16" s="10" t="s">
        <v>223</v>
      </c>
      <c r="AU16" s="13" t="s">
        <v>200</v>
      </c>
      <c r="AW16" s="10" t="s">
        <v>777</v>
      </c>
    </row>
    <row r="17" spans="2:49" ht="17.25" customHeight="1">
      <c r="B17" s="7" t="s">
        <v>330</v>
      </c>
      <c r="C17" s="3" t="s">
        <v>35</v>
      </c>
      <c r="D17" s="3" t="s">
        <v>223</v>
      </c>
      <c r="E17" s="10"/>
      <c r="F17" s="12" t="s">
        <v>288</v>
      </c>
      <c r="G17" s="12" t="s">
        <v>341</v>
      </c>
      <c r="H17" s="12">
        <f>0.025*0.025</f>
        <v>6.2500000000000012E-4</v>
      </c>
      <c r="I17" s="3">
        <f>16/(2.5*2.5)</f>
        <v>2.56</v>
      </c>
      <c r="J17" s="3" t="s">
        <v>632</v>
      </c>
      <c r="M17" s="3" t="s">
        <v>223</v>
      </c>
      <c r="N17" s="3" t="s">
        <v>4</v>
      </c>
      <c r="O17" s="3" t="s">
        <v>358</v>
      </c>
      <c r="P1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 s="4">
        <v>58</v>
      </c>
      <c r="U17" s="4" t="s">
        <v>12</v>
      </c>
      <c r="W17" s="3" t="s">
        <v>13</v>
      </c>
      <c r="Y17" s="4" t="s">
        <v>17</v>
      </c>
      <c r="Z17" s="4">
        <v>154</v>
      </c>
      <c r="AA17" s="5">
        <f>80/Z17</f>
        <v>0.51948051948051943</v>
      </c>
      <c r="AB17" s="5"/>
      <c r="AC1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7" s="97" t="str">
        <f>IF(Tabelle1[[#This Row],[Nicht einbezogen weil…]]="",IFERROR(1000*Tabelle1[[#This Row],[Formfaktor]]/Tabelle1[[#This Row],[Thickness '[mm']]],""),"")</f>
        <v/>
      </c>
      <c r="AE17" s="98" t="str">
        <f>IF(Tabelle1[[#This Row],[Nicht einbezogen weil…]]="",IFERROR(Tabelle1[[#This Row],[specific surface '[m^2/m^3']]]/Tabelle1[[#This Row],[Density 
'[g/cm3']]]/1000000,""),"")</f>
        <v/>
      </c>
      <c r="AF17" s="97" t="str">
        <f>IF(Tabelle1[[#This Row],[Nicht einbezogen weil…]]="",IFERROR(365*10*Tabelle1[[#This Row],[Abbaurate '[%/d']]]*Tabelle1[[#This Row],[Thickness '[mm']]]/Tabelle1[[#This Row],[Formfaktor]],""),"")</f>
        <v/>
      </c>
      <c r="AG17" s="99" t="str">
        <f>IF(OR(Tabelle1[[#This Row],[Nicht einbezogen weil…]]="",Tabelle1[[#This Row],[Nicht einbezogen weil…]]="nicht-natürlich"),IF(Tabelle1[[#This Row],[Formfaktor]]=2, 1,IF(Tabelle1[[#This Row],[Formfaktor]]=4,2,IF(Tabelle1[[#This Row],[Formfaktor]]=6,3,""))),"")</f>
        <v/>
      </c>
      <c r="AH1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7" s="71">
        <v>1</v>
      </c>
      <c r="AK1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7" s="3" t="s">
        <v>151</v>
      </c>
      <c r="AM17" s="3" t="s">
        <v>196</v>
      </c>
      <c r="AO17" s="3" t="s">
        <v>235</v>
      </c>
      <c r="AP17" s="3" t="s">
        <v>235</v>
      </c>
      <c r="AT17" s="10" t="s">
        <v>223</v>
      </c>
      <c r="AU17" s="13" t="s">
        <v>200</v>
      </c>
    </row>
    <row r="18" spans="2:49" ht="17.25" customHeight="1">
      <c r="B18" s="11" t="s">
        <v>330</v>
      </c>
      <c r="C18" s="3" t="s">
        <v>514</v>
      </c>
      <c r="D18" s="3" t="s">
        <v>200</v>
      </c>
      <c r="E18" s="10" t="s">
        <v>205</v>
      </c>
      <c r="F18" s="12" t="s">
        <v>288</v>
      </c>
      <c r="G18" s="12">
        <v>0.02</v>
      </c>
      <c r="H18" s="12">
        <f>0.02*0.02</f>
        <v>4.0000000000000002E-4</v>
      </c>
      <c r="I18" s="3" t="s">
        <v>341</v>
      </c>
      <c r="L18" s="3" t="s">
        <v>199</v>
      </c>
      <c r="M18" s="3" t="s">
        <v>223</v>
      </c>
      <c r="N18" s="3" t="s">
        <v>515</v>
      </c>
      <c r="O18" s="3" t="s">
        <v>256</v>
      </c>
      <c r="P1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8" s="4">
        <v>30</v>
      </c>
      <c r="U18" s="4" t="s">
        <v>12</v>
      </c>
      <c r="W18" s="3" t="s">
        <v>506</v>
      </c>
      <c r="Y18" s="4">
        <v>17.3</v>
      </c>
      <c r="Z18" s="4">
        <v>28</v>
      </c>
      <c r="AA18" s="5">
        <f t="shared" ref="AA18:AA25" si="1">Y18/Z18</f>
        <v>0.61785714285714288</v>
      </c>
      <c r="AB18" s="5"/>
      <c r="AC1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8" s="97" t="str">
        <f>IF(Tabelle1[[#This Row],[Nicht einbezogen weil…]]="",IFERROR(1000*Tabelle1[[#This Row],[Formfaktor]]/Tabelle1[[#This Row],[Thickness '[mm']]],""),"")</f>
        <v/>
      </c>
      <c r="AE18" s="98" t="str">
        <f>IF(Tabelle1[[#This Row],[Nicht einbezogen weil…]]="",IFERROR(Tabelle1[[#This Row],[specific surface '[m^2/m^3']]]/Tabelle1[[#This Row],[Density 
'[g/cm3']]]/1000000,""),"")</f>
        <v/>
      </c>
      <c r="AF18" s="97" t="str">
        <f>IF(Tabelle1[[#This Row],[Nicht einbezogen weil…]]="",IFERROR(365*10*Tabelle1[[#This Row],[Abbaurate '[%/d']]]*Tabelle1[[#This Row],[Thickness '[mm']]]/Tabelle1[[#This Row],[Formfaktor]],""),"")</f>
        <v/>
      </c>
      <c r="AG18" s="99" t="str">
        <f>IF(OR(Tabelle1[[#This Row],[Nicht einbezogen weil…]]="",Tabelle1[[#This Row],[Nicht einbezogen weil…]]="nicht-natürlich"),IF(Tabelle1[[#This Row],[Formfaktor]]=2, 1,IF(Tabelle1[[#This Row],[Formfaktor]]=4,2,IF(Tabelle1[[#This Row],[Formfaktor]]=6,3,""))),"")</f>
        <v/>
      </c>
      <c r="AH1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8" s="71">
        <v>1</v>
      </c>
      <c r="AK1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8" s="3" t="s">
        <v>138</v>
      </c>
      <c r="AM18" s="3" t="s">
        <v>196</v>
      </c>
      <c r="AN18" s="3" t="s">
        <v>538</v>
      </c>
      <c r="AO18" s="3" t="s">
        <v>200</v>
      </c>
      <c r="AP18" s="3" t="s">
        <v>200</v>
      </c>
      <c r="AT18" s="10" t="s">
        <v>223</v>
      </c>
      <c r="AU18" s="13" t="s">
        <v>200</v>
      </c>
    </row>
    <row r="19" spans="2:49" ht="17.25" customHeight="1">
      <c r="B19" s="11" t="s">
        <v>330</v>
      </c>
      <c r="C19" s="3" t="s">
        <v>514</v>
      </c>
      <c r="D19" s="3" t="s">
        <v>200</v>
      </c>
      <c r="E19" s="10" t="s">
        <v>205</v>
      </c>
      <c r="F19" s="12" t="s">
        <v>288</v>
      </c>
      <c r="G19" s="12">
        <v>0.02</v>
      </c>
      <c r="H19" s="12">
        <f>0.02*0.02</f>
        <v>4.0000000000000002E-4</v>
      </c>
      <c r="I19" s="3" t="s">
        <v>341</v>
      </c>
      <c r="L19" s="3" t="s">
        <v>199</v>
      </c>
      <c r="M19" s="3" t="s">
        <v>223</v>
      </c>
      <c r="N19" s="3" t="s">
        <v>515</v>
      </c>
      <c r="O19" s="3" t="s">
        <v>256</v>
      </c>
      <c r="P1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9" s="4">
        <v>30</v>
      </c>
      <c r="U19" s="4" t="s">
        <v>12</v>
      </c>
      <c r="W19" s="3" t="s">
        <v>13</v>
      </c>
      <c r="Y19" s="4">
        <v>0</v>
      </c>
      <c r="Z19" s="4">
        <v>28</v>
      </c>
      <c r="AA19" s="5">
        <f t="shared" si="1"/>
        <v>0</v>
      </c>
      <c r="AB19" s="5"/>
      <c r="AC1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9" s="97" t="str">
        <f>IF(Tabelle1[[#This Row],[Nicht einbezogen weil…]]="",IFERROR(1000*Tabelle1[[#This Row],[Formfaktor]]/Tabelle1[[#This Row],[Thickness '[mm']]],""),"")</f>
        <v/>
      </c>
      <c r="AE19" s="98" t="str">
        <f>IF(Tabelle1[[#This Row],[Nicht einbezogen weil…]]="",IFERROR(Tabelle1[[#This Row],[specific surface '[m^2/m^3']]]/Tabelle1[[#This Row],[Density 
'[g/cm3']]]/1000000,""),"")</f>
        <v/>
      </c>
      <c r="AF19" s="97" t="str">
        <f>IF(Tabelle1[[#This Row],[Nicht einbezogen weil…]]="",IFERROR(365*10*Tabelle1[[#This Row],[Abbaurate '[%/d']]]*Tabelle1[[#This Row],[Thickness '[mm']]]/Tabelle1[[#This Row],[Formfaktor]],""),"")</f>
        <v/>
      </c>
      <c r="AG19" s="99" t="str">
        <f>IF(OR(Tabelle1[[#This Row],[Nicht einbezogen weil…]]="",Tabelle1[[#This Row],[Nicht einbezogen weil…]]="nicht-natürlich"),IF(Tabelle1[[#This Row],[Formfaktor]]=2, 1,IF(Tabelle1[[#This Row],[Formfaktor]]=4,2,IF(Tabelle1[[#This Row],[Formfaktor]]=6,3,""))),"")</f>
        <v/>
      </c>
      <c r="AH1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9" s="71">
        <v>1</v>
      </c>
      <c r="AK1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9" s="3" t="s">
        <v>138</v>
      </c>
      <c r="AM19" s="3" t="s">
        <v>196</v>
      </c>
      <c r="AN19" s="3" t="s">
        <v>538</v>
      </c>
      <c r="AO19" s="3" t="s">
        <v>235</v>
      </c>
      <c r="AP19" s="3" t="s">
        <v>235</v>
      </c>
      <c r="AT19" s="10" t="s">
        <v>223</v>
      </c>
      <c r="AU19" s="13" t="s">
        <v>200</v>
      </c>
    </row>
    <row r="20" spans="2:49" ht="17.25" customHeight="1">
      <c r="B20" s="11" t="s">
        <v>330</v>
      </c>
      <c r="C20" s="3" t="s">
        <v>514</v>
      </c>
      <c r="D20" s="3" t="s">
        <v>200</v>
      </c>
      <c r="E20" s="10" t="s">
        <v>205</v>
      </c>
      <c r="F20" s="12" t="s">
        <v>288</v>
      </c>
      <c r="G20" s="12">
        <v>0.02</v>
      </c>
      <c r="H20" s="12">
        <f>0.02*0.02</f>
        <v>4.0000000000000002E-4</v>
      </c>
      <c r="I20" s="3" t="s">
        <v>341</v>
      </c>
      <c r="L20" s="3" t="s">
        <v>199</v>
      </c>
      <c r="M20" s="3" t="s">
        <v>223</v>
      </c>
      <c r="N20" s="3" t="s">
        <v>515</v>
      </c>
      <c r="O20" s="3" t="s">
        <v>256</v>
      </c>
      <c r="P2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 s="4">
        <v>30</v>
      </c>
      <c r="U20" s="4" t="s">
        <v>89</v>
      </c>
      <c r="W20" s="3" t="s">
        <v>13</v>
      </c>
      <c r="Y20" s="4">
        <v>100</v>
      </c>
      <c r="Z20" s="4">
        <v>28</v>
      </c>
      <c r="AA20" s="5">
        <f t="shared" si="1"/>
        <v>3.5714285714285716</v>
      </c>
      <c r="AB20" s="5"/>
      <c r="AC2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0" s="97" t="str">
        <f>IF(Tabelle1[[#This Row],[Nicht einbezogen weil…]]="",IFERROR(1000*Tabelle1[[#This Row],[Formfaktor]]/Tabelle1[[#This Row],[Thickness '[mm']]],""),"")</f>
        <v/>
      </c>
      <c r="AE20" s="98" t="str">
        <f>IF(Tabelle1[[#This Row],[Nicht einbezogen weil…]]="",IFERROR(Tabelle1[[#This Row],[specific surface '[m^2/m^3']]]/Tabelle1[[#This Row],[Density 
'[g/cm3']]]/1000000,""),"")</f>
        <v/>
      </c>
      <c r="AF20" s="97" t="str">
        <f>IF(Tabelle1[[#This Row],[Nicht einbezogen weil…]]="",IFERROR(365*10*Tabelle1[[#This Row],[Abbaurate '[%/d']]]*Tabelle1[[#This Row],[Thickness '[mm']]]/Tabelle1[[#This Row],[Formfaktor]],""),"")</f>
        <v/>
      </c>
      <c r="AG20" s="99" t="str">
        <f>IF(OR(Tabelle1[[#This Row],[Nicht einbezogen weil…]]="",Tabelle1[[#This Row],[Nicht einbezogen weil…]]="nicht-natürlich"),IF(Tabelle1[[#This Row],[Formfaktor]]=2, 1,IF(Tabelle1[[#This Row],[Formfaktor]]=4,2,IF(Tabelle1[[#This Row],[Formfaktor]]=6,3,""))),"")</f>
        <v/>
      </c>
      <c r="AH2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 s="71">
        <v>1</v>
      </c>
      <c r="AK2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0" s="3" t="s">
        <v>138</v>
      </c>
      <c r="AM20" s="3" t="s">
        <v>196</v>
      </c>
      <c r="AN20" s="3" t="s">
        <v>538</v>
      </c>
      <c r="AO20" s="3" t="s">
        <v>235</v>
      </c>
      <c r="AP20" s="3" t="s">
        <v>235</v>
      </c>
      <c r="AT20" s="10" t="s">
        <v>223</v>
      </c>
      <c r="AU20" s="13" t="s">
        <v>200</v>
      </c>
    </row>
    <row r="21" spans="2:49" ht="17.25" customHeight="1">
      <c r="B21" s="11" t="s">
        <v>330</v>
      </c>
      <c r="C21" s="3" t="s">
        <v>330</v>
      </c>
      <c r="D21" s="3" t="s">
        <v>223</v>
      </c>
      <c r="E21" s="10"/>
      <c r="F21" s="12" t="s">
        <v>341</v>
      </c>
      <c r="G21" s="12" t="s">
        <v>341</v>
      </c>
      <c r="H21" s="12" t="s">
        <v>341</v>
      </c>
      <c r="I21" s="3" t="s">
        <v>341</v>
      </c>
      <c r="M21" s="3" t="s">
        <v>223</v>
      </c>
      <c r="N21" s="3" t="s">
        <v>655</v>
      </c>
      <c r="O21" s="3" t="s">
        <v>294</v>
      </c>
      <c r="P2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1" s="4">
        <v>30</v>
      </c>
      <c r="U21" s="4" t="s">
        <v>12</v>
      </c>
      <c r="W21" s="3" t="s">
        <v>190</v>
      </c>
      <c r="Y21" s="4">
        <v>25</v>
      </c>
      <c r="Z21" s="4">
        <v>14</v>
      </c>
      <c r="AA21" s="5">
        <f t="shared" si="1"/>
        <v>1.7857142857142858</v>
      </c>
      <c r="AB21" s="5"/>
      <c r="AC21"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1" s="97" t="str">
        <f>IF(Tabelle1[[#This Row],[Nicht einbezogen weil…]]="",IFERROR(1000*Tabelle1[[#This Row],[Formfaktor]]/Tabelle1[[#This Row],[Thickness '[mm']]],""),"")</f>
        <v/>
      </c>
      <c r="AE21" s="98" t="str">
        <f>IF(Tabelle1[[#This Row],[Nicht einbezogen weil…]]="",IFERROR(Tabelle1[[#This Row],[specific surface '[m^2/m^3']]]/Tabelle1[[#This Row],[Density 
'[g/cm3']]]/1000000,""),"")</f>
        <v/>
      </c>
      <c r="AF21" s="97" t="str">
        <f>IF(Tabelle1[[#This Row],[Nicht einbezogen weil…]]="",IFERROR(365*10*Tabelle1[[#This Row],[Abbaurate '[%/d']]]*Tabelle1[[#This Row],[Thickness '[mm']]]/Tabelle1[[#This Row],[Formfaktor]],""),"")</f>
        <v/>
      </c>
      <c r="AG21" s="99" t="str">
        <f>IF(OR(Tabelle1[[#This Row],[Nicht einbezogen weil…]]="",Tabelle1[[#This Row],[Nicht einbezogen weil…]]="nicht-natürlich"),IF(Tabelle1[[#This Row],[Formfaktor]]=2, 1,IF(Tabelle1[[#This Row],[Formfaktor]]=4,2,IF(Tabelle1[[#This Row],[Formfaktor]]=6,3,""))),"")</f>
        <v/>
      </c>
      <c r="AH2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1" s="71">
        <v>1</v>
      </c>
      <c r="AK2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1" s="3" t="s">
        <v>386</v>
      </c>
      <c r="AM21" s="3" t="s">
        <v>962</v>
      </c>
      <c r="AN21" s="3" t="s">
        <v>538</v>
      </c>
      <c r="AO21" s="3" t="s">
        <v>200</v>
      </c>
      <c r="AP21" s="3" t="s">
        <v>200</v>
      </c>
      <c r="AT21" s="10" t="s">
        <v>223</v>
      </c>
      <c r="AU21" s="13" t="s">
        <v>200</v>
      </c>
    </row>
    <row r="22" spans="2:49" ht="17.25" customHeight="1">
      <c r="B22" s="7" t="s">
        <v>69</v>
      </c>
      <c r="C22" s="3" t="s">
        <v>69</v>
      </c>
      <c r="D22" s="3" t="s">
        <v>200</v>
      </c>
      <c r="E22" s="10" t="s">
        <v>205</v>
      </c>
      <c r="F22" s="12" t="s">
        <v>198</v>
      </c>
      <c r="G22" s="12" t="s">
        <v>341</v>
      </c>
      <c r="H22" s="12" t="s">
        <v>341</v>
      </c>
      <c r="I22" s="24">
        <v>0.94950000000000001</v>
      </c>
      <c r="J22" s="3" t="s">
        <v>572</v>
      </c>
      <c r="L22" s="3" t="s">
        <v>217</v>
      </c>
      <c r="M22" s="3" t="s">
        <v>223</v>
      </c>
      <c r="N22" s="3" t="s">
        <v>219</v>
      </c>
      <c r="O22" s="3" t="s">
        <v>294</v>
      </c>
      <c r="P2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2" s="4">
        <v>30</v>
      </c>
      <c r="W22" s="3" t="s">
        <v>13</v>
      </c>
      <c r="Y22" s="4">
        <v>12</v>
      </c>
      <c r="Z22" s="4">
        <v>30</v>
      </c>
      <c r="AA22" s="5">
        <f t="shared" si="1"/>
        <v>0.4</v>
      </c>
      <c r="AB22" s="5"/>
      <c r="AC2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2" s="97" t="str">
        <f>IF(Tabelle1[[#This Row],[Nicht einbezogen weil…]]="",IFERROR(1000*Tabelle1[[#This Row],[Formfaktor]]/Tabelle1[[#This Row],[Thickness '[mm']]],""),"")</f>
        <v/>
      </c>
      <c r="AE22" s="98" t="str">
        <f>IF(Tabelle1[[#This Row],[Nicht einbezogen weil…]]="",IFERROR(Tabelle1[[#This Row],[specific surface '[m^2/m^3']]]/Tabelle1[[#This Row],[Density 
'[g/cm3']]]/1000000,""),"")</f>
        <v/>
      </c>
      <c r="AF22" s="97" t="str">
        <f>IF(Tabelle1[[#This Row],[Nicht einbezogen weil…]]="",IFERROR(365*10*Tabelle1[[#This Row],[Abbaurate '[%/d']]]*Tabelle1[[#This Row],[Thickness '[mm']]]/Tabelle1[[#This Row],[Formfaktor]],""),"")</f>
        <v/>
      </c>
      <c r="AG22" s="99" t="str">
        <f>IF(OR(Tabelle1[[#This Row],[Nicht einbezogen weil…]]="",Tabelle1[[#This Row],[Nicht einbezogen weil…]]="nicht-natürlich"),IF(Tabelle1[[#This Row],[Formfaktor]]=2, 1,IF(Tabelle1[[#This Row],[Formfaktor]]=4,2,IF(Tabelle1[[#This Row],[Formfaktor]]=6,3,""))),"")</f>
        <v/>
      </c>
      <c r="AH2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2" s="71">
        <v>1</v>
      </c>
      <c r="AK2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2" s="3" t="s">
        <v>216</v>
      </c>
      <c r="AO22" s="3" t="s">
        <v>200</v>
      </c>
      <c r="AP22" s="3" t="s">
        <v>200</v>
      </c>
      <c r="AT22" s="10" t="s">
        <v>223</v>
      </c>
      <c r="AU22" s="13" t="s">
        <v>200</v>
      </c>
      <c r="AW22" s="10" t="s">
        <v>775</v>
      </c>
    </row>
    <row r="23" spans="2:49" ht="17.25" customHeight="1">
      <c r="B23" s="7" t="s">
        <v>69</v>
      </c>
      <c r="C23" s="3" t="s">
        <v>69</v>
      </c>
      <c r="D23" s="3" t="s">
        <v>200</v>
      </c>
      <c r="E23" s="10" t="s">
        <v>205</v>
      </c>
      <c r="F23" s="12" t="s">
        <v>198</v>
      </c>
      <c r="G23" s="12" t="s">
        <v>341</v>
      </c>
      <c r="H23" s="12" t="s">
        <v>341</v>
      </c>
      <c r="I23" s="24">
        <v>0.94950000000000001</v>
      </c>
      <c r="L23" s="3" t="s">
        <v>218</v>
      </c>
      <c r="M23" s="3" t="s">
        <v>223</v>
      </c>
      <c r="N23" s="3" t="s">
        <v>219</v>
      </c>
      <c r="O23" s="3" t="s">
        <v>294</v>
      </c>
      <c r="P2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3" s="4">
        <v>30</v>
      </c>
      <c r="W23" s="3" t="s">
        <v>13</v>
      </c>
      <c r="Y23" s="4">
        <v>15</v>
      </c>
      <c r="Z23" s="4">
        <v>30</v>
      </c>
      <c r="AA23" s="5">
        <f t="shared" si="1"/>
        <v>0.5</v>
      </c>
      <c r="AB23" s="5"/>
      <c r="AC2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3" s="97" t="str">
        <f>IF(Tabelle1[[#This Row],[Nicht einbezogen weil…]]="",IFERROR(1000*Tabelle1[[#This Row],[Formfaktor]]/Tabelle1[[#This Row],[Thickness '[mm']]],""),"")</f>
        <v/>
      </c>
      <c r="AE23" s="98" t="str">
        <f>IF(Tabelle1[[#This Row],[Nicht einbezogen weil…]]="",IFERROR(Tabelle1[[#This Row],[specific surface '[m^2/m^3']]]/Tabelle1[[#This Row],[Density 
'[g/cm3']]]/1000000,""),"")</f>
        <v/>
      </c>
      <c r="AF23" s="97" t="str">
        <f>IF(Tabelle1[[#This Row],[Nicht einbezogen weil…]]="",IFERROR(365*10*Tabelle1[[#This Row],[Abbaurate '[%/d']]]*Tabelle1[[#This Row],[Thickness '[mm']]]/Tabelle1[[#This Row],[Formfaktor]],""),"")</f>
        <v/>
      </c>
      <c r="AG23" s="99" t="str">
        <f>IF(OR(Tabelle1[[#This Row],[Nicht einbezogen weil…]]="",Tabelle1[[#This Row],[Nicht einbezogen weil…]]="nicht-natürlich"),IF(Tabelle1[[#This Row],[Formfaktor]]=2, 1,IF(Tabelle1[[#This Row],[Formfaktor]]=4,2,IF(Tabelle1[[#This Row],[Formfaktor]]=6,3,""))),"")</f>
        <v/>
      </c>
      <c r="AH2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3" s="71">
        <v>1</v>
      </c>
      <c r="AK2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3" s="3" t="s">
        <v>216</v>
      </c>
      <c r="AO23" s="3" t="s">
        <v>200</v>
      </c>
      <c r="AP23" s="3" t="s">
        <v>200</v>
      </c>
      <c r="AT23" s="10" t="s">
        <v>223</v>
      </c>
      <c r="AU23" s="13" t="s">
        <v>200</v>
      </c>
      <c r="AW23" s="10" t="s">
        <v>775</v>
      </c>
    </row>
    <row r="24" spans="2:49" ht="17.25" customHeight="1">
      <c r="B24" s="7" t="s">
        <v>69</v>
      </c>
      <c r="C24" s="3" t="s">
        <v>69</v>
      </c>
      <c r="D24" s="3" t="s">
        <v>200</v>
      </c>
      <c r="E24" s="10" t="s">
        <v>203</v>
      </c>
      <c r="F24" s="12" t="s">
        <v>288</v>
      </c>
      <c r="G24" s="12">
        <v>0.03</v>
      </c>
      <c r="H24" s="12">
        <f>0.0254*0.1524</f>
        <v>3.8709600000000001E-3</v>
      </c>
      <c r="I24" s="24">
        <v>0.94950000000000001</v>
      </c>
      <c r="J24" s="3" t="s">
        <v>201</v>
      </c>
      <c r="K24" s="8" t="s">
        <v>204</v>
      </c>
      <c r="M24" s="3" t="s">
        <v>223</v>
      </c>
      <c r="N24" s="3" t="s">
        <v>159</v>
      </c>
      <c r="O24" s="3" t="s">
        <v>358</v>
      </c>
      <c r="P2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24" s="4" t="s">
        <v>161</v>
      </c>
      <c r="W24" s="3" t="s">
        <v>13</v>
      </c>
      <c r="Y24" s="4">
        <v>2</v>
      </c>
      <c r="Z24" s="4">
        <f>3*365</f>
        <v>1095</v>
      </c>
      <c r="AA24" s="5">
        <f t="shared" si="1"/>
        <v>1.8264840182648401E-3</v>
      </c>
      <c r="AB24" s="5"/>
      <c r="AC2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4" s="97" t="str">
        <f>IF(Tabelle1[[#This Row],[Nicht einbezogen weil…]]="",IFERROR(1000*Tabelle1[[#This Row],[Formfaktor]]/Tabelle1[[#This Row],[Thickness '[mm']]],""),"")</f>
        <v/>
      </c>
      <c r="AE24" s="98" t="str">
        <f>IF(Tabelle1[[#This Row],[Nicht einbezogen weil…]]="",IFERROR(Tabelle1[[#This Row],[specific surface '[m^2/m^3']]]/Tabelle1[[#This Row],[Density 
'[g/cm3']]]/1000000,""),"")</f>
        <v/>
      </c>
      <c r="AF24" s="97" t="str">
        <f>IF(Tabelle1[[#This Row],[Nicht einbezogen weil…]]="",IFERROR(365*10*Tabelle1[[#This Row],[Abbaurate '[%/d']]]*Tabelle1[[#This Row],[Thickness '[mm']]]/Tabelle1[[#This Row],[Formfaktor]],""),"")</f>
        <v/>
      </c>
      <c r="AG24" s="99" t="str">
        <f>IF(OR(Tabelle1[[#This Row],[Nicht einbezogen weil…]]="",Tabelle1[[#This Row],[Nicht einbezogen weil…]]="nicht-natürlich"),IF(Tabelle1[[#This Row],[Formfaktor]]=2, 1,IF(Tabelle1[[#This Row],[Formfaktor]]=4,2,IF(Tabelle1[[#This Row],[Formfaktor]]=6,3,""))),"")</f>
        <v/>
      </c>
      <c r="AH2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4" s="71">
        <v>1</v>
      </c>
      <c r="AK2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4" s="3" t="s">
        <v>160</v>
      </c>
      <c r="AO24" s="3" t="s">
        <v>235</v>
      </c>
      <c r="AP24" s="3" t="s">
        <v>235</v>
      </c>
      <c r="AR24" s="2" t="s">
        <v>200</v>
      </c>
      <c r="AT24" s="10" t="s">
        <v>223</v>
      </c>
      <c r="AU24" s="13" t="s">
        <v>200</v>
      </c>
      <c r="AW24" s="10" t="s">
        <v>775</v>
      </c>
    </row>
    <row r="25" spans="2:49" ht="17.25" customHeight="1">
      <c r="B25" s="7" t="s">
        <v>69</v>
      </c>
      <c r="C25" s="3" t="s">
        <v>69</v>
      </c>
      <c r="D25" s="3" t="s">
        <v>223</v>
      </c>
      <c r="E25" s="10"/>
      <c r="F25" s="12" t="s">
        <v>331</v>
      </c>
      <c r="G25" s="12" t="s">
        <v>341</v>
      </c>
      <c r="H25" s="12" t="s">
        <v>341</v>
      </c>
      <c r="I25" s="24">
        <v>0.94950000000000001</v>
      </c>
      <c r="J25" s="3" t="s">
        <v>211</v>
      </c>
      <c r="L25" s="3" t="s">
        <v>509</v>
      </c>
      <c r="M25" s="3" t="s">
        <v>301</v>
      </c>
      <c r="N25" s="3" t="s">
        <v>507</v>
      </c>
      <c r="O25" s="3" t="s">
        <v>358</v>
      </c>
      <c r="P2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5" s="4" t="s">
        <v>172</v>
      </c>
      <c r="T25" s="4" t="s">
        <v>123</v>
      </c>
      <c r="W25" s="3" t="s">
        <v>13</v>
      </c>
      <c r="Y25" s="4">
        <v>0</v>
      </c>
      <c r="Z25" s="4">
        <v>80</v>
      </c>
      <c r="AA25" s="5">
        <f t="shared" si="1"/>
        <v>0</v>
      </c>
      <c r="AB25" s="5"/>
      <c r="AC2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5" s="97" t="str">
        <f>IF(Tabelle1[[#This Row],[Nicht einbezogen weil…]]="",IFERROR(1000*Tabelle1[[#This Row],[Formfaktor]]/Tabelle1[[#This Row],[Thickness '[mm']]],""),"")</f>
        <v/>
      </c>
      <c r="AE25" s="98" t="str">
        <f>IF(Tabelle1[[#This Row],[Nicht einbezogen weil…]]="",IFERROR(Tabelle1[[#This Row],[specific surface '[m^2/m^3']]]/Tabelle1[[#This Row],[Density 
'[g/cm3']]]/1000000,""),"")</f>
        <v/>
      </c>
      <c r="AF25" s="97" t="str">
        <f>IF(Tabelle1[[#This Row],[Nicht einbezogen weil…]]="",IFERROR(365*10*Tabelle1[[#This Row],[Abbaurate '[%/d']]]*Tabelle1[[#This Row],[Thickness '[mm']]]/Tabelle1[[#This Row],[Formfaktor]],""),"")</f>
        <v/>
      </c>
      <c r="AG25" s="99" t="str">
        <f>IF(OR(Tabelle1[[#This Row],[Nicht einbezogen weil…]]="",Tabelle1[[#This Row],[Nicht einbezogen weil…]]="nicht-natürlich"),IF(Tabelle1[[#This Row],[Formfaktor]]=2, 1,IF(Tabelle1[[#This Row],[Formfaktor]]=4,2,IF(Tabelle1[[#This Row],[Formfaktor]]=6,3,""))),"")</f>
        <v/>
      </c>
      <c r="AH2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 s="71">
        <v>1</v>
      </c>
      <c r="AK2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5" s="3" t="s">
        <v>174</v>
      </c>
      <c r="AO25" s="3" t="s">
        <v>200</v>
      </c>
      <c r="AP25" s="3" t="s">
        <v>200</v>
      </c>
      <c r="AT25" s="10" t="s">
        <v>223</v>
      </c>
      <c r="AU25" s="13" t="s">
        <v>200</v>
      </c>
      <c r="AW25" s="10" t="s">
        <v>775</v>
      </c>
    </row>
    <row r="26" spans="2:49" ht="17.25" customHeight="1">
      <c r="B26" s="7" t="s">
        <v>69</v>
      </c>
      <c r="C26" s="3" t="s">
        <v>69</v>
      </c>
      <c r="D26" s="3" t="s">
        <v>200</v>
      </c>
      <c r="E26" s="10" t="s">
        <v>205</v>
      </c>
      <c r="F26" s="3" t="s">
        <v>288</v>
      </c>
      <c r="G26" s="3">
        <v>2.5000000000000001E-2</v>
      </c>
      <c r="H26" s="3">
        <f>0.05*0.01</f>
        <v>5.0000000000000001E-4</v>
      </c>
      <c r="I26" s="24">
        <v>0.94950000000000001</v>
      </c>
      <c r="J26" s="3" t="s">
        <v>903</v>
      </c>
      <c r="K26" s="8" t="s">
        <v>229</v>
      </c>
      <c r="L26" s="3" t="s">
        <v>902</v>
      </c>
      <c r="M26" s="3" t="s">
        <v>223</v>
      </c>
      <c r="N26" s="3" t="s">
        <v>901</v>
      </c>
      <c r="O26" s="3" t="s">
        <v>294</v>
      </c>
      <c r="P2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6" s="4">
        <v>55</v>
      </c>
      <c r="W26" s="3" t="s">
        <v>13</v>
      </c>
      <c r="Y26" s="4">
        <v>60</v>
      </c>
      <c r="Z26" s="4">
        <v>120</v>
      </c>
      <c r="AA26" s="5">
        <f t="shared" ref="AA26:AA34" si="2">Y26/Z26</f>
        <v>0.5</v>
      </c>
      <c r="AB26" s="5"/>
      <c r="AC2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6" s="97" t="str">
        <f>IF(Tabelle1[[#This Row],[Nicht einbezogen weil…]]="",IFERROR(1000*Tabelle1[[#This Row],[Formfaktor]]/Tabelle1[[#This Row],[Thickness '[mm']]],""),"")</f>
        <v/>
      </c>
      <c r="AE26" s="98" t="str">
        <f>IF(Tabelle1[[#This Row],[Nicht einbezogen weil…]]="",IFERROR(Tabelle1[[#This Row],[specific surface '[m^2/m^3']]]/Tabelle1[[#This Row],[Density 
'[g/cm3']]]/1000000,""),"")</f>
        <v/>
      </c>
      <c r="AF26" s="97" t="str">
        <f>IF(Tabelle1[[#This Row],[Nicht einbezogen weil…]]="",IFERROR(365*10*Tabelle1[[#This Row],[Abbaurate '[%/d']]]*Tabelle1[[#This Row],[Thickness '[mm']]]/Tabelle1[[#This Row],[Formfaktor]],""),"")</f>
        <v/>
      </c>
      <c r="AG26" s="99" t="str">
        <f>IF(OR(Tabelle1[[#This Row],[Nicht einbezogen weil…]]="",Tabelle1[[#This Row],[Nicht einbezogen weil…]]="nicht-natürlich"),IF(Tabelle1[[#This Row],[Formfaktor]]=2, 1,IF(Tabelle1[[#This Row],[Formfaktor]]=4,2,IF(Tabelle1[[#This Row],[Formfaktor]]=6,3,""))),"")</f>
        <v/>
      </c>
      <c r="AH2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 s="6">
        <v>1</v>
      </c>
      <c r="AK2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 s="323" t="s">
        <v>834</v>
      </c>
      <c r="AM26" s="3" t="s">
        <v>855</v>
      </c>
      <c r="AN26" s="3" t="s">
        <v>824</v>
      </c>
      <c r="AO26" s="3" t="s">
        <v>200</v>
      </c>
      <c r="AP26" s="3" t="s">
        <v>200</v>
      </c>
      <c r="AU26" s="13" t="s">
        <v>200</v>
      </c>
      <c r="AW26" s="10" t="s">
        <v>775</v>
      </c>
    </row>
    <row r="27" spans="2:49" ht="17.25" customHeight="1">
      <c r="B27" s="7" t="s">
        <v>69</v>
      </c>
      <c r="C27" s="12" t="s">
        <v>69</v>
      </c>
      <c r="D27" s="3" t="s">
        <v>223</v>
      </c>
      <c r="E27" s="10"/>
      <c r="F27" s="12" t="s">
        <v>288</v>
      </c>
      <c r="G27" s="12">
        <v>0.02</v>
      </c>
      <c r="H27" s="12">
        <f>0.015*0.025</f>
        <v>3.7500000000000001E-4</v>
      </c>
      <c r="I27" s="24">
        <v>0.94950000000000001</v>
      </c>
      <c r="J27" s="3" t="s">
        <v>441</v>
      </c>
      <c r="M27" s="3" t="s">
        <v>200</v>
      </c>
      <c r="N27" s="3" t="s">
        <v>444</v>
      </c>
      <c r="O27" s="3" t="s">
        <v>358</v>
      </c>
      <c r="P2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7" s="3" t="s">
        <v>478</v>
      </c>
      <c r="X27" s="3" t="s">
        <v>407</v>
      </c>
      <c r="Y27" s="4">
        <v>33.6</v>
      </c>
      <c r="Z27" s="4">
        <f>27*30</f>
        <v>810</v>
      </c>
      <c r="AA27" s="5">
        <f t="shared" si="2"/>
        <v>4.148148148148148E-2</v>
      </c>
      <c r="AB27" s="5"/>
      <c r="AC2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 s="97" t="str">
        <f>IF(Tabelle1[[#This Row],[Nicht einbezogen weil…]]="",IFERROR(1000*Tabelle1[[#This Row],[Formfaktor]]/Tabelle1[[#This Row],[Thickness '[mm']]],""),"")</f>
        <v/>
      </c>
      <c r="AE27" s="98" t="str">
        <f>IF(Tabelle1[[#This Row],[Nicht einbezogen weil…]]="",IFERROR(Tabelle1[[#This Row],[specific surface '[m^2/m^3']]]/Tabelle1[[#This Row],[Density 
'[g/cm3']]]/1000000,""),"")</f>
        <v/>
      </c>
      <c r="AF27" s="97" t="str">
        <f>IF(Tabelle1[[#This Row],[Nicht einbezogen weil…]]="",IFERROR(365*10*Tabelle1[[#This Row],[Abbaurate '[%/d']]]*Tabelle1[[#This Row],[Thickness '[mm']]]/Tabelle1[[#This Row],[Formfaktor]],""),"")</f>
        <v/>
      </c>
      <c r="AG27" s="99" t="str">
        <f>IF(OR(Tabelle1[[#This Row],[Nicht einbezogen weil…]]="",Tabelle1[[#This Row],[Nicht einbezogen weil…]]="nicht-natürlich"),IF(Tabelle1[[#This Row],[Formfaktor]]=2, 1,IF(Tabelle1[[#This Row],[Formfaktor]]=4,2,IF(Tabelle1[[#This Row],[Formfaktor]]=6,3,""))),"")</f>
        <v/>
      </c>
      <c r="AH2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7" s="71">
        <v>1</v>
      </c>
      <c r="AK2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27" s="3" t="s">
        <v>390</v>
      </c>
      <c r="AM27" s="3" t="s">
        <v>977</v>
      </c>
      <c r="AN27" s="3" t="s">
        <v>538</v>
      </c>
      <c r="AO27" s="3" t="s">
        <v>200</v>
      </c>
      <c r="AP27" s="3" t="s">
        <v>200</v>
      </c>
      <c r="AT27" s="10" t="s">
        <v>223</v>
      </c>
      <c r="AU27" s="13" t="s">
        <v>200</v>
      </c>
      <c r="AW27" s="10" t="s">
        <v>775</v>
      </c>
    </row>
    <row r="28" spans="2:49" ht="17.25" customHeight="1">
      <c r="B28" s="7" t="s">
        <v>69</v>
      </c>
      <c r="C28" s="12" t="s">
        <v>69</v>
      </c>
      <c r="D28" s="3" t="s">
        <v>223</v>
      </c>
      <c r="E28" s="10"/>
      <c r="F28" s="12" t="s">
        <v>288</v>
      </c>
      <c r="G28" s="12">
        <v>0.02</v>
      </c>
      <c r="H28" s="12">
        <f>0.015*0.025</f>
        <v>3.7500000000000001E-4</v>
      </c>
      <c r="I28" s="24">
        <v>0.94950000000000001</v>
      </c>
      <c r="J28" s="3" t="s">
        <v>441</v>
      </c>
      <c r="M28" s="3" t="s">
        <v>200</v>
      </c>
      <c r="N28" s="3" t="s">
        <v>443</v>
      </c>
      <c r="O28" s="3" t="s">
        <v>569</v>
      </c>
      <c r="P2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8" s="9" t="s">
        <v>455</v>
      </c>
      <c r="W28" s="3" t="s">
        <v>478</v>
      </c>
      <c r="X28" s="3" t="s">
        <v>407</v>
      </c>
      <c r="Y28" s="4">
        <v>100</v>
      </c>
      <c r="Z28" s="4">
        <f>27*30</f>
        <v>810</v>
      </c>
      <c r="AA28" s="5">
        <f t="shared" si="2"/>
        <v>0.12345679012345678</v>
      </c>
      <c r="AB28" s="5"/>
      <c r="AC2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8" s="97" t="str">
        <f>IF(Tabelle1[[#This Row],[Nicht einbezogen weil…]]="",IFERROR(1000*Tabelle1[[#This Row],[Formfaktor]]/Tabelle1[[#This Row],[Thickness '[mm']]],""),"")</f>
        <v/>
      </c>
      <c r="AE28" s="98" t="str">
        <f>IF(Tabelle1[[#This Row],[Nicht einbezogen weil…]]="",IFERROR(Tabelle1[[#This Row],[specific surface '[m^2/m^3']]]/Tabelle1[[#This Row],[Density 
'[g/cm3']]]/1000000,""),"")</f>
        <v/>
      </c>
      <c r="AF28" s="97" t="str">
        <f>IF(Tabelle1[[#This Row],[Nicht einbezogen weil…]]="",IFERROR(365*10*Tabelle1[[#This Row],[Abbaurate '[%/d']]]*Tabelle1[[#This Row],[Thickness '[mm']]]/Tabelle1[[#This Row],[Formfaktor]],""),"")</f>
        <v/>
      </c>
      <c r="AG28" s="99" t="str">
        <f>IF(OR(Tabelle1[[#This Row],[Nicht einbezogen weil…]]="",Tabelle1[[#This Row],[Nicht einbezogen weil…]]="nicht-natürlich"),IF(Tabelle1[[#This Row],[Formfaktor]]=2, 1,IF(Tabelle1[[#This Row],[Formfaktor]]=4,2,IF(Tabelle1[[#This Row],[Formfaktor]]=6,3,""))),"")</f>
        <v/>
      </c>
      <c r="AH2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8" s="71">
        <v>1</v>
      </c>
      <c r="AK2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28" s="3" t="s">
        <v>390</v>
      </c>
      <c r="AM28" s="3" t="s">
        <v>977</v>
      </c>
      <c r="AN28" s="3" t="s">
        <v>538</v>
      </c>
      <c r="AO28" s="3" t="s">
        <v>200</v>
      </c>
      <c r="AP28" s="3" t="s">
        <v>200</v>
      </c>
      <c r="AT28" s="10" t="s">
        <v>223</v>
      </c>
      <c r="AU28" s="13" t="s">
        <v>200</v>
      </c>
      <c r="AW28" s="10" t="s">
        <v>775</v>
      </c>
    </row>
    <row r="29" spans="2:49" ht="17.25" customHeight="1">
      <c r="B29" s="7" t="s">
        <v>69</v>
      </c>
      <c r="C29" s="12" t="s">
        <v>69</v>
      </c>
      <c r="D29" s="3" t="s">
        <v>223</v>
      </c>
      <c r="E29" s="10"/>
      <c r="F29" s="12" t="s">
        <v>288</v>
      </c>
      <c r="G29" s="12">
        <v>0.02</v>
      </c>
      <c r="H29" s="12">
        <f>0.015*0.025</f>
        <v>3.7500000000000001E-4</v>
      </c>
      <c r="I29" s="24">
        <v>0.94950000000000001</v>
      </c>
      <c r="J29" s="3" t="s">
        <v>441</v>
      </c>
      <c r="M29" s="3" t="s">
        <v>200</v>
      </c>
      <c r="N29" s="3" t="s">
        <v>445</v>
      </c>
      <c r="O29" s="3" t="s">
        <v>23</v>
      </c>
      <c r="P2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9" s="9" t="s">
        <v>450</v>
      </c>
      <c r="W29" s="3" t="s">
        <v>478</v>
      </c>
      <c r="X29" s="3" t="s">
        <v>407</v>
      </c>
      <c r="Y29" s="4">
        <v>13.53</v>
      </c>
      <c r="Z29" s="4">
        <f>27*30</f>
        <v>810</v>
      </c>
      <c r="AA29" s="5">
        <f t="shared" si="2"/>
        <v>1.6703703703703703E-2</v>
      </c>
      <c r="AB29" s="5"/>
      <c r="AC2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9" s="97" t="str">
        <f>IF(Tabelle1[[#This Row],[Nicht einbezogen weil…]]="",IFERROR(1000*Tabelle1[[#This Row],[Formfaktor]]/Tabelle1[[#This Row],[Thickness '[mm']]],""),"")</f>
        <v/>
      </c>
      <c r="AE29" s="98" t="str">
        <f>IF(Tabelle1[[#This Row],[Nicht einbezogen weil…]]="",IFERROR(Tabelle1[[#This Row],[specific surface '[m^2/m^3']]]/Tabelle1[[#This Row],[Density 
'[g/cm3']]]/1000000,""),"")</f>
        <v/>
      </c>
      <c r="AF29" s="97" t="str">
        <f>IF(Tabelle1[[#This Row],[Nicht einbezogen weil…]]="",IFERROR(365*10*Tabelle1[[#This Row],[Abbaurate '[%/d']]]*Tabelle1[[#This Row],[Thickness '[mm']]]/Tabelle1[[#This Row],[Formfaktor]],""),"")</f>
        <v/>
      </c>
      <c r="AG29" s="99" t="str">
        <f>IF(OR(Tabelle1[[#This Row],[Nicht einbezogen weil…]]="",Tabelle1[[#This Row],[Nicht einbezogen weil…]]="nicht-natürlich"),IF(Tabelle1[[#This Row],[Formfaktor]]=2, 1,IF(Tabelle1[[#This Row],[Formfaktor]]=4,2,IF(Tabelle1[[#This Row],[Formfaktor]]=6,3,""))),"")</f>
        <v/>
      </c>
      <c r="AH2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 s="71">
        <v>1</v>
      </c>
      <c r="AK2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29" s="3" t="s">
        <v>390</v>
      </c>
      <c r="AM29" s="3" t="s">
        <v>977</v>
      </c>
      <c r="AN29" s="3" t="s">
        <v>538</v>
      </c>
      <c r="AO29" s="3" t="s">
        <v>200</v>
      </c>
      <c r="AP29" s="3" t="s">
        <v>200</v>
      </c>
      <c r="AT29" s="10" t="s">
        <v>223</v>
      </c>
      <c r="AU29" s="13" t="s">
        <v>200</v>
      </c>
      <c r="AW29" s="10" t="s">
        <v>775</v>
      </c>
    </row>
    <row r="30" spans="2:49" ht="17.25" customHeight="1">
      <c r="B30" s="7" t="s">
        <v>69</v>
      </c>
      <c r="C30" s="12" t="s">
        <v>69</v>
      </c>
      <c r="D30" s="3" t="s">
        <v>223</v>
      </c>
      <c r="E30" s="10"/>
      <c r="F30" s="12" t="s">
        <v>288</v>
      </c>
      <c r="G30" s="12">
        <v>0.02</v>
      </c>
      <c r="H30" s="12">
        <f>0.015*0.025</f>
        <v>3.7500000000000001E-4</v>
      </c>
      <c r="I30" s="24">
        <v>0.94950000000000001</v>
      </c>
      <c r="J30" s="3" t="s">
        <v>441</v>
      </c>
      <c r="M30" s="3" t="s">
        <v>223</v>
      </c>
      <c r="N30" s="3" t="s">
        <v>442</v>
      </c>
      <c r="O30" s="3" t="s">
        <v>294</v>
      </c>
      <c r="P3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0" s="4">
        <v>21</v>
      </c>
      <c r="W30" s="3" t="s">
        <v>478</v>
      </c>
      <c r="X30" s="3" t="s">
        <v>407</v>
      </c>
      <c r="Y30" s="4">
        <v>16.78</v>
      </c>
      <c r="Z30" s="4">
        <f>27*30</f>
        <v>810</v>
      </c>
      <c r="AA30" s="5">
        <f t="shared" si="2"/>
        <v>2.071604938271605E-2</v>
      </c>
      <c r="AB30" s="5"/>
      <c r="AC3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0" s="97" t="str">
        <f>IF(Tabelle1[[#This Row],[Nicht einbezogen weil…]]="",IFERROR(1000*Tabelle1[[#This Row],[Formfaktor]]/Tabelle1[[#This Row],[Thickness '[mm']]],""),"")</f>
        <v/>
      </c>
      <c r="AE30" s="98" t="str">
        <f>IF(Tabelle1[[#This Row],[Nicht einbezogen weil…]]="",IFERROR(Tabelle1[[#This Row],[specific surface '[m^2/m^3']]]/Tabelle1[[#This Row],[Density 
'[g/cm3']]]/1000000,""),"")</f>
        <v/>
      </c>
      <c r="AF30" s="97" t="str">
        <f>IF(Tabelle1[[#This Row],[Nicht einbezogen weil…]]="",IFERROR(365*10*Tabelle1[[#This Row],[Abbaurate '[%/d']]]*Tabelle1[[#This Row],[Thickness '[mm']]]/Tabelle1[[#This Row],[Formfaktor]],""),"")</f>
        <v/>
      </c>
      <c r="AG30" s="99" t="str">
        <f>IF(OR(Tabelle1[[#This Row],[Nicht einbezogen weil…]]="",Tabelle1[[#This Row],[Nicht einbezogen weil…]]="nicht-natürlich"),IF(Tabelle1[[#This Row],[Formfaktor]]=2, 1,IF(Tabelle1[[#This Row],[Formfaktor]]=4,2,IF(Tabelle1[[#This Row],[Formfaktor]]=6,3,""))),"")</f>
        <v/>
      </c>
      <c r="AH3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0" s="71">
        <v>1</v>
      </c>
      <c r="AK3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30" s="3" t="s">
        <v>390</v>
      </c>
      <c r="AM30" s="3" t="s">
        <v>977</v>
      </c>
      <c r="AN30" s="3" t="s">
        <v>538</v>
      </c>
      <c r="AO30" s="3" t="s">
        <v>200</v>
      </c>
      <c r="AP30" s="3" t="s">
        <v>200</v>
      </c>
      <c r="AT30" s="10" t="s">
        <v>223</v>
      </c>
      <c r="AU30" s="13" t="s">
        <v>200</v>
      </c>
      <c r="AW30" s="10" t="s">
        <v>775</v>
      </c>
    </row>
    <row r="31" spans="2:49" ht="17.25" customHeight="1">
      <c r="B31" s="329" t="s">
        <v>69</v>
      </c>
      <c r="C31" s="3" t="s">
        <v>69</v>
      </c>
      <c r="D31" s="3" t="s">
        <v>200</v>
      </c>
      <c r="E31" s="10" t="s">
        <v>205</v>
      </c>
      <c r="F31" s="3" t="s">
        <v>331</v>
      </c>
      <c r="G31" s="3">
        <v>2.5</v>
      </c>
      <c r="H31" s="3" t="s">
        <v>341</v>
      </c>
      <c r="I31" s="24">
        <v>0.94950000000000001</v>
      </c>
      <c r="J31" s="3" t="s">
        <v>905</v>
      </c>
      <c r="K31" s="8" t="s">
        <v>229</v>
      </c>
      <c r="L31" s="3" t="s">
        <v>902</v>
      </c>
      <c r="M31" s="3" t="s">
        <v>223</v>
      </c>
      <c r="N31" s="3" t="s">
        <v>901</v>
      </c>
      <c r="O31" s="3" t="s">
        <v>294</v>
      </c>
      <c r="P3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1" s="4">
        <v>55</v>
      </c>
      <c r="W31" s="3" t="s">
        <v>13</v>
      </c>
      <c r="Y31" s="4">
        <v>43</v>
      </c>
      <c r="Z31" s="4">
        <v>120</v>
      </c>
      <c r="AA31" s="5">
        <f t="shared" si="2"/>
        <v>0.35833333333333334</v>
      </c>
      <c r="AB31" s="5"/>
      <c r="AC3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31" s="97" t="str">
        <f>IF(Tabelle1[[#This Row],[Nicht einbezogen weil…]]="",IFERROR(1000*Tabelle1[[#This Row],[Formfaktor]]/Tabelle1[[#This Row],[Thickness '[mm']]],""),"")</f>
        <v/>
      </c>
      <c r="AE31" s="98" t="str">
        <f>IF(Tabelle1[[#This Row],[Nicht einbezogen weil…]]="",IFERROR(Tabelle1[[#This Row],[specific surface '[m^2/m^3']]]/Tabelle1[[#This Row],[Density 
'[g/cm3']]]/1000000,""),"")</f>
        <v/>
      </c>
      <c r="AF31" s="97" t="str">
        <f>IF(Tabelle1[[#This Row],[Nicht einbezogen weil…]]="",IFERROR(365*10*Tabelle1[[#This Row],[Abbaurate '[%/d']]]*Tabelle1[[#This Row],[Thickness '[mm']]]/Tabelle1[[#This Row],[Formfaktor]],""),"")</f>
        <v/>
      </c>
      <c r="AG31" s="99" t="str">
        <f>IF(OR(Tabelle1[[#This Row],[Nicht einbezogen weil…]]="",Tabelle1[[#This Row],[Nicht einbezogen weil…]]="nicht-natürlich"),IF(Tabelle1[[#This Row],[Formfaktor]]=2, 1,IF(Tabelle1[[#This Row],[Formfaktor]]=4,2,IF(Tabelle1[[#This Row],[Formfaktor]]=6,3,""))),"")</f>
        <v/>
      </c>
      <c r="AH3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1" s="6">
        <v>1</v>
      </c>
      <c r="AK3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1" s="323" t="s">
        <v>834</v>
      </c>
      <c r="AM31" s="3" t="s">
        <v>855</v>
      </c>
      <c r="AN31" s="3" t="s">
        <v>824</v>
      </c>
      <c r="AO31" s="3" t="s">
        <v>200</v>
      </c>
      <c r="AP31" s="3" t="s">
        <v>200</v>
      </c>
      <c r="AU31" s="13" t="s">
        <v>200</v>
      </c>
      <c r="AW31" s="10" t="s">
        <v>775</v>
      </c>
    </row>
    <row r="32" spans="2:49" ht="17.25" customHeight="1">
      <c r="B32" s="329" t="s">
        <v>69</v>
      </c>
      <c r="C32" s="3" t="s">
        <v>69</v>
      </c>
      <c r="D32" s="3" t="s">
        <v>200</v>
      </c>
      <c r="E32" s="10" t="s">
        <v>205</v>
      </c>
      <c r="F32" s="3" t="s">
        <v>288</v>
      </c>
      <c r="G32" s="3">
        <v>0.15</v>
      </c>
      <c r="H32" s="3">
        <f>0.05*0.01</f>
        <v>5.0000000000000001E-4</v>
      </c>
      <c r="I32" s="24">
        <v>0.94950000000000001</v>
      </c>
      <c r="J32" s="3" t="s">
        <v>906</v>
      </c>
      <c r="K32" s="8" t="s">
        <v>229</v>
      </c>
      <c r="L32" s="3" t="s">
        <v>902</v>
      </c>
      <c r="M32" s="3" t="s">
        <v>223</v>
      </c>
      <c r="N32" s="3" t="s">
        <v>908</v>
      </c>
      <c r="O32" s="3" t="s">
        <v>294</v>
      </c>
      <c r="P3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2" s="4">
        <v>50</v>
      </c>
      <c r="W32" s="3" t="s">
        <v>13</v>
      </c>
      <c r="Y32" s="4">
        <v>46.6</v>
      </c>
      <c r="Z32" s="4">
        <v>140</v>
      </c>
      <c r="AA32" s="5">
        <f t="shared" si="2"/>
        <v>0.33285714285714285</v>
      </c>
      <c r="AB32" s="5"/>
      <c r="AC3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 s="97" t="str">
        <f>IF(Tabelle1[[#This Row],[Nicht einbezogen weil…]]="",IFERROR(1000*Tabelle1[[#This Row],[Formfaktor]]/Tabelle1[[#This Row],[Thickness '[mm']]],""),"")</f>
        <v/>
      </c>
      <c r="AE32" s="98" t="str">
        <f>IF(Tabelle1[[#This Row],[Nicht einbezogen weil…]]="",IFERROR(Tabelle1[[#This Row],[specific surface '[m^2/m^3']]]/Tabelle1[[#This Row],[Density 
'[g/cm3']]]/1000000,""),"")</f>
        <v/>
      </c>
      <c r="AF32" s="97" t="str">
        <f>IF(Tabelle1[[#This Row],[Nicht einbezogen weil…]]="",IFERROR(365*10*Tabelle1[[#This Row],[Abbaurate '[%/d']]]*Tabelle1[[#This Row],[Thickness '[mm']]]/Tabelle1[[#This Row],[Formfaktor]],""),"")</f>
        <v/>
      </c>
      <c r="AG32" s="99" t="str">
        <f>IF(OR(Tabelle1[[#This Row],[Nicht einbezogen weil…]]="",Tabelle1[[#This Row],[Nicht einbezogen weil…]]="nicht-natürlich"),IF(Tabelle1[[#This Row],[Formfaktor]]=2, 1,IF(Tabelle1[[#This Row],[Formfaktor]]=4,2,IF(Tabelle1[[#This Row],[Formfaktor]]=6,3,""))),"")</f>
        <v/>
      </c>
      <c r="AH3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2" s="6">
        <v>1</v>
      </c>
      <c r="AK3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2" s="323" t="s">
        <v>835</v>
      </c>
      <c r="AM32" s="3" t="s">
        <v>855</v>
      </c>
      <c r="AN32" s="3" t="s">
        <v>824</v>
      </c>
      <c r="AO32" s="3" t="s">
        <v>200</v>
      </c>
      <c r="AP32" s="3" t="s">
        <v>200</v>
      </c>
      <c r="AU32" s="13" t="s">
        <v>200</v>
      </c>
      <c r="AW32" s="10" t="s">
        <v>775</v>
      </c>
    </row>
    <row r="33" spans="2:49" ht="17.25" customHeight="1">
      <c r="B33" s="329" t="s">
        <v>69</v>
      </c>
      <c r="C33" s="3" t="s">
        <v>69</v>
      </c>
      <c r="D33" s="3" t="s">
        <v>200</v>
      </c>
      <c r="E33" s="10" t="s">
        <v>205</v>
      </c>
      <c r="F33" s="3" t="s">
        <v>331</v>
      </c>
      <c r="G33" s="3">
        <v>2.5</v>
      </c>
      <c r="H33" s="3" t="s">
        <v>900</v>
      </c>
      <c r="I33" s="24">
        <v>0.94950000000000001</v>
      </c>
      <c r="J33" s="3" t="s">
        <v>907</v>
      </c>
      <c r="K33" s="8" t="s">
        <v>229</v>
      </c>
      <c r="L33" s="3" t="s">
        <v>902</v>
      </c>
      <c r="M33" s="3" t="s">
        <v>223</v>
      </c>
      <c r="N33" s="3" t="s">
        <v>908</v>
      </c>
      <c r="O33" s="3" t="s">
        <v>294</v>
      </c>
      <c r="P3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3" s="4">
        <v>50</v>
      </c>
      <c r="W33" s="3" t="s">
        <v>13</v>
      </c>
      <c r="Y33" s="4">
        <v>37.200000000000003</v>
      </c>
      <c r="Z33" s="4">
        <v>140</v>
      </c>
      <c r="AA33" s="5">
        <f t="shared" si="2"/>
        <v>0.26571428571428574</v>
      </c>
      <c r="AB33" s="5"/>
      <c r="AC3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33" s="97" t="str">
        <f>IF(Tabelle1[[#This Row],[Nicht einbezogen weil…]]="",IFERROR(1000*Tabelle1[[#This Row],[Formfaktor]]/Tabelle1[[#This Row],[Thickness '[mm']]],""),"")</f>
        <v/>
      </c>
      <c r="AE33" s="98" t="str">
        <f>IF(Tabelle1[[#This Row],[Nicht einbezogen weil…]]="",IFERROR(Tabelle1[[#This Row],[specific surface '[m^2/m^3']]]/Tabelle1[[#This Row],[Density 
'[g/cm3']]]/1000000,""),"")</f>
        <v/>
      </c>
      <c r="AF33" s="97" t="str">
        <f>IF(Tabelle1[[#This Row],[Nicht einbezogen weil…]]="",IFERROR(365*10*Tabelle1[[#This Row],[Abbaurate '[%/d']]]*Tabelle1[[#This Row],[Thickness '[mm']]]/Tabelle1[[#This Row],[Formfaktor]],""),"")</f>
        <v/>
      </c>
      <c r="AG33" s="99" t="str">
        <f>IF(OR(Tabelle1[[#This Row],[Nicht einbezogen weil…]]="",Tabelle1[[#This Row],[Nicht einbezogen weil…]]="nicht-natürlich"),IF(Tabelle1[[#This Row],[Formfaktor]]=2, 1,IF(Tabelle1[[#This Row],[Formfaktor]]=4,2,IF(Tabelle1[[#This Row],[Formfaktor]]=6,3,""))),"")</f>
        <v/>
      </c>
      <c r="AH3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3" s="6">
        <v>1</v>
      </c>
      <c r="AK3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3" s="323" t="s">
        <v>835</v>
      </c>
      <c r="AM33" s="3" t="s">
        <v>855</v>
      </c>
      <c r="AN33" s="3" t="s">
        <v>824</v>
      </c>
      <c r="AO33" s="3" t="s">
        <v>200</v>
      </c>
      <c r="AP33" s="3" t="s">
        <v>200</v>
      </c>
      <c r="AQ33" s="322"/>
      <c r="AT33" s="73"/>
      <c r="AU33" s="13" t="s">
        <v>200</v>
      </c>
      <c r="AV33" s="325"/>
      <c r="AW33" s="10" t="s">
        <v>775</v>
      </c>
    </row>
    <row r="34" spans="2:49" ht="17.25" customHeight="1">
      <c r="B34" s="330" t="s">
        <v>69</v>
      </c>
      <c r="C34" s="322" t="s">
        <v>69</v>
      </c>
      <c r="D34" s="322" t="s">
        <v>200</v>
      </c>
      <c r="E34" s="10" t="s">
        <v>205</v>
      </c>
      <c r="F34" s="322" t="s">
        <v>341</v>
      </c>
      <c r="G34" s="322" t="s">
        <v>341</v>
      </c>
      <c r="H34" s="322"/>
      <c r="I34" s="331" t="s">
        <v>596</v>
      </c>
      <c r="J34" s="322"/>
      <c r="K34" s="73"/>
      <c r="L34" s="322" t="s">
        <v>882</v>
      </c>
      <c r="M34" s="322"/>
      <c r="N34" s="322"/>
      <c r="O34" s="322"/>
      <c r="P34" s="322"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4" s="72"/>
      <c r="R34" s="72"/>
      <c r="S34" s="72"/>
      <c r="T34" s="72"/>
      <c r="U34" s="72"/>
      <c r="V34" s="72"/>
      <c r="W34" s="322"/>
      <c r="X34" s="322"/>
      <c r="Y34" s="72"/>
      <c r="Z34" s="72"/>
      <c r="AA34" s="97" t="e">
        <f t="shared" si="2"/>
        <v>#DIV/0!</v>
      </c>
      <c r="AB34" s="97"/>
      <c r="AC34"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34" s="97" t="str">
        <f>IF(Tabelle1[[#This Row],[Nicht einbezogen weil…]]="",IFERROR(1000*Tabelle1[[#This Row],[Formfaktor]]/Tabelle1[[#This Row],[Thickness '[mm']]],""),"")</f>
        <v/>
      </c>
      <c r="AE34" s="98" t="str">
        <f>IF(Tabelle1[[#This Row],[Nicht einbezogen weil…]]="",IFERROR(Tabelle1[[#This Row],[specific surface '[m^2/m^3']]]/Tabelle1[[#This Row],[Density 
'[g/cm3']]]/1000000,""),"")</f>
        <v/>
      </c>
      <c r="AF34" s="97" t="str">
        <f>IF(Tabelle1[[#This Row],[Nicht einbezogen weil…]]="",IFERROR(365*10*Tabelle1[[#This Row],[Abbaurate '[%/d']]]*Tabelle1[[#This Row],[Thickness '[mm']]]/Tabelle1[[#This Row],[Formfaktor]],""),"")</f>
        <v/>
      </c>
      <c r="AG34" s="99" t="str">
        <f>IF(OR(Tabelle1[[#This Row],[Nicht einbezogen weil…]]="",Tabelle1[[#This Row],[Nicht einbezogen weil…]]="nicht-natürlich"),IF(Tabelle1[[#This Row],[Formfaktor]]=2, 1,IF(Tabelle1[[#This Row],[Formfaktor]]=4,2,IF(Tabelle1[[#This Row],[Formfaktor]]=6,3,""))),"")</f>
        <v/>
      </c>
      <c r="AH3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4" s="96">
        <v>0</v>
      </c>
      <c r="AK3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34" s="326" t="s">
        <v>843</v>
      </c>
      <c r="AM34" s="322" t="s">
        <v>855</v>
      </c>
      <c r="AN34" s="322" t="s">
        <v>824</v>
      </c>
      <c r="AO34" s="322" t="s">
        <v>200</v>
      </c>
      <c r="AP34" s="322" t="s">
        <v>223</v>
      </c>
      <c r="AQ34" s="322"/>
      <c r="AR34" s="72"/>
      <c r="AS34" s="72"/>
      <c r="AT34" s="73"/>
      <c r="AU34" s="324" t="s">
        <v>701</v>
      </c>
      <c r="AV34" s="325" t="s">
        <v>881</v>
      </c>
      <c r="AW34" s="73" t="s">
        <v>933</v>
      </c>
    </row>
    <row r="35" spans="2:49" ht="17.25" customHeight="1">
      <c r="B35" s="109" t="s">
        <v>330</v>
      </c>
      <c r="C35" s="3" t="s">
        <v>330</v>
      </c>
      <c r="D35" s="3" t="s">
        <v>223</v>
      </c>
      <c r="F35" s="3" t="s">
        <v>288</v>
      </c>
      <c r="G35" s="3">
        <v>0.02</v>
      </c>
      <c r="I35" s="3" t="s">
        <v>341</v>
      </c>
      <c r="L35" s="3" t="s">
        <v>229</v>
      </c>
      <c r="M35" s="3" t="s">
        <v>301</v>
      </c>
      <c r="N35" s="3" t="s">
        <v>22</v>
      </c>
      <c r="O35" s="3" t="s">
        <v>358</v>
      </c>
      <c r="P3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 s="4">
        <v>25</v>
      </c>
      <c r="S35" s="4">
        <v>65</v>
      </c>
      <c r="W35" s="3" t="s">
        <v>90</v>
      </c>
      <c r="Y35" s="4">
        <v>50</v>
      </c>
      <c r="Z35" s="4">
        <f>10.4*7</f>
        <v>72.8</v>
      </c>
      <c r="AA35" s="5">
        <f>Y35/Z35</f>
        <v>0.68681318681318682</v>
      </c>
      <c r="AB35" s="5"/>
      <c r="AC3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 s="5">
        <f>IF(Tabelle1[[#This Row],[Nicht einbezogen weil…]]="",IFERROR(1000*Tabelle1[[#This Row],[Formfaktor]]/Tabelle1[[#This Row],[Thickness '[mm']]],""),"")</f>
        <v>100000</v>
      </c>
      <c r="AE35" s="5" t="str">
        <f>IF(Tabelle1[[#This Row],[Nicht einbezogen weil…]]="",IFERROR(Tabelle1[[#This Row],[specific surface '[m^2/m^3']]]/Tabelle1[[#This Row],[Density 
'[g/cm3']]]/1000000,""),"")</f>
        <v/>
      </c>
      <c r="AF35" s="5">
        <f>IF(Tabelle1[[#This Row],[Nicht einbezogen weil…]]="",IFERROR(365*10*Tabelle1[[#This Row],[Abbaurate '[%/d']]]*Tabelle1[[#This Row],[Thickness '[mm']]]/Tabelle1[[#This Row],[Formfaktor]],""),"")</f>
        <v>25.068681318681321</v>
      </c>
      <c r="AG35" s="328">
        <f>IF(OR(Tabelle1[[#This Row],[Nicht einbezogen weil…]]="",Tabelle1[[#This Row],[Nicht einbezogen weil…]]="nicht-natürlich"),IF(Tabelle1[[#This Row],[Formfaktor]]=2, 1,IF(Tabelle1[[#This Row],[Formfaktor]]=4,2,IF(Tabelle1[[#This Row],[Formfaktor]]=6,3,""))),"")</f>
        <v>1</v>
      </c>
      <c r="AH35" s="5">
        <f>IF(OR(Tabelle1[[#This Row],[Nicht einbezogen weil…]]="",Tabelle1[[#This Row],[Nicht einbezogen weil…]]="nicht-natürlich"),IFERROR(Tabelle1[[#This Row],[Thickness '[mm']]]/Tabelle1[[#This Row],[Dauer des Abbaus
'[Tage']]]*1000*0.5*365*(1-(1-Tabelle1[[#This Row],[Abbaurate '[%/d']]]/100*Tabelle1[[#This Row],[Dauer des Abbaus
'[Tage']]])^(1/Tabelle1[[#This Row],[Exponent]])),""),"")</f>
        <v>25.068681318681321</v>
      </c>
      <c r="AI3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Cellulose_Boden/Kompost_natürlich</v>
      </c>
      <c r="AJ35" s="6">
        <v>1</v>
      </c>
      <c r="AK3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5" s="3" t="s">
        <v>144</v>
      </c>
      <c r="AU35" s="13"/>
    </row>
    <row r="36" spans="2:49" ht="17.25" customHeight="1">
      <c r="B36" s="7" t="s">
        <v>69</v>
      </c>
      <c r="C36" s="3" t="s">
        <v>69</v>
      </c>
      <c r="D36" s="3" t="s">
        <v>200</v>
      </c>
      <c r="E36" s="10" t="s">
        <v>205</v>
      </c>
      <c r="F36" s="12" t="s">
        <v>288</v>
      </c>
      <c r="G36" s="12">
        <v>9.8100000000000007E-2</v>
      </c>
      <c r="H36" s="12">
        <f>0.08*0.025</f>
        <v>2E-3</v>
      </c>
      <c r="I36" s="24">
        <v>0.94950000000000001</v>
      </c>
      <c r="K36" s="8" t="s">
        <v>229</v>
      </c>
      <c r="L36" s="3" t="s">
        <v>1123</v>
      </c>
      <c r="M36" s="3" t="s">
        <v>301</v>
      </c>
      <c r="N36" s="3" t="s">
        <v>68</v>
      </c>
      <c r="O36" s="3" t="s">
        <v>23</v>
      </c>
      <c r="P3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6" s="4">
        <v>30</v>
      </c>
      <c r="R36" s="4">
        <v>8</v>
      </c>
      <c r="V36" s="4" t="s">
        <v>593</v>
      </c>
      <c r="W36" s="3" t="s">
        <v>13</v>
      </c>
      <c r="Y36" s="4">
        <v>3.5</v>
      </c>
      <c r="Z36" s="4">
        <v>365</v>
      </c>
      <c r="AA36" s="5">
        <f>4/Z36</f>
        <v>1.0958904109589041E-2</v>
      </c>
      <c r="AB36" s="5"/>
      <c r="AC3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6" s="97" t="str">
        <f>IF(Tabelle1[[#This Row],[Nicht einbezogen weil…]]="",IFERROR(1000*Tabelle1[[#This Row],[Formfaktor]]/Tabelle1[[#This Row],[Thickness '[mm']]],""),"")</f>
        <v/>
      </c>
      <c r="AE36" s="98" t="str">
        <f>IF(Tabelle1[[#This Row],[Nicht einbezogen weil…]]="",IFERROR(Tabelle1[[#This Row],[specific surface '[m^2/m^3']]]/Tabelle1[[#This Row],[Density 
'[g/cm3']]]/1000000,""),"")</f>
        <v/>
      </c>
      <c r="AF36" s="97" t="str">
        <f>IF(Tabelle1[[#This Row],[Nicht einbezogen weil…]]="",IFERROR(365*10*Tabelle1[[#This Row],[Abbaurate '[%/d']]]*Tabelle1[[#This Row],[Thickness '[mm']]]/Tabelle1[[#This Row],[Formfaktor]],""),"")</f>
        <v/>
      </c>
      <c r="AG36" s="99" t="str">
        <f>IF(OR(Tabelle1[[#This Row],[Nicht einbezogen weil…]]="",Tabelle1[[#This Row],[Nicht einbezogen weil…]]="nicht-natürlich"),IF(Tabelle1[[#This Row],[Formfaktor]]=2, 1,IF(Tabelle1[[#This Row],[Formfaktor]]=4,2,IF(Tabelle1[[#This Row],[Formfaktor]]=6,3,""))),"")</f>
        <v/>
      </c>
      <c r="AH3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6" s="71">
        <v>1</v>
      </c>
      <c r="AK3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6" s="3" t="s">
        <v>1125</v>
      </c>
      <c r="AM36" s="3" t="s">
        <v>967</v>
      </c>
      <c r="AO36" s="3" t="s">
        <v>235</v>
      </c>
      <c r="AP36" s="3" t="s">
        <v>235</v>
      </c>
      <c r="AR36" s="2" t="s">
        <v>200</v>
      </c>
      <c r="AT36" s="10" t="s">
        <v>200</v>
      </c>
      <c r="AU36" s="13" t="s">
        <v>200</v>
      </c>
      <c r="AW36" s="10" t="s">
        <v>775</v>
      </c>
    </row>
    <row r="37" spans="2:49" ht="17.25" customHeight="1">
      <c r="B37" s="7" t="s">
        <v>69</v>
      </c>
      <c r="C37" s="3" t="s">
        <v>69</v>
      </c>
      <c r="D37" s="3" t="s">
        <v>200</v>
      </c>
      <c r="E37" s="10" t="s">
        <v>203</v>
      </c>
      <c r="F37" s="3" t="s">
        <v>288</v>
      </c>
      <c r="G37" s="12">
        <v>9.8100000000000007E-2</v>
      </c>
      <c r="H37" s="12">
        <f>0.08*0.025</f>
        <v>2E-3</v>
      </c>
      <c r="I37" s="24">
        <v>0.94950000000000001</v>
      </c>
      <c r="K37" s="8" t="s">
        <v>980</v>
      </c>
      <c r="M37" s="3" t="s">
        <v>301</v>
      </c>
      <c r="N37" s="3" t="s">
        <v>68</v>
      </c>
      <c r="O37" s="3" t="s">
        <v>23</v>
      </c>
      <c r="P3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 s="4">
        <v>30</v>
      </c>
      <c r="R37" s="4">
        <v>7.5</v>
      </c>
      <c r="V37" s="4" t="s">
        <v>593</v>
      </c>
      <c r="W37" s="3" t="s">
        <v>13</v>
      </c>
      <c r="Y37" s="4">
        <v>9</v>
      </c>
      <c r="Z37" s="4">
        <v>365</v>
      </c>
      <c r="AA37" s="5">
        <f>Y37/Z37</f>
        <v>2.4657534246575342E-2</v>
      </c>
      <c r="AB37" s="5"/>
      <c r="AC3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7" s="5" t="str">
        <f>IF(Tabelle1[[#This Row],[Nicht einbezogen weil…]]="",IFERROR(1000*Tabelle1[[#This Row],[Formfaktor]]/Tabelle1[[#This Row],[Thickness '[mm']]],""),"")</f>
        <v/>
      </c>
      <c r="AE37" s="5" t="str">
        <f>IF(Tabelle1[[#This Row],[Nicht einbezogen weil…]]="",IFERROR(Tabelle1[[#This Row],[specific surface '[m^2/m^3']]]/Tabelle1[[#This Row],[Density 
'[g/cm3']]]/1000000,""),"")</f>
        <v/>
      </c>
      <c r="AF37" s="5" t="str">
        <f>IF(Tabelle1[[#This Row],[Nicht einbezogen weil…]]="",IFERROR(365*10*Tabelle1[[#This Row],[Abbaurate '[%/d']]]*Tabelle1[[#This Row],[Thickness '[mm']]]/Tabelle1[[#This Row],[Formfaktor]],""),"")</f>
        <v/>
      </c>
      <c r="AG37" s="328" t="str">
        <f>IF(OR(Tabelle1[[#This Row],[Nicht einbezogen weil…]]="",Tabelle1[[#This Row],[Nicht einbezogen weil…]]="nicht-natürlich"),IF(Tabelle1[[#This Row],[Formfaktor]]=2, 1,IF(Tabelle1[[#This Row],[Formfaktor]]=4,2,IF(Tabelle1[[#This Row],[Formfaktor]]=6,3,""))),"")</f>
        <v/>
      </c>
      <c r="AH37"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7" s="6">
        <v>1</v>
      </c>
      <c r="AK3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7" s="3" t="s">
        <v>71</v>
      </c>
      <c r="AM37" s="3" t="s">
        <v>967</v>
      </c>
      <c r="AO37" s="3" t="s">
        <v>200</v>
      </c>
      <c r="AP37" s="3" t="s">
        <v>200</v>
      </c>
      <c r="AR37" s="2" t="s">
        <v>200</v>
      </c>
      <c r="AT37" s="10" t="s">
        <v>200</v>
      </c>
      <c r="AU37" s="13" t="s">
        <v>200</v>
      </c>
      <c r="AW37" s="10" t="s">
        <v>775</v>
      </c>
    </row>
    <row r="38" spans="2:49" ht="17.25" customHeight="1">
      <c r="B38" s="7" t="s">
        <v>781</v>
      </c>
      <c r="C38" s="3" t="s">
        <v>271</v>
      </c>
      <c r="D38" s="3" t="s">
        <v>200</v>
      </c>
      <c r="E38" s="10" t="s">
        <v>1127</v>
      </c>
      <c r="F38" s="12" t="s">
        <v>288</v>
      </c>
      <c r="G38" s="12">
        <v>0.02</v>
      </c>
      <c r="H38" s="12">
        <f>0.0254*0.1525</f>
        <v>3.8734999999999998E-3</v>
      </c>
      <c r="I38" s="24">
        <v>0.94950000000000001</v>
      </c>
      <c r="J38" s="3" t="s">
        <v>273</v>
      </c>
      <c r="K38" s="322" t="s">
        <v>471</v>
      </c>
      <c r="M38" s="3" t="s">
        <v>301</v>
      </c>
      <c r="N38" s="3" t="s">
        <v>275</v>
      </c>
      <c r="O38" s="3" t="s">
        <v>358</v>
      </c>
      <c r="P3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8" s="4">
        <v>60</v>
      </c>
      <c r="U38" s="4" t="s">
        <v>12</v>
      </c>
      <c r="W38" s="12" t="s">
        <v>13</v>
      </c>
      <c r="X38" s="12"/>
      <c r="Y38" s="4">
        <v>1.5</v>
      </c>
      <c r="Z38" s="4">
        <v>60</v>
      </c>
      <c r="AA38" s="5">
        <f>Y38/Z38</f>
        <v>2.5000000000000001E-2</v>
      </c>
      <c r="AB38" s="5"/>
      <c r="AC3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 s="97" t="str">
        <f>IF(Tabelle1[[#This Row],[Nicht einbezogen weil…]]="",IFERROR(1000*Tabelle1[[#This Row],[Formfaktor]]/Tabelle1[[#This Row],[Thickness '[mm']]],""),"")</f>
        <v/>
      </c>
      <c r="AE38" s="98" t="str">
        <f>IF(Tabelle1[[#This Row],[Nicht einbezogen weil…]]="",IFERROR(Tabelle1[[#This Row],[specific surface '[m^2/m^3']]]/Tabelle1[[#This Row],[Density 
'[g/cm3']]]/1000000,""),"")</f>
        <v/>
      </c>
      <c r="AF38" s="97" t="str">
        <f>IF(Tabelle1[[#This Row],[Nicht einbezogen weil…]]="",IFERROR(365*10*Tabelle1[[#This Row],[Abbaurate '[%/d']]]*Tabelle1[[#This Row],[Thickness '[mm']]]/Tabelle1[[#This Row],[Formfaktor]],""),"")</f>
        <v/>
      </c>
      <c r="AG38" s="99" t="str">
        <f>IF(OR(Tabelle1[[#This Row],[Nicht einbezogen weil…]]="",Tabelle1[[#This Row],[Nicht einbezogen weil…]]="nicht-natürlich"),IF(Tabelle1[[#This Row],[Formfaktor]]=2, 1,IF(Tabelle1[[#This Row],[Formfaktor]]=4,2,IF(Tabelle1[[#This Row],[Formfaktor]]=6,3,""))),"")</f>
        <v/>
      </c>
      <c r="AH3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8" s="71">
        <v>1</v>
      </c>
      <c r="AK3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8" s="3" t="s">
        <v>276</v>
      </c>
      <c r="AM38" s="3" t="s">
        <v>967</v>
      </c>
      <c r="AN38" s="3" t="s">
        <v>307</v>
      </c>
      <c r="AO38" s="3" t="s">
        <v>200</v>
      </c>
      <c r="AP38" s="3" t="s">
        <v>200</v>
      </c>
      <c r="AT38" s="10" t="s">
        <v>200</v>
      </c>
      <c r="AU38" s="13" t="s">
        <v>200</v>
      </c>
      <c r="AW38" s="10" t="s">
        <v>796</v>
      </c>
    </row>
    <row r="39" spans="2:49" ht="17.25" customHeight="1">
      <c r="B39" s="7" t="s">
        <v>781</v>
      </c>
      <c r="C39" s="3" t="s">
        <v>271</v>
      </c>
      <c r="D39" s="3" t="s">
        <v>200</v>
      </c>
      <c r="E39" s="10" t="s">
        <v>1127</v>
      </c>
      <c r="F39" s="12" t="s">
        <v>288</v>
      </c>
      <c r="G39" s="12">
        <v>0.02</v>
      </c>
      <c r="H39" s="12">
        <f>0.0254*0.1525</f>
        <v>3.8734999999999998E-3</v>
      </c>
      <c r="I39" s="24">
        <v>0.94950000000000001</v>
      </c>
      <c r="J39" s="3" t="s">
        <v>305</v>
      </c>
      <c r="K39" s="322" t="s">
        <v>471</v>
      </c>
      <c r="M39" s="3" t="s">
        <v>301</v>
      </c>
      <c r="N39" s="3" t="s">
        <v>275</v>
      </c>
      <c r="O39" s="3" t="s">
        <v>358</v>
      </c>
      <c r="P3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9" s="4">
        <v>60</v>
      </c>
      <c r="U39" s="4" t="s">
        <v>12</v>
      </c>
      <c r="W39" s="12" t="s">
        <v>13</v>
      </c>
      <c r="X39" s="12"/>
      <c r="Y39" s="4">
        <v>1.8</v>
      </c>
      <c r="Z39" s="4">
        <v>60</v>
      </c>
      <c r="AA39" s="5">
        <f>Y39/Z39</f>
        <v>3.0000000000000002E-2</v>
      </c>
      <c r="AB39" s="5"/>
      <c r="AC3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9" s="97" t="str">
        <f>IF(Tabelle1[[#This Row],[Nicht einbezogen weil…]]="",IFERROR(1000*Tabelle1[[#This Row],[Formfaktor]]/Tabelle1[[#This Row],[Thickness '[mm']]],""),"")</f>
        <v/>
      </c>
      <c r="AE39" s="98" t="str">
        <f>IF(Tabelle1[[#This Row],[Nicht einbezogen weil…]]="",IFERROR(Tabelle1[[#This Row],[specific surface '[m^2/m^3']]]/Tabelle1[[#This Row],[Density 
'[g/cm3']]]/1000000,""),"")</f>
        <v/>
      </c>
      <c r="AF39" s="97" t="str">
        <f>IF(Tabelle1[[#This Row],[Nicht einbezogen weil…]]="",IFERROR(365*10*Tabelle1[[#This Row],[Abbaurate '[%/d']]]*Tabelle1[[#This Row],[Thickness '[mm']]]/Tabelle1[[#This Row],[Formfaktor]],""),"")</f>
        <v/>
      </c>
      <c r="AG39" s="99" t="str">
        <f>IF(OR(Tabelle1[[#This Row],[Nicht einbezogen weil…]]="",Tabelle1[[#This Row],[Nicht einbezogen weil…]]="nicht-natürlich"),IF(Tabelle1[[#This Row],[Formfaktor]]=2, 1,IF(Tabelle1[[#This Row],[Formfaktor]]=4,2,IF(Tabelle1[[#This Row],[Formfaktor]]=6,3,""))),"")</f>
        <v/>
      </c>
      <c r="AH3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9" s="71">
        <v>1</v>
      </c>
      <c r="AK3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9" s="3" t="s">
        <v>276</v>
      </c>
      <c r="AM39" s="3" t="s">
        <v>967</v>
      </c>
      <c r="AN39" s="3" t="s">
        <v>307</v>
      </c>
      <c r="AO39" s="3" t="s">
        <v>200</v>
      </c>
      <c r="AP39" s="3" t="s">
        <v>200</v>
      </c>
      <c r="AT39" s="10" t="s">
        <v>200</v>
      </c>
      <c r="AU39" s="13" t="s">
        <v>200</v>
      </c>
      <c r="AW39" s="10" t="s">
        <v>796</v>
      </c>
    </row>
    <row r="40" spans="2:49" ht="17.25" customHeight="1">
      <c r="B40" s="7" t="s">
        <v>67</v>
      </c>
      <c r="C40" s="3" t="s">
        <v>67</v>
      </c>
      <c r="D40" s="3" t="s">
        <v>200</v>
      </c>
      <c r="E40" s="10" t="s">
        <v>205</v>
      </c>
      <c r="F40" s="12" t="s">
        <v>288</v>
      </c>
      <c r="G40" s="12">
        <v>0.02</v>
      </c>
      <c r="H40" s="12" t="s">
        <v>341</v>
      </c>
      <c r="I40" s="24">
        <v>0.92649999999999999</v>
      </c>
      <c r="J40" s="3" t="s">
        <v>398</v>
      </c>
      <c r="K40" s="8" t="s">
        <v>1132</v>
      </c>
      <c r="L40" s="3" t="s">
        <v>409</v>
      </c>
      <c r="M40" s="3" t="s">
        <v>223</v>
      </c>
      <c r="N40" s="3" t="s">
        <v>399</v>
      </c>
      <c r="O40" s="3" t="s">
        <v>294</v>
      </c>
      <c r="P4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0" s="9" t="s">
        <v>400</v>
      </c>
      <c r="W40" s="3" t="s">
        <v>13</v>
      </c>
      <c r="Y40" s="4">
        <v>45</v>
      </c>
      <c r="Z40" s="4">
        <v>90</v>
      </c>
      <c r="AA40" s="5">
        <f>Y40/Z40</f>
        <v>0.5</v>
      </c>
      <c r="AB40" s="5"/>
      <c r="AC4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0" s="97" t="str">
        <f>IF(Tabelle1[[#This Row],[Nicht einbezogen weil…]]="",IFERROR(1000*Tabelle1[[#This Row],[Formfaktor]]/Tabelle1[[#This Row],[Thickness '[mm']]],""),"")</f>
        <v/>
      </c>
      <c r="AE40" s="98" t="str">
        <f>IF(Tabelle1[[#This Row],[Nicht einbezogen weil…]]="",IFERROR(Tabelle1[[#This Row],[specific surface '[m^2/m^3']]]/Tabelle1[[#This Row],[Density 
'[g/cm3']]]/1000000,""),"")</f>
        <v/>
      </c>
      <c r="AF40" s="97" t="str">
        <f>IF(Tabelle1[[#This Row],[Nicht einbezogen weil…]]="",IFERROR(365*10*Tabelle1[[#This Row],[Abbaurate '[%/d']]]*Tabelle1[[#This Row],[Thickness '[mm']]]/Tabelle1[[#This Row],[Formfaktor]],""),"")</f>
        <v/>
      </c>
      <c r="AG40" s="99" t="str">
        <f>IF(OR(Tabelle1[[#This Row],[Nicht einbezogen weil…]]="",Tabelle1[[#This Row],[Nicht einbezogen weil…]]="nicht-natürlich"),IF(Tabelle1[[#This Row],[Formfaktor]]=2, 1,IF(Tabelle1[[#This Row],[Formfaktor]]=4,2,IF(Tabelle1[[#This Row],[Formfaktor]]=6,3,""))),"")</f>
        <v/>
      </c>
      <c r="AH4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0" s="71">
        <v>1</v>
      </c>
      <c r="AK4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0" s="3" t="s">
        <v>382</v>
      </c>
      <c r="AM40" s="3" t="s">
        <v>962</v>
      </c>
      <c r="AN40" s="3" t="s">
        <v>538</v>
      </c>
      <c r="AO40" s="3" t="s">
        <v>200</v>
      </c>
      <c r="AP40" s="3" t="s">
        <v>200</v>
      </c>
      <c r="AT40" s="10" t="s">
        <v>223</v>
      </c>
      <c r="AU40" s="13" t="s">
        <v>200</v>
      </c>
      <c r="AW40" s="10" t="s">
        <v>775</v>
      </c>
    </row>
    <row r="41" spans="2:49" ht="17.25" customHeight="1">
      <c r="B41" s="7" t="s">
        <v>67</v>
      </c>
      <c r="C41" s="3" t="s">
        <v>67</v>
      </c>
      <c r="D41" s="3" t="s">
        <v>200</v>
      </c>
      <c r="E41" s="10" t="s">
        <v>205</v>
      </c>
      <c r="F41" s="12" t="s">
        <v>288</v>
      </c>
      <c r="G41" s="12">
        <v>0.02</v>
      </c>
      <c r="H41" s="12" t="s">
        <v>341</v>
      </c>
      <c r="I41" s="24">
        <v>0.92649999999999999</v>
      </c>
      <c r="J41" s="3" t="s">
        <v>398</v>
      </c>
      <c r="K41" s="8" t="s">
        <v>1132</v>
      </c>
      <c r="L41" s="3" t="s">
        <v>409</v>
      </c>
      <c r="M41" s="3" t="s">
        <v>223</v>
      </c>
      <c r="N41" s="3" t="s">
        <v>399</v>
      </c>
      <c r="O41" s="3" t="s">
        <v>294</v>
      </c>
      <c r="P4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1" s="9" t="s">
        <v>400</v>
      </c>
      <c r="W41" s="3" t="s">
        <v>190</v>
      </c>
      <c r="Y41" s="332" t="s">
        <v>551</v>
      </c>
      <c r="Z41" s="4">
        <v>28</v>
      </c>
      <c r="AA41" s="5" t="s">
        <v>810</v>
      </c>
      <c r="AB41" s="5"/>
      <c r="AC4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1" s="97" t="str">
        <f>IF(Tabelle1[[#This Row],[Nicht einbezogen weil…]]="",IFERROR(1000*Tabelle1[[#This Row],[Formfaktor]]/Tabelle1[[#This Row],[Thickness '[mm']]],""),"")</f>
        <v/>
      </c>
      <c r="AE41" s="98" t="str">
        <f>IF(Tabelle1[[#This Row],[Nicht einbezogen weil…]]="",IFERROR(Tabelle1[[#This Row],[specific surface '[m^2/m^3']]]/Tabelle1[[#This Row],[Density 
'[g/cm3']]]/1000000,""),"")</f>
        <v/>
      </c>
      <c r="AF41" s="97" t="str">
        <f>IF(Tabelle1[[#This Row],[Nicht einbezogen weil…]]="",IFERROR(365*10*Tabelle1[[#This Row],[Abbaurate '[%/d']]]*Tabelle1[[#This Row],[Thickness '[mm']]]/Tabelle1[[#This Row],[Formfaktor]],""),"")</f>
        <v/>
      </c>
      <c r="AG41" s="99" t="str">
        <f>IF(OR(Tabelle1[[#This Row],[Nicht einbezogen weil…]]="",Tabelle1[[#This Row],[Nicht einbezogen weil…]]="nicht-natürlich"),IF(Tabelle1[[#This Row],[Formfaktor]]=2, 1,IF(Tabelle1[[#This Row],[Formfaktor]]=4,2,IF(Tabelle1[[#This Row],[Formfaktor]]=6,3,""))),"")</f>
        <v/>
      </c>
      <c r="AH4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1" s="71">
        <v>1</v>
      </c>
      <c r="AK4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1" s="3" t="s">
        <v>382</v>
      </c>
      <c r="AM41" s="3" t="s">
        <v>962</v>
      </c>
      <c r="AN41" s="3" t="s">
        <v>538</v>
      </c>
      <c r="AO41" s="3" t="s">
        <v>200</v>
      </c>
      <c r="AP41" s="3" t="s">
        <v>200</v>
      </c>
      <c r="AT41" s="10" t="s">
        <v>223</v>
      </c>
      <c r="AU41" s="13" t="s">
        <v>200</v>
      </c>
      <c r="AW41" s="10" t="s">
        <v>775</v>
      </c>
    </row>
    <row r="42" spans="2:49" ht="17.25" customHeight="1">
      <c r="B42" s="7" t="s">
        <v>781</v>
      </c>
      <c r="C42" s="3" t="s">
        <v>524</v>
      </c>
      <c r="D42" s="3" t="s">
        <v>200</v>
      </c>
      <c r="E42" s="10" t="s">
        <v>1127</v>
      </c>
      <c r="F42" s="12" t="s">
        <v>288</v>
      </c>
      <c r="G42" s="12">
        <v>0.05</v>
      </c>
      <c r="H42" s="12">
        <f>0.15*0.02</f>
        <v>3.0000000000000001E-3</v>
      </c>
      <c r="I42" s="24">
        <v>0.94950000000000001</v>
      </c>
      <c r="J42" s="3" t="s">
        <v>522</v>
      </c>
      <c r="M42" s="3" t="s">
        <v>200</v>
      </c>
      <c r="N42" s="3" t="s">
        <v>5</v>
      </c>
      <c r="O42" s="3" t="s">
        <v>358</v>
      </c>
      <c r="P4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42" s="4" t="s">
        <v>12</v>
      </c>
      <c r="W42" s="3" t="s">
        <v>13</v>
      </c>
      <c r="Y42" s="4">
        <v>0.91</v>
      </c>
      <c r="Z42" s="4">
        <v>150</v>
      </c>
      <c r="AA42" s="5">
        <f t="shared" ref="AA42:AA51" si="3">Y42/Z42</f>
        <v>6.0666666666666673E-3</v>
      </c>
      <c r="AB42" s="5"/>
      <c r="AC4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 s="97" t="str">
        <f>IF(Tabelle1[[#This Row],[Nicht einbezogen weil…]]="",IFERROR(1000*Tabelle1[[#This Row],[Formfaktor]]/Tabelle1[[#This Row],[Thickness '[mm']]],""),"")</f>
        <v/>
      </c>
      <c r="AE42" s="98" t="str">
        <f>IF(Tabelle1[[#This Row],[Nicht einbezogen weil…]]="",IFERROR(Tabelle1[[#This Row],[specific surface '[m^2/m^3']]]/Tabelle1[[#This Row],[Density 
'[g/cm3']]]/1000000,""),"")</f>
        <v/>
      </c>
      <c r="AF42" s="97" t="str">
        <f>IF(Tabelle1[[#This Row],[Nicht einbezogen weil…]]="",IFERROR(365*10*Tabelle1[[#This Row],[Abbaurate '[%/d']]]*Tabelle1[[#This Row],[Thickness '[mm']]]/Tabelle1[[#This Row],[Formfaktor]],""),"")</f>
        <v/>
      </c>
      <c r="AG42" s="99" t="str">
        <f>IF(OR(Tabelle1[[#This Row],[Nicht einbezogen weil…]]="",Tabelle1[[#This Row],[Nicht einbezogen weil…]]="nicht-natürlich"),IF(Tabelle1[[#This Row],[Formfaktor]]=2, 1,IF(Tabelle1[[#This Row],[Formfaktor]]=4,2,IF(Tabelle1[[#This Row],[Formfaktor]]=6,3,""))),"")</f>
        <v/>
      </c>
      <c r="AH4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 s="71">
        <v>1</v>
      </c>
      <c r="AK4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2" s="3" t="s">
        <v>261</v>
      </c>
      <c r="AM42" s="3" t="s">
        <v>967</v>
      </c>
      <c r="AO42" s="3" t="s">
        <v>200</v>
      </c>
      <c r="AP42" s="3" t="s">
        <v>200</v>
      </c>
      <c r="AQ42" s="3" t="s">
        <v>200</v>
      </c>
      <c r="AR42" s="2" t="s">
        <v>262</v>
      </c>
      <c r="AS42" s="2" t="s">
        <v>262</v>
      </c>
      <c r="AT42" s="10" t="s">
        <v>200</v>
      </c>
      <c r="AU42" s="13" t="s">
        <v>200</v>
      </c>
      <c r="AW42" s="10" t="s">
        <v>796</v>
      </c>
    </row>
    <row r="43" spans="2:49" ht="17.25" customHeight="1">
      <c r="B43" s="7" t="s">
        <v>781</v>
      </c>
      <c r="C43" s="3" t="s">
        <v>527</v>
      </c>
      <c r="D43" s="3" t="s">
        <v>200</v>
      </c>
      <c r="E43" s="10" t="s">
        <v>1127</v>
      </c>
      <c r="F43" s="12" t="s">
        <v>288</v>
      </c>
      <c r="G43" s="12">
        <v>0.27</v>
      </c>
      <c r="H43" s="12">
        <f>0.15*0.02</f>
        <v>3.0000000000000001E-3</v>
      </c>
      <c r="I43" s="24">
        <v>0.94950000000000001</v>
      </c>
      <c r="J43" s="3" t="s">
        <v>528</v>
      </c>
      <c r="M43" s="3" t="s">
        <v>200</v>
      </c>
      <c r="N43" s="3" t="s">
        <v>5</v>
      </c>
      <c r="O43" s="3" t="s">
        <v>358</v>
      </c>
      <c r="P4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43" s="4" t="s">
        <v>12</v>
      </c>
      <c r="W43" s="3" t="s">
        <v>13</v>
      </c>
      <c r="Y43" s="4">
        <v>0.79</v>
      </c>
      <c r="Z43" s="4">
        <v>150</v>
      </c>
      <c r="AA43" s="5">
        <f t="shared" si="3"/>
        <v>5.2666666666666669E-3</v>
      </c>
      <c r="AB43" s="5"/>
      <c r="AC4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3" s="97" t="str">
        <f>IF(Tabelle1[[#This Row],[Nicht einbezogen weil…]]="",IFERROR(1000*Tabelle1[[#This Row],[Formfaktor]]/Tabelle1[[#This Row],[Thickness '[mm']]],""),"")</f>
        <v/>
      </c>
      <c r="AE43" s="98" t="str">
        <f>IF(Tabelle1[[#This Row],[Nicht einbezogen weil…]]="",IFERROR(Tabelle1[[#This Row],[specific surface '[m^2/m^3']]]/Tabelle1[[#This Row],[Density 
'[g/cm3']]]/1000000,""),"")</f>
        <v/>
      </c>
      <c r="AF43" s="97" t="str">
        <f>IF(Tabelle1[[#This Row],[Nicht einbezogen weil…]]="",IFERROR(365*10*Tabelle1[[#This Row],[Abbaurate '[%/d']]]*Tabelle1[[#This Row],[Thickness '[mm']]]/Tabelle1[[#This Row],[Formfaktor]],""),"")</f>
        <v/>
      </c>
      <c r="AG43" s="99" t="str">
        <f>IF(OR(Tabelle1[[#This Row],[Nicht einbezogen weil…]]="",Tabelle1[[#This Row],[Nicht einbezogen weil…]]="nicht-natürlich"),IF(Tabelle1[[#This Row],[Formfaktor]]=2, 1,IF(Tabelle1[[#This Row],[Formfaktor]]=4,2,IF(Tabelle1[[#This Row],[Formfaktor]]=6,3,""))),"")</f>
        <v/>
      </c>
      <c r="AH4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 s="71">
        <v>1</v>
      </c>
      <c r="AK4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3" s="3" t="s">
        <v>261</v>
      </c>
      <c r="AM43" s="3" t="s">
        <v>967</v>
      </c>
      <c r="AO43" s="3" t="s">
        <v>200</v>
      </c>
      <c r="AP43" s="3" t="s">
        <v>200</v>
      </c>
      <c r="AQ43" s="3" t="s">
        <v>200</v>
      </c>
      <c r="AR43" s="2" t="s">
        <v>262</v>
      </c>
      <c r="AS43" s="2" t="s">
        <v>262</v>
      </c>
      <c r="AT43" s="10" t="s">
        <v>200</v>
      </c>
      <c r="AU43" s="13" t="s">
        <v>200</v>
      </c>
      <c r="AW43" s="10" t="s">
        <v>796</v>
      </c>
    </row>
    <row r="44" spans="2:49" ht="17.25" customHeight="1">
      <c r="B44" s="7" t="s">
        <v>781</v>
      </c>
      <c r="C44" s="3" t="s">
        <v>524</v>
      </c>
      <c r="D44" s="3" t="s">
        <v>200</v>
      </c>
      <c r="E44" s="10" t="s">
        <v>1127</v>
      </c>
      <c r="F44" s="12" t="s">
        <v>288</v>
      </c>
      <c r="G44" s="12">
        <v>0.05</v>
      </c>
      <c r="H44" s="12">
        <f>0.15*0.02</f>
        <v>3.0000000000000001E-3</v>
      </c>
      <c r="I44" s="24">
        <v>0.94950000000000001</v>
      </c>
      <c r="J44" s="3" t="s">
        <v>522</v>
      </c>
      <c r="M44" s="3" t="s">
        <v>200</v>
      </c>
      <c r="N44" s="3" t="s">
        <v>23</v>
      </c>
      <c r="O44" s="3" t="s">
        <v>23</v>
      </c>
      <c r="P4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44" s="4" t="s">
        <v>12</v>
      </c>
      <c r="W44" s="3" t="s">
        <v>13</v>
      </c>
      <c r="Y44" s="4">
        <v>7.82</v>
      </c>
      <c r="Z44" s="4">
        <v>150</v>
      </c>
      <c r="AA44" s="5">
        <f t="shared" si="3"/>
        <v>5.2133333333333337E-2</v>
      </c>
      <c r="AB44" s="5"/>
      <c r="AC4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4" s="97" t="str">
        <f>IF(Tabelle1[[#This Row],[Nicht einbezogen weil…]]="",IFERROR(1000*Tabelle1[[#This Row],[Formfaktor]]/Tabelle1[[#This Row],[Thickness '[mm']]],""),"")</f>
        <v/>
      </c>
      <c r="AE44" s="98" t="str">
        <f>IF(Tabelle1[[#This Row],[Nicht einbezogen weil…]]="",IFERROR(Tabelle1[[#This Row],[specific surface '[m^2/m^3']]]/Tabelle1[[#This Row],[Density 
'[g/cm3']]]/1000000,""),"")</f>
        <v/>
      </c>
      <c r="AF44" s="97" t="str">
        <f>IF(Tabelle1[[#This Row],[Nicht einbezogen weil…]]="",IFERROR(365*10*Tabelle1[[#This Row],[Abbaurate '[%/d']]]*Tabelle1[[#This Row],[Thickness '[mm']]]/Tabelle1[[#This Row],[Formfaktor]],""),"")</f>
        <v/>
      </c>
      <c r="AG44" s="99" t="str">
        <f>IF(OR(Tabelle1[[#This Row],[Nicht einbezogen weil…]]="",Tabelle1[[#This Row],[Nicht einbezogen weil…]]="nicht-natürlich"),IF(Tabelle1[[#This Row],[Formfaktor]]=2, 1,IF(Tabelle1[[#This Row],[Formfaktor]]=4,2,IF(Tabelle1[[#This Row],[Formfaktor]]=6,3,""))),"")</f>
        <v/>
      </c>
      <c r="AH4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4" s="71">
        <v>1</v>
      </c>
      <c r="AK4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4" s="3" t="s">
        <v>261</v>
      </c>
      <c r="AM44" s="3" t="s">
        <v>967</v>
      </c>
      <c r="AO44" s="3" t="s">
        <v>200</v>
      </c>
      <c r="AP44" s="3" t="s">
        <v>200</v>
      </c>
      <c r="AQ44" s="3" t="s">
        <v>200</v>
      </c>
      <c r="AR44" s="2" t="s">
        <v>262</v>
      </c>
      <c r="AS44" s="2" t="s">
        <v>262</v>
      </c>
      <c r="AT44" s="10" t="s">
        <v>200</v>
      </c>
      <c r="AU44" s="13" t="s">
        <v>200</v>
      </c>
      <c r="AW44" s="10" t="s">
        <v>796</v>
      </c>
    </row>
    <row r="45" spans="2:49" ht="17.25" customHeight="1">
      <c r="B45" s="7" t="s">
        <v>781</v>
      </c>
      <c r="C45" s="3" t="s">
        <v>527</v>
      </c>
      <c r="D45" s="3" t="s">
        <v>200</v>
      </c>
      <c r="E45" s="10" t="s">
        <v>1127</v>
      </c>
      <c r="F45" s="12" t="s">
        <v>288</v>
      </c>
      <c r="G45" s="12">
        <v>0.27</v>
      </c>
      <c r="H45" s="12">
        <f>0.15*0.02</f>
        <v>3.0000000000000001E-3</v>
      </c>
      <c r="I45" s="24">
        <v>0.94950000000000001</v>
      </c>
      <c r="J45" s="3" t="s">
        <v>528</v>
      </c>
      <c r="M45" s="3" t="s">
        <v>200</v>
      </c>
      <c r="N45" s="3" t="s">
        <v>23</v>
      </c>
      <c r="O45" s="3" t="s">
        <v>23</v>
      </c>
      <c r="P4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45" s="4" t="s">
        <v>12</v>
      </c>
      <c r="W45" s="3" t="s">
        <v>13</v>
      </c>
      <c r="Y45" s="4">
        <v>6.9</v>
      </c>
      <c r="Z45" s="4">
        <v>150</v>
      </c>
      <c r="AA45" s="5">
        <f t="shared" si="3"/>
        <v>4.5999999999999999E-2</v>
      </c>
      <c r="AB45" s="5"/>
      <c r="AC4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5" s="97" t="str">
        <f>IF(Tabelle1[[#This Row],[Nicht einbezogen weil…]]="",IFERROR(1000*Tabelle1[[#This Row],[Formfaktor]]/Tabelle1[[#This Row],[Thickness '[mm']]],""),"")</f>
        <v/>
      </c>
      <c r="AE45" s="98" t="str">
        <f>IF(Tabelle1[[#This Row],[Nicht einbezogen weil…]]="",IFERROR(Tabelle1[[#This Row],[specific surface '[m^2/m^3']]]/Tabelle1[[#This Row],[Density 
'[g/cm3']]]/1000000,""),"")</f>
        <v/>
      </c>
      <c r="AF45" s="97" t="str">
        <f>IF(Tabelle1[[#This Row],[Nicht einbezogen weil…]]="",IFERROR(365*10*Tabelle1[[#This Row],[Abbaurate '[%/d']]]*Tabelle1[[#This Row],[Thickness '[mm']]]/Tabelle1[[#This Row],[Formfaktor]],""),"")</f>
        <v/>
      </c>
      <c r="AG45" s="99" t="str">
        <f>IF(OR(Tabelle1[[#This Row],[Nicht einbezogen weil…]]="",Tabelle1[[#This Row],[Nicht einbezogen weil…]]="nicht-natürlich"),IF(Tabelle1[[#This Row],[Formfaktor]]=2, 1,IF(Tabelle1[[#This Row],[Formfaktor]]=4,2,IF(Tabelle1[[#This Row],[Formfaktor]]=6,3,""))),"")</f>
        <v/>
      </c>
      <c r="AH4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5" s="71">
        <v>1</v>
      </c>
      <c r="AK4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5" s="3" t="s">
        <v>261</v>
      </c>
      <c r="AM45" s="3" t="s">
        <v>967</v>
      </c>
      <c r="AO45" s="3" t="s">
        <v>200</v>
      </c>
      <c r="AP45" s="3" t="s">
        <v>200</v>
      </c>
      <c r="AQ45" s="3" t="s">
        <v>200</v>
      </c>
      <c r="AR45" s="2" t="s">
        <v>262</v>
      </c>
      <c r="AS45" s="2" t="s">
        <v>262</v>
      </c>
      <c r="AT45" s="10" t="s">
        <v>200</v>
      </c>
      <c r="AU45" s="13" t="s">
        <v>200</v>
      </c>
      <c r="AW45" s="10" t="s">
        <v>796</v>
      </c>
    </row>
    <row r="46" spans="2:49" ht="17.25" customHeight="1">
      <c r="B46" s="7" t="s">
        <v>67</v>
      </c>
      <c r="C46" s="3" t="s">
        <v>67</v>
      </c>
      <c r="D46" s="3" t="s">
        <v>200</v>
      </c>
      <c r="E46" s="10" t="s">
        <v>205</v>
      </c>
      <c r="F46" s="12" t="s">
        <v>288</v>
      </c>
      <c r="G46" s="12">
        <v>0.4</v>
      </c>
      <c r="H46" s="12">
        <f>0.05*0.05</f>
        <v>2.5000000000000005E-3</v>
      </c>
      <c r="I46" s="24">
        <v>0.92649999999999999</v>
      </c>
      <c r="J46" s="3" t="s">
        <v>487</v>
      </c>
      <c r="L46" s="3" t="s">
        <v>289</v>
      </c>
      <c r="M46" s="3" t="s">
        <v>223</v>
      </c>
      <c r="N46" s="3" t="s">
        <v>290</v>
      </c>
      <c r="O46" s="3" t="s">
        <v>358</v>
      </c>
      <c r="P4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6" s="4">
        <v>30</v>
      </c>
      <c r="S46" s="4" t="s">
        <v>16</v>
      </c>
      <c r="W46" s="3" t="s">
        <v>13</v>
      </c>
      <c r="Y46" s="4">
        <v>0.43</v>
      </c>
      <c r="Z46" s="4">
        <v>84</v>
      </c>
      <c r="AA46" s="5">
        <f t="shared" si="3"/>
        <v>5.1190476190476186E-3</v>
      </c>
      <c r="AB46" s="5"/>
      <c r="AC4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6" s="97" t="str">
        <f>IF(Tabelle1[[#This Row],[Nicht einbezogen weil…]]="",IFERROR(1000*Tabelle1[[#This Row],[Formfaktor]]/Tabelle1[[#This Row],[Thickness '[mm']]],""),"")</f>
        <v/>
      </c>
      <c r="AE46" s="98" t="str">
        <f>IF(Tabelle1[[#This Row],[Nicht einbezogen weil…]]="",IFERROR(Tabelle1[[#This Row],[specific surface '[m^2/m^3']]]/Tabelle1[[#This Row],[Density 
'[g/cm3']]]/1000000,""),"")</f>
        <v/>
      </c>
      <c r="AF46" s="97" t="str">
        <f>IF(Tabelle1[[#This Row],[Nicht einbezogen weil…]]="",IFERROR(365*10*Tabelle1[[#This Row],[Abbaurate '[%/d']]]*Tabelle1[[#This Row],[Thickness '[mm']]]/Tabelle1[[#This Row],[Formfaktor]],""),"")</f>
        <v/>
      </c>
      <c r="AG46" s="99" t="str">
        <f>IF(OR(Tabelle1[[#This Row],[Nicht einbezogen weil…]]="",Tabelle1[[#This Row],[Nicht einbezogen weil…]]="nicht-natürlich"),IF(Tabelle1[[#This Row],[Formfaktor]]=2, 1,IF(Tabelle1[[#This Row],[Formfaktor]]=4,2,IF(Tabelle1[[#This Row],[Formfaktor]]=6,3,""))),"")</f>
        <v/>
      </c>
      <c r="AH4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 s="71">
        <v>1</v>
      </c>
      <c r="AK4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6" s="3" t="s">
        <v>291</v>
      </c>
      <c r="AM46" s="3" t="s">
        <v>967</v>
      </c>
      <c r="AO46" s="3" t="s">
        <v>200</v>
      </c>
      <c r="AP46" s="3" t="s">
        <v>200</v>
      </c>
      <c r="AT46" s="10" t="s">
        <v>200</v>
      </c>
      <c r="AU46" s="13" t="s">
        <v>200</v>
      </c>
      <c r="AW46" s="10" t="s">
        <v>775</v>
      </c>
    </row>
    <row r="47" spans="2:49" ht="17.25" customHeight="1">
      <c r="B47" s="7" t="s">
        <v>67</v>
      </c>
      <c r="C47" s="3" t="s">
        <v>67</v>
      </c>
      <c r="D47" s="3" t="s">
        <v>200</v>
      </c>
      <c r="E47" s="10" t="s">
        <v>203</v>
      </c>
      <c r="F47" s="12" t="s">
        <v>288</v>
      </c>
      <c r="G47" s="12">
        <v>4.2000000000000003E-2</v>
      </c>
      <c r="H47" s="12">
        <f>0.0254*0.1524</f>
        <v>3.8709600000000001E-3</v>
      </c>
      <c r="I47" s="24">
        <v>0.92649999999999999</v>
      </c>
      <c r="J47" s="3" t="s">
        <v>201</v>
      </c>
      <c r="K47" s="8" t="s">
        <v>204</v>
      </c>
      <c r="M47" s="3" t="s">
        <v>223</v>
      </c>
      <c r="N47" s="3" t="s">
        <v>159</v>
      </c>
      <c r="O47" s="3" t="s">
        <v>358</v>
      </c>
      <c r="P4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47" s="4" t="s">
        <v>161</v>
      </c>
      <c r="W47" s="3" t="s">
        <v>13</v>
      </c>
      <c r="Y47" s="6">
        <v>3</v>
      </c>
      <c r="Z47" s="4">
        <f>3*365</f>
        <v>1095</v>
      </c>
      <c r="AA47" s="5">
        <f t="shared" si="3"/>
        <v>2.7397260273972603E-3</v>
      </c>
      <c r="AB47" s="5"/>
      <c r="AC4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7" s="97" t="str">
        <f>IF(Tabelle1[[#This Row],[Nicht einbezogen weil…]]="",IFERROR(1000*Tabelle1[[#This Row],[Formfaktor]]/Tabelle1[[#This Row],[Thickness '[mm']]],""),"")</f>
        <v/>
      </c>
      <c r="AE47" s="98" t="str">
        <f>IF(Tabelle1[[#This Row],[Nicht einbezogen weil…]]="",IFERROR(Tabelle1[[#This Row],[specific surface '[m^2/m^3']]]/Tabelle1[[#This Row],[Density 
'[g/cm3']]]/1000000,""),"")</f>
        <v/>
      </c>
      <c r="AF47" s="97" t="str">
        <f>IF(Tabelle1[[#This Row],[Nicht einbezogen weil…]]="",IFERROR(365*10*Tabelle1[[#This Row],[Abbaurate '[%/d']]]*Tabelle1[[#This Row],[Thickness '[mm']]]/Tabelle1[[#This Row],[Formfaktor]],""),"")</f>
        <v/>
      </c>
      <c r="AG47" s="99" t="str">
        <f>IF(OR(Tabelle1[[#This Row],[Nicht einbezogen weil…]]="",Tabelle1[[#This Row],[Nicht einbezogen weil…]]="nicht-natürlich"),IF(Tabelle1[[#This Row],[Formfaktor]]=2, 1,IF(Tabelle1[[#This Row],[Formfaktor]]=4,2,IF(Tabelle1[[#This Row],[Formfaktor]]=6,3,""))),"")</f>
        <v/>
      </c>
      <c r="AH4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 s="71">
        <v>1</v>
      </c>
      <c r="AK4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7" s="3" t="s">
        <v>160</v>
      </c>
      <c r="AO47" s="3" t="s">
        <v>235</v>
      </c>
      <c r="AP47" s="3" t="s">
        <v>235</v>
      </c>
      <c r="AR47" s="2" t="s">
        <v>200</v>
      </c>
      <c r="AT47" s="10" t="s">
        <v>223</v>
      </c>
      <c r="AU47" s="13" t="s">
        <v>200</v>
      </c>
      <c r="AW47" s="10" t="s">
        <v>775</v>
      </c>
    </row>
    <row r="48" spans="2:49" ht="17.25" customHeight="1">
      <c r="B48" s="11" t="s">
        <v>67</v>
      </c>
      <c r="C48" s="3" t="s">
        <v>67</v>
      </c>
      <c r="D48" s="3" t="s">
        <v>223</v>
      </c>
      <c r="E48" s="10"/>
      <c r="F48" s="12" t="s">
        <v>371</v>
      </c>
      <c r="G48" s="12" t="s">
        <v>341</v>
      </c>
      <c r="H48" s="12" t="s">
        <v>341</v>
      </c>
      <c r="I48" s="24">
        <v>0.92649999999999999</v>
      </c>
      <c r="J48" s="3" t="s">
        <v>610</v>
      </c>
      <c r="K48" s="8" t="s">
        <v>687</v>
      </c>
      <c r="M48" s="3" t="s">
        <v>301</v>
      </c>
      <c r="N48" s="3" t="s">
        <v>94</v>
      </c>
      <c r="O48" s="3" t="s">
        <v>23</v>
      </c>
      <c r="P4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48" s="3" t="s">
        <v>190</v>
      </c>
      <c r="Y48" s="4">
        <v>3.3</v>
      </c>
      <c r="Z48" s="4">
        <v>180</v>
      </c>
      <c r="AA48" s="5">
        <f t="shared" si="3"/>
        <v>1.8333333333333333E-2</v>
      </c>
      <c r="AB48" s="5"/>
      <c r="AC4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8" s="97" t="str">
        <f>IF(Tabelle1[[#This Row],[Nicht einbezogen weil…]]="",IFERROR(1000*Tabelle1[[#This Row],[Formfaktor]]/Tabelle1[[#This Row],[Thickness '[mm']]],""),"")</f>
        <v/>
      </c>
      <c r="AE48" s="98" t="str">
        <f>IF(Tabelle1[[#This Row],[Nicht einbezogen weil…]]="",IFERROR(Tabelle1[[#This Row],[specific surface '[m^2/m^3']]]/Tabelle1[[#This Row],[Density 
'[g/cm3']]]/1000000,""),"")</f>
        <v/>
      </c>
      <c r="AF48" s="97" t="str">
        <f>IF(Tabelle1[[#This Row],[Nicht einbezogen weil…]]="",IFERROR(365*10*Tabelle1[[#This Row],[Abbaurate '[%/d']]]*Tabelle1[[#This Row],[Thickness '[mm']]]/Tabelle1[[#This Row],[Formfaktor]],""),"")</f>
        <v/>
      </c>
      <c r="AG48" s="99" t="str">
        <f>IF(OR(Tabelle1[[#This Row],[Nicht einbezogen weil…]]="",Tabelle1[[#This Row],[Nicht einbezogen weil…]]="nicht-natürlich"),IF(Tabelle1[[#This Row],[Formfaktor]]=2, 1,IF(Tabelle1[[#This Row],[Formfaktor]]=4,2,IF(Tabelle1[[#This Row],[Formfaktor]]=6,3,""))),"")</f>
        <v/>
      </c>
      <c r="AH4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8" s="71">
        <v>1</v>
      </c>
      <c r="AK4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8" s="3" t="s">
        <v>76</v>
      </c>
      <c r="AM48" s="17" t="s">
        <v>596</v>
      </c>
      <c r="AN48" s="3" t="s">
        <v>538</v>
      </c>
      <c r="AO48" s="3" t="s">
        <v>235</v>
      </c>
      <c r="AP48" s="3" t="s">
        <v>235</v>
      </c>
      <c r="AT48" s="10" t="s">
        <v>223</v>
      </c>
      <c r="AU48" s="13" t="s">
        <v>200</v>
      </c>
      <c r="AW48" s="10" t="s">
        <v>775</v>
      </c>
    </row>
    <row r="49" spans="2:49" ht="17.25" customHeight="1">
      <c r="B49" s="329" t="s">
        <v>67</v>
      </c>
      <c r="C49" s="3" t="s">
        <v>67</v>
      </c>
      <c r="D49" s="3" t="s">
        <v>200</v>
      </c>
      <c r="E49" s="10" t="s">
        <v>205</v>
      </c>
      <c r="F49" s="3" t="s">
        <v>288</v>
      </c>
      <c r="G49" s="3">
        <v>0.02</v>
      </c>
      <c r="H49" s="3">
        <f>0.05*0.01</f>
        <v>5.0000000000000001E-4</v>
      </c>
      <c r="I49" s="24">
        <v>0.92649999999999999</v>
      </c>
      <c r="J49" s="3" t="s">
        <v>904</v>
      </c>
      <c r="K49" s="8" t="s">
        <v>229</v>
      </c>
      <c r="L49" s="3" t="s">
        <v>902</v>
      </c>
      <c r="M49" s="3" t="s">
        <v>223</v>
      </c>
      <c r="N49" s="3" t="s">
        <v>901</v>
      </c>
      <c r="O49" s="3" t="s">
        <v>294</v>
      </c>
      <c r="P4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9" s="4">
        <v>55</v>
      </c>
      <c r="W49" s="3" t="s">
        <v>13</v>
      </c>
      <c r="Y49" s="4">
        <v>75</v>
      </c>
      <c r="Z49" s="4">
        <v>120</v>
      </c>
      <c r="AA49" s="5">
        <f t="shared" si="3"/>
        <v>0.625</v>
      </c>
      <c r="AB49" s="5"/>
      <c r="AC4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9" s="97" t="str">
        <f>IF(Tabelle1[[#This Row],[Nicht einbezogen weil…]]="",IFERROR(1000*Tabelle1[[#This Row],[Formfaktor]]/Tabelle1[[#This Row],[Thickness '[mm']]],""),"")</f>
        <v/>
      </c>
      <c r="AE49" s="98" t="str">
        <f>IF(Tabelle1[[#This Row],[Nicht einbezogen weil…]]="",IFERROR(Tabelle1[[#This Row],[specific surface '[m^2/m^3']]]/Tabelle1[[#This Row],[Density 
'[g/cm3']]]/1000000,""),"")</f>
        <v/>
      </c>
      <c r="AF49" s="97" t="str">
        <f>IF(Tabelle1[[#This Row],[Nicht einbezogen weil…]]="",IFERROR(365*10*Tabelle1[[#This Row],[Abbaurate '[%/d']]]*Tabelle1[[#This Row],[Thickness '[mm']]]/Tabelle1[[#This Row],[Formfaktor]],""),"")</f>
        <v/>
      </c>
      <c r="AG49" s="99" t="str">
        <f>IF(OR(Tabelle1[[#This Row],[Nicht einbezogen weil…]]="",Tabelle1[[#This Row],[Nicht einbezogen weil…]]="nicht-natürlich"),IF(Tabelle1[[#This Row],[Formfaktor]]=2, 1,IF(Tabelle1[[#This Row],[Formfaktor]]=4,2,IF(Tabelle1[[#This Row],[Formfaktor]]=6,3,""))),"")</f>
        <v/>
      </c>
      <c r="AH4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9" s="6">
        <v>1</v>
      </c>
      <c r="AK4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9" s="323" t="s">
        <v>834</v>
      </c>
      <c r="AM49" s="3" t="s">
        <v>855</v>
      </c>
      <c r="AN49" s="3" t="s">
        <v>824</v>
      </c>
      <c r="AO49" s="3" t="s">
        <v>200</v>
      </c>
      <c r="AP49" s="3" t="s">
        <v>200</v>
      </c>
      <c r="AU49" s="13" t="s">
        <v>200</v>
      </c>
      <c r="AW49" s="10" t="s">
        <v>813</v>
      </c>
    </row>
    <row r="50" spans="2:49" ht="17.25" customHeight="1">
      <c r="B50" s="329" t="s">
        <v>67</v>
      </c>
      <c r="C50" s="3" t="s">
        <v>67</v>
      </c>
      <c r="D50" s="3" t="s">
        <v>200</v>
      </c>
      <c r="E50" s="10" t="s">
        <v>205</v>
      </c>
      <c r="F50" s="3" t="s">
        <v>331</v>
      </c>
      <c r="G50" s="3">
        <v>2.5</v>
      </c>
      <c r="H50" s="3" t="s">
        <v>341</v>
      </c>
      <c r="I50" s="24">
        <v>0.92649999999999999</v>
      </c>
      <c r="J50" s="3" t="s">
        <v>905</v>
      </c>
      <c r="K50" s="8" t="s">
        <v>229</v>
      </c>
      <c r="L50" s="3" t="s">
        <v>902</v>
      </c>
      <c r="M50" s="3" t="s">
        <v>223</v>
      </c>
      <c r="N50" s="3" t="s">
        <v>901</v>
      </c>
      <c r="O50" s="3" t="s">
        <v>294</v>
      </c>
      <c r="P5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50" s="4">
        <v>55</v>
      </c>
      <c r="W50" s="3" t="s">
        <v>13</v>
      </c>
      <c r="Y50" s="4">
        <v>55</v>
      </c>
      <c r="Z50" s="4">
        <v>120</v>
      </c>
      <c r="AA50" s="5">
        <f t="shared" si="3"/>
        <v>0.45833333333333331</v>
      </c>
      <c r="AB50" s="5"/>
      <c r="AC5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0" s="97" t="str">
        <f>IF(Tabelle1[[#This Row],[Nicht einbezogen weil…]]="",IFERROR(1000*Tabelle1[[#This Row],[Formfaktor]]/Tabelle1[[#This Row],[Thickness '[mm']]],""),"")</f>
        <v/>
      </c>
      <c r="AE50" s="98" t="str">
        <f>IF(Tabelle1[[#This Row],[Nicht einbezogen weil…]]="",IFERROR(Tabelle1[[#This Row],[specific surface '[m^2/m^3']]]/Tabelle1[[#This Row],[Density 
'[g/cm3']]]/1000000,""),"")</f>
        <v/>
      </c>
      <c r="AF50" s="97" t="str">
        <f>IF(Tabelle1[[#This Row],[Nicht einbezogen weil…]]="",IFERROR(365*10*Tabelle1[[#This Row],[Abbaurate '[%/d']]]*Tabelle1[[#This Row],[Thickness '[mm']]]/Tabelle1[[#This Row],[Formfaktor]],""),"")</f>
        <v/>
      </c>
      <c r="AG50" s="99" t="str">
        <f>IF(OR(Tabelle1[[#This Row],[Nicht einbezogen weil…]]="",Tabelle1[[#This Row],[Nicht einbezogen weil…]]="nicht-natürlich"),IF(Tabelle1[[#This Row],[Formfaktor]]=2, 1,IF(Tabelle1[[#This Row],[Formfaktor]]=4,2,IF(Tabelle1[[#This Row],[Formfaktor]]=6,3,""))),"")</f>
        <v/>
      </c>
      <c r="AH5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0" s="6">
        <v>1</v>
      </c>
      <c r="AK5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0" s="323" t="s">
        <v>834</v>
      </c>
      <c r="AM50" s="3" t="s">
        <v>855</v>
      </c>
      <c r="AN50" s="3" t="s">
        <v>824</v>
      </c>
      <c r="AO50" s="3" t="s">
        <v>200</v>
      </c>
      <c r="AP50" s="3" t="s">
        <v>200</v>
      </c>
      <c r="AU50" s="13" t="s">
        <v>200</v>
      </c>
      <c r="AW50" s="10" t="s">
        <v>813</v>
      </c>
    </row>
    <row r="51" spans="2:49" ht="17.25" customHeight="1">
      <c r="B51" s="7" t="s">
        <v>67</v>
      </c>
      <c r="C51" s="3" t="s">
        <v>67</v>
      </c>
      <c r="D51" s="3" t="s">
        <v>200</v>
      </c>
      <c r="E51" s="10" t="s">
        <v>205</v>
      </c>
      <c r="F51" s="3" t="s">
        <v>288</v>
      </c>
      <c r="G51" s="3">
        <v>0.1</v>
      </c>
      <c r="H51" s="3">
        <f>0.01*0.005</f>
        <v>5.0000000000000002E-5</v>
      </c>
      <c r="I51" s="3">
        <v>0.92</v>
      </c>
      <c r="J51" s="3" t="s">
        <v>884</v>
      </c>
      <c r="K51" s="8" t="s">
        <v>229</v>
      </c>
      <c r="L51" s="322" t="s">
        <v>885</v>
      </c>
      <c r="M51" s="3" t="s">
        <v>223</v>
      </c>
      <c r="N51" s="3" t="s">
        <v>294</v>
      </c>
      <c r="O51" s="3" t="s">
        <v>294</v>
      </c>
      <c r="P5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V51" s="4" t="s">
        <v>734</v>
      </c>
      <c r="W51" s="3" t="s">
        <v>478</v>
      </c>
      <c r="X51" s="3" t="s">
        <v>886</v>
      </c>
      <c r="AA51" s="5" t="e">
        <f t="shared" si="3"/>
        <v>#DIV/0!</v>
      </c>
      <c r="AB51" s="5"/>
      <c r="AC5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1" s="97" t="str">
        <f>IF(Tabelle1[[#This Row],[Nicht einbezogen weil…]]="",IFERROR(1000*Tabelle1[[#This Row],[Formfaktor]]/Tabelle1[[#This Row],[Thickness '[mm']]],""),"")</f>
        <v/>
      </c>
      <c r="AE51" s="98" t="str">
        <f>IF(Tabelle1[[#This Row],[Nicht einbezogen weil…]]="",IFERROR(Tabelle1[[#This Row],[specific surface '[m^2/m^3']]]/Tabelle1[[#This Row],[Density 
'[g/cm3']]]/1000000,""),"")</f>
        <v/>
      </c>
      <c r="AF51" s="97" t="str">
        <f>IF(Tabelle1[[#This Row],[Nicht einbezogen weil…]]="",IFERROR(365*10*Tabelle1[[#This Row],[Abbaurate '[%/d']]]*Tabelle1[[#This Row],[Thickness '[mm']]]/Tabelle1[[#This Row],[Formfaktor]],""),"")</f>
        <v/>
      </c>
      <c r="AG51" s="99" t="str">
        <f>IF(OR(Tabelle1[[#This Row],[Nicht einbezogen weil…]]="",Tabelle1[[#This Row],[Nicht einbezogen weil…]]="nicht-natürlich"),IF(Tabelle1[[#This Row],[Formfaktor]]=2, 1,IF(Tabelle1[[#This Row],[Formfaktor]]=4,2,IF(Tabelle1[[#This Row],[Formfaktor]]=6,3,""))),"")</f>
        <v/>
      </c>
      <c r="AH5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1" s="6">
        <v>0</v>
      </c>
      <c r="AK5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51" s="323" t="s">
        <v>832</v>
      </c>
      <c r="AM51" s="3" t="s">
        <v>855</v>
      </c>
      <c r="AN51" s="3" t="s">
        <v>824</v>
      </c>
      <c r="AO51" s="3" t="s">
        <v>200</v>
      </c>
      <c r="AP51" s="3" t="s">
        <v>200</v>
      </c>
      <c r="AQ51" s="3" t="s">
        <v>223</v>
      </c>
      <c r="AU51" s="13" t="s">
        <v>200</v>
      </c>
      <c r="AW51" s="10" t="s">
        <v>887</v>
      </c>
    </row>
    <row r="52" spans="2:49" ht="17.25" customHeight="1">
      <c r="B52" s="7" t="s">
        <v>67</v>
      </c>
      <c r="C52" s="3" t="s">
        <v>67</v>
      </c>
      <c r="D52" s="3" t="s">
        <v>200</v>
      </c>
      <c r="E52" s="10" t="s">
        <v>205</v>
      </c>
      <c r="F52" s="3" t="s">
        <v>288</v>
      </c>
      <c r="G52" s="3" t="s">
        <v>341</v>
      </c>
      <c r="H52" s="3">
        <f>0.05*0.01</f>
        <v>5.0000000000000001E-4</v>
      </c>
      <c r="I52" s="24">
        <v>0.92649999999999999</v>
      </c>
      <c r="K52" s="8" t="s">
        <v>229</v>
      </c>
      <c r="L52" s="3" t="s">
        <v>928</v>
      </c>
      <c r="M52" s="3" t="s">
        <v>223</v>
      </c>
      <c r="N52" s="3" t="s">
        <v>901</v>
      </c>
      <c r="O52" s="3" t="s">
        <v>294</v>
      </c>
      <c r="P5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52" s="9" t="s">
        <v>930</v>
      </c>
      <c r="R52" s="9" t="s">
        <v>929</v>
      </c>
      <c r="W52" s="3" t="s">
        <v>13</v>
      </c>
      <c r="Y52" s="9" t="s">
        <v>931</v>
      </c>
      <c r="Z52" s="4">
        <v>120</v>
      </c>
      <c r="AA52" s="5">
        <f>70/Z52</f>
        <v>0.58333333333333337</v>
      </c>
      <c r="AB52" s="5"/>
      <c r="AC5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2" s="97" t="str">
        <f>IF(Tabelle1[[#This Row],[Nicht einbezogen weil…]]="",IFERROR(1000*Tabelle1[[#This Row],[Formfaktor]]/Tabelle1[[#This Row],[Thickness '[mm']]],""),"")</f>
        <v/>
      </c>
      <c r="AE52" s="98" t="str">
        <f>IF(Tabelle1[[#This Row],[Nicht einbezogen weil…]]="",IFERROR(Tabelle1[[#This Row],[specific surface '[m^2/m^3']]]/Tabelle1[[#This Row],[Density 
'[g/cm3']]]/1000000,""),"")</f>
        <v/>
      </c>
      <c r="AF52" s="97" t="str">
        <f>IF(Tabelle1[[#This Row],[Nicht einbezogen weil…]]="",IFERROR(365*10*Tabelle1[[#This Row],[Abbaurate '[%/d']]]*Tabelle1[[#This Row],[Thickness '[mm']]]/Tabelle1[[#This Row],[Formfaktor]],""),"")</f>
        <v/>
      </c>
      <c r="AG52" s="99" t="str">
        <f>IF(OR(Tabelle1[[#This Row],[Nicht einbezogen weil…]]="",Tabelle1[[#This Row],[Nicht einbezogen weil…]]="nicht-natürlich"),IF(Tabelle1[[#This Row],[Formfaktor]]=2, 1,IF(Tabelle1[[#This Row],[Formfaktor]]=4,2,IF(Tabelle1[[#This Row],[Formfaktor]]=6,3,""))),"")</f>
        <v/>
      </c>
      <c r="AH5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2" s="6">
        <v>1</v>
      </c>
      <c r="AK5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2" s="323" t="s">
        <v>833</v>
      </c>
      <c r="AM52" s="3" t="s">
        <v>855</v>
      </c>
      <c r="AN52" s="3" t="s">
        <v>824</v>
      </c>
      <c r="AO52" s="3" t="s">
        <v>200</v>
      </c>
      <c r="AP52" s="3" t="s">
        <v>200</v>
      </c>
      <c r="AU52" s="13" t="s">
        <v>200</v>
      </c>
      <c r="AW52" s="10" t="s">
        <v>813</v>
      </c>
    </row>
    <row r="53" spans="2:49" ht="17.25" customHeight="1">
      <c r="B53" s="329" t="s">
        <v>67</v>
      </c>
      <c r="C53" s="3" t="s">
        <v>67</v>
      </c>
      <c r="D53" s="3" t="s">
        <v>200</v>
      </c>
      <c r="E53" s="10" t="s">
        <v>205</v>
      </c>
      <c r="F53" s="3" t="s">
        <v>331</v>
      </c>
      <c r="G53" s="3" t="s">
        <v>341</v>
      </c>
      <c r="H53" s="3" t="s">
        <v>341</v>
      </c>
      <c r="I53" s="24">
        <v>0.92649999999999999</v>
      </c>
      <c r="K53" s="8" t="s">
        <v>229</v>
      </c>
      <c r="L53" s="3" t="s">
        <v>928</v>
      </c>
      <c r="M53" s="3" t="s">
        <v>223</v>
      </c>
      <c r="N53" s="3" t="s">
        <v>901</v>
      </c>
      <c r="O53" s="3" t="s">
        <v>294</v>
      </c>
      <c r="P5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53" s="9" t="s">
        <v>930</v>
      </c>
      <c r="R53" s="9" t="s">
        <v>929</v>
      </c>
      <c r="W53" s="3" t="s">
        <v>13</v>
      </c>
      <c r="Y53" s="9" t="s">
        <v>932</v>
      </c>
      <c r="Z53" s="4">
        <v>120</v>
      </c>
      <c r="AA53" s="5">
        <f>28/Z53</f>
        <v>0.23333333333333334</v>
      </c>
      <c r="AB53" s="5"/>
      <c r="AC5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3" s="97" t="str">
        <f>IF(Tabelle1[[#This Row],[Nicht einbezogen weil…]]="",IFERROR(1000*Tabelle1[[#This Row],[Formfaktor]]/Tabelle1[[#This Row],[Thickness '[mm']]],""),"")</f>
        <v/>
      </c>
      <c r="AE53" s="98" t="str">
        <f>IF(Tabelle1[[#This Row],[Nicht einbezogen weil…]]="",IFERROR(Tabelle1[[#This Row],[specific surface '[m^2/m^3']]]/Tabelle1[[#This Row],[Density 
'[g/cm3']]]/1000000,""),"")</f>
        <v/>
      </c>
      <c r="AF53" s="97" t="str">
        <f>IF(Tabelle1[[#This Row],[Nicht einbezogen weil…]]="",IFERROR(365*10*Tabelle1[[#This Row],[Abbaurate '[%/d']]]*Tabelle1[[#This Row],[Thickness '[mm']]]/Tabelle1[[#This Row],[Formfaktor]],""),"")</f>
        <v/>
      </c>
      <c r="AG53" s="99" t="str">
        <f>IF(OR(Tabelle1[[#This Row],[Nicht einbezogen weil…]]="",Tabelle1[[#This Row],[Nicht einbezogen weil…]]="nicht-natürlich"),IF(Tabelle1[[#This Row],[Formfaktor]]=2, 1,IF(Tabelle1[[#This Row],[Formfaktor]]=4,2,IF(Tabelle1[[#This Row],[Formfaktor]]=6,3,""))),"")</f>
        <v/>
      </c>
      <c r="AH5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3" s="6">
        <v>1</v>
      </c>
      <c r="AK5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3" s="323" t="s">
        <v>833</v>
      </c>
      <c r="AM53" s="3" t="s">
        <v>855</v>
      </c>
      <c r="AN53" s="3" t="s">
        <v>824</v>
      </c>
      <c r="AO53" s="3" t="s">
        <v>200</v>
      </c>
      <c r="AP53" s="3" t="s">
        <v>200</v>
      </c>
      <c r="AU53" s="13" t="s">
        <v>200</v>
      </c>
      <c r="AW53" s="10" t="s">
        <v>813</v>
      </c>
    </row>
    <row r="54" spans="2:49" ht="17.25" customHeight="1">
      <c r="B54" s="7" t="s">
        <v>67</v>
      </c>
      <c r="C54" s="3" t="s">
        <v>67</v>
      </c>
      <c r="D54" s="3" t="s">
        <v>200</v>
      </c>
      <c r="E54" s="10" t="s">
        <v>205</v>
      </c>
      <c r="F54" s="3" t="s">
        <v>288</v>
      </c>
      <c r="G54" s="3">
        <v>0.15</v>
      </c>
      <c r="H54" s="3">
        <f>0.05*0.01</f>
        <v>5.0000000000000001E-4</v>
      </c>
      <c r="I54" s="24">
        <v>0.92649999999999999</v>
      </c>
      <c r="J54" s="3" t="s">
        <v>906</v>
      </c>
      <c r="K54" s="8" t="s">
        <v>229</v>
      </c>
      <c r="L54" s="3" t="s">
        <v>902</v>
      </c>
      <c r="M54" s="3" t="s">
        <v>223</v>
      </c>
      <c r="N54" s="3" t="s">
        <v>908</v>
      </c>
      <c r="O54" s="3" t="s">
        <v>294</v>
      </c>
      <c r="P5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54" s="4">
        <v>50</v>
      </c>
      <c r="W54" s="3" t="s">
        <v>13</v>
      </c>
      <c r="Y54" s="4">
        <v>58.21</v>
      </c>
      <c r="Z54" s="4">
        <v>140</v>
      </c>
      <c r="AA54" s="5">
        <f>Y54/Z54</f>
        <v>0.41578571428571431</v>
      </c>
      <c r="AB54" s="5"/>
      <c r="AC5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 s="97" t="str">
        <f>IF(Tabelle1[[#This Row],[Nicht einbezogen weil…]]="",IFERROR(1000*Tabelle1[[#This Row],[Formfaktor]]/Tabelle1[[#This Row],[Thickness '[mm']]],""),"")</f>
        <v/>
      </c>
      <c r="AE54" s="98" t="str">
        <f>IF(Tabelle1[[#This Row],[Nicht einbezogen weil…]]="",IFERROR(Tabelle1[[#This Row],[specific surface '[m^2/m^3']]]/Tabelle1[[#This Row],[Density 
'[g/cm3']]]/1000000,""),"")</f>
        <v/>
      </c>
      <c r="AF54" s="97" t="str">
        <f>IF(Tabelle1[[#This Row],[Nicht einbezogen weil…]]="",IFERROR(365*10*Tabelle1[[#This Row],[Abbaurate '[%/d']]]*Tabelle1[[#This Row],[Thickness '[mm']]]/Tabelle1[[#This Row],[Formfaktor]],""),"")</f>
        <v/>
      </c>
      <c r="AG54" s="99" t="str">
        <f>IF(OR(Tabelle1[[#This Row],[Nicht einbezogen weil…]]="",Tabelle1[[#This Row],[Nicht einbezogen weil…]]="nicht-natürlich"),IF(Tabelle1[[#This Row],[Formfaktor]]=2, 1,IF(Tabelle1[[#This Row],[Formfaktor]]=4,2,IF(Tabelle1[[#This Row],[Formfaktor]]=6,3,""))),"")</f>
        <v/>
      </c>
      <c r="AH5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4" s="6">
        <v>1</v>
      </c>
      <c r="AK5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4" s="323" t="s">
        <v>835</v>
      </c>
      <c r="AM54" s="3" t="s">
        <v>855</v>
      </c>
      <c r="AN54" s="3" t="s">
        <v>824</v>
      </c>
      <c r="AO54" s="3" t="s">
        <v>200</v>
      </c>
      <c r="AP54" s="3" t="s">
        <v>200</v>
      </c>
      <c r="AU54" s="13" t="s">
        <v>200</v>
      </c>
      <c r="AW54" s="10" t="s">
        <v>813</v>
      </c>
    </row>
    <row r="55" spans="2:49" ht="17.25" customHeight="1">
      <c r="B55" s="329" t="s">
        <v>67</v>
      </c>
      <c r="C55" s="3" t="s">
        <v>67</v>
      </c>
      <c r="D55" s="3" t="s">
        <v>200</v>
      </c>
      <c r="E55" s="10" t="s">
        <v>205</v>
      </c>
      <c r="F55" s="3" t="s">
        <v>331</v>
      </c>
      <c r="G55" s="3">
        <v>2.5</v>
      </c>
      <c r="H55" s="3" t="s">
        <v>900</v>
      </c>
      <c r="I55" s="24">
        <v>0.92649999999999999</v>
      </c>
      <c r="J55" s="3" t="s">
        <v>907</v>
      </c>
      <c r="K55" s="8" t="s">
        <v>229</v>
      </c>
      <c r="L55" s="3" t="s">
        <v>902</v>
      </c>
      <c r="M55" s="3" t="s">
        <v>223</v>
      </c>
      <c r="N55" s="3" t="s">
        <v>908</v>
      </c>
      <c r="O55" s="3" t="s">
        <v>294</v>
      </c>
      <c r="P5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55" s="4">
        <v>50</v>
      </c>
      <c r="W55" s="3" t="s">
        <v>13</v>
      </c>
      <c r="Y55" s="4">
        <v>45.7</v>
      </c>
      <c r="Z55" s="4">
        <v>140</v>
      </c>
      <c r="AA55" s="5">
        <f>Y55/Z55</f>
        <v>0.32642857142857146</v>
      </c>
      <c r="AB55" s="5"/>
      <c r="AC5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5" s="97" t="str">
        <f>IF(Tabelle1[[#This Row],[Nicht einbezogen weil…]]="",IFERROR(1000*Tabelle1[[#This Row],[Formfaktor]]/Tabelle1[[#This Row],[Thickness '[mm']]],""),"")</f>
        <v/>
      </c>
      <c r="AE55" s="98" t="str">
        <f>IF(Tabelle1[[#This Row],[Nicht einbezogen weil…]]="",IFERROR(Tabelle1[[#This Row],[specific surface '[m^2/m^3']]]/Tabelle1[[#This Row],[Density 
'[g/cm3']]]/1000000,""),"")</f>
        <v/>
      </c>
      <c r="AF55" s="97" t="str">
        <f>IF(Tabelle1[[#This Row],[Nicht einbezogen weil…]]="",IFERROR(365*10*Tabelle1[[#This Row],[Abbaurate '[%/d']]]*Tabelle1[[#This Row],[Thickness '[mm']]]/Tabelle1[[#This Row],[Formfaktor]],""),"")</f>
        <v/>
      </c>
      <c r="AG55" s="99" t="str">
        <f>IF(OR(Tabelle1[[#This Row],[Nicht einbezogen weil…]]="",Tabelle1[[#This Row],[Nicht einbezogen weil…]]="nicht-natürlich"),IF(Tabelle1[[#This Row],[Formfaktor]]=2, 1,IF(Tabelle1[[#This Row],[Formfaktor]]=4,2,IF(Tabelle1[[#This Row],[Formfaktor]]=6,3,""))),"")</f>
        <v/>
      </c>
      <c r="AH5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5" s="6">
        <v>1</v>
      </c>
      <c r="AK5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5" s="323" t="s">
        <v>835</v>
      </c>
      <c r="AM55" s="3" t="s">
        <v>855</v>
      </c>
      <c r="AN55" s="3" t="s">
        <v>824</v>
      </c>
      <c r="AO55" s="3" t="s">
        <v>200</v>
      </c>
      <c r="AP55" s="3" t="s">
        <v>200</v>
      </c>
      <c r="AU55" s="13" t="s">
        <v>200</v>
      </c>
      <c r="AW55" s="10" t="s">
        <v>813</v>
      </c>
    </row>
    <row r="56" spans="2:49" ht="17.25" customHeight="1">
      <c r="B56" s="7" t="s">
        <v>67</v>
      </c>
      <c r="C56" s="3" t="s">
        <v>67</v>
      </c>
      <c r="D56" s="3" t="s">
        <v>200</v>
      </c>
      <c r="E56" s="10" t="s">
        <v>205</v>
      </c>
      <c r="F56" s="3" t="s">
        <v>288</v>
      </c>
      <c r="G56" s="3">
        <v>0.03</v>
      </c>
      <c r="H56" s="3">
        <f>0.03*0.03</f>
        <v>8.9999999999999998E-4</v>
      </c>
      <c r="I56" s="24">
        <v>0.92649999999999999</v>
      </c>
      <c r="K56" s="8" t="s">
        <v>954</v>
      </c>
      <c r="L56" s="3" t="s">
        <v>955</v>
      </c>
      <c r="M56" s="3" t="s">
        <v>223</v>
      </c>
      <c r="N56" s="3" t="s">
        <v>951</v>
      </c>
      <c r="O56" s="3" t="s">
        <v>294</v>
      </c>
      <c r="P5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56" s="4">
        <v>37</v>
      </c>
      <c r="W56" s="3" t="s">
        <v>13</v>
      </c>
      <c r="Y56" s="9" t="s">
        <v>957</v>
      </c>
      <c r="Z56" s="4">
        <f>16*7</f>
        <v>112</v>
      </c>
      <c r="AA56" s="5">
        <f>35.71/Z56</f>
        <v>0.31883928571428571</v>
      </c>
      <c r="AB56" s="5"/>
      <c r="AC5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6" s="97" t="str">
        <f>IF(Tabelle1[[#This Row],[Nicht einbezogen weil…]]="",IFERROR(1000*Tabelle1[[#This Row],[Formfaktor]]/Tabelle1[[#This Row],[Thickness '[mm']]],""),"")</f>
        <v/>
      </c>
      <c r="AE56" s="98" t="str">
        <f>IF(Tabelle1[[#This Row],[Nicht einbezogen weil…]]="",IFERROR(Tabelle1[[#This Row],[specific surface '[m^2/m^3']]]/Tabelle1[[#This Row],[Density 
'[g/cm3']]]/1000000,""),"")</f>
        <v/>
      </c>
      <c r="AF56" s="97" t="str">
        <f>IF(Tabelle1[[#This Row],[Nicht einbezogen weil…]]="",IFERROR(365*10*Tabelle1[[#This Row],[Abbaurate '[%/d']]]*Tabelle1[[#This Row],[Thickness '[mm']]]/Tabelle1[[#This Row],[Formfaktor]],""),"")</f>
        <v/>
      </c>
      <c r="AG56" s="99" t="str">
        <f>IF(OR(Tabelle1[[#This Row],[Nicht einbezogen weil…]]="",Tabelle1[[#This Row],[Nicht einbezogen weil…]]="nicht-natürlich"),IF(Tabelle1[[#This Row],[Formfaktor]]=2, 1,IF(Tabelle1[[#This Row],[Formfaktor]]=4,2,IF(Tabelle1[[#This Row],[Formfaktor]]=6,3,""))),"")</f>
        <v/>
      </c>
      <c r="AH5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6" s="6">
        <v>1</v>
      </c>
      <c r="AK5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6" s="323" t="s">
        <v>830</v>
      </c>
      <c r="AM56" s="3" t="s">
        <v>855</v>
      </c>
      <c r="AN56" s="3" t="s">
        <v>824</v>
      </c>
      <c r="AO56" s="3" t="s">
        <v>200</v>
      </c>
      <c r="AP56" s="3" t="s">
        <v>200</v>
      </c>
      <c r="AU56" s="13" t="s">
        <v>200</v>
      </c>
      <c r="AW56" s="10" t="s">
        <v>775</v>
      </c>
    </row>
    <row r="57" spans="2:49" ht="17.25" customHeight="1">
      <c r="B57" s="329" t="s">
        <v>67</v>
      </c>
      <c r="C57" s="3" t="s">
        <v>67</v>
      </c>
      <c r="D57" s="3" t="s">
        <v>200</v>
      </c>
      <c r="E57" s="10" t="s">
        <v>205</v>
      </c>
      <c r="F57" s="3" t="s">
        <v>288</v>
      </c>
      <c r="G57" s="3">
        <v>0.04</v>
      </c>
      <c r="H57" s="3">
        <f>0.03*0.03</f>
        <v>8.9999999999999998E-4</v>
      </c>
      <c r="I57" s="24">
        <v>0.92649999999999999</v>
      </c>
      <c r="K57" s="8" t="s">
        <v>954</v>
      </c>
      <c r="L57" s="19" t="s">
        <v>955</v>
      </c>
      <c r="M57" s="3" t="s">
        <v>223</v>
      </c>
      <c r="N57" s="3" t="s">
        <v>951</v>
      </c>
      <c r="O57" s="3" t="s">
        <v>294</v>
      </c>
      <c r="P5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57" s="4">
        <v>37</v>
      </c>
      <c r="W57" s="3" t="s">
        <v>13</v>
      </c>
      <c r="Y57" s="9" t="s">
        <v>959</v>
      </c>
      <c r="Z57" s="4">
        <f>16*7</f>
        <v>112</v>
      </c>
      <c r="AA57" s="5">
        <f>11.13/Z57</f>
        <v>9.9375000000000005E-2</v>
      </c>
      <c r="AB57" s="5"/>
      <c r="AC5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7" s="97" t="str">
        <f>IF(Tabelle1[[#This Row],[Nicht einbezogen weil…]]="",IFERROR(1000*Tabelle1[[#This Row],[Formfaktor]]/Tabelle1[[#This Row],[Thickness '[mm']]],""),"")</f>
        <v/>
      </c>
      <c r="AE57" s="98" t="str">
        <f>IF(Tabelle1[[#This Row],[Nicht einbezogen weil…]]="",IFERROR(Tabelle1[[#This Row],[specific surface '[m^2/m^3']]]/Tabelle1[[#This Row],[Density 
'[g/cm3']]]/1000000,""),"")</f>
        <v/>
      </c>
      <c r="AF57" s="97" t="str">
        <f>IF(Tabelle1[[#This Row],[Nicht einbezogen weil…]]="",IFERROR(365*10*Tabelle1[[#This Row],[Abbaurate '[%/d']]]*Tabelle1[[#This Row],[Thickness '[mm']]]/Tabelle1[[#This Row],[Formfaktor]],""),"")</f>
        <v/>
      </c>
      <c r="AG57" s="99" t="str">
        <f>IF(OR(Tabelle1[[#This Row],[Nicht einbezogen weil…]]="",Tabelle1[[#This Row],[Nicht einbezogen weil…]]="nicht-natürlich"),IF(Tabelle1[[#This Row],[Formfaktor]]=2, 1,IF(Tabelle1[[#This Row],[Formfaktor]]=4,2,IF(Tabelle1[[#This Row],[Formfaktor]]=6,3,""))),"")</f>
        <v/>
      </c>
      <c r="AH5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7" s="6">
        <v>1</v>
      </c>
      <c r="AK5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7" s="333" t="s">
        <v>830</v>
      </c>
      <c r="AM57" s="3" t="s">
        <v>855</v>
      </c>
      <c r="AN57" s="3" t="s">
        <v>824</v>
      </c>
      <c r="AO57" s="3" t="s">
        <v>200</v>
      </c>
      <c r="AP57" s="3" t="s">
        <v>200</v>
      </c>
      <c r="AU57" s="13" t="s">
        <v>200</v>
      </c>
      <c r="AW57" s="10" t="s">
        <v>775</v>
      </c>
    </row>
    <row r="58" spans="2:49" ht="17.25" customHeight="1">
      <c r="B58" s="7" t="s">
        <v>67</v>
      </c>
      <c r="C58" s="3" t="s">
        <v>67</v>
      </c>
      <c r="D58" s="3" t="s">
        <v>200</v>
      </c>
      <c r="E58" s="10" t="s">
        <v>205</v>
      </c>
      <c r="F58" s="12" t="s">
        <v>288</v>
      </c>
      <c r="G58" s="12">
        <v>0.02</v>
      </c>
      <c r="H58" s="12">
        <f>0.03*0.02</f>
        <v>5.9999999999999995E-4</v>
      </c>
      <c r="I58" s="24">
        <v>0.92649999999999999</v>
      </c>
      <c r="J58" s="3" t="s">
        <v>659</v>
      </c>
      <c r="K58" s="8" t="s">
        <v>229</v>
      </c>
      <c r="L58" s="3" t="s">
        <v>1118</v>
      </c>
      <c r="M58" s="3" t="s">
        <v>1121</v>
      </c>
      <c r="N58" s="3" t="s">
        <v>660</v>
      </c>
      <c r="O58" s="3" t="s">
        <v>358</v>
      </c>
      <c r="P5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 s="4">
        <v>30</v>
      </c>
      <c r="R58" s="4">
        <v>6.87</v>
      </c>
      <c r="T58" s="4">
        <v>60</v>
      </c>
      <c r="W58" s="3" t="s">
        <v>13</v>
      </c>
      <c r="Y58" s="4">
        <v>4</v>
      </c>
      <c r="Z58" s="4">
        <v>28</v>
      </c>
      <c r="AA58" s="5">
        <f>Y58/Z58</f>
        <v>0.14285714285714285</v>
      </c>
      <c r="AB58" s="5"/>
      <c r="AC5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8" s="97" t="str">
        <f>IF(Tabelle1[[#This Row],[Nicht einbezogen weil…]]="",IFERROR(1000*Tabelle1[[#This Row],[Formfaktor]]/Tabelle1[[#This Row],[Thickness '[mm']]],""),"")</f>
        <v/>
      </c>
      <c r="AE58" s="98" t="str">
        <f>IF(Tabelle1[[#This Row],[Nicht einbezogen weil…]]="",IFERROR(Tabelle1[[#This Row],[specific surface '[m^2/m^3']]]/Tabelle1[[#This Row],[Density 
'[g/cm3']]]/1000000,""),"")</f>
        <v/>
      </c>
      <c r="AF58" s="97" t="str">
        <f>IF(Tabelle1[[#This Row],[Nicht einbezogen weil…]]="",IFERROR(365*10*Tabelle1[[#This Row],[Abbaurate '[%/d']]]*Tabelle1[[#This Row],[Thickness '[mm']]]/Tabelle1[[#This Row],[Formfaktor]],""),"")</f>
        <v/>
      </c>
      <c r="AG58" s="99" t="str">
        <f>IF(OR(Tabelle1[[#This Row],[Nicht einbezogen weil…]]="",Tabelle1[[#This Row],[Nicht einbezogen weil…]]="nicht-natürlich"),IF(Tabelle1[[#This Row],[Formfaktor]]=2, 1,IF(Tabelle1[[#This Row],[Formfaktor]]=4,2,IF(Tabelle1[[#This Row],[Formfaktor]]=6,3,""))),"")</f>
        <v/>
      </c>
      <c r="AH5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8" s="71">
        <v>1</v>
      </c>
      <c r="AK5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8" s="3" t="s">
        <v>393</v>
      </c>
      <c r="AM58" s="3" t="s">
        <v>977</v>
      </c>
      <c r="AN58" s="3" t="s">
        <v>538</v>
      </c>
      <c r="AO58" s="3" t="s">
        <v>200</v>
      </c>
      <c r="AP58" s="3" t="s">
        <v>200</v>
      </c>
      <c r="AT58" s="10" t="s">
        <v>223</v>
      </c>
      <c r="AU58" s="13" t="s">
        <v>200</v>
      </c>
      <c r="AW58" s="10" t="s">
        <v>775</v>
      </c>
    </row>
    <row r="59" spans="2:49" ht="17.25" customHeight="1">
      <c r="B59" s="11" t="s">
        <v>67</v>
      </c>
      <c r="C59" s="3" t="s">
        <v>67</v>
      </c>
      <c r="D59" s="3" t="s">
        <v>200</v>
      </c>
      <c r="E59" s="10" t="s">
        <v>203</v>
      </c>
      <c r="F59" s="12" t="s">
        <v>288</v>
      </c>
      <c r="G59" s="12">
        <v>0.02</v>
      </c>
      <c r="H59" s="12">
        <f>0.03*0.02</f>
        <v>5.9999999999999995E-4</v>
      </c>
      <c r="I59" s="24">
        <v>0.92649999999999999</v>
      </c>
      <c r="J59" s="3" t="s">
        <v>659</v>
      </c>
      <c r="K59" s="8" t="s">
        <v>661</v>
      </c>
      <c r="M59" s="3" t="s">
        <v>301</v>
      </c>
      <c r="N59" s="3" t="s">
        <v>660</v>
      </c>
      <c r="O59" s="3" t="s">
        <v>358</v>
      </c>
      <c r="P5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9" s="4">
        <v>30</v>
      </c>
      <c r="R59" s="4">
        <v>6.87</v>
      </c>
      <c r="T59" s="4">
        <v>60</v>
      </c>
      <c r="W59" s="3" t="s">
        <v>13</v>
      </c>
      <c r="Y59" s="4">
        <v>6</v>
      </c>
      <c r="Z59" s="4">
        <v>28</v>
      </c>
      <c r="AA59" s="5">
        <f>Y59/Z59</f>
        <v>0.21428571428571427</v>
      </c>
      <c r="AB59" s="5"/>
      <c r="AC5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9" s="97" t="str">
        <f>IF(Tabelle1[[#This Row],[Nicht einbezogen weil…]]="",IFERROR(1000*Tabelle1[[#This Row],[Formfaktor]]/Tabelle1[[#This Row],[Thickness '[mm']]],""),"")</f>
        <v/>
      </c>
      <c r="AE59" s="98" t="str">
        <f>IF(Tabelle1[[#This Row],[Nicht einbezogen weil…]]="",IFERROR(Tabelle1[[#This Row],[specific surface '[m^2/m^3']]]/Tabelle1[[#This Row],[Density 
'[g/cm3']]]/1000000,""),"")</f>
        <v/>
      </c>
      <c r="AF59" s="97" t="str">
        <f>IF(Tabelle1[[#This Row],[Nicht einbezogen weil…]]="",IFERROR(365*10*Tabelle1[[#This Row],[Abbaurate '[%/d']]]*Tabelle1[[#This Row],[Thickness '[mm']]]/Tabelle1[[#This Row],[Formfaktor]],""),"")</f>
        <v/>
      </c>
      <c r="AG59" s="99" t="str">
        <f>IF(OR(Tabelle1[[#This Row],[Nicht einbezogen weil…]]="",Tabelle1[[#This Row],[Nicht einbezogen weil…]]="nicht-natürlich"),IF(Tabelle1[[#This Row],[Formfaktor]]=2, 1,IF(Tabelle1[[#This Row],[Formfaktor]]=4,2,IF(Tabelle1[[#This Row],[Formfaktor]]=6,3,""))),"")</f>
        <v/>
      </c>
      <c r="AH5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9" s="71">
        <v>1</v>
      </c>
      <c r="AK5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9" s="3" t="s">
        <v>393</v>
      </c>
      <c r="AM59" s="3" t="s">
        <v>977</v>
      </c>
      <c r="AN59" s="3" t="s">
        <v>538</v>
      </c>
      <c r="AO59" s="3" t="s">
        <v>200</v>
      </c>
      <c r="AP59" s="3" t="s">
        <v>200</v>
      </c>
      <c r="AT59" s="10" t="s">
        <v>223</v>
      </c>
      <c r="AU59" s="13" t="s">
        <v>200</v>
      </c>
      <c r="AW59" s="10" t="s">
        <v>775</v>
      </c>
    </row>
    <row r="60" spans="2:49" ht="17.25" customHeight="1">
      <c r="B60" s="329" t="s">
        <v>67</v>
      </c>
      <c r="C60" s="3" t="s">
        <v>67</v>
      </c>
      <c r="D60" s="3" t="s">
        <v>200</v>
      </c>
      <c r="E60" s="10" t="s">
        <v>205</v>
      </c>
      <c r="F60" s="3" t="s">
        <v>288</v>
      </c>
      <c r="G60" s="3">
        <v>0.03</v>
      </c>
      <c r="H60" s="3">
        <f>0.03*0.03</f>
        <v>8.9999999999999998E-4</v>
      </c>
      <c r="I60" s="24">
        <v>0.92649999999999999</v>
      </c>
      <c r="K60" s="8" t="s">
        <v>954</v>
      </c>
      <c r="L60" s="19" t="s">
        <v>956</v>
      </c>
      <c r="M60" s="3" t="s">
        <v>223</v>
      </c>
      <c r="N60" s="3" t="s">
        <v>951</v>
      </c>
      <c r="O60" s="3" t="s">
        <v>294</v>
      </c>
      <c r="P6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60" s="4">
        <v>28</v>
      </c>
      <c r="W60" s="3" t="s">
        <v>13</v>
      </c>
      <c r="Y60" s="9" t="s">
        <v>958</v>
      </c>
      <c r="Z60" s="4">
        <f>16*7</f>
        <v>112</v>
      </c>
      <c r="AA60" s="5">
        <f>36.4/Z60</f>
        <v>0.32500000000000001</v>
      </c>
      <c r="AB60" s="5"/>
      <c r="AC6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0" s="97" t="str">
        <f>IF(Tabelle1[[#This Row],[Nicht einbezogen weil…]]="",IFERROR(1000*Tabelle1[[#This Row],[Formfaktor]]/Tabelle1[[#This Row],[Thickness '[mm']]],""),"")</f>
        <v/>
      </c>
      <c r="AE60" s="98" t="str">
        <f>IF(Tabelle1[[#This Row],[Nicht einbezogen weil…]]="",IFERROR(Tabelle1[[#This Row],[specific surface '[m^2/m^3']]]/Tabelle1[[#This Row],[Density 
'[g/cm3']]]/1000000,""),"")</f>
        <v/>
      </c>
      <c r="AF60" s="97" t="str">
        <f>IF(Tabelle1[[#This Row],[Nicht einbezogen weil…]]="",IFERROR(365*10*Tabelle1[[#This Row],[Abbaurate '[%/d']]]*Tabelle1[[#This Row],[Thickness '[mm']]]/Tabelle1[[#This Row],[Formfaktor]],""),"")</f>
        <v/>
      </c>
      <c r="AG60" s="99" t="str">
        <f>IF(OR(Tabelle1[[#This Row],[Nicht einbezogen weil…]]="",Tabelle1[[#This Row],[Nicht einbezogen weil…]]="nicht-natürlich"),IF(Tabelle1[[#This Row],[Formfaktor]]=2, 1,IF(Tabelle1[[#This Row],[Formfaktor]]=4,2,IF(Tabelle1[[#This Row],[Formfaktor]]=6,3,""))),"")</f>
        <v/>
      </c>
      <c r="AH6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0" s="6">
        <v>1</v>
      </c>
      <c r="AK6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0" s="333" t="s">
        <v>830</v>
      </c>
      <c r="AM60" s="3" t="s">
        <v>855</v>
      </c>
      <c r="AN60" s="3" t="s">
        <v>824</v>
      </c>
      <c r="AO60" s="3" t="s">
        <v>200</v>
      </c>
      <c r="AP60" s="3" t="s">
        <v>200</v>
      </c>
      <c r="AU60" s="13" t="s">
        <v>200</v>
      </c>
      <c r="AW60" s="10" t="s">
        <v>775</v>
      </c>
    </row>
    <row r="61" spans="2:49" ht="17.25" customHeight="1">
      <c r="B61" s="7" t="s">
        <v>67</v>
      </c>
      <c r="C61" s="3" t="s">
        <v>67</v>
      </c>
      <c r="D61" s="3" t="s">
        <v>223</v>
      </c>
      <c r="E61" s="10"/>
      <c r="F61" s="12" t="s">
        <v>996</v>
      </c>
      <c r="G61" s="12">
        <f>AVERAGE(0.15,0.2)</f>
        <v>0.17499999999999999</v>
      </c>
      <c r="H61" s="12" t="s">
        <v>341</v>
      </c>
      <c r="I61" s="24">
        <v>0.92649999999999999</v>
      </c>
      <c r="J61" s="3" t="s">
        <v>604</v>
      </c>
      <c r="K61" s="8" t="s">
        <v>214</v>
      </c>
      <c r="M61" s="3" t="s">
        <v>200</v>
      </c>
      <c r="N61" s="3" t="s">
        <v>5</v>
      </c>
      <c r="O61" s="3" t="s">
        <v>358</v>
      </c>
      <c r="P6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1" s="3" t="s">
        <v>478</v>
      </c>
      <c r="X61" s="3" t="s">
        <v>215</v>
      </c>
      <c r="Y61" s="4">
        <v>66</v>
      </c>
      <c r="Z61" s="4">
        <f>(32+37)/2*365</f>
        <v>12592.5</v>
      </c>
      <c r="AA61" s="5">
        <f>Y61/Z61</f>
        <v>5.2412150089338888E-3</v>
      </c>
      <c r="AB61" s="5"/>
      <c r="AC6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1" s="97" t="str">
        <f>IF(Tabelle1[[#This Row],[Nicht einbezogen weil…]]="",IFERROR(1000*Tabelle1[[#This Row],[Formfaktor]]/Tabelle1[[#This Row],[Thickness '[mm']]],""),"")</f>
        <v/>
      </c>
      <c r="AE61" s="98" t="str">
        <f>IF(Tabelle1[[#This Row],[Nicht einbezogen weil…]]="",IFERROR(Tabelle1[[#This Row],[specific surface '[m^2/m^3']]]/Tabelle1[[#This Row],[Density 
'[g/cm3']]]/1000000,""),"")</f>
        <v/>
      </c>
      <c r="AF61" s="97" t="str">
        <f>IF(Tabelle1[[#This Row],[Nicht einbezogen weil…]]="",IFERROR(365*10*Tabelle1[[#This Row],[Abbaurate '[%/d']]]*Tabelle1[[#This Row],[Thickness '[mm']]]/Tabelle1[[#This Row],[Formfaktor]],""),"")</f>
        <v/>
      </c>
      <c r="AG61" s="99" t="str">
        <f>IF(OR(Tabelle1[[#This Row],[Nicht einbezogen weil…]]="",Tabelle1[[#This Row],[Nicht einbezogen weil…]]="nicht-natürlich"),IF(Tabelle1[[#This Row],[Formfaktor]]=2, 1,IF(Tabelle1[[#This Row],[Formfaktor]]=4,2,IF(Tabelle1[[#This Row],[Formfaktor]]=6,3,""))),"")</f>
        <v/>
      </c>
      <c r="AH6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1" s="71">
        <v>1</v>
      </c>
      <c r="AK6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61" s="3" t="s">
        <v>1142</v>
      </c>
      <c r="AM61" s="17" t="s">
        <v>596</v>
      </c>
      <c r="AO61" s="3" t="s">
        <v>235</v>
      </c>
      <c r="AP61" s="3" t="s">
        <v>235</v>
      </c>
      <c r="AT61" s="10" t="s">
        <v>223</v>
      </c>
      <c r="AU61" s="13" t="s">
        <v>200</v>
      </c>
      <c r="AW61" s="10" t="s">
        <v>804</v>
      </c>
    </row>
    <row r="62" spans="2:49" ht="17.25" customHeight="1">
      <c r="B62" s="7" t="s">
        <v>67</v>
      </c>
      <c r="C62" s="3" t="s">
        <v>67</v>
      </c>
      <c r="D62" s="3" t="s">
        <v>200</v>
      </c>
      <c r="E62" s="10" t="s">
        <v>205</v>
      </c>
      <c r="F62" s="12" t="s">
        <v>198</v>
      </c>
      <c r="G62" s="12">
        <v>0.02</v>
      </c>
      <c r="H62" s="12" t="s">
        <v>341</v>
      </c>
      <c r="I62" s="24">
        <v>0.92649999999999999</v>
      </c>
      <c r="L62" s="334" t="s">
        <v>206</v>
      </c>
      <c r="M62" s="3" t="s">
        <v>1121</v>
      </c>
      <c r="N62" s="3" t="s">
        <v>343</v>
      </c>
      <c r="O62" s="3" t="s">
        <v>358</v>
      </c>
      <c r="P6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2" s="4">
        <v>30</v>
      </c>
      <c r="W62" s="3" t="s">
        <v>90</v>
      </c>
      <c r="Y62" s="4">
        <f>15.8</f>
        <v>15.8</v>
      </c>
      <c r="Z62" s="4">
        <f>20*7</f>
        <v>140</v>
      </c>
      <c r="AA62" s="5">
        <f>1.57/Z62</f>
        <v>1.1214285714285715E-2</v>
      </c>
      <c r="AB62" s="5"/>
      <c r="AC6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 s="97" t="str">
        <f>IF(Tabelle1[[#This Row],[Nicht einbezogen weil…]]="",IFERROR(1000*Tabelle1[[#This Row],[Formfaktor]]/Tabelle1[[#This Row],[Thickness '[mm']]],""),"")</f>
        <v/>
      </c>
      <c r="AE62" s="98" t="str">
        <f>IF(Tabelle1[[#This Row],[Nicht einbezogen weil…]]="",IFERROR(Tabelle1[[#This Row],[specific surface '[m^2/m^3']]]/Tabelle1[[#This Row],[Density 
'[g/cm3']]]/1000000,""),"")</f>
        <v/>
      </c>
      <c r="AF62" s="97" t="str">
        <f>IF(Tabelle1[[#This Row],[Nicht einbezogen weil…]]="",IFERROR(365*10*Tabelle1[[#This Row],[Abbaurate '[%/d']]]*Tabelle1[[#This Row],[Thickness '[mm']]]/Tabelle1[[#This Row],[Formfaktor]],""),"")</f>
        <v/>
      </c>
      <c r="AG62" s="99" t="str">
        <f>IF(OR(Tabelle1[[#This Row],[Nicht einbezogen weil…]]="",Tabelle1[[#This Row],[Nicht einbezogen weil…]]="nicht-natürlich"),IF(Tabelle1[[#This Row],[Formfaktor]]=2, 1,IF(Tabelle1[[#This Row],[Formfaktor]]=4,2,IF(Tabelle1[[#This Row],[Formfaktor]]=6,3,""))),"")</f>
        <v/>
      </c>
      <c r="AH6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2" s="71">
        <v>1</v>
      </c>
      <c r="AK6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2" s="3" t="s">
        <v>207</v>
      </c>
      <c r="AM62" s="3" t="s">
        <v>964</v>
      </c>
      <c r="AO62" s="3" t="s">
        <v>200</v>
      </c>
      <c r="AP62" s="3" t="s">
        <v>200</v>
      </c>
      <c r="AT62" s="10" t="s">
        <v>223</v>
      </c>
      <c r="AU62" s="13" t="s">
        <v>200</v>
      </c>
      <c r="AW62" s="10" t="s">
        <v>775</v>
      </c>
    </row>
    <row r="63" spans="2:49" ht="17.25" customHeight="1">
      <c r="B63" s="7" t="s">
        <v>67</v>
      </c>
      <c r="C63" s="3" t="s">
        <v>67</v>
      </c>
      <c r="D63" s="3" t="s">
        <v>223</v>
      </c>
      <c r="E63" s="10"/>
      <c r="F63" s="12" t="s">
        <v>428</v>
      </c>
      <c r="G63" s="12" t="s">
        <v>341</v>
      </c>
      <c r="H63" s="12" t="s">
        <v>341</v>
      </c>
      <c r="I63" s="24">
        <v>0.92649999999999999</v>
      </c>
      <c r="J63" s="3" t="s">
        <v>553</v>
      </c>
      <c r="K63" s="3" t="s">
        <v>683</v>
      </c>
      <c r="L63" s="3" t="s">
        <v>554</v>
      </c>
      <c r="M63" s="3" t="s">
        <v>223</v>
      </c>
      <c r="N63" s="3" t="s">
        <v>73</v>
      </c>
      <c r="O63" s="3" t="s">
        <v>294</v>
      </c>
      <c r="P6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63" s="3" t="s">
        <v>13</v>
      </c>
      <c r="Y63" s="4" t="s">
        <v>74</v>
      </c>
      <c r="Z63" s="4">
        <v>30</v>
      </c>
      <c r="AA63" s="5">
        <f>1.57/Z63</f>
        <v>5.2333333333333336E-2</v>
      </c>
      <c r="AB63" s="5"/>
      <c r="AC6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 s="97" t="str">
        <f>IF(Tabelle1[[#This Row],[Nicht einbezogen weil…]]="",IFERROR(1000*Tabelle1[[#This Row],[Formfaktor]]/Tabelle1[[#This Row],[Thickness '[mm']]],""),"")</f>
        <v/>
      </c>
      <c r="AE63" s="98" t="str">
        <f>IF(Tabelle1[[#This Row],[Nicht einbezogen weil…]]="",IFERROR(Tabelle1[[#This Row],[specific surface '[m^2/m^3']]]/Tabelle1[[#This Row],[Density 
'[g/cm3']]]/1000000,""),"")</f>
        <v/>
      </c>
      <c r="AF63" s="97" t="str">
        <f>IF(Tabelle1[[#This Row],[Nicht einbezogen weil…]]="",IFERROR(365*10*Tabelle1[[#This Row],[Abbaurate '[%/d']]]*Tabelle1[[#This Row],[Thickness '[mm']]]/Tabelle1[[#This Row],[Formfaktor]],""),"")</f>
        <v/>
      </c>
      <c r="AG63" s="99" t="str">
        <f>IF(OR(Tabelle1[[#This Row],[Nicht einbezogen weil…]]="",Tabelle1[[#This Row],[Nicht einbezogen weil…]]="nicht-natürlich"),IF(Tabelle1[[#This Row],[Formfaktor]]=2, 1,IF(Tabelle1[[#This Row],[Formfaktor]]=4,2,IF(Tabelle1[[#This Row],[Formfaktor]]=6,3,""))),"")</f>
        <v/>
      </c>
      <c r="AH6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3" s="71">
        <v>1</v>
      </c>
      <c r="AK6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63" s="3" t="s">
        <v>75</v>
      </c>
      <c r="AO63" s="3" t="s">
        <v>200</v>
      </c>
      <c r="AP63" s="3" t="s">
        <v>200</v>
      </c>
      <c r="AT63" s="10" t="s">
        <v>223</v>
      </c>
      <c r="AU63" s="13" t="s">
        <v>200</v>
      </c>
      <c r="AW63" s="10" t="s">
        <v>775</v>
      </c>
    </row>
    <row r="64" spans="2:49" ht="17.25" customHeight="1">
      <c r="B64" s="7" t="s">
        <v>782</v>
      </c>
      <c r="C64" s="3" t="s">
        <v>500</v>
      </c>
      <c r="D64" s="3" t="s">
        <v>200</v>
      </c>
      <c r="E64" s="10" t="s">
        <v>1127</v>
      </c>
      <c r="F64" s="12" t="s">
        <v>241</v>
      </c>
      <c r="G64" s="12" t="s">
        <v>341</v>
      </c>
      <c r="H64" s="12" t="s">
        <v>341</v>
      </c>
      <c r="I64" s="24">
        <v>0.92649999999999999</v>
      </c>
      <c r="J64" s="3" t="s">
        <v>500</v>
      </c>
      <c r="M64" s="3" t="s">
        <v>301</v>
      </c>
      <c r="N64" s="3" t="s">
        <v>94</v>
      </c>
      <c r="O64" s="3" t="s">
        <v>23</v>
      </c>
      <c r="P6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4" s="3" t="s">
        <v>90</v>
      </c>
      <c r="Y64" s="4">
        <v>3.98</v>
      </c>
      <c r="Z64" s="4">
        <v>180</v>
      </c>
      <c r="AA64" s="5">
        <f>Tabelle1[[#This Row],[biologische
Abbaubarkeit '[%']]]/Z64</f>
        <v>2.2111111111111113E-2</v>
      </c>
      <c r="AB64" s="5"/>
      <c r="AC6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4" s="97" t="str">
        <f>IF(Tabelle1[[#This Row],[Nicht einbezogen weil…]]="",IFERROR(1000*Tabelle1[[#This Row],[Formfaktor]]/Tabelle1[[#This Row],[Thickness '[mm']]],""),"")</f>
        <v/>
      </c>
      <c r="AE64" s="98" t="str">
        <f>IF(Tabelle1[[#This Row],[Nicht einbezogen weil…]]="",IFERROR(Tabelle1[[#This Row],[specific surface '[m^2/m^3']]]/Tabelle1[[#This Row],[Density 
'[g/cm3']]]/1000000,""),"")</f>
        <v/>
      </c>
      <c r="AF64" s="97" t="str">
        <f>IF(Tabelle1[[#This Row],[Nicht einbezogen weil…]]="",IFERROR(365*10*Tabelle1[[#This Row],[Abbaurate '[%/d']]]*Tabelle1[[#This Row],[Thickness '[mm']]]/Tabelle1[[#This Row],[Formfaktor]],""),"")</f>
        <v/>
      </c>
      <c r="AG64" s="99" t="str">
        <f>IF(OR(Tabelle1[[#This Row],[Nicht einbezogen weil…]]="",Tabelle1[[#This Row],[Nicht einbezogen weil…]]="nicht-natürlich"),IF(Tabelle1[[#This Row],[Formfaktor]]=2, 1,IF(Tabelle1[[#This Row],[Formfaktor]]=4,2,IF(Tabelle1[[#This Row],[Formfaktor]]=6,3,""))),"")</f>
        <v/>
      </c>
      <c r="AH6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4" s="71">
        <v>1</v>
      </c>
      <c r="AK6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64" s="3" t="s">
        <v>76</v>
      </c>
      <c r="AM64" s="3" t="s">
        <v>196</v>
      </c>
      <c r="AO64" s="3" t="s">
        <v>235</v>
      </c>
      <c r="AP64" s="3" t="s">
        <v>235</v>
      </c>
      <c r="AT64" s="10" t="s">
        <v>223</v>
      </c>
      <c r="AU64" s="13" t="s">
        <v>200</v>
      </c>
      <c r="AW64" s="10" t="s">
        <v>775</v>
      </c>
    </row>
    <row r="65" spans="1:49" ht="17.25" customHeight="1">
      <c r="B65" s="329" t="s">
        <v>67</v>
      </c>
      <c r="C65" s="3" t="s">
        <v>67</v>
      </c>
      <c r="D65" s="3" t="s">
        <v>200</v>
      </c>
      <c r="E65" s="10" t="s">
        <v>205</v>
      </c>
      <c r="F65" s="3" t="s">
        <v>288</v>
      </c>
      <c r="G65" s="3">
        <v>0.04</v>
      </c>
      <c r="H65" s="3">
        <f>0.03*0.03</f>
        <v>8.9999999999999998E-4</v>
      </c>
      <c r="I65" s="24">
        <v>0.92649999999999999</v>
      </c>
      <c r="K65" s="8" t="s">
        <v>954</v>
      </c>
      <c r="L65" s="19" t="s">
        <v>956</v>
      </c>
      <c r="M65" s="3" t="s">
        <v>223</v>
      </c>
      <c r="N65" s="3" t="s">
        <v>951</v>
      </c>
      <c r="O65" s="3" t="s">
        <v>294</v>
      </c>
      <c r="P6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65" s="4">
        <v>28</v>
      </c>
      <c r="W65" s="3" t="s">
        <v>13</v>
      </c>
      <c r="Y65" s="9" t="s">
        <v>960</v>
      </c>
      <c r="Z65" s="4">
        <f>16*7</f>
        <v>112</v>
      </c>
      <c r="AA65" s="5">
        <f>17.01/Z65</f>
        <v>0.15187500000000001</v>
      </c>
      <c r="AB65" s="5"/>
      <c r="AC6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5" s="97" t="str">
        <f>IF(Tabelle1[[#This Row],[Nicht einbezogen weil…]]="",IFERROR(1000*Tabelle1[[#This Row],[Formfaktor]]/Tabelle1[[#This Row],[Thickness '[mm']]],""),"")</f>
        <v/>
      </c>
      <c r="AE65" s="98" t="str">
        <f>IF(Tabelle1[[#This Row],[Nicht einbezogen weil…]]="",IFERROR(Tabelle1[[#This Row],[specific surface '[m^2/m^3']]]/Tabelle1[[#This Row],[Density 
'[g/cm3']]]/1000000,""),"")</f>
        <v/>
      </c>
      <c r="AF65" s="97" t="str">
        <f>IF(Tabelle1[[#This Row],[Nicht einbezogen weil…]]="",IFERROR(365*10*Tabelle1[[#This Row],[Abbaurate '[%/d']]]*Tabelle1[[#This Row],[Thickness '[mm']]]/Tabelle1[[#This Row],[Formfaktor]],""),"")</f>
        <v/>
      </c>
      <c r="AG65" s="99" t="str">
        <f>IF(OR(Tabelle1[[#This Row],[Nicht einbezogen weil…]]="",Tabelle1[[#This Row],[Nicht einbezogen weil…]]="nicht-natürlich"),IF(Tabelle1[[#This Row],[Formfaktor]]=2, 1,IF(Tabelle1[[#This Row],[Formfaktor]]=4,2,IF(Tabelle1[[#This Row],[Formfaktor]]=6,3,""))),"")</f>
        <v/>
      </c>
      <c r="AH6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5" s="6">
        <v>1</v>
      </c>
      <c r="AK6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5" s="3" t="s">
        <v>830</v>
      </c>
      <c r="AM65" s="3" t="s">
        <v>855</v>
      </c>
      <c r="AN65" s="3" t="s">
        <v>824</v>
      </c>
      <c r="AO65" s="3" t="s">
        <v>200</v>
      </c>
      <c r="AP65" s="3" t="s">
        <v>200</v>
      </c>
      <c r="AU65" s="13" t="s">
        <v>200</v>
      </c>
      <c r="AW65" s="10" t="s">
        <v>775</v>
      </c>
    </row>
    <row r="66" spans="1:49" ht="17.25" customHeight="1">
      <c r="B66" s="7" t="s">
        <v>67</v>
      </c>
      <c r="C66" s="3" t="s">
        <v>67</v>
      </c>
      <c r="D66" s="3" t="s">
        <v>200</v>
      </c>
      <c r="E66" s="10" t="s">
        <v>205</v>
      </c>
      <c r="F66" s="12" t="s">
        <v>288</v>
      </c>
      <c r="G66" s="12">
        <v>0.2</v>
      </c>
      <c r="H66" s="12">
        <f>0.03*0.03</f>
        <v>8.9999999999999998E-4</v>
      </c>
      <c r="I66" s="24">
        <v>0.92649999999999999</v>
      </c>
      <c r="K66" s="8" t="s">
        <v>308</v>
      </c>
      <c r="L66" s="3" t="s">
        <v>252</v>
      </c>
      <c r="M66" s="3" t="s">
        <v>223</v>
      </c>
      <c r="N66" s="3" t="s">
        <v>309</v>
      </c>
      <c r="O66" s="3" t="s">
        <v>294</v>
      </c>
      <c r="P6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66" s="3" t="s">
        <v>13</v>
      </c>
      <c r="Y66" s="4">
        <v>7.5</v>
      </c>
      <c r="Z66" s="4">
        <v>56</v>
      </c>
      <c r="AA66" s="5">
        <f>+Y66/Z66</f>
        <v>0.13392857142857142</v>
      </c>
      <c r="AB66" s="5"/>
      <c r="AC6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6" s="97" t="str">
        <f>IF(Tabelle1[[#This Row],[Nicht einbezogen weil…]]="",IFERROR(1000*Tabelle1[[#This Row],[Formfaktor]]/Tabelle1[[#This Row],[Thickness '[mm']]],""),"")</f>
        <v/>
      </c>
      <c r="AE66" s="98" t="str">
        <f>IF(Tabelle1[[#This Row],[Nicht einbezogen weil…]]="",IFERROR(Tabelle1[[#This Row],[specific surface '[m^2/m^3']]]/Tabelle1[[#This Row],[Density 
'[g/cm3']]]/1000000,""),"")</f>
        <v/>
      </c>
      <c r="AF66" s="97" t="str">
        <f>IF(Tabelle1[[#This Row],[Nicht einbezogen weil…]]="",IFERROR(365*10*Tabelle1[[#This Row],[Abbaurate '[%/d']]]*Tabelle1[[#This Row],[Thickness '[mm']]]/Tabelle1[[#This Row],[Formfaktor]],""),"")</f>
        <v/>
      </c>
      <c r="AG66" s="99" t="str">
        <f>IF(OR(Tabelle1[[#This Row],[Nicht einbezogen weil…]]="",Tabelle1[[#This Row],[Nicht einbezogen weil…]]="nicht-natürlich"),IF(Tabelle1[[#This Row],[Formfaktor]]=2, 1,IF(Tabelle1[[#This Row],[Formfaktor]]=4,2,IF(Tabelle1[[#This Row],[Formfaktor]]=6,3,""))),"")</f>
        <v/>
      </c>
      <c r="AH6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6" s="71">
        <v>1</v>
      </c>
      <c r="AK6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6" s="3" t="s">
        <v>310</v>
      </c>
      <c r="AM66" s="3" t="s">
        <v>967</v>
      </c>
      <c r="AN66" s="3" t="s">
        <v>307</v>
      </c>
      <c r="AO66" s="3" t="s">
        <v>200</v>
      </c>
      <c r="AP66" s="3" t="s">
        <v>200</v>
      </c>
      <c r="AT66" s="10" t="s">
        <v>200</v>
      </c>
      <c r="AU66" s="13" t="s">
        <v>200</v>
      </c>
      <c r="AW66" s="10" t="s">
        <v>775</v>
      </c>
    </row>
    <row r="67" spans="1:49" ht="17.25" customHeight="1">
      <c r="B67" s="7" t="s">
        <v>191</v>
      </c>
      <c r="C67" s="19" t="s">
        <v>673</v>
      </c>
      <c r="D67" s="3" t="s">
        <v>200</v>
      </c>
      <c r="E67" s="10" t="s">
        <v>205</v>
      </c>
      <c r="F67" s="12" t="s">
        <v>225</v>
      </c>
      <c r="G67" s="12">
        <v>2</v>
      </c>
      <c r="H67" s="12">
        <f>0.002*0.002</f>
        <v>3.9999999999999998E-6</v>
      </c>
      <c r="I67" s="335">
        <f>0.004/(0.2*0.2)</f>
        <v>9.9999999999999978E-2</v>
      </c>
      <c r="J67" s="19" t="s">
        <v>672</v>
      </c>
      <c r="L67" s="3" t="s">
        <v>674</v>
      </c>
      <c r="M67" s="3" t="s">
        <v>223</v>
      </c>
      <c r="N67" s="3" t="s">
        <v>675</v>
      </c>
      <c r="O67" s="3" t="s">
        <v>294</v>
      </c>
      <c r="P6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67" s="4">
        <v>30</v>
      </c>
      <c r="W67" s="3" t="s">
        <v>13</v>
      </c>
      <c r="Y67" s="9" t="s">
        <v>680</v>
      </c>
      <c r="Z67" s="4">
        <f>7*8</f>
        <v>56</v>
      </c>
      <c r="AA67" s="5">
        <f>11/Z67</f>
        <v>0.19642857142857142</v>
      </c>
      <c r="AB67" s="5"/>
      <c r="AC6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7" s="97" t="str">
        <f>IF(Tabelle1[[#This Row],[Nicht einbezogen weil…]]="",IFERROR(1000*Tabelle1[[#This Row],[Formfaktor]]/Tabelle1[[#This Row],[Thickness '[mm']]],""),"")</f>
        <v/>
      </c>
      <c r="AE67" s="98" t="str">
        <f>IF(Tabelle1[[#This Row],[Nicht einbezogen weil…]]="",IFERROR(Tabelle1[[#This Row],[specific surface '[m^2/m^3']]]/Tabelle1[[#This Row],[Density 
'[g/cm3']]]/1000000,""),"")</f>
        <v/>
      </c>
      <c r="AF67" s="97" t="str">
        <f>IF(Tabelle1[[#This Row],[Nicht einbezogen weil…]]="",IFERROR(365*10*Tabelle1[[#This Row],[Abbaurate '[%/d']]]*Tabelle1[[#This Row],[Thickness '[mm']]]/Tabelle1[[#This Row],[Formfaktor]],""),"")</f>
        <v/>
      </c>
      <c r="AG67" s="99" t="str">
        <f>IF(OR(Tabelle1[[#This Row],[Nicht einbezogen weil…]]="",Tabelle1[[#This Row],[Nicht einbezogen weil…]]="nicht-natürlich"),IF(Tabelle1[[#This Row],[Formfaktor]]=2, 1,IF(Tabelle1[[#This Row],[Formfaktor]]=4,2,IF(Tabelle1[[#This Row],[Formfaktor]]=6,3,""))),"")</f>
        <v/>
      </c>
      <c r="AH6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7" s="71">
        <v>1</v>
      </c>
      <c r="AK6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7" s="3" t="s">
        <v>394</v>
      </c>
      <c r="AN67" s="3" t="s">
        <v>538</v>
      </c>
      <c r="AO67" s="3" t="s">
        <v>200</v>
      </c>
      <c r="AP67" s="3" t="s">
        <v>200</v>
      </c>
      <c r="AT67" s="10" t="s">
        <v>223</v>
      </c>
      <c r="AU67" s="13" t="s">
        <v>200</v>
      </c>
    </row>
    <row r="68" spans="1:49" ht="17.25" customHeight="1">
      <c r="B68" s="7" t="s">
        <v>67</v>
      </c>
      <c r="C68" s="3" t="s">
        <v>279</v>
      </c>
      <c r="D68" s="3" t="s">
        <v>223</v>
      </c>
      <c r="E68" s="10"/>
      <c r="F68" s="12" t="s">
        <v>288</v>
      </c>
      <c r="G68" s="12">
        <v>0.125</v>
      </c>
      <c r="H68" s="12">
        <f>0.08*0.025</f>
        <v>2E-3</v>
      </c>
      <c r="I68" s="24">
        <v>0.92649999999999999</v>
      </c>
      <c r="M68" s="3" t="s">
        <v>223</v>
      </c>
      <c r="N68" s="3" t="s">
        <v>284</v>
      </c>
      <c r="O68" s="3" t="s">
        <v>358</v>
      </c>
      <c r="P6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8" s="4" t="s">
        <v>285</v>
      </c>
      <c r="U68" s="4" t="s">
        <v>12</v>
      </c>
      <c r="W68" s="3" t="s">
        <v>13</v>
      </c>
      <c r="Y68" s="4">
        <v>1.39</v>
      </c>
      <c r="Z68" s="4">
        <v>28</v>
      </c>
      <c r="AA68" s="5">
        <f>Y68/Z68</f>
        <v>4.9642857142857141E-2</v>
      </c>
      <c r="AB68" s="5"/>
      <c r="AC6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8" s="97" t="str">
        <f>IF(Tabelle1[[#This Row],[Nicht einbezogen weil…]]="",IFERROR(1000*Tabelle1[[#This Row],[Formfaktor]]/Tabelle1[[#This Row],[Thickness '[mm']]],""),"")</f>
        <v/>
      </c>
      <c r="AE68" s="98" t="str">
        <f>IF(Tabelle1[[#This Row],[Nicht einbezogen weil…]]="",IFERROR(Tabelle1[[#This Row],[specific surface '[m^2/m^3']]]/Tabelle1[[#This Row],[Density 
'[g/cm3']]]/1000000,""),"")</f>
        <v/>
      </c>
      <c r="AF68" s="97" t="str">
        <f>IF(Tabelle1[[#This Row],[Nicht einbezogen weil…]]="",IFERROR(365*10*Tabelle1[[#This Row],[Abbaurate '[%/d']]]*Tabelle1[[#This Row],[Thickness '[mm']]]/Tabelle1[[#This Row],[Formfaktor]],""),"")</f>
        <v/>
      </c>
      <c r="AG68" s="99">
        <f>IF(OR(Tabelle1[[#This Row],[Nicht einbezogen weil…]]="",Tabelle1[[#This Row],[Nicht einbezogen weil…]]="nicht-natürlich"),IF(Tabelle1[[#This Row],[Formfaktor]]=2, 1,IF(Tabelle1[[#This Row],[Formfaktor]]=4,2,IF(Tabelle1[[#This Row],[Formfaktor]]=6,3,""))),"")</f>
        <v>1</v>
      </c>
      <c r="AH68" s="97">
        <f>IF(OR(Tabelle1[[#This Row],[Nicht einbezogen weil…]]="",Tabelle1[[#This Row],[Nicht einbezogen weil…]]="nicht-natürlich"),IFERROR(Tabelle1[[#This Row],[Thickness '[mm']]]/Tabelle1[[#This Row],[Dauer des Abbaus
'[Tage']]]*1000*0.5*365*(1-(1-Tabelle1[[#This Row],[Abbaurate '[%/d']]]/100*Tabelle1[[#This Row],[Dauer des Abbaus
'[Tage']]])^(1/Tabelle1[[#This Row],[Exponent]])),""),"")</f>
        <v>11.324776785714306</v>
      </c>
      <c r="AI6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LDPE_Boden/Kompost_nicht natürlich</v>
      </c>
      <c r="AJ68" s="71">
        <v>1</v>
      </c>
      <c r="AK6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68" s="3" t="s">
        <v>286</v>
      </c>
      <c r="AM68" s="3" t="s">
        <v>967</v>
      </c>
      <c r="AO68" s="3" t="s">
        <v>200</v>
      </c>
      <c r="AP68" s="3" t="s">
        <v>200</v>
      </c>
      <c r="AT68" s="10" t="s">
        <v>200</v>
      </c>
      <c r="AU68" s="13" t="s">
        <v>200</v>
      </c>
      <c r="AW68" s="10" t="s">
        <v>775</v>
      </c>
    </row>
    <row r="69" spans="1:49" ht="17.25" customHeight="1">
      <c r="B69" s="7" t="s">
        <v>191</v>
      </c>
      <c r="C69" s="19" t="s">
        <v>671</v>
      </c>
      <c r="D69" s="3" t="s">
        <v>200</v>
      </c>
      <c r="E69" s="10" t="s">
        <v>205</v>
      </c>
      <c r="F69" s="12" t="s">
        <v>225</v>
      </c>
      <c r="G69" s="12">
        <v>0.4</v>
      </c>
      <c r="H69" s="12">
        <f>0.0004*0.0004</f>
        <v>1.6E-7</v>
      </c>
      <c r="I69" s="3">
        <f>0.00005/(0.04*0.04)</f>
        <v>3.125E-2</v>
      </c>
      <c r="J69" s="19" t="s">
        <v>672</v>
      </c>
      <c r="L69" s="3" t="s">
        <v>674</v>
      </c>
      <c r="M69" s="3" t="s">
        <v>223</v>
      </c>
      <c r="N69" s="3" t="s">
        <v>675</v>
      </c>
      <c r="O69" s="3" t="s">
        <v>294</v>
      </c>
      <c r="P6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69" s="4">
        <v>30</v>
      </c>
      <c r="W69" s="3" t="s">
        <v>13</v>
      </c>
      <c r="Y69" s="9" t="s">
        <v>679</v>
      </c>
      <c r="Z69" s="4">
        <f>7*8</f>
        <v>56</v>
      </c>
      <c r="AA69" s="5">
        <f>40/Z69</f>
        <v>0.7142857142857143</v>
      </c>
      <c r="AB69" s="5"/>
      <c r="AC6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9" s="97" t="str">
        <f>IF(Tabelle1[[#This Row],[Nicht einbezogen weil…]]="",IFERROR(1000*Tabelle1[[#This Row],[Formfaktor]]/Tabelle1[[#This Row],[Thickness '[mm']]],""),"")</f>
        <v/>
      </c>
      <c r="AE69" s="98" t="str">
        <f>IF(Tabelle1[[#This Row],[Nicht einbezogen weil…]]="",IFERROR(Tabelle1[[#This Row],[specific surface '[m^2/m^3']]]/Tabelle1[[#This Row],[Density 
'[g/cm3']]]/1000000,""),"")</f>
        <v/>
      </c>
      <c r="AF69" s="97" t="str">
        <f>IF(Tabelle1[[#This Row],[Nicht einbezogen weil…]]="",IFERROR(365*10*Tabelle1[[#This Row],[Abbaurate '[%/d']]]*Tabelle1[[#This Row],[Thickness '[mm']]]/Tabelle1[[#This Row],[Formfaktor]],""),"")</f>
        <v/>
      </c>
      <c r="AG69" s="99" t="str">
        <f>IF(OR(Tabelle1[[#This Row],[Nicht einbezogen weil…]]="",Tabelle1[[#This Row],[Nicht einbezogen weil…]]="nicht-natürlich"),IF(Tabelle1[[#This Row],[Formfaktor]]=2, 1,IF(Tabelle1[[#This Row],[Formfaktor]]=4,2,IF(Tabelle1[[#This Row],[Formfaktor]]=6,3,""))),"")</f>
        <v/>
      </c>
      <c r="AH6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9" s="71">
        <v>1</v>
      </c>
      <c r="AK6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9" s="3" t="s">
        <v>394</v>
      </c>
      <c r="AN69" s="3" t="s">
        <v>538</v>
      </c>
      <c r="AO69" s="3" t="s">
        <v>200</v>
      </c>
      <c r="AP69" s="3" t="s">
        <v>200</v>
      </c>
      <c r="AT69" s="10" t="s">
        <v>223</v>
      </c>
      <c r="AU69" s="13" t="s">
        <v>200</v>
      </c>
    </row>
    <row r="70" spans="1:49" ht="17.25" customHeight="1">
      <c r="A70" s="10" t="s">
        <v>200</v>
      </c>
      <c r="B70" s="109" t="s">
        <v>69</v>
      </c>
      <c r="C70" s="3" t="s">
        <v>69</v>
      </c>
      <c r="D70" s="3" t="s">
        <v>223</v>
      </c>
      <c r="E70" s="10"/>
      <c r="F70" s="12" t="s">
        <v>288</v>
      </c>
      <c r="G70" s="12">
        <v>1.5</v>
      </c>
      <c r="H70" s="12">
        <f>0.1*0.15</f>
        <v>1.4999999999999999E-2</v>
      </c>
      <c r="I70" s="24">
        <v>0.94950000000000001</v>
      </c>
      <c r="J70" s="3" t="s">
        <v>704</v>
      </c>
      <c r="K70" s="8" t="s">
        <v>229</v>
      </c>
      <c r="M70" s="3" t="s">
        <v>200</v>
      </c>
      <c r="N70" s="3" t="s">
        <v>278</v>
      </c>
      <c r="O70" s="3" t="s">
        <v>23</v>
      </c>
      <c r="P7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70" s="4">
        <v>30</v>
      </c>
      <c r="W70" s="3" t="s">
        <v>13</v>
      </c>
      <c r="Y70" s="4">
        <v>0.75</v>
      </c>
      <c r="Z70" s="4">
        <f>6*30</f>
        <v>180</v>
      </c>
      <c r="AA70" s="5">
        <f>Y70/Z70</f>
        <v>4.1666666666666666E-3</v>
      </c>
      <c r="AB70" s="5"/>
      <c r="AC7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70" s="97">
        <f>IF(Tabelle1[[#This Row],[Nicht einbezogen weil…]]="",IFERROR(1000*Tabelle1[[#This Row],[Formfaktor]]/Tabelle1[[#This Row],[Thickness '[mm']]],""),"")</f>
        <v>1333.3333333333333</v>
      </c>
      <c r="AE70" s="98">
        <f>IF(Tabelle1[[#This Row],[Nicht einbezogen weil…]]="",IFERROR(Tabelle1[[#This Row],[specific surface '[m^2/m^3']]]/Tabelle1[[#This Row],[Density 
'[g/cm3']]]/1000000,""),"")</f>
        <v>1.4042478497454799E-3</v>
      </c>
      <c r="AF70" s="97">
        <f>IF(Tabelle1[[#This Row],[Nicht einbezogen weil…]]="",IFERROR(365*10*Tabelle1[[#This Row],[Abbaurate '[%/d']]]*Tabelle1[[#This Row],[Thickness '[mm']]]/Tabelle1[[#This Row],[Formfaktor]],""),"")</f>
        <v>11.40625</v>
      </c>
      <c r="AG70" s="99">
        <f>IF(OR(Tabelle1[[#This Row],[Nicht einbezogen weil…]]="",Tabelle1[[#This Row],[Nicht einbezogen weil…]]="nicht-natürlich"),IF(Tabelle1[[#This Row],[Formfaktor]]=2, 1,IF(Tabelle1[[#This Row],[Formfaktor]]=4,2,IF(Tabelle1[[#This Row],[Formfaktor]]=6,3,""))),"")</f>
        <v>1</v>
      </c>
      <c r="AH70" s="97">
        <f>IF(OR(Tabelle1[[#This Row],[Nicht einbezogen weil…]]="",Tabelle1[[#This Row],[Nicht einbezogen weil…]]="nicht-natürlich"),IFERROR(Tabelle1[[#This Row],[Thickness '[mm']]]/Tabelle1[[#This Row],[Dauer des Abbaus
'[Tage']]]*1000*0.5*365*(1-(1-Tabelle1[[#This Row],[Abbaurate '[%/d']]]/100*Tabelle1[[#This Row],[Dauer des Abbaus
'[Tage']]])^(1/Tabelle1[[#This Row],[Exponent]])),""),"")</f>
        <v>11.406249999999927</v>
      </c>
      <c r="AI7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HDPE_Meerwasser_natürlich</v>
      </c>
      <c r="AJ70" s="71">
        <v>1</v>
      </c>
      <c r="AK7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70" s="3" t="s">
        <v>1124</v>
      </c>
      <c r="AM70" s="3" t="s">
        <v>967</v>
      </c>
      <c r="AO70" s="3" t="s">
        <v>200</v>
      </c>
      <c r="AP70" s="3" t="s">
        <v>200</v>
      </c>
      <c r="AT70" s="10" t="s">
        <v>200</v>
      </c>
      <c r="AU70" s="13" t="s">
        <v>200</v>
      </c>
      <c r="AV70" s="14"/>
      <c r="AW70" s="10" t="s">
        <v>775</v>
      </c>
    </row>
    <row r="71" spans="1:49" ht="17.25" customHeight="1">
      <c r="B71" s="7" t="s">
        <v>67</v>
      </c>
      <c r="C71" s="3" t="s">
        <v>67</v>
      </c>
      <c r="D71" s="3" t="s">
        <v>200</v>
      </c>
      <c r="E71" s="10" t="s">
        <v>205</v>
      </c>
      <c r="F71" s="12" t="s">
        <v>288</v>
      </c>
      <c r="G71" s="12">
        <v>0.125</v>
      </c>
      <c r="H71" s="12">
        <f>0.08*0.025</f>
        <v>2E-3</v>
      </c>
      <c r="I71" s="24">
        <v>0.92649999999999999</v>
      </c>
      <c r="K71" s="8" t="s">
        <v>229</v>
      </c>
      <c r="L71" s="3" t="s">
        <v>1123</v>
      </c>
      <c r="M71" s="3" t="s">
        <v>301</v>
      </c>
      <c r="N71" s="3" t="s">
        <v>68</v>
      </c>
      <c r="O71" s="3" t="s">
        <v>23</v>
      </c>
      <c r="P7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71" s="4">
        <v>30</v>
      </c>
      <c r="R71" s="4">
        <v>7.5</v>
      </c>
      <c r="V71" s="4" t="s">
        <v>593</v>
      </c>
      <c r="W71" s="3" t="s">
        <v>13</v>
      </c>
      <c r="Y71" s="4">
        <v>10</v>
      </c>
      <c r="Z71" s="4">
        <v>365</v>
      </c>
      <c r="AA71" s="5">
        <f>10/365</f>
        <v>2.7397260273972601E-2</v>
      </c>
      <c r="AB71" s="5"/>
      <c r="AC7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71" s="97" t="str">
        <f>IF(Tabelle1[[#This Row],[Nicht einbezogen weil…]]="",IFERROR(1000*Tabelle1[[#This Row],[Formfaktor]]/Tabelle1[[#This Row],[Thickness '[mm']]],""),"")</f>
        <v/>
      </c>
      <c r="AE71" s="98" t="str">
        <f>IF(Tabelle1[[#This Row],[Nicht einbezogen weil…]]="",IFERROR(Tabelle1[[#This Row],[specific surface '[m^2/m^3']]]/Tabelle1[[#This Row],[Density 
'[g/cm3']]]/1000000,""),"")</f>
        <v/>
      </c>
      <c r="AF71" s="97" t="str">
        <f>IF(Tabelle1[[#This Row],[Nicht einbezogen weil…]]="",IFERROR(365*10*Tabelle1[[#This Row],[Abbaurate '[%/d']]]*Tabelle1[[#This Row],[Thickness '[mm']]]/Tabelle1[[#This Row],[Formfaktor]],""),"")</f>
        <v/>
      </c>
      <c r="AG71" s="99" t="str">
        <f>IF(OR(Tabelle1[[#This Row],[Nicht einbezogen weil…]]="",Tabelle1[[#This Row],[Nicht einbezogen weil…]]="nicht-natürlich"),IF(Tabelle1[[#This Row],[Formfaktor]]=2, 1,IF(Tabelle1[[#This Row],[Formfaktor]]=4,2,IF(Tabelle1[[#This Row],[Formfaktor]]=6,3,""))),"")</f>
        <v/>
      </c>
      <c r="AH7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7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71" s="71">
        <v>1</v>
      </c>
      <c r="AK7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71" s="3" t="s">
        <v>1125</v>
      </c>
      <c r="AM71" s="3" t="s">
        <v>967</v>
      </c>
      <c r="AO71" s="3" t="s">
        <v>235</v>
      </c>
      <c r="AP71" s="3" t="s">
        <v>235</v>
      </c>
      <c r="AR71" s="2" t="s">
        <v>200</v>
      </c>
      <c r="AT71" s="10" t="s">
        <v>200</v>
      </c>
      <c r="AU71" s="13" t="s">
        <v>200</v>
      </c>
      <c r="AW71" s="10" t="s">
        <v>775</v>
      </c>
    </row>
    <row r="72" spans="1:49" ht="17.25" customHeight="1">
      <c r="B72" s="7" t="s">
        <v>67</v>
      </c>
      <c r="C72" s="3" t="s">
        <v>67</v>
      </c>
      <c r="D72" s="3" t="s">
        <v>200</v>
      </c>
      <c r="E72" s="10" t="s">
        <v>203</v>
      </c>
      <c r="F72" s="12" t="s">
        <v>288</v>
      </c>
      <c r="G72" s="12">
        <v>0.125</v>
      </c>
      <c r="H72" s="12">
        <f>0.08*0.025</f>
        <v>2E-3</v>
      </c>
      <c r="I72" s="24">
        <v>0.92649999999999999</v>
      </c>
      <c r="K72" s="8" t="s">
        <v>980</v>
      </c>
      <c r="M72" s="3" t="s">
        <v>301</v>
      </c>
      <c r="N72" s="3" t="s">
        <v>68</v>
      </c>
      <c r="O72" s="3" t="s">
        <v>23</v>
      </c>
      <c r="P7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72" s="4">
        <v>30</v>
      </c>
      <c r="R72" s="4">
        <v>7.5</v>
      </c>
      <c r="V72" s="4" t="s">
        <v>593</v>
      </c>
      <c r="W72" s="3" t="s">
        <v>13</v>
      </c>
      <c r="Y72" s="4">
        <v>19</v>
      </c>
      <c r="Z72" s="4">
        <v>365</v>
      </c>
      <c r="AA72" s="5">
        <f t="shared" ref="AA72:AA91" si="4">Y72/Z72</f>
        <v>5.2054794520547946E-2</v>
      </c>
      <c r="AB72" s="5"/>
      <c r="AC7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72" s="5" t="str">
        <f>IF(Tabelle1[[#This Row],[Nicht einbezogen weil…]]="",IFERROR(1000*Tabelle1[[#This Row],[Formfaktor]]/Tabelle1[[#This Row],[Thickness '[mm']]],""),"")</f>
        <v/>
      </c>
      <c r="AE72" s="5" t="str">
        <f>IF(Tabelle1[[#This Row],[Nicht einbezogen weil…]]="",IFERROR(Tabelle1[[#This Row],[specific surface '[m^2/m^3']]]/Tabelle1[[#This Row],[Density 
'[g/cm3']]]/1000000,""),"")</f>
        <v/>
      </c>
      <c r="AF72" s="5" t="str">
        <f>IF(Tabelle1[[#This Row],[Nicht einbezogen weil…]]="",IFERROR(365*10*Tabelle1[[#This Row],[Abbaurate '[%/d']]]*Tabelle1[[#This Row],[Thickness '[mm']]]/Tabelle1[[#This Row],[Formfaktor]],""),"")</f>
        <v/>
      </c>
      <c r="AG72" s="328" t="str">
        <f>IF(OR(Tabelle1[[#This Row],[Nicht einbezogen weil…]]="",Tabelle1[[#This Row],[Nicht einbezogen weil…]]="nicht-natürlich"),IF(Tabelle1[[#This Row],[Formfaktor]]=2, 1,IF(Tabelle1[[#This Row],[Formfaktor]]=4,2,IF(Tabelle1[[#This Row],[Formfaktor]]=6,3,""))),"")</f>
        <v/>
      </c>
      <c r="AH72"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7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72" s="6">
        <v>1</v>
      </c>
      <c r="AK7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72" s="3" t="s">
        <v>71</v>
      </c>
      <c r="AM72" s="3" t="s">
        <v>967</v>
      </c>
      <c r="AO72" s="3" t="s">
        <v>200</v>
      </c>
      <c r="AP72" s="3" t="s">
        <v>200</v>
      </c>
      <c r="AR72" s="2" t="s">
        <v>200</v>
      </c>
      <c r="AT72" s="10" t="s">
        <v>200</v>
      </c>
      <c r="AU72" s="13" t="s">
        <v>200</v>
      </c>
      <c r="AW72" s="10" t="s">
        <v>775</v>
      </c>
    </row>
    <row r="73" spans="1:49" ht="17.25" customHeight="1">
      <c r="B73" s="7" t="s">
        <v>67</v>
      </c>
      <c r="C73" s="3" t="s">
        <v>988</v>
      </c>
      <c r="E73" s="10"/>
      <c r="F73" s="3" t="s">
        <v>250</v>
      </c>
      <c r="G73" s="3" t="s">
        <v>341</v>
      </c>
      <c r="H73" s="3" t="s">
        <v>341</v>
      </c>
      <c r="I73" s="24">
        <v>0.92649999999999999</v>
      </c>
      <c r="K73" s="8" t="s">
        <v>989</v>
      </c>
      <c r="L73" s="3" t="s">
        <v>997</v>
      </c>
      <c r="M73" s="3" t="s">
        <v>200</v>
      </c>
      <c r="N73" s="3" t="s">
        <v>998</v>
      </c>
      <c r="O73" s="3" t="s">
        <v>358</v>
      </c>
      <c r="P7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73" s="3" t="s">
        <v>478</v>
      </c>
      <c r="X73" s="3" t="s">
        <v>999</v>
      </c>
      <c r="AA73" s="5" t="e">
        <f t="shared" si="4"/>
        <v>#DIV/0!</v>
      </c>
      <c r="AB73" s="5"/>
      <c r="AC7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73" s="5" t="str">
        <f>IF(Tabelle1[[#This Row],[Nicht einbezogen weil…]]="",IFERROR(1000*Tabelle1[[#This Row],[Formfaktor]]/Tabelle1[[#This Row],[Thickness '[mm']]],""),"")</f>
        <v/>
      </c>
      <c r="AE73" s="5" t="str">
        <f>IF(Tabelle1[[#This Row],[Nicht einbezogen weil…]]="",IFERROR(Tabelle1[[#This Row],[specific surface '[m^2/m^3']]]/Tabelle1[[#This Row],[Density 
'[g/cm3']]]/1000000,""),"")</f>
        <v/>
      </c>
      <c r="AF73" s="5" t="str">
        <f>IF(Tabelle1[[#This Row],[Nicht einbezogen weil…]]="",IFERROR(365*10*Tabelle1[[#This Row],[Abbaurate '[%/d']]]*Tabelle1[[#This Row],[Thickness '[mm']]]/Tabelle1[[#This Row],[Formfaktor]],""),"")</f>
        <v/>
      </c>
      <c r="AG73" s="328" t="str">
        <f>IF(OR(Tabelle1[[#This Row],[Nicht einbezogen weil…]]="",Tabelle1[[#This Row],[Nicht einbezogen weil…]]="nicht-natürlich"),IF(Tabelle1[[#This Row],[Formfaktor]]=2, 1,IF(Tabelle1[[#This Row],[Formfaktor]]=4,2,IF(Tabelle1[[#This Row],[Formfaktor]]=6,3,""))),"")</f>
        <v/>
      </c>
      <c r="AH73"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7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73" s="6">
        <v>1</v>
      </c>
      <c r="AK7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73" s="3" t="s">
        <v>979</v>
      </c>
      <c r="AM73" s="3" t="s">
        <v>967</v>
      </c>
      <c r="AN73" s="3" t="s">
        <v>824</v>
      </c>
      <c r="AT73" s="10" t="s">
        <v>200</v>
      </c>
      <c r="AU73" s="13" t="s">
        <v>200</v>
      </c>
      <c r="AW73" s="10" t="s">
        <v>775</v>
      </c>
    </row>
    <row r="74" spans="1:49" ht="17.25" customHeight="1">
      <c r="B74" s="7" t="s">
        <v>67</v>
      </c>
      <c r="C74" s="3" t="s">
        <v>990</v>
      </c>
      <c r="E74" s="10"/>
      <c r="F74" s="3" t="s">
        <v>250</v>
      </c>
      <c r="G74" s="3" t="s">
        <v>341</v>
      </c>
      <c r="H74" s="3" t="s">
        <v>341</v>
      </c>
      <c r="I74" s="24">
        <v>0.92649999999999999</v>
      </c>
      <c r="J74" s="3" t="s">
        <v>995</v>
      </c>
      <c r="K74" s="8" t="s">
        <v>989</v>
      </c>
      <c r="L74" s="3" t="s">
        <v>997</v>
      </c>
      <c r="M74" s="3" t="s">
        <v>200</v>
      </c>
      <c r="N74" s="3" t="s">
        <v>998</v>
      </c>
      <c r="O74" s="3" t="s">
        <v>358</v>
      </c>
      <c r="P7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74" s="3" t="s">
        <v>478</v>
      </c>
      <c r="X74" s="3" t="s">
        <v>999</v>
      </c>
      <c r="AA74" s="5" t="e">
        <f t="shared" si="4"/>
        <v>#DIV/0!</v>
      </c>
      <c r="AB74" s="5"/>
      <c r="AC7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74" s="5" t="str">
        <f>IF(Tabelle1[[#This Row],[Nicht einbezogen weil…]]="",IFERROR(1000*Tabelle1[[#This Row],[Formfaktor]]/Tabelle1[[#This Row],[Thickness '[mm']]],""),"")</f>
        <v/>
      </c>
      <c r="AE74" s="5" t="str">
        <f>IF(Tabelle1[[#This Row],[Nicht einbezogen weil…]]="",IFERROR(Tabelle1[[#This Row],[specific surface '[m^2/m^3']]]/Tabelle1[[#This Row],[Density 
'[g/cm3']]]/1000000,""),"")</f>
        <v/>
      </c>
      <c r="AF74" s="5" t="str">
        <f>IF(Tabelle1[[#This Row],[Nicht einbezogen weil…]]="",IFERROR(365*10*Tabelle1[[#This Row],[Abbaurate '[%/d']]]*Tabelle1[[#This Row],[Thickness '[mm']]]/Tabelle1[[#This Row],[Formfaktor]],""),"")</f>
        <v/>
      </c>
      <c r="AG74" s="328" t="str">
        <f>IF(OR(Tabelle1[[#This Row],[Nicht einbezogen weil…]]="",Tabelle1[[#This Row],[Nicht einbezogen weil…]]="nicht-natürlich"),IF(Tabelle1[[#This Row],[Formfaktor]]=2, 1,IF(Tabelle1[[#This Row],[Formfaktor]]=4,2,IF(Tabelle1[[#This Row],[Formfaktor]]=6,3,""))),"")</f>
        <v/>
      </c>
      <c r="AH74"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7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74" s="6">
        <v>1</v>
      </c>
      <c r="AK7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74" s="3" t="s">
        <v>979</v>
      </c>
      <c r="AM74" s="3" t="s">
        <v>967</v>
      </c>
      <c r="AN74" s="3" t="s">
        <v>824</v>
      </c>
      <c r="AT74" s="10" t="s">
        <v>200</v>
      </c>
      <c r="AU74" s="13" t="s">
        <v>200</v>
      </c>
      <c r="AW74" s="10" t="s">
        <v>775</v>
      </c>
    </row>
    <row r="75" spans="1:49" ht="17.25" customHeight="1">
      <c r="B75" s="7" t="s">
        <v>67</v>
      </c>
      <c r="C75" s="3" t="s">
        <v>991</v>
      </c>
      <c r="D75" s="3" t="s">
        <v>200</v>
      </c>
      <c r="E75" s="10" t="s">
        <v>205</v>
      </c>
      <c r="F75" s="3" t="s">
        <v>250</v>
      </c>
      <c r="G75" s="3">
        <v>0.06</v>
      </c>
      <c r="H75" s="3" t="s">
        <v>341</v>
      </c>
      <c r="I75" s="24">
        <v>0.92649999999999999</v>
      </c>
      <c r="J75" s="3" t="s">
        <v>996</v>
      </c>
      <c r="K75" s="8" t="s">
        <v>989</v>
      </c>
      <c r="L75" s="3" t="s">
        <v>997</v>
      </c>
      <c r="M75" s="3" t="s">
        <v>200</v>
      </c>
      <c r="N75" s="3" t="s">
        <v>998</v>
      </c>
      <c r="O75" s="3" t="s">
        <v>358</v>
      </c>
      <c r="P7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75" s="3" t="s">
        <v>478</v>
      </c>
      <c r="X75" s="3" t="s">
        <v>1131</v>
      </c>
      <c r="AA75" s="5" t="e">
        <f t="shared" si="4"/>
        <v>#DIV/0!</v>
      </c>
      <c r="AB75" s="5"/>
      <c r="AC7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75" s="5" t="str">
        <f>IF(Tabelle1[[#This Row],[Nicht einbezogen weil…]]="",IFERROR(1000*Tabelle1[[#This Row],[Formfaktor]]/Tabelle1[[#This Row],[Thickness '[mm']]],""),"")</f>
        <v/>
      </c>
      <c r="AE75" s="5" t="str">
        <f>IF(Tabelle1[[#This Row],[Nicht einbezogen weil…]]="",IFERROR(Tabelle1[[#This Row],[specific surface '[m^2/m^3']]]/Tabelle1[[#This Row],[Density 
'[g/cm3']]]/1000000,""),"")</f>
        <v/>
      </c>
      <c r="AF75" s="5" t="str">
        <f>IF(Tabelle1[[#This Row],[Nicht einbezogen weil…]]="",IFERROR(365*10*Tabelle1[[#This Row],[Abbaurate '[%/d']]]*Tabelle1[[#This Row],[Thickness '[mm']]]/Tabelle1[[#This Row],[Formfaktor]],""),"")</f>
        <v/>
      </c>
      <c r="AG75" s="328" t="str">
        <f>IF(OR(Tabelle1[[#This Row],[Nicht einbezogen weil…]]="",Tabelle1[[#This Row],[Nicht einbezogen weil…]]="nicht-natürlich"),IF(Tabelle1[[#This Row],[Formfaktor]]=2, 1,IF(Tabelle1[[#This Row],[Formfaktor]]=4,2,IF(Tabelle1[[#This Row],[Formfaktor]]=6,3,""))),"")</f>
        <v/>
      </c>
      <c r="AH7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7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75" s="6">
        <v>1</v>
      </c>
      <c r="AK7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75" s="3" t="s">
        <v>979</v>
      </c>
      <c r="AM75" s="3" t="s">
        <v>967</v>
      </c>
      <c r="AN75" s="3" t="s">
        <v>824</v>
      </c>
      <c r="AT75" s="10" t="s">
        <v>200</v>
      </c>
      <c r="AU75" s="13" t="s">
        <v>200</v>
      </c>
      <c r="AW75" s="10" t="s">
        <v>775</v>
      </c>
    </row>
    <row r="76" spans="1:49" ht="17.25" customHeight="1">
      <c r="B76" s="7" t="s">
        <v>782</v>
      </c>
      <c r="C76" s="3" t="s">
        <v>272</v>
      </c>
      <c r="D76" s="3" t="s">
        <v>200</v>
      </c>
      <c r="E76" s="10" t="s">
        <v>1127</v>
      </c>
      <c r="F76" s="12" t="s">
        <v>288</v>
      </c>
      <c r="G76" s="12">
        <v>0.03</v>
      </c>
      <c r="H76" s="12">
        <f>0.0254*0.1525</f>
        <v>3.8734999999999998E-3</v>
      </c>
      <c r="I76" s="24">
        <v>0.92649999999999999</v>
      </c>
      <c r="J76" s="3" t="s">
        <v>274</v>
      </c>
      <c r="K76" s="322" t="s">
        <v>471</v>
      </c>
      <c r="M76" s="3" t="s">
        <v>301</v>
      </c>
      <c r="N76" s="3" t="s">
        <v>275</v>
      </c>
      <c r="O76" s="3" t="s">
        <v>358</v>
      </c>
      <c r="P7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76" s="4">
        <v>60</v>
      </c>
      <c r="U76" s="4" t="s">
        <v>12</v>
      </c>
      <c r="W76" s="12" t="s">
        <v>13</v>
      </c>
      <c r="X76" s="12"/>
      <c r="Y76" s="4">
        <v>8</v>
      </c>
      <c r="Z76" s="4">
        <v>60</v>
      </c>
      <c r="AA76" s="5">
        <f t="shared" si="4"/>
        <v>0.13333333333333333</v>
      </c>
      <c r="AB76" s="5"/>
      <c r="AC7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76" s="97" t="str">
        <f>IF(Tabelle1[[#This Row],[Nicht einbezogen weil…]]="",IFERROR(1000*Tabelle1[[#This Row],[Formfaktor]]/Tabelle1[[#This Row],[Thickness '[mm']]],""),"")</f>
        <v/>
      </c>
      <c r="AE76" s="98" t="str">
        <f>IF(Tabelle1[[#This Row],[Nicht einbezogen weil…]]="",IFERROR(Tabelle1[[#This Row],[specific surface '[m^2/m^3']]]/Tabelle1[[#This Row],[Density 
'[g/cm3']]]/1000000,""),"")</f>
        <v/>
      </c>
      <c r="AF76" s="97" t="str">
        <f>IF(Tabelle1[[#This Row],[Nicht einbezogen weil…]]="",IFERROR(365*10*Tabelle1[[#This Row],[Abbaurate '[%/d']]]*Tabelle1[[#This Row],[Thickness '[mm']]]/Tabelle1[[#This Row],[Formfaktor]],""),"")</f>
        <v/>
      </c>
      <c r="AG76" s="99" t="str">
        <f>IF(OR(Tabelle1[[#This Row],[Nicht einbezogen weil…]]="",Tabelle1[[#This Row],[Nicht einbezogen weil…]]="nicht-natürlich"),IF(Tabelle1[[#This Row],[Formfaktor]]=2, 1,IF(Tabelle1[[#This Row],[Formfaktor]]=4,2,IF(Tabelle1[[#This Row],[Formfaktor]]=6,3,""))),"")</f>
        <v/>
      </c>
      <c r="AH7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7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76" s="71">
        <v>1</v>
      </c>
      <c r="AK7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76" s="3" t="s">
        <v>276</v>
      </c>
      <c r="AM76" s="3" t="s">
        <v>967</v>
      </c>
      <c r="AN76" s="3" t="s">
        <v>307</v>
      </c>
      <c r="AO76" s="3" t="s">
        <v>200</v>
      </c>
      <c r="AP76" s="3" t="s">
        <v>200</v>
      </c>
      <c r="AT76" s="10" t="s">
        <v>200</v>
      </c>
      <c r="AU76" s="13" t="s">
        <v>200</v>
      </c>
      <c r="AW76" s="10" t="s">
        <v>796</v>
      </c>
    </row>
    <row r="77" spans="1:49" ht="17.25" customHeight="1">
      <c r="B77" s="7" t="s">
        <v>782</v>
      </c>
      <c r="C77" s="3" t="s">
        <v>287</v>
      </c>
      <c r="D77" s="3" t="s">
        <v>200</v>
      </c>
      <c r="E77" s="10" t="s">
        <v>1127</v>
      </c>
      <c r="F77" s="12" t="s">
        <v>288</v>
      </c>
      <c r="G77" s="12">
        <v>0.4</v>
      </c>
      <c r="H77" s="12">
        <f>0.05*0.05</f>
        <v>2.5000000000000005E-3</v>
      </c>
      <c r="I77" s="24">
        <v>0.92649999999999999</v>
      </c>
      <c r="J77" s="3" t="s">
        <v>487</v>
      </c>
      <c r="L77" s="3" t="s">
        <v>289</v>
      </c>
      <c r="M77" s="3" t="s">
        <v>223</v>
      </c>
      <c r="N77" s="3" t="s">
        <v>290</v>
      </c>
      <c r="O77" s="3" t="s">
        <v>358</v>
      </c>
      <c r="P7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77" s="4">
        <v>30</v>
      </c>
      <c r="S77" s="4" t="s">
        <v>16</v>
      </c>
      <c r="W77" s="3" t="s">
        <v>13</v>
      </c>
      <c r="Y77" s="4">
        <v>2.19</v>
      </c>
      <c r="Z77" s="4">
        <v>84</v>
      </c>
      <c r="AA77" s="5">
        <f t="shared" si="4"/>
        <v>2.6071428571428572E-2</v>
      </c>
      <c r="AB77" s="5"/>
      <c r="AC7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77" s="97" t="str">
        <f>IF(Tabelle1[[#This Row],[Nicht einbezogen weil…]]="",IFERROR(1000*Tabelle1[[#This Row],[Formfaktor]]/Tabelle1[[#This Row],[Thickness '[mm']]],""),"")</f>
        <v/>
      </c>
      <c r="AE77" s="98" t="str">
        <f>IF(Tabelle1[[#This Row],[Nicht einbezogen weil…]]="",IFERROR(Tabelle1[[#This Row],[specific surface '[m^2/m^3']]]/Tabelle1[[#This Row],[Density 
'[g/cm3']]]/1000000,""),"")</f>
        <v/>
      </c>
      <c r="AF77" s="97" t="str">
        <f>IF(Tabelle1[[#This Row],[Nicht einbezogen weil…]]="",IFERROR(365*10*Tabelle1[[#This Row],[Abbaurate '[%/d']]]*Tabelle1[[#This Row],[Thickness '[mm']]]/Tabelle1[[#This Row],[Formfaktor]],""),"")</f>
        <v/>
      </c>
      <c r="AG77" s="99" t="str">
        <f>IF(OR(Tabelle1[[#This Row],[Nicht einbezogen weil…]]="",Tabelle1[[#This Row],[Nicht einbezogen weil…]]="nicht-natürlich"),IF(Tabelle1[[#This Row],[Formfaktor]]=2, 1,IF(Tabelle1[[#This Row],[Formfaktor]]=4,2,IF(Tabelle1[[#This Row],[Formfaktor]]=6,3,""))),"")</f>
        <v/>
      </c>
      <c r="AH7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7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77" s="71">
        <v>1</v>
      </c>
      <c r="AK7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77" s="3" t="s">
        <v>291</v>
      </c>
      <c r="AM77" s="3" t="s">
        <v>967</v>
      </c>
      <c r="AO77" s="3" t="s">
        <v>200</v>
      </c>
      <c r="AP77" s="3" t="s">
        <v>200</v>
      </c>
      <c r="AT77" s="10" t="s">
        <v>200</v>
      </c>
      <c r="AU77" s="13" t="s">
        <v>200</v>
      </c>
      <c r="AW77" s="10" t="s">
        <v>796</v>
      </c>
    </row>
    <row r="78" spans="1:49" ht="17.25" customHeight="1">
      <c r="B78" s="7" t="s">
        <v>782</v>
      </c>
      <c r="C78" s="3" t="s">
        <v>493</v>
      </c>
      <c r="D78" s="3" t="s">
        <v>200</v>
      </c>
      <c r="E78" s="10" t="s">
        <v>1127</v>
      </c>
      <c r="F78" s="12" t="s">
        <v>428</v>
      </c>
      <c r="G78" s="12">
        <v>3</v>
      </c>
      <c r="H78" s="12">
        <f t="shared" ref="H78:H83" si="5">0.025*0.025</f>
        <v>6.2500000000000012E-4</v>
      </c>
      <c r="I78" s="24">
        <v>0.92649999999999999</v>
      </c>
      <c r="J78" s="3" t="s">
        <v>298</v>
      </c>
      <c r="M78" s="3" t="s">
        <v>200</v>
      </c>
      <c r="N78" s="3" t="s">
        <v>258</v>
      </c>
      <c r="O78" s="3" t="s">
        <v>358</v>
      </c>
      <c r="P7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78" s="4">
        <v>20</v>
      </c>
      <c r="U78" s="4" t="s">
        <v>12</v>
      </c>
      <c r="W78" s="3" t="s">
        <v>13</v>
      </c>
      <c r="Y78" s="4">
        <v>19</v>
      </c>
      <c r="Z78" s="4">
        <v>180</v>
      </c>
      <c r="AA78" s="5">
        <f t="shared" si="4"/>
        <v>0.10555555555555556</v>
      </c>
      <c r="AB78" s="5"/>
      <c r="AC7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78" s="97" t="str">
        <f>IF(Tabelle1[[#This Row],[Nicht einbezogen weil…]]="",IFERROR(1000*Tabelle1[[#This Row],[Formfaktor]]/Tabelle1[[#This Row],[Thickness '[mm']]],""),"")</f>
        <v/>
      </c>
      <c r="AE78" s="98" t="str">
        <f>IF(Tabelle1[[#This Row],[Nicht einbezogen weil…]]="",IFERROR(Tabelle1[[#This Row],[specific surface '[m^2/m^3']]]/Tabelle1[[#This Row],[Density 
'[g/cm3']]]/1000000,""),"")</f>
        <v/>
      </c>
      <c r="AF78" s="97" t="str">
        <f>IF(Tabelle1[[#This Row],[Nicht einbezogen weil…]]="",IFERROR(365*10*Tabelle1[[#This Row],[Abbaurate '[%/d']]]*Tabelle1[[#This Row],[Thickness '[mm']]]/Tabelle1[[#This Row],[Formfaktor]],""),"")</f>
        <v/>
      </c>
      <c r="AG78" s="99" t="str">
        <f>IF(OR(Tabelle1[[#This Row],[Nicht einbezogen weil…]]="",Tabelle1[[#This Row],[Nicht einbezogen weil…]]="nicht-natürlich"),IF(Tabelle1[[#This Row],[Formfaktor]]=2, 1,IF(Tabelle1[[#This Row],[Formfaktor]]=4,2,IF(Tabelle1[[#This Row],[Formfaktor]]=6,3,""))),"")</f>
        <v/>
      </c>
      <c r="AH7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7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78" s="71">
        <v>1</v>
      </c>
      <c r="AK7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78" s="3" t="s">
        <v>259</v>
      </c>
      <c r="AM78" s="3" t="s">
        <v>967</v>
      </c>
      <c r="AO78" s="3" t="s">
        <v>200</v>
      </c>
      <c r="AP78" s="3" t="s">
        <v>200</v>
      </c>
      <c r="AQ78" s="3" t="s">
        <v>200</v>
      </c>
      <c r="AR78" s="2" t="s">
        <v>260</v>
      </c>
      <c r="AT78" s="10" t="s">
        <v>200</v>
      </c>
      <c r="AU78" s="13" t="s">
        <v>200</v>
      </c>
      <c r="AW78" s="10" t="s">
        <v>796</v>
      </c>
    </row>
    <row r="79" spans="1:49" ht="17.25" customHeight="1">
      <c r="B79" s="7" t="s">
        <v>782</v>
      </c>
      <c r="C79" s="3" t="s">
        <v>492</v>
      </c>
      <c r="D79" s="3" t="s">
        <v>200</v>
      </c>
      <c r="E79" s="10" t="s">
        <v>1127</v>
      </c>
      <c r="F79" s="12" t="s">
        <v>428</v>
      </c>
      <c r="G79" s="12">
        <v>3</v>
      </c>
      <c r="H79" s="12">
        <f t="shared" si="5"/>
        <v>6.2500000000000012E-4</v>
      </c>
      <c r="I79" s="24">
        <v>0.92649999999999999</v>
      </c>
      <c r="J79" s="3" t="s">
        <v>298</v>
      </c>
      <c r="M79" s="3" t="s">
        <v>200</v>
      </c>
      <c r="N79" s="3" t="s">
        <v>258</v>
      </c>
      <c r="O79" s="3" t="s">
        <v>358</v>
      </c>
      <c r="P7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79" s="4">
        <v>20</v>
      </c>
      <c r="U79" s="4" t="s">
        <v>12</v>
      </c>
      <c r="W79" s="3" t="s">
        <v>13</v>
      </c>
      <c r="Y79" s="4">
        <v>12</v>
      </c>
      <c r="Z79" s="4">
        <v>180</v>
      </c>
      <c r="AA79" s="5">
        <f t="shared" si="4"/>
        <v>6.6666666666666666E-2</v>
      </c>
      <c r="AB79" s="5"/>
      <c r="AC7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79" s="97" t="str">
        <f>IF(Tabelle1[[#This Row],[Nicht einbezogen weil…]]="",IFERROR(1000*Tabelle1[[#This Row],[Formfaktor]]/Tabelle1[[#This Row],[Thickness '[mm']]],""),"")</f>
        <v/>
      </c>
      <c r="AE79" s="98" t="str">
        <f>IF(Tabelle1[[#This Row],[Nicht einbezogen weil…]]="",IFERROR(Tabelle1[[#This Row],[specific surface '[m^2/m^3']]]/Tabelle1[[#This Row],[Density 
'[g/cm3']]]/1000000,""),"")</f>
        <v/>
      </c>
      <c r="AF79" s="97" t="str">
        <f>IF(Tabelle1[[#This Row],[Nicht einbezogen weil…]]="",IFERROR(365*10*Tabelle1[[#This Row],[Abbaurate '[%/d']]]*Tabelle1[[#This Row],[Thickness '[mm']]]/Tabelle1[[#This Row],[Formfaktor]],""),"")</f>
        <v/>
      </c>
      <c r="AG79" s="99" t="str">
        <f>IF(OR(Tabelle1[[#This Row],[Nicht einbezogen weil…]]="",Tabelle1[[#This Row],[Nicht einbezogen weil…]]="nicht-natürlich"),IF(Tabelle1[[#This Row],[Formfaktor]]=2, 1,IF(Tabelle1[[#This Row],[Formfaktor]]=4,2,IF(Tabelle1[[#This Row],[Formfaktor]]=6,3,""))),"")</f>
        <v/>
      </c>
      <c r="AH7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7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79" s="71">
        <v>1</v>
      </c>
      <c r="AK7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79" s="3" t="s">
        <v>259</v>
      </c>
      <c r="AM79" s="3" t="s">
        <v>967</v>
      </c>
      <c r="AO79" s="3" t="s">
        <v>200</v>
      </c>
      <c r="AP79" s="3" t="s">
        <v>200</v>
      </c>
      <c r="AQ79" s="3" t="s">
        <v>200</v>
      </c>
      <c r="AR79" s="2" t="s">
        <v>260</v>
      </c>
      <c r="AT79" s="10" t="s">
        <v>200</v>
      </c>
      <c r="AU79" s="13" t="s">
        <v>200</v>
      </c>
      <c r="AW79" s="10" t="s">
        <v>796</v>
      </c>
    </row>
    <row r="80" spans="1:49" ht="17.25" customHeight="1">
      <c r="B80" s="7" t="s">
        <v>782</v>
      </c>
      <c r="C80" s="3" t="s">
        <v>491</v>
      </c>
      <c r="D80" s="3" t="s">
        <v>200</v>
      </c>
      <c r="E80" s="10" t="s">
        <v>1127</v>
      </c>
      <c r="F80" s="12" t="s">
        <v>428</v>
      </c>
      <c r="G80" s="12">
        <v>3</v>
      </c>
      <c r="H80" s="12">
        <f t="shared" si="5"/>
        <v>6.2500000000000012E-4</v>
      </c>
      <c r="I80" s="24">
        <v>0.92649999999999999</v>
      </c>
      <c r="J80" s="3" t="s">
        <v>298</v>
      </c>
      <c r="M80" s="3" t="s">
        <v>200</v>
      </c>
      <c r="N80" s="3" t="s">
        <v>258</v>
      </c>
      <c r="O80" s="3" t="s">
        <v>358</v>
      </c>
      <c r="P8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80" s="4">
        <v>20</v>
      </c>
      <c r="U80" s="4" t="s">
        <v>12</v>
      </c>
      <c r="W80" s="3" t="s">
        <v>13</v>
      </c>
      <c r="Y80" s="4">
        <v>7</v>
      </c>
      <c r="Z80" s="4">
        <v>180</v>
      </c>
      <c r="AA80" s="5">
        <f t="shared" si="4"/>
        <v>3.888888888888889E-2</v>
      </c>
      <c r="AB80" s="5"/>
      <c r="AC8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80" s="97" t="str">
        <f>IF(Tabelle1[[#This Row],[Nicht einbezogen weil…]]="",IFERROR(1000*Tabelle1[[#This Row],[Formfaktor]]/Tabelle1[[#This Row],[Thickness '[mm']]],""),"")</f>
        <v/>
      </c>
      <c r="AE80" s="98" t="str">
        <f>IF(Tabelle1[[#This Row],[Nicht einbezogen weil…]]="",IFERROR(Tabelle1[[#This Row],[specific surface '[m^2/m^3']]]/Tabelle1[[#This Row],[Density 
'[g/cm3']]]/1000000,""),"")</f>
        <v/>
      </c>
      <c r="AF80" s="97" t="str">
        <f>IF(Tabelle1[[#This Row],[Nicht einbezogen weil…]]="",IFERROR(365*10*Tabelle1[[#This Row],[Abbaurate '[%/d']]]*Tabelle1[[#This Row],[Thickness '[mm']]]/Tabelle1[[#This Row],[Formfaktor]],""),"")</f>
        <v/>
      </c>
      <c r="AG80" s="99" t="str">
        <f>IF(OR(Tabelle1[[#This Row],[Nicht einbezogen weil…]]="",Tabelle1[[#This Row],[Nicht einbezogen weil…]]="nicht-natürlich"),IF(Tabelle1[[#This Row],[Formfaktor]]=2, 1,IF(Tabelle1[[#This Row],[Formfaktor]]=4,2,IF(Tabelle1[[#This Row],[Formfaktor]]=6,3,""))),"")</f>
        <v/>
      </c>
      <c r="AH8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0" s="71">
        <v>1</v>
      </c>
      <c r="AK8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80" s="3" t="s">
        <v>259</v>
      </c>
      <c r="AM80" s="3" t="s">
        <v>967</v>
      </c>
      <c r="AO80" s="3" t="s">
        <v>200</v>
      </c>
      <c r="AP80" s="3" t="s">
        <v>200</v>
      </c>
      <c r="AQ80" s="3" t="s">
        <v>200</v>
      </c>
      <c r="AR80" s="2" t="s">
        <v>260</v>
      </c>
      <c r="AT80" s="10" t="s">
        <v>200</v>
      </c>
      <c r="AU80" s="13" t="s">
        <v>200</v>
      </c>
      <c r="AW80" s="10" t="s">
        <v>796</v>
      </c>
    </row>
    <row r="81" spans="2:49" ht="17.25" customHeight="1">
      <c r="B81" s="7" t="s">
        <v>782</v>
      </c>
      <c r="C81" s="3" t="s">
        <v>490</v>
      </c>
      <c r="D81" s="3" t="s">
        <v>200</v>
      </c>
      <c r="E81" s="10" t="s">
        <v>1127</v>
      </c>
      <c r="F81" s="12" t="s">
        <v>428</v>
      </c>
      <c r="G81" s="12">
        <v>3</v>
      </c>
      <c r="H81" s="12">
        <f t="shared" si="5"/>
        <v>6.2500000000000012E-4</v>
      </c>
      <c r="I81" s="24">
        <v>0.92649999999999999</v>
      </c>
      <c r="J81" s="3" t="s">
        <v>298</v>
      </c>
      <c r="M81" s="3" t="s">
        <v>200</v>
      </c>
      <c r="N81" s="3" t="s">
        <v>258</v>
      </c>
      <c r="O81" s="3" t="s">
        <v>358</v>
      </c>
      <c r="P8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81" s="4">
        <v>20</v>
      </c>
      <c r="U81" s="4" t="s">
        <v>12</v>
      </c>
      <c r="W81" s="3" t="s">
        <v>13</v>
      </c>
      <c r="Y81" s="4">
        <v>3.5</v>
      </c>
      <c r="Z81" s="4">
        <v>180</v>
      </c>
      <c r="AA81" s="5">
        <f t="shared" si="4"/>
        <v>1.9444444444444445E-2</v>
      </c>
      <c r="AB81" s="5"/>
      <c r="AC8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81" s="97" t="str">
        <f>IF(Tabelle1[[#This Row],[Nicht einbezogen weil…]]="",IFERROR(1000*Tabelle1[[#This Row],[Formfaktor]]/Tabelle1[[#This Row],[Thickness '[mm']]],""),"")</f>
        <v/>
      </c>
      <c r="AE81" s="98" t="str">
        <f>IF(Tabelle1[[#This Row],[Nicht einbezogen weil…]]="",IFERROR(Tabelle1[[#This Row],[specific surface '[m^2/m^3']]]/Tabelle1[[#This Row],[Density 
'[g/cm3']]]/1000000,""),"")</f>
        <v/>
      </c>
      <c r="AF81" s="97" t="str">
        <f>IF(Tabelle1[[#This Row],[Nicht einbezogen weil…]]="",IFERROR(365*10*Tabelle1[[#This Row],[Abbaurate '[%/d']]]*Tabelle1[[#This Row],[Thickness '[mm']]]/Tabelle1[[#This Row],[Formfaktor]],""),"")</f>
        <v/>
      </c>
      <c r="AG81" s="99" t="str">
        <f>IF(OR(Tabelle1[[#This Row],[Nicht einbezogen weil…]]="",Tabelle1[[#This Row],[Nicht einbezogen weil…]]="nicht-natürlich"),IF(Tabelle1[[#This Row],[Formfaktor]]=2, 1,IF(Tabelle1[[#This Row],[Formfaktor]]=4,2,IF(Tabelle1[[#This Row],[Formfaktor]]=6,3,""))),"")</f>
        <v/>
      </c>
      <c r="AH8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1" s="71">
        <v>1</v>
      </c>
      <c r="AK8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81" s="3" t="s">
        <v>259</v>
      </c>
      <c r="AM81" s="3" t="s">
        <v>967</v>
      </c>
      <c r="AO81" s="3" t="s">
        <v>200</v>
      </c>
      <c r="AP81" s="3" t="s">
        <v>200</v>
      </c>
      <c r="AQ81" s="3" t="s">
        <v>200</v>
      </c>
      <c r="AR81" s="2" t="s">
        <v>260</v>
      </c>
      <c r="AT81" s="10" t="s">
        <v>200</v>
      </c>
      <c r="AU81" s="13" t="s">
        <v>200</v>
      </c>
      <c r="AW81" s="10" t="s">
        <v>796</v>
      </c>
    </row>
    <row r="82" spans="2:49" ht="17.25" customHeight="1">
      <c r="B82" s="7" t="s">
        <v>782</v>
      </c>
      <c r="C82" s="3" t="s">
        <v>57</v>
      </c>
      <c r="D82" s="3" t="s">
        <v>200</v>
      </c>
      <c r="E82" s="10" t="s">
        <v>1127</v>
      </c>
      <c r="F82" s="12" t="s">
        <v>428</v>
      </c>
      <c r="G82" s="12">
        <v>3</v>
      </c>
      <c r="H82" s="12">
        <f t="shared" si="5"/>
        <v>6.2500000000000012E-4</v>
      </c>
      <c r="I82" s="24">
        <v>0.92649999999999999</v>
      </c>
      <c r="J82" s="3" t="s">
        <v>298</v>
      </c>
      <c r="M82" s="3" t="s">
        <v>200</v>
      </c>
      <c r="N82" s="3" t="s">
        <v>258</v>
      </c>
      <c r="O82" s="3" t="s">
        <v>358</v>
      </c>
      <c r="P8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82" s="4">
        <v>20</v>
      </c>
      <c r="U82" s="4" t="s">
        <v>12</v>
      </c>
      <c r="W82" s="3" t="s">
        <v>13</v>
      </c>
      <c r="Y82" s="4">
        <v>2.5</v>
      </c>
      <c r="Z82" s="4">
        <v>180</v>
      </c>
      <c r="AA82" s="5">
        <f t="shared" si="4"/>
        <v>1.3888888888888888E-2</v>
      </c>
      <c r="AB82" s="5"/>
      <c r="AC8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82" s="97" t="str">
        <f>IF(Tabelle1[[#This Row],[Nicht einbezogen weil…]]="",IFERROR(1000*Tabelle1[[#This Row],[Formfaktor]]/Tabelle1[[#This Row],[Thickness '[mm']]],""),"")</f>
        <v/>
      </c>
      <c r="AE82" s="98" t="str">
        <f>IF(Tabelle1[[#This Row],[Nicht einbezogen weil…]]="",IFERROR(Tabelle1[[#This Row],[specific surface '[m^2/m^3']]]/Tabelle1[[#This Row],[Density 
'[g/cm3']]]/1000000,""),"")</f>
        <v/>
      </c>
      <c r="AF82" s="97" t="str">
        <f>IF(Tabelle1[[#This Row],[Nicht einbezogen weil…]]="",IFERROR(365*10*Tabelle1[[#This Row],[Abbaurate '[%/d']]]*Tabelle1[[#This Row],[Thickness '[mm']]]/Tabelle1[[#This Row],[Formfaktor]],""),"")</f>
        <v/>
      </c>
      <c r="AG82" s="99" t="str">
        <f>IF(OR(Tabelle1[[#This Row],[Nicht einbezogen weil…]]="",Tabelle1[[#This Row],[Nicht einbezogen weil…]]="nicht-natürlich"),IF(Tabelle1[[#This Row],[Formfaktor]]=2, 1,IF(Tabelle1[[#This Row],[Formfaktor]]=4,2,IF(Tabelle1[[#This Row],[Formfaktor]]=6,3,""))),"")</f>
        <v/>
      </c>
      <c r="AH8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2" s="71">
        <v>1</v>
      </c>
      <c r="AK8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82" s="3" t="s">
        <v>259</v>
      </c>
      <c r="AM82" s="3" t="s">
        <v>967</v>
      </c>
      <c r="AO82" s="3" t="s">
        <v>200</v>
      </c>
      <c r="AP82" s="3" t="s">
        <v>200</v>
      </c>
      <c r="AQ82" s="3" t="s">
        <v>200</v>
      </c>
      <c r="AR82" s="2" t="s">
        <v>260</v>
      </c>
      <c r="AT82" s="10" t="s">
        <v>200</v>
      </c>
      <c r="AU82" s="13" t="s">
        <v>200</v>
      </c>
      <c r="AW82" s="10" t="s">
        <v>796</v>
      </c>
    </row>
    <row r="83" spans="2:49" ht="17.25" customHeight="1">
      <c r="B83" s="7" t="s">
        <v>782</v>
      </c>
      <c r="C83" s="3" t="s">
        <v>489</v>
      </c>
      <c r="D83" s="3" t="s">
        <v>200</v>
      </c>
      <c r="E83" s="10" t="s">
        <v>1127</v>
      </c>
      <c r="F83" s="12" t="s">
        <v>428</v>
      </c>
      <c r="G83" s="12">
        <v>3</v>
      </c>
      <c r="H83" s="12">
        <f t="shared" si="5"/>
        <v>6.2500000000000012E-4</v>
      </c>
      <c r="I83" s="24">
        <v>0.92649999999999999</v>
      </c>
      <c r="J83" s="3" t="s">
        <v>298</v>
      </c>
      <c r="M83" s="3" t="s">
        <v>200</v>
      </c>
      <c r="N83" s="3" t="s">
        <v>258</v>
      </c>
      <c r="O83" s="3" t="s">
        <v>358</v>
      </c>
      <c r="P8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83" s="4">
        <v>20</v>
      </c>
      <c r="U83" s="4" t="s">
        <v>12</v>
      </c>
      <c r="W83" s="3" t="s">
        <v>13</v>
      </c>
      <c r="Y83" s="4">
        <v>1</v>
      </c>
      <c r="Z83" s="4">
        <v>180</v>
      </c>
      <c r="AA83" s="5">
        <f t="shared" si="4"/>
        <v>5.5555555555555558E-3</v>
      </c>
      <c r="AB83" s="5"/>
      <c r="AC8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83" s="97" t="str">
        <f>IF(Tabelle1[[#This Row],[Nicht einbezogen weil…]]="",IFERROR(1000*Tabelle1[[#This Row],[Formfaktor]]/Tabelle1[[#This Row],[Thickness '[mm']]],""),"")</f>
        <v/>
      </c>
      <c r="AE83" s="98" t="str">
        <f>IF(Tabelle1[[#This Row],[Nicht einbezogen weil…]]="",IFERROR(Tabelle1[[#This Row],[specific surface '[m^2/m^3']]]/Tabelle1[[#This Row],[Density 
'[g/cm3']]]/1000000,""),"")</f>
        <v/>
      </c>
      <c r="AF83" s="97" t="str">
        <f>IF(Tabelle1[[#This Row],[Nicht einbezogen weil…]]="",IFERROR(365*10*Tabelle1[[#This Row],[Abbaurate '[%/d']]]*Tabelle1[[#This Row],[Thickness '[mm']]]/Tabelle1[[#This Row],[Formfaktor]],""),"")</f>
        <v/>
      </c>
      <c r="AG83" s="99" t="str">
        <f>IF(OR(Tabelle1[[#This Row],[Nicht einbezogen weil…]]="",Tabelle1[[#This Row],[Nicht einbezogen weil…]]="nicht-natürlich"),IF(Tabelle1[[#This Row],[Formfaktor]]=2, 1,IF(Tabelle1[[#This Row],[Formfaktor]]=4,2,IF(Tabelle1[[#This Row],[Formfaktor]]=6,3,""))),"")</f>
        <v/>
      </c>
      <c r="AH8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3" s="71">
        <v>1</v>
      </c>
      <c r="AK8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83" s="3" t="s">
        <v>259</v>
      </c>
      <c r="AM83" s="3" t="s">
        <v>967</v>
      </c>
      <c r="AO83" s="3" t="s">
        <v>200</v>
      </c>
      <c r="AP83" s="3" t="s">
        <v>200</v>
      </c>
      <c r="AQ83" s="3" t="s">
        <v>200</v>
      </c>
      <c r="AR83" s="2" t="s">
        <v>260</v>
      </c>
      <c r="AT83" s="10" t="s">
        <v>200</v>
      </c>
      <c r="AU83" s="13" t="s">
        <v>200</v>
      </c>
      <c r="AW83" s="10" t="s">
        <v>796</v>
      </c>
    </row>
    <row r="84" spans="2:49" ht="17.25" customHeight="1">
      <c r="B84" s="7" t="s">
        <v>782</v>
      </c>
      <c r="C84" s="3" t="s">
        <v>611</v>
      </c>
      <c r="D84" s="3" t="s">
        <v>200</v>
      </c>
      <c r="E84" s="10" t="s">
        <v>1127</v>
      </c>
      <c r="F84" s="12" t="s">
        <v>371</v>
      </c>
      <c r="G84" s="12" t="s">
        <v>341</v>
      </c>
      <c r="H84" s="12" t="s">
        <v>341</v>
      </c>
      <c r="I84" s="24">
        <v>0.92649999999999999</v>
      </c>
      <c r="J84" s="3" t="s">
        <v>611</v>
      </c>
      <c r="K84" s="8" t="s">
        <v>606</v>
      </c>
      <c r="M84" s="3" t="s">
        <v>301</v>
      </c>
      <c r="N84" s="3" t="s">
        <v>94</v>
      </c>
      <c r="O84" s="3" t="s">
        <v>23</v>
      </c>
      <c r="P8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84" s="3" t="s">
        <v>190</v>
      </c>
      <c r="Y84" s="4">
        <v>3.98</v>
      </c>
      <c r="Z84" s="4">
        <v>180</v>
      </c>
      <c r="AA84" s="5">
        <f t="shared" si="4"/>
        <v>2.2111111111111113E-2</v>
      </c>
      <c r="AB84" s="5"/>
      <c r="AC8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84" s="97" t="str">
        <f>IF(Tabelle1[[#This Row],[Nicht einbezogen weil…]]="",IFERROR(1000*Tabelle1[[#This Row],[Formfaktor]]/Tabelle1[[#This Row],[Thickness '[mm']]],""),"")</f>
        <v/>
      </c>
      <c r="AE84" s="98" t="str">
        <f>IF(Tabelle1[[#This Row],[Nicht einbezogen weil…]]="",IFERROR(Tabelle1[[#This Row],[specific surface '[m^2/m^3']]]/Tabelle1[[#This Row],[Density 
'[g/cm3']]]/1000000,""),"")</f>
        <v/>
      </c>
      <c r="AF84" s="97" t="str">
        <f>IF(Tabelle1[[#This Row],[Nicht einbezogen weil…]]="",IFERROR(365*10*Tabelle1[[#This Row],[Abbaurate '[%/d']]]*Tabelle1[[#This Row],[Thickness '[mm']]]/Tabelle1[[#This Row],[Formfaktor]],""),"")</f>
        <v/>
      </c>
      <c r="AG84" s="99" t="str">
        <f>IF(OR(Tabelle1[[#This Row],[Nicht einbezogen weil…]]="",Tabelle1[[#This Row],[Nicht einbezogen weil…]]="nicht-natürlich"),IF(Tabelle1[[#This Row],[Formfaktor]]=2, 1,IF(Tabelle1[[#This Row],[Formfaktor]]=4,2,IF(Tabelle1[[#This Row],[Formfaktor]]=6,3,""))),"")</f>
        <v/>
      </c>
      <c r="AH8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4" s="71">
        <v>1</v>
      </c>
      <c r="AK8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84" s="3" t="s">
        <v>76</v>
      </c>
      <c r="AM84" s="17" t="s">
        <v>596</v>
      </c>
      <c r="AN84" s="3" t="s">
        <v>538</v>
      </c>
      <c r="AO84" s="3" t="s">
        <v>235</v>
      </c>
      <c r="AP84" s="3" t="s">
        <v>235</v>
      </c>
      <c r="AT84" s="10" t="s">
        <v>223</v>
      </c>
      <c r="AU84" s="13" t="s">
        <v>200</v>
      </c>
      <c r="AW84" s="10" t="s">
        <v>796</v>
      </c>
    </row>
    <row r="85" spans="2:49" ht="17.25" customHeight="1">
      <c r="B85" s="7" t="s">
        <v>782</v>
      </c>
      <c r="C85" s="3" t="s">
        <v>57</v>
      </c>
      <c r="D85" s="3" t="s">
        <v>200</v>
      </c>
      <c r="E85" s="10" t="s">
        <v>1127</v>
      </c>
      <c r="F85" s="12" t="s">
        <v>565</v>
      </c>
      <c r="G85" s="12">
        <v>3</v>
      </c>
      <c r="H85" s="12">
        <f t="shared" ref="H85:H90" si="6">0.215*0.12</f>
        <v>2.58E-2</v>
      </c>
      <c r="I85" s="24">
        <v>0.92649999999999999</v>
      </c>
      <c r="J85" s="3" t="s">
        <v>564</v>
      </c>
      <c r="M85" s="3" t="s">
        <v>223</v>
      </c>
      <c r="N85" s="3" t="s">
        <v>63</v>
      </c>
      <c r="O85" s="3" t="s">
        <v>358</v>
      </c>
      <c r="P8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85" s="4" t="s">
        <v>66</v>
      </c>
      <c r="S85" s="4" t="s">
        <v>65</v>
      </c>
      <c r="W85" s="3" t="s">
        <v>13</v>
      </c>
      <c r="Y85" s="4">
        <v>9</v>
      </c>
      <c r="Z85" s="4">
        <v>140</v>
      </c>
      <c r="AA85" s="5">
        <f t="shared" si="4"/>
        <v>6.4285714285714279E-2</v>
      </c>
      <c r="AB85" s="5"/>
      <c r="AC85"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85" s="97" t="str">
        <f>IF(Tabelle1[[#This Row],[Nicht einbezogen weil…]]="",IFERROR(1000*Tabelle1[[#This Row],[Formfaktor]]/Tabelle1[[#This Row],[Thickness '[mm']]],""),"")</f>
        <v/>
      </c>
      <c r="AE85" s="98" t="str">
        <f>IF(Tabelle1[[#This Row],[Nicht einbezogen weil…]]="",IFERROR(Tabelle1[[#This Row],[specific surface '[m^2/m^3']]]/Tabelle1[[#This Row],[Density 
'[g/cm3']]]/1000000,""),"")</f>
        <v/>
      </c>
      <c r="AF85" s="97" t="str">
        <f>IF(Tabelle1[[#This Row],[Nicht einbezogen weil…]]="",IFERROR(365*10*Tabelle1[[#This Row],[Abbaurate '[%/d']]]*Tabelle1[[#This Row],[Thickness '[mm']]]/Tabelle1[[#This Row],[Formfaktor]],""),"")</f>
        <v/>
      </c>
      <c r="AG85" s="99" t="str">
        <f>IF(OR(Tabelle1[[#This Row],[Nicht einbezogen weil…]]="",Tabelle1[[#This Row],[Nicht einbezogen weil…]]="nicht-natürlich"),IF(Tabelle1[[#This Row],[Formfaktor]]=2, 1,IF(Tabelle1[[#This Row],[Formfaktor]]=4,2,IF(Tabelle1[[#This Row],[Formfaktor]]=6,3,""))),"")</f>
        <v/>
      </c>
      <c r="AH8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5" s="71">
        <v>1</v>
      </c>
      <c r="AK8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85" s="3" t="s">
        <v>72</v>
      </c>
      <c r="AO85" s="3" t="s">
        <v>235</v>
      </c>
      <c r="AP85" s="3" t="s">
        <v>235</v>
      </c>
      <c r="AQ85" s="3" t="s">
        <v>235</v>
      </c>
      <c r="AT85" s="10" t="s">
        <v>223</v>
      </c>
      <c r="AU85" s="13" t="s">
        <v>200</v>
      </c>
      <c r="AW85" s="10" t="s">
        <v>796</v>
      </c>
    </row>
    <row r="86" spans="2:49" ht="17.25" customHeight="1">
      <c r="B86" s="7" t="s">
        <v>782</v>
      </c>
      <c r="C86" s="3" t="s">
        <v>62</v>
      </c>
      <c r="D86" s="3" t="s">
        <v>200</v>
      </c>
      <c r="E86" s="10" t="s">
        <v>1127</v>
      </c>
      <c r="F86" s="12" t="s">
        <v>565</v>
      </c>
      <c r="G86" s="12">
        <v>3</v>
      </c>
      <c r="H86" s="12">
        <f t="shared" si="6"/>
        <v>2.58E-2</v>
      </c>
      <c r="I86" s="24">
        <v>0.92649999999999999</v>
      </c>
      <c r="J86" s="3" t="s">
        <v>564</v>
      </c>
      <c r="M86" s="3" t="s">
        <v>223</v>
      </c>
      <c r="N86" s="3" t="s">
        <v>64</v>
      </c>
      <c r="O86" s="3" t="s">
        <v>358</v>
      </c>
      <c r="P8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86" s="4" t="s">
        <v>66</v>
      </c>
      <c r="S86" s="4" t="s">
        <v>65</v>
      </c>
      <c r="W86" s="3" t="s">
        <v>13</v>
      </c>
      <c r="Y86" s="4">
        <v>17.3</v>
      </c>
      <c r="Z86" s="4">
        <v>140</v>
      </c>
      <c r="AA86" s="5">
        <f t="shared" si="4"/>
        <v>0.12357142857142858</v>
      </c>
      <c r="AB86" s="5"/>
      <c r="AC86"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86" s="97" t="str">
        <f>IF(Tabelle1[[#This Row],[Nicht einbezogen weil…]]="",IFERROR(1000*Tabelle1[[#This Row],[Formfaktor]]/Tabelle1[[#This Row],[Thickness '[mm']]],""),"")</f>
        <v/>
      </c>
      <c r="AE86" s="98" t="str">
        <f>IF(Tabelle1[[#This Row],[Nicht einbezogen weil…]]="",IFERROR(Tabelle1[[#This Row],[specific surface '[m^2/m^3']]]/Tabelle1[[#This Row],[Density 
'[g/cm3']]]/1000000,""),"")</f>
        <v/>
      </c>
      <c r="AF86" s="97" t="str">
        <f>IF(Tabelle1[[#This Row],[Nicht einbezogen weil…]]="",IFERROR(365*10*Tabelle1[[#This Row],[Abbaurate '[%/d']]]*Tabelle1[[#This Row],[Thickness '[mm']]]/Tabelle1[[#This Row],[Formfaktor]],""),"")</f>
        <v/>
      </c>
      <c r="AG86" s="99" t="str">
        <f>IF(OR(Tabelle1[[#This Row],[Nicht einbezogen weil…]]="",Tabelle1[[#This Row],[Nicht einbezogen weil…]]="nicht-natürlich"),IF(Tabelle1[[#This Row],[Formfaktor]]=2, 1,IF(Tabelle1[[#This Row],[Formfaktor]]=4,2,IF(Tabelle1[[#This Row],[Formfaktor]]=6,3,""))),"")</f>
        <v/>
      </c>
      <c r="AH8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6" s="71">
        <v>1</v>
      </c>
      <c r="AK8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86" s="3" t="s">
        <v>72</v>
      </c>
      <c r="AO86" s="3" t="s">
        <v>235</v>
      </c>
      <c r="AP86" s="3" t="s">
        <v>235</v>
      </c>
      <c r="AQ86" s="3" t="s">
        <v>235</v>
      </c>
      <c r="AT86" s="10" t="s">
        <v>223</v>
      </c>
      <c r="AU86" s="13" t="s">
        <v>200</v>
      </c>
      <c r="AW86" s="10" t="s">
        <v>796</v>
      </c>
    </row>
    <row r="87" spans="2:49" ht="17.25" customHeight="1">
      <c r="B87" s="7" t="s">
        <v>782</v>
      </c>
      <c r="C87" s="3" t="s">
        <v>61</v>
      </c>
      <c r="D87" s="3" t="s">
        <v>200</v>
      </c>
      <c r="E87" s="10" t="s">
        <v>1127</v>
      </c>
      <c r="F87" s="12" t="s">
        <v>565</v>
      </c>
      <c r="G87" s="12">
        <v>3</v>
      </c>
      <c r="H87" s="12">
        <f t="shared" si="6"/>
        <v>2.58E-2</v>
      </c>
      <c r="I87" s="24">
        <v>0.92649999999999999</v>
      </c>
      <c r="J87" s="3" t="s">
        <v>564</v>
      </c>
      <c r="M87" s="3" t="s">
        <v>223</v>
      </c>
      <c r="N87" s="3" t="s">
        <v>64</v>
      </c>
      <c r="O87" s="3" t="s">
        <v>358</v>
      </c>
      <c r="P8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87" s="4" t="s">
        <v>66</v>
      </c>
      <c r="S87" s="4" t="s">
        <v>65</v>
      </c>
      <c r="W87" s="3" t="s">
        <v>13</v>
      </c>
      <c r="Y87" s="4">
        <v>13.5</v>
      </c>
      <c r="Z87" s="4">
        <v>140</v>
      </c>
      <c r="AA87" s="5">
        <f t="shared" si="4"/>
        <v>9.6428571428571433E-2</v>
      </c>
      <c r="AB87" s="5"/>
      <c r="AC87"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87" s="97" t="str">
        <f>IF(Tabelle1[[#This Row],[Nicht einbezogen weil…]]="",IFERROR(1000*Tabelle1[[#This Row],[Formfaktor]]/Tabelle1[[#This Row],[Thickness '[mm']]],""),"")</f>
        <v/>
      </c>
      <c r="AE87" s="98" t="str">
        <f>IF(Tabelle1[[#This Row],[Nicht einbezogen weil…]]="",IFERROR(Tabelle1[[#This Row],[specific surface '[m^2/m^3']]]/Tabelle1[[#This Row],[Density 
'[g/cm3']]]/1000000,""),"")</f>
        <v/>
      </c>
      <c r="AF87" s="97" t="str">
        <f>IF(Tabelle1[[#This Row],[Nicht einbezogen weil…]]="",IFERROR(365*10*Tabelle1[[#This Row],[Abbaurate '[%/d']]]*Tabelle1[[#This Row],[Thickness '[mm']]]/Tabelle1[[#This Row],[Formfaktor]],""),"")</f>
        <v/>
      </c>
      <c r="AG87" s="99" t="str">
        <f>IF(OR(Tabelle1[[#This Row],[Nicht einbezogen weil…]]="",Tabelle1[[#This Row],[Nicht einbezogen weil…]]="nicht-natürlich"),IF(Tabelle1[[#This Row],[Formfaktor]]=2, 1,IF(Tabelle1[[#This Row],[Formfaktor]]=4,2,IF(Tabelle1[[#This Row],[Formfaktor]]=6,3,""))),"")</f>
        <v/>
      </c>
      <c r="AH8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7" s="71">
        <v>1</v>
      </c>
      <c r="AK8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87" s="3" t="s">
        <v>72</v>
      </c>
      <c r="AO87" s="3" t="s">
        <v>235</v>
      </c>
      <c r="AP87" s="3" t="s">
        <v>235</v>
      </c>
      <c r="AQ87" s="3" t="s">
        <v>235</v>
      </c>
      <c r="AT87" s="10" t="s">
        <v>223</v>
      </c>
      <c r="AU87" s="13" t="s">
        <v>200</v>
      </c>
      <c r="AW87" s="10" t="s">
        <v>796</v>
      </c>
    </row>
    <row r="88" spans="2:49" ht="17.25" customHeight="1">
      <c r="B88" s="7" t="s">
        <v>782</v>
      </c>
      <c r="C88" s="3" t="s">
        <v>60</v>
      </c>
      <c r="D88" s="3" t="s">
        <v>200</v>
      </c>
      <c r="E88" s="10" t="s">
        <v>1127</v>
      </c>
      <c r="F88" s="12" t="s">
        <v>565</v>
      </c>
      <c r="G88" s="12">
        <v>3</v>
      </c>
      <c r="H88" s="12">
        <f t="shared" si="6"/>
        <v>2.58E-2</v>
      </c>
      <c r="I88" s="24">
        <v>0.92649999999999999</v>
      </c>
      <c r="J88" s="3" t="s">
        <v>564</v>
      </c>
      <c r="M88" s="3" t="s">
        <v>223</v>
      </c>
      <c r="N88" s="3" t="s">
        <v>64</v>
      </c>
      <c r="O88" s="3" t="s">
        <v>358</v>
      </c>
      <c r="P8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88" s="4" t="s">
        <v>66</v>
      </c>
      <c r="S88" s="4" t="s">
        <v>65</v>
      </c>
      <c r="W88" s="3" t="s">
        <v>13</v>
      </c>
      <c r="Y88" s="4">
        <v>6.3</v>
      </c>
      <c r="Z88" s="4">
        <v>140</v>
      </c>
      <c r="AA88" s="5">
        <f t="shared" si="4"/>
        <v>4.4999999999999998E-2</v>
      </c>
      <c r="AB88" s="5"/>
      <c r="AC88"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88" s="97" t="str">
        <f>IF(Tabelle1[[#This Row],[Nicht einbezogen weil…]]="",IFERROR(1000*Tabelle1[[#This Row],[Formfaktor]]/Tabelle1[[#This Row],[Thickness '[mm']]],""),"")</f>
        <v/>
      </c>
      <c r="AE88" s="98" t="str">
        <f>IF(Tabelle1[[#This Row],[Nicht einbezogen weil…]]="",IFERROR(Tabelle1[[#This Row],[specific surface '[m^2/m^3']]]/Tabelle1[[#This Row],[Density 
'[g/cm3']]]/1000000,""),"")</f>
        <v/>
      </c>
      <c r="AF88" s="97" t="str">
        <f>IF(Tabelle1[[#This Row],[Nicht einbezogen weil…]]="",IFERROR(365*10*Tabelle1[[#This Row],[Abbaurate '[%/d']]]*Tabelle1[[#This Row],[Thickness '[mm']]]/Tabelle1[[#This Row],[Formfaktor]],""),"")</f>
        <v/>
      </c>
      <c r="AG88" s="99" t="str">
        <f>IF(OR(Tabelle1[[#This Row],[Nicht einbezogen weil…]]="",Tabelle1[[#This Row],[Nicht einbezogen weil…]]="nicht-natürlich"),IF(Tabelle1[[#This Row],[Formfaktor]]=2, 1,IF(Tabelle1[[#This Row],[Formfaktor]]=4,2,IF(Tabelle1[[#This Row],[Formfaktor]]=6,3,""))),"")</f>
        <v/>
      </c>
      <c r="AH8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8" s="71">
        <v>1</v>
      </c>
      <c r="AK8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88" s="3" t="s">
        <v>72</v>
      </c>
      <c r="AO88" s="3" t="s">
        <v>235</v>
      </c>
      <c r="AP88" s="3" t="s">
        <v>235</v>
      </c>
      <c r="AQ88" s="3" t="s">
        <v>235</v>
      </c>
      <c r="AT88" s="10" t="s">
        <v>223</v>
      </c>
      <c r="AU88" s="13" t="s">
        <v>200</v>
      </c>
      <c r="AW88" s="10" t="s">
        <v>796</v>
      </c>
    </row>
    <row r="89" spans="2:49" ht="17.25" customHeight="1">
      <c r="B89" s="7" t="s">
        <v>782</v>
      </c>
      <c r="C89" s="3" t="s">
        <v>59</v>
      </c>
      <c r="D89" s="3" t="s">
        <v>200</v>
      </c>
      <c r="E89" s="10" t="s">
        <v>1127</v>
      </c>
      <c r="F89" s="12" t="s">
        <v>565</v>
      </c>
      <c r="G89" s="12">
        <v>3</v>
      </c>
      <c r="H89" s="12">
        <f t="shared" si="6"/>
        <v>2.58E-2</v>
      </c>
      <c r="I89" s="24">
        <v>0.92649999999999999</v>
      </c>
      <c r="J89" s="3" t="s">
        <v>564</v>
      </c>
      <c r="M89" s="3" t="s">
        <v>223</v>
      </c>
      <c r="N89" s="3" t="s">
        <v>64</v>
      </c>
      <c r="O89" s="3" t="s">
        <v>358</v>
      </c>
      <c r="P8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89" s="4" t="s">
        <v>66</v>
      </c>
      <c r="S89" s="4" t="s">
        <v>65</v>
      </c>
      <c r="W89" s="3" t="s">
        <v>13</v>
      </c>
      <c r="Y89" s="4">
        <v>12</v>
      </c>
      <c r="Z89" s="4">
        <v>140</v>
      </c>
      <c r="AA89" s="5">
        <f t="shared" si="4"/>
        <v>8.5714285714285715E-2</v>
      </c>
      <c r="AB89" s="5"/>
      <c r="AC89"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89" s="97" t="str">
        <f>IF(Tabelle1[[#This Row],[Nicht einbezogen weil…]]="",IFERROR(1000*Tabelle1[[#This Row],[Formfaktor]]/Tabelle1[[#This Row],[Thickness '[mm']]],""),"")</f>
        <v/>
      </c>
      <c r="AE89" s="98" t="str">
        <f>IF(Tabelle1[[#This Row],[Nicht einbezogen weil…]]="",IFERROR(Tabelle1[[#This Row],[specific surface '[m^2/m^3']]]/Tabelle1[[#This Row],[Density 
'[g/cm3']]]/1000000,""),"")</f>
        <v/>
      </c>
      <c r="AF89" s="97" t="str">
        <f>IF(Tabelle1[[#This Row],[Nicht einbezogen weil…]]="",IFERROR(365*10*Tabelle1[[#This Row],[Abbaurate '[%/d']]]*Tabelle1[[#This Row],[Thickness '[mm']]]/Tabelle1[[#This Row],[Formfaktor]],""),"")</f>
        <v/>
      </c>
      <c r="AG89" s="99" t="str">
        <f>IF(OR(Tabelle1[[#This Row],[Nicht einbezogen weil…]]="",Tabelle1[[#This Row],[Nicht einbezogen weil…]]="nicht-natürlich"),IF(Tabelle1[[#This Row],[Formfaktor]]=2, 1,IF(Tabelle1[[#This Row],[Formfaktor]]=4,2,IF(Tabelle1[[#This Row],[Formfaktor]]=6,3,""))),"")</f>
        <v/>
      </c>
      <c r="AH8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8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89" s="71">
        <v>1</v>
      </c>
      <c r="AK8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89" s="3" t="s">
        <v>72</v>
      </c>
      <c r="AO89" s="3" t="s">
        <v>235</v>
      </c>
      <c r="AP89" s="3" t="s">
        <v>235</v>
      </c>
      <c r="AQ89" s="3" t="s">
        <v>235</v>
      </c>
      <c r="AT89" s="10" t="s">
        <v>223</v>
      </c>
      <c r="AU89" s="13" t="s">
        <v>200</v>
      </c>
      <c r="AW89" s="10" t="s">
        <v>796</v>
      </c>
    </row>
    <row r="90" spans="2:49" ht="17.25" customHeight="1">
      <c r="B90" s="7" t="s">
        <v>782</v>
      </c>
      <c r="C90" s="3" t="s">
        <v>58</v>
      </c>
      <c r="D90" s="3" t="s">
        <v>200</v>
      </c>
      <c r="E90" s="10" t="s">
        <v>1127</v>
      </c>
      <c r="F90" s="12" t="s">
        <v>565</v>
      </c>
      <c r="G90" s="12">
        <v>3</v>
      </c>
      <c r="H90" s="12">
        <f t="shared" si="6"/>
        <v>2.58E-2</v>
      </c>
      <c r="I90" s="24">
        <v>0.92649999999999999</v>
      </c>
      <c r="J90" s="3" t="s">
        <v>564</v>
      </c>
      <c r="M90" s="3" t="s">
        <v>223</v>
      </c>
      <c r="N90" s="3" t="s">
        <v>64</v>
      </c>
      <c r="O90" s="3" t="s">
        <v>358</v>
      </c>
      <c r="P9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90" s="4" t="s">
        <v>66</v>
      </c>
      <c r="S90" s="4" t="s">
        <v>65</v>
      </c>
      <c r="W90" s="3" t="s">
        <v>13</v>
      </c>
      <c r="Y90" s="4">
        <v>13</v>
      </c>
      <c r="Z90" s="4">
        <v>140</v>
      </c>
      <c r="AA90" s="5">
        <f t="shared" si="4"/>
        <v>9.285714285714286E-2</v>
      </c>
      <c r="AB90" s="5"/>
      <c r="AC90"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90" s="97" t="str">
        <f>IF(Tabelle1[[#This Row],[Nicht einbezogen weil…]]="",IFERROR(1000*Tabelle1[[#This Row],[Formfaktor]]/Tabelle1[[#This Row],[Thickness '[mm']]],""),"")</f>
        <v/>
      </c>
      <c r="AE90" s="98" t="str">
        <f>IF(Tabelle1[[#This Row],[Nicht einbezogen weil…]]="",IFERROR(Tabelle1[[#This Row],[specific surface '[m^2/m^3']]]/Tabelle1[[#This Row],[Density 
'[g/cm3']]]/1000000,""),"")</f>
        <v/>
      </c>
      <c r="AF90" s="97" t="str">
        <f>IF(Tabelle1[[#This Row],[Nicht einbezogen weil…]]="",IFERROR(365*10*Tabelle1[[#This Row],[Abbaurate '[%/d']]]*Tabelle1[[#This Row],[Thickness '[mm']]]/Tabelle1[[#This Row],[Formfaktor]],""),"")</f>
        <v/>
      </c>
      <c r="AG90" s="99" t="str">
        <f>IF(OR(Tabelle1[[#This Row],[Nicht einbezogen weil…]]="",Tabelle1[[#This Row],[Nicht einbezogen weil…]]="nicht-natürlich"),IF(Tabelle1[[#This Row],[Formfaktor]]=2, 1,IF(Tabelle1[[#This Row],[Formfaktor]]=4,2,IF(Tabelle1[[#This Row],[Formfaktor]]=6,3,""))),"")</f>
        <v/>
      </c>
      <c r="AH9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0" s="71">
        <v>1</v>
      </c>
      <c r="AK9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90" s="3" t="s">
        <v>72</v>
      </c>
      <c r="AO90" s="3" t="s">
        <v>235</v>
      </c>
      <c r="AP90" s="3" t="s">
        <v>235</v>
      </c>
      <c r="AQ90" s="3" t="s">
        <v>235</v>
      </c>
      <c r="AT90" s="10" t="s">
        <v>223</v>
      </c>
      <c r="AU90" s="13" t="s">
        <v>200</v>
      </c>
      <c r="AW90" s="10" t="s">
        <v>796</v>
      </c>
    </row>
    <row r="91" spans="2:49" ht="17.25" customHeight="1">
      <c r="B91" s="7" t="s">
        <v>782</v>
      </c>
      <c r="C91" s="3" t="s">
        <v>299</v>
      </c>
      <c r="D91" s="3" t="s">
        <v>200</v>
      </c>
      <c r="E91" s="10" t="s">
        <v>1127</v>
      </c>
      <c r="F91" s="12" t="s">
        <v>198</v>
      </c>
      <c r="G91" s="12" t="s">
        <v>341</v>
      </c>
      <c r="H91" s="12" t="s">
        <v>341</v>
      </c>
      <c r="I91" s="24">
        <v>0.92649999999999999</v>
      </c>
      <c r="M91" s="3" t="s">
        <v>200</v>
      </c>
      <c r="N91" s="3" t="s">
        <v>95</v>
      </c>
      <c r="O91" s="3" t="s">
        <v>23</v>
      </c>
      <c r="P9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91" s="4" t="s">
        <v>81</v>
      </c>
      <c r="R91" s="4">
        <v>8.1999999999999993</v>
      </c>
      <c r="U91" s="4" t="s">
        <v>12</v>
      </c>
      <c r="W91" s="3" t="s">
        <v>13</v>
      </c>
      <c r="Y91" s="4">
        <v>25</v>
      </c>
      <c r="Z91" s="4">
        <v>561</v>
      </c>
      <c r="AA91" s="5">
        <f t="shared" si="4"/>
        <v>4.4563279857397504E-2</v>
      </c>
      <c r="AB91" s="5"/>
      <c r="AC9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91" s="97" t="str">
        <f>IF(Tabelle1[[#This Row],[Nicht einbezogen weil…]]="",IFERROR(1000*Tabelle1[[#This Row],[Formfaktor]]/Tabelle1[[#This Row],[Thickness '[mm']]],""),"")</f>
        <v/>
      </c>
      <c r="AE91" s="98" t="str">
        <f>IF(Tabelle1[[#This Row],[Nicht einbezogen weil…]]="",IFERROR(Tabelle1[[#This Row],[specific surface '[m^2/m^3']]]/Tabelle1[[#This Row],[Density 
'[g/cm3']]]/1000000,""),"")</f>
        <v/>
      </c>
      <c r="AF91" s="97" t="str">
        <f>IF(Tabelle1[[#This Row],[Nicht einbezogen weil…]]="",IFERROR(365*10*Tabelle1[[#This Row],[Abbaurate '[%/d']]]*Tabelle1[[#This Row],[Thickness '[mm']]]/Tabelle1[[#This Row],[Formfaktor]],""),"")</f>
        <v/>
      </c>
      <c r="AG91" s="99" t="str">
        <f>IF(OR(Tabelle1[[#This Row],[Nicht einbezogen weil…]]="",Tabelle1[[#This Row],[Nicht einbezogen weil…]]="nicht-natürlich"),IF(Tabelle1[[#This Row],[Formfaktor]]=2, 1,IF(Tabelle1[[#This Row],[Formfaktor]]=4,2,IF(Tabelle1[[#This Row],[Formfaktor]]=6,3,""))),"")</f>
        <v/>
      </c>
      <c r="AH9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1" s="71">
        <v>1</v>
      </c>
      <c r="AK9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91" s="3" t="s">
        <v>85</v>
      </c>
      <c r="AO91" s="3" t="s">
        <v>200</v>
      </c>
      <c r="AP91" s="3" t="s">
        <v>200</v>
      </c>
      <c r="AQ91" s="3" t="s">
        <v>200</v>
      </c>
      <c r="AR91" s="2" t="s">
        <v>200</v>
      </c>
      <c r="AS91" s="2" t="s">
        <v>297</v>
      </c>
      <c r="AT91" s="10" t="s">
        <v>223</v>
      </c>
      <c r="AU91" s="13" t="s">
        <v>200</v>
      </c>
      <c r="AW91" s="10" t="s">
        <v>796</v>
      </c>
    </row>
    <row r="92" spans="2:49" ht="17.25" customHeight="1">
      <c r="B92" s="7" t="s">
        <v>191</v>
      </c>
      <c r="C92" s="3" t="s">
        <v>668</v>
      </c>
      <c r="D92" s="3" t="s">
        <v>200</v>
      </c>
      <c r="E92" s="10" t="s">
        <v>205</v>
      </c>
      <c r="F92" s="12" t="s">
        <v>225</v>
      </c>
      <c r="G92" s="12">
        <v>0.8</v>
      </c>
      <c r="H92" s="12">
        <f>0.0008*0.0008</f>
        <v>6.4000000000000001E-7</v>
      </c>
      <c r="I92" s="3">
        <f>0.0006/(0.08*0.08)</f>
        <v>9.3749999999999986E-2</v>
      </c>
      <c r="K92" s="8" t="s">
        <v>667</v>
      </c>
      <c r="L92" s="3" t="s">
        <v>674</v>
      </c>
      <c r="M92" s="3" t="s">
        <v>223</v>
      </c>
      <c r="N92" s="3" t="s">
        <v>675</v>
      </c>
      <c r="O92" s="3" t="s">
        <v>294</v>
      </c>
      <c r="P9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92" s="4">
        <v>30</v>
      </c>
      <c r="W92" s="3" t="s">
        <v>13</v>
      </c>
      <c r="Y92" s="9" t="s">
        <v>676</v>
      </c>
      <c r="Z92" s="4">
        <f>7*8</f>
        <v>56</v>
      </c>
      <c r="AA92" s="5">
        <f>66/Z92</f>
        <v>1.1785714285714286</v>
      </c>
      <c r="AB92" s="5"/>
      <c r="AC9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92" s="97" t="str">
        <f>IF(Tabelle1[[#This Row],[Nicht einbezogen weil…]]="",IFERROR(1000*Tabelle1[[#This Row],[Formfaktor]]/Tabelle1[[#This Row],[Thickness '[mm']]],""),"")</f>
        <v/>
      </c>
      <c r="AE92" s="98" t="str">
        <f>IF(Tabelle1[[#This Row],[Nicht einbezogen weil…]]="",IFERROR(Tabelle1[[#This Row],[specific surface '[m^2/m^3']]]/Tabelle1[[#This Row],[Density 
'[g/cm3']]]/1000000,""),"")</f>
        <v/>
      </c>
      <c r="AF92" s="97" t="str">
        <f>IF(Tabelle1[[#This Row],[Nicht einbezogen weil…]]="",IFERROR(365*10*Tabelle1[[#This Row],[Abbaurate '[%/d']]]*Tabelle1[[#This Row],[Thickness '[mm']]]/Tabelle1[[#This Row],[Formfaktor]],""),"")</f>
        <v/>
      </c>
      <c r="AG92" s="99" t="str">
        <f>IF(OR(Tabelle1[[#This Row],[Nicht einbezogen weil…]]="",Tabelle1[[#This Row],[Nicht einbezogen weil…]]="nicht-natürlich"),IF(Tabelle1[[#This Row],[Formfaktor]]=2, 1,IF(Tabelle1[[#This Row],[Formfaktor]]=4,2,IF(Tabelle1[[#This Row],[Formfaktor]]=6,3,""))),"")</f>
        <v/>
      </c>
      <c r="AH9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2" s="71">
        <v>1</v>
      </c>
      <c r="AK9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92" s="3" t="s">
        <v>394</v>
      </c>
      <c r="AN92" s="3" t="s">
        <v>538</v>
      </c>
      <c r="AO92" s="3" t="s">
        <v>200</v>
      </c>
      <c r="AP92" s="3" t="s">
        <v>200</v>
      </c>
      <c r="AT92" s="10" t="s">
        <v>223</v>
      </c>
      <c r="AU92" s="13" t="s">
        <v>200</v>
      </c>
    </row>
    <row r="93" spans="2:49" ht="17.25" customHeight="1">
      <c r="B93" s="7" t="s">
        <v>782</v>
      </c>
      <c r="C93" s="3" t="s">
        <v>525</v>
      </c>
      <c r="D93" s="3" t="s">
        <v>200</v>
      </c>
      <c r="E93" s="10" t="s">
        <v>1127</v>
      </c>
      <c r="F93" s="12" t="s">
        <v>288</v>
      </c>
      <c r="G93" s="12">
        <v>0.13</v>
      </c>
      <c r="H93" s="12">
        <f>0.15*0.02</f>
        <v>3.0000000000000001E-3</v>
      </c>
      <c r="I93" s="24">
        <v>0.92649999999999999</v>
      </c>
      <c r="J93" s="3" t="s">
        <v>523</v>
      </c>
      <c r="M93" s="3" t="s">
        <v>200</v>
      </c>
      <c r="N93" s="3" t="s">
        <v>5</v>
      </c>
      <c r="O93" s="3" t="s">
        <v>358</v>
      </c>
      <c r="P9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93" s="4" t="s">
        <v>12</v>
      </c>
      <c r="W93" s="3" t="s">
        <v>13</v>
      </c>
      <c r="Y93" s="4">
        <v>1</v>
      </c>
      <c r="Z93" s="4">
        <v>150</v>
      </c>
      <c r="AA93" s="5">
        <f>Y93/Z93</f>
        <v>6.6666666666666671E-3</v>
      </c>
      <c r="AB93" s="5"/>
      <c r="AC9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93" s="97" t="str">
        <f>IF(Tabelle1[[#This Row],[Nicht einbezogen weil…]]="",IFERROR(1000*Tabelle1[[#This Row],[Formfaktor]]/Tabelle1[[#This Row],[Thickness '[mm']]],""),"")</f>
        <v/>
      </c>
      <c r="AE93" s="98" t="str">
        <f>IF(Tabelle1[[#This Row],[Nicht einbezogen weil…]]="",IFERROR(Tabelle1[[#This Row],[specific surface '[m^2/m^3']]]/Tabelle1[[#This Row],[Density 
'[g/cm3']]]/1000000,""),"")</f>
        <v/>
      </c>
      <c r="AF93" s="97" t="str">
        <f>IF(Tabelle1[[#This Row],[Nicht einbezogen weil…]]="",IFERROR(365*10*Tabelle1[[#This Row],[Abbaurate '[%/d']]]*Tabelle1[[#This Row],[Thickness '[mm']]]/Tabelle1[[#This Row],[Formfaktor]],""),"")</f>
        <v/>
      </c>
      <c r="AG93" s="99" t="str">
        <f>IF(OR(Tabelle1[[#This Row],[Nicht einbezogen weil…]]="",Tabelle1[[#This Row],[Nicht einbezogen weil…]]="nicht-natürlich"),IF(Tabelle1[[#This Row],[Formfaktor]]=2, 1,IF(Tabelle1[[#This Row],[Formfaktor]]=4,2,IF(Tabelle1[[#This Row],[Formfaktor]]=6,3,""))),"")</f>
        <v/>
      </c>
      <c r="AH9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3" s="71">
        <v>1</v>
      </c>
      <c r="AK9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93" s="3" t="s">
        <v>261</v>
      </c>
      <c r="AM93" s="3" t="s">
        <v>967</v>
      </c>
      <c r="AO93" s="3" t="s">
        <v>200</v>
      </c>
      <c r="AP93" s="3" t="s">
        <v>200</v>
      </c>
      <c r="AQ93" s="3" t="s">
        <v>200</v>
      </c>
      <c r="AR93" s="2" t="s">
        <v>262</v>
      </c>
      <c r="AS93" s="2" t="s">
        <v>262</v>
      </c>
      <c r="AT93" s="10" t="s">
        <v>200</v>
      </c>
      <c r="AU93" s="13" t="s">
        <v>200</v>
      </c>
      <c r="AW93" s="10" t="s">
        <v>796</v>
      </c>
    </row>
    <row r="94" spans="2:49" ht="17.25" customHeight="1">
      <c r="B94" s="7" t="s">
        <v>782</v>
      </c>
      <c r="C94" s="3" t="s">
        <v>525</v>
      </c>
      <c r="D94" s="3" t="s">
        <v>200</v>
      </c>
      <c r="E94" s="10" t="s">
        <v>1127</v>
      </c>
      <c r="F94" s="12" t="s">
        <v>288</v>
      </c>
      <c r="G94" s="12">
        <v>0.13</v>
      </c>
      <c r="H94" s="12">
        <f>0.15*0.02</f>
        <v>3.0000000000000001E-3</v>
      </c>
      <c r="I94" s="24">
        <v>0.92649999999999999</v>
      </c>
      <c r="J94" s="3" t="s">
        <v>523</v>
      </c>
      <c r="M94" s="3" t="s">
        <v>200</v>
      </c>
      <c r="N94" s="3" t="s">
        <v>23</v>
      </c>
      <c r="O94" s="3" t="s">
        <v>23</v>
      </c>
      <c r="P9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94" s="4" t="s">
        <v>12</v>
      </c>
      <c r="W94" s="3" t="s">
        <v>13</v>
      </c>
      <c r="Y94" s="4">
        <v>5.71</v>
      </c>
      <c r="Z94" s="4">
        <v>150</v>
      </c>
      <c r="AA94" s="5">
        <f>Y94/Z94</f>
        <v>3.8066666666666665E-2</v>
      </c>
      <c r="AB94" s="5"/>
      <c r="AC9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94" s="97" t="str">
        <f>IF(Tabelle1[[#This Row],[Nicht einbezogen weil…]]="",IFERROR(1000*Tabelle1[[#This Row],[Formfaktor]]/Tabelle1[[#This Row],[Thickness '[mm']]],""),"")</f>
        <v/>
      </c>
      <c r="AE94" s="98" t="str">
        <f>IF(Tabelle1[[#This Row],[Nicht einbezogen weil…]]="",IFERROR(Tabelle1[[#This Row],[specific surface '[m^2/m^3']]]/Tabelle1[[#This Row],[Density 
'[g/cm3']]]/1000000,""),"")</f>
        <v/>
      </c>
      <c r="AF94" s="97" t="str">
        <f>IF(Tabelle1[[#This Row],[Nicht einbezogen weil…]]="",IFERROR(365*10*Tabelle1[[#This Row],[Abbaurate '[%/d']]]*Tabelle1[[#This Row],[Thickness '[mm']]]/Tabelle1[[#This Row],[Formfaktor]],""),"")</f>
        <v/>
      </c>
      <c r="AG94" s="99" t="str">
        <f>IF(OR(Tabelle1[[#This Row],[Nicht einbezogen weil…]]="",Tabelle1[[#This Row],[Nicht einbezogen weil…]]="nicht-natürlich"),IF(Tabelle1[[#This Row],[Formfaktor]]=2, 1,IF(Tabelle1[[#This Row],[Formfaktor]]=4,2,IF(Tabelle1[[#This Row],[Formfaktor]]=6,3,""))),"")</f>
        <v/>
      </c>
      <c r="AH9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4" s="71">
        <v>1</v>
      </c>
      <c r="AK9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94" s="3" t="s">
        <v>261</v>
      </c>
      <c r="AM94" s="3" t="s">
        <v>967</v>
      </c>
      <c r="AO94" s="3" t="s">
        <v>200</v>
      </c>
      <c r="AP94" s="3" t="s">
        <v>200</v>
      </c>
      <c r="AQ94" s="3" t="s">
        <v>200</v>
      </c>
      <c r="AR94" s="2" t="s">
        <v>262</v>
      </c>
      <c r="AS94" s="2" t="s">
        <v>262</v>
      </c>
      <c r="AT94" s="10" t="s">
        <v>200</v>
      </c>
      <c r="AU94" s="13" t="s">
        <v>200</v>
      </c>
      <c r="AW94" s="10" t="s">
        <v>796</v>
      </c>
    </row>
    <row r="95" spans="2:49" ht="17.25" customHeight="1">
      <c r="B95" s="7" t="s">
        <v>782</v>
      </c>
      <c r="C95" s="3" t="s">
        <v>280</v>
      </c>
      <c r="D95" s="3" t="s">
        <v>200</v>
      </c>
      <c r="E95" s="10" t="s">
        <v>1127</v>
      </c>
      <c r="F95" s="12" t="s">
        <v>288</v>
      </c>
      <c r="G95" s="12">
        <v>0.125</v>
      </c>
      <c r="H95" s="12">
        <f>0.08*0.025</f>
        <v>2E-3</v>
      </c>
      <c r="I95" s="24">
        <v>0.92649999999999999</v>
      </c>
      <c r="J95" s="3" t="s">
        <v>281</v>
      </c>
      <c r="M95" s="3" t="s">
        <v>223</v>
      </c>
      <c r="N95" s="3" t="s">
        <v>284</v>
      </c>
      <c r="O95" s="3" t="s">
        <v>358</v>
      </c>
      <c r="P9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95" s="4" t="s">
        <v>285</v>
      </c>
      <c r="U95" s="4" t="s">
        <v>12</v>
      </c>
      <c r="W95" s="3" t="s">
        <v>13</v>
      </c>
      <c r="Y95" s="4">
        <v>11.6</v>
      </c>
      <c r="Z95" s="4">
        <v>28</v>
      </c>
      <c r="AA95" s="5">
        <f>Y95/Z95</f>
        <v>0.41428571428571426</v>
      </c>
      <c r="AB95" s="5"/>
      <c r="AC9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95" s="97" t="str">
        <f>IF(Tabelle1[[#This Row],[Nicht einbezogen weil…]]="",IFERROR(1000*Tabelle1[[#This Row],[Formfaktor]]/Tabelle1[[#This Row],[Thickness '[mm']]],""),"")</f>
        <v/>
      </c>
      <c r="AE95" s="98" t="str">
        <f>IF(Tabelle1[[#This Row],[Nicht einbezogen weil…]]="",IFERROR(Tabelle1[[#This Row],[specific surface '[m^2/m^3']]]/Tabelle1[[#This Row],[Density 
'[g/cm3']]]/1000000,""),"")</f>
        <v/>
      </c>
      <c r="AF95" s="97" t="str">
        <f>IF(Tabelle1[[#This Row],[Nicht einbezogen weil…]]="",IFERROR(365*10*Tabelle1[[#This Row],[Abbaurate '[%/d']]]*Tabelle1[[#This Row],[Thickness '[mm']]]/Tabelle1[[#This Row],[Formfaktor]],""),"")</f>
        <v/>
      </c>
      <c r="AG95" s="99" t="str">
        <f>IF(OR(Tabelle1[[#This Row],[Nicht einbezogen weil…]]="",Tabelle1[[#This Row],[Nicht einbezogen weil…]]="nicht-natürlich"),IF(Tabelle1[[#This Row],[Formfaktor]]=2, 1,IF(Tabelle1[[#This Row],[Formfaktor]]=4,2,IF(Tabelle1[[#This Row],[Formfaktor]]=6,3,""))),"")</f>
        <v/>
      </c>
      <c r="AH9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5" s="71">
        <v>1</v>
      </c>
      <c r="AK9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95" s="3" t="s">
        <v>286</v>
      </c>
      <c r="AM95" s="3" t="s">
        <v>967</v>
      </c>
      <c r="AO95" s="3" t="s">
        <v>200</v>
      </c>
      <c r="AP95" s="3" t="s">
        <v>200</v>
      </c>
      <c r="AT95" s="10" t="s">
        <v>200</v>
      </c>
      <c r="AU95" s="13" t="s">
        <v>200</v>
      </c>
      <c r="AW95" s="10" t="s">
        <v>796</v>
      </c>
    </row>
    <row r="96" spans="2:49" ht="17.25" customHeight="1">
      <c r="B96" s="7" t="s">
        <v>782</v>
      </c>
      <c r="C96" s="3" t="s">
        <v>282</v>
      </c>
      <c r="D96" s="3" t="s">
        <v>200</v>
      </c>
      <c r="E96" s="10" t="s">
        <v>1127</v>
      </c>
      <c r="F96" s="12" t="s">
        <v>288</v>
      </c>
      <c r="G96" s="12">
        <v>0.125</v>
      </c>
      <c r="H96" s="12">
        <f>0.08*0.025</f>
        <v>2E-3</v>
      </c>
      <c r="I96" s="24">
        <v>0.92649999999999999</v>
      </c>
      <c r="J96" s="3" t="s">
        <v>283</v>
      </c>
      <c r="M96" s="3" t="s">
        <v>223</v>
      </c>
      <c r="N96" s="3" t="s">
        <v>284</v>
      </c>
      <c r="O96" s="3" t="s">
        <v>358</v>
      </c>
      <c r="P9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96" s="4" t="s">
        <v>285</v>
      </c>
      <c r="U96" s="4" t="s">
        <v>12</v>
      </c>
      <c r="W96" s="3" t="s">
        <v>13</v>
      </c>
      <c r="Y96" s="4">
        <v>0.36</v>
      </c>
      <c r="Z96" s="4">
        <v>28</v>
      </c>
      <c r="AA96" s="5">
        <f>Y96/Z96</f>
        <v>1.2857142857142857E-2</v>
      </c>
      <c r="AB96" s="5"/>
      <c r="AC9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96" s="97" t="str">
        <f>IF(Tabelle1[[#This Row],[Nicht einbezogen weil…]]="",IFERROR(1000*Tabelle1[[#This Row],[Formfaktor]]/Tabelle1[[#This Row],[Thickness '[mm']]],""),"")</f>
        <v/>
      </c>
      <c r="AE96" s="98" t="str">
        <f>IF(Tabelle1[[#This Row],[Nicht einbezogen weil…]]="",IFERROR(Tabelle1[[#This Row],[specific surface '[m^2/m^3']]]/Tabelle1[[#This Row],[Density 
'[g/cm3']]]/1000000,""),"")</f>
        <v/>
      </c>
      <c r="AF96" s="97" t="str">
        <f>IF(Tabelle1[[#This Row],[Nicht einbezogen weil…]]="",IFERROR(365*10*Tabelle1[[#This Row],[Abbaurate '[%/d']]]*Tabelle1[[#This Row],[Thickness '[mm']]]/Tabelle1[[#This Row],[Formfaktor]],""),"")</f>
        <v/>
      </c>
      <c r="AG96" s="99" t="str">
        <f>IF(OR(Tabelle1[[#This Row],[Nicht einbezogen weil…]]="",Tabelle1[[#This Row],[Nicht einbezogen weil…]]="nicht-natürlich"),IF(Tabelle1[[#This Row],[Formfaktor]]=2, 1,IF(Tabelle1[[#This Row],[Formfaktor]]=4,2,IF(Tabelle1[[#This Row],[Formfaktor]]=6,3,""))),"")</f>
        <v/>
      </c>
      <c r="AH9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6" s="71">
        <v>1</v>
      </c>
      <c r="AK9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96" s="3" t="s">
        <v>286</v>
      </c>
      <c r="AM96" s="3" t="s">
        <v>967</v>
      </c>
      <c r="AO96" s="3" t="s">
        <v>200</v>
      </c>
      <c r="AP96" s="3" t="s">
        <v>200</v>
      </c>
      <c r="AT96" s="10" t="s">
        <v>200</v>
      </c>
      <c r="AU96" s="13" t="s">
        <v>200</v>
      </c>
      <c r="AW96" s="10" t="s">
        <v>796</v>
      </c>
    </row>
    <row r="97" spans="1:49" ht="17.25" customHeight="1">
      <c r="B97" s="7" t="s">
        <v>782</v>
      </c>
      <c r="C97" s="3" t="s">
        <v>70</v>
      </c>
      <c r="D97" s="3" t="s">
        <v>200</v>
      </c>
      <c r="E97" s="10" t="s">
        <v>1127</v>
      </c>
      <c r="F97" s="12" t="s">
        <v>288</v>
      </c>
      <c r="G97" s="12">
        <v>0.125</v>
      </c>
      <c r="H97" s="12">
        <f>0.08*0.025</f>
        <v>2E-3</v>
      </c>
      <c r="I97" s="24">
        <v>0.92649999999999999</v>
      </c>
      <c r="M97" s="3" t="s">
        <v>301</v>
      </c>
      <c r="N97" s="3" t="s">
        <v>68</v>
      </c>
      <c r="O97" s="3" t="s">
        <v>23</v>
      </c>
      <c r="P9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97" s="4">
        <v>30</v>
      </c>
      <c r="R97" s="4">
        <v>7.5</v>
      </c>
      <c r="V97" s="4" t="s">
        <v>593</v>
      </c>
      <c r="W97" s="3" t="s">
        <v>13</v>
      </c>
      <c r="Y97" s="4">
        <v>25</v>
      </c>
      <c r="Z97" s="4">
        <v>365</v>
      </c>
      <c r="AA97" s="5">
        <f>21/Z97</f>
        <v>5.7534246575342465E-2</v>
      </c>
      <c r="AB97" s="5"/>
      <c r="AC9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97" s="97" t="str">
        <f>IF(Tabelle1[[#This Row],[Nicht einbezogen weil…]]="",IFERROR(1000*Tabelle1[[#This Row],[Formfaktor]]/Tabelle1[[#This Row],[Thickness '[mm']]],""),"")</f>
        <v/>
      </c>
      <c r="AE97" s="98" t="str">
        <f>IF(Tabelle1[[#This Row],[Nicht einbezogen weil…]]="",IFERROR(Tabelle1[[#This Row],[specific surface '[m^2/m^3']]]/Tabelle1[[#This Row],[Density 
'[g/cm3']]]/1000000,""),"")</f>
        <v/>
      </c>
      <c r="AF97" s="97" t="str">
        <f>IF(Tabelle1[[#This Row],[Nicht einbezogen weil…]]="",IFERROR(365*10*Tabelle1[[#This Row],[Abbaurate '[%/d']]]*Tabelle1[[#This Row],[Thickness '[mm']]]/Tabelle1[[#This Row],[Formfaktor]],""),"")</f>
        <v/>
      </c>
      <c r="AG97" s="99" t="str">
        <f>IF(OR(Tabelle1[[#This Row],[Nicht einbezogen weil…]]="",Tabelle1[[#This Row],[Nicht einbezogen weil…]]="nicht-natürlich"),IF(Tabelle1[[#This Row],[Formfaktor]]=2, 1,IF(Tabelle1[[#This Row],[Formfaktor]]=4,2,IF(Tabelle1[[#This Row],[Formfaktor]]=6,3,""))),"")</f>
        <v/>
      </c>
      <c r="AH9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7" s="71">
        <v>1</v>
      </c>
      <c r="AK9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97" s="3" t="s">
        <v>71</v>
      </c>
      <c r="AM97" s="3" t="s">
        <v>967</v>
      </c>
      <c r="AO97" s="3" t="s">
        <v>235</v>
      </c>
      <c r="AP97" s="3" t="s">
        <v>235</v>
      </c>
      <c r="AR97" s="2" t="s">
        <v>200</v>
      </c>
      <c r="AT97" s="10" t="s">
        <v>200</v>
      </c>
      <c r="AU97" s="13" t="s">
        <v>200</v>
      </c>
      <c r="AW97" s="10" t="s">
        <v>796</v>
      </c>
    </row>
    <row r="98" spans="1:49" ht="17.25" customHeight="1">
      <c r="B98" s="7" t="s">
        <v>191</v>
      </c>
      <c r="C98" s="3" t="s">
        <v>208</v>
      </c>
      <c r="D98" s="3" t="s">
        <v>223</v>
      </c>
      <c r="E98" s="10"/>
      <c r="F98" s="12" t="s">
        <v>225</v>
      </c>
      <c r="G98" s="12">
        <f>0.595*0.78</f>
        <v>0.46410000000000001</v>
      </c>
      <c r="H98" s="58">
        <f>PI()*((G98/2)^2)</f>
        <v>0.16916597579036197</v>
      </c>
      <c r="I98" s="74">
        <v>1.2</v>
      </c>
      <c r="J98" s="3" t="s">
        <v>208</v>
      </c>
      <c r="L98" s="3" t="s">
        <v>229</v>
      </c>
      <c r="M98" s="3" t="s">
        <v>200</v>
      </c>
      <c r="N98" s="3" t="s">
        <v>5</v>
      </c>
      <c r="O98" s="3" t="s">
        <v>358</v>
      </c>
      <c r="P9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98" s="4" t="s">
        <v>209</v>
      </c>
      <c r="U98" s="4" t="s">
        <v>12</v>
      </c>
      <c r="W98" s="3" t="s">
        <v>478</v>
      </c>
      <c r="X98" s="3" t="s">
        <v>210</v>
      </c>
      <c r="Y98" s="4">
        <v>52</v>
      </c>
      <c r="Z98" s="4">
        <f>16*30</f>
        <v>480</v>
      </c>
      <c r="AA98" s="5">
        <f>Y98/Z98</f>
        <v>0.10833333333333334</v>
      </c>
      <c r="AB98" s="5"/>
      <c r="AC9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98" s="97" t="str">
        <f>IF(Tabelle1[[#This Row],[Nicht einbezogen weil…]]="",IFERROR(1000*Tabelle1[[#This Row],[Formfaktor]]/Tabelle1[[#This Row],[Thickness '[mm']]],""),"")</f>
        <v/>
      </c>
      <c r="AE98" s="98" t="str">
        <f>IF(Tabelle1[[#This Row],[Nicht einbezogen weil…]]="",IFERROR(Tabelle1[[#This Row],[specific surface '[m^2/m^3']]]/Tabelle1[[#This Row],[Density 
'[g/cm3']]]/1000000,""),"")</f>
        <v/>
      </c>
      <c r="AF98" s="97" t="str">
        <f>IF(Tabelle1[[#This Row],[Nicht einbezogen weil…]]="",IFERROR(365*10*Tabelle1[[#This Row],[Abbaurate '[%/d']]]*Tabelle1[[#This Row],[Thickness '[mm']]]/Tabelle1[[#This Row],[Formfaktor]],""),"")</f>
        <v/>
      </c>
      <c r="AG98" s="99" t="str">
        <f>IF(OR(Tabelle1[[#This Row],[Nicht einbezogen weil…]]="",Tabelle1[[#This Row],[Nicht einbezogen weil…]]="nicht-natürlich"),IF(Tabelle1[[#This Row],[Formfaktor]]=2, 1,IF(Tabelle1[[#This Row],[Formfaktor]]=4,2,IF(Tabelle1[[#This Row],[Formfaktor]]=6,3,""))),"")</f>
        <v/>
      </c>
      <c r="AH9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8" s="71">
        <v>1</v>
      </c>
      <c r="AK9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98" s="3" t="s">
        <v>192</v>
      </c>
      <c r="AO98" s="3" t="s">
        <v>235</v>
      </c>
      <c r="AP98" s="3" t="s">
        <v>235</v>
      </c>
      <c r="AT98" s="10" t="s">
        <v>223</v>
      </c>
      <c r="AU98" s="13" t="s">
        <v>200</v>
      </c>
      <c r="AW98" s="10" t="s">
        <v>776</v>
      </c>
    </row>
    <row r="99" spans="1:49" ht="17.25" customHeight="1">
      <c r="B99" s="7" t="s">
        <v>191</v>
      </c>
      <c r="C99" s="3" t="s">
        <v>770</v>
      </c>
      <c r="D99" s="3" t="s">
        <v>223</v>
      </c>
      <c r="E99" s="10"/>
      <c r="F99" s="12" t="s">
        <v>225</v>
      </c>
      <c r="G99" s="12" t="s">
        <v>341</v>
      </c>
      <c r="H99" s="12" t="s">
        <v>341</v>
      </c>
      <c r="I99" s="3">
        <v>0.91</v>
      </c>
      <c r="K99" s="8" t="s">
        <v>226</v>
      </c>
      <c r="L99" s="3" t="s">
        <v>222</v>
      </c>
      <c r="M99" s="3" t="s">
        <v>223</v>
      </c>
      <c r="N99" s="3" t="s">
        <v>221</v>
      </c>
      <c r="O99" s="3" t="s">
        <v>294</v>
      </c>
      <c r="P9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99" s="4" t="s">
        <v>12</v>
      </c>
      <c r="W99" s="3" t="s">
        <v>90</v>
      </c>
      <c r="Y99" s="4">
        <v>2</v>
      </c>
      <c r="Z99" s="4">
        <f>8*7</f>
        <v>56</v>
      </c>
      <c r="AA99" s="5">
        <f>Y99/Z99</f>
        <v>3.5714285714285712E-2</v>
      </c>
      <c r="AB99" s="5"/>
      <c r="AC9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99" s="97" t="str">
        <f>IF(Tabelle1[[#This Row],[Nicht einbezogen weil…]]="",IFERROR(1000*Tabelle1[[#This Row],[Formfaktor]]/Tabelle1[[#This Row],[Thickness '[mm']]],""),"")</f>
        <v/>
      </c>
      <c r="AE99" s="98" t="str">
        <f>IF(Tabelle1[[#This Row],[Nicht einbezogen weil…]]="",IFERROR(Tabelle1[[#This Row],[specific surface '[m^2/m^3']]]/Tabelle1[[#This Row],[Density 
'[g/cm3']]]/1000000,""),"")</f>
        <v/>
      </c>
      <c r="AF99" s="97" t="str">
        <f>IF(Tabelle1[[#This Row],[Nicht einbezogen weil…]]="",IFERROR(365*10*Tabelle1[[#This Row],[Abbaurate '[%/d']]]*Tabelle1[[#This Row],[Thickness '[mm']]]/Tabelle1[[#This Row],[Formfaktor]],""),"")</f>
        <v/>
      </c>
      <c r="AG99" s="99" t="str">
        <f>IF(OR(Tabelle1[[#This Row],[Nicht einbezogen weil…]]="",Tabelle1[[#This Row],[Nicht einbezogen weil…]]="nicht-natürlich"),IF(Tabelle1[[#This Row],[Formfaktor]]=2, 1,IF(Tabelle1[[#This Row],[Formfaktor]]=4,2,IF(Tabelle1[[#This Row],[Formfaktor]]=6,3,""))),"")</f>
        <v/>
      </c>
      <c r="AH9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9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99" s="71">
        <v>1</v>
      </c>
      <c r="AK9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99" s="3" t="s">
        <v>220</v>
      </c>
      <c r="AO99" s="3" t="s">
        <v>235</v>
      </c>
      <c r="AP99" s="3" t="s">
        <v>235</v>
      </c>
      <c r="AT99" s="10" t="s">
        <v>223</v>
      </c>
      <c r="AU99" s="13" t="s">
        <v>200</v>
      </c>
    </row>
    <row r="100" spans="1:49" ht="17.25" customHeight="1">
      <c r="B100" s="7" t="s">
        <v>191</v>
      </c>
      <c r="C100" s="3" t="s">
        <v>669</v>
      </c>
      <c r="D100" s="3" t="s">
        <v>200</v>
      </c>
      <c r="E100" s="10" t="s">
        <v>205</v>
      </c>
      <c r="F100" s="12" t="s">
        <v>225</v>
      </c>
      <c r="G100" s="12">
        <v>1.1000000000000001</v>
      </c>
      <c r="H100" s="12">
        <f>0.0011*0.0011</f>
        <v>1.2100000000000001E-6</v>
      </c>
      <c r="I100" s="335">
        <f>0.002/(0.11*0.11)</f>
        <v>0.16528925619834711</v>
      </c>
      <c r="K100" s="8" t="s">
        <v>667</v>
      </c>
      <c r="L100" s="3" t="s">
        <v>674</v>
      </c>
      <c r="M100" s="3" t="s">
        <v>223</v>
      </c>
      <c r="N100" s="3" t="s">
        <v>675</v>
      </c>
      <c r="O100" s="3" t="s">
        <v>294</v>
      </c>
      <c r="P10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100" s="4">
        <v>30</v>
      </c>
      <c r="W100" s="3" t="s">
        <v>13</v>
      </c>
      <c r="Y100" s="9" t="s">
        <v>677</v>
      </c>
      <c r="Z100" s="4">
        <f>7*8</f>
        <v>56</v>
      </c>
      <c r="AA100" s="5">
        <f>63/Z100</f>
        <v>1.125</v>
      </c>
      <c r="AB100" s="5"/>
      <c r="AC10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00" s="97" t="str">
        <f>IF(Tabelle1[[#This Row],[Nicht einbezogen weil…]]="",IFERROR(1000*Tabelle1[[#This Row],[Formfaktor]]/Tabelle1[[#This Row],[Thickness '[mm']]],""),"")</f>
        <v/>
      </c>
      <c r="AE100" s="98" t="str">
        <f>IF(Tabelle1[[#This Row],[Nicht einbezogen weil…]]="",IFERROR(Tabelle1[[#This Row],[specific surface '[m^2/m^3']]]/Tabelle1[[#This Row],[Density 
'[g/cm3']]]/1000000,""),"")</f>
        <v/>
      </c>
      <c r="AF100" s="97" t="str">
        <f>IF(Tabelle1[[#This Row],[Nicht einbezogen weil…]]="",IFERROR(365*10*Tabelle1[[#This Row],[Abbaurate '[%/d']]]*Tabelle1[[#This Row],[Thickness '[mm']]]/Tabelle1[[#This Row],[Formfaktor]],""),"")</f>
        <v/>
      </c>
      <c r="AG100" s="99" t="str">
        <f>IF(OR(Tabelle1[[#This Row],[Nicht einbezogen weil…]]="",Tabelle1[[#This Row],[Nicht einbezogen weil…]]="nicht-natürlich"),IF(Tabelle1[[#This Row],[Formfaktor]]=2, 1,IF(Tabelle1[[#This Row],[Formfaktor]]=4,2,IF(Tabelle1[[#This Row],[Formfaktor]]=6,3,""))),"")</f>
        <v/>
      </c>
      <c r="AH10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0" s="71">
        <v>1</v>
      </c>
      <c r="AK10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00" s="3" t="s">
        <v>394</v>
      </c>
      <c r="AN100" s="3" t="s">
        <v>538</v>
      </c>
      <c r="AO100" s="3" t="s">
        <v>200</v>
      </c>
      <c r="AP100" s="3" t="s">
        <v>200</v>
      </c>
      <c r="AT100" s="10" t="s">
        <v>223</v>
      </c>
      <c r="AU100" s="13" t="s">
        <v>200</v>
      </c>
    </row>
    <row r="101" spans="1:49" ht="17.25" customHeight="1">
      <c r="B101" s="7" t="s">
        <v>191</v>
      </c>
      <c r="C101" s="3" t="s">
        <v>670</v>
      </c>
      <c r="D101" s="3" t="s">
        <v>200</v>
      </c>
      <c r="E101" s="10" t="s">
        <v>205</v>
      </c>
      <c r="F101" s="12" t="s">
        <v>225</v>
      </c>
      <c r="G101" s="12">
        <v>2.2999999999999998</v>
      </c>
      <c r="H101" s="12">
        <f>0.0023*0.0023</f>
        <v>5.2900000000000002E-6</v>
      </c>
      <c r="I101" s="335">
        <f>0.014/(0.23*0.23)</f>
        <v>0.26465028355387521</v>
      </c>
      <c r="K101" s="8" t="s">
        <v>667</v>
      </c>
      <c r="L101" s="3" t="s">
        <v>674</v>
      </c>
      <c r="M101" s="3" t="s">
        <v>223</v>
      </c>
      <c r="N101" s="3" t="s">
        <v>675</v>
      </c>
      <c r="O101" s="3" t="s">
        <v>294</v>
      </c>
      <c r="P10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101" s="4">
        <v>30</v>
      </c>
      <c r="W101" s="3" t="s">
        <v>13</v>
      </c>
      <c r="Y101" s="9" t="s">
        <v>678</v>
      </c>
      <c r="Z101" s="4">
        <f>7*8</f>
        <v>56</v>
      </c>
      <c r="AA101" s="5">
        <f>38/Z101</f>
        <v>0.6785714285714286</v>
      </c>
      <c r="AB101" s="5"/>
      <c r="AC10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01" s="97" t="str">
        <f>IF(Tabelle1[[#This Row],[Nicht einbezogen weil…]]="",IFERROR(1000*Tabelle1[[#This Row],[Formfaktor]]/Tabelle1[[#This Row],[Thickness '[mm']]],""),"")</f>
        <v/>
      </c>
      <c r="AE101" s="98" t="str">
        <f>IF(Tabelle1[[#This Row],[Nicht einbezogen weil…]]="",IFERROR(Tabelle1[[#This Row],[specific surface '[m^2/m^3']]]/Tabelle1[[#This Row],[Density 
'[g/cm3']]]/1000000,""),"")</f>
        <v/>
      </c>
      <c r="AF101" s="97" t="str">
        <f>IF(Tabelle1[[#This Row],[Nicht einbezogen weil…]]="",IFERROR(365*10*Tabelle1[[#This Row],[Abbaurate '[%/d']]]*Tabelle1[[#This Row],[Thickness '[mm']]]/Tabelle1[[#This Row],[Formfaktor]],""),"")</f>
        <v/>
      </c>
      <c r="AG101" s="99" t="str">
        <f>IF(OR(Tabelle1[[#This Row],[Nicht einbezogen weil…]]="",Tabelle1[[#This Row],[Nicht einbezogen weil…]]="nicht-natürlich"),IF(Tabelle1[[#This Row],[Formfaktor]]=2, 1,IF(Tabelle1[[#This Row],[Formfaktor]]=4,2,IF(Tabelle1[[#This Row],[Formfaktor]]=6,3,""))),"")</f>
        <v/>
      </c>
      <c r="AH10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1" s="71">
        <v>1</v>
      </c>
      <c r="AK10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01" s="3" t="s">
        <v>394</v>
      </c>
      <c r="AN101" s="3" t="s">
        <v>538</v>
      </c>
      <c r="AO101" s="3" t="s">
        <v>200</v>
      </c>
      <c r="AP101" s="3" t="s">
        <v>200</v>
      </c>
      <c r="AT101" s="10" t="s">
        <v>223</v>
      </c>
      <c r="AU101" s="13" t="s">
        <v>200</v>
      </c>
    </row>
    <row r="102" spans="1:49" ht="17.25" customHeight="1">
      <c r="B102" s="7" t="s">
        <v>77</v>
      </c>
      <c r="C102" s="3" t="s">
        <v>749</v>
      </c>
      <c r="D102" s="3" t="s">
        <v>200</v>
      </c>
      <c r="E102" s="10" t="s">
        <v>203</v>
      </c>
      <c r="F102" s="3" t="s">
        <v>371</v>
      </c>
      <c r="G102" s="3">
        <v>7.4999999999999997E-2</v>
      </c>
      <c r="H102" s="106">
        <f>4*PI()*((G102/2)^2)</f>
        <v>1.7671458676442587E-2</v>
      </c>
      <c r="I102" s="3">
        <v>0.94</v>
      </c>
      <c r="K102" s="8" t="s">
        <v>751</v>
      </c>
      <c r="L102" s="3" t="s">
        <v>752</v>
      </c>
      <c r="M102" s="3" t="s">
        <v>223</v>
      </c>
      <c r="N102" s="3" t="s">
        <v>735</v>
      </c>
      <c r="O102" s="3" t="s">
        <v>294</v>
      </c>
      <c r="P10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102" s="3" t="s">
        <v>13</v>
      </c>
      <c r="Y102" s="9" t="s">
        <v>755</v>
      </c>
      <c r="Z102" s="4">
        <v>40</v>
      </c>
      <c r="AA102" s="5">
        <f>6.2/Z102</f>
        <v>0.155</v>
      </c>
      <c r="AB102" s="5"/>
      <c r="AC10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02" s="97" t="str">
        <f>IF(Tabelle1[[#This Row],[Nicht einbezogen weil…]]="",IFERROR(1000*Tabelle1[[#This Row],[Formfaktor]]/Tabelle1[[#This Row],[Thickness '[mm']]],""),"")</f>
        <v/>
      </c>
      <c r="AE102" s="98" t="str">
        <f>IF(Tabelle1[[#This Row],[Nicht einbezogen weil…]]="",IFERROR(Tabelle1[[#This Row],[specific surface '[m^2/m^3']]]/Tabelle1[[#This Row],[Density 
'[g/cm3']]]/1000000,""),"")</f>
        <v/>
      </c>
      <c r="AF102" s="97" t="str">
        <f>IF(Tabelle1[[#This Row],[Nicht einbezogen weil…]]="",IFERROR(365*10*Tabelle1[[#This Row],[Abbaurate '[%/d']]]*Tabelle1[[#This Row],[Thickness '[mm']]]/Tabelle1[[#This Row],[Formfaktor]],""),"")</f>
        <v/>
      </c>
      <c r="AG102" s="99" t="str">
        <f>IF(OR(Tabelle1[[#This Row],[Nicht einbezogen weil…]]="",Tabelle1[[#This Row],[Nicht einbezogen weil…]]="nicht-natürlich"),IF(Tabelle1[[#This Row],[Formfaktor]]=2, 1,IF(Tabelle1[[#This Row],[Formfaktor]]=4,2,IF(Tabelle1[[#This Row],[Formfaktor]]=6,3,""))),"")</f>
        <v/>
      </c>
      <c r="AH10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2" s="71">
        <v>1</v>
      </c>
      <c r="AK10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02" s="3" t="s">
        <v>387</v>
      </c>
      <c r="AM102" s="3" t="s">
        <v>962</v>
      </c>
      <c r="AN102" s="3" t="s">
        <v>538</v>
      </c>
      <c r="AO102" s="3" t="s">
        <v>200</v>
      </c>
      <c r="AP102" s="3" t="s">
        <v>200</v>
      </c>
      <c r="AT102" s="10" t="s">
        <v>223</v>
      </c>
      <c r="AU102" s="13" t="s">
        <v>200</v>
      </c>
      <c r="AV102" s="14" t="s">
        <v>547</v>
      </c>
    </row>
    <row r="103" spans="1:49" ht="17.25" customHeight="1">
      <c r="B103" s="329" t="s">
        <v>77</v>
      </c>
      <c r="C103" s="3" t="s">
        <v>77</v>
      </c>
      <c r="D103" s="3" t="s">
        <v>200</v>
      </c>
      <c r="E103" s="10" t="s">
        <v>205</v>
      </c>
      <c r="F103" s="3" t="s">
        <v>241</v>
      </c>
      <c r="G103" s="17">
        <v>1</v>
      </c>
      <c r="H103" s="3" t="s">
        <v>900</v>
      </c>
      <c r="I103" s="24">
        <f>AVERAGE(0.9265,0.9495)</f>
        <v>0.93799999999999994</v>
      </c>
      <c r="J103" s="322" t="s">
        <v>899</v>
      </c>
      <c r="K103" s="8" t="s">
        <v>229</v>
      </c>
      <c r="L103" s="3" t="s">
        <v>880</v>
      </c>
      <c r="M103" s="3" t="s">
        <v>223</v>
      </c>
      <c r="N103" s="3" t="s">
        <v>901</v>
      </c>
      <c r="O103" s="3" t="s">
        <v>294</v>
      </c>
      <c r="P10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103" s="4">
        <v>25</v>
      </c>
      <c r="V103" s="4" t="s">
        <v>734</v>
      </c>
      <c r="W103" s="3" t="s">
        <v>13</v>
      </c>
      <c r="Y103" s="4">
        <v>70</v>
      </c>
      <c r="Z103" s="4">
        <v>28</v>
      </c>
      <c r="AA103" s="5">
        <f>Y103/Z103</f>
        <v>2.5</v>
      </c>
      <c r="AB103" s="5"/>
      <c r="AC10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03" s="97" t="str">
        <f>IF(Tabelle1[[#This Row],[Nicht einbezogen weil…]]="",IFERROR(1000*Tabelle1[[#This Row],[Formfaktor]]/Tabelle1[[#This Row],[Thickness '[mm']]],""),"")</f>
        <v/>
      </c>
      <c r="AE103" s="98" t="str">
        <f>IF(Tabelle1[[#This Row],[Nicht einbezogen weil…]]="",IFERROR(Tabelle1[[#This Row],[specific surface '[m^2/m^3']]]/Tabelle1[[#This Row],[Density 
'[g/cm3']]]/1000000,""),"")</f>
        <v/>
      </c>
      <c r="AF103" s="97" t="str">
        <f>IF(Tabelle1[[#This Row],[Nicht einbezogen weil…]]="",IFERROR(365*10*Tabelle1[[#This Row],[Abbaurate '[%/d']]]*Tabelle1[[#This Row],[Thickness '[mm']]]/Tabelle1[[#This Row],[Formfaktor]],""),"")</f>
        <v/>
      </c>
      <c r="AG103" s="99" t="str">
        <f>IF(OR(Tabelle1[[#This Row],[Nicht einbezogen weil…]]="",Tabelle1[[#This Row],[Nicht einbezogen weil…]]="nicht-natürlich"),IF(Tabelle1[[#This Row],[Formfaktor]]=2, 1,IF(Tabelle1[[#This Row],[Formfaktor]]=4,2,IF(Tabelle1[[#This Row],[Formfaktor]]=6,3,""))),"")</f>
        <v/>
      </c>
      <c r="AH10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3" s="6">
        <v>1</v>
      </c>
      <c r="AK10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03" s="326" t="s">
        <v>842</v>
      </c>
      <c r="AM103" s="3" t="s">
        <v>855</v>
      </c>
      <c r="AN103" s="3" t="s">
        <v>824</v>
      </c>
      <c r="AO103" s="3" t="s">
        <v>200</v>
      </c>
      <c r="AP103" s="3" t="s">
        <v>200</v>
      </c>
      <c r="AU103" s="13" t="s">
        <v>200</v>
      </c>
      <c r="AW103" s="10" t="s">
        <v>1015</v>
      </c>
    </row>
    <row r="104" spans="1:49" ht="17.25" customHeight="1">
      <c r="B104" s="11" t="s">
        <v>78</v>
      </c>
      <c r="C104" s="3" t="s">
        <v>750</v>
      </c>
      <c r="D104" s="3" t="s">
        <v>200</v>
      </c>
      <c r="E104" s="10" t="s">
        <v>203</v>
      </c>
      <c r="F104" s="12" t="s">
        <v>747</v>
      </c>
      <c r="G104" s="3">
        <v>0.24</v>
      </c>
      <c r="H104" s="106">
        <f>4*PI()*((G104/2)^2)</f>
        <v>0.18095573684677208</v>
      </c>
      <c r="I104" s="3">
        <v>1.68</v>
      </c>
      <c r="K104" s="8" t="s">
        <v>751</v>
      </c>
      <c r="L104" s="3" t="s">
        <v>752</v>
      </c>
      <c r="M104" s="3" t="s">
        <v>223</v>
      </c>
      <c r="N104" s="3" t="s">
        <v>735</v>
      </c>
      <c r="O104" s="3" t="s">
        <v>294</v>
      </c>
      <c r="P10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104" s="3" t="s">
        <v>13</v>
      </c>
      <c r="Y104" s="9" t="s">
        <v>756</v>
      </c>
      <c r="Z104" s="4">
        <v>40</v>
      </c>
      <c r="AA104" s="5">
        <f>6.6/Z104</f>
        <v>0.16499999999999998</v>
      </c>
      <c r="AB104" s="5"/>
      <c r="AC10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04" s="97" t="str">
        <f>IF(Tabelle1[[#This Row],[Nicht einbezogen weil…]]="",IFERROR(1000*Tabelle1[[#This Row],[Formfaktor]]/Tabelle1[[#This Row],[Thickness '[mm']]],""),"")</f>
        <v/>
      </c>
      <c r="AE104" s="98" t="str">
        <f>IF(Tabelle1[[#This Row],[Nicht einbezogen weil…]]="",IFERROR(Tabelle1[[#This Row],[specific surface '[m^2/m^3']]]/Tabelle1[[#This Row],[Density 
'[g/cm3']]]/1000000,""),"")</f>
        <v/>
      </c>
      <c r="AF104" s="97" t="str">
        <f>IF(Tabelle1[[#This Row],[Nicht einbezogen weil…]]="",IFERROR(365*10*Tabelle1[[#This Row],[Abbaurate '[%/d']]]*Tabelle1[[#This Row],[Thickness '[mm']]]/Tabelle1[[#This Row],[Formfaktor]],""),"")</f>
        <v/>
      </c>
      <c r="AG104" s="99" t="str">
        <f>IF(OR(Tabelle1[[#This Row],[Nicht einbezogen weil…]]="",Tabelle1[[#This Row],[Nicht einbezogen weil…]]="nicht-natürlich"),IF(Tabelle1[[#This Row],[Formfaktor]]=2, 1,IF(Tabelle1[[#This Row],[Formfaktor]]=4,2,IF(Tabelle1[[#This Row],[Formfaktor]]=6,3,""))),"")</f>
        <v/>
      </c>
      <c r="AH10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4" s="71">
        <v>1</v>
      </c>
      <c r="AK10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04" s="3" t="s">
        <v>387</v>
      </c>
      <c r="AM104" s="3" t="s">
        <v>962</v>
      </c>
      <c r="AN104" s="3" t="s">
        <v>538</v>
      </c>
      <c r="AO104" s="3" t="s">
        <v>200</v>
      </c>
      <c r="AP104" s="3" t="s">
        <v>200</v>
      </c>
      <c r="AT104" s="10" t="s">
        <v>223</v>
      </c>
      <c r="AU104" s="13" t="s">
        <v>200</v>
      </c>
      <c r="AW104" s="3" t="s">
        <v>785</v>
      </c>
    </row>
    <row r="105" spans="1:49" ht="17.25" customHeight="1">
      <c r="B105" s="7" t="s">
        <v>191</v>
      </c>
      <c r="C105" s="3" t="s">
        <v>228</v>
      </c>
      <c r="D105" s="3" t="s">
        <v>223</v>
      </c>
      <c r="E105" s="10"/>
      <c r="F105" s="12" t="s">
        <v>225</v>
      </c>
      <c r="G105" s="12" t="s">
        <v>341</v>
      </c>
      <c r="H105" s="12" t="s">
        <v>341</v>
      </c>
      <c r="I105" s="74">
        <v>1.2</v>
      </c>
      <c r="K105" s="8" t="s">
        <v>226</v>
      </c>
      <c r="L105" s="3" t="s">
        <v>222</v>
      </c>
      <c r="M105" s="3" t="s">
        <v>223</v>
      </c>
      <c r="N105" s="3" t="s">
        <v>221</v>
      </c>
      <c r="O105" s="3" t="s">
        <v>294</v>
      </c>
      <c r="P10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105" s="4" t="s">
        <v>12</v>
      </c>
      <c r="W105" s="3" t="s">
        <v>90</v>
      </c>
      <c r="Y105" s="4">
        <v>6</v>
      </c>
      <c r="Z105" s="4">
        <f>8*7</f>
        <v>56</v>
      </c>
      <c r="AA105" s="5">
        <f t="shared" ref="AA105:AA119" si="7">Y105/Z105</f>
        <v>0.10714285714285714</v>
      </c>
      <c r="AB105" s="5"/>
      <c r="AC10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05" s="97" t="str">
        <f>IF(Tabelle1[[#This Row],[Nicht einbezogen weil…]]="",IFERROR(1000*Tabelle1[[#This Row],[Formfaktor]]/Tabelle1[[#This Row],[Thickness '[mm']]],""),"")</f>
        <v/>
      </c>
      <c r="AE105" s="98" t="str">
        <f>IF(Tabelle1[[#This Row],[Nicht einbezogen weil…]]="",IFERROR(Tabelle1[[#This Row],[specific surface '[m^2/m^3']]]/Tabelle1[[#This Row],[Density 
'[g/cm3']]]/1000000,""),"")</f>
        <v/>
      </c>
      <c r="AF105" s="97" t="str">
        <f>IF(Tabelle1[[#This Row],[Nicht einbezogen weil…]]="",IFERROR(365*10*Tabelle1[[#This Row],[Abbaurate '[%/d']]]*Tabelle1[[#This Row],[Thickness '[mm']]]/Tabelle1[[#This Row],[Formfaktor]],""),"")</f>
        <v/>
      </c>
      <c r="AG105" s="99" t="str">
        <f>IF(OR(Tabelle1[[#This Row],[Nicht einbezogen weil…]]="",Tabelle1[[#This Row],[Nicht einbezogen weil…]]="nicht-natürlich"),IF(Tabelle1[[#This Row],[Formfaktor]]=2, 1,IF(Tabelle1[[#This Row],[Formfaktor]]=4,2,IF(Tabelle1[[#This Row],[Formfaktor]]=6,3,""))),"")</f>
        <v/>
      </c>
      <c r="AH10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5" s="71">
        <v>1</v>
      </c>
      <c r="AK10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05" s="3" t="s">
        <v>220</v>
      </c>
      <c r="AO105" s="3" t="s">
        <v>235</v>
      </c>
      <c r="AP105" s="3" t="s">
        <v>235</v>
      </c>
      <c r="AT105" s="10" t="s">
        <v>223</v>
      </c>
      <c r="AU105" s="13" t="s">
        <v>200</v>
      </c>
    </row>
    <row r="106" spans="1:49" ht="17.25" customHeight="1">
      <c r="B106" s="7" t="s">
        <v>191</v>
      </c>
      <c r="C106" s="3" t="s">
        <v>227</v>
      </c>
      <c r="D106" s="3" t="s">
        <v>223</v>
      </c>
      <c r="E106" s="10"/>
      <c r="F106" s="12" t="s">
        <v>225</v>
      </c>
      <c r="G106" s="12" t="s">
        <v>341</v>
      </c>
      <c r="H106" s="12" t="s">
        <v>341</v>
      </c>
      <c r="I106" s="3" t="s">
        <v>341</v>
      </c>
      <c r="K106" s="8" t="s">
        <v>226</v>
      </c>
      <c r="L106" s="3" t="s">
        <v>222</v>
      </c>
      <c r="M106" s="3" t="s">
        <v>223</v>
      </c>
      <c r="N106" s="3" t="s">
        <v>221</v>
      </c>
      <c r="O106" s="3" t="s">
        <v>294</v>
      </c>
      <c r="P10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106" s="4" t="s">
        <v>12</v>
      </c>
      <c r="W106" s="3" t="s">
        <v>90</v>
      </c>
      <c r="Y106" s="4">
        <v>11</v>
      </c>
      <c r="Z106" s="4">
        <f>8*7</f>
        <v>56</v>
      </c>
      <c r="AA106" s="5">
        <f t="shared" si="7"/>
        <v>0.19642857142857142</v>
      </c>
      <c r="AB106" s="5"/>
      <c r="AC10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06" s="97" t="str">
        <f>IF(Tabelle1[[#This Row],[Nicht einbezogen weil…]]="",IFERROR(1000*Tabelle1[[#This Row],[Formfaktor]]/Tabelle1[[#This Row],[Thickness '[mm']]],""),"")</f>
        <v/>
      </c>
      <c r="AE106" s="98" t="str">
        <f>IF(Tabelle1[[#This Row],[Nicht einbezogen weil…]]="",IFERROR(Tabelle1[[#This Row],[specific surface '[m^2/m^3']]]/Tabelle1[[#This Row],[Density 
'[g/cm3']]]/1000000,""),"")</f>
        <v/>
      </c>
      <c r="AF106" s="97" t="str">
        <f>IF(Tabelle1[[#This Row],[Nicht einbezogen weil…]]="",IFERROR(365*10*Tabelle1[[#This Row],[Abbaurate '[%/d']]]*Tabelle1[[#This Row],[Thickness '[mm']]]/Tabelle1[[#This Row],[Formfaktor]],""),"")</f>
        <v/>
      </c>
      <c r="AG106" s="99" t="str">
        <f>IF(OR(Tabelle1[[#This Row],[Nicht einbezogen weil…]]="",Tabelle1[[#This Row],[Nicht einbezogen weil…]]="nicht-natürlich"),IF(Tabelle1[[#This Row],[Formfaktor]]=2, 1,IF(Tabelle1[[#This Row],[Formfaktor]]=4,2,IF(Tabelle1[[#This Row],[Formfaktor]]=6,3,""))),"")</f>
        <v/>
      </c>
      <c r="AH10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6" s="71">
        <v>1</v>
      </c>
      <c r="AK10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06" s="3" t="s">
        <v>220</v>
      </c>
      <c r="AO106" s="3" t="s">
        <v>235</v>
      </c>
      <c r="AP106" s="3" t="s">
        <v>235</v>
      </c>
      <c r="AT106" s="10" t="s">
        <v>223</v>
      </c>
      <c r="AU106" s="13" t="s">
        <v>200</v>
      </c>
    </row>
    <row r="107" spans="1:49" ht="17.25" customHeight="1">
      <c r="B107" s="7" t="s">
        <v>191</v>
      </c>
      <c r="C107" s="3" t="s">
        <v>224</v>
      </c>
      <c r="D107" s="3" t="s">
        <v>223</v>
      </c>
      <c r="E107" s="10"/>
      <c r="F107" s="12" t="s">
        <v>225</v>
      </c>
      <c r="G107" s="12" t="s">
        <v>341</v>
      </c>
      <c r="H107" s="12" t="s">
        <v>341</v>
      </c>
      <c r="I107" s="3" t="s">
        <v>341</v>
      </c>
      <c r="J107" s="3" t="s">
        <v>486</v>
      </c>
      <c r="K107" s="8" t="s">
        <v>226</v>
      </c>
      <c r="L107" s="3" t="s">
        <v>222</v>
      </c>
      <c r="M107" s="3" t="s">
        <v>223</v>
      </c>
      <c r="N107" s="3" t="s">
        <v>221</v>
      </c>
      <c r="O107" s="3" t="s">
        <v>294</v>
      </c>
      <c r="P10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107" s="4" t="s">
        <v>12</v>
      </c>
      <c r="W107" s="3" t="s">
        <v>90</v>
      </c>
      <c r="Y107" s="4">
        <v>7.4</v>
      </c>
      <c r="Z107" s="4">
        <f>8*7</f>
        <v>56</v>
      </c>
      <c r="AA107" s="5">
        <f t="shared" si="7"/>
        <v>0.13214285714285715</v>
      </c>
      <c r="AB107" s="5"/>
      <c r="AC10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07" s="97" t="str">
        <f>IF(Tabelle1[[#This Row],[Nicht einbezogen weil…]]="",IFERROR(1000*Tabelle1[[#This Row],[Formfaktor]]/Tabelle1[[#This Row],[Thickness '[mm']]],""),"")</f>
        <v/>
      </c>
      <c r="AE107" s="98" t="str">
        <f>IF(Tabelle1[[#This Row],[Nicht einbezogen weil…]]="",IFERROR(Tabelle1[[#This Row],[specific surface '[m^2/m^3']]]/Tabelle1[[#This Row],[Density 
'[g/cm3']]]/1000000,""),"")</f>
        <v/>
      </c>
      <c r="AF107" s="97" t="str">
        <f>IF(Tabelle1[[#This Row],[Nicht einbezogen weil…]]="",IFERROR(365*10*Tabelle1[[#This Row],[Abbaurate '[%/d']]]*Tabelle1[[#This Row],[Thickness '[mm']]]/Tabelle1[[#This Row],[Formfaktor]],""),"")</f>
        <v/>
      </c>
      <c r="AG107" s="99" t="str">
        <f>IF(OR(Tabelle1[[#This Row],[Nicht einbezogen weil…]]="",Tabelle1[[#This Row],[Nicht einbezogen weil…]]="nicht-natürlich"),IF(Tabelle1[[#This Row],[Formfaktor]]=2, 1,IF(Tabelle1[[#This Row],[Formfaktor]]=4,2,IF(Tabelle1[[#This Row],[Formfaktor]]=6,3,""))),"")</f>
        <v/>
      </c>
      <c r="AH10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7" s="71">
        <v>1</v>
      </c>
      <c r="AK10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07" s="3" t="s">
        <v>220</v>
      </c>
      <c r="AO107" s="3" t="s">
        <v>235</v>
      </c>
      <c r="AP107" s="3" t="s">
        <v>235</v>
      </c>
      <c r="AT107" s="10" t="s">
        <v>223</v>
      </c>
      <c r="AU107" s="13" t="s">
        <v>200</v>
      </c>
    </row>
    <row r="108" spans="1:49" ht="17.25" customHeight="1">
      <c r="B108" s="7" t="s">
        <v>191</v>
      </c>
      <c r="C108" s="3" t="s">
        <v>208</v>
      </c>
      <c r="D108" s="3" t="s">
        <v>223</v>
      </c>
      <c r="E108" s="10"/>
      <c r="F108" s="12" t="s">
        <v>225</v>
      </c>
      <c r="G108" s="12">
        <f>0.595*0.78</f>
        <v>0.46410000000000001</v>
      </c>
      <c r="H108" s="58">
        <f>PI()*((G108/2)^2)</f>
        <v>0.16916597579036197</v>
      </c>
      <c r="I108" s="74">
        <v>1.2</v>
      </c>
      <c r="J108" s="3" t="s">
        <v>488</v>
      </c>
      <c r="L108" s="3" t="s">
        <v>229</v>
      </c>
      <c r="M108" s="3" t="s">
        <v>200</v>
      </c>
      <c r="N108" s="3" t="s">
        <v>5</v>
      </c>
      <c r="O108" s="3" t="s">
        <v>358</v>
      </c>
      <c r="P10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108" s="4" t="s">
        <v>12</v>
      </c>
      <c r="W108" s="3" t="s">
        <v>478</v>
      </c>
      <c r="X108" s="3" t="s">
        <v>210</v>
      </c>
      <c r="Y108" s="4">
        <v>4</v>
      </c>
      <c r="Z108" s="4">
        <f>16*30</f>
        <v>480</v>
      </c>
      <c r="AA108" s="5">
        <f t="shared" si="7"/>
        <v>8.3333333333333332E-3</v>
      </c>
      <c r="AB108" s="5"/>
      <c r="AC10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08" s="97" t="str">
        <f>IF(Tabelle1[[#This Row],[Nicht einbezogen weil…]]="",IFERROR(1000*Tabelle1[[#This Row],[Formfaktor]]/Tabelle1[[#This Row],[Thickness '[mm']]],""),"")</f>
        <v/>
      </c>
      <c r="AE108" s="98" t="str">
        <f>IF(Tabelle1[[#This Row],[Nicht einbezogen weil…]]="",IFERROR(Tabelle1[[#This Row],[specific surface '[m^2/m^3']]]/Tabelle1[[#This Row],[Density 
'[g/cm3']]]/1000000,""),"")</f>
        <v/>
      </c>
      <c r="AF108" s="97" t="str">
        <f>IF(Tabelle1[[#This Row],[Nicht einbezogen weil…]]="",IFERROR(365*10*Tabelle1[[#This Row],[Abbaurate '[%/d']]]*Tabelle1[[#This Row],[Thickness '[mm']]]/Tabelle1[[#This Row],[Formfaktor]],""),"")</f>
        <v/>
      </c>
      <c r="AG108" s="99" t="str">
        <f>IF(OR(Tabelle1[[#This Row],[Nicht einbezogen weil…]]="",Tabelle1[[#This Row],[Nicht einbezogen weil…]]="nicht-natürlich"),IF(Tabelle1[[#This Row],[Formfaktor]]=2, 1,IF(Tabelle1[[#This Row],[Formfaktor]]=4,2,IF(Tabelle1[[#This Row],[Formfaktor]]=6,3,""))),"")</f>
        <v/>
      </c>
      <c r="AH10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8" s="71">
        <v>1</v>
      </c>
      <c r="AK10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108" s="3" t="s">
        <v>192</v>
      </c>
      <c r="AO108" s="3" t="s">
        <v>200</v>
      </c>
      <c r="AP108" s="3" t="s">
        <v>200</v>
      </c>
      <c r="AU108" s="13" t="s">
        <v>200</v>
      </c>
      <c r="AW108" s="10" t="s">
        <v>776</v>
      </c>
    </row>
    <row r="109" spans="1:49" ht="17.25" customHeight="1">
      <c r="B109" s="7" t="s">
        <v>191</v>
      </c>
      <c r="C109" s="3" t="s">
        <v>770</v>
      </c>
      <c r="D109" s="3" t="s">
        <v>223</v>
      </c>
      <c r="E109" s="10"/>
      <c r="F109" s="74" t="s">
        <v>341</v>
      </c>
      <c r="G109" s="12" t="s">
        <v>341</v>
      </c>
      <c r="H109" s="12" t="s">
        <v>341</v>
      </c>
      <c r="I109" s="3">
        <v>0.91</v>
      </c>
      <c r="L109" s="3" t="s">
        <v>681</v>
      </c>
      <c r="M109" s="3" t="s">
        <v>223</v>
      </c>
      <c r="N109" s="3" t="s">
        <v>675</v>
      </c>
      <c r="O109" s="3" t="s">
        <v>294</v>
      </c>
      <c r="P10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109" s="4">
        <v>30</v>
      </c>
      <c r="W109" s="3" t="s">
        <v>13</v>
      </c>
      <c r="Y109" s="4">
        <v>51</v>
      </c>
      <c r="Z109" s="4">
        <v>3</v>
      </c>
      <c r="AA109" s="5">
        <f t="shared" si="7"/>
        <v>17</v>
      </c>
      <c r="AB109" s="5"/>
      <c r="AC109"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09" s="97" t="str">
        <f>IF(Tabelle1[[#This Row],[Nicht einbezogen weil…]]="",IFERROR(1000*Tabelle1[[#This Row],[Formfaktor]]/Tabelle1[[#This Row],[Thickness '[mm']]],""),"")</f>
        <v/>
      </c>
      <c r="AE109" s="98" t="str">
        <f>IF(Tabelle1[[#This Row],[Nicht einbezogen weil…]]="",IFERROR(Tabelle1[[#This Row],[specific surface '[m^2/m^3']]]/Tabelle1[[#This Row],[Density 
'[g/cm3']]]/1000000,""),"")</f>
        <v/>
      </c>
      <c r="AF109" s="97" t="str">
        <f>IF(Tabelle1[[#This Row],[Nicht einbezogen weil…]]="",IFERROR(365*10*Tabelle1[[#This Row],[Abbaurate '[%/d']]]*Tabelle1[[#This Row],[Thickness '[mm']]]/Tabelle1[[#This Row],[Formfaktor]],""),"")</f>
        <v/>
      </c>
      <c r="AG109" s="99" t="str">
        <f>IF(OR(Tabelle1[[#This Row],[Nicht einbezogen weil…]]="",Tabelle1[[#This Row],[Nicht einbezogen weil…]]="nicht-natürlich"),IF(Tabelle1[[#This Row],[Formfaktor]]=2, 1,IF(Tabelle1[[#This Row],[Formfaktor]]=4,2,IF(Tabelle1[[#This Row],[Formfaktor]]=6,3,""))),"")</f>
        <v/>
      </c>
      <c r="AH10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0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09" s="71">
        <v>1</v>
      </c>
      <c r="AK10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09" s="3" t="s">
        <v>397</v>
      </c>
      <c r="AN109" s="3" t="s">
        <v>538</v>
      </c>
      <c r="AO109" s="3" t="s">
        <v>200</v>
      </c>
      <c r="AP109" s="3" t="s">
        <v>200</v>
      </c>
      <c r="AT109" s="10" t="s">
        <v>223</v>
      </c>
      <c r="AU109" s="13" t="s">
        <v>200</v>
      </c>
    </row>
    <row r="110" spans="1:49" ht="17.25" customHeight="1">
      <c r="A110" s="10" t="s">
        <v>200</v>
      </c>
      <c r="B110" s="109" t="s">
        <v>69</v>
      </c>
      <c r="C110" s="3" t="s">
        <v>69</v>
      </c>
      <c r="D110" s="3" t="s">
        <v>223</v>
      </c>
      <c r="E110" s="10"/>
      <c r="F110" s="3" t="s">
        <v>476</v>
      </c>
      <c r="G110" s="3">
        <v>1.5</v>
      </c>
      <c r="H110" s="3">
        <f>0.15*0.1</f>
        <v>1.4999999999999999E-2</v>
      </c>
      <c r="I110" s="24">
        <v>0.94950000000000001</v>
      </c>
      <c r="K110" s="8" t="s">
        <v>229</v>
      </c>
      <c r="M110" s="3" t="s">
        <v>200</v>
      </c>
      <c r="N110" s="3" t="s">
        <v>1064</v>
      </c>
      <c r="O110" s="3" t="s">
        <v>23</v>
      </c>
      <c r="P11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10" s="3" t="s">
        <v>13</v>
      </c>
      <c r="Y110" s="4">
        <v>1.6</v>
      </c>
      <c r="Z110" s="4">
        <v>365</v>
      </c>
      <c r="AA110" s="5">
        <f t="shared" si="7"/>
        <v>4.383561643835617E-3</v>
      </c>
      <c r="AB110" s="5"/>
      <c r="AC11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0" s="5">
        <f>IF(Tabelle1[[#This Row],[Nicht einbezogen weil…]]="",IFERROR(1000*Tabelle1[[#This Row],[Formfaktor]]/Tabelle1[[#This Row],[Thickness '[mm']]],""),"")</f>
        <v>1333.3333333333333</v>
      </c>
      <c r="AE110" s="5">
        <f>IF(Tabelle1[[#This Row],[Nicht einbezogen weil…]]="",IFERROR(Tabelle1[[#This Row],[specific surface '[m^2/m^3']]]/Tabelle1[[#This Row],[Density 
'[g/cm3']]]/1000000,""),"")</f>
        <v>1.4042478497454799E-3</v>
      </c>
      <c r="AF110" s="5">
        <f>IF(Tabelle1[[#This Row],[Nicht einbezogen weil…]]="",IFERROR(365*10*Tabelle1[[#This Row],[Abbaurate '[%/d']]]*Tabelle1[[#This Row],[Thickness '[mm']]]/Tabelle1[[#This Row],[Formfaktor]],""),"")</f>
        <v>12.000000000000004</v>
      </c>
      <c r="AG110" s="328">
        <f>IF(OR(Tabelle1[[#This Row],[Nicht einbezogen weil…]]="",Tabelle1[[#This Row],[Nicht einbezogen weil…]]="nicht-natürlich"),IF(Tabelle1[[#This Row],[Formfaktor]]=2, 1,IF(Tabelle1[[#This Row],[Formfaktor]]=4,2,IF(Tabelle1[[#This Row],[Formfaktor]]=6,3,""))),"")</f>
        <v>1</v>
      </c>
      <c r="AH110" s="352">
        <f>IF(OR(Tabelle1[[#This Row],[Nicht einbezogen weil…]]="",Tabelle1[[#This Row],[Nicht einbezogen weil…]]="nicht-natürlich"),IFERROR(Tabelle1[[#This Row],[Thickness '[mm']]]/Tabelle1[[#This Row],[Dauer des Abbaus
'[Tage']]]*1000*0.5*365*(1-(1-Tabelle1[[#This Row],[Abbaurate '[%/d']]]/100*Tabelle1[[#This Row],[Dauer des Abbaus
'[Tage']]])^(1/Tabelle1[[#This Row],[Exponent]])),""),"")</f>
        <v>12.000000000000009</v>
      </c>
      <c r="AI11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HDPE_Meerwasser_natürlich</v>
      </c>
      <c r="AJ110" s="6">
        <v>1</v>
      </c>
      <c r="AK11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10" s="3" t="s">
        <v>1062</v>
      </c>
      <c r="AN110" s="3" t="s">
        <v>1065</v>
      </c>
      <c r="AO110" s="3" t="s">
        <v>200</v>
      </c>
      <c r="AP110" s="3" t="s">
        <v>200</v>
      </c>
      <c r="AT110" s="10" t="s">
        <v>223</v>
      </c>
      <c r="AU110" s="13" t="s">
        <v>200</v>
      </c>
      <c r="AW110" s="10" t="s">
        <v>775</v>
      </c>
    </row>
    <row r="111" spans="1:49" ht="17.25" customHeight="1">
      <c r="B111" s="7" t="s">
        <v>188</v>
      </c>
      <c r="C111" s="3" t="s">
        <v>36</v>
      </c>
      <c r="D111" s="3" t="s">
        <v>200</v>
      </c>
      <c r="E111" s="10" t="s">
        <v>203</v>
      </c>
      <c r="F111" s="12" t="s">
        <v>288</v>
      </c>
      <c r="G111" s="59">
        <v>0.06</v>
      </c>
      <c r="H111" s="12">
        <f>0.01*0.05</f>
        <v>5.0000000000000001E-4</v>
      </c>
      <c r="I111" s="3">
        <v>1.1299999999999999</v>
      </c>
      <c r="M111" s="3" t="s">
        <v>301</v>
      </c>
      <c r="N111" s="3" t="s">
        <v>614</v>
      </c>
      <c r="O111" s="3" t="s">
        <v>358</v>
      </c>
      <c r="P11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11" s="4">
        <v>25</v>
      </c>
      <c r="R111" s="4" t="s">
        <v>40</v>
      </c>
      <c r="S111" s="4">
        <v>80</v>
      </c>
      <c r="W111" s="3" t="s">
        <v>13</v>
      </c>
      <c r="Y111" s="4">
        <v>100</v>
      </c>
      <c r="Z111" s="4">
        <v>120</v>
      </c>
      <c r="AA111" s="5">
        <f t="shared" si="7"/>
        <v>0.83333333333333337</v>
      </c>
      <c r="AB111" s="5"/>
      <c r="AC11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1" s="97" t="str">
        <f>IF(Tabelle1[[#This Row],[Nicht einbezogen weil…]]="",IFERROR(1000*Tabelle1[[#This Row],[Formfaktor]]/Tabelle1[[#This Row],[Thickness '[mm']]],""),"")</f>
        <v/>
      </c>
      <c r="AE111" s="98" t="str">
        <f>IF(Tabelle1[[#This Row],[Nicht einbezogen weil…]]="",IFERROR(Tabelle1[[#This Row],[specific surface '[m^2/m^3']]]/Tabelle1[[#This Row],[Density 
'[g/cm3']]]/1000000,""),"")</f>
        <v/>
      </c>
      <c r="AF111" s="97" t="str">
        <f>IF(Tabelle1[[#This Row],[Nicht einbezogen weil…]]="",IFERROR(365*10*Tabelle1[[#This Row],[Abbaurate '[%/d']]]*Tabelle1[[#This Row],[Thickness '[mm']]]/Tabelle1[[#This Row],[Formfaktor]],""),"")</f>
        <v/>
      </c>
      <c r="AG111" s="99" t="str">
        <f>IF(OR(Tabelle1[[#This Row],[Nicht einbezogen weil…]]="",Tabelle1[[#This Row],[Nicht einbezogen weil…]]="nicht-natürlich"),IF(Tabelle1[[#This Row],[Formfaktor]]=2, 1,IF(Tabelle1[[#This Row],[Formfaktor]]=4,2,IF(Tabelle1[[#This Row],[Formfaktor]]=6,3,""))),"")</f>
        <v/>
      </c>
      <c r="AH11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1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11" s="71">
        <v>1</v>
      </c>
      <c r="AK11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11" s="3" t="s">
        <v>152</v>
      </c>
      <c r="AM111" s="3" t="s">
        <v>962</v>
      </c>
      <c r="AN111" s="3" t="s">
        <v>538</v>
      </c>
      <c r="AO111" s="3" t="s">
        <v>235</v>
      </c>
      <c r="AP111" s="3" t="s">
        <v>235</v>
      </c>
      <c r="AT111" s="10" t="s">
        <v>223</v>
      </c>
      <c r="AU111" s="13" t="s">
        <v>200</v>
      </c>
    </row>
    <row r="112" spans="1:49" ht="17.25" customHeight="1">
      <c r="A112" s="10" t="s">
        <v>200</v>
      </c>
      <c r="B112" s="109" t="s">
        <v>67</v>
      </c>
      <c r="C112" s="3" t="s">
        <v>67</v>
      </c>
      <c r="D112" s="3" t="s">
        <v>223</v>
      </c>
      <c r="E112" s="10"/>
      <c r="F112" s="12" t="s">
        <v>288</v>
      </c>
      <c r="G112" s="12">
        <v>1.5</v>
      </c>
      <c r="H112" s="12">
        <f>0.1*0.15</f>
        <v>1.4999999999999999E-2</v>
      </c>
      <c r="I112" s="24">
        <v>0.92649999999999999</v>
      </c>
      <c r="J112" s="3" t="s">
        <v>703</v>
      </c>
      <c r="K112" s="8" t="s">
        <v>229</v>
      </c>
      <c r="M112" s="74" t="s">
        <v>200</v>
      </c>
      <c r="N112" s="74" t="s">
        <v>278</v>
      </c>
      <c r="O112" s="3" t="s">
        <v>23</v>
      </c>
      <c r="P11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12" s="4">
        <v>30</v>
      </c>
      <c r="W112" s="3" t="s">
        <v>13</v>
      </c>
      <c r="Y112" s="4">
        <v>2.5</v>
      </c>
      <c r="Z112" s="4">
        <f>6*30</f>
        <v>180</v>
      </c>
      <c r="AA112" s="5">
        <f t="shared" si="7"/>
        <v>1.3888888888888888E-2</v>
      </c>
      <c r="AB112" s="5"/>
      <c r="AC11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2" s="97">
        <f>IF(Tabelle1[[#This Row],[Nicht einbezogen weil…]]="",IFERROR(1000*Tabelle1[[#This Row],[Formfaktor]]/Tabelle1[[#This Row],[Thickness '[mm']]],""),"")</f>
        <v>1333.3333333333333</v>
      </c>
      <c r="AE112" s="98">
        <f>IF(Tabelle1[[#This Row],[Nicht einbezogen weil…]]="",IFERROR(Tabelle1[[#This Row],[specific surface '[m^2/m^3']]]/Tabelle1[[#This Row],[Density 
'[g/cm3']]]/1000000,""),"")</f>
        <v>1.4391077531930203E-3</v>
      </c>
      <c r="AF112" s="97">
        <f>IF(Tabelle1[[#This Row],[Nicht einbezogen weil…]]="",IFERROR(365*10*Tabelle1[[#This Row],[Abbaurate '[%/d']]]*Tabelle1[[#This Row],[Thickness '[mm']]]/Tabelle1[[#This Row],[Formfaktor]],""),"")</f>
        <v>38.020833333333329</v>
      </c>
      <c r="AG112" s="99">
        <f>IF(OR(Tabelle1[[#This Row],[Nicht einbezogen weil…]]="",Tabelle1[[#This Row],[Nicht einbezogen weil…]]="nicht-natürlich"),IF(Tabelle1[[#This Row],[Formfaktor]]=2, 1,IF(Tabelle1[[#This Row],[Formfaktor]]=4,2,IF(Tabelle1[[#This Row],[Formfaktor]]=6,3,""))),"")</f>
        <v>1</v>
      </c>
      <c r="AH112" s="97">
        <f>IF(OR(Tabelle1[[#This Row],[Nicht einbezogen weil…]]="",Tabelle1[[#This Row],[Nicht einbezogen weil…]]="nicht-natürlich"),IFERROR(Tabelle1[[#This Row],[Thickness '[mm']]]/Tabelle1[[#This Row],[Dauer des Abbaus
'[Tage']]]*1000*0.5*365*(1-(1-Tabelle1[[#This Row],[Abbaurate '[%/d']]]/100*Tabelle1[[#This Row],[Dauer des Abbaus
'[Tage']]])^(1/Tabelle1[[#This Row],[Exponent]])),""),"")</f>
        <v>38.020833333333371</v>
      </c>
      <c r="AI11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LDPE_Meerwasser_natürlich</v>
      </c>
      <c r="AJ112" s="71">
        <v>1</v>
      </c>
      <c r="AK11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12" s="3" t="s">
        <v>1124</v>
      </c>
      <c r="AM112" s="3" t="s">
        <v>967</v>
      </c>
      <c r="AO112" s="3" t="s">
        <v>200</v>
      </c>
      <c r="AP112" s="3" t="s">
        <v>200</v>
      </c>
      <c r="AT112" s="10" t="s">
        <v>200</v>
      </c>
      <c r="AU112" s="13" t="s">
        <v>200</v>
      </c>
      <c r="AV112" s="14"/>
      <c r="AW112" s="10" t="s">
        <v>775</v>
      </c>
    </row>
    <row r="113" spans="1:49" ht="17.25" customHeight="1">
      <c r="B113" s="7" t="s">
        <v>177</v>
      </c>
      <c r="C113" s="3" t="s">
        <v>377</v>
      </c>
      <c r="D113" s="3" t="s">
        <v>223</v>
      </c>
      <c r="E113" s="10"/>
      <c r="F113" s="3" t="s">
        <v>288</v>
      </c>
      <c r="G113" s="3">
        <v>0.72</v>
      </c>
      <c r="H113" s="3">
        <f>0.01*0.01</f>
        <v>1E-4</v>
      </c>
      <c r="I113" s="77">
        <v>1.35</v>
      </c>
      <c r="J113" s="3" t="s">
        <v>418</v>
      </c>
      <c r="K113" s="8" t="s">
        <v>685</v>
      </c>
      <c r="M113" s="3" t="s">
        <v>223</v>
      </c>
      <c r="N113" s="3" t="s">
        <v>325</v>
      </c>
      <c r="O113" s="3" t="s">
        <v>358</v>
      </c>
      <c r="P11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113" s="4">
        <v>7.43</v>
      </c>
      <c r="U113" s="4" t="s">
        <v>12</v>
      </c>
      <c r="W113" s="3" t="s">
        <v>90</v>
      </c>
      <c r="Y113" s="4">
        <v>55.1</v>
      </c>
      <c r="Z113" s="4">
        <v>660</v>
      </c>
      <c r="AA113" s="5">
        <f t="shared" si="7"/>
        <v>8.3484848484848481E-2</v>
      </c>
      <c r="AB113" s="5"/>
      <c r="AC11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3" s="97" t="str">
        <f>IF(Tabelle1[[#This Row],[Nicht einbezogen weil…]]="",IFERROR(1000*Tabelle1[[#This Row],[Formfaktor]]/Tabelle1[[#This Row],[Thickness '[mm']]],""),"")</f>
        <v/>
      </c>
      <c r="AE113" s="98" t="str">
        <f>IF(Tabelle1[[#This Row],[Nicht einbezogen weil…]]="",IFERROR(Tabelle1[[#This Row],[specific surface '[m^2/m^3']]]/Tabelle1[[#This Row],[Density 
'[g/cm3']]]/1000000,""),"")</f>
        <v/>
      </c>
      <c r="AF113" s="97" t="str">
        <f>IF(Tabelle1[[#This Row],[Nicht einbezogen weil…]]="",IFERROR(365*10*Tabelle1[[#This Row],[Abbaurate '[%/d']]]*Tabelle1[[#This Row],[Thickness '[mm']]]/Tabelle1[[#This Row],[Formfaktor]],""),"")</f>
        <v/>
      </c>
      <c r="AG113" s="99">
        <f>IF(OR(Tabelle1[[#This Row],[Nicht einbezogen weil…]]="",Tabelle1[[#This Row],[Nicht einbezogen weil…]]="nicht-natürlich"),IF(Tabelle1[[#This Row],[Formfaktor]]=2, 1,IF(Tabelle1[[#This Row],[Formfaktor]]=4,2,IF(Tabelle1[[#This Row],[Formfaktor]]=6,3,""))),"")</f>
        <v>1</v>
      </c>
      <c r="AH113" s="97">
        <f>IF(OR(Tabelle1[[#This Row],[Nicht einbezogen weil…]]="",Tabelle1[[#This Row],[Nicht einbezogen weil…]]="nicht-natürlich"),IFERROR(Tabelle1[[#This Row],[Thickness '[mm']]]/Tabelle1[[#This Row],[Dauer des Abbaus
'[Tage']]]*1000*0.5*365*(1-(1-Tabelle1[[#This Row],[Abbaurate '[%/d']]]/100*Tabelle1[[#This Row],[Dauer des Abbaus
'[Tage']]])^(1/Tabelle1[[#This Row],[Exponent]])),""),"")</f>
        <v>109.69909090909094</v>
      </c>
      <c r="AI11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PBAT_Boden/Kompost_nicht natürlich</v>
      </c>
      <c r="AJ113" s="71">
        <v>1</v>
      </c>
      <c r="AK11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113" s="3" t="s">
        <v>145</v>
      </c>
      <c r="AN113" s="3" t="s">
        <v>538</v>
      </c>
      <c r="AO113" s="3" t="s">
        <v>200</v>
      </c>
      <c r="AP113" s="3" t="s">
        <v>200</v>
      </c>
      <c r="AT113" s="10" t="s">
        <v>223</v>
      </c>
      <c r="AU113" s="13" t="s">
        <v>200</v>
      </c>
      <c r="AW113" s="10" t="s">
        <v>813</v>
      </c>
    </row>
    <row r="114" spans="1:49" ht="17.25" customHeight="1">
      <c r="B114" s="7" t="s">
        <v>177</v>
      </c>
      <c r="C114" s="3" t="s">
        <v>377</v>
      </c>
      <c r="D114" s="3" t="s">
        <v>223</v>
      </c>
      <c r="E114" s="10"/>
      <c r="F114" s="3" t="s">
        <v>288</v>
      </c>
      <c r="G114" s="3">
        <v>0.72</v>
      </c>
      <c r="H114" s="3">
        <f>0.01*0.01</f>
        <v>1E-4</v>
      </c>
      <c r="I114" s="77">
        <v>1.35</v>
      </c>
      <c r="J114" s="3" t="s">
        <v>418</v>
      </c>
      <c r="M114" s="3" t="s">
        <v>223</v>
      </c>
      <c r="N114" s="3" t="s">
        <v>423</v>
      </c>
      <c r="O114" s="3" t="s">
        <v>358</v>
      </c>
      <c r="P11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14" s="4">
        <v>37</v>
      </c>
      <c r="R114" s="4">
        <v>8.3000000000000007</v>
      </c>
      <c r="U114" s="4" t="s">
        <v>89</v>
      </c>
      <c r="W114" s="3" t="s">
        <v>90</v>
      </c>
      <c r="Y114" s="4">
        <v>20.2</v>
      </c>
      <c r="Z114" s="4">
        <v>50</v>
      </c>
      <c r="AA114" s="5">
        <f t="shared" si="7"/>
        <v>0.40399999999999997</v>
      </c>
      <c r="AB114" s="5"/>
      <c r="AC11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4" s="97" t="str">
        <f>IF(Tabelle1[[#This Row],[Nicht einbezogen weil…]]="",IFERROR(1000*Tabelle1[[#This Row],[Formfaktor]]/Tabelle1[[#This Row],[Thickness '[mm']]],""),"")</f>
        <v/>
      </c>
      <c r="AE114" s="98" t="str">
        <f>IF(Tabelle1[[#This Row],[Nicht einbezogen weil…]]="",IFERROR(Tabelle1[[#This Row],[specific surface '[m^2/m^3']]]/Tabelle1[[#This Row],[Density 
'[g/cm3']]]/1000000,""),"")</f>
        <v/>
      </c>
      <c r="AF114" s="97" t="str">
        <f>IF(Tabelle1[[#This Row],[Nicht einbezogen weil…]]="",IFERROR(365*10*Tabelle1[[#This Row],[Abbaurate '[%/d']]]*Tabelle1[[#This Row],[Thickness '[mm']]]/Tabelle1[[#This Row],[Formfaktor]],""),"")</f>
        <v/>
      </c>
      <c r="AG114" s="99">
        <f>IF(OR(Tabelle1[[#This Row],[Nicht einbezogen weil…]]="",Tabelle1[[#This Row],[Nicht einbezogen weil…]]="nicht-natürlich"),IF(Tabelle1[[#This Row],[Formfaktor]]=2, 1,IF(Tabelle1[[#This Row],[Formfaktor]]=4,2,IF(Tabelle1[[#This Row],[Formfaktor]]=6,3,""))),"")</f>
        <v>1</v>
      </c>
      <c r="AH114" s="97">
        <f>IF(OR(Tabelle1[[#This Row],[Nicht einbezogen weil…]]="",Tabelle1[[#This Row],[Nicht einbezogen weil…]]="nicht-natürlich"),IFERROR(Tabelle1[[#This Row],[Thickness '[mm']]]/Tabelle1[[#This Row],[Dauer des Abbaus
'[Tage']]]*1000*0.5*365*(1-(1-Tabelle1[[#This Row],[Abbaurate '[%/d']]]/100*Tabelle1[[#This Row],[Dauer des Abbaus
'[Tage']]])^(1/Tabelle1[[#This Row],[Exponent]])),""),"")</f>
        <v>530.85599999999988</v>
      </c>
      <c r="AI11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PBAT_Boden/Kompost_nicht natürlich</v>
      </c>
      <c r="AJ114" s="71">
        <v>1</v>
      </c>
      <c r="AK11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114" s="3" t="s">
        <v>145</v>
      </c>
      <c r="AN114" s="3" t="s">
        <v>538</v>
      </c>
      <c r="AO114" s="3" t="s">
        <v>200</v>
      </c>
      <c r="AP114" s="3" t="s">
        <v>200</v>
      </c>
      <c r="AT114" s="10" t="s">
        <v>223</v>
      </c>
      <c r="AU114" s="13" t="s">
        <v>200</v>
      </c>
      <c r="AW114" s="10" t="s">
        <v>813</v>
      </c>
    </row>
    <row r="115" spans="1:49" ht="17.25" customHeight="1">
      <c r="A115" s="10" t="s">
        <v>200</v>
      </c>
      <c r="B115" s="109" t="s">
        <v>67</v>
      </c>
      <c r="C115" s="3" t="s">
        <v>67</v>
      </c>
      <c r="D115" s="3" t="s">
        <v>223</v>
      </c>
      <c r="E115" s="10"/>
      <c r="F115" s="3" t="s">
        <v>476</v>
      </c>
      <c r="G115" s="3">
        <v>1.5</v>
      </c>
      <c r="H115" s="3">
        <f>0.15*0.1</f>
        <v>1.4999999999999999E-2</v>
      </c>
      <c r="I115" s="24">
        <v>0.92649999999999999</v>
      </c>
      <c r="K115" s="8" t="s">
        <v>229</v>
      </c>
      <c r="M115" s="3" t="s">
        <v>200</v>
      </c>
      <c r="N115" s="3" t="s">
        <v>1064</v>
      </c>
      <c r="O115" s="3" t="s">
        <v>23</v>
      </c>
      <c r="P11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15" s="3" t="s">
        <v>13</v>
      </c>
      <c r="Y115" s="4">
        <v>1.9</v>
      </c>
      <c r="Z115" s="4">
        <v>365</v>
      </c>
      <c r="AA115" s="5">
        <f t="shared" si="7"/>
        <v>5.2054794520547945E-3</v>
      </c>
      <c r="AB115" s="5"/>
      <c r="AC11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5" s="5">
        <f>IF(Tabelle1[[#This Row],[Nicht einbezogen weil…]]="",IFERROR(1000*Tabelle1[[#This Row],[Formfaktor]]/Tabelle1[[#This Row],[Thickness '[mm']]],""),"")</f>
        <v>1333.3333333333333</v>
      </c>
      <c r="AE115" s="5">
        <f>IF(Tabelle1[[#This Row],[Nicht einbezogen weil…]]="",IFERROR(Tabelle1[[#This Row],[specific surface '[m^2/m^3']]]/Tabelle1[[#This Row],[Density 
'[g/cm3']]]/1000000,""),"")</f>
        <v>1.4391077531930203E-3</v>
      </c>
      <c r="AF115" s="5">
        <f>IF(Tabelle1[[#This Row],[Nicht einbezogen weil…]]="",IFERROR(365*10*Tabelle1[[#This Row],[Abbaurate '[%/d']]]*Tabelle1[[#This Row],[Thickness '[mm']]]/Tabelle1[[#This Row],[Formfaktor]],""),"")</f>
        <v>14.25</v>
      </c>
      <c r="AG115" s="328">
        <f>IF(OR(Tabelle1[[#This Row],[Nicht einbezogen weil…]]="",Tabelle1[[#This Row],[Nicht einbezogen weil…]]="nicht-natürlich"),IF(Tabelle1[[#This Row],[Formfaktor]]=2, 1,IF(Tabelle1[[#This Row],[Formfaktor]]=4,2,IF(Tabelle1[[#This Row],[Formfaktor]]=6,3,""))),"")</f>
        <v>1</v>
      </c>
      <c r="AH115" s="352">
        <f>IF(OR(Tabelle1[[#This Row],[Nicht einbezogen weil…]]="",Tabelle1[[#This Row],[Nicht einbezogen weil…]]="nicht-natürlich"),IFERROR(Tabelle1[[#This Row],[Thickness '[mm']]]/Tabelle1[[#This Row],[Dauer des Abbaus
'[Tage']]]*1000*0.5*365*(1-(1-Tabelle1[[#This Row],[Abbaurate '[%/d']]]/100*Tabelle1[[#This Row],[Dauer des Abbaus
'[Tage']]])^(1/Tabelle1[[#This Row],[Exponent]])),""),"")</f>
        <v>14.250000000000011</v>
      </c>
      <c r="AI11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LDPE_Meerwasser_natürlich</v>
      </c>
      <c r="AJ115" s="6">
        <v>1</v>
      </c>
      <c r="AK11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15" s="3" t="s">
        <v>1062</v>
      </c>
      <c r="AN115" s="3" t="s">
        <v>1065</v>
      </c>
      <c r="AO115" s="3" t="s">
        <v>200</v>
      </c>
      <c r="AP115" s="3" t="s">
        <v>200</v>
      </c>
      <c r="AT115" s="10" t="s">
        <v>223</v>
      </c>
      <c r="AU115" s="13" t="s">
        <v>200</v>
      </c>
      <c r="AW115" s="10" t="s">
        <v>775</v>
      </c>
    </row>
    <row r="116" spans="1:49" ht="17.25" customHeight="1">
      <c r="B116" s="7" t="s">
        <v>177</v>
      </c>
      <c r="C116" s="3" t="s">
        <v>177</v>
      </c>
      <c r="D116" s="3" t="s">
        <v>200</v>
      </c>
      <c r="E116" s="10" t="s">
        <v>205</v>
      </c>
      <c r="F116" s="3" t="s">
        <v>288</v>
      </c>
      <c r="G116" s="3">
        <v>0.02</v>
      </c>
      <c r="H116" s="3">
        <f>0.02*0.02</f>
        <v>4.0000000000000002E-4</v>
      </c>
      <c r="I116" s="77">
        <v>1.35</v>
      </c>
      <c r="J116" s="3" t="s">
        <v>512</v>
      </c>
      <c r="L116" s="3" t="s">
        <v>199</v>
      </c>
      <c r="M116" s="3" t="s">
        <v>223</v>
      </c>
      <c r="N116" s="3" t="s">
        <v>515</v>
      </c>
      <c r="O116" s="3" t="s">
        <v>256</v>
      </c>
      <c r="P11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16" s="4">
        <v>30</v>
      </c>
      <c r="U116" s="4" t="s">
        <v>12</v>
      </c>
      <c r="W116" s="3" t="s">
        <v>506</v>
      </c>
      <c r="Y116" s="4">
        <v>15.1</v>
      </c>
      <c r="Z116" s="4">
        <v>28</v>
      </c>
      <c r="AA116" s="5">
        <f t="shared" si="7"/>
        <v>0.53928571428571426</v>
      </c>
      <c r="AB116" s="5"/>
      <c r="AC11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6" s="97" t="str">
        <f>IF(Tabelle1[[#This Row],[Nicht einbezogen weil…]]="",IFERROR(1000*Tabelle1[[#This Row],[Formfaktor]]/Tabelle1[[#This Row],[Thickness '[mm']]],""),"")</f>
        <v/>
      </c>
      <c r="AE116" s="98" t="str">
        <f>IF(Tabelle1[[#This Row],[Nicht einbezogen weil…]]="",IFERROR(Tabelle1[[#This Row],[specific surface '[m^2/m^3']]]/Tabelle1[[#This Row],[Density 
'[g/cm3']]]/1000000,""),"")</f>
        <v/>
      </c>
      <c r="AF116" s="97" t="str">
        <f>IF(Tabelle1[[#This Row],[Nicht einbezogen weil…]]="",IFERROR(365*10*Tabelle1[[#This Row],[Abbaurate '[%/d']]]*Tabelle1[[#This Row],[Thickness '[mm']]]/Tabelle1[[#This Row],[Formfaktor]],""),"")</f>
        <v/>
      </c>
      <c r="AG116" s="99" t="str">
        <f>IF(OR(Tabelle1[[#This Row],[Nicht einbezogen weil…]]="",Tabelle1[[#This Row],[Nicht einbezogen weil…]]="nicht-natürlich"),IF(Tabelle1[[#This Row],[Formfaktor]]=2, 1,IF(Tabelle1[[#This Row],[Formfaktor]]=4,2,IF(Tabelle1[[#This Row],[Formfaktor]]=6,3,""))),"")</f>
        <v/>
      </c>
      <c r="AH11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1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16" s="71">
        <v>1</v>
      </c>
      <c r="AK11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16" s="3" t="s">
        <v>138</v>
      </c>
      <c r="AM116" s="3" t="s">
        <v>196</v>
      </c>
      <c r="AO116" s="3" t="s">
        <v>235</v>
      </c>
      <c r="AP116" s="3" t="s">
        <v>235</v>
      </c>
      <c r="AT116" s="10" t="s">
        <v>223</v>
      </c>
      <c r="AU116" s="13" t="s">
        <v>200</v>
      </c>
      <c r="AW116" s="10" t="s">
        <v>813</v>
      </c>
    </row>
    <row r="117" spans="1:49" ht="17.25" customHeight="1">
      <c r="B117" s="7" t="s">
        <v>177</v>
      </c>
      <c r="C117" s="3" t="s">
        <v>177</v>
      </c>
      <c r="D117" s="3" t="s">
        <v>200</v>
      </c>
      <c r="E117" s="10" t="s">
        <v>205</v>
      </c>
      <c r="F117" s="3" t="s">
        <v>288</v>
      </c>
      <c r="G117" s="3">
        <v>0.02</v>
      </c>
      <c r="H117" s="3">
        <f>0.02*0.02</f>
        <v>4.0000000000000002E-4</v>
      </c>
      <c r="I117" s="77">
        <v>1.35</v>
      </c>
      <c r="J117" s="3" t="s">
        <v>512</v>
      </c>
      <c r="L117" s="3" t="s">
        <v>6</v>
      </c>
      <c r="M117" s="3" t="s">
        <v>223</v>
      </c>
      <c r="N117" s="3" t="s">
        <v>515</v>
      </c>
      <c r="O117" s="3" t="s">
        <v>256</v>
      </c>
      <c r="P11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17" s="4">
        <v>30</v>
      </c>
      <c r="U117" s="4" t="s">
        <v>12</v>
      </c>
      <c r="W117" s="3" t="s">
        <v>13</v>
      </c>
      <c r="Y117" s="4">
        <v>0.43</v>
      </c>
      <c r="Z117" s="4">
        <v>28</v>
      </c>
      <c r="AA117" s="5">
        <f t="shared" si="7"/>
        <v>1.5357142857142857E-2</v>
      </c>
      <c r="AB117" s="5"/>
      <c r="AC11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7" s="97" t="str">
        <f>IF(Tabelle1[[#This Row],[Nicht einbezogen weil…]]="",IFERROR(1000*Tabelle1[[#This Row],[Formfaktor]]/Tabelle1[[#This Row],[Thickness '[mm']]],""),"")</f>
        <v/>
      </c>
      <c r="AE117" s="98" t="str">
        <f>IF(Tabelle1[[#This Row],[Nicht einbezogen weil…]]="",IFERROR(Tabelle1[[#This Row],[specific surface '[m^2/m^3']]]/Tabelle1[[#This Row],[Density 
'[g/cm3']]]/1000000,""),"")</f>
        <v/>
      </c>
      <c r="AF117" s="97" t="str">
        <f>IF(Tabelle1[[#This Row],[Nicht einbezogen weil…]]="",IFERROR(365*10*Tabelle1[[#This Row],[Abbaurate '[%/d']]]*Tabelle1[[#This Row],[Thickness '[mm']]]/Tabelle1[[#This Row],[Formfaktor]],""),"")</f>
        <v/>
      </c>
      <c r="AG117" s="99" t="str">
        <f>IF(OR(Tabelle1[[#This Row],[Nicht einbezogen weil…]]="",Tabelle1[[#This Row],[Nicht einbezogen weil…]]="nicht-natürlich"),IF(Tabelle1[[#This Row],[Formfaktor]]=2, 1,IF(Tabelle1[[#This Row],[Formfaktor]]=4,2,IF(Tabelle1[[#This Row],[Formfaktor]]=6,3,""))),"")</f>
        <v/>
      </c>
      <c r="AH11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1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17" s="71">
        <v>1</v>
      </c>
      <c r="AK11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17" s="3" t="s">
        <v>138</v>
      </c>
      <c r="AM117" s="3" t="s">
        <v>196</v>
      </c>
      <c r="AO117" s="3" t="s">
        <v>235</v>
      </c>
      <c r="AP117" s="3" t="s">
        <v>235</v>
      </c>
      <c r="AT117" s="10" t="s">
        <v>223</v>
      </c>
      <c r="AU117" s="13" t="s">
        <v>200</v>
      </c>
      <c r="AW117" s="10" t="s">
        <v>813</v>
      </c>
    </row>
    <row r="118" spans="1:49" ht="17.25" customHeight="1">
      <c r="B118" s="7" t="s">
        <v>177</v>
      </c>
      <c r="C118" s="3" t="s">
        <v>177</v>
      </c>
      <c r="D118" s="3" t="s">
        <v>200</v>
      </c>
      <c r="E118" s="10" t="s">
        <v>205</v>
      </c>
      <c r="F118" s="3" t="s">
        <v>288</v>
      </c>
      <c r="G118" s="3">
        <v>0.02</v>
      </c>
      <c r="H118" s="3">
        <f>0.02*0.02</f>
        <v>4.0000000000000002E-4</v>
      </c>
      <c r="I118" s="77">
        <v>1.35</v>
      </c>
      <c r="J118" s="3" t="s">
        <v>512</v>
      </c>
      <c r="L118" s="3" t="s">
        <v>6</v>
      </c>
      <c r="M118" s="3" t="s">
        <v>223</v>
      </c>
      <c r="N118" s="3" t="s">
        <v>515</v>
      </c>
      <c r="O118" s="3" t="s">
        <v>256</v>
      </c>
      <c r="P11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18" s="4">
        <v>30</v>
      </c>
      <c r="U118" s="4" t="s">
        <v>89</v>
      </c>
      <c r="W118" s="3" t="s">
        <v>13</v>
      </c>
      <c r="Y118" s="4">
        <v>0</v>
      </c>
      <c r="Z118" s="4">
        <v>28</v>
      </c>
      <c r="AA118" s="5">
        <f t="shared" si="7"/>
        <v>0</v>
      </c>
      <c r="AB118" s="5"/>
      <c r="AC11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8" s="97" t="str">
        <f>IF(Tabelle1[[#This Row],[Nicht einbezogen weil…]]="",IFERROR(1000*Tabelle1[[#This Row],[Formfaktor]]/Tabelle1[[#This Row],[Thickness '[mm']]],""),"")</f>
        <v/>
      </c>
      <c r="AE118" s="98" t="str">
        <f>IF(Tabelle1[[#This Row],[Nicht einbezogen weil…]]="",IFERROR(Tabelle1[[#This Row],[specific surface '[m^2/m^3']]]/Tabelle1[[#This Row],[Density 
'[g/cm3']]]/1000000,""),"")</f>
        <v/>
      </c>
      <c r="AF118" s="97" t="str">
        <f>IF(Tabelle1[[#This Row],[Nicht einbezogen weil…]]="",IFERROR(365*10*Tabelle1[[#This Row],[Abbaurate '[%/d']]]*Tabelle1[[#This Row],[Thickness '[mm']]]/Tabelle1[[#This Row],[Formfaktor]],""),"")</f>
        <v/>
      </c>
      <c r="AG118" s="99" t="str">
        <f>IF(OR(Tabelle1[[#This Row],[Nicht einbezogen weil…]]="",Tabelle1[[#This Row],[Nicht einbezogen weil…]]="nicht-natürlich"),IF(Tabelle1[[#This Row],[Formfaktor]]=2, 1,IF(Tabelle1[[#This Row],[Formfaktor]]=4,2,IF(Tabelle1[[#This Row],[Formfaktor]]=6,3,""))),"")</f>
        <v/>
      </c>
      <c r="AH11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1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18" s="71">
        <v>1</v>
      </c>
      <c r="AK11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18" s="3" t="s">
        <v>138</v>
      </c>
      <c r="AM118" s="3" t="s">
        <v>196</v>
      </c>
      <c r="AN118" s="3" t="s">
        <v>538</v>
      </c>
      <c r="AO118" s="3" t="s">
        <v>235</v>
      </c>
      <c r="AP118" s="3" t="s">
        <v>235</v>
      </c>
      <c r="AT118" s="10" t="s">
        <v>223</v>
      </c>
      <c r="AU118" s="13" t="s">
        <v>200</v>
      </c>
      <c r="AW118" s="10" t="s">
        <v>813</v>
      </c>
    </row>
    <row r="119" spans="1:49" ht="17.25" customHeight="1">
      <c r="A119" s="10" t="s">
        <v>200</v>
      </c>
      <c r="B119" s="109" t="s">
        <v>67</v>
      </c>
      <c r="C119" s="3" t="s">
        <v>67</v>
      </c>
      <c r="D119" s="3" t="s">
        <v>223</v>
      </c>
      <c r="E119" s="10"/>
      <c r="F119" s="3" t="s">
        <v>996</v>
      </c>
      <c r="G119" s="3">
        <v>0.03</v>
      </c>
      <c r="H119" s="3" t="s">
        <v>341</v>
      </c>
      <c r="I119" s="24">
        <v>0.92649999999999999</v>
      </c>
      <c r="K119" s="8" t="s">
        <v>229</v>
      </c>
      <c r="M119" s="3" t="s">
        <v>200</v>
      </c>
      <c r="N119" s="3" t="s">
        <v>1068</v>
      </c>
      <c r="O119" s="3" t="s">
        <v>23</v>
      </c>
      <c r="P11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19" s="9" t="s">
        <v>1072</v>
      </c>
      <c r="R119" s="9" t="s">
        <v>1075</v>
      </c>
      <c r="W119" s="3" t="s">
        <v>13</v>
      </c>
      <c r="X119" s="3" t="s">
        <v>1067</v>
      </c>
      <c r="Y119" s="4">
        <v>0</v>
      </c>
      <c r="Z119" s="4">
        <v>678</v>
      </c>
      <c r="AA119" s="5">
        <f t="shared" si="7"/>
        <v>0</v>
      </c>
      <c r="AB119" s="5"/>
      <c r="AC11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19" s="5">
        <f>IF(Tabelle1[[#This Row],[Nicht einbezogen weil…]]="",IFERROR(1000*Tabelle1[[#This Row],[Formfaktor]]/Tabelle1[[#This Row],[Thickness '[mm']]],""),"")</f>
        <v>66666.666666666672</v>
      </c>
      <c r="AE119" s="5">
        <f>IF(Tabelle1[[#This Row],[Nicht einbezogen weil…]]="",IFERROR(Tabelle1[[#This Row],[specific surface '[m^2/m^3']]]/Tabelle1[[#This Row],[Density 
'[g/cm3']]]/1000000,""),"")</f>
        <v>7.1955387659651024E-2</v>
      </c>
      <c r="AF119" s="5">
        <f>IF(Tabelle1[[#This Row],[Nicht einbezogen weil…]]="",IFERROR(365*10*Tabelle1[[#This Row],[Abbaurate '[%/d']]]*Tabelle1[[#This Row],[Thickness '[mm']]]/Tabelle1[[#This Row],[Formfaktor]],""),"")</f>
        <v>0</v>
      </c>
      <c r="AG119" s="328">
        <f>IF(OR(Tabelle1[[#This Row],[Nicht einbezogen weil…]]="",Tabelle1[[#This Row],[Nicht einbezogen weil…]]="nicht-natürlich"),IF(Tabelle1[[#This Row],[Formfaktor]]=2, 1,IF(Tabelle1[[#This Row],[Formfaktor]]=4,2,IF(Tabelle1[[#This Row],[Formfaktor]]=6,3,""))),"")</f>
        <v>1</v>
      </c>
      <c r="AH119" s="352">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1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LDPE_Meerwasser_natürlich</v>
      </c>
      <c r="AJ119" s="6">
        <v>1</v>
      </c>
      <c r="AK11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19" s="3" t="s">
        <v>1076</v>
      </c>
      <c r="AN119" s="3" t="s">
        <v>1065</v>
      </c>
      <c r="AO119" s="3" t="s">
        <v>200</v>
      </c>
      <c r="AP119" s="3" t="s">
        <v>200</v>
      </c>
      <c r="AT119" s="10" t="s">
        <v>223</v>
      </c>
      <c r="AU119" s="13" t="s">
        <v>200</v>
      </c>
    </row>
    <row r="120" spans="1:49" ht="17.25" customHeight="1">
      <c r="B120" s="7" t="s">
        <v>177</v>
      </c>
      <c r="C120" s="336" t="s">
        <v>585</v>
      </c>
      <c r="D120" s="3" t="s">
        <v>223</v>
      </c>
      <c r="E120" s="10"/>
      <c r="F120" s="3" t="s">
        <v>288</v>
      </c>
      <c r="G120" s="3">
        <v>0.75</v>
      </c>
      <c r="H120" s="3">
        <f>0.0071*0.0071</f>
        <v>5.0410000000000007E-5</v>
      </c>
      <c r="I120" s="77">
        <v>1.35</v>
      </c>
      <c r="J120" s="3" t="s">
        <v>587</v>
      </c>
      <c r="K120" s="8" t="s">
        <v>586</v>
      </c>
      <c r="M120" s="3" t="s">
        <v>223</v>
      </c>
      <c r="N120" s="3" t="s">
        <v>162</v>
      </c>
      <c r="O120" s="3" t="s">
        <v>358</v>
      </c>
      <c r="P12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20" s="3" t="s">
        <v>190</v>
      </c>
      <c r="Y120" s="9" t="s">
        <v>588</v>
      </c>
      <c r="Z120" s="4">
        <f>6*7</f>
        <v>42</v>
      </c>
      <c r="AA120" s="5">
        <f>13/Z120</f>
        <v>0.30952380952380953</v>
      </c>
      <c r="AB120" s="5"/>
      <c r="AC12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20" s="97" t="str">
        <f>IF(Tabelle1[[#This Row],[Nicht einbezogen weil…]]="",IFERROR(1000*Tabelle1[[#This Row],[Formfaktor]]/Tabelle1[[#This Row],[Thickness '[mm']]],""),"")</f>
        <v/>
      </c>
      <c r="AE120" s="98" t="str">
        <f>IF(Tabelle1[[#This Row],[Nicht einbezogen weil…]]="",IFERROR(Tabelle1[[#This Row],[specific surface '[m^2/m^3']]]/Tabelle1[[#This Row],[Density 
'[g/cm3']]]/1000000,""),"")</f>
        <v/>
      </c>
      <c r="AF120" s="97" t="str">
        <f>IF(Tabelle1[[#This Row],[Nicht einbezogen weil…]]="",IFERROR(365*10*Tabelle1[[#This Row],[Abbaurate '[%/d']]]*Tabelle1[[#This Row],[Thickness '[mm']]]/Tabelle1[[#This Row],[Formfaktor]],""),"")</f>
        <v/>
      </c>
      <c r="AG120" s="99">
        <f>IF(OR(Tabelle1[[#This Row],[Nicht einbezogen weil…]]="",Tabelle1[[#This Row],[Nicht einbezogen weil…]]="nicht-natürlich"),IF(Tabelle1[[#This Row],[Formfaktor]]=2, 1,IF(Tabelle1[[#This Row],[Formfaktor]]=4,2,IF(Tabelle1[[#This Row],[Formfaktor]]=6,3,""))),"")</f>
        <v>1</v>
      </c>
      <c r="AH120" s="97">
        <f>IF(OR(Tabelle1[[#This Row],[Nicht einbezogen weil…]]="",Tabelle1[[#This Row],[Nicht einbezogen weil…]]="nicht-natürlich"),IFERROR(Tabelle1[[#This Row],[Thickness '[mm']]]/Tabelle1[[#This Row],[Dauer des Abbaus
'[Tage']]]*1000*0.5*365*(1-(1-Tabelle1[[#This Row],[Abbaurate '[%/d']]]/100*Tabelle1[[#This Row],[Dauer des Abbaus
'[Tage']]])^(1/Tabelle1[[#This Row],[Exponent]])),""),"")</f>
        <v>423.66071428571433</v>
      </c>
      <c r="AI12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PBAT_Boden/Kompost_nicht natürlich</v>
      </c>
      <c r="AJ120" s="71">
        <v>1</v>
      </c>
      <c r="AK12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120" s="3" t="s">
        <v>584</v>
      </c>
      <c r="AM120" s="3" t="s">
        <v>977</v>
      </c>
      <c r="AN120" s="3" t="s">
        <v>538</v>
      </c>
      <c r="AO120" s="3" t="s">
        <v>200</v>
      </c>
      <c r="AP120" s="3" t="s">
        <v>200</v>
      </c>
      <c r="AT120" s="10" t="s">
        <v>223</v>
      </c>
      <c r="AU120" s="13" t="s">
        <v>200</v>
      </c>
      <c r="AW120" s="10" t="s">
        <v>813</v>
      </c>
    </row>
    <row r="121" spans="1:49" ht="17.25" customHeight="1">
      <c r="B121" s="7" t="s">
        <v>779</v>
      </c>
      <c r="C121" s="3" t="s">
        <v>691</v>
      </c>
      <c r="D121" s="3" t="s">
        <v>200</v>
      </c>
      <c r="E121" s="10" t="s">
        <v>1127</v>
      </c>
      <c r="F121" s="3" t="s">
        <v>288</v>
      </c>
      <c r="G121" s="17">
        <f>AVERAGE(0.033,0.055)</f>
        <v>4.3999999999999997E-2</v>
      </c>
      <c r="H121" s="3">
        <f>0.1*0.2</f>
        <v>2.0000000000000004E-2</v>
      </c>
      <c r="I121" s="77">
        <v>1.35</v>
      </c>
      <c r="J121" s="3" t="s">
        <v>690</v>
      </c>
      <c r="K121" s="8" t="s">
        <v>229</v>
      </c>
      <c r="M121" s="3" t="s">
        <v>200</v>
      </c>
      <c r="N121" s="3" t="s">
        <v>171</v>
      </c>
      <c r="O121" s="3" t="s">
        <v>358</v>
      </c>
      <c r="P12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21" s="3" t="s">
        <v>13</v>
      </c>
      <c r="Y121" s="4">
        <v>5.2</v>
      </c>
      <c r="Z121" s="4">
        <v>94</v>
      </c>
      <c r="AA121" s="5">
        <f t="shared" ref="AA121:AA166" si="8">Y121/Z121</f>
        <v>5.5319148936170216E-2</v>
      </c>
      <c r="AB121" s="5"/>
      <c r="AC12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21" s="97" t="str">
        <f>IF(Tabelle1[[#This Row],[Nicht einbezogen weil…]]="",IFERROR(1000*Tabelle1[[#This Row],[Formfaktor]]/Tabelle1[[#This Row],[Thickness '[mm']]],""),"")</f>
        <v/>
      </c>
      <c r="AE121" s="98" t="str">
        <f>IF(Tabelle1[[#This Row],[Nicht einbezogen weil…]]="",IFERROR(Tabelle1[[#This Row],[specific surface '[m^2/m^3']]]/Tabelle1[[#This Row],[Density 
'[g/cm3']]]/1000000,""),"")</f>
        <v/>
      </c>
      <c r="AF121" s="97" t="str">
        <f>IF(Tabelle1[[#This Row],[Nicht einbezogen weil…]]="",IFERROR(365*10*Tabelle1[[#This Row],[Abbaurate '[%/d']]]*Tabelle1[[#This Row],[Thickness '[mm']]]/Tabelle1[[#This Row],[Formfaktor]],""),"")</f>
        <v/>
      </c>
      <c r="AG121" s="99" t="str">
        <f>IF(OR(Tabelle1[[#This Row],[Nicht einbezogen weil…]]="",Tabelle1[[#This Row],[Nicht einbezogen weil…]]="nicht-natürlich"),IF(Tabelle1[[#This Row],[Formfaktor]]=2, 1,IF(Tabelle1[[#This Row],[Formfaktor]]=4,2,IF(Tabelle1[[#This Row],[Formfaktor]]=6,3,""))),"")</f>
        <v/>
      </c>
      <c r="AH12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2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21" s="71">
        <v>1</v>
      </c>
      <c r="AK12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21" s="3" t="s">
        <v>180</v>
      </c>
      <c r="AO121" s="3" t="s">
        <v>200</v>
      </c>
      <c r="AP121" s="3" t="s">
        <v>223</v>
      </c>
      <c r="AT121" s="10" t="s">
        <v>223</v>
      </c>
      <c r="AU121" s="13" t="s">
        <v>200</v>
      </c>
      <c r="AW121" s="10" t="s">
        <v>815</v>
      </c>
    </row>
    <row r="122" spans="1:49" ht="17.25" customHeight="1">
      <c r="B122" s="7" t="s">
        <v>779</v>
      </c>
      <c r="C122" s="3" t="s">
        <v>178</v>
      </c>
      <c r="D122" s="3" t="s">
        <v>200</v>
      </c>
      <c r="E122" s="10" t="s">
        <v>1127</v>
      </c>
      <c r="F122" s="3" t="s">
        <v>288</v>
      </c>
      <c r="G122" s="17">
        <f>AVERAGE(0.033,0.055)</f>
        <v>4.3999999999999997E-2</v>
      </c>
      <c r="H122" s="3">
        <f>0.1*0.2</f>
        <v>2.0000000000000004E-2</v>
      </c>
      <c r="I122" s="77">
        <v>1.35</v>
      </c>
      <c r="J122" s="3" t="s">
        <v>690</v>
      </c>
      <c r="K122" s="8" t="s">
        <v>229</v>
      </c>
      <c r="M122" s="3" t="s">
        <v>200</v>
      </c>
      <c r="N122" s="3" t="s">
        <v>171</v>
      </c>
      <c r="O122" s="3" t="s">
        <v>358</v>
      </c>
      <c r="P12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22" s="3" t="s">
        <v>13</v>
      </c>
      <c r="Y122" s="4">
        <v>4.9000000000000004</v>
      </c>
      <c r="Z122" s="4">
        <v>94</v>
      </c>
      <c r="AA122" s="5">
        <f t="shared" si="8"/>
        <v>5.2127659574468091E-2</v>
      </c>
      <c r="AB122" s="5"/>
      <c r="AC12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22" s="97" t="str">
        <f>IF(Tabelle1[[#This Row],[Nicht einbezogen weil…]]="",IFERROR(1000*Tabelle1[[#This Row],[Formfaktor]]/Tabelle1[[#This Row],[Thickness '[mm']]],""),"")</f>
        <v/>
      </c>
      <c r="AE122" s="98" t="str">
        <f>IF(Tabelle1[[#This Row],[Nicht einbezogen weil…]]="",IFERROR(Tabelle1[[#This Row],[specific surface '[m^2/m^3']]]/Tabelle1[[#This Row],[Density 
'[g/cm3']]]/1000000,""),"")</f>
        <v/>
      </c>
      <c r="AF122" s="97" t="str">
        <f>IF(Tabelle1[[#This Row],[Nicht einbezogen weil…]]="",IFERROR(365*10*Tabelle1[[#This Row],[Abbaurate '[%/d']]]*Tabelle1[[#This Row],[Thickness '[mm']]]/Tabelle1[[#This Row],[Formfaktor]],""),"")</f>
        <v/>
      </c>
      <c r="AG122" s="99" t="str">
        <f>IF(OR(Tabelle1[[#This Row],[Nicht einbezogen weil…]]="",Tabelle1[[#This Row],[Nicht einbezogen weil…]]="nicht-natürlich"),IF(Tabelle1[[#This Row],[Formfaktor]]=2, 1,IF(Tabelle1[[#This Row],[Formfaktor]]=4,2,IF(Tabelle1[[#This Row],[Formfaktor]]=6,3,""))),"")</f>
        <v/>
      </c>
      <c r="AH12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2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22" s="71">
        <v>1</v>
      </c>
      <c r="AK12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22" s="3" t="s">
        <v>180</v>
      </c>
      <c r="AO122" s="3" t="s">
        <v>200</v>
      </c>
      <c r="AP122" s="3" t="s">
        <v>223</v>
      </c>
      <c r="AT122" s="10" t="s">
        <v>223</v>
      </c>
      <c r="AU122" s="13" t="s">
        <v>200</v>
      </c>
      <c r="AW122" s="10" t="s">
        <v>815</v>
      </c>
    </row>
    <row r="123" spans="1:49" ht="15.75" customHeight="1">
      <c r="B123" s="7" t="s">
        <v>779</v>
      </c>
      <c r="C123" s="3" t="s">
        <v>694</v>
      </c>
      <c r="D123" s="3" t="s">
        <v>200</v>
      </c>
      <c r="E123" s="10" t="s">
        <v>1127</v>
      </c>
      <c r="F123" s="3" t="s">
        <v>288</v>
      </c>
      <c r="G123" s="17">
        <f>AVERAGE(0.033,0.055)</f>
        <v>4.3999999999999997E-2</v>
      </c>
      <c r="H123" s="3">
        <f>0.1*0.2</f>
        <v>2.0000000000000004E-2</v>
      </c>
      <c r="I123" s="77">
        <v>1.35</v>
      </c>
      <c r="J123" s="3" t="s">
        <v>693</v>
      </c>
      <c r="K123" s="8" t="s">
        <v>229</v>
      </c>
      <c r="M123" s="3" t="s">
        <v>200</v>
      </c>
      <c r="N123" s="3" t="s">
        <v>171</v>
      </c>
      <c r="O123" s="3" t="s">
        <v>358</v>
      </c>
      <c r="P12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23" s="3" t="s">
        <v>13</v>
      </c>
      <c r="Y123" s="4">
        <v>34.1</v>
      </c>
      <c r="Z123" s="4">
        <v>94</v>
      </c>
      <c r="AA123" s="5">
        <f t="shared" si="8"/>
        <v>0.36276595744680851</v>
      </c>
      <c r="AB123" s="5"/>
      <c r="AC12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23" s="97" t="str">
        <f>IF(Tabelle1[[#This Row],[Nicht einbezogen weil…]]="",IFERROR(1000*Tabelle1[[#This Row],[Formfaktor]]/Tabelle1[[#This Row],[Thickness '[mm']]],""),"")</f>
        <v/>
      </c>
      <c r="AE123" s="98" t="str">
        <f>IF(Tabelle1[[#This Row],[Nicht einbezogen weil…]]="",IFERROR(Tabelle1[[#This Row],[specific surface '[m^2/m^3']]]/Tabelle1[[#This Row],[Density 
'[g/cm3']]]/1000000,""),"")</f>
        <v/>
      </c>
      <c r="AF123" s="97" t="str">
        <f>IF(Tabelle1[[#This Row],[Nicht einbezogen weil…]]="",IFERROR(365*10*Tabelle1[[#This Row],[Abbaurate '[%/d']]]*Tabelle1[[#This Row],[Thickness '[mm']]]/Tabelle1[[#This Row],[Formfaktor]],""),"")</f>
        <v/>
      </c>
      <c r="AG123" s="99" t="str">
        <f>IF(OR(Tabelle1[[#This Row],[Nicht einbezogen weil…]]="",Tabelle1[[#This Row],[Nicht einbezogen weil…]]="nicht-natürlich"),IF(Tabelle1[[#This Row],[Formfaktor]]=2, 1,IF(Tabelle1[[#This Row],[Formfaktor]]=4,2,IF(Tabelle1[[#This Row],[Formfaktor]]=6,3,""))),"")</f>
        <v/>
      </c>
      <c r="AH12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2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23" s="71">
        <v>1</v>
      </c>
      <c r="AK12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23" s="3" t="s">
        <v>180</v>
      </c>
      <c r="AO123" s="3" t="s">
        <v>200</v>
      </c>
      <c r="AP123" s="3" t="s">
        <v>223</v>
      </c>
      <c r="AT123" s="10" t="s">
        <v>223</v>
      </c>
      <c r="AU123" s="13" t="s">
        <v>200</v>
      </c>
      <c r="AW123" s="10" t="s">
        <v>815</v>
      </c>
    </row>
    <row r="124" spans="1:49" ht="17.25" customHeight="1">
      <c r="B124" s="7" t="s">
        <v>779</v>
      </c>
      <c r="C124" s="3" t="s">
        <v>179</v>
      </c>
      <c r="D124" s="3" t="s">
        <v>200</v>
      </c>
      <c r="E124" s="10" t="s">
        <v>1127</v>
      </c>
      <c r="F124" s="3" t="s">
        <v>288</v>
      </c>
      <c r="G124" s="17">
        <f>AVERAGE(0.033,0.055)</f>
        <v>4.3999999999999997E-2</v>
      </c>
      <c r="H124" s="3">
        <f>0.1*0.2</f>
        <v>2.0000000000000004E-2</v>
      </c>
      <c r="I124" s="77">
        <v>1.35</v>
      </c>
      <c r="J124" s="3" t="s">
        <v>693</v>
      </c>
      <c r="K124" s="8" t="s">
        <v>229</v>
      </c>
      <c r="M124" s="3" t="s">
        <v>200</v>
      </c>
      <c r="N124" s="3" t="s">
        <v>171</v>
      </c>
      <c r="O124" s="3" t="s">
        <v>358</v>
      </c>
      <c r="P12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24" s="3" t="s">
        <v>13</v>
      </c>
      <c r="Y124" s="4">
        <v>12</v>
      </c>
      <c r="Z124" s="4">
        <v>94</v>
      </c>
      <c r="AA124" s="5">
        <f t="shared" si="8"/>
        <v>0.1276595744680851</v>
      </c>
      <c r="AB124" s="5"/>
      <c r="AC12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24" s="97" t="str">
        <f>IF(Tabelle1[[#This Row],[Nicht einbezogen weil…]]="",IFERROR(1000*Tabelle1[[#This Row],[Formfaktor]]/Tabelle1[[#This Row],[Thickness '[mm']]],""),"")</f>
        <v/>
      </c>
      <c r="AE124" s="98" t="str">
        <f>IF(Tabelle1[[#This Row],[Nicht einbezogen weil…]]="",IFERROR(Tabelle1[[#This Row],[specific surface '[m^2/m^3']]]/Tabelle1[[#This Row],[Density 
'[g/cm3']]]/1000000,""),"")</f>
        <v/>
      </c>
      <c r="AF124" s="97" t="str">
        <f>IF(Tabelle1[[#This Row],[Nicht einbezogen weil…]]="",IFERROR(365*10*Tabelle1[[#This Row],[Abbaurate '[%/d']]]*Tabelle1[[#This Row],[Thickness '[mm']]]/Tabelle1[[#This Row],[Formfaktor]],""),"")</f>
        <v/>
      </c>
      <c r="AG124" s="99" t="str">
        <f>IF(OR(Tabelle1[[#This Row],[Nicht einbezogen weil…]]="",Tabelle1[[#This Row],[Nicht einbezogen weil…]]="nicht-natürlich"),IF(Tabelle1[[#This Row],[Formfaktor]]=2, 1,IF(Tabelle1[[#This Row],[Formfaktor]]=4,2,IF(Tabelle1[[#This Row],[Formfaktor]]=6,3,""))),"")</f>
        <v/>
      </c>
      <c r="AH12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2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24" s="71">
        <v>1</v>
      </c>
      <c r="AK12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24" s="3" t="s">
        <v>180</v>
      </c>
      <c r="AO124" s="3" t="s">
        <v>200</v>
      </c>
      <c r="AP124" s="3" t="s">
        <v>223</v>
      </c>
      <c r="AT124" s="10" t="s">
        <v>223</v>
      </c>
      <c r="AU124" s="13" t="s">
        <v>200</v>
      </c>
      <c r="AW124" s="10" t="s">
        <v>815</v>
      </c>
    </row>
    <row r="125" spans="1:49" ht="17.25" customHeight="1">
      <c r="B125" s="7" t="s">
        <v>779</v>
      </c>
      <c r="C125" s="3" t="s">
        <v>692</v>
      </c>
      <c r="D125" s="3" t="s">
        <v>200</v>
      </c>
      <c r="E125" s="10" t="s">
        <v>1127</v>
      </c>
      <c r="F125" s="12" t="s">
        <v>288</v>
      </c>
      <c r="G125" s="59">
        <f>AVERAGE(0.033,0.055)</f>
        <v>4.3999999999999997E-2</v>
      </c>
      <c r="H125" s="12">
        <f>0.1*0.2</f>
        <v>2.0000000000000004E-2</v>
      </c>
      <c r="I125" s="77">
        <v>1.35</v>
      </c>
      <c r="J125" s="3" t="s">
        <v>693</v>
      </c>
      <c r="K125" s="8" t="s">
        <v>229</v>
      </c>
      <c r="M125" s="3" t="s">
        <v>200</v>
      </c>
      <c r="N125" s="3" t="s">
        <v>171</v>
      </c>
      <c r="O125" s="3" t="s">
        <v>358</v>
      </c>
      <c r="P12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25" s="3" t="s">
        <v>13</v>
      </c>
      <c r="Y125" s="4">
        <v>10.4</v>
      </c>
      <c r="Z125" s="4">
        <v>94</v>
      </c>
      <c r="AA125" s="5">
        <f t="shared" si="8"/>
        <v>0.11063829787234043</v>
      </c>
      <c r="AB125" s="5"/>
      <c r="AC12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25" s="97" t="str">
        <f>IF(Tabelle1[[#This Row],[Nicht einbezogen weil…]]="",IFERROR(1000*Tabelle1[[#This Row],[Formfaktor]]/Tabelle1[[#This Row],[Thickness '[mm']]],""),"")</f>
        <v/>
      </c>
      <c r="AE125" s="98" t="str">
        <f>IF(Tabelle1[[#This Row],[Nicht einbezogen weil…]]="",IFERROR(Tabelle1[[#This Row],[specific surface '[m^2/m^3']]]/Tabelle1[[#This Row],[Density 
'[g/cm3']]]/1000000,""),"")</f>
        <v/>
      </c>
      <c r="AF125" s="97" t="str">
        <f>IF(Tabelle1[[#This Row],[Nicht einbezogen weil…]]="",IFERROR(365*10*Tabelle1[[#This Row],[Abbaurate '[%/d']]]*Tabelle1[[#This Row],[Thickness '[mm']]]/Tabelle1[[#This Row],[Formfaktor]],""),"")</f>
        <v/>
      </c>
      <c r="AG125" s="99" t="str">
        <f>IF(OR(Tabelle1[[#This Row],[Nicht einbezogen weil…]]="",Tabelle1[[#This Row],[Nicht einbezogen weil…]]="nicht-natürlich"),IF(Tabelle1[[#This Row],[Formfaktor]]=2, 1,IF(Tabelle1[[#This Row],[Formfaktor]]=4,2,IF(Tabelle1[[#This Row],[Formfaktor]]=6,3,""))),"")</f>
        <v/>
      </c>
      <c r="AH12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2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25" s="71">
        <v>1</v>
      </c>
      <c r="AK12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25" s="3" t="s">
        <v>180</v>
      </c>
      <c r="AO125" s="3" t="s">
        <v>200</v>
      </c>
      <c r="AP125" s="3" t="s">
        <v>223</v>
      </c>
      <c r="AT125" s="10" t="s">
        <v>223</v>
      </c>
      <c r="AU125" s="13" t="s">
        <v>200</v>
      </c>
      <c r="AW125" s="10" t="s">
        <v>815</v>
      </c>
    </row>
    <row r="126" spans="1:49" ht="17.25" customHeight="1">
      <c r="B126" s="7" t="s">
        <v>42</v>
      </c>
      <c r="C126" s="3" t="s">
        <v>370</v>
      </c>
      <c r="D126" s="3" t="s">
        <v>223</v>
      </c>
      <c r="E126" s="10"/>
      <c r="F126" s="12" t="s">
        <v>371</v>
      </c>
      <c r="G126" s="59">
        <f>AVERAGE(0.5,0.7)</f>
        <v>0.6</v>
      </c>
      <c r="H126" s="12">
        <v>8.8999999999999999E-3</v>
      </c>
      <c r="I126" s="3">
        <v>1.1200000000000001</v>
      </c>
      <c r="J126" s="3" t="s">
        <v>552</v>
      </c>
      <c r="M126" s="3" t="s">
        <v>223</v>
      </c>
      <c r="N126" s="3" t="s">
        <v>162</v>
      </c>
      <c r="O126" s="19" t="s">
        <v>358</v>
      </c>
      <c r="P126"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26" s="4">
        <v>28</v>
      </c>
      <c r="R126" s="4" t="s">
        <v>373</v>
      </c>
      <c r="T126" s="4">
        <v>14.6</v>
      </c>
      <c r="W126" s="3" t="s">
        <v>90</v>
      </c>
      <c r="Y126" s="4">
        <v>93</v>
      </c>
      <c r="Z126" s="4">
        <v>140</v>
      </c>
      <c r="AA126" s="5">
        <f t="shared" si="8"/>
        <v>0.66428571428571426</v>
      </c>
      <c r="AB126" s="5"/>
      <c r="AC12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26" s="97" t="str">
        <f>IF(Tabelle1[[#This Row],[Nicht einbezogen weil…]]="",IFERROR(1000*Tabelle1[[#This Row],[Formfaktor]]/Tabelle1[[#This Row],[Thickness '[mm']]],""),"")</f>
        <v/>
      </c>
      <c r="AE126" s="98" t="str">
        <f>IF(Tabelle1[[#This Row],[Nicht einbezogen weil…]]="",IFERROR(Tabelle1[[#This Row],[specific surface '[m^2/m^3']]]/Tabelle1[[#This Row],[Density 
'[g/cm3']]]/1000000,""),"")</f>
        <v/>
      </c>
      <c r="AF126" s="97" t="str">
        <f>IF(Tabelle1[[#This Row],[Nicht einbezogen weil…]]="",IFERROR(365*10*Tabelle1[[#This Row],[Abbaurate '[%/d']]]*Tabelle1[[#This Row],[Thickness '[mm']]]/Tabelle1[[#This Row],[Formfaktor]],""),"")</f>
        <v/>
      </c>
      <c r="AG126" s="99">
        <f>IF(OR(Tabelle1[[#This Row],[Nicht einbezogen weil…]]="",Tabelle1[[#This Row],[Nicht einbezogen weil…]]="nicht-natürlich"),IF(Tabelle1[[#This Row],[Formfaktor]]=2, 1,IF(Tabelle1[[#This Row],[Formfaktor]]=4,2,IF(Tabelle1[[#This Row],[Formfaktor]]=6,3,""))),"")</f>
        <v>3</v>
      </c>
      <c r="AH126" s="97">
        <f>IF(OR(Tabelle1[[#This Row],[Nicht einbezogen weil…]]="",Tabelle1[[#This Row],[Nicht einbezogen weil…]]="nicht-natürlich"),IFERROR(Tabelle1[[#This Row],[Thickness '[mm']]]/Tabelle1[[#This Row],[Dauer des Abbaus
'[Tage']]]*1000*0.5*365*(1-(1-Tabelle1[[#This Row],[Abbaurate '[%/d']]]/100*Tabelle1[[#This Row],[Dauer des Abbaus
'[Tage']]])^(1/Tabelle1[[#This Row],[Exponent]])),""),"")</f>
        <v>459.79947119354483</v>
      </c>
      <c r="AI12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PBS_Boden/Kompost_nicht natürlich</v>
      </c>
      <c r="AJ126" s="71">
        <v>1</v>
      </c>
      <c r="AK12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126" s="3" t="s">
        <v>374</v>
      </c>
      <c r="AN126" s="3" t="s">
        <v>538</v>
      </c>
      <c r="AO126" s="3" t="s">
        <v>200</v>
      </c>
      <c r="AP126" s="3" t="s">
        <v>200</v>
      </c>
      <c r="AT126" s="10" t="s">
        <v>223</v>
      </c>
      <c r="AU126" s="13" t="s">
        <v>200</v>
      </c>
      <c r="AW126" s="10" t="s">
        <v>801</v>
      </c>
    </row>
    <row r="127" spans="1:49" ht="17.25" customHeight="1">
      <c r="B127" s="7" t="s">
        <v>42</v>
      </c>
      <c r="C127" s="3" t="s">
        <v>370</v>
      </c>
      <c r="D127" s="3" t="s">
        <v>223</v>
      </c>
      <c r="E127" s="10"/>
      <c r="F127" s="12" t="s">
        <v>371</v>
      </c>
      <c r="G127" s="59">
        <f>AVERAGE(0.2,0.355)</f>
        <v>0.27749999999999997</v>
      </c>
      <c r="H127" s="12">
        <v>1.9300000000000001E-2</v>
      </c>
      <c r="I127" s="3">
        <v>1.1200000000000001</v>
      </c>
      <c r="J127" s="3" t="s">
        <v>552</v>
      </c>
      <c r="M127" s="3" t="s">
        <v>223</v>
      </c>
      <c r="N127" s="3" t="s">
        <v>162</v>
      </c>
      <c r="O127" s="19" t="s">
        <v>358</v>
      </c>
      <c r="P127"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27" s="4">
        <v>28</v>
      </c>
      <c r="R127" s="4" t="s">
        <v>373</v>
      </c>
      <c r="T127" s="4">
        <v>14.6</v>
      </c>
      <c r="W127" s="3" t="s">
        <v>90</v>
      </c>
      <c r="Y127" s="4">
        <v>92</v>
      </c>
      <c r="Z127" s="4">
        <v>140</v>
      </c>
      <c r="AA127" s="5">
        <f t="shared" si="8"/>
        <v>0.65714285714285714</v>
      </c>
      <c r="AB127" s="5"/>
      <c r="AC12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27" s="97" t="str">
        <f>IF(Tabelle1[[#This Row],[Nicht einbezogen weil…]]="",IFERROR(1000*Tabelle1[[#This Row],[Formfaktor]]/Tabelle1[[#This Row],[Thickness '[mm']]],""),"")</f>
        <v/>
      </c>
      <c r="AE127" s="98" t="str">
        <f>IF(Tabelle1[[#This Row],[Nicht einbezogen weil…]]="",IFERROR(Tabelle1[[#This Row],[specific surface '[m^2/m^3']]]/Tabelle1[[#This Row],[Density 
'[g/cm3']]]/1000000,""),"")</f>
        <v/>
      </c>
      <c r="AF127" s="97" t="str">
        <f>IF(Tabelle1[[#This Row],[Nicht einbezogen weil…]]="",IFERROR(365*10*Tabelle1[[#This Row],[Abbaurate '[%/d']]]*Tabelle1[[#This Row],[Thickness '[mm']]]/Tabelle1[[#This Row],[Formfaktor]],""),"")</f>
        <v/>
      </c>
      <c r="AG127" s="99">
        <f>IF(OR(Tabelle1[[#This Row],[Nicht einbezogen weil…]]="",Tabelle1[[#This Row],[Nicht einbezogen weil…]]="nicht-natürlich"),IF(Tabelle1[[#This Row],[Formfaktor]]=2, 1,IF(Tabelle1[[#This Row],[Formfaktor]]=4,2,IF(Tabelle1[[#This Row],[Formfaktor]]=6,3,""))),"")</f>
        <v>3</v>
      </c>
      <c r="AH127" s="97">
        <f>IF(OR(Tabelle1[[#This Row],[Nicht einbezogen weil…]]="",Tabelle1[[#This Row],[Nicht einbezogen weil…]]="nicht-natürlich"),IFERROR(Tabelle1[[#This Row],[Thickness '[mm']]]/Tabelle1[[#This Row],[Dauer des Abbaus
'[Tage']]]*1000*0.5*365*(1-(1-Tabelle1[[#This Row],[Abbaurate '[%/d']]]/100*Tabelle1[[#This Row],[Dauer des Abbaus
'[Tage']]])^(1/Tabelle1[[#This Row],[Exponent]])),""),"")</f>
        <v>205.87156880956823</v>
      </c>
      <c r="AI12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PBS_Boden/Kompost_nicht natürlich</v>
      </c>
      <c r="AJ127" s="71">
        <v>1</v>
      </c>
      <c r="AK12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127" s="3" t="s">
        <v>374</v>
      </c>
      <c r="AN127" s="3" t="s">
        <v>538</v>
      </c>
      <c r="AO127" s="3" t="s">
        <v>200</v>
      </c>
      <c r="AP127" s="3" t="s">
        <v>200</v>
      </c>
      <c r="AT127" s="10" t="s">
        <v>223</v>
      </c>
      <c r="AU127" s="13" t="s">
        <v>200</v>
      </c>
      <c r="AW127" s="10" t="s">
        <v>802</v>
      </c>
    </row>
    <row r="128" spans="1:49" ht="17.25" customHeight="1">
      <c r="B128" s="7" t="s">
        <v>42</v>
      </c>
      <c r="C128" s="3" t="s">
        <v>370</v>
      </c>
      <c r="D128" s="3" t="s">
        <v>223</v>
      </c>
      <c r="E128" s="10"/>
      <c r="F128" s="12" t="s">
        <v>371</v>
      </c>
      <c r="G128" s="12">
        <f>AVERAGE(0.05,0.075)</f>
        <v>6.25E-2</v>
      </c>
      <c r="H128" s="12">
        <v>8.2500000000000004E-2</v>
      </c>
      <c r="I128" s="3">
        <v>1.1200000000000001</v>
      </c>
      <c r="J128" s="3" t="s">
        <v>552</v>
      </c>
      <c r="M128" s="3" t="s">
        <v>223</v>
      </c>
      <c r="N128" s="3" t="s">
        <v>162</v>
      </c>
      <c r="O128" s="19" t="s">
        <v>358</v>
      </c>
      <c r="P128"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28" s="4">
        <v>28</v>
      </c>
      <c r="R128" s="4" t="s">
        <v>373</v>
      </c>
      <c r="T128" s="4">
        <v>14.6</v>
      </c>
      <c r="W128" s="3" t="s">
        <v>90</v>
      </c>
      <c r="Y128" s="4">
        <v>90</v>
      </c>
      <c r="Z128" s="4">
        <v>140</v>
      </c>
      <c r="AA128" s="5">
        <f t="shared" si="8"/>
        <v>0.6428571428571429</v>
      </c>
      <c r="AB128" s="5"/>
      <c r="AC12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28" s="97" t="str">
        <f>IF(Tabelle1[[#This Row],[Nicht einbezogen weil…]]="",IFERROR(1000*Tabelle1[[#This Row],[Formfaktor]]/Tabelle1[[#This Row],[Thickness '[mm']]],""),"")</f>
        <v/>
      </c>
      <c r="AE128" s="98" t="str">
        <f>IF(Tabelle1[[#This Row],[Nicht einbezogen weil…]]="",IFERROR(Tabelle1[[#This Row],[specific surface '[m^2/m^3']]]/Tabelle1[[#This Row],[Density 
'[g/cm3']]]/1000000,""),"")</f>
        <v/>
      </c>
      <c r="AF128" s="97" t="str">
        <f>IF(Tabelle1[[#This Row],[Nicht einbezogen weil…]]="",IFERROR(365*10*Tabelle1[[#This Row],[Abbaurate '[%/d']]]*Tabelle1[[#This Row],[Thickness '[mm']]]/Tabelle1[[#This Row],[Formfaktor]],""),"")</f>
        <v/>
      </c>
      <c r="AG128" s="99">
        <f>IF(OR(Tabelle1[[#This Row],[Nicht einbezogen weil…]]="",Tabelle1[[#This Row],[Nicht einbezogen weil…]]="nicht-natürlich"),IF(Tabelle1[[#This Row],[Formfaktor]]=2, 1,IF(Tabelle1[[#This Row],[Formfaktor]]=4,2,IF(Tabelle1[[#This Row],[Formfaktor]]=6,3,""))),"")</f>
        <v>3</v>
      </c>
      <c r="AH128" s="97">
        <f>IF(OR(Tabelle1[[#This Row],[Nicht einbezogen weil…]]="",Tabelle1[[#This Row],[Nicht einbezogen weil…]]="nicht-natürlich"),IFERROR(Tabelle1[[#This Row],[Thickness '[mm']]]/Tabelle1[[#This Row],[Dauer des Abbaus
'[Tage']]]*1000*0.5*365*(1-(1-Tabelle1[[#This Row],[Abbaurate '[%/d']]]/100*Tabelle1[[#This Row],[Dauer des Abbaus
'[Tage']]])^(1/Tabelle1[[#This Row],[Exponent]])),""),"")</f>
        <v>43.656698119003046</v>
      </c>
      <c r="AI12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PBS_Boden/Kompost_nicht natürlich</v>
      </c>
      <c r="AJ128" s="71">
        <v>1</v>
      </c>
      <c r="AK12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128" s="3" t="s">
        <v>374</v>
      </c>
      <c r="AN128" s="3" t="s">
        <v>538</v>
      </c>
      <c r="AO128" s="3" t="s">
        <v>200</v>
      </c>
      <c r="AP128" s="3" t="s">
        <v>200</v>
      </c>
      <c r="AT128" s="10" t="s">
        <v>223</v>
      </c>
      <c r="AU128" s="13" t="s">
        <v>200</v>
      </c>
      <c r="AW128" s="10" t="s">
        <v>803</v>
      </c>
    </row>
    <row r="129" spans="1:48" ht="17.25" customHeight="1">
      <c r="B129" s="7" t="s">
        <v>42</v>
      </c>
      <c r="C129" s="3" t="s">
        <v>370</v>
      </c>
      <c r="D129" s="3" t="s">
        <v>223</v>
      </c>
      <c r="E129" s="10"/>
      <c r="F129" s="12" t="s">
        <v>331</v>
      </c>
      <c r="G129" s="12" t="s">
        <v>341</v>
      </c>
      <c r="H129" s="12">
        <v>3.3E-3</v>
      </c>
      <c r="I129" s="3">
        <v>1.1200000000000001</v>
      </c>
      <c r="J129" s="3" t="s">
        <v>372</v>
      </c>
      <c r="M129" s="3" t="s">
        <v>223</v>
      </c>
      <c r="N129" s="3" t="s">
        <v>162</v>
      </c>
      <c r="O129" s="19" t="s">
        <v>358</v>
      </c>
      <c r="P129"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29" s="4">
        <v>28</v>
      </c>
      <c r="R129" s="4" t="s">
        <v>373</v>
      </c>
      <c r="T129" s="4">
        <v>14.6</v>
      </c>
      <c r="W129" s="3" t="s">
        <v>90</v>
      </c>
      <c r="Y129" s="4">
        <v>65</v>
      </c>
      <c r="Z129" s="4">
        <v>140</v>
      </c>
      <c r="AA129" s="5">
        <f t="shared" si="8"/>
        <v>0.4642857142857143</v>
      </c>
      <c r="AB129" s="5"/>
      <c r="AC12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29" s="97" t="str">
        <f>IF(Tabelle1[[#This Row],[Nicht einbezogen weil…]]="",IFERROR(1000*Tabelle1[[#This Row],[Formfaktor]]/Tabelle1[[#This Row],[Thickness '[mm']]],""),"")</f>
        <v/>
      </c>
      <c r="AE129" s="98" t="str">
        <f>IF(Tabelle1[[#This Row],[Nicht einbezogen weil…]]="",IFERROR(Tabelle1[[#This Row],[specific surface '[m^2/m^3']]]/Tabelle1[[#This Row],[Density 
'[g/cm3']]]/1000000,""),"")</f>
        <v/>
      </c>
      <c r="AF129" s="97" t="str">
        <f>IF(Tabelle1[[#This Row],[Nicht einbezogen weil…]]="",IFERROR(365*10*Tabelle1[[#This Row],[Abbaurate '[%/d']]]*Tabelle1[[#This Row],[Thickness '[mm']]]/Tabelle1[[#This Row],[Formfaktor]],""),"")</f>
        <v/>
      </c>
      <c r="AG129" s="99" t="str">
        <f>IF(OR(Tabelle1[[#This Row],[Nicht einbezogen weil…]]="",Tabelle1[[#This Row],[Nicht einbezogen weil…]]="nicht-natürlich"),IF(Tabelle1[[#This Row],[Formfaktor]]=2, 1,IF(Tabelle1[[#This Row],[Formfaktor]]=4,2,IF(Tabelle1[[#This Row],[Formfaktor]]=6,3,""))),"")</f>
        <v/>
      </c>
      <c r="AH12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2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29" s="71">
        <v>1</v>
      </c>
      <c r="AK12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29" s="3" t="s">
        <v>374</v>
      </c>
      <c r="AN129" s="3" t="s">
        <v>538</v>
      </c>
      <c r="AO129" s="3" t="s">
        <v>200</v>
      </c>
      <c r="AP129" s="3" t="s">
        <v>200</v>
      </c>
      <c r="AT129" s="10" t="s">
        <v>223</v>
      </c>
      <c r="AU129" s="13" t="s">
        <v>200</v>
      </c>
    </row>
    <row r="130" spans="1:48" ht="17.25" customHeight="1">
      <c r="A130" s="10" t="s">
        <v>200</v>
      </c>
      <c r="B130" s="109" t="s">
        <v>67</v>
      </c>
      <c r="C130" s="3" t="s">
        <v>67</v>
      </c>
      <c r="D130" s="3" t="s">
        <v>223</v>
      </c>
      <c r="E130" s="10"/>
      <c r="F130" s="3" t="s">
        <v>996</v>
      </c>
      <c r="G130" s="3">
        <v>0.03</v>
      </c>
      <c r="H130" s="3" t="s">
        <v>341</v>
      </c>
      <c r="I130" s="24">
        <v>0.92649999999999999</v>
      </c>
      <c r="K130" s="8" t="s">
        <v>229</v>
      </c>
      <c r="M130" s="3" t="s">
        <v>200</v>
      </c>
      <c r="N130" s="3" t="s">
        <v>1069</v>
      </c>
      <c r="O130" s="3" t="s">
        <v>23</v>
      </c>
      <c r="P13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30" s="9" t="s">
        <v>1073</v>
      </c>
      <c r="R130" s="4">
        <v>8.1999999999999993</v>
      </c>
      <c r="W130" s="3" t="s">
        <v>13</v>
      </c>
      <c r="X130" s="3" t="s">
        <v>1067</v>
      </c>
      <c r="Y130" s="4">
        <v>0</v>
      </c>
      <c r="Z130" s="4">
        <v>678</v>
      </c>
      <c r="AA130" s="5">
        <f t="shared" si="8"/>
        <v>0</v>
      </c>
      <c r="AB130" s="5"/>
      <c r="AC13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30" s="5">
        <f>IF(Tabelle1[[#This Row],[Nicht einbezogen weil…]]="",IFERROR(1000*Tabelle1[[#This Row],[Formfaktor]]/Tabelle1[[#This Row],[Thickness '[mm']]],""),"")</f>
        <v>66666.666666666672</v>
      </c>
      <c r="AE130" s="5">
        <f>IF(Tabelle1[[#This Row],[Nicht einbezogen weil…]]="",IFERROR(Tabelle1[[#This Row],[specific surface '[m^2/m^3']]]/Tabelle1[[#This Row],[Density 
'[g/cm3']]]/1000000,""),"")</f>
        <v>7.1955387659651024E-2</v>
      </c>
      <c r="AF130" s="5">
        <f>IF(Tabelle1[[#This Row],[Nicht einbezogen weil…]]="",IFERROR(365*10*Tabelle1[[#This Row],[Abbaurate '[%/d']]]*Tabelle1[[#This Row],[Thickness '[mm']]]/Tabelle1[[#This Row],[Formfaktor]],""),"")</f>
        <v>0</v>
      </c>
      <c r="AG130" s="328">
        <f>IF(OR(Tabelle1[[#This Row],[Nicht einbezogen weil…]]="",Tabelle1[[#This Row],[Nicht einbezogen weil…]]="nicht-natürlich"),IF(Tabelle1[[#This Row],[Formfaktor]]=2, 1,IF(Tabelle1[[#This Row],[Formfaktor]]=4,2,IF(Tabelle1[[#This Row],[Formfaktor]]=6,3,""))),"")</f>
        <v>1</v>
      </c>
      <c r="AH130" s="352">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3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LDPE_Meerwasser_natürlich</v>
      </c>
      <c r="AJ130" s="6">
        <v>1</v>
      </c>
      <c r="AK13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30" s="3" t="s">
        <v>1076</v>
      </c>
      <c r="AN130" s="3" t="s">
        <v>1065</v>
      </c>
      <c r="AO130" s="3" t="s">
        <v>200</v>
      </c>
      <c r="AP130" s="3" t="s">
        <v>200</v>
      </c>
      <c r="AT130" s="10" t="s">
        <v>223</v>
      </c>
      <c r="AU130" s="13" t="s">
        <v>200</v>
      </c>
    </row>
    <row r="131" spans="1:48" ht="17.25" customHeight="1">
      <c r="A131" s="10" t="s">
        <v>200</v>
      </c>
      <c r="B131" s="109" t="s">
        <v>67</v>
      </c>
      <c r="C131" s="3" t="s">
        <v>67</v>
      </c>
      <c r="D131" s="3" t="s">
        <v>223</v>
      </c>
      <c r="E131" s="10"/>
      <c r="F131" s="3" t="s">
        <v>996</v>
      </c>
      <c r="G131" s="3">
        <v>0.03</v>
      </c>
      <c r="H131" s="3" t="s">
        <v>341</v>
      </c>
      <c r="I131" s="24">
        <v>0.92649999999999999</v>
      </c>
      <c r="K131" s="8" t="s">
        <v>229</v>
      </c>
      <c r="M131" s="3" t="s">
        <v>200</v>
      </c>
      <c r="N131" s="3" t="s">
        <v>1070</v>
      </c>
      <c r="O131" s="3" t="s">
        <v>1104</v>
      </c>
      <c r="P13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31" s="9" t="s">
        <v>1074</v>
      </c>
      <c r="R131" s="4">
        <v>8.1999999999999993</v>
      </c>
      <c r="W131" s="3" t="s">
        <v>13</v>
      </c>
      <c r="X131" s="3" t="s">
        <v>1067</v>
      </c>
      <c r="Y131" s="4">
        <v>0</v>
      </c>
      <c r="Z131" s="4">
        <v>678</v>
      </c>
      <c r="AA131" s="5">
        <f t="shared" si="8"/>
        <v>0</v>
      </c>
      <c r="AB131" s="5"/>
      <c r="AC13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31" s="5">
        <f>IF(Tabelle1[[#This Row],[Nicht einbezogen weil…]]="",IFERROR(1000*Tabelle1[[#This Row],[Formfaktor]]/Tabelle1[[#This Row],[Thickness '[mm']]],""),"")</f>
        <v>66666.666666666672</v>
      </c>
      <c r="AE131" s="5">
        <f>IF(Tabelle1[[#This Row],[Nicht einbezogen weil…]]="",IFERROR(Tabelle1[[#This Row],[specific surface '[m^2/m^3']]]/Tabelle1[[#This Row],[Density 
'[g/cm3']]]/1000000,""),"")</f>
        <v>7.1955387659651024E-2</v>
      </c>
      <c r="AF131" s="5">
        <f>IF(Tabelle1[[#This Row],[Nicht einbezogen weil…]]="",IFERROR(365*10*Tabelle1[[#This Row],[Abbaurate '[%/d']]]*Tabelle1[[#This Row],[Thickness '[mm']]]/Tabelle1[[#This Row],[Formfaktor]],""),"")</f>
        <v>0</v>
      </c>
      <c r="AG131" s="328">
        <f>IF(OR(Tabelle1[[#This Row],[Nicht einbezogen weil…]]="",Tabelle1[[#This Row],[Nicht einbezogen weil…]]="nicht-natürlich"),IF(Tabelle1[[#This Row],[Formfaktor]]=2, 1,IF(Tabelle1[[#This Row],[Formfaktor]]=4,2,IF(Tabelle1[[#This Row],[Formfaktor]]=6,3,""))),"")</f>
        <v>1</v>
      </c>
      <c r="AH131"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3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LDPE_Benthic_natürlich</v>
      </c>
      <c r="AJ131" s="6">
        <v>1</v>
      </c>
      <c r="AK13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31" s="3" t="s">
        <v>1076</v>
      </c>
      <c r="AN131" s="3" t="s">
        <v>1065</v>
      </c>
      <c r="AO131" s="3" t="s">
        <v>200</v>
      </c>
      <c r="AP131" s="3" t="s">
        <v>200</v>
      </c>
      <c r="AT131" s="10" t="s">
        <v>223</v>
      </c>
      <c r="AU131" s="13" t="s">
        <v>200</v>
      </c>
    </row>
    <row r="132" spans="1:48" ht="17.25" customHeight="1">
      <c r="A132" s="10" t="s">
        <v>200</v>
      </c>
      <c r="B132" s="109" t="s">
        <v>67</v>
      </c>
      <c r="D132" s="3" t="s">
        <v>223</v>
      </c>
      <c r="F132" s="3" t="s">
        <v>996</v>
      </c>
      <c r="G132" s="3">
        <v>0.03</v>
      </c>
      <c r="J132" s="3" t="s">
        <v>1365</v>
      </c>
      <c r="K132" s="8" t="s">
        <v>1375</v>
      </c>
      <c r="L132" s="3" t="s">
        <v>223</v>
      </c>
      <c r="M132" s="12" t="s">
        <v>301</v>
      </c>
      <c r="N132" s="3" t="s">
        <v>1380</v>
      </c>
      <c r="O132" s="3" t="s">
        <v>1104</v>
      </c>
      <c r="P13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32" s="4" t="s">
        <v>1373</v>
      </c>
      <c r="R132" s="4" t="s">
        <v>1371</v>
      </c>
      <c r="T132" s="4" t="s">
        <v>1370</v>
      </c>
      <c r="V132" s="4" t="s">
        <v>734</v>
      </c>
      <c r="W132" s="12" t="s">
        <v>190</v>
      </c>
      <c r="Y132" s="4">
        <v>4</v>
      </c>
      <c r="Z132" s="4">
        <v>313</v>
      </c>
      <c r="AA132" s="5">
        <f t="shared" si="8"/>
        <v>1.2779552715654952E-2</v>
      </c>
      <c r="AB132" s="5"/>
      <c r="AC13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32" s="5">
        <f>IF(Tabelle1[[#This Row],[Nicht einbezogen weil…]]="",IFERROR(1000*Tabelle1[[#This Row],[Formfaktor]]/Tabelle1[[#This Row],[Thickness '[mm']]],""),"")</f>
        <v>66666.666666666672</v>
      </c>
      <c r="AE132" s="5" t="str">
        <f>IF(Tabelle1[[#This Row],[Nicht einbezogen weil…]]="",IFERROR(Tabelle1[[#This Row],[specific surface '[m^2/m^3']]]/Tabelle1[[#This Row],[Density 
'[g/cm3']]]/1000000,""),"")</f>
        <v/>
      </c>
      <c r="AF132" s="5">
        <f>IF(Tabelle1[[#This Row],[Nicht einbezogen weil…]]="",IFERROR(365*10*Tabelle1[[#This Row],[Abbaurate '[%/d']]]*Tabelle1[[#This Row],[Thickness '[mm']]]/Tabelle1[[#This Row],[Formfaktor]],""),"")</f>
        <v>0.69968051118210861</v>
      </c>
      <c r="AG132" s="328">
        <f>IF(OR(Tabelle1[[#This Row],[Nicht einbezogen weil…]]="",Tabelle1[[#This Row],[Nicht einbezogen weil…]]="nicht-natürlich"),IF(Tabelle1[[#This Row],[Formfaktor]]=2, 1,IF(Tabelle1[[#This Row],[Formfaktor]]=4,2,IF(Tabelle1[[#This Row],[Formfaktor]]=6,3,""))),"")</f>
        <v>1</v>
      </c>
      <c r="AH132" s="5">
        <f>IF(OR(Tabelle1[[#This Row],[Nicht einbezogen weil…]]="",Tabelle1[[#This Row],[Nicht einbezogen weil…]]="nicht-natürlich"),IFERROR(Tabelle1[[#This Row],[Thickness '[mm']]]/Tabelle1[[#This Row],[Dauer des Abbaus
'[Tage']]]*1000*0.5*365*(1-(1-Tabelle1[[#This Row],[Abbaurate '[%/d']]]/100*Tabelle1[[#This Row],[Dauer des Abbaus
'[Tage']]])^(1/Tabelle1[[#This Row],[Exponent]])),""),"")</f>
        <v>0.69968051118210928</v>
      </c>
      <c r="AI13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LDPE_Benthic_natürlich</v>
      </c>
      <c r="AJ132" s="6">
        <v>1</v>
      </c>
      <c r="AK13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32" s="3" t="s">
        <v>1366</v>
      </c>
      <c r="AU132" s="13"/>
    </row>
    <row r="133" spans="1:48" ht="17.25" customHeight="1">
      <c r="A133" s="10" t="s">
        <v>200</v>
      </c>
      <c r="B133" s="109" t="s">
        <v>67</v>
      </c>
      <c r="D133" s="3" t="s">
        <v>223</v>
      </c>
      <c r="F133" s="3" t="s">
        <v>996</v>
      </c>
      <c r="G133" s="3">
        <v>0.03</v>
      </c>
      <c r="J133" s="3" t="s">
        <v>1365</v>
      </c>
      <c r="K133" s="8" t="s">
        <v>1376</v>
      </c>
      <c r="L133" s="3" t="s">
        <v>223</v>
      </c>
      <c r="M133" s="12" t="s">
        <v>301</v>
      </c>
      <c r="N133" s="3" t="s">
        <v>1383</v>
      </c>
      <c r="O133" s="3" t="s">
        <v>1104</v>
      </c>
      <c r="P13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33" s="4" t="s">
        <v>1373</v>
      </c>
      <c r="R133" s="4" t="s">
        <v>1371</v>
      </c>
      <c r="T133" s="4" t="s">
        <v>1370</v>
      </c>
      <c r="V133" s="4" t="s">
        <v>734</v>
      </c>
      <c r="W133" s="12" t="s">
        <v>190</v>
      </c>
      <c r="Y133" s="4">
        <v>0</v>
      </c>
      <c r="Z133" s="4">
        <v>240</v>
      </c>
      <c r="AA133" s="5">
        <f t="shared" si="8"/>
        <v>0</v>
      </c>
      <c r="AB133" s="5"/>
      <c r="AC13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33" s="5">
        <f>IF(Tabelle1[[#This Row],[Nicht einbezogen weil…]]="",IFERROR(1000*Tabelle1[[#This Row],[Formfaktor]]/Tabelle1[[#This Row],[Thickness '[mm']]],""),"")</f>
        <v>66666.666666666672</v>
      </c>
      <c r="AE133" s="5" t="str">
        <f>IF(Tabelle1[[#This Row],[Nicht einbezogen weil…]]="",IFERROR(Tabelle1[[#This Row],[specific surface '[m^2/m^3']]]/Tabelle1[[#This Row],[Density 
'[g/cm3']]]/1000000,""),"")</f>
        <v/>
      </c>
      <c r="AF133" s="5">
        <f>IF(Tabelle1[[#This Row],[Nicht einbezogen weil…]]="",IFERROR(365*10*Tabelle1[[#This Row],[Abbaurate '[%/d']]]*Tabelle1[[#This Row],[Thickness '[mm']]]/Tabelle1[[#This Row],[Formfaktor]],""),"")</f>
        <v>0</v>
      </c>
      <c r="AG133" s="328">
        <f>IF(OR(Tabelle1[[#This Row],[Nicht einbezogen weil…]]="",Tabelle1[[#This Row],[Nicht einbezogen weil…]]="nicht-natürlich"),IF(Tabelle1[[#This Row],[Formfaktor]]=2, 1,IF(Tabelle1[[#This Row],[Formfaktor]]=4,2,IF(Tabelle1[[#This Row],[Formfaktor]]=6,3,""))),"")</f>
        <v>1</v>
      </c>
      <c r="AH133"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3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LDPE_Benthic_natürlich</v>
      </c>
      <c r="AJ133" s="6">
        <v>1</v>
      </c>
      <c r="AK13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33" s="3" t="s">
        <v>1366</v>
      </c>
      <c r="AU133" s="13"/>
    </row>
    <row r="134" spans="1:48" ht="17.25" customHeight="1">
      <c r="A134" s="10" t="s">
        <v>200</v>
      </c>
      <c r="B134" s="109" t="s">
        <v>67</v>
      </c>
      <c r="D134" s="3" t="s">
        <v>223</v>
      </c>
      <c r="F134" s="3" t="s">
        <v>996</v>
      </c>
      <c r="G134" s="3">
        <v>0.03</v>
      </c>
      <c r="J134" s="3" t="s">
        <v>1365</v>
      </c>
      <c r="K134" s="8" t="s">
        <v>1377</v>
      </c>
      <c r="L134" s="3" t="s">
        <v>223</v>
      </c>
      <c r="M134" s="12" t="s">
        <v>301</v>
      </c>
      <c r="N134" s="3" t="s">
        <v>1383</v>
      </c>
      <c r="O134" s="3" t="s">
        <v>1104</v>
      </c>
      <c r="P13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34" s="4" t="s">
        <v>1373</v>
      </c>
      <c r="R134" s="4" t="s">
        <v>1371</v>
      </c>
      <c r="T134" s="4" t="s">
        <v>1370</v>
      </c>
      <c r="V134" s="4" t="s">
        <v>734</v>
      </c>
      <c r="W134" s="12" t="s">
        <v>190</v>
      </c>
      <c r="Y134" s="4">
        <v>1.8</v>
      </c>
      <c r="Z134" s="4">
        <v>134</v>
      </c>
      <c r="AA134" s="5">
        <f t="shared" si="8"/>
        <v>1.3432835820895522E-2</v>
      </c>
      <c r="AB134" s="5"/>
      <c r="AC13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34" s="5">
        <f>IF(Tabelle1[[#This Row],[Nicht einbezogen weil…]]="",IFERROR(1000*Tabelle1[[#This Row],[Formfaktor]]/Tabelle1[[#This Row],[Thickness '[mm']]],""),"")</f>
        <v>66666.666666666672</v>
      </c>
      <c r="AE134" s="5" t="str">
        <f>IF(Tabelle1[[#This Row],[Nicht einbezogen weil…]]="",IFERROR(Tabelle1[[#This Row],[specific surface '[m^2/m^3']]]/Tabelle1[[#This Row],[Density 
'[g/cm3']]]/1000000,""),"")</f>
        <v/>
      </c>
      <c r="AF134" s="5">
        <f>IF(Tabelle1[[#This Row],[Nicht einbezogen weil…]]="",IFERROR(365*10*Tabelle1[[#This Row],[Abbaurate '[%/d']]]*Tabelle1[[#This Row],[Thickness '[mm']]]/Tabelle1[[#This Row],[Formfaktor]],""),"")</f>
        <v>0.73544776119402988</v>
      </c>
      <c r="AG134" s="328">
        <f>IF(OR(Tabelle1[[#This Row],[Nicht einbezogen weil…]]="",Tabelle1[[#This Row],[Nicht einbezogen weil…]]="nicht-natürlich"),IF(Tabelle1[[#This Row],[Formfaktor]]=2, 1,IF(Tabelle1[[#This Row],[Formfaktor]]=4,2,IF(Tabelle1[[#This Row],[Formfaktor]]=6,3,""))),"")</f>
        <v>1</v>
      </c>
      <c r="AH134" s="5">
        <f>IF(OR(Tabelle1[[#This Row],[Nicht einbezogen weil…]]="",Tabelle1[[#This Row],[Nicht einbezogen weil…]]="nicht-natürlich"),IFERROR(Tabelle1[[#This Row],[Thickness '[mm']]]/Tabelle1[[#This Row],[Dauer des Abbaus
'[Tage']]]*1000*0.5*365*(1-(1-Tabelle1[[#This Row],[Abbaurate '[%/d']]]/100*Tabelle1[[#This Row],[Dauer des Abbaus
'[Tage']]])^(1/Tabelle1[[#This Row],[Exponent]])),""),"")</f>
        <v>0.73544776119403044</v>
      </c>
      <c r="AI13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LDPE_Benthic_natürlich</v>
      </c>
      <c r="AJ134" s="6">
        <v>1</v>
      </c>
      <c r="AK13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34" s="3" t="s">
        <v>1366</v>
      </c>
      <c r="AU134" s="13"/>
    </row>
    <row r="135" spans="1:48" ht="17.25" customHeight="1">
      <c r="A135" s="10" t="s">
        <v>200</v>
      </c>
      <c r="B135" s="109" t="s">
        <v>67</v>
      </c>
      <c r="D135" s="3" t="s">
        <v>223</v>
      </c>
      <c r="F135" s="3" t="s">
        <v>996</v>
      </c>
      <c r="G135" s="3">
        <v>0.03</v>
      </c>
      <c r="J135" s="3" t="s">
        <v>1365</v>
      </c>
      <c r="K135" s="8" t="s">
        <v>1378</v>
      </c>
      <c r="L135" s="3" t="s">
        <v>223</v>
      </c>
      <c r="M135" s="12" t="s">
        <v>301</v>
      </c>
      <c r="N135" s="3" t="s">
        <v>1383</v>
      </c>
      <c r="O135" s="3" t="s">
        <v>1104</v>
      </c>
      <c r="P13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35" s="4" t="s">
        <v>1373</v>
      </c>
      <c r="R135" s="4" t="s">
        <v>1371</v>
      </c>
      <c r="T135" s="4" t="s">
        <v>1370</v>
      </c>
      <c r="V135" s="4" t="s">
        <v>734</v>
      </c>
      <c r="W135" s="12" t="s">
        <v>190</v>
      </c>
      <c r="Y135" s="4">
        <v>2.74</v>
      </c>
      <c r="Z135" s="4">
        <v>224</v>
      </c>
      <c r="AA135" s="5">
        <f t="shared" si="8"/>
        <v>1.2232142857142858E-2</v>
      </c>
      <c r="AB135" s="5"/>
      <c r="AC13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35" s="5">
        <f>IF(Tabelle1[[#This Row],[Nicht einbezogen weil…]]="",IFERROR(1000*Tabelle1[[#This Row],[Formfaktor]]/Tabelle1[[#This Row],[Thickness '[mm']]],""),"")</f>
        <v>66666.666666666672</v>
      </c>
      <c r="AE135" s="5" t="str">
        <f>IF(Tabelle1[[#This Row],[Nicht einbezogen weil…]]="",IFERROR(Tabelle1[[#This Row],[specific surface '[m^2/m^3']]]/Tabelle1[[#This Row],[Density 
'[g/cm3']]]/1000000,""),"")</f>
        <v/>
      </c>
      <c r="AF135" s="5">
        <f>IF(Tabelle1[[#This Row],[Nicht einbezogen weil…]]="",IFERROR(365*10*Tabelle1[[#This Row],[Abbaurate '[%/d']]]*Tabelle1[[#This Row],[Thickness '[mm']]]/Tabelle1[[#This Row],[Formfaktor]],""),"")</f>
        <v>0.66970982142857138</v>
      </c>
      <c r="AG135" s="328">
        <f>IF(OR(Tabelle1[[#This Row],[Nicht einbezogen weil…]]="",Tabelle1[[#This Row],[Nicht einbezogen weil…]]="nicht-natürlich"),IF(Tabelle1[[#This Row],[Formfaktor]]=2, 1,IF(Tabelle1[[#This Row],[Formfaktor]]=4,2,IF(Tabelle1[[#This Row],[Formfaktor]]=6,3,""))),"")</f>
        <v>1</v>
      </c>
      <c r="AH135" s="5">
        <f>IF(OR(Tabelle1[[#This Row],[Nicht einbezogen weil…]]="",Tabelle1[[#This Row],[Nicht einbezogen weil…]]="nicht-natürlich"),IFERROR(Tabelle1[[#This Row],[Thickness '[mm']]]/Tabelle1[[#This Row],[Dauer des Abbaus
'[Tage']]]*1000*0.5*365*(1-(1-Tabelle1[[#This Row],[Abbaurate '[%/d']]]/100*Tabelle1[[#This Row],[Dauer des Abbaus
'[Tage']]])^(1/Tabelle1[[#This Row],[Exponent]])),""),"")</f>
        <v>0.66970982142857094</v>
      </c>
      <c r="AI13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LDPE_Benthic_natürlich</v>
      </c>
      <c r="AJ135" s="6">
        <v>1</v>
      </c>
      <c r="AK13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35" s="3" t="s">
        <v>1366</v>
      </c>
      <c r="AU135" s="13"/>
    </row>
    <row r="136" spans="1:48" ht="17.25" customHeight="1">
      <c r="A136" s="10" t="s">
        <v>200</v>
      </c>
      <c r="B136" s="109" t="s">
        <v>67</v>
      </c>
      <c r="D136" s="3" t="s">
        <v>223</v>
      </c>
      <c r="F136" s="3" t="s">
        <v>996</v>
      </c>
      <c r="G136" s="3">
        <v>0.03</v>
      </c>
      <c r="J136" s="3" t="s">
        <v>1365</v>
      </c>
      <c r="K136" s="8" t="s">
        <v>1379</v>
      </c>
      <c r="L136" s="3" t="s">
        <v>223</v>
      </c>
      <c r="M136" s="12" t="s">
        <v>301</v>
      </c>
      <c r="N136" s="3" t="s">
        <v>1383</v>
      </c>
      <c r="O136" s="3" t="s">
        <v>1104</v>
      </c>
      <c r="P13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36" s="4" t="s">
        <v>1373</v>
      </c>
      <c r="R136" s="4" t="s">
        <v>1371</v>
      </c>
      <c r="T136" s="4" t="s">
        <v>1370</v>
      </c>
      <c r="V136" s="4" t="s">
        <v>734</v>
      </c>
      <c r="W136" s="12" t="s">
        <v>190</v>
      </c>
      <c r="Y136" s="4">
        <v>3.4</v>
      </c>
      <c r="Z136" s="4">
        <v>257</v>
      </c>
      <c r="AA136" s="5">
        <f t="shared" si="8"/>
        <v>1.3229571984435798E-2</v>
      </c>
      <c r="AB136" s="5"/>
      <c r="AC13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36" s="5">
        <f>IF(Tabelle1[[#This Row],[Nicht einbezogen weil…]]="",IFERROR(1000*Tabelle1[[#This Row],[Formfaktor]]/Tabelle1[[#This Row],[Thickness '[mm']]],""),"")</f>
        <v>66666.666666666672</v>
      </c>
      <c r="AE136" s="5" t="str">
        <f>IF(Tabelle1[[#This Row],[Nicht einbezogen weil…]]="",IFERROR(Tabelle1[[#This Row],[specific surface '[m^2/m^3']]]/Tabelle1[[#This Row],[Density 
'[g/cm3']]]/1000000,""),"")</f>
        <v/>
      </c>
      <c r="AF136" s="5">
        <f>IF(Tabelle1[[#This Row],[Nicht einbezogen weil…]]="",IFERROR(365*10*Tabelle1[[#This Row],[Abbaurate '[%/d']]]*Tabelle1[[#This Row],[Thickness '[mm']]]/Tabelle1[[#This Row],[Formfaktor]],""),"")</f>
        <v>0.7243190661478599</v>
      </c>
      <c r="AG136" s="328">
        <f>IF(OR(Tabelle1[[#This Row],[Nicht einbezogen weil…]]="",Tabelle1[[#This Row],[Nicht einbezogen weil…]]="nicht-natürlich"),IF(Tabelle1[[#This Row],[Formfaktor]]=2, 1,IF(Tabelle1[[#This Row],[Formfaktor]]=4,2,IF(Tabelle1[[#This Row],[Formfaktor]]=6,3,""))),"")</f>
        <v>1</v>
      </c>
      <c r="AH136" s="5">
        <f>IF(OR(Tabelle1[[#This Row],[Nicht einbezogen weil…]]="",Tabelle1[[#This Row],[Nicht einbezogen weil…]]="nicht-natürlich"),IFERROR(Tabelle1[[#This Row],[Thickness '[mm']]]/Tabelle1[[#This Row],[Dauer des Abbaus
'[Tage']]]*1000*0.5*365*(1-(1-Tabelle1[[#This Row],[Abbaurate '[%/d']]]/100*Tabelle1[[#This Row],[Dauer des Abbaus
'[Tage']]])^(1/Tabelle1[[#This Row],[Exponent]])),""),"")</f>
        <v>0.72431906614786057</v>
      </c>
      <c r="AI13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LDPE_Benthic_natürlich</v>
      </c>
      <c r="AJ136" s="6">
        <v>1</v>
      </c>
      <c r="AK13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36" s="3" t="s">
        <v>1366</v>
      </c>
      <c r="AU136" s="13"/>
    </row>
    <row r="137" spans="1:48" ht="17.25" customHeight="1">
      <c r="A137" s="10" t="s">
        <v>200</v>
      </c>
      <c r="B137" s="109" t="s">
        <v>67</v>
      </c>
      <c r="D137" s="3" t="s">
        <v>223</v>
      </c>
      <c r="F137" s="3" t="s">
        <v>996</v>
      </c>
      <c r="G137" s="3">
        <v>0.03</v>
      </c>
      <c r="J137" s="3" t="s">
        <v>1365</v>
      </c>
      <c r="K137" s="8" t="s">
        <v>1382</v>
      </c>
      <c r="L137" s="3" t="s">
        <v>223</v>
      </c>
      <c r="M137" s="12" t="s">
        <v>301</v>
      </c>
      <c r="N137" s="3" t="s">
        <v>1380</v>
      </c>
      <c r="O137" s="3" t="s">
        <v>1104</v>
      </c>
      <c r="P13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37" s="4" t="s">
        <v>1373</v>
      </c>
      <c r="R137" s="4" t="s">
        <v>1371</v>
      </c>
      <c r="T137" s="4" t="s">
        <v>1370</v>
      </c>
      <c r="V137" s="4" t="s">
        <v>734</v>
      </c>
      <c r="W137" s="12" t="s">
        <v>190</v>
      </c>
      <c r="Y137" s="4">
        <v>0</v>
      </c>
      <c r="Z137" s="4">
        <v>248</v>
      </c>
      <c r="AA137" s="5">
        <f t="shared" si="8"/>
        <v>0</v>
      </c>
      <c r="AB137" s="5"/>
      <c r="AC13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37" s="5">
        <f>IF(Tabelle1[[#This Row],[Nicht einbezogen weil…]]="",IFERROR(1000*Tabelle1[[#This Row],[Formfaktor]]/Tabelle1[[#This Row],[Thickness '[mm']]],""),"")</f>
        <v>66666.666666666672</v>
      </c>
      <c r="AE137" s="5" t="str">
        <f>IF(Tabelle1[[#This Row],[Nicht einbezogen weil…]]="",IFERROR(Tabelle1[[#This Row],[specific surface '[m^2/m^3']]]/Tabelle1[[#This Row],[Density 
'[g/cm3']]]/1000000,""),"")</f>
        <v/>
      </c>
      <c r="AF137" s="5">
        <f>IF(Tabelle1[[#This Row],[Nicht einbezogen weil…]]="",IFERROR(365*10*Tabelle1[[#This Row],[Abbaurate '[%/d']]]*Tabelle1[[#This Row],[Thickness '[mm']]]/Tabelle1[[#This Row],[Formfaktor]],""),"")</f>
        <v>0</v>
      </c>
      <c r="AG137" s="328">
        <f>IF(OR(Tabelle1[[#This Row],[Nicht einbezogen weil…]]="",Tabelle1[[#This Row],[Nicht einbezogen weil…]]="nicht-natürlich"),IF(Tabelle1[[#This Row],[Formfaktor]]=2, 1,IF(Tabelle1[[#This Row],[Formfaktor]]=4,2,IF(Tabelle1[[#This Row],[Formfaktor]]=6,3,""))),"")</f>
        <v>1</v>
      </c>
      <c r="AH137"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3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LDPE_Benthic_natürlich</v>
      </c>
      <c r="AJ137" s="6">
        <v>1</v>
      </c>
      <c r="AK13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37" s="3" t="s">
        <v>1366</v>
      </c>
      <c r="AU137" s="13"/>
    </row>
    <row r="138" spans="1:48" ht="17.25" customHeight="1">
      <c r="B138" s="7" t="s">
        <v>42</v>
      </c>
      <c r="C138" s="3" t="s">
        <v>42</v>
      </c>
      <c r="D138" s="3" t="s">
        <v>223</v>
      </c>
      <c r="E138" s="10"/>
      <c r="F138" s="12" t="s">
        <v>331</v>
      </c>
      <c r="G138" s="12" t="s">
        <v>341</v>
      </c>
      <c r="H138" s="12" t="s">
        <v>341</v>
      </c>
      <c r="I138" s="3">
        <v>1.22</v>
      </c>
      <c r="L138" s="3" t="s">
        <v>509</v>
      </c>
      <c r="M138" s="3" t="s">
        <v>301</v>
      </c>
      <c r="N138" s="3" t="s">
        <v>507</v>
      </c>
      <c r="O138" s="3" t="s">
        <v>358</v>
      </c>
      <c r="P13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38" s="4" t="s">
        <v>172</v>
      </c>
      <c r="T138" s="4" t="s">
        <v>173</v>
      </c>
      <c r="W138" s="3" t="s">
        <v>13</v>
      </c>
      <c r="Y138" s="4">
        <v>12</v>
      </c>
      <c r="Z138" s="4">
        <v>80</v>
      </c>
      <c r="AA138" s="5">
        <f t="shared" si="8"/>
        <v>0.15</v>
      </c>
      <c r="AB138" s="5"/>
      <c r="AC13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38" s="97" t="str">
        <f>IF(Tabelle1[[#This Row],[Nicht einbezogen weil…]]="",IFERROR(1000*Tabelle1[[#This Row],[Formfaktor]]/Tabelle1[[#This Row],[Thickness '[mm']]],""),"")</f>
        <v/>
      </c>
      <c r="AE138" s="98" t="str">
        <f>IF(Tabelle1[[#This Row],[Nicht einbezogen weil…]]="",IFERROR(Tabelle1[[#This Row],[specific surface '[m^2/m^3']]]/Tabelle1[[#This Row],[Density 
'[g/cm3']]]/1000000,""),"")</f>
        <v/>
      </c>
      <c r="AF138" s="97" t="str">
        <f>IF(Tabelle1[[#This Row],[Nicht einbezogen weil…]]="",IFERROR(365*10*Tabelle1[[#This Row],[Abbaurate '[%/d']]]*Tabelle1[[#This Row],[Thickness '[mm']]]/Tabelle1[[#This Row],[Formfaktor]],""),"")</f>
        <v/>
      </c>
      <c r="AG138" s="99" t="str">
        <f>IF(OR(Tabelle1[[#This Row],[Nicht einbezogen weil…]]="",Tabelle1[[#This Row],[Nicht einbezogen weil…]]="nicht-natürlich"),IF(Tabelle1[[#This Row],[Formfaktor]]=2, 1,IF(Tabelle1[[#This Row],[Formfaktor]]=4,2,IF(Tabelle1[[#This Row],[Formfaktor]]=6,3,""))),"")</f>
        <v/>
      </c>
      <c r="AH13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3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38" s="71">
        <v>1</v>
      </c>
      <c r="AK13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38" s="3" t="s">
        <v>174</v>
      </c>
      <c r="AO138" s="3" t="s">
        <v>200</v>
      </c>
      <c r="AP138" s="3" t="s">
        <v>200</v>
      </c>
      <c r="AT138" s="10" t="s">
        <v>223</v>
      </c>
      <c r="AU138" s="13" t="s">
        <v>200</v>
      </c>
    </row>
    <row r="139" spans="1:48" ht="17.25" customHeight="1">
      <c r="B139" s="7" t="s">
        <v>42</v>
      </c>
      <c r="C139" s="3" t="s">
        <v>42</v>
      </c>
      <c r="D139" s="3" t="s">
        <v>223</v>
      </c>
      <c r="E139" s="10"/>
      <c r="F139" s="12" t="s">
        <v>565</v>
      </c>
      <c r="G139" s="12" t="s">
        <v>341</v>
      </c>
      <c r="H139" s="12" t="s">
        <v>341</v>
      </c>
      <c r="I139" s="3">
        <v>1.22</v>
      </c>
      <c r="K139" s="8" t="s">
        <v>229</v>
      </c>
      <c r="M139" s="3" t="s">
        <v>301</v>
      </c>
      <c r="N139" s="3" t="s">
        <v>171</v>
      </c>
      <c r="O139" s="3" t="s">
        <v>358</v>
      </c>
      <c r="P13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39" s="4" t="s">
        <v>172</v>
      </c>
      <c r="S139" s="4" t="s">
        <v>175</v>
      </c>
      <c r="W139" s="3" t="s">
        <v>13</v>
      </c>
      <c r="Y139" s="4">
        <v>9</v>
      </c>
      <c r="Z139" s="4">
        <v>180</v>
      </c>
      <c r="AA139" s="5">
        <f t="shared" si="8"/>
        <v>0.05</v>
      </c>
      <c r="AB139" s="5"/>
      <c r="AC139"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39" s="97" t="str">
        <f>IF(Tabelle1[[#This Row],[Nicht einbezogen weil…]]="",IFERROR(1000*Tabelle1[[#This Row],[Formfaktor]]/Tabelle1[[#This Row],[Thickness '[mm']]],""),"")</f>
        <v/>
      </c>
      <c r="AE139" s="98" t="str">
        <f>IF(Tabelle1[[#This Row],[Nicht einbezogen weil…]]="",IFERROR(Tabelle1[[#This Row],[specific surface '[m^2/m^3']]]/Tabelle1[[#This Row],[Density 
'[g/cm3']]]/1000000,""),"")</f>
        <v/>
      </c>
      <c r="AF139" s="97" t="str">
        <f>IF(Tabelle1[[#This Row],[Nicht einbezogen weil…]]="",IFERROR(365*10*Tabelle1[[#This Row],[Abbaurate '[%/d']]]*Tabelle1[[#This Row],[Thickness '[mm']]]/Tabelle1[[#This Row],[Formfaktor]],""),"")</f>
        <v/>
      </c>
      <c r="AG139" s="99" t="str">
        <f>IF(OR(Tabelle1[[#This Row],[Nicht einbezogen weil…]]="",Tabelle1[[#This Row],[Nicht einbezogen weil…]]="nicht-natürlich"),IF(Tabelle1[[#This Row],[Formfaktor]]=2, 1,IF(Tabelle1[[#This Row],[Formfaktor]]=4,2,IF(Tabelle1[[#This Row],[Formfaktor]]=6,3,""))),"")</f>
        <v/>
      </c>
      <c r="AH13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3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39" s="71">
        <v>1</v>
      </c>
      <c r="AK13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39" s="3" t="s">
        <v>176</v>
      </c>
      <c r="AO139" s="3" t="s">
        <v>200</v>
      </c>
      <c r="AP139" s="3" t="s">
        <v>200</v>
      </c>
      <c r="AT139" s="10" t="s">
        <v>223</v>
      </c>
      <c r="AU139" s="13" t="s">
        <v>200</v>
      </c>
      <c r="AV139" s="14"/>
    </row>
    <row r="140" spans="1:48" ht="17.25" customHeight="1">
      <c r="A140" s="10" t="s">
        <v>200</v>
      </c>
      <c r="B140" s="109" t="s">
        <v>67</v>
      </c>
      <c r="D140" s="3" t="s">
        <v>223</v>
      </c>
      <c r="F140" s="3" t="s">
        <v>996</v>
      </c>
      <c r="G140" s="3">
        <v>0.03</v>
      </c>
      <c r="J140" s="3" t="s">
        <v>1365</v>
      </c>
      <c r="K140" s="8" t="s">
        <v>1381</v>
      </c>
      <c r="L140" s="3" t="s">
        <v>223</v>
      </c>
      <c r="M140" s="12" t="s">
        <v>301</v>
      </c>
      <c r="N140" s="3" t="s">
        <v>1380</v>
      </c>
      <c r="O140" s="3" t="s">
        <v>1104</v>
      </c>
      <c r="P14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40" s="4" t="s">
        <v>1373</v>
      </c>
      <c r="R140" s="4" t="s">
        <v>1371</v>
      </c>
      <c r="T140" s="4" t="s">
        <v>1370</v>
      </c>
      <c r="V140" s="4" t="s">
        <v>734</v>
      </c>
      <c r="W140" s="12" t="s">
        <v>190</v>
      </c>
      <c r="Y140" s="4">
        <v>0</v>
      </c>
      <c r="Z140" s="4">
        <v>210</v>
      </c>
      <c r="AA140" s="5">
        <f t="shared" si="8"/>
        <v>0</v>
      </c>
      <c r="AB140" s="5"/>
      <c r="AC14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40" s="5">
        <f>IF(Tabelle1[[#This Row],[Nicht einbezogen weil…]]="",IFERROR(1000*Tabelle1[[#This Row],[Formfaktor]]/Tabelle1[[#This Row],[Thickness '[mm']]],""),"")</f>
        <v>66666.666666666672</v>
      </c>
      <c r="AE140" s="5" t="str">
        <f>IF(Tabelle1[[#This Row],[Nicht einbezogen weil…]]="",IFERROR(Tabelle1[[#This Row],[specific surface '[m^2/m^3']]]/Tabelle1[[#This Row],[Density 
'[g/cm3']]]/1000000,""),"")</f>
        <v/>
      </c>
      <c r="AF140" s="5">
        <f>IF(Tabelle1[[#This Row],[Nicht einbezogen weil…]]="",IFERROR(365*10*Tabelle1[[#This Row],[Abbaurate '[%/d']]]*Tabelle1[[#This Row],[Thickness '[mm']]]/Tabelle1[[#This Row],[Formfaktor]],""),"")</f>
        <v>0</v>
      </c>
      <c r="AG140" s="328">
        <f>IF(OR(Tabelle1[[#This Row],[Nicht einbezogen weil…]]="",Tabelle1[[#This Row],[Nicht einbezogen weil…]]="nicht-natürlich"),IF(Tabelle1[[#This Row],[Formfaktor]]=2, 1,IF(Tabelle1[[#This Row],[Formfaktor]]=4,2,IF(Tabelle1[[#This Row],[Formfaktor]]=6,3,""))),"")</f>
        <v>1</v>
      </c>
      <c r="AH140"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4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LDPE_Benthic_natürlich</v>
      </c>
      <c r="AJ140" s="6">
        <v>1</v>
      </c>
      <c r="AK14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40" s="3" t="s">
        <v>1366</v>
      </c>
      <c r="AU140" s="13"/>
    </row>
    <row r="141" spans="1:48" ht="17.25" customHeight="1">
      <c r="B141" s="7" t="s">
        <v>42</v>
      </c>
      <c r="C141" s="3" t="s">
        <v>42</v>
      </c>
      <c r="D141" s="3" t="s">
        <v>223</v>
      </c>
      <c r="E141" s="10"/>
      <c r="F141" s="12" t="s">
        <v>331</v>
      </c>
      <c r="G141" s="12" t="s">
        <v>341</v>
      </c>
      <c r="H141" s="12" t="s">
        <v>341</v>
      </c>
      <c r="I141" s="3">
        <v>1.22</v>
      </c>
      <c r="M141" s="3" t="s">
        <v>200</v>
      </c>
      <c r="N141" s="3" t="s">
        <v>508</v>
      </c>
      <c r="O141" s="3" t="s">
        <v>358</v>
      </c>
      <c r="P14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41" s="3" t="s">
        <v>13</v>
      </c>
      <c r="Y141" s="4">
        <v>3</v>
      </c>
      <c r="Z141" s="4">
        <v>80</v>
      </c>
      <c r="AA141" s="5">
        <f t="shared" si="8"/>
        <v>3.7499999999999999E-2</v>
      </c>
      <c r="AB141" s="5"/>
      <c r="AC14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41" s="97" t="str">
        <f>IF(Tabelle1[[#This Row],[Nicht einbezogen weil…]]="",IFERROR(1000*Tabelle1[[#This Row],[Formfaktor]]/Tabelle1[[#This Row],[Thickness '[mm']]],""),"")</f>
        <v/>
      </c>
      <c r="AE141" s="98" t="str">
        <f>IF(Tabelle1[[#This Row],[Nicht einbezogen weil…]]="",IFERROR(Tabelle1[[#This Row],[specific surface '[m^2/m^3']]]/Tabelle1[[#This Row],[Density 
'[g/cm3']]]/1000000,""),"")</f>
        <v/>
      </c>
      <c r="AF141" s="97" t="str">
        <f>IF(Tabelle1[[#This Row],[Nicht einbezogen weil…]]="",IFERROR(365*10*Tabelle1[[#This Row],[Abbaurate '[%/d']]]*Tabelle1[[#This Row],[Thickness '[mm']]]/Tabelle1[[#This Row],[Formfaktor]],""),"")</f>
        <v/>
      </c>
      <c r="AG141" s="99" t="str">
        <f>IF(OR(Tabelle1[[#This Row],[Nicht einbezogen weil…]]="",Tabelle1[[#This Row],[Nicht einbezogen weil…]]="nicht-natürlich"),IF(Tabelle1[[#This Row],[Formfaktor]]=2, 1,IF(Tabelle1[[#This Row],[Formfaktor]]=4,2,IF(Tabelle1[[#This Row],[Formfaktor]]=6,3,""))),"")</f>
        <v/>
      </c>
      <c r="AH14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4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41" s="71">
        <v>1</v>
      </c>
      <c r="AK14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41" s="3" t="s">
        <v>174</v>
      </c>
      <c r="AN141" s="3" t="s">
        <v>538</v>
      </c>
      <c r="AO141" s="3" t="s">
        <v>200</v>
      </c>
      <c r="AP141" s="3" t="s">
        <v>200</v>
      </c>
      <c r="AT141" s="10" t="s">
        <v>223</v>
      </c>
      <c r="AU141" s="13" t="s">
        <v>200</v>
      </c>
    </row>
    <row r="142" spans="1:48" ht="17.25" customHeight="1">
      <c r="A142" s="10" t="s">
        <v>200</v>
      </c>
      <c r="B142" s="109" t="s">
        <v>67</v>
      </c>
      <c r="D142" s="3" t="s">
        <v>223</v>
      </c>
      <c r="F142" s="3" t="s">
        <v>996</v>
      </c>
      <c r="G142" s="3">
        <v>0.03</v>
      </c>
      <c r="J142" s="3" t="s">
        <v>1365</v>
      </c>
      <c r="K142" s="8" t="s">
        <v>1375</v>
      </c>
      <c r="L142" s="3" t="s">
        <v>223</v>
      </c>
      <c r="M142" s="12" t="s">
        <v>301</v>
      </c>
      <c r="N142" s="3" t="s">
        <v>1385</v>
      </c>
      <c r="O142" s="3" t="s">
        <v>23</v>
      </c>
      <c r="P14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42" s="4" t="s">
        <v>1373</v>
      </c>
      <c r="R142" s="4" t="s">
        <v>1372</v>
      </c>
      <c r="V142" s="4" t="s">
        <v>734</v>
      </c>
      <c r="W142" s="12" t="s">
        <v>190</v>
      </c>
      <c r="Y142" s="4">
        <v>0</v>
      </c>
      <c r="Z142" s="4">
        <v>180</v>
      </c>
      <c r="AA142" s="5">
        <f t="shared" si="8"/>
        <v>0</v>
      </c>
      <c r="AB142" s="5"/>
      <c r="AC14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42" s="5">
        <f>IF(Tabelle1[[#This Row],[Nicht einbezogen weil…]]="",IFERROR(1000*Tabelle1[[#This Row],[Formfaktor]]/Tabelle1[[#This Row],[Thickness '[mm']]],""),"")</f>
        <v>66666.666666666672</v>
      </c>
      <c r="AE142" s="5" t="str">
        <f>IF(Tabelle1[[#This Row],[Nicht einbezogen weil…]]="",IFERROR(Tabelle1[[#This Row],[specific surface '[m^2/m^3']]]/Tabelle1[[#This Row],[Density 
'[g/cm3']]]/1000000,""),"")</f>
        <v/>
      </c>
      <c r="AF142" s="5">
        <f>IF(Tabelle1[[#This Row],[Nicht einbezogen weil…]]="",IFERROR(365*10*Tabelle1[[#This Row],[Abbaurate '[%/d']]]*Tabelle1[[#This Row],[Thickness '[mm']]]/Tabelle1[[#This Row],[Formfaktor]],""),"")</f>
        <v>0</v>
      </c>
      <c r="AG142" s="328">
        <f>IF(OR(Tabelle1[[#This Row],[Nicht einbezogen weil…]]="",Tabelle1[[#This Row],[Nicht einbezogen weil…]]="nicht-natürlich"),IF(Tabelle1[[#This Row],[Formfaktor]]=2, 1,IF(Tabelle1[[#This Row],[Formfaktor]]=4,2,IF(Tabelle1[[#This Row],[Formfaktor]]=6,3,""))),"")</f>
        <v>1</v>
      </c>
      <c r="AH142"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4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LDPE_Meerwasser_natürlich</v>
      </c>
      <c r="AJ142" s="6">
        <v>1</v>
      </c>
      <c r="AK14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42" s="3" t="s">
        <v>1366</v>
      </c>
      <c r="AU142" s="13"/>
    </row>
    <row r="143" spans="1:48" ht="17.25" customHeight="1">
      <c r="A143" s="10" t="s">
        <v>200</v>
      </c>
      <c r="B143" s="109" t="s">
        <v>67</v>
      </c>
      <c r="D143" s="3" t="s">
        <v>223</v>
      </c>
      <c r="F143" s="3" t="s">
        <v>996</v>
      </c>
      <c r="G143" s="3">
        <v>0.03</v>
      </c>
      <c r="J143" s="3" t="s">
        <v>1365</v>
      </c>
      <c r="K143" s="8" t="s">
        <v>1376</v>
      </c>
      <c r="N143" s="3" t="s">
        <v>1384</v>
      </c>
      <c r="O143" s="3" t="s">
        <v>23</v>
      </c>
      <c r="P14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43" s="4" t="s">
        <v>1373</v>
      </c>
      <c r="R143" s="4" t="s">
        <v>1372</v>
      </c>
      <c r="V143" s="4" t="s">
        <v>734</v>
      </c>
      <c r="W143" s="12" t="s">
        <v>190</v>
      </c>
      <c r="Y143" s="4">
        <v>0</v>
      </c>
      <c r="Z143" s="4">
        <v>180</v>
      </c>
      <c r="AA143" s="5">
        <f t="shared" si="8"/>
        <v>0</v>
      </c>
      <c r="AB143" s="5"/>
      <c r="AC14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43" s="5">
        <f>IF(Tabelle1[[#This Row],[Nicht einbezogen weil…]]="",IFERROR(1000*Tabelle1[[#This Row],[Formfaktor]]/Tabelle1[[#This Row],[Thickness '[mm']]],""),"")</f>
        <v>66666.666666666672</v>
      </c>
      <c r="AE143" s="5" t="str">
        <f>IF(Tabelle1[[#This Row],[Nicht einbezogen weil…]]="",IFERROR(Tabelle1[[#This Row],[specific surface '[m^2/m^3']]]/Tabelle1[[#This Row],[Density 
'[g/cm3']]]/1000000,""),"")</f>
        <v/>
      </c>
      <c r="AF143" s="5">
        <f>IF(Tabelle1[[#This Row],[Nicht einbezogen weil…]]="",IFERROR(365*10*Tabelle1[[#This Row],[Abbaurate '[%/d']]]*Tabelle1[[#This Row],[Thickness '[mm']]]/Tabelle1[[#This Row],[Formfaktor]],""),"")</f>
        <v>0</v>
      </c>
      <c r="AG143" s="328">
        <f>IF(OR(Tabelle1[[#This Row],[Nicht einbezogen weil…]]="",Tabelle1[[#This Row],[Nicht einbezogen weil…]]="nicht-natürlich"),IF(Tabelle1[[#This Row],[Formfaktor]]=2, 1,IF(Tabelle1[[#This Row],[Formfaktor]]=4,2,IF(Tabelle1[[#This Row],[Formfaktor]]=6,3,""))),"")</f>
        <v>1</v>
      </c>
      <c r="AH143"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4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LDPE_Meerwasser_nicht natürlich</v>
      </c>
      <c r="AJ143" s="6">
        <v>1</v>
      </c>
      <c r="AK14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43" s="3" t="s">
        <v>1366</v>
      </c>
      <c r="AU143" s="13"/>
    </row>
    <row r="144" spans="1:48" ht="17.25" customHeight="1">
      <c r="B144" s="7" t="s">
        <v>42</v>
      </c>
      <c r="C144" s="3" t="s">
        <v>50</v>
      </c>
      <c r="E144" s="10"/>
      <c r="F144" s="3" t="s">
        <v>241</v>
      </c>
      <c r="G144" s="3" t="s">
        <v>341</v>
      </c>
      <c r="I144" s="17" t="s">
        <v>596</v>
      </c>
      <c r="M144" s="3" t="s">
        <v>223</v>
      </c>
      <c r="N144" s="3" t="s">
        <v>3</v>
      </c>
      <c r="O144" s="3" t="s">
        <v>358</v>
      </c>
      <c r="P14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44" s="4">
        <v>58</v>
      </c>
      <c r="R144" s="337"/>
      <c r="T144" s="4">
        <v>65</v>
      </c>
      <c r="W144" s="3" t="s">
        <v>90</v>
      </c>
      <c r="Y144" s="4">
        <v>20</v>
      </c>
      <c r="Z144" s="4">
        <v>45</v>
      </c>
      <c r="AA144" s="5">
        <f t="shared" si="8"/>
        <v>0.44444444444444442</v>
      </c>
      <c r="AB144" s="5"/>
      <c r="AC14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44" s="97" t="str">
        <f>IF(Tabelle1[[#This Row],[Nicht einbezogen weil…]]="",IFERROR(1000*Tabelle1[[#This Row],[Formfaktor]]/Tabelle1[[#This Row],[Thickness '[mm']]],""),"")</f>
        <v/>
      </c>
      <c r="AE144" s="98" t="str">
        <f>IF(Tabelle1[[#This Row],[Nicht einbezogen weil…]]="",IFERROR(Tabelle1[[#This Row],[specific surface '[m^2/m^3']]]/Tabelle1[[#This Row],[Density 
'[g/cm3']]]/1000000,""),"")</f>
        <v/>
      </c>
      <c r="AF144" s="97" t="str">
        <f>IF(Tabelle1[[#This Row],[Nicht einbezogen weil…]]="",IFERROR(365*10*Tabelle1[[#This Row],[Abbaurate '[%/d']]]*Tabelle1[[#This Row],[Thickness '[mm']]]/Tabelle1[[#This Row],[Formfaktor]],""),"")</f>
        <v/>
      </c>
      <c r="AG144" s="99" t="str">
        <f>IF(OR(Tabelle1[[#This Row],[Nicht einbezogen weil…]]="",Tabelle1[[#This Row],[Nicht einbezogen weil…]]="nicht-natürlich"),IF(Tabelle1[[#This Row],[Formfaktor]]=2, 1,IF(Tabelle1[[#This Row],[Formfaktor]]=4,2,IF(Tabelle1[[#This Row],[Formfaktor]]=6,3,""))),"")</f>
        <v/>
      </c>
      <c r="AH14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4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44" s="6">
        <v>0</v>
      </c>
      <c r="AK14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144" s="3" t="s">
        <v>181</v>
      </c>
      <c r="AO144" s="3" t="s">
        <v>223</v>
      </c>
      <c r="AP144" s="3" t="s">
        <v>223</v>
      </c>
      <c r="AT144" s="10" t="s">
        <v>223</v>
      </c>
      <c r="AU144" s="76" t="s">
        <v>695</v>
      </c>
      <c r="AV144" s="10" t="s">
        <v>589</v>
      </c>
    </row>
    <row r="145" spans="2:49" ht="17.25" customHeight="1">
      <c r="B145" s="7" t="s">
        <v>42</v>
      </c>
      <c r="C145" s="3" t="s">
        <v>185</v>
      </c>
      <c r="E145" s="10"/>
      <c r="F145" s="3" t="s">
        <v>241</v>
      </c>
      <c r="G145" s="3" t="s">
        <v>341</v>
      </c>
      <c r="I145" s="17" t="s">
        <v>596</v>
      </c>
      <c r="M145" s="3" t="s">
        <v>223</v>
      </c>
      <c r="N145" s="3" t="s">
        <v>3</v>
      </c>
      <c r="O145" s="3" t="s">
        <v>358</v>
      </c>
      <c r="P14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45" s="4">
        <v>58</v>
      </c>
      <c r="T145" s="4">
        <v>65</v>
      </c>
      <c r="W145" s="3" t="s">
        <v>90</v>
      </c>
      <c r="Y145" s="4">
        <v>77</v>
      </c>
      <c r="Z145" s="4">
        <v>45</v>
      </c>
      <c r="AA145" s="5">
        <f t="shared" si="8"/>
        <v>1.711111111111111</v>
      </c>
      <c r="AB145" s="5"/>
      <c r="AC14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45" s="97" t="str">
        <f>IF(Tabelle1[[#This Row],[Nicht einbezogen weil…]]="",IFERROR(1000*Tabelle1[[#This Row],[Formfaktor]]/Tabelle1[[#This Row],[Thickness '[mm']]],""),"")</f>
        <v/>
      </c>
      <c r="AE145" s="98" t="str">
        <f>IF(Tabelle1[[#This Row],[Nicht einbezogen weil…]]="",IFERROR(Tabelle1[[#This Row],[specific surface '[m^2/m^3']]]/Tabelle1[[#This Row],[Density 
'[g/cm3']]]/1000000,""),"")</f>
        <v/>
      </c>
      <c r="AF145" s="97" t="str">
        <f>IF(Tabelle1[[#This Row],[Nicht einbezogen weil…]]="",IFERROR(365*10*Tabelle1[[#This Row],[Abbaurate '[%/d']]]*Tabelle1[[#This Row],[Thickness '[mm']]]/Tabelle1[[#This Row],[Formfaktor]],""),"")</f>
        <v/>
      </c>
      <c r="AG145" s="99" t="str">
        <f>IF(OR(Tabelle1[[#This Row],[Nicht einbezogen weil…]]="",Tabelle1[[#This Row],[Nicht einbezogen weil…]]="nicht-natürlich"),IF(Tabelle1[[#This Row],[Formfaktor]]=2, 1,IF(Tabelle1[[#This Row],[Formfaktor]]=4,2,IF(Tabelle1[[#This Row],[Formfaktor]]=6,3,""))),"")</f>
        <v/>
      </c>
      <c r="AH14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4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45" s="6">
        <v>0</v>
      </c>
      <c r="AK14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145" s="3" t="s">
        <v>181</v>
      </c>
      <c r="AO145" s="3" t="s">
        <v>223</v>
      </c>
      <c r="AP145" s="3" t="s">
        <v>223</v>
      </c>
      <c r="AT145" s="10" t="s">
        <v>223</v>
      </c>
      <c r="AU145" s="76" t="s">
        <v>695</v>
      </c>
      <c r="AV145" s="10" t="s">
        <v>589</v>
      </c>
    </row>
    <row r="146" spans="2:49" ht="17.25" customHeight="1">
      <c r="B146" s="11" t="s">
        <v>42</v>
      </c>
      <c r="C146" s="3" t="s">
        <v>648</v>
      </c>
      <c r="D146" s="3" t="s">
        <v>223</v>
      </c>
      <c r="E146" s="10"/>
      <c r="F146" s="12" t="s">
        <v>341</v>
      </c>
      <c r="G146" s="12" t="s">
        <v>341</v>
      </c>
      <c r="H146" s="12" t="s">
        <v>341</v>
      </c>
      <c r="I146" s="24">
        <v>1.22</v>
      </c>
      <c r="M146" s="3" t="s">
        <v>223</v>
      </c>
      <c r="N146" s="3" t="s">
        <v>655</v>
      </c>
      <c r="O146" s="3" t="s">
        <v>294</v>
      </c>
      <c r="P14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146" s="4">
        <v>30</v>
      </c>
      <c r="U146" s="4" t="s">
        <v>12</v>
      </c>
      <c r="W146" s="3" t="s">
        <v>190</v>
      </c>
      <c r="Y146" s="4">
        <v>1.93</v>
      </c>
      <c r="Z146" s="4">
        <v>14</v>
      </c>
      <c r="AA146" s="5">
        <f t="shared" si="8"/>
        <v>0.13785714285714284</v>
      </c>
      <c r="AB146" s="5"/>
      <c r="AC146"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46" s="97" t="str">
        <f>IF(Tabelle1[[#This Row],[Nicht einbezogen weil…]]="",IFERROR(1000*Tabelle1[[#This Row],[Formfaktor]]/Tabelle1[[#This Row],[Thickness '[mm']]],""),"")</f>
        <v/>
      </c>
      <c r="AE146" s="98" t="str">
        <f>IF(Tabelle1[[#This Row],[Nicht einbezogen weil…]]="",IFERROR(Tabelle1[[#This Row],[specific surface '[m^2/m^3']]]/Tabelle1[[#This Row],[Density 
'[g/cm3']]]/1000000,""),"")</f>
        <v/>
      </c>
      <c r="AF146" s="97" t="str">
        <f>IF(Tabelle1[[#This Row],[Nicht einbezogen weil…]]="",IFERROR(365*10*Tabelle1[[#This Row],[Abbaurate '[%/d']]]*Tabelle1[[#This Row],[Thickness '[mm']]]/Tabelle1[[#This Row],[Formfaktor]],""),"")</f>
        <v/>
      </c>
      <c r="AG146" s="99" t="str">
        <f>IF(OR(Tabelle1[[#This Row],[Nicht einbezogen weil…]]="",Tabelle1[[#This Row],[Nicht einbezogen weil…]]="nicht-natürlich"),IF(Tabelle1[[#This Row],[Formfaktor]]=2, 1,IF(Tabelle1[[#This Row],[Formfaktor]]=4,2,IF(Tabelle1[[#This Row],[Formfaktor]]=6,3,""))),"")</f>
        <v/>
      </c>
      <c r="AH14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4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46" s="71">
        <v>1</v>
      </c>
      <c r="AK14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46" s="3" t="s">
        <v>386</v>
      </c>
      <c r="AM146" s="3" t="s">
        <v>962</v>
      </c>
      <c r="AN146" s="3" t="s">
        <v>538</v>
      </c>
      <c r="AO146" s="3" t="s">
        <v>200</v>
      </c>
      <c r="AP146" s="3" t="s">
        <v>200</v>
      </c>
      <c r="AT146" s="10" t="s">
        <v>223</v>
      </c>
      <c r="AU146" s="13" t="s">
        <v>200</v>
      </c>
      <c r="AW146" s="10" t="s">
        <v>775</v>
      </c>
    </row>
    <row r="147" spans="2:49" ht="17.25" customHeight="1">
      <c r="B147" s="7" t="s">
        <v>778</v>
      </c>
      <c r="C147" s="3" t="s">
        <v>697</v>
      </c>
      <c r="D147" s="3" t="s">
        <v>223</v>
      </c>
      <c r="E147" s="10"/>
      <c r="F147" s="3" t="s">
        <v>565</v>
      </c>
      <c r="G147" s="74" t="s">
        <v>341</v>
      </c>
      <c r="H147" s="74" t="s">
        <v>341</v>
      </c>
      <c r="I147" s="24">
        <v>1.22</v>
      </c>
      <c r="K147" s="8" t="s">
        <v>229</v>
      </c>
      <c r="M147" s="3" t="s">
        <v>301</v>
      </c>
      <c r="N147" s="3" t="s">
        <v>171</v>
      </c>
      <c r="O147" s="3" t="s">
        <v>358</v>
      </c>
      <c r="P14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47" s="4" t="s">
        <v>172</v>
      </c>
      <c r="S147" s="4" t="s">
        <v>175</v>
      </c>
      <c r="W147" s="3" t="s">
        <v>13</v>
      </c>
      <c r="Y147" s="4">
        <v>5.2</v>
      </c>
      <c r="Z147" s="4">
        <v>180</v>
      </c>
      <c r="AA147" s="5">
        <f t="shared" si="8"/>
        <v>2.8888888888888891E-2</v>
      </c>
      <c r="AB147" s="5"/>
      <c r="AC147"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47" s="97" t="str">
        <f>IF(Tabelle1[[#This Row],[Nicht einbezogen weil…]]="",IFERROR(1000*Tabelle1[[#This Row],[Formfaktor]]/Tabelle1[[#This Row],[Thickness '[mm']]],""),"")</f>
        <v/>
      </c>
      <c r="AE147" s="98" t="str">
        <f>IF(Tabelle1[[#This Row],[Nicht einbezogen weil…]]="",IFERROR(Tabelle1[[#This Row],[specific surface '[m^2/m^3']]]/Tabelle1[[#This Row],[Density 
'[g/cm3']]]/1000000,""),"")</f>
        <v/>
      </c>
      <c r="AF147" s="97" t="str">
        <f>IF(Tabelle1[[#This Row],[Nicht einbezogen weil…]]="",IFERROR(365*10*Tabelle1[[#This Row],[Abbaurate '[%/d']]]*Tabelle1[[#This Row],[Thickness '[mm']]]/Tabelle1[[#This Row],[Formfaktor]],""),"")</f>
        <v/>
      </c>
      <c r="AG147" s="99" t="str">
        <f>IF(OR(Tabelle1[[#This Row],[Nicht einbezogen weil…]]="",Tabelle1[[#This Row],[Nicht einbezogen weil…]]="nicht-natürlich"),IF(Tabelle1[[#This Row],[Formfaktor]]=2, 1,IF(Tabelle1[[#This Row],[Formfaktor]]=4,2,IF(Tabelle1[[#This Row],[Formfaktor]]=6,3,""))),"")</f>
        <v/>
      </c>
      <c r="AH14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4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47" s="71">
        <v>1</v>
      </c>
      <c r="AK14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47" s="3" t="s">
        <v>176</v>
      </c>
      <c r="AO147" s="3" t="s">
        <v>200</v>
      </c>
      <c r="AP147" s="3" t="s">
        <v>200</v>
      </c>
      <c r="AT147" s="10" t="s">
        <v>223</v>
      </c>
      <c r="AU147" s="13" t="s">
        <v>200</v>
      </c>
      <c r="AW147" s="10" t="s">
        <v>1013</v>
      </c>
    </row>
    <row r="148" spans="2:49" ht="17.25" customHeight="1">
      <c r="B148" s="7" t="s">
        <v>778</v>
      </c>
      <c r="C148" s="3" t="s">
        <v>46</v>
      </c>
      <c r="D148" s="3" t="s">
        <v>200</v>
      </c>
      <c r="E148" s="10" t="s">
        <v>1127</v>
      </c>
      <c r="F148" s="3" t="s">
        <v>241</v>
      </c>
      <c r="G148" s="3">
        <v>0.1</v>
      </c>
      <c r="H148" s="106">
        <f>4*PI()*((G148/2)^2)</f>
        <v>3.1415926535897934E-2</v>
      </c>
      <c r="I148" s="24">
        <v>1.22</v>
      </c>
      <c r="J148" s="3" t="s">
        <v>472</v>
      </c>
      <c r="K148" s="8" t="s">
        <v>473</v>
      </c>
      <c r="M148" s="3" t="s">
        <v>200</v>
      </c>
      <c r="N148" s="3" t="s">
        <v>474</v>
      </c>
      <c r="O148" s="3" t="s">
        <v>358</v>
      </c>
      <c r="P14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48" s="4" t="s">
        <v>52</v>
      </c>
      <c r="R148" s="337" t="s">
        <v>55</v>
      </c>
      <c r="T148" s="4" t="s">
        <v>53</v>
      </c>
      <c r="U148" s="4" t="s">
        <v>12</v>
      </c>
      <c r="W148" s="3" t="s">
        <v>90</v>
      </c>
      <c r="Y148" s="4">
        <v>90</v>
      </c>
      <c r="Z148" s="4">
        <v>100</v>
      </c>
      <c r="AA148" s="5">
        <f t="shared" si="8"/>
        <v>0.9</v>
      </c>
      <c r="AB148" s="5"/>
      <c r="AC14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48" s="97" t="str">
        <f>IF(Tabelle1[[#This Row],[Nicht einbezogen weil…]]="",IFERROR(1000*Tabelle1[[#This Row],[Formfaktor]]/Tabelle1[[#This Row],[Thickness '[mm']]],""),"")</f>
        <v/>
      </c>
      <c r="AE148" s="98" t="str">
        <f>IF(Tabelle1[[#This Row],[Nicht einbezogen weil…]]="",IFERROR(Tabelle1[[#This Row],[specific surface '[m^2/m^3']]]/Tabelle1[[#This Row],[Density 
'[g/cm3']]]/1000000,""),"")</f>
        <v/>
      </c>
      <c r="AF148" s="97" t="str">
        <f>IF(Tabelle1[[#This Row],[Nicht einbezogen weil…]]="",IFERROR(365*10*Tabelle1[[#This Row],[Abbaurate '[%/d']]]*Tabelle1[[#This Row],[Thickness '[mm']]]/Tabelle1[[#This Row],[Formfaktor]],""),"")</f>
        <v/>
      </c>
      <c r="AG148" s="99" t="str">
        <f>IF(OR(Tabelle1[[#This Row],[Nicht einbezogen weil…]]="",Tabelle1[[#This Row],[Nicht einbezogen weil…]]="nicht-natürlich"),IF(Tabelle1[[#This Row],[Formfaktor]]=2, 1,IF(Tabelle1[[#This Row],[Formfaktor]]=4,2,IF(Tabelle1[[#This Row],[Formfaktor]]=6,3,""))),"")</f>
        <v/>
      </c>
      <c r="AH14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4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48" s="71">
        <v>1</v>
      </c>
      <c r="AK14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48" s="3" t="s">
        <v>153</v>
      </c>
      <c r="AO148" s="4" t="s">
        <v>235</v>
      </c>
      <c r="AP148" s="4" t="s">
        <v>235</v>
      </c>
      <c r="AT148" s="10" t="s">
        <v>223</v>
      </c>
      <c r="AU148" s="13" t="s">
        <v>200</v>
      </c>
      <c r="AW148" s="10" t="s">
        <v>1013</v>
      </c>
    </row>
    <row r="149" spans="2:49" ht="17.25" customHeight="1">
      <c r="B149" s="7" t="s">
        <v>778</v>
      </c>
      <c r="C149" s="3" t="s">
        <v>47</v>
      </c>
      <c r="D149" s="3" t="s">
        <v>200</v>
      </c>
      <c r="E149" s="10" t="s">
        <v>1127</v>
      </c>
      <c r="F149" s="3" t="s">
        <v>241</v>
      </c>
      <c r="G149" s="3">
        <v>0.1</v>
      </c>
      <c r="H149" s="106">
        <f>4*PI()*((G149/2)^2)</f>
        <v>3.1415926535897934E-2</v>
      </c>
      <c r="I149" s="24">
        <v>1.22</v>
      </c>
      <c r="J149" s="3" t="s">
        <v>472</v>
      </c>
      <c r="K149" s="8" t="s">
        <v>473</v>
      </c>
      <c r="M149" s="3" t="s">
        <v>200</v>
      </c>
      <c r="N149" s="3" t="s">
        <v>474</v>
      </c>
      <c r="O149" s="3" t="s">
        <v>358</v>
      </c>
      <c r="P14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49" s="4" t="s">
        <v>52</v>
      </c>
      <c r="R149" s="337" t="s">
        <v>56</v>
      </c>
      <c r="T149" s="4" t="s">
        <v>53</v>
      </c>
      <c r="U149" s="4" t="s">
        <v>12</v>
      </c>
      <c r="W149" s="3" t="s">
        <v>90</v>
      </c>
      <c r="Y149" s="4">
        <v>90</v>
      </c>
      <c r="Z149" s="4">
        <v>170</v>
      </c>
      <c r="AA149" s="5">
        <f t="shared" si="8"/>
        <v>0.52941176470588236</v>
      </c>
      <c r="AB149" s="5"/>
      <c r="AC14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49" s="97" t="str">
        <f>IF(Tabelle1[[#This Row],[Nicht einbezogen weil…]]="",IFERROR(1000*Tabelle1[[#This Row],[Formfaktor]]/Tabelle1[[#This Row],[Thickness '[mm']]],""),"")</f>
        <v/>
      </c>
      <c r="AE149" s="98" t="str">
        <f>IF(Tabelle1[[#This Row],[Nicht einbezogen weil…]]="",IFERROR(Tabelle1[[#This Row],[specific surface '[m^2/m^3']]]/Tabelle1[[#This Row],[Density 
'[g/cm3']]]/1000000,""),"")</f>
        <v/>
      </c>
      <c r="AF149" s="97" t="str">
        <f>IF(Tabelle1[[#This Row],[Nicht einbezogen weil…]]="",IFERROR(365*10*Tabelle1[[#This Row],[Abbaurate '[%/d']]]*Tabelle1[[#This Row],[Thickness '[mm']]]/Tabelle1[[#This Row],[Formfaktor]],""),"")</f>
        <v/>
      </c>
      <c r="AG149" s="99" t="str">
        <f>IF(OR(Tabelle1[[#This Row],[Nicht einbezogen weil…]]="",Tabelle1[[#This Row],[Nicht einbezogen weil…]]="nicht-natürlich"),IF(Tabelle1[[#This Row],[Formfaktor]]=2, 1,IF(Tabelle1[[#This Row],[Formfaktor]]=4,2,IF(Tabelle1[[#This Row],[Formfaktor]]=6,3,""))),"")</f>
        <v/>
      </c>
      <c r="AH14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4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49" s="71">
        <v>1</v>
      </c>
      <c r="AK14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49" s="3" t="s">
        <v>153</v>
      </c>
      <c r="AO149" s="4" t="s">
        <v>235</v>
      </c>
      <c r="AP149" s="4" t="s">
        <v>235</v>
      </c>
      <c r="AT149" s="10" t="s">
        <v>223</v>
      </c>
      <c r="AU149" s="13" t="s">
        <v>200</v>
      </c>
      <c r="AW149" s="10" t="s">
        <v>1014</v>
      </c>
    </row>
    <row r="150" spans="2:49" ht="17.25" customHeight="1">
      <c r="B150" s="7" t="s">
        <v>778</v>
      </c>
      <c r="C150" s="3" t="s">
        <v>696</v>
      </c>
      <c r="D150" s="3" t="s">
        <v>223</v>
      </c>
      <c r="E150" s="10"/>
      <c r="F150" s="3" t="s">
        <v>565</v>
      </c>
      <c r="G150" s="74" t="s">
        <v>341</v>
      </c>
      <c r="H150" s="74" t="s">
        <v>341</v>
      </c>
      <c r="I150" s="24">
        <v>1.22</v>
      </c>
      <c r="K150" s="8" t="s">
        <v>229</v>
      </c>
      <c r="M150" s="3" t="s">
        <v>301</v>
      </c>
      <c r="N150" s="3" t="s">
        <v>171</v>
      </c>
      <c r="O150" s="3" t="s">
        <v>358</v>
      </c>
      <c r="P15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50" s="4" t="s">
        <v>172</v>
      </c>
      <c r="S150" s="4" t="s">
        <v>175</v>
      </c>
      <c r="W150" s="3" t="s">
        <v>13</v>
      </c>
      <c r="Y150" s="4">
        <v>3.8</v>
      </c>
      <c r="Z150" s="4">
        <v>180</v>
      </c>
      <c r="AA150" s="5">
        <f t="shared" si="8"/>
        <v>2.1111111111111112E-2</v>
      </c>
      <c r="AB150" s="5"/>
      <c r="AC150"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50" s="97" t="str">
        <f>IF(Tabelle1[[#This Row],[Nicht einbezogen weil…]]="",IFERROR(1000*Tabelle1[[#This Row],[Formfaktor]]/Tabelle1[[#This Row],[Thickness '[mm']]],""),"")</f>
        <v/>
      </c>
      <c r="AE150" s="98" t="str">
        <f>IF(Tabelle1[[#This Row],[Nicht einbezogen weil…]]="",IFERROR(Tabelle1[[#This Row],[specific surface '[m^2/m^3']]]/Tabelle1[[#This Row],[Density 
'[g/cm3']]]/1000000,""),"")</f>
        <v/>
      </c>
      <c r="AF150" s="97" t="str">
        <f>IF(Tabelle1[[#This Row],[Nicht einbezogen weil…]]="",IFERROR(365*10*Tabelle1[[#This Row],[Abbaurate '[%/d']]]*Tabelle1[[#This Row],[Thickness '[mm']]]/Tabelle1[[#This Row],[Formfaktor]],""),"")</f>
        <v/>
      </c>
      <c r="AG150" s="99" t="str">
        <f>IF(OR(Tabelle1[[#This Row],[Nicht einbezogen weil…]]="",Tabelle1[[#This Row],[Nicht einbezogen weil…]]="nicht-natürlich"),IF(Tabelle1[[#This Row],[Formfaktor]]=2, 1,IF(Tabelle1[[#This Row],[Formfaktor]]=4,2,IF(Tabelle1[[#This Row],[Formfaktor]]=6,3,""))),"")</f>
        <v/>
      </c>
      <c r="AH15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0" s="71">
        <v>1</v>
      </c>
      <c r="AK15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50" s="3" t="s">
        <v>176</v>
      </c>
      <c r="AO150" s="3" t="s">
        <v>200</v>
      </c>
      <c r="AP150" s="3" t="s">
        <v>200</v>
      </c>
      <c r="AT150" s="10" t="s">
        <v>223</v>
      </c>
      <c r="AU150" s="13" t="s">
        <v>200</v>
      </c>
      <c r="AW150" s="10" t="s">
        <v>1013</v>
      </c>
    </row>
    <row r="151" spans="2:49" ht="17.25" customHeight="1">
      <c r="B151" s="7" t="s">
        <v>778</v>
      </c>
      <c r="C151" s="3" t="s">
        <v>698</v>
      </c>
      <c r="D151" s="3" t="s">
        <v>223</v>
      </c>
      <c r="E151" s="10"/>
      <c r="F151" s="3" t="s">
        <v>565</v>
      </c>
      <c r="G151" s="74" t="s">
        <v>341</v>
      </c>
      <c r="H151" s="74" t="s">
        <v>341</v>
      </c>
      <c r="I151" s="24">
        <v>1.22</v>
      </c>
      <c r="K151" s="8" t="s">
        <v>229</v>
      </c>
      <c r="M151" s="3" t="s">
        <v>301</v>
      </c>
      <c r="N151" s="3" t="s">
        <v>171</v>
      </c>
      <c r="O151" s="3" t="s">
        <v>358</v>
      </c>
      <c r="P15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51" s="4" t="s">
        <v>172</v>
      </c>
      <c r="S151" s="4" t="s">
        <v>175</v>
      </c>
      <c r="W151" s="3" t="s">
        <v>13</v>
      </c>
      <c r="Y151" s="4">
        <v>6.5</v>
      </c>
      <c r="Z151" s="4">
        <v>180</v>
      </c>
      <c r="AA151" s="5">
        <f t="shared" si="8"/>
        <v>3.6111111111111108E-2</v>
      </c>
      <c r="AB151" s="5"/>
      <c r="AC151"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51" s="97" t="str">
        <f>IF(Tabelle1[[#This Row],[Nicht einbezogen weil…]]="",IFERROR(1000*Tabelle1[[#This Row],[Formfaktor]]/Tabelle1[[#This Row],[Thickness '[mm']]],""),"")</f>
        <v/>
      </c>
      <c r="AE151" s="98" t="str">
        <f>IF(Tabelle1[[#This Row],[Nicht einbezogen weil…]]="",IFERROR(Tabelle1[[#This Row],[specific surface '[m^2/m^3']]]/Tabelle1[[#This Row],[Density 
'[g/cm3']]]/1000000,""),"")</f>
        <v/>
      </c>
      <c r="AF151" s="97" t="str">
        <f>IF(Tabelle1[[#This Row],[Nicht einbezogen weil…]]="",IFERROR(365*10*Tabelle1[[#This Row],[Abbaurate '[%/d']]]*Tabelle1[[#This Row],[Thickness '[mm']]]/Tabelle1[[#This Row],[Formfaktor]],""),"")</f>
        <v/>
      </c>
      <c r="AG151" s="99" t="str">
        <f>IF(OR(Tabelle1[[#This Row],[Nicht einbezogen weil…]]="",Tabelle1[[#This Row],[Nicht einbezogen weil…]]="nicht-natürlich"),IF(Tabelle1[[#This Row],[Formfaktor]]=2, 1,IF(Tabelle1[[#This Row],[Formfaktor]]=4,2,IF(Tabelle1[[#This Row],[Formfaktor]]=6,3,""))),"")</f>
        <v/>
      </c>
      <c r="AH15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1" s="71">
        <v>1</v>
      </c>
      <c r="AK15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51" s="3" t="s">
        <v>176</v>
      </c>
      <c r="AO151" s="3" t="s">
        <v>200</v>
      </c>
      <c r="AP151" s="3" t="s">
        <v>200</v>
      </c>
      <c r="AT151" s="10" t="s">
        <v>223</v>
      </c>
      <c r="AU151" s="13" t="s">
        <v>200</v>
      </c>
      <c r="AW151" s="10" t="s">
        <v>1013</v>
      </c>
    </row>
    <row r="152" spans="2:49" ht="17.25" customHeight="1">
      <c r="B152" s="7" t="s">
        <v>778</v>
      </c>
      <c r="C152" s="3" t="s">
        <v>45</v>
      </c>
      <c r="D152" s="3" t="s">
        <v>200</v>
      </c>
      <c r="E152" s="10" t="s">
        <v>1127</v>
      </c>
      <c r="F152" s="3" t="s">
        <v>241</v>
      </c>
      <c r="G152" s="3">
        <v>0.1</v>
      </c>
      <c r="H152" s="106">
        <f>4*PI()*((G152/2)^2)</f>
        <v>3.1415926535897934E-2</v>
      </c>
      <c r="I152" s="24">
        <v>1.22</v>
      </c>
      <c r="J152" s="3" t="s">
        <v>472</v>
      </c>
      <c r="K152" s="8" t="s">
        <v>473</v>
      </c>
      <c r="M152" s="3" t="s">
        <v>200</v>
      </c>
      <c r="N152" s="3" t="s">
        <v>474</v>
      </c>
      <c r="O152" s="3" t="s">
        <v>358</v>
      </c>
      <c r="P15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52" s="4" t="s">
        <v>52</v>
      </c>
      <c r="R152" s="337" t="s">
        <v>54</v>
      </c>
      <c r="T152" s="4" t="s">
        <v>53</v>
      </c>
      <c r="U152" s="4" t="s">
        <v>12</v>
      </c>
      <c r="W152" s="3" t="s">
        <v>90</v>
      </c>
      <c r="Y152" s="4">
        <v>90</v>
      </c>
      <c r="Z152" s="4">
        <v>100</v>
      </c>
      <c r="AA152" s="5">
        <f t="shared" si="8"/>
        <v>0.9</v>
      </c>
      <c r="AB152" s="5"/>
      <c r="AC15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52" s="97" t="str">
        <f>IF(Tabelle1[[#This Row],[Nicht einbezogen weil…]]="",IFERROR(1000*Tabelle1[[#This Row],[Formfaktor]]/Tabelle1[[#This Row],[Thickness '[mm']]],""),"")</f>
        <v/>
      </c>
      <c r="AE152" s="98" t="str">
        <f>IF(Tabelle1[[#This Row],[Nicht einbezogen weil…]]="",IFERROR(Tabelle1[[#This Row],[specific surface '[m^2/m^3']]]/Tabelle1[[#This Row],[Density 
'[g/cm3']]]/1000000,""),"")</f>
        <v/>
      </c>
      <c r="AF152" s="97" t="str">
        <f>IF(Tabelle1[[#This Row],[Nicht einbezogen weil…]]="",IFERROR(365*10*Tabelle1[[#This Row],[Abbaurate '[%/d']]]*Tabelle1[[#This Row],[Thickness '[mm']]]/Tabelle1[[#This Row],[Formfaktor]],""),"")</f>
        <v/>
      </c>
      <c r="AG152" s="99" t="str">
        <f>IF(OR(Tabelle1[[#This Row],[Nicht einbezogen weil…]]="",Tabelle1[[#This Row],[Nicht einbezogen weil…]]="nicht-natürlich"),IF(Tabelle1[[#This Row],[Formfaktor]]=2, 1,IF(Tabelle1[[#This Row],[Formfaktor]]=4,2,IF(Tabelle1[[#This Row],[Formfaktor]]=6,3,""))),"")</f>
        <v/>
      </c>
      <c r="AH15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2" s="71">
        <v>1</v>
      </c>
      <c r="AK15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52" s="3" t="s">
        <v>153</v>
      </c>
      <c r="AO152" s="4" t="s">
        <v>235</v>
      </c>
      <c r="AP152" s="4" t="s">
        <v>235</v>
      </c>
      <c r="AT152" s="10" t="s">
        <v>223</v>
      </c>
      <c r="AU152" s="13" t="s">
        <v>200</v>
      </c>
      <c r="AW152" s="10" t="s">
        <v>1014</v>
      </c>
    </row>
    <row r="153" spans="2:49" ht="17.25" customHeight="1">
      <c r="B153" s="7" t="s">
        <v>778</v>
      </c>
      <c r="C153" s="3" t="s">
        <v>170</v>
      </c>
      <c r="D153" s="3" t="s">
        <v>200</v>
      </c>
      <c r="E153" s="10" t="s">
        <v>1127</v>
      </c>
      <c r="F153" s="3" t="s">
        <v>331</v>
      </c>
      <c r="G153" s="74" t="s">
        <v>341</v>
      </c>
      <c r="H153" s="74" t="s">
        <v>341</v>
      </c>
      <c r="I153" s="24">
        <v>1.22</v>
      </c>
      <c r="L153" s="3" t="s">
        <v>509</v>
      </c>
      <c r="M153" s="3" t="s">
        <v>301</v>
      </c>
      <c r="N153" s="3" t="s">
        <v>507</v>
      </c>
      <c r="O153" s="3" t="s">
        <v>358</v>
      </c>
      <c r="P15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53" s="4" t="s">
        <v>172</v>
      </c>
      <c r="T153" s="4" t="s">
        <v>173</v>
      </c>
      <c r="W153" s="3" t="s">
        <v>13</v>
      </c>
      <c r="Y153" s="4">
        <v>17.2</v>
      </c>
      <c r="Z153" s="4">
        <v>80</v>
      </c>
      <c r="AA153" s="5">
        <f t="shared" si="8"/>
        <v>0.215</v>
      </c>
      <c r="AB153" s="5"/>
      <c r="AC15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53" s="97" t="str">
        <f>IF(Tabelle1[[#This Row],[Nicht einbezogen weil…]]="",IFERROR(1000*Tabelle1[[#This Row],[Formfaktor]]/Tabelle1[[#This Row],[Thickness '[mm']]],""),"")</f>
        <v/>
      </c>
      <c r="AE153" s="98" t="str">
        <f>IF(Tabelle1[[#This Row],[Nicht einbezogen weil…]]="",IFERROR(Tabelle1[[#This Row],[specific surface '[m^2/m^3']]]/Tabelle1[[#This Row],[Density 
'[g/cm3']]]/1000000,""),"")</f>
        <v/>
      </c>
      <c r="AF153" s="97" t="str">
        <f>IF(Tabelle1[[#This Row],[Nicht einbezogen weil…]]="",IFERROR(365*10*Tabelle1[[#This Row],[Abbaurate '[%/d']]]*Tabelle1[[#This Row],[Thickness '[mm']]]/Tabelle1[[#This Row],[Formfaktor]],""),"")</f>
        <v/>
      </c>
      <c r="AG153" s="99" t="str">
        <f>IF(OR(Tabelle1[[#This Row],[Nicht einbezogen weil…]]="",Tabelle1[[#This Row],[Nicht einbezogen weil…]]="nicht-natürlich"),IF(Tabelle1[[#This Row],[Formfaktor]]=2, 1,IF(Tabelle1[[#This Row],[Formfaktor]]=4,2,IF(Tabelle1[[#This Row],[Formfaktor]]=6,3,""))),"")</f>
        <v/>
      </c>
      <c r="AH15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3" s="71">
        <v>1</v>
      </c>
      <c r="AK15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53" s="3" t="s">
        <v>174</v>
      </c>
      <c r="AO153" s="3" t="s">
        <v>200</v>
      </c>
      <c r="AP153" s="3" t="s">
        <v>200</v>
      </c>
      <c r="AT153" s="10" t="s">
        <v>223</v>
      </c>
      <c r="AU153" s="13" t="s">
        <v>200</v>
      </c>
      <c r="AW153" s="10" t="s">
        <v>1013</v>
      </c>
    </row>
    <row r="154" spans="2:49" ht="17.25" customHeight="1">
      <c r="B154" s="7" t="s">
        <v>778</v>
      </c>
      <c r="C154" s="3" t="s">
        <v>170</v>
      </c>
      <c r="D154" s="3" t="s">
        <v>200</v>
      </c>
      <c r="E154" s="10" t="s">
        <v>1127</v>
      </c>
      <c r="F154" s="3" t="s">
        <v>331</v>
      </c>
      <c r="G154" s="74" t="s">
        <v>341</v>
      </c>
      <c r="H154" s="74" t="s">
        <v>341</v>
      </c>
      <c r="I154" s="24">
        <v>1.22</v>
      </c>
      <c r="M154" s="3" t="s">
        <v>200</v>
      </c>
      <c r="N154" s="3" t="s">
        <v>508</v>
      </c>
      <c r="O154" s="3" t="s">
        <v>358</v>
      </c>
      <c r="P15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54" s="3" t="s">
        <v>13</v>
      </c>
      <c r="Y154" s="4">
        <v>6</v>
      </c>
      <c r="Z154" s="4">
        <v>80</v>
      </c>
      <c r="AA154" s="5">
        <f t="shared" si="8"/>
        <v>7.4999999999999997E-2</v>
      </c>
      <c r="AB154" s="5"/>
      <c r="AC15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54" s="97" t="str">
        <f>IF(Tabelle1[[#This Row],[Nicht einbezogen weil…]]="",IFERROR(1000*Tabelle1[[#This Row],[Formfaktor]]/Tabelle1[[#This Row],[Thickness '[mm']]],""),"")</f>
        <v/>
      </c>
      <c r="AE154" s="98" t="str">
        <f>IF(Tabelle1[[#This Row],[Nicht einbezogen weil…]]="",IFERROR(Tabelle1[[#This Row],[specific surface '[m^2/m^3']]]/Tabelle1[[#This Row],[Density 
'[g/cm3']]]/1000000,""),"")</f>
        <v/>
      </c>
      <c r="AF154" s="97" t="str">
        <f>IF(Tabelle1[[#This Row],[Nicht einbezogen weil…]]="",IFERROR(365*10*Tabelle1[[#This Row],[Abbaurate '[%/d']]]*Tabelle1[[#This Row],[Thickness '[mm']]]/Tabelle1[[#This Row],[Formfaktor]],""),"")</f>
        <v/>
      </c>
      <c r="AG154" s="99" t="str">
        <f>IF(OR(Tabelle1[[#This Row],[Nicht einbezogen weil…]]="",Tabelle1[[#This Row],[Nicht einbezogen weil…]]="nicht-natürlich"),IF(Tabelle1[[#This Row],[Formfaktor]]=2, 1,IF(Tabelle1[[#This Row],[Formfaktor]]=4,2,IF(Tabelle1[[#This Row],[Formfaktor]]=6,3,""))),"")</f>
        <v/>
      </c>
      <c r="AH15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4" s="71">
        <v>1</v>
      </c>
      <c r="AK15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54" s="3" t="s">
        <v>174</v>
      </c>
      <c r="AN154" s="3" t="s">
        <v>538</v>
      </c>
      <c r="AO154" s="3" t="s">
        <v>200</v>
      </c>
      <c r="AP154" s="3" t="s">
        <v>200</v>
      </c>
      <c r="AT154" s="10" t="s">
        <v>223</v>
      </c>
      <c r="AU154" s="13" t="s">
        <v>200</v>
      </c>
      <c r="AW154" s="10" t="s">
        <v>1013</v>
      </c>
    </row>
    <row r="155" spans="2:49" ht="21" customHeight="1">
      <c r="B155" s="7" t="s">
        <v>778</v>
      </c>
      <c r="C155" s="3" t="s">
        <v>169</v>
      </c>
      <c r="D155" s="3" t="s">
        <v>200</v>
      </c>
      <c r="E155" s="10" t="s">
        <v>1127</v>
      </c>
      <c r="F155" s="3" t="s">
        <v>331</v>
      </c>
      <c r="G155" s="74" t="s">
        <v>341</v>
      </c>
      <c r="H155" s="74" t="s">
        <v>341</v>
      </c>
      <c r="I155" s="24">
        <v>1.22</v>
      </c>
      <c r="L155" s="3" t="s">
        <v>509</v>
      </c>
      <c r="M155" s="3" t="s">
        <v>301</v>
      </c>
      <c r="N155" s="3" t="s">
        <v>507</v>
      </c>
      <c r="O155" s="3" t="s">
        <v>358</v>
      </c>
      <c r="P15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55" s="4" t="s">
        <v>172</v>
      </c>
      <c r="T155" s="4" t="s">
        <v>173</v>
      </c>
      <c r="W155" s="3" t="s">
        <v>13</v>
      </c>
      <c r="Y155" s="4">
        <v>16</v>
      </c>
      <c r="Z155" s="4">
        <v>80</v>
      </c>
      <c r="AA155" s="5">
        <f t="shared" si="8"/>
        <v>0.2</v>
      </c>
      <c r="AB155" s="5"/>
      <c r="AC15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55" s="97" t="str">
        <f>IF(Tabelle1[[#This Row],[Nicht einbezogen weil…]]="",IFERROR(1000*Tabelle1[[#This Row],[Formfaktor]]/Tabelle1[[#This Row],[Thickness '[mm']]],""),"")</f>
        <v/>
      </c>
      <c r="AE155" s="98" t="str">
        <f>IF(Tabelle1[[#This Row],[Nicht einbezogen weil…]]="",IFERROR(Tabelle1[[#This Row],[specific surface '[m^2/m^3']]]/Tabelle1[[#This Row],[Density 
'[g/cm3']]]/1000000,""),"")</f>
        <v/>
      </c>
      <c r="AF155" s="97" t="str">
        <f>IF(Tabelle1[[#This Row],[Nicht einbezogen weil…]]="",IFERROR(365*10*Tabelle1[[#This Row],[Abbaurate '[%/d']]]*Tabelle1[[#This Row],[Thickness '[mm']]]/Tabelle1[[#This Row],[Formfaktor]],""),"")</f>
        <v/>
      </c>
      <c r="AG155" s="99" t="str">
        <f>IF(OR(Tabelle1[[#This Row],[Nicht einbezogen weil…]]="",Tabelle1[[#This Row],[Nicht einbezogen weil…]]="nicht-natürlich"),IF(Tabelle1[[#This Row],[Formfaktor]]=2, 1,IF(Tabelle1[[#This Row],[Formfaktor]]=4,2,IF(Tabelle1[[#This Row],[Formfaktor]]=6,3,""))),"")</f>
        <v/>
      </c>
      <c r="AH15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5" s="71">
        <v>1</v>
      </c>
      <c r="AK15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55" s="3" t="s">
        <v>174</v>
      </c>
      <c r="AO155" s="3" t="s">
        <v>200</v>
      </c>
      <c r="AP155" s="3" t="s">
        <v>200</v>
      </c>
      <c r="AT155" s="10" t="s">
        <v>223</v>
      </c>
      <c r="AU155" s="13" t="s">
        <v>200</v>
      </c>
      <c r="AW155" s="10" t="s">
        <v>1013</v>
      </c>
    </row>
    <row r="156" spans="2:49" ht="17.25" customHeight="1">
      <c r="B156" s="7" t="s">
        <v>778</v>
      </c>
      <c r="C156" s="3" t="s">
        <v>168</v>
      </c>
      <c r="D156" s="3" t="s">
        <v>200</v>
      </c>
      <c r="E156" s="10" t="s">
        <v>1127</v>
      </c>
      <c r="F156" s="3" t="s">
        <v>331</v>
      </c>
      <c r="G156" s="74" t="s">
        <v>341</v>
      </c>
      <c r="H156" s="74" t="s">
        <v>341</v>
      </c>
      <c r="I156" s="24">
        <v>1.22</v>
      </c>
      <c r="L156" s="3" t="s">
        <v>509</v>
      </c>
      <c r="M156" s="3" t="s">
        <v>301</v>
      </c>
      <c r="N156" s="3" t="s">
        <v>507</v>
      </c>
      <c r="O156" s="3" t="s">
        <v>358</v>
      </c>
      <c r="P15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56" s="4" t="s">
        <v>172</v>
      </c>
      <c r="T156" s="4" t="s">
        <v>173</v>
      </c>
      <c r="W156" s="3" t="s">
        <v>13</v>
      </c>
      <c r="Y156" s="4">
        <v>15</v>
      </c>
      <c r="Z156" s="4">
        <v>80</v>
      </c>
      <c r="AA156" s="5">
        <f t="shared" si="8"/>
        <v>0.1875</v>
      </c>
      <c r="AB156" s="5"/>
      <c r="AC15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56" s="97" t="str">
        <f>IF(Tabelle1[[#This Row],[Nicht einbezogen weil…]]="",IFERROR(1000*Tabelle1[[#This Row],[Formfaktor]]/Tabelle1[[#This Row],[Thickness '[mm']]],""),"")</f>
        <v/>
      </c>
      <c r="AE156" s="98" t="str">
        <f>IF(Tabelle1[[#This Row],[Nicht einbezogen weil…]]="",IFERROR(Tabelle1[[#This Row],[specific surface '[m^2/m^3']]]/Tabelle1[[#This Row],[Density 
'[g/cm3']]]/1000000,""),"")</f>
        <v/>
      </c>
      <c r="AF156" s="97" t="str">
        <f>IF(Tabelle1[[#This Row],[Nicht einbezogen weil…]]="",IFERROR(365*10*Tabelle1[[#This Row],[Abbaurate '[%/d']]]*Tabelle1[[#This Row],[Thickness '[mm']]]/Tabelle1[[#This Row],[Formfaktor]],""),"")</f>
        <v/>
      </c>
      <c r="AG156" s="99" t="str">
        <f>IF(OR(Tabelle1[[#This Row],[Nicht einbezogen weil…]]="",Tabelle1[[#This Row],[Nicht einbezogen weil…]]="nicht-natürlich"),IF(Tabelle1[[#This Row],[Formfaktor]]=2, 1,IF(Tabelle1[[#This Row],[Formfaktor]]=4,2,IF(Tabelle1[[#This Row],[Formfaktor]]=6,3,""))),"")</f>
        <v/>
      </c>
      <c r="AH15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6" s="71">
        <v>1</v>
      </c>
      <c r="AK15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56" s="3" t="s">
        <v>174</v>
      </c>
      <c r="AO156" s="3" t="s">
        <v>200</v>
      </c>
      <c r="AP156" s="3" t="s">
        <v>200</v>
      </c>
      <c r="AT156" s="10" t="s">
        <v>223</v>
      </c>
      <c r="AU156" s="13" t="s">
        <v>200</v>
      </c>
      <c r="AW156" s="10" t="s">
        <v>1013</v>
      </c>
    </row>
    <row r="157" spans="2:49" ht="17.25" customHeight="1">
      <c r="B157" s="7" t="s">
        <v>778</v>
      </c>
      <c r="C157" s="3" t="s">
        <v>167</v>
      </c>
      <c r="D157" s="3" t="s">
        <v>200</v>
      </c>
      <c r="E157" s="10" t="s">
        <v>1127</v>
      </c>
      <c r="F157" s="3" t="s">
        <v>331</v>
      </c>
      <c r="G157" s="74" t="s">
        <v>341</v>
      </c>
      <c r="H157" s="74" t="s">
        <v>341</v>
      </c>
      <c r="I157" s="24">
        <v>1.22</v>
      </c>
      <c r="L157" s="3" t="s">
        <v>509</v>
      </c>
      <c r="M157" s="3" t="s">
        <v>301</v>
      </c>
      <c r="N157" s="3" t="s">
        <v>507</v>
      </c>
      <c r="O157" s="3" t="s">
        <v>358</v>
      </c>
      <c r="P15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57" s="4" t="s">
        <v>172</v>
      </c>
      <c r="T157" s="4" t="s">
        <v>173</v>
      </c>
      <c r="W157" s="3" t="s">
        <v>13</v>
      </c>
      <c r="Y157" s="4">
        <v>14.5</v>
      </c>
      <c r="Z157" s="4">
        <v>80</v>
      </c>
      <c r="AA157" s="5">
        <f t="shared" si="8"/>
        <v>0.18124999999999999</v>
      </c>
      <c r="AB157" s="5"/>
      <c r="AC15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57" s="97" t="str">
        <f>IF(Tabelle1[[#This Row],[Nicht einbezogen weil…]]="",IFERROR(1000*Tabelle1[[#This Row],[Formfaktor]]/Tabelle1[[#This Row],[Thickness '[mm']]],""),"")</f>
        <v/>
      </c>
      <c r="AE157" s="98" t="str">
        <f>IF(Tabelle1[[#This Row],[Nicht einbezogen weil…]]="",IFERROR(Tabelle1[[#This Row],[specific surface '[m^2/m^3']]]/Tabelle1[[#This Row],[Density 
'[g/cm3']]]/1000000,""),"")</f>
        <v/>
      </c>
      <c r="AF157" s="97" t="str">
        <f>IF(Tabelle1[[#This Row],[Nicht einbezogen weil…]]="",IFERROR(365*10*Tabelle1[[#This Row],[Abbaurate '[%/d']]]*Tabelle1[[#This Row],[Thickness '[mm']]]/Tabelle1[[#This Row],[Formfaktor]],""),"")</f>
        <v/>
      </c>
      <c r="AG157" s="99" t="str">
        <f>IF(OR(Tabelle1[[#This Row],[Nicht einbezogen weil…]]="",Tabelle1[[#This Row],[Nicht einbezogen weil…]]="nicht-natürlich"),IF(Tabelle1[[#This Row],[Formfaktor]]=2, 1,IF(Tabelle1[[#This Row],[Formfaktor]]=4,2,IF(Tabelle1[[#This Row],[Formfaktor]]=6,3,""))),"")</f>
        <v/>
      </c>
      <c r="AH15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7" s="71">
        <v>1</v>
      </c>
      <c r="AK15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57" s="3" t="s">
        <v>174</v>
      </c>
      <c r="AO157" s="3" t="s">
        <v>200</v>
      </c>
      <c r="AP157" s="3" t="s">
        <v>200</v>
      </c>
      <c r="AT157" s="10" t="s">
        <v>223</v>
      </c>
      <c r="AU157" s="13" t="s">
        <v>200</v>
      </c>
      <c r="AW157" s="10" t="s">
        <v>1013</v>
      </c>
    </row>
    <row r="158" spans="2:49" ht="17.25" customHeight="1">
      <c r="B158" s="7" t="s">
        <v>778</v>
      </c>
      <c r="C158" s="3" t="s">
        <v>44</v>
      </c>
      <c r="D158" s="3" t="s">
        <v>200</v>
      </c>
      <c r="E158" s="10" t="s">
        <v>1127</v>
      </c>
      <c r="F158" s="3" t="s">
        <v>241</v>
      </c>
      <c r="G158" s="3">
        <v>0.1</v>
      </c>
      <c r="H158" s="106">
        <f>4*PI()*((G158/2)^2)</f>
        <v>3.1415926535897934E-2</v>
      </c>
      <c r="I158" s="24">
        <v>1.22</v>
      </c>
      <c r="J158" s="3" t="s">
        <v>472</v>
      </c>
      <c r="K158" s="8" t="s">
        <v>473</v>
      </c>
      <c r="M158" s="3" t="s">
        <v>200</v>
      </c>
      <c r="N158" s="3" t="s">
        <v>474</v>
      </c>
      <c r="O158" s="3" t="s">
        <v>358</v>
      </c>
      <c r="P15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58" s="4" t="s">
        <v>52</v>
      </c>
      <c r="R158" s="337" t="s">
        <v>51</v>
      </c>
      <c r="T158" s="4" t="s">
        <v>53</v>
      </c>
      <c r="U158" s="4" t="s">
        <v>12</v>
      </c>
      <c r="W158" s="3" t="s">
        <v>90</v>
      </c>
      <c r="Y158" s="4">
        <v>90</v>
      </c>
      <c r="Z158" s="4">
        <v>100</v>
      </c>
      <c r="AA158" s="5">
        <f t="shared" si="8"/>
        <v>0.9</v>
      </c>
      <c r="AB158" s="5"/>
      <c r="AC15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58" s="97" t="str">
        <f>IF(Tabelle1[[#This Row],[Nicht einbezogen weil…]]="",IFERROR(1000*Tabelle1[[#This Row],[Formfaktor]]/Tabelle1[[#This Row],[Thickness '[mm']]],""),"")</f>
        <v/>
      </c>
      <c r="AE158" s="98" t="str">
        <f>IF(Tabelle1[[#This Row],[Nicht einbezogen weil…]]="",IFERROR(Tabelle1[[#This Row],[specific surface '[m^2/m^3']]]/Tabelle1[[#This Row],[Density 
'[g/cm3']]]/1000000,""),"")</f>
        <v/>
      </c>
      <c r="AF158" s="97" t="str">
        <f>IF(Tabelle1[[#This Row],[Nicht einbezogen weil…]]="",IFERROR(365*10*Tabelle1[[#This Row],[Abbaurate '[%/d']]]*Tabelle1[[#This Row],[Thickness '[mm']]]/Tabelle1[[#This Row],[Formfaktor]],""),"")</f>
        <v/>
      </c>
      <c r="AG158" s="99" t="str">
        <f>IF(OR(Tabelle1[[#This Row],[Nicht einbezogen weil…]]="",Tabelle1[[#This Row],[Nicht einbezogen weil…]]="nicht-natürlich"),IF(Tabelle1[[#This Row],[Formfaktor]]=2, 1,IF(Tabelle1[[#This Row],[Formfaktor]]=4,2,IF(Tabelle1[[#This Row],[Formfaktor]]=6,3,""))),"")</f>
        <v/>
      </c>
      <c r="AH15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8" s="71">
        <v>1</v>
      </c>
      <c r="AK15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58" s="3" t="s">
        <v>153</v>
      </c>
      <c r="AO158" s="4" t="s">
        <v>235</v>
      </c>
      <c r="AP158" s="4" t="s">
        <v>235</v>
      </c>
      <c r="AT158" s="10" t="s">
        <v>223</v>
      </c>
      <c r="AU158" s="13" t="s">
        <v>200</v>
      </c>
      <c r="AW158" s="10" t="s">
        <v>1014</v>
      </c>
    </row>
    <row r="159" spans="2:49" ht="17.25" customHeight="1">
      <c r="B159" s="7" t="s">
        <v>778</v>
      </c>
      <c r="C159" s="3" t="s">
        <v>464</v>
      </c>
      <c r="D159" s="3" t="s">
        <v>200</v>
      </c>
      <c r="E159" s="10" t="s">
        <v>1127</v>
      </c>
      <c r="F159" s="3" t="s">
        <v>288</v>
      </c>
      <c r="G159" s="3">
        <v>2</v>
      </c>
      <c r="H159" s="3">
        <f>0.03*0.03</f>
        <v>8.9999999999999998E-4</v>
      </c>
      <c r="I159" s="24">
        <v>1.22</v>
      </c>
      <c r="J159" s="3" t="s">
        <v>469</v>
      </c>
      <c r="L159" s="3" t="s">
        <v>466</v>
      </c>
      <c r="M159" s="3" t="s">
        <v>200</v>
      </c>
      <c r="N159" s="3" t="s">
        <v>342</v>
      </c>
      <c r="O159" s="3" t="s">
        <v>358</v>
      </c>
      <c r="P15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59" s="4">
        <v>25</v>
      </c>
      <c r="S159" s="4">
        <v>60</v>
      </c>
      <c r="T159" s="9" t="s">
        <v>470</v>
      </c>
      <c r="W159" s="3" t="s">
        <v>13</v>
      </c>
      <c r="Y159" s="4">
        <v>7</v>
      </c>
      <c r="Z159" s="4">
        <v>28</v>
      </c>
      <c r="AA159" s="5">
        <f t="shared" si="8"/>
        <v>0.25</v>
      </c>
      <c r="AB159" s="5"/>
      <c r="AC15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59" s="97" t="str">
        <f>IF(Tabelle1[[#This Row],[Nicht einbezogen weil…]]="",IFERROR(1000*Tabelle1[[#This Row],[Formfaktor]]/Tabelle1[[#This Row],[Thickness '[mm']]],""),"")</f>
        <v/>
      </c>
      <c r="AE159" s="98" t="str">
        <f>IF(Tabelle1[[#This Row],[Nicht einbezogen weil…]]="",IFERROR(Tabelle1[[#This Row],[specific surface '[m^2/m^3']]]/Tabelle1[[#This Row],[Density 
'[g/cm3']]]/1000000,""),"")</f>
        <v/>
      </c>
      <c r="AF159" s="97" t="str">
        <f>IF(Tabelle1[[#This Row],[Nicht einbezogen weil…]]="",IFERROR(365*10*Tabelle1[[#This Row],[Abbaurate '[%/d']]]*Tabelle1[[#This Row],[Thickness '[mm']]]/Tabelle1[[#This Row],[Formfaktor]],""),"")</f>
        <v/>
      </c>
      <c r="AG159" s="99" t="str">
        <f>IF(OR(Tabelle1[[#This Row],[Nicht einbezogen weil…]]="",Tabelle1[[#This Row],[Nicht einbezogen weil…]]="nicht-natürlich"),IF(Tabelle1[[#This Row],[Formfaktor]]=2, 1,IF(Tabelle1[[#This Row],[Formfaktor]]=4,2,IF(Tabelle1[[#This Row],[Formfaktor]]=6,3,""))),"")</f>
        <v/>
      </c>
      <c r="AH15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5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59" s="71">
        <v>1</v>
      </c>
      <c r="AK15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59" s="3" t="s">
        <v>139</v>
      </c>
      <c r="AM159" s="3" t="s">
        <v>963</v>
      </c>
      <c r="AO159" s="3" t="s">
        <v>235</v>
      </c>
      <c r="AP159" s="3" t="s">
        <v>200</v>
      </c>
      <c r="AT159" s="10" t="s">
        <v>223</v>
      </c>
      <c r="AU159" s="13" t="s">
        <v>200</v>
      </c>
      <c r="AW159" s="10" t="s">
        <v>1013</v>
      </c>
    </row>
    <row r="160" spans="2:49" ht="17.25" customHeight="1">
      <c r="B160" s="7" t="s">
        <v>778</v>
      </c>
      <c r="C160" s="3" t="s">
        <v>465</v>
      </c>
      <c r="D160" s="3" t="s">
        <v>200</v>
      </c>
      <c r="E160" s="10" t="s">
        <v>1127</v>
      </c>
      <c r="F160" s="3" t="s">
        <v>241</v>
      </c>
      <c r="G160" s="3">
        <v>0.25</v>
      </c>
      <c r="H160" s="106">
        <f>4*PI()*((G160/2)^2)</f>
        <v>0.19634954084936207</v>
      </c>
      <c r="I160" s="24">
        <v>1.22</v>
      </c>
      <c r="J160" s="3" t="s">
        <v>469</v>
      </c>
      <c r="L160" s="3" t="s">
        <v>466</v>
      </c>
      <c r="M160" s="3" t="s">
        <v>200</v>
      </c>
      <c r="N160" s="3" t="s">
        <v>342</v>
      </c>
      <c r="O160" s="3" t="s">
        <v>358</v>
      </c>
      <c r="P16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60" s="4">
        <v>25</v>
      </c>
      <c r="S160" s="4">
        <v>60</v>
      </c>
      <c r="T160" s="9" t="s">
        <v>470</v>
      </c>
      <c r="W160" s="3" t="s">
        <v>13</v>
      </c>
      <c r="Y160" s="4">
        <v>24.4</v>
      </c>
      <c r="Z160" s="4">
        <v>28</v>
      </c>
      <c r="AA160" s="5">
        <f t="shared" si="8"/>
        <v>0.87142857142857133</v>
      </c>
      <c r="AB160" s="5"/>
      <c r="AC16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60" s="97" t="str">
        <f>IF(Tabelle1[[#This Row],[Nicht einbezogen weil…]]="",IFERROR(1000*Tabelle1[[#This Row],[Formfaktor]]/Tabelle1[[#This Row],[Thickness '[mm']]],""),"")</f>
        <v/>
      </c>
      <c r="AE160" s="98" t="str">
        <f>IF(Tabelle1[[#This Row],[Nicht einbezogen weil…]]="",IFERROR(Tabelle1[[#This Row],[specific surface '[m^2/m^3']]]/Tabelle1[[#This Row],[Density 
'[g/cm3']]]/1000000,""),"")</f>
        <v/>
      </c>
      <c r="AF160" s="97" t="str">
        <f>IF(Tabelle1[[#This Row],[Nicht einbezogen weil…]]="",IFERROR(365*10*Tabelle1[[#This Row],[Abbaurate '[%/d']]]*Tabelle1[[#This Row],[Thickness '[mm']]]/Tabelle1[[#This Row],[Formfaktor]],""),"")</f>
        <v/>
      </c>
      <c r="AG160" s="99" t="str">
        <f>IF(OR(Tabelle1[[#This Row],[Nicht einbezogen weil…]]="",Tabelle1[[#This Row],[Nicht einbezogen weil…]]="nicht-natürlich"),IF(Tabelle1[[#This Row],[Formfaktor]]=2, 1,IF(Tabelle1[[#This Row],[Formfaktor]]=4,2,IF(Tabelle1[[#This Row],[Formfaktor]]=6,3,""))),"")</f>
        <v/>
      </c>
      <c r="AH16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6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60" s="71">
        <v>1</v>
      </c>
      <c r="AK16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60" s="3" t="s">
        <v>139</v>
      </c>
      <c r="AM160" s="3" t="s">
        <v>963</v>
      </c>
      <c r="AO160" s="3" t="s">
        <v>235</v>
      </c>
      <c r="AP160" s="3" t="s">
        <v>200</v>
      </c>
      <c r="AT160" s="10" t="s">
        <v>223</v>
      </c>
      <c r="AU160" s="13" t="s">
        <v>200</v>
      </c>
      <c r="AW160" s="10" t="s">
        <v>1013</v>
      </c>
    </row>
    <row r="161" spans="1:49" ht="17.25" customHeight="1">
      <c r="A161" s="10" t="s">
        <v>200</v>
      </c>
      <c r="B161" s="109" t="s">
        <v>67</v>
      </c>
      <c r="D161" s="3" t="s">
        <v>223</v>
      </c>
      <c r="F161" s="3" t="s">
        <v>996</v>
      </c>
      <c r="G161" s="3">
        <v>0.03</v>
      </c>
      <c r="J161" s="3" t="s">
        <v>1365</v>
      </c>
      <c r="K161" s="8" t="s">
        <v>1377</v>
      </c>
      <c r="N161" s="3" t="s">
        <v>1385</v>
      </c>
      <c r="O161" s="3" t="s">
        <v>23</v>
      </c>
      <c r="P16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61" s="4" t="s">
        <v>1373</v>
      </c>
      <c r="R161" s="4" t="s">
        <v>1372</v>
      </c>
      <c r="V161" s="4" t="s">
        <v>734</v>
      </c>
      <c r="W161" s="12" t="s">
        <v>190</v>
      </c>
      <c r="Y161" s="4">
        <v>12.4</v>
      </c>
      <c r="Z161" s="4">
        <v>120</v>
      </c>
      <c r="AA161" s="5">
        <f t="shared" si="8"/>
        <v>0.10333333333333333</v>
      </c>
      <c r="AB161" s="5"/>
      <c r="AC16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61" s="5">
        <f>IF(Tabelle1[[#This Row],[Nicht einbezogen weil…]]="",IFERROR(1000*Tabelle1[[#This Row],[Formfaktor]]/Tabelle1[[#This Row],[Thickness '[mm']]],""),"")</f>
        <v>66666.666666666672</v>
      </c>
      <c r="AE161" s="5" t="str">
        <f>IF(Tabelle1[[#This Row],[Nicht einbezogen weil…]]="",IFERROR(Tabelle1[[#This Row],[specific surface '[m^2/m^3']]]/Tabelle1[[#This Row],[Density 
'[g/cm3']]]/1000000,""),"")</f>
        <v/>
      </c>
      <c r="AF161" s="5">
        <f>IF(Tabelle1[[#This Row],[Nicht einbezogen weil…]]="",IFERROR(365*10*Tabelle1[[#This Row],[Abbaurate '[%/d']]]*Tabelle1[[#This Row],[Thickness '[mm']]]/Tabelle1[[#This Row],[Formfaktor]],""),"")</f>
        <v>5.6574999999999998</v>
      </c>
      <c r="AG161" s="328">
        <f>IF(OR(Tabelle1[[#This Row],[Nicht einbezogen weil…]]="",Tabelle1[[#This Row],[Nicht einbezogen weil…]]="nicht-natürlich"),IF(Tabelle1[[#This Row],[Formfaktor]]=2, 1,IF(Tabelle1[[#This Row],[Formfaktor]]=4,2,IF(Tabelle1[[#This Row],[Formfaktor]]=6,3,""))),"")</f>
        <v>1</v>
      </c>
      <c r="AH161" s="5">
        <f>IF(OR(Tabelle1[[#This Row],[Nicht einbezogen weil…]]="",Tabelle1[[#This Row],[Nicht einbezogen weil…]]="nicht-natürlich"),IFERROR(Tabelle1[[#This Row],[Thickness '[mm']]]/Tabelle1[[#This Row],[Dauer des Abbaus
'[Tage']]]*1000*0.5*365*(1-(1-Tabelle1[[#This Row],[Abbaurate '[%/d']]]/100*Tabelle1[[#This Row],[Dauer des Abbaus
'[Tage']]])^(1/Tabelle1[[#This Row],[Exponent]])),""),"")</f>
        <v>5.6574999999999998</v>
      </c>
      <c r="AI16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LDPE_Meerwasser_nicht natürlich</v>
      </c>
      <c r="AJ161" s="6">
        <v>1</v>
      </c>
      <c r="AK16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61" s="3" t="s">
        <v>1366</v>
      </c>
      <c r="AU161" s="13"/>
    </row>
    <row r="162" spans="1:49" ht="17.25" customHeight="1">
      <c r="A162" s="10" t="s">
        <v>200</v>
      </c>
      <c r="B162" s="109" t="s">
        <v>67</v>
      </c>
      <c r="D162" s="3" t="s">
        <v>223</v>
      </c>
      <c r="F162" s="3" t="s">
        <v>996</v>
      </c>
      <c r="G162" s="3">
        <v>0.03</v>
      </c>
      <c r="J162" s="3" t="s">
        <v>1365</v>
      </c>
      <c r="K162" s="8" t="s">
        <v>1379</v>
      </c>
      <c r="N162" s="3" t="s">
        <v>1385</v>
      </c>
      <c r="O162" s="3" t="s">
        <v>23</v>
      </c>
      <c r="P16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62" s="4" t="s">
        <v>1373</v>
      </c>
      <c r="R162" s="4" t="s">
        <v>1372</v>
      </c>
      <c r="V162" s="4" t="s">
        <v>734</v>
      </c>
      <c r="W162" s="12" t="s">
        <v>190</v>
      </c>
      <c r="Y162" s="4">
        <v>0</v>
      </c>
      <c r="Z162" s="4">
        <v>180</v>
      </c>
      <c r="AA162" s="5">
        <f t="shared" si="8"/>
        <v>0</v>
      </c>
      <c r="AB162" s="5"/>
      <c r="AC16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62" s="5">
        <f>IF(Tabelle1[[#This Row],[Nicht einbezogen weil…]]="",IFERROR(1000*Tabelle1[[#This Row],[Formfaktor]]/Tabelle1[[#This Row],[Thickness '[mm']]],""),"")</f>
        <v>66666.666666666672</v>
      </c>
      <c r="AE162" s="5" t="str">
        <f>IF(Tabelle1[[#This Row],[Nicht einbezogen weil…]]="",IFERROR(Tabelle1[[#This Row],[specific surface '[m^2/m^3']]]/Tabelle1[[#This Row],[Density 
'[g/cm3']]]/1000000,""),"")</f>
        <v/>
      </c>
      <c r="AF162" s="5">
        <f>IF(Tabelle1[[#This Row],[Nicht einbezogen weil…]]="",IFERROR(365*10*Tabelle1[[#This Row],[Abbaurate '[%/d']]]*Tabelle1[[#This Row],[Thickness '[mm']]]/Tabelle1[[#This Row],[Formfaktor]],""),"")</f>
        <v>0</v>
      </c>
      <c r="AG162" s="328">
        <f>IF(OR(Tabelle1[[#This Row],[Nicht einbezogen weil…]]="",Tabelle1[[#This Row],[Nicht einbezogen weil…]]="nicht-natürlich"),IF(Tabelle1[[#This Row],[Formfaktor]]=2, 1,IF(Tabelle1[[#This Row],[Formfaktor]]=4,2,IF(Tabelle1[[#This Row],[Formfaktor]]=6,3,""))),"")</f>
        <v>1</v>
      </c>
      <c r="AH162"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6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LDPE_Meerwasser_nicht natürlich</v>
      </c>
      <c r="AJ162" s="6">
        <v>1</v>
      </c>
      <c r="AK16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62" s="3" t="s">
        <v>1366</v>
      </c>
      <c r="AU162" s="13"/>
    </row>
    <row r="163" spans="1:49" ht="17.25" customHeight="1">
      <c r="A163" s="10" t="s">
        <v>200</v>
      </c>
      <c r="B163" s="109" t="s">
        <v>67</v>
      </c>
      <c r="D163" s="3" t="s">
        <v>223</v>
      </c>
      <c r="F163" s="3" t="s">
        <v>996</v>
      </c>
      <c r="G163" s="3">
        <v>0.03</v>
      </c>
      <c r="J163" s="3" t="s">
        <v>1365</v>
      </c>
      <c r="K163" s="8" t="s">
        <v>1382</v>
      </c>
      <c r="N163" s="3" t="s">
        <v>1384</v>
      </c>
      <c r="O163" s="3" t="s">
        <v>23</v>
      </c>
      <c r="P16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63" s="4" t="s">
        <v>1373</v>
      </c>
      <c r="R163" s="4" t="s">
        <v>1372</v>
      </c>
      <c r="V163" s="4" t="s">
        <v>734</v>
      </c>
      <c r="W163" s="12" t="s">
        <v>190</v>
      </c>
      <c r="Y163" s="4">
        <v>0</v>
      </c>
      <c r="Z163" s="4">
        <v>175</v>
      </c>
      <c r="AA163" s="5">
        <f t="shared" si="8"/>
        <v>0</v>
      </c>
      <c r="AB163" s="5"/>
      <c r="AC16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63" s="5">
        <f>IF(Tabelle1[[#This Row],[Nicht einbezogen weil…]]="",IFERROR(1000*Tabelle1[[#This Row],[Formfaktor]]/Tabelle1[[#This Row],[Thickness '[mm']]],""),"")</f>
        <v>66666.666666666672</v>
      </c>
      <c r="AE163" s="5" t="str">
        <f>IF(Tabelle1[[#This Row],[Nicht einbezogen weil…]]="",IFERROR(Tabelle1[[#This Row],[specific surface '[m^2/m^3']]]/Tabelle1[[#This Row],[Density 
'[g/cm3']]]/1000000,""),"")</f>
        <v/>
      </c>
      <c r="AF163" s="5">
        <f>IF(Tabelle1[[#This Row],[Nicht einbezogen weil…]]="",IFERROR(365*10*Tabelle1[[#This Row],[Abbaurate '[%/d']]]*Tabelle1[[#This Row],[Thickness '[mm']]]/Tabelle1[[#This Row],[Formfaktor]],""),"")</f>
        <v>0</v>
      </c>
      <c r="AG163" s="328">
        <f>IF(OR(Tabelle1[[#This Row],[Nicht einbezogen weil…]]="",Tabelle1[[#This Row],[Nicht einbezogen weil…]]="nicht-natürlich"),IF(Tabelle1[[#This Row],[Formfaktor]]=2, 1,IF(Tabelle1[[#This Row],[Formfaktor]]=4,2,IF(Tabelle1[[#This Row],[Formfaktor]]=6,3,""))),"")</f>
        <v>1</v>
      </c>
      <c r="AH163"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6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LDPE_Meerwasser_nicht natürlich</v>
      </c>
      <c r="AJ163" s="6">
        <v>1</v>
      </c>
      <c r="AK16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63" s="3" t="s">
        <v>1366</v>
      </c>
      <c r="AU163" s="13"/>
    </row>
    <row r="164" spans="1:49" ht="17.25" customHeight="1">
      <c r="A164" s="10" t="s">
        <v>200</v>
      </c>
      <c r="B164" s="109" t="s">
        <v>67</v>
      </c>
      <c r="D164" s="3" t="s">
        <v>223</v>
      </c>
      <c r="F164" s="3" t="s">
        <v>996</v>
      </c>
      <c r="G164" s="3">
        <v>0.03</v>
      </c>
      <c r="J164" s="3" t="s">
        <v>1365</v>
      </c>
      <c r="K164" s="8" t="s">
        <v>1381</v>
      </c>
      <c r="N164" s="3" t="s">
        <v>1384</v>
      </c>
      <c r="O164" s="3" t="s">
        <v>23</v>
      </c>
      <c r="P16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64" s="4" t="s">
        <v>1373</v>
      </c>
      <c r="R164" s="4" t="s">
        <v>1372</v>
      </c>
      <c r="V164" s="4" t="s">
        <v>734</v>
      </c>
      <c r="W164" s="12" t="s">
        <v>190</v>
      </c>
      <c r="Y164" s="4">
        <v>6.1</v>
      </c>
      <c r="Z164" s="4">
        <v>220</v>
      </c>
      <c r="AA164" s="5">
        <f t="shared" si="8"/>
        <v>2.7727272727272725E-2</v>
      </c>
      <c r="AB164" s="5"/>
      <c r="AC16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64" s="5">
        <f>IF(Tabelle1[[#This Row],[Nicht einbezogen weil…]]="",IFERROR(1000*Tabelle1[[#This Row],[Formfaktor]]/Tabelle1[[#This Row],[Thickness '[mm']]],""),"")</f>
        <v>66666.666666666672</v>
      </c>
      <c r="AE164" s="5" t="str">
        <f>IF(Tabelle1[[#This Row],[Nicht einbezogen weil…]]="",IFERROR(Tabelle1[[#This Row],[specific surface '[m^2/m^3']]]/Tabelle1[[#This Row],[Density 
'[g/cm3']]]/1000000,""),"")</f>
        <v/>
      </c>
      <c r="AF164" s="5">
        <f>IF(Tabelle1[[#This Row],[Nicht einbezogen weil…]]="",IFERROR(365*10*Tabelle1[[#This Row],[Abbaurate '[%/d']]]*Tabelle1[[#This Row],[Thickness '[mm']]]/Tabelle1[[#This Row],[Formfaktor]],""),"")</f>
        <v>1.5180681818181818</v>
      </c>
      <c r="AG164" s="328">
        <f>IF(OR(Tabelle1[[#This Row],[Nicht einbezogen weil…]]="",Tabelle1[[#This Row],[Nicht einbezogen weil…]]="nicht-natürlich"),IF(Tabelle1[[#This Row],[Formfaktor]]=2, 1,IF(Tabelle1[[#This Row],[Formfaktor]]=4,2,IF(Tabelle1[[#This Row],[Formfaktor]]=6,3,""))),"")</f>
        <v>1</v>
      </c>
      <c r="AH164" s="5">
        <f>IF(OR(Tabelle1[[#This Row],[Nicht einbezogen weil…]]="",Tabelle1[[#This Row],[Nicht einbezogen weil…]]="nicht-natürlich"),IFERROR(Tabelle1[[#This Row],[Thickness '[mm']]]/Tabelle1[[#This Row],[Dauer des Abbaus
'[Tage']]]*1000*0.5*365*(1-(1-Tabelle1[[#This Row],[Abbaurate '[%/d']]]/100*Tabelle1[[#This Row],[Dauer des Abbaus
'[Tage']]])^(1/Tabelle1[[#This Row],[Exponent]])),""),"")</f>
        <v>1.5180681818181807</v>
      </c>
      <c r="AI16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LDPE_Meerwasser_nicht natürlich</v>
      </c>
      <c r="AJ164" s="6">
        <v>1</v>
      </c>
      <c r="AK16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64" s="3" t="s">
        <v>1366</v>
      </c>
      <c r="AU164" s="13"/>
    </row>
    <row r="165" spans="1:49" ht="17.25" customHeight="1">
      <c r="A165" s="10" t="s">
        <v>200</v>
      </c>
      <c r="B165" s="109" t="s">
        <v>191</v>
      </c>
      <c r="C165" s="3" t="s">
        <v>304</v>
      </c>
      <c r="D165" s="3" t="s">
        <v>223</v>
      </c>
      <c r="E165" s="10"/>
      <c r="F165" s="12" t="s">
        <v>288</v>
      </c>
      <c r="G165" s="12">
        <v>3</v>
      </c>
      <c r="H165" s="12">
        <f>10*7.5/10000</f>
        <v>7.4999999999999997E-3</v>
      </c>
      <c r="I165" s="74">
        <v>1.2</v>
      </c>
      <c r="K165" s="8" t="s">
        <v>686</v>
      </c>
      <c r="M165" s="3" t="s">
        <v>200</v>
      </c>
      <c r="N165" s="3" t="s">
        <v>23</v>
      </c>
      <c r="O165" s="3" t="s">
        <v>23</v>
      </c>
      <c r="P16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65" s="4">
        <v>28</v>
      </c>
      <c r="R165" s="4">
        <v>8.18</v>
      </c>
      <c r="U165" s="4" t="s">
        <v>12</v>
      </c>
      <c r="W165" s="3" t="s">
        <v>13</v>
      </c>
      <c r="Y165" s="4">
        <v>2.91</v>
      </c>
      <c r="Z165" s="4">
        <v>365</v>
      </c>
      <c r="AA165" s="5">
        <f t="shared" si="8"/>
        <v>7.9726027397260275E-3</v>
      </c>
      <c r="AB165" s="5"/>
      <c r="AC16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65" s="97">
        <f>IF(Tabelle1[[#This Row],[Nicht einbezogen weil…]]="",IFERROR(1000*Tabelle1[[#This Row],[Formfaktor]]/Tabelle1[[#This Row],[Thickness '[mm']]],""),"")</f>
        <v>666.66666666666663</v>
      </c>
      <c r="AE165" s="98">
        <f>IF(Tabelle1[[#This Row],[Nicht einbezogen weil…]]="",IFERROR(Tabelle1[[#This Row],[specific surface '[m^2/m^3']]]/Tabelle1[[#This Row],[Density 
'[g/cm3']]]/1000000,""),"")</f>
        <v>5.5555555555555556E-4</v>
      </c>
      <c r="AF165" s="97">
        <f>IF(Tabelle1[[#This Row],[Nicht einbezogen weil…]]="",IFERROR(365*10*Tabelle1[[#This Row],[Abbaurate '[%/d']]]*Tabelle1[[#This Row],[Thickness '[mm']]]/Tabelle1[[#This Row],[Formfaktor]],""),"")</f>
        <v>43.650000000000006</v>
      </c>
      <c r="AG165" s="99">
        <f>IF(OR(Tabelle1[[#This Row],[Nicht einbezogen weil…]]="",Tabelle1[[#This Row],[Nicht einbezogen weil…]]="nicht-natürlich"),IF(Tabelle1[[#This Row],[Formfaktor]]=2, 1,IF(Tabelle1[[#This Row],[Formfaktor]]=4,2,IF(Tabelle1[[#This Row],[Formfaktor]]=6,3,""))),"")</f>
        <v>1</v>
      </c>
      <c r="AH165" s="351">
        <f>IF(OR(Tabelle1[[#This Row],[Nicht einbezogen weil…]]="",Tabelle1[[#This Row],[Nicht einbezogen weil…]]="nicht-natürlich"),IFERROR(Tabelle1[[#This Row],[Thickness '[mm']]]/Tabelle1[[#This Row],[Dauer des Abbaus
'[Tage']]]*1000*0.5*365*(1-(1-Tabelle1[[#This Row],[Abbaurate '[%/d']]]/100*Tabelle1[[#This Row],[Dauer des Abbaus
'[Tage']]])^(1/Tabelle1[[#This Row],[Exponent]])),""),"")</f>
        <v>43.650000000000013</v>
      </c>
      <c r="AI16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NR/SBR_Meerwasser_natürlich</v>
      </c>
      <c r="AJ165" s="71">
        <v>1</v>
      </c>
      <c r="AK16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65" s="3" t="s">
        <v>303</v>
      </c>
      <c r="AM165" s="3" t="s">
        <v>967</v>
      </c>
      <c r="AO165" s="3" t="s">
        <v>235</v>
      </c>
      <c r="AP165" s="3" t="s">
        <v>235</v>
      </c>
      <c r="AQ165" s="3" t="s">
        <v>200</v>
      </c>
      <c r="AR165" s="2" t="s">
        <v>200</v>
      </c>
      <c r="AS165" s="2" t="s">
        <v>200</v>
      </c>
      <c r="AT165" s="10" t="s">
        <v>200</v>
      </c>
      <c r="AU165" s="13" t="s">
        <v>200</v>
      </c>
    </row>
    <row r="166" spans="1:49" ht="17.25" customHeight="1">
      <c r="A166" s="10" t="s">
        <v>200</v>
      </c>
      <c r="B166" s="109" t="s">
        <v>188</v>
      </c>
      <c r="C166" s="3" t="s">
        <v>36</v>
      </c>
      <c r="D166" s="3" t="s">
        <v>223</v>
      </c>
      <c r="E166" s="10"/>
      <c r="F166" s="12" t="s">
        <v>288</v>
      </c>
      <c r="G166" s="12">
        <v>0.05</v>
      </c>
      <c r="H166" s="12">
        <f>0.008*0.012</f>
        <v>9.6000000000000002E-5</v>
      </c>
      <c r="I166" s="3">
        <v>1.1299999999999999</v>
      </c>
      <c r="J166" s="3" t="s">
        <v>574</v>
      </c>
      <c r="K166" s="3"/>
      <c r="M166" s="3" t="s">
        <v>200</v>
      </c>
      <c r="N166" s="3" t="s">
        <v>1141</v>
      </c>
      <c r="O166" s="3" t="s">
        <v>23</v>
      </c>
      <c r="P16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66" s="4">
        <v>25</v>
      </c>
      <c r="R166" s="4">
        <v>8</v>
      </c>
      <c r="W166" s="3" t="s">
        <v>506</v>
      </c>
      <c r="Y166" s="4">
        <v>80</v>
      </c>
      <c r="Z166" s="4">
        <v>25</v>
      </c>
      <c r="AA166" s="5">
        <f t="shared" si="8"/>
        <v>3.2</v>
      </c>
      <c r="AB166" s="5"/>
      <c r="AC16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66" s="97">
        <f>IF(Tabelle1[[#This Row],[Nicht einbezogen weil…]]="",IFERROR(1000*Tabelle1[[#This Row],[Formfaktor]]/Tabelle1[[#This Row],[Thickness '[mm']]],""),"")</f>
        <v>40000</v>
      </c>
      <c r="AE166" s="98">
        <f>IF(Tabelle1[[#This Row],[Nicht einbezogen weil…]]="",IFERROR(Tabelle1[[#This Row],[specific surface '[m^2/m^3']]]/Tabelle1[[#This Row],[Density 
'[g/cm3']]]/1000000,""),"")</f>
        <v>3.5398230088495575E-2</v>
      </c>
      <c r="AF166" s="97">
        <f>IF(Tabelle1[[#This Row],[Nicht einbezogen weil…]]="",IFERROR(365*10*Tabelle1[[#This Row],[Abbaurate '[%/d']]]*Tabelle1[[#This Row],[Thickness '[mm']]]/Tabelle1[[#This Row],[Formfaktor]],""),"")</f>
        <v>292</v>
      </c>
      <c r="AG166" s="99">
        <f>IF(OR(Tabelle1[[#This Row],[Nicht einbezogen weil…]]="",Tabelle1[[#This Row],[Nicht einbezogen weil…]]="nicht-natürlich"),IF(Tabelle1[[#This Row],[Formfaktor]]=2, 1,IF(Tabelle1[[#This Row],[Formfaktor]]=4,2,IF(Tabelle1[[#This Row],[Formfaktor]]=6,3,""))),"")</f>
        <v>1</v>
      </c>
      <c r="AH166" s="351">
        <f>IF(OR(Tabelle1[[#This Row],[Nicht einbezogen weil…]]="",Tabelle1[[#This Row],[Nicht einbezogen weil…]]="nicht-natürlich"),IFERROR(Tabelle1[[#This Row],[Thickness '[mm']]]/Tabelle1[[#This Row],[Dauer des Abbaus
'[Tage']]]*1000*0.5*365*(1-(1-Tabelle1[[#This Row],[Abbaurate '[%/d']]]/100*Tabelle1[[#This Row],[Dauer des Abbaus
'[Tage']]])^(1/Tabelle1[[#This Row],[Exponent]])),""),"")</f>
        <v>292</v>
      </c>
      <c r="AI16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PA_Meerwasser_natürlich</v>
      </c>
      <c r="AJ166" s="71">
        <v>1</v>
      </c>
      <c r="AK16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66" s="3" t="s">
        <v>113</v>
      </c>
      <c r="AM166" s="3" t="s">
        <v>977</v>
      </c>
      <c r="AO166" s="3" t="s">
        <v>200</v>
      </c>
      <c r="AP166" s="3" t="s">
        <v>200</v>
      </c>
      <c r="AT166" s="10" t="s">
        <v>223</v>
      </c>
      <c r="AU166" s="13" t="s">
        <v>200</v>
      </c>
    </row>
    <row r="167" spans="1:49" ht="17.25" customHeight="1">
      <c r="A167" s="10" t="s">
        <v>223</v>
      </c>
      <c r="B167" s="109" t="s">
        <v>177</v>
      </c>
      <c r="C167" s="3" t="s">
        <v>377</v>
      </c>
      <c r="D167" s="3" t="s">
        <v>223</v>
      </c>
      <c r="E167" s="10"/>
      <c r="F167" s="12" t="s">
        <v>198</v>
      </c>
      <c r="G167" s="12">
        <v>0.06</v>
      </c>
      <c r="H167" s="12" t="s">
        <v>341</v>
      </c>
      <c r="I167" s="77">
        <v>1.35</v>
      </c>
      <c r="J167" s="3" t="s">
        <v>378</v>
      </c>
      <c r="M167" s="3" t="s">
        <v>200</v>
      </c>
      <c r="N167" s="3" t="s">
        <v>5</v>
      </c>
      <c r="O167" s="19" t="s">
        <v>358</v>
      </c>
      <c r="P167"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167" s="4" t="s">
        <v>12</v>
      </c>
      <c r="W167" s="3" t="s">
        <v>90</v>
      </c>
      <c r="Y167" s="9" t="s">
        <v>550</v>
      </c>
      <c r="Z167" s="4">
        <v>365</v>
      </c>
      <c r="AA167" s="5">
        <f>50/Z167</f>
        <v>0.13698630136986301</v>
      </c>
      <c r="AB167" s="5"/>
      <c r="AC16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67" s="97">
        <f>IF(Tabelle1[[#This Row],[Nicht einbezogen weil…]]="",IFERROR(1000*Tabelle1[[#This Row],[Formfaktor]]/Tabelle1[[#This Row],[Thickness '[mm']]],""),"")</f>
        <v>33333.333333333336</v>
      </c>
      <c r="AE167" s="98">
        <f>IF(Tabelle1[[#This Row],[Nicht einbezogen weil…]]="",IFERROR(Tabelle1[[#This Row],[specific surface '[m^2/m^3']]]/Tabelle1[[#This Row],[Density 
'[g/cm3']]]/1000000,""),"")</f>
        <v>2.469135802469136E-2</v>
      </c>
      <c r="AF167" s="97">
        <f>IF(Tabelle1[[#This Row],[Nicht einbezogen weil…]]="",IFERROR(365*10*Tabelle1[[#This Row],[Abbaurate '[%/d']]]*Tabelle1[[#This Row],[Thickness '[mm']]]/Tabelle1[[#This Row],[Formfaktor]],""),"")</f>
        <v>15</v>
      </c>
      <c r="AG167" s="99">
        <f>IF(OR(Tabelle1[[#This Row],[Nicht einbezogen weil…]]="",Tabelle1[[#This Row],[Nicht einbezogen weil…]]="nicht-natürlich"),IF(Tabelle1[[#This Row],[Formfaktor]]=2, 1,IF(Tabelle1[[#This Row],[Formfaktor]]=4,2,IF(Tabelle1[[#This Row],[Formfaktor]]=6,3,""))),"")</f>
        <v>1</v>
      </c>
      <c r="AH167" s="97">
        <f>IF(OR(Tabelle1[[#This Row],[Nicht einbezogen weil…]]="",Tabelle1[[#This Row],[Nicht einbezogen weil…]]="nicht-natürlich"),IFERROR(Tabelle1[[#This Row],[Thickness '[mm']]]/Tabelle1[[#This Row],[Dauer des Abbaus
'[Tage']]]*1000*0.5*365*(1-(1-Tabelle1[[#This Row],[Abbaurate '[%/d']]]/100*Tabelle1[[#This Row],[Dauer des Abbaus
'[Tage']]])^(1/Tabelle1[[#This Row],[Exponent]])),""),"")</f>
        <v>15</v>
      </c>
      <c r="AI16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PBAT_Boden/Kompost_natürlich</v>
      </c>
      <c r="AJ167" s="71">
        <v>1</v>
      </c>
      <c r="AK16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67" s="3" t="s">
        <v>381</v>
      </c>
      <c r="AM167" s="3" t="s">
        <v>977</v>
      </c>
      <c r="AN167" s="3" t="s">
        <v>538</v>
      </c>
      <c r="AO167" s="3" t="s">
        <v>200</v>
      </c>
      <c r="AP167" s="3" t="s">
        <v>200</v>
      </c>
      <c r="AT167" s="10" t="s">
        <v>223</v>
      </c>
      <c r="AU167" s="13" t="s">
        <v>200</v>
      </c>
      <c r="AW167" s="10" t="s">
        <v>813</v>
      </c>
    </row>
    <row r="168" spans="1:49" ht="17.25" customHeight="1">
      <c r="A168" s="10" t="s">
        <v>223</v>
      </c>
      <c r="B168" s="109" t="s">
        <v>177</v>
      </c>
      <c r="C168" s="3" t="s">
        <v>177</v>
      </c>
      <c r="D168" s="3" t="s">
        <v>223</v>
      </c>
      <c r="E168" s="10"/>
      <c r="F168" s="3" t="s">
        <v>288</v>
      </c>
      <c r="G168" s="17">
        <f>AVERAGE(0.033,0.055)</f>
        <v>4.3999999999999997E-2</v>
      </c>
      <c r="H168" s="3">
        <f>0.1*0.2</f>
        <v>2.0000000000000004E-2</v>
      </c>
      <c r="I168" s="77">
        <v>1.35</v>
      </c>
      <c r="K168" s="8" t="s">
        <v>229</v>
      </c>
      <c r="M168" s="3" t="s">
        <v>200</v>
      </c>
      <c r="N168" s="3" t="s">
        <v>171</v>
      </c>
      <c r="O168" s="3" t="s">
        <v>358</v>
      </c>
      <c r="P16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168" s="3" t="s">
        <v>13</v>
      </c>
      <c r="Y168" s="4">
        <v>2.2999999999999998</v>
      </c>
      <c r="Z168" s="4">
        <v>94</v>
      </c>
      <c r="AA168" s="5">
        <f>Y168/Z168</f>
        <v>2.4468085106382976E-2</v>
      </c>
      <c r="AB168" s="5"/>
      <c r="AC16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68" s="97">
        <f>IF(Tabelle1[[#This Row],[Nicht einbezogen weil…]]="",IFERROR(1000*Tabelle1[[#This Row],[Formfaktor]]/Tabelle1[[#This Row],[Thickness '[mm']]],""),"")</f>
        <v>45454.545454545456</v>
      </c>
      <c r="AE168" s="98">
        <f>IF(Tabelle1[[#This Row],[Nicht einbezogen weil…]]="",IFERROR(Tabelle1[[#This Row],[specific surface '[m^2/m^3']]]/Tabelle1[[#This Row],[Density 
'[g/cm3']]]/1000000,""),"")</f>
        <v>3.3670033670033669E-2</v>
      </c>
      <c r="AF168" s="97">
        <f>IF(Tabelle1[[#This Row],[Nicht einbezogen weil…]]="",IFERROR(365*10*Tabelle1[[#This Row],[Abbaurate '[%/d']]]*Tabelle1[[#This Row],[Thickness '[mm']]]/Tabelle1[[#This Row],[Formfaktor]],""),"")</f>
        <v>1.9647872340425527</v>
      </c>
      <c r="AG168" s="99">
        <f>IF(OR(Tabelle1[[#This Row],[Nicht einbezogen weil…]]="",Tabelle1[[#This Row],[Nicht einbezogen weil…]]="nicht-natürlich"),IF(Tabelle1[[#This Row],[Formfaktor]]=2, 1,IF(Tabelle1[[#This Row],[Formfaktor]]=4,2,IF(Tabelle1[[#This Row],[Formfaktor]]=6,3,""))),"")</f>
        <v>1</v>
      </c>
      <c r="AH168" s="97">
        <f>IF(OR(Tabelle1[[#This Row],[Nicht einbezogen weil…]]="",Tabelle1[[#This Row],[Nicht einbezogen weil…]]="nicht-natürlich"),IFERROR(Tabelle1[[#This Row],[Thickness '[mm']]]/Tabelle1[[#This Row],[Dauer des Abbaus
'[Tage']]]*1000*0.5*365*(1-(1-Tabelle1[[#This Row],[Abbaurate '[%/d']]]/100*Tabelle1[[#This Row],[Dauer des Abbaus
'[Tage']]])^(1/Tabelle1[[#This Row],[Exponent]])),""),"")</f>
        <v>1.9647872340425547</v>
      </c>
      <c r="AI16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PBAT_Boden/Kompost_natürlich</v>
      </c>
      <c r="AJ168" s="71">
        <v>1</v>
      </c>
      <c r="AK16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68" s="3" t="s">
        <v>180</v>
      </c>
      <c r="AO168" s="3" t="s">
        <v>200</v>
      </c>
      <c r="AP168" s="3" t="s">
        <v>223</v>
      </c>
      <c r="AT168" s="10" t="s">
        <v>223</v>
      </c>
      <c r="AU168" s="13" t="s">
        <v>200</v>
      </c>
      <c r="AV168" s="14"/>
      <c r="AW168" s="10" t="s">
        <v>815</v>
      </c>
    </row>
    <row r="169" spans="1:49" ht="17.25" customHeight="1">
      <c r="B169" s="7" t="s">
        <v>654</v>
      </c>
      <c r="C169" s="3" t="s">
        <v>649</v>
      </c>
      <c r="D169" s="3" t="s">
        <v>223</v>
      </c>
      <c r="E169" s="10"/>
      <c r="F169" s="74" t="s">
        <v>341</v>
      </c>
      <c r="G169" s="74" t="s">
        <v>341</v>
      </c>
      <c r="H169" s="74" t="s">
        <v>341</v>
      </c>
      <c r="I169" s="24">
        <v>1.23</v>
      </c>
      <c r="M169" s="3" t="s">
        <v>223</v>
      </c>
      <c r="N169" s="3" t="s">
        <v>655</v>
      </c>
      <c r="O169" s="3" t="s">
        <v>294</v>
      </c>
      <c r="P16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169" s="4">
        <v>30</v>
      </c>
      <c r="U169" s="4" t="s">
        <v>12</v>
      </c>
      <c r="W169" s="3" t="s">
        <v>190</v>
      </c>
      <c r="Y169" s="4">
        <v>2.9</v>
      </c>
      <c r="Z169" s="4">
        <v>14</v>
      </c>
      <c r="AA169" s="5">
        <f>Y169/Z169</f>
        <v>0.20714285714285713</v>
      </c>
      <c r="AB169" s="5"/>
      <c r="AC169"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69" s="97" t="str">
        <f>IF(Tabelle1[[#This Row],[Nicht einbezogen weil…]]="",IFERROR(1000*Tabelle1[[#This Row],[Formfaktor]]/Tabelle1[[#This Row],[Thickness '[mm']]],""),"")</f>
        <v/>
      </c>
      <c r="AE169" s="98" t="str">
        <f>IF(Tabelle1[[#This Row],[Nicht einbezogen weil…]]="",IFERROR(Tabelle1[[#This Row],[specific surface '[m^2/m^3']]]/Tabelle1[[#This Row],[Density 
'[g/cm3']]]/1000000,""),"")</f>
        <v/>
      </c>
      <c r="AF169" s="97" t="str">
        <f>IF(Tabelle1[[#This Row],[Nicht einbezogen weil…]]="",IFERROR(365*10*Tabelle1[[#This Row],[Abbaurate '[%/d']]]*Tabelle1[[#This Row],[Thickness '[mm']]]/Tabelle1[[#This Row],[Formfaktor]],""),"")</f>
        <v/>
      </c>
      <c r="AG169" s="99" t="str">
        <f>IF(OR(Tabelle1[[#This Row],[Nicht einbezogen weil…]]="",Tabelle1[[#This Row],[Nicht einbezogen weil…]]="nicht-natürlich"),IF(Tabelle1[[#This Row],[Formfaktor]]=2, 1,IF(Tabelle1[[#This Row],[Formfaktor]]=4,2,IF(Tabelle1[[#This Row],[Formfaktor]]=6,3,""))),"")</f>
        <v/>
      </c>
      <c r="AH16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6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69" s="71">
        <v>1</v>
      </c>
      <c r="AK16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69" s="3" t="s">
        <v>386</v>
      </c>
      <c r="AM169" s="3" t="s">
        <v>962</v>
      </c>
      <c r="AN169" s="3" t="s">
        <v>538</v>
      </c>
      <c r="AO169" s="3" t="s">
        <v>200</v>
      </c>
      <c r="AP169" s="3" t="s">
        <v>200</v>
      </c>
      <c r="AT169" s="10" t="s">
        <v>223</v>
      </c>
      <c r="AU169" s="13" t="s">
        <v>200</v>
      </c>
      <c r="AW169" s="10" t="s">
        <v>813</v>
      </c>
    </row>
    <row r="170" spans="1:49" ht="17.25" customHeight="1">
      <c r="A170" s="10" t="s">
        <v>223</v>
      </c>
      <c r="B170" s="109" t="s">
        <v>177</v>
      </c>
      <c r="C170" s="3" t="s">
        <v>625</v>
      </c>
      <c r="D170" s="3" t="s">
        <v>223</v>
      </c>
      <c r="F170" s="3" t="s">
        <v>241</v>
      </c>
      <c r="G170" s="3">
        <v>0.3</v>
      </c>
      <c r="J170" s="3" t="s">
        <v>1317</v>
      </c>
      <c r="K170" s="8" t="s">
        <v>229</v>
      </c>
      <c r="L170" s="3" t="s">
        <v>229</v>
      </c>
      <c r="M170" s="3" t="s">
        <v>200</v>
      </c>
      <c r="N170" s="3" t="s">
        <v>1388</v>
      </c>
      <c r="O170" s="3" t="s">
        <v>23</v>
      </c>
      <c r="P17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0" s="4">
        <v>20</v>
      </c>
      <c r="W170" s="3" t="s">
        <v>90</v>
      </c>
      <c r="Y170" s="9">
        <v>0</v>
      </c>
      <c r="Z170" s="4">
        <v>1400</v>
      </c>
      <c r="AA170" s="5">
        <f>Tabelle1[[#This Row],[biologische
Abbaubarkeit '[%']]]/Z170</f>
        <v>0</v>
      </c>
      <c r="AB170" s="5"/>
      <c r="AC17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70" s="5">
        <f>IF(Tabelle1[[#This Row],[Nicht einbezogen weil…]]="",IFERROR(1000*Tabelle1[[#This Row],[Formfaktor]]/Tabelle1[[#This Row],[Thickness '[mm']]],""),"")</f>
        <v>20000</v>
      </c>
      <c r="AE170" s="5" t="str">
        <f>IF(Tabelle1[[#This Row],[Nicht einbezogen weil…]]="",IFERROR(Tabelle1[[#This Row],[specific surface '[m^2/m^3']]]/Tabelle1[[#This Row],[Density 
'[g/cm3']]]/1000000,""),"")</f>
        <v/>
      </c>
      <c r="AF170" s="5">
        <f>IF(Tabelle1[[#This Row],[Nicht einbezogen weil…]]="",IFERROR(365*10*Tabelle1[[#This Row],[Abbaurate '[%/d']]]*Tabelle1[[#This Row],[Thickness '[mm']]]/Tabelle1[[#This Row],[Formfaktor]],""),"")</f>
        <v>0</v>
      </c>
      <c r="AG170" s="349">
        <f>IF(OR(Tabelle1[[#This Row],[Nicht einbezogen weil…]]="",Tabelle1[[#This Row],[Nicht einbezogen weil…]]="nicht-natürlich"),IF(Tabelle1[[#This Row],[Formfaktor]]=2, 1,IF(Tabelle1[[#This Row],[Formfaktor]]=4,2,IF(Tabelle1[[#This Row],[Formfaktor]]=6,3,""))),"")</f>
        <v>3</v>
      </c>
      <c r="AH170"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17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PBAT_Meerwasser_natürlich</v>
      </c>
      <c r="AJ170" s="6">
        <v>1</v>
      </c>
      <c r="AK17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70" s="3" t="s">
        <v>1309</v>
      </c>
      <c r="AU170" s="13"/>
    </row>
    <row r="171" spans="1:49" ht="17.25" customHeight="1">
      <c r="A171" s="10" t="s">
        <v>223</v>
      </c>
      <c r="B171" s="109" t="s">
        <v>42</v>
      </c>
      <c r="C171" s="3" t="s">
        <v>42</v>
      </c>
      <c r="D171" s="3" t="s">
        <v>223</v>
      </c>
      <c r="E171" s="10"/>
      <c r="F171" s="12" t="s">
        <v>241</v>
      </c>
      <c r="G171" s="12">
        <v>0.1</v>
      </c>
      <c r="H171" s="60">
        <f>4*PI()*((G171/2)^2)</f>
        <v>3.1415926535897934E-2</v>
      </c>
      <c r="I171" s="3">
        <v>1.22</v>
      </c>
      <c r="J171" s="3" t="s">
        <v>472</v>
      </c>
      <c r="K171" s="8" t="s">
        <v>473</v>
      </c>
      <c r="M171" s="3" t="s">
        <v>200</v>
      </c>
      <c r="N171" s="3" t="s">
        <v>474</v>
      </c>
      <c r="O171" s="3" t="s">
        <v>358</v>
      </c>
      <c r="P17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1" s="4" t="s">
        <v>52</v>
      </c>
      <c r="R171" s="337" t="s">
        <v>51</v>
      </c>
      <c r="T171" s="4" t="s">
        <v>53</v>
      </c>
      <c r="U171" s="4" t="s">
        <v>12</v>
      </c>
      <c r="W171" s="3" t="s">
        <v>90</v>
      </c>
      <c r="Y171" s="4">
        <v>50</v>
      </c>
      <c r="Z171" s="4">
        <v>120</v>
      </c>
      <c r="AA171" s="5">
        <f>Y171/Z171</f>
        <v>0.41666666666666669</v>
      </c>
      <c r="AB171" s="5"/>
      <c r="AC17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71" s="97">
        <f>IF(Tabelle1[[#This Row],[Nicht einbezogen weil…]]="",IFERROR(1000*Tabelle1[[#This Row],[Formfaktor]]/Tabelle1[[#This Row],[Thickness '[mm']]],""),"")</f>
        <v>60000</v>
      </c>
      <c r="AE171" s="98">
        <f>IF(Tabelle1[[#This Row],[Nicht einbezogen weil…]]="",IFERROR(Tabelle1[[#This Row],[specific surface '[m^2/m^3']]]/Tabelle1[[#This Row],[Density 
'[g/cm3']]]/1000000,""),"")</f>
        <v>4.9180327868852458E-2</v>
      </c>
      <c r="AF171" s="97">
        <f>IF(Tabelle1[[#This Row],[Nicht einbezogen weil…]]="",IFERROR(365*10*Tabelle1[[#This Row],[Abbaurate '[%/d']]]*Tabelle1[[#This Row],[Thickness '[mm']]]/Tabelle1[[#This Row],[Formfaktor]],""),"")</f>
        <v>25.347222222222225</v>
      </c>
      <c r="AG171" s="99">
        <f>IF(OR(Tabelle1[[#This Row],[Nicht einbezogen weil…]]="",Tabelle1[[#This Row],[Nicht einbezogen weil…]]="nicht-natürlich"),IF(Tabelle1[[#This Row],[Formfaktor]]=2, 1,IF(Tabelle1[[#This Row],[Formfaktor]]=4,2,IF(Tabelle1[[#This Row],[Formfaktor]]=6,3,""))),"")</f>
        <v>3</v>
      </c>
      <c r="AH171" s="97">
        <f>IF(OR(Tabelle1[[#This Row],[Nicht einbezogen weil…]]="",Tabelle1[[#This Row],[Nicht einbezogen weil…]]="nicht-natürlich"),IFERROR(Tabelle1[[#This Row],[Thickness '[mm']]]/Tabelle1[[#This Row],[Dauer des Abbaus
'[Tage']]]*1000*0.5*365*(1-(1-Tabelle1[[#This Row],[Abbaurate '[%/d']]]/100*Tabelle1[[#This Row],[Dauer des Abbaus
'[Tage']]])^(1/Tabelle1[[#This Row],[Exponent]])),""),"")</f>
        <v>31.374711673251493</v>
      </c>
      <c r="AI17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PBS_Boden/Kompost_natürlich</v>
      </c>
      <c r="AJ171" s="71">
        <v>1</v>
      </c>
      <c r="AK17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71" s="3" t="s">
        <v>153</v>
      </c>
      <c r="AO171" s="4" t="s">
        <v>235</v>
      </c>
      <c r="AP171" s="4" t="s">
        <v>235</v>
      </c>
      <c r="AT171" s="10" t="s">
        <v>223</v>
      </c>
      <c r="AU171" s="13" t="s">
        <v>200</v>
      </c>
    </row>
    <row r="172" spans="1:49" ht="17.25" customHeight="1">
      <c r="A172" s="10" t="s">
        <v>223</v>
      </c>
      <c r="B172" s="109" t="s">
        <v>42</v>
      </c>
      <c r="C172" s="3" t="s">
        <v>43</v>
      </c>
      <c r="D172" s="3" t="s">
        <v>357</v>
      </c>
      <c r="E172" s="10"/>
      <c r="F172" s="12" t="s">
        <v>288</v>
      </c>
      <c r="G172" s="12">
        <v>2</v>
      </c>
      <c r="H172" s="12">
        <f>0.03*0.03</f>
        <v>8.9999999999999998E-4</v>
      </c>
      <c r="I172" s="24">
        <v>1.22</v>
      </c>
      <c r="J172" s="3" t="s">
        <v>468</v>
      </c>
      <c r="L172" s="3" t="s">
        <v>466</v>
      </c>
      <c r="M172" s="3" t="s">
        <v>200</v>
      </c>
      <c r="N172" s="3" t="s">
        <v>342</v>
      </c>
      <c r="O172" s="3" t="s">
        <v>358</v>
      </c>
      <c r="P17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2" s="4">
        <v>25</v>
      </c>
      <c r="S172" s="4">
        <v>60</v>
      </c>
      <c r="T172" s="9" t="s">
        <v>470</v>
      </c>
      <c r="W172" s="3" t="s">
        <v>13</v>
      </c>
      <c r="Y172" s="4">
        <v>1</v>
      </c>
      <c r="Z172" s="4">
        <v>28</v>
      </c>
      <c r="AA172" s="5">
        <f>Y172/Z172</f>
        <v>3.5714285714285712E-2</v>
      </c>
      <c r="AB172" s="5"/>
      <c r="AC17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72" s="97">
        <f>IF(Tabelle1[[#This Row],[Nicht einbezogen weil…]]="",IFERROR(1000*Tabelle1[[#This Row],[Formfaktor]]/Tabelle1[[#This Row],[Thickness '[mm']]],""),"")</f>
        <v>1000</v>
      </c>
      <c r="AE172" s="98">
        <f>IF(Tabelle1[[#This Row],[Nicht einbezogen weil…]]="",IFERROR(Tabelle1[[#This Row],[specific surface '[m^2/m^3']]]/Tabelle1[[#This Row],[Density 
'[g/cm3']]]/1000000,""),"")</f>
        <v>8.1967213114754098E-4</v>
      </c>
      <c r="AF172" s="97">
        <f>IF(Tabelle1[[#This Row],[Nicht einbezogen weil…]]="",IFERROR(365*10*Tabelle1[[#This Row],[Abbaurate '[%/d']]]*Tabelle1[[#This Row],[Thickness '[mm']]]/Tabelle1[[#This Row],[Formfaktor]],""),"")</f>
        <v>130.35714285714286</v>
      </c>
      <c r="AG172" s="99">
        <f>IF(OR(Tabelle1[[#This Row],[Nicht einbezogen weil…]]="",Tabelle1[[#This Row],[Nicht einbezogen weil…]]="nicht-natürlich"),IF(Tabelle1[[#This Row],[Formfaktor]]=2, 1,IF(Tabelle1[[#This Row],[Formfaktor]]=4,2,IF(Tabelle1[[#This Row],[Formfaktor]]=6,3,""))),"")</f>
        <v>1</v>
      </c>
      <c r="AH172" s="97">
        <f>IF(OR(Tabelle1[[#This Row],[Nicht einbezogen weil…]]="",Tabelle1[[#This Row],[Nicht einbezogen weil…]]="nicht-natürlich"),IFERROR(Tabelle1[[#This Row],[Thickness '[mm']]]/Tabelle1[[#This Row],[Dauer des Abbaus
'[Tage']]]*1000*0.5*365*(1-(1-Tabelle1[[#This Row],[Abbaurate '[%/d']]]/100*Tabelle1[[#This Row],[Dauer des Abbaus
'[Tage']]])^(1/Tabelle1[[#This Row],[Exponent]])),""),"")</f>
        <v>130.35714285714297</v>
      </c>
      <c r="AI17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PBS_Boden/Kompost_natürlich</v>
      </c>
      <c r="AJ172" s="71">
        <v>1</v>
      </c>
      <c r="AK17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72" s="3" t="s">
        <v>139</v>
      </c>
      <c r="AM172" s="3" t="s">
        <v>963</v>
      </c>
      <c r="AO172" s="3" t="s">
        <v>235</v>
      </c>
      <c r="AP172" s="3" t="s">
        <v>200</v>
      </c>
      <c r="AT172" s="10" t="s">
        <v>223</v>
      </c>
      <c r="AU172" s="13" t="s">
        <v>200</v>
      </c>
      <c r="AW172" s="10" t="s">
        <v>775</v>
      </c>
    </row>
    <row r="173" spans="1:49" ht="17.25" customHeight="1">
      <c r="A173" s="10" t="s">
        <v>223</v>
      </c>
      <c r="B173" s="109" t="s">
        <v>42</v>
      </c>
      <c r="C173" s="3" t="s">
        <v>50</v>
      </c>
      <c r="D173" s="3" t="s">
        <v>357</v>
      </c>
      <c r="E173" s="10"/>
      <c r="F173" s="12" t="s">
        <v>241</v>
      </c>
      <c r="G173" s="12">
        <v>0.25</v>
      </c>
      <c r="H173" s="60">
        <f>4*PI()*((G173/2)^2)</f>
        <v>0.19634954084936207</v>
      </c>
      <c r="I173" s="24">
        <v>1.22</v>
      </c>
      <c r="J173" s="3" t="s">
        <v>468</v>
      </c>
      <c r="L173" s="3" t="s">
        <v>466</v>
      </c>
      <c r="M173" s="3" t="s">
        <v>200</v>
      </c>
      <c r="N173" s="3" t="s">
        <v>342</v>
      </c>
      <c r="O173" s="3" t="s">
        <v>358</v>
      </c>
      <c r="P17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3" s="4">
        <v>25</v>
      </c>
      <c r="S173" s="4">
        <v>60</v>
      </c>
      <c r="T173" s="9" t="s">
        <v>470</v>
      </c>
      <c r="W173" s="3" t="s">
        <v>13</v>
      </c>
      <c r="Y173" s="4">
        <v>16.8</v>
      </c>
      <c r="Z173" s="4">
        <v>28</v>
      </c>
      <c r="AA173" s="5">
        <f>Y173/Z173</f>
        <v>0.6</v>
      </c>
      <c r="AB173" s="5"/>
      <c r="AC17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73" s="97">
        <f>IF(Tabelle1[[#This Row],[Nicht einbezogen weil…]]="",IFERROR(1000*Tabelle1[[#This Row],[Formfaktor]]/Tabelle1[[#This Row],[Thickness '[mm']]],""),"")</f>
        <v>24000</v>
      </c>
      <c r="AE173" s="98">
        <f>IF(Tabelle1[[#This Row],[Nicht einbezogen weil…]]="",IFERROR(Tabelle1[[#This Row],[specific surface '[m^2/m^3']]]/Tabelle1[[#This Row],[Density 
'[g/cm3']]]/1000000,""),"")</f>
        <v>1.9672131147540985E-2</v>
      </c>
      <c r="AF173" s="97">
        <f>IF(Tabelle1[[#This Row],[Nicht einbezogen weil…]]="",IFERROR(365*10*Tabelle1[[#This Row],[Abbaurate '[%/d']]]*Tabelle1[[#This Row],[Thickness '[mm']]]/Tabelle1[[#This Row],[Formfaktor]],""),"")</f>
        <v>91.25</v>
      </c>
      <c r="AG173" s="99">
        <f>IF(OR(Tabelle1[[#This Row],[Nicht einbezogen weil…]]="",Tabelle1[[#This Row],[Nicht einbezogen weil…]]="nicht-natürlich"),IF(Tabelle1[[#This Row],[Formfaktor]]=2, 1,IF(Tabelle1[[#This Row],[Formfaktor]]=4,2,IF(Tabelle1[[#This Row],[Formfaktor]]=6,3,""))),"")</f>
        <v>3</v>
      </c>
      <c r="AH173" s="97">
        <f>IF(OR(Tabelle1[[#This Row],[Nicht einbezogen weil…]]="",Tabelle1[[#This Row],[Nicht einbezogen weil…]]="nicht-natürlich"),IFERROR(Tabelle1[[#This Row],[Thickness '[mm']]]/Tabelle1[[#This Row],[Dauer des Abbaus
'[Tage']]]*1000*0.5*365*(1-(1-Tabelle1[[#This Row],[Abbaurate '[%/d']]]/100*Tabelle1[[#This Row],[Dauer des Abbaus
'[Tage']]])^(1/Tabelle1[[#This Row],[Exponent]])),""),"")</f>
        <v>96.897926753434859</v>
      </c>
      <c r="AI17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PBS_Boden/Kompost_natürlich</v>
      </c>
      <c r="AJ173" s="71">
        <v>1</v>
      </c>
      <c r="AK17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73" s="3" t="s">
        <v>139</v>
      </c>
      <c r="AM173" s="3" t="s">
        <v>963</v>
      </c>
      <c r="AO173" s="3" t="s">
        <v>235</v>
      </c>
      <c r="AP173" s="3" t="s">
        <v>200</v>
      </c>
      <c r="AT173" s="10" t="s">
        <v>223</v>
      </c>
      <c r="AU173" s="13" t="s">
        <v>200</v>
      </c>
      <c r="AW173" s="10" t="s">
        <v>775</v>
      </c>
    </row>
    <row r="174" spans="1:49" ht="17.25" customHeight="1">
      <c r="A174" s="10" t="s">
        <v>223</v>
      </c>
      <c r="B174" s="109" t="s">
        <v>42</v>
      </c>
      <c r="C174" s="3" t="s">
        <v>116</v>
      </c>
      <c r="D174" s="3" t="s">
        <v>223</v>
      </c>
      <c r="E174" s="10"/>
      <c r="F174" s="12" t="s">
        <v>198</v>
      </c>
      <c r="G174" s="12">
        <v>0.1</v>
      </c>
      <c r="H174" s="12" t="s">
        <v>341</v>
      </c>
      <c r="I174" s="24">
        <v>1.22</v>
      </c>
      <c r="M174" s="3" t="s">
        <v>301</v>
      </c>
      <c r="N174" s="3" t="s">
        <v>118</v>
      </c>
      <c r="O174" s="3" t="s">
        <v>1081</v>
      </c>
      <c r="P17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4" s="4">
        <v>25</v>
      </c>
      <c r="U174" s="4" t="s">
        <v>12</v>
      </c>
      <c r="W174" s="3" t="s">
        <v>13</v>
      </c>
      <c r="Y174" s="551" t="s">
        <v>1417</v>
      </c>
      <c r="Z174" s="4">
        <v>28</v>
      </c>
      <c r="AA174" s="5">
        <f>Tabelle1[[#This Row],[biologische
Abbaubarkeit '[%']]]/Z174</f>
        <v>7.1428571428571425E-2</v>
      </c>
      <c r="AB174" s="5"/>
      <c r="AC17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74" s="97">
        <f>IF(Tabelle1[[#This Row],[Nicht einbezogen weil…]]="",IFERROR(1000*Tabelle1[[#This Row],[Formfaktor]]/Tabelle1[[#This Row],[Thickness '[mm']]],""),"")</f>
        <v>20000</v>
      </c>
      <c r="AE174" s="98">
        <f>IF(Tabelle1[[#This Row],[Nicht einbezogen weil…]]="",IFERROR(Tabelle1[[#This Row],[specific surface '[m^2/m^3']]]/Tabelle1[[#This Row],[Density 
'[g/cm3']]]/1000000,""),"")</f>
        <v>1.6393442622950821E-2</v>
      </c>
      <c r="AF174" s="97">
        <f>IF(Tabelle1[[#This Row],[Nicht einbezogen weil…]]="",IFERROR(365*10*Tabelle1[[#This Row],[Abbaurate '[%/d']]]*Tabelle1[[#This Row],[Thickness '[mm']]]/Tabelle1[[#This Row],[Formfaktor]],""),"")</f>
        <v>13.035714285714286</v>
      </c>
      <c r="AG174" s="99">
        <f>IF(OR(Tabelle1[[#This Row],[Nicht einbezogen weil…]]="",Tabelle1[[#This Row],[Nicht einbezogen weil…]]="nicht-natürlich"),IF(Tabelle1[[#This Row],[Formfaktor]]=2, 1,IF(Tabelle1[[#This Row],[Formfaktor]]=4,2,IF(Tabelle1[[#This Row],[Formfaktor]]=6,3,""))),"")</f>
        <v>1</v>
      </c>
      <c r="AH174" s="97">
        <f>IF(OR(Tabelle1[[#This Row],[Nicht einbezogen weil…]]="",Tabelle1[[#This Row],[Nicht einbezogen weil…]]="nicht-natürlich"),IFERROR(Tabelle1[[#This Row],[Thickness '[mm']]]/Tabelle1[[#This Row],[Dauer des Abbaus
'[Tage']]]*1000*0.5*365*(1-(1-Tabelle1[[#This Row],[Abbaurate '[%/d']]]/100*Tabelle1[[#This Row],[Dauer des Abbaus
'[Tage']]])^(1/Tabelle1[[#This Row],[Exponent]])),""),"")</f>
        <v>13.035714285714299</v>
      </c>
      <c r="AI17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PBS_Süßwasser_natürlich</v>
      </c>
      <c r="AJ174" s="71">
        <v>1</v>
      </c>
      <c r="AK17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74" s="3" t="s">
        <v>699</v>
      </c>
      <c r="AO174" s="3" t="s">
        <v>200</v>
      </c>
      <c r="AP174" s="3" t="s">
        <v>200</v>
      </c>
      <c r="AT174" s="10" t="s">
        <v>223</v>
      </c>
      <c r="AU174" s="13" t="s">
        <v>200</v>
      </c>
      <c r="AW174" s="10" t="s">
        <v>775</v>
      </c>
    </row>
    <row r="175" spans="1:49" ht="17.25" customHeight="1">
      <c r="A175" s="10" t="s">
        <v>223</v>
      </c>
      <c r="B175" s="109" t="s">
        <v>42</v>
      </c>
      <c r="C175" s="3" t="s">
        <v>116</v>
      </c>
      <c r="D175" s="3" t="s">
        <v>223</v>
      </c>
      <c r="E175" s="10"/>
      <c r="F175" s="12" t="s">
        <v>198</v>
      </c>
      <c r="G175" s="12">
        <v>0.1</v>
      </c>
      <c r="H175" s="12" t="s">
        <v>341</v>
      </c>
      <c r="I175" s="24">
        <v>1.22</v>
      </c>
      <c r="M175" s="3" t="s">
        <v>301</v>
      </c>
      <c r="N175" s="3" t="s">
        <v>118</v>
      </c>
      <c r="O175" s="3" t="s">
        <v>1081</v>
      </c>
      <c r="P17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5" s="4">
        <v>25</v>
      </c>
      <c r="U175" s="4" t="s">
        <v>12</v>
      </c>
      <c r="W175" s="3" t="s">
        <v>506</v>
      </c>
      <c r="Y175" s="551" t="s">
        <v>1418</v>
      </c>
      <c r="Z175" s="4">
        <v>28</v>
      </c>
      <c r="AA175" s="5">
        <f>Tabelle1[[#This Row],[biologische
Abbaubarkeit '[%']]]/Z175</f>
        <v>0.10714285714285714</v>
      </c>
      <c r="AB175" s="5"/>
      <c r="AC17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75" s="97">
        <f>IF(Tabelle1[[#This Row],[Nicht einbezogen weil…]]="",IFERROR(1000*Tabelle1[[#This Row],[Formfaktor]]/Tabelle1[[#This Row],[Thickness '[mm']]],""),"")</f>
        <v>20000</v>
      </c>
      <c r="AE175" s="98">
        <f>IF(Tabelle1[[#This Row],[Nicht einbezogen weil…]]="",IFERROR(Tabelle1[[#This Row],[specific surface '[m^2/m^3']]]/Tabelle1[[#This Row],[Density 
'[g/cm3']]]/1000000,""),"")</f>
        <v>1.6393442622950821E-2</v>
      </c>
      <c r="AF175" s="97">
        <f>IF(Tabelle1[[#This Row],[Nicht einbezogen weil…]]="",IFERROR(365*10*Tabelle1[[#This Row],[Abbaurate '[%/d']]]*Tabelle1[[#This Row],[Thickness '[mm']]]/Tabelle1[[#This Row],[Formfaktor]],""),"")</f>
        <v>19.553571428571431</v>
      </c>
      <c r="AG175" s="99">
        <f>IF(OR(Tabelle1[[#This Row],[Nicht einbezogen weil…]]="",Tabelle1[[#This Row],[Nicht einbezogen weil…]]="nicht-natürlich"),IF(Tabelle1[[#This Row],[Formfaktor]]=2, 1,IF(Tabelle1[[#This Row],[Formfaktor]]=4,2,IF(Tabelle1[[#This Row],[Formfaktor]]=6,3,""))),"")</f>
        <v>1</v>
      </c>
      <c r="AH175" s="97">
        <f>IF(OR(Tabelle1[[#This Row],[Nicht einbezogen weil…]]="",Tabelle1[[#This Row],[Nicht einbezogen weil…]]="nicht-natürlich"),IFERROR(Tabelle1[[#This Row],[Thickness '[mm']]]/Tabelle1[[#This Row],[Dauer des Abbaus
'[Tage']]]*1000*0.5*365*(1-(1-Tabelle1[[#This Row],[Abbaurate '[%/d']]]/100*Tabelle1[[#This Row],[Dauer des Abbaus
'[Tage']]])^(1/Tabelle1[[#This Row],[Exponent]])),""),"")</f>
        <v>19.553571428571448</v>
      </c>
      <c r="AI17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PBS_Süßwasser_natürlich</v>
      </c>
      <c r="AJ175" s="71">
        <v>1</v>
      </c>
      <c r="AK17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75" s="3" t="s">
        <v>699</v>
      </c>
      <c r="AO175" s="3" t="s">
        <v>200</v>
      </c>
      <c r="AP175" s="3" t="s">
        <v>200</v>
      </c>
      <c r="AT175" s="10" t="s">
        <v>223</v>
      </c>
      <c r="AU175" s="13" t="s">
        <v>200</v>
      </c>
      <c r="AW175" s="10" t="s">
        <v>775</v>
      </c>
    </row>
    <row r="176" spans="1:49" ht="17.25" customHeight="1">
      <c r="A176" s="10" t="s">
        <v>223</v>
      </c>
      <c r="B176" s="109" t="s">
        <v>42</v>
      </c>
      <c r="C176" s="3" t="s">
        <v>116</v>
      </c>
      <c r="D176" s="3" t="s">
        <v>223</v>
      </c>
      <c r="E176" s="10"/>
      <c r="F176" s="12" t="s">
        <v>198</v>
      </c>
      <c r="G176" s="12">
        <v>0.1</v>
      </c>
      <c r="H176" s="12" t="s">
        <v>341</v>
      </c>
      <c r="I176" s="24">
        <v>1.22</v>
      </c>
      <c r="M176" s="3" t="s">
        <v>301</v>
      </c>
      <c r="N176" s="3" t="s">
        <v>119</v>
      </c>
      <c r="O176" s="3" t="s">
        <v>1081</v>
      </c>
      <c r="P17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6" s="4">
        <v>25</v>
      </c>
      <c r="U176" s="4" t="s">
        <v>12</v>
      </c>
      <c r="W176" s="3" t="s">
        <v>13</v>
      </c>
      <c r="Y176" s="551" t="s">
        <v>1419</v>
      </c>
      <c r="Z176" s="4">
        <v>28</v>
      </c>
      <c r="AA176" s="5">
        <f>Tabelle1[[#This Row],[biologische
Abbaubarkeit '[%']]]/Z176</f>
        <v>0.7857142857142857</v>
      </c>
      <c r="AB176" s="5"/>
      <c r="AC17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76" s="97">
        <f>IF(Tabelle1[[#This Row],[Nicht einbezogen weil…]]="",IFERROR(1000*Tabelle1[[#This Row],[Formfaktor]]/Tabelle1[[#This Row],[Thickness '[mm']]],""),"")</f>
        <v>20000</v>
      </c>
      <c r="AE176" s="98">
        <f>IF(Tabelle1[[#This Row],[Nicht einbezogen weil…]]="",IFERROR(Tabelle1[[#This Row],[specific surface '[m^2/m^3']]]/Tabelle1[[#This Row],[Density 
'[g/cm3']]]/1000000,""),"")</f>
        <v>1.6393442622950821E-2</v>
      </c>
      <c r="AF176" s="97">
        <f>IF(Tabelle1[[#This Row],[Nicht einbezogen weil…]]="",IFERROR(365*10*Tabelle1[[#This Row],[Abbaurate '[%/d']]]*Tabelle1[[#This Row],[Thickness '[mm']]]/Tabelle1[[#This Row],[Formfaktor]],""),"")</f>
        <v>143.39285714285714</v>
      </c>
      <c r="AG176" s="99">
        <f>IF(OR(Tabelle1[[#This Row],[Nicht einbezogen weil…]]="",Tabelle1[[#This Row],[Nicht einbezogen weil…]]="nicht-natürlich"),IF(Tabelle1[[#This Row],[Formfaktor]]=2, 1,IF(Tabelle1[[#This Row],[Formfaktor]]=4,2,IF(Tabelle1[[#This Row],[Formfaktor]]=6,3,""))),"")</f>
        <v>1</v>
      </c>
      <c r="AH176" s="97">
        <f>IF(OR(Tabelle1[[#This Row],[Nicht einbezogen weil…]]="",Tabelle1[[#This Row],[Nicht einbezogen weil…]]="nicht-natürlich"),IFERROR(Tabelle1[[#This Row],[Thickness '[mm']]]/Tabelle1[[#This Row],[Dauer des Abbaus
'[Tage']]]*1000*0.5*365*(1-(1-Tabelle1[[#This Row],[Abbaurate '[%/d']]]/100*Tabelle1[[#This Row],[Dauer des Abbaus
'[Tage']]])^(1/Tabelle1[[#This Row],[Exponent]])),""),"")</f>
        <v>143.39285714285714</v>
      </c>
      <c r="AI17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PBS_Süßwasser_natürlich</v>
      </c>
      <c r="AJ176" s="71">
        <v>1</v>
      </c>
      <c r="AK17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76" s="3" t="s">
        <v>699</v>
      </c>
      <c r="AO176" s="3" t="s">
        <v>200</v>
      </c>
      <c r="AP176" s="3" t="s">
        <v>200</v>
      </c>
      <c r="AT176" s="10" t="s">
        <v>223</v>
      </c>
      <c r="AU176" s="13" t="s">
        <v>200</v>
      </c>
      <c r="AW176" s="10" t="s">
        <v>775</v>
      </c>
    </row>
    <row r="177" spans="1:49" ht="17.25" customHeight="1">
      <c r="A177" s="10" t="s">
        <v>223</v>
      </c>
      <c r="B177" s="109" t="s">
        <v>42</v>
      </c>
      <c r="C177" s="3" t="s">
        <v>116</v>
      </c>
      <c r="D177" s="3" t="s">
        <v>223</v>
      </c>
      <c r="E177" s="10"/>
      <c r="F177" s="12" t="s">
        <v>198</v>
      </c>
      <c r="G177" s="12">
        <v>0.1</v>
      </c>
      <c r="H177" s="12" t="s">
        <v>341</v>
      </c>
      <c r="I177" s="24">
        <v>1.22</v>
      </c>
      <c r="M177" s="3" t="s">
        <v>301</v>
      </c>
      <c r="N177" s="3" t="s">
        <v>119</v>
      </c>
      <c r="O177" s="3" t="s">
        <v>1081</v>
      </c>
      <c r="P17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7" s="4">
        <v>25</v>
      </c>
      <c r="U177" s="4" t="s">
        <v>12</v>
      </c>
      <c r="W177" s="3" t="s">
        <v>506</v>
      </c>
      <c r="Y177" s="551" t="s">
        <v>1421</v>
      </c>
      <c r="Z177" s="4">
        <v>28</v>
      </c>
      <c r="AA177" s="5">
        <f>Tabelle1[[#This Row],[biologische
Abbaubarkeit '[%']]]/Z177</f>
        <v>0.42857142857142855</v>
      </c>
      <c r="AB177" s="5"/>
      <c r="AC17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77" s="97">
        <f>IF(Tabelle1[[#This Row],[Nicht einbezogen weil…]]="",IFERROR(1000*Tabelle1[[#This Row],[Formfaktor]]/Tabelle1[[#This Row],[Thickness '[mm']]],""),"")</f>
        <v>20000</v>
      </c>
      <c r="AE177" s="98">
        <f>IF(Tabelle1[[#This Row],[Nicht einbezogen weil…]]="",IFERROR(Tabelle1[[#This Row],[specific surface '[m^2/m^3']]]/Tabelle1[[#This Row],[Density 
'[g/cm3']]]/1000000,""),"")</f>
        <v>1.6393442622950821E-2</v>
      </c>
      <c r="AF177" s="97">
        <f>IF(Tabelle1[[#This Row],[Nicht einbezogen weil…]]="",IFERROR(365*10*Tabelle1[[#This Row],[Abbaurate '[%/d']]]*Tabelle1[[#This Row],[Thickness '[mm']]]/Tabelle1[[#This Row],[Formfaktor]],""),"")</f>
        <v>78.214285714285722</v>
      </c>
      <c r="AG177" s="99">
        <f>IF(OR(Tabelle1[[#This Row],[Nicht einbezogen weil…]]="",Tabelle1[[#This Row],[Nicht einbezogen weil…]]="nicht-natürlich"),IF(Tabelle1[[#This Row],[Formfaktor]]=2, 1,IF(Tabelle1[[#This Row],[Formfaktor]]=4,2,IF(Tabelle1[[#This Row],[Formfaktor]]=6,3,""))),"")</f>
        <v>1</v>
      </c>
      <c r="AH177" s="97">
        <f>IF(OR(Tabelle1[[#This Row],[Nicht einbezogen weil…]]="",Tabelle1[[#This Row],[Nicht einbezogen weil…]]="nicht-natürlich"),IFERROR(Tabelle1[[#This Row],[Thickness '[mm']]]/Tabelle1[[#This Row],[Dauer des Abbaus
'[Tage']]]*1000*0.5*365*(1-(1-Tabelle1[[#This Row],[Abbaurate '[%/d']]]/100*Tabelle1[[#This Row],[Dauer des Abbaus
'[Tage']]])^(1/Tabelle1[[#This Row],[Exponent]])),""),"")</f>
        <v>78.214285714285722</v>
      </c>
      <c r="AI17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PBS_Süßwasser_natürlich</v>
      </c>
      <c r="AJ177" s="71">
        <v>1</v>
      </c>
      <c r="AK17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77" s="3" t="s">
        <v>699</v>
      </c>
      <c r="AO177" s="3" t="s">
        <v>200</v>
      </c>
      <c r="AP177" s="3" t="s">
        <v>200</v>
      </c>
      <c r="AT177" s="10" t="s">
        <v>223</v>
      </c>
      <c r="AU177" s="13" t="s">
        <v>200</v>
      </c>
      <c r="AW177" s="10" t="s">
        <v>775</v>
      </c>
    </row>
    <row r="178" spans="1:49" ht="17.25" customHeight="1">
      <c r="B178" s="7" t="s">
        <v>48</v>
      </c>
      <c r="C178" s="3" t="s">
        <v>48</v>
      </c>
      <c r="E178" s="10"/>
      <c r="F178" s="3" t="s">
        <v>198</v>
      </c>
      <c r="G178" s="3">
        <v>0.1</v>
      </c>
      <c r="I178" s="108" t="s">
        <v>596</v>
      </c>
      <c r="M178" s="3" t="s">
        <v>301</v>
      </c>
      <c r="N178" s="3" t="s">
        <v>105</v>
      </c>
      <c r="O178" s="3" t="s">
        <v>23</v>
      </c>
      <c r="P17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8" s="4">
        <v>25</v>
      </c>
      <c r="U178" s="4" t="s">
        <v>12</v>
      </c>
      <c r="W178" s="3" t="s">
        <v>13</v>
      </c>
      <c r="Y178" s="4">
        <v>25</v>
      </c>
      <c r="Z178" s="4">
        <v>70</v>
      </c>
      <c r="AA178" s="5">
        <f t="shared" ref="AA178:AA185" si="9">Y178/Z178</f>
        <v>0.35714285714285715</v>
      </c>
      <c r="AB178" s="5"/>
      <c r="AC17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78" s="97" t="str">
        <f>IF(Tabelle1[[#This Row],[Nicht einbezogen weil…]]="",IFERROR(1000*Tabelle1[[#This Row],[Formfaktor]]/Tabelle1[[#This Row],[Thickness '[mm']]],""),"")</f>
        <v/>
      </c>
      <c r="AE178" s="98" t="str">
        <f>IF(Tabelle1[[#This Row],[Nicht einbezogen weil…]]="",IFERROR(Tabelle1[[#This Row],[specific surface '[m^2/m^3']]]/Tabelle1[[#This Row],[Density 
'[g/cm3']]]/1000000,""),"")</f>
        <v/>
      </c>
      <c r="AF178" s="97" t="str">
        <f>IF(Tabelle1[[#This Row],[Nicht einbezogen weil…]]="",IFERROR(365*10*Tabelle1[[#This Row],[Abbaurate '[%/d']]]*Tabelle1[[#This Row],[Thickness '[mm']]]/Tabelle1[[#This Row],[Formfaktor]],""),"")</f>
        <v/>
      </c>
      <c r="AG178" s="99" t="str">
        <f>IF(OR(Tabelle1[[#This Row],[Nicht einbezogen weil…]]="",Tabelle1[[#This Row],[Nicht einbezogen weil…]]="nicht-natürlich"),IF(Tabelle1[[#This Row],[Formfaktor]]=2, 1,IF(Tabelle1[[#This Row],[Formfaktor]]=4,2,IF(Tabelle1[[#This Row],[Formfaktor]]=6,3,""))),"")</f>
        <v/>
      </c>
      <c r="AH17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7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78" s="6">
        <v>0</v>
      </c>
      <c r="AK17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178" s="3" t="s">
        <v>106</v>
      </c>
      <c r="AM178" s="3" t="s">
        <v>196</v>
      </c>
      <c r="AO178" s="3" t="s">
        <v>223</v>
      </c>
      <c r="AP178" s="3" t="s">
        <v>223</v>
      </c>
      <c r="AT178" s="10" t="s">
        <v>223</v>
      </c>
      <c r="AU178" s="76" t="s">
        <v>695</v>
      </c>
      <c r="AV178" s="10" t="s">
        <v>589</v>
      </c>
      <c r="AW178" s="10" t="s">
        <v>813</v>
      </c>
    </row>
    <row r="179" spans="1:49" ht="17.25" customHeight="1">
      <c r="B179" s="7" t="s">
        <v>48</v>
      </c>
      <c r="C179" s="3" t="s">
        <v>48</v>
      </c>
      <c r="D179" s="3" t="s">
        <v>200</v>
      </c>
      <c r="E179" s="10" t="s">
        <v>205</v>
      </c>
      <c r="F179" s="3" t="s">
        <v>288</v>
      </c>
      <c r="G179" s="3">
        <v>0.02</v>
      </c>
      <c r="H179" s="3">
        <f>0.02*0.02</f>
        <v>4.0000000000000002E-4</v>
      </c>
      <c r="I179" s="77">
        <v>1.1100000000000001</v>
      </c>
      <c r="J179" s="3" t="s">
        <v>511</v>
      </c>
      <c r="L179" s="3" t="s">
        <v>199</v>
      </c>
      <c r="M179" s="3" t="s">
        <v>223</v>
      </c>
      <c r="N179" s="3" t="s">
        <v>515</v>
      </c>
      <c r="O179" s="3" t="s">
        <v>256</v>
      </c>
      <c r="P17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79" s="4">
        <v>30</v>
      </c>
      <c r="U179" s="4" t="s">
        <v>12</v>
      </c>
      <c r="W179" s="3" t="s">
        <v>13</v>
      </c>
      <c r="Y179" s="4">
        <v>7.6</v>
      </c>
      <c r="Z179" s="4">
        <v>28</v>
      </c>
      <c r="AA179" s="5">
        <f t="shared" si="9"/>
        <v>0.27142857142857141</v>
      </c>
      <c r="AB179" s="5"/>
      <c r="AC17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79" s="97" t="str">
        <f>IF(Tabelle1[[#This Row],[Nicht einbezogen weil…]]="",IFERROR(1000*Tabelle1[[#This Row],[Formfaktor]]/Tabelle1[[#This Row],[Thickness '[mm']]],""),"")</f>
        <v/>
      </c>
      <c r="AE179" s="98" t="str">
        <f>IF(Tabelle1[[#This Row],[Nicht einbezogen weil…]]="",IFERROR(Tabelle1[[#This Row],[specific surface '[m^2/m^3']]]/Tabelle1[[#This Row],[Density 
'[g/cm3']]]/1000000,""),"")</f>
        <v/>
      </c>
      <c r="AF179" s="97" t="str">
        <f>IF(Tabelle1[[#This Row],[Nicht einbezogen weil…]]="",IFERROR(365*10*Tabelle1[[#This Row],[Abbaurate '[%/d']]]*Tabelle1[[#This Row],[Thickness '[mm']]]/Tabelle1[[#This Row],[Formfaktor]],""),"")</f>
        <v/>
      </c>
      <c r="AG179" s="99" t="str">
        <f>IF(OR(Tabelle1[[#This Row],[Nicht einbezogen weil…]]="",Tabelle1[[#This Row],[Nicht einbezogen weil…]]="nicht-natürlich"),IF(Tabelle1[[#This Row],[Formfaktor]]=2, 1,IF(Tabelle1[[#This Row],[Formfaktor]]=4,2,IF(Tabelle1[[#This Row],[Formfaktor]]=6,3,""))),"")</f>
        <v/>
      </c>
      <c r="AH17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7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79" s="71">
        <v>1</v>
      </c>
      <c r="AK17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79" s="3" t="s">
        <v>138</v>
      </c>
      <c r="AM179" s="3" t="s">
        <v>196</v>
      </c>
      <c r="AO179" s="3" t="s">
        <v>235</v>
      </c>
      <c r="AP179" s="3" t="s">
        <v>235</v>
      </c>
      <c r="AT179" s="10" t="s">
        <v>223</v>
      </c>
      <c r="AU179" s="13" t="s">
        <v>200</v>
      </c>
      <c r="AW179" s="10" t="s">
        <v>813</v>
      </c>
    </row>
    <row r="180" spans="1:49" ht="17.25" customHeight="1">
      <c r="B180" s="7" t="s">
        <v>48</v>
      </c>
      <c r="C180" s="3" t="s">
        <v>48</v>
      </c>
      <c r="D180" s="3" t="s">
        <v>200</v>
      </c>
      <c r="E180" s="10" t="s">
        <v>205</v>
      </c>
      <c r="F180" s="3" t="s">
        <v>288</v>
      </c>
      <c r="G180" s="3">
        <v>0.02</v>
      </c>
      <c r="H180" s="3">
        <f>0.02*0.02</f>
        <v>4.0000000000000002E-4</v>
      </c>
      <c r="I180" s="77">
        <v>1.1100000000000001</v>
      </c>
      <c r="J180" s="3" t="s">
        <v>511</v>
      </c>
      <c r="L180" s="3" t="s">
        <v>199</v>
      </c>
      <c r="M180" s="3" t="s">
        <v>223</v>
      </c>
      <c r="N180" s="3" t="s">
        <v>515</v>
      </c>
      <c r="O180" s="3" t="s">
        <v>256</v>
      </c>
      <c r="P18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80" s="4">
        <v>30</v>
      </c>
      <c r="U180" s="4" t="s">
        <v>12</v>
      </c>
      <c r="W180" s="3" t="s">
        <v>506</v>
      </c>
      <c r="Y180" s="4">
        <v>34.799999999999997</v>
      </c>
      <c r="Z180" s="4">
        <v>28</v>
      </c>
      <c r="AA180" s="5">
        <f t="shared" si="9"/>
        <v>1.2428571428571427</v>
      </c>
      <c r="AB180" s="5"/>
      <c r="AC18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80" s="97" t="str">
        <f>IF(Tabelle1[[#This Row],[Nicht einbezogen weil…]]="",IFERROR(1000*Tabelle1[[#This Row],[Formfaktor]]/Tabelle1[[#This Row],[Thickness '[mm']]],""),"")</f>
        <v/>
      </c>
      <c r="AE180" s="98" t="str">
        <f>IF(Tabelle1[[#This Row],[Nicht einbezogen weil…]]="",IFERROR(Tabelle1[[#This Row],[specific surface '[m^2/m^3']]]/Tabelle1[[#This Row],[Density 
'[g/cm3']]]/1000000,""),"")</f>
        <v/>
      </c>
      <c r="AF180" s="97" t="str">
        <f>IF(Tabelle1[[#This Row],[Nicht einbezogen weil…]]="",IFERROR(365*10*Tabelle1[[#This Row],[Abbaurate '[%/d']]]*Tabelle1[[#This Row],[Thickness '[mm']]]/Tabelle1[[#This Row],[Formfaktor]],""),"")</f>
        <v/>
      </c>
      <c r="AG180" s="99" t="str">
        <f>IF(OR(Tabelle1[[#This Row],[Nicht einbezogen weil…]]="",Tabelle1[[#This Row],[Nicht einbezogen weil…]]="nicht-natürlich"),IF(Tabelle1[[#This Row],[Formfaktor]]=2, 1,IF(Tabelle1[[#This Row],[Formfaktor]]=4,2,IF(Tabelle1[[#This Row],[Formfaktor]]=6,3,""))),"")</f>
        <v/>
      </c>
      <c r="AH18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8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80" s="71">
        <v>1</v>
      </c>
      <c r="AK18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80" s="3" t="s">
        <v>138</v>
      </c>
      <c r="AM180" s="3" t="s">
        <v>196</v>
      </c>
      <c r="AO180" s="3" t="s">
        <v>235</v>
      </c>
      <c r="AP180" s="3" t="s">
        <v>235</v>
      </c>
      <c r="AT180" s="10" t="s">
        <v>223</v>
      </c>
      <c r="AU180" s="13" t="s">
        <v>200</v>
      </c>
      <c r="AW180" s="10" t="s">
        <v>813</v>
      </c>
    </row>
    <row r="181" spans="1:49" ht="17.25" customHeight="1">
      <c r="B181" s="7" t="s">
        <v>48</v>
      </c>
      <c r="C181" s="3" t="s">
        <v>48</v>
      </c>
      <c r="D181" s="3" t="s">
        <v>200</v>
      </c>
      <c r="E181" s="10" t="s">
        <v>205</v>
      </c>
      <c r="F181" s="3" t="s">
        <v>288</v>
      </c>
      <c r="G181" s="3">
        <v>0.02</v>
      </c>
      <c r="H181" s="3">
        <f>0.02*0.02</f>
        <v>4.0000000000000002E-4</v>
      </c>
      <c r="I181" s="77">
        <v>1.1100000000000001</v>
      </c>
      <c r="J181" s="3" t="s">
        <v>511</v>
      </c>
      <c r="L181" s="3" t="s">
        <v>199</v>
      </c>
      <c r="M181" s="3" t="s">
        <v>223</v>
      </c>
      <c r="N181" s="3" t="s">
        <v>515</v>
      </c>
      <c r="O181" s="3" t="s">
        <v>256</v>
      </c>
      <c r="P18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81" s="4">
        <v>30</v>
      </c>
      <c r="U181" s="4" t="s">
        <v>89</v>
      </c>
      <c r="W181" s="3" t="s">
        <v>13</v>
      </c>
      <c r="Y181" s="4">
        <v>0</v>
      </c>
      <c r="Z181" s="4">
        <v>28</v>
      </c>
      <c r="AA181" s="5">
        <f t="shared" si="9"/>
        <v>0</v>
      </c>
      <c r="AB181" s="5"/>
      <c r="AC18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81" s="97" t="str">
        <f>IF(Tabelle1[[#This Row],[Nicht einbezogen weil…]]="",IFERROR(1000*Tabelle1[[#This Row],[Formfaktor]]/Tabelle1[[#This Row],[Thickness '[mm']]],""),"")</f>
        <v/>
      </c>
      <c r="AE181" s="98" t="str">
        <f>IF(Tabelle1[[#This Row],[Nicht einbezogen weil…]]="",IFERROR(Tabelle1[[#This Row],[specific surface '[m^2/m^3']]]/Tabelle1[[#This Row],[Density 
'[g/cm3']]]/1000000,""),"")</f>
        <v/>
      </c>
      <c r="AF181" s="97" t="str">
        <f>IF(Tabelle1[[#This Row],[Nicht einbezogen weil…]]="",IFERROR(365*10*Tabelle1[[#This Row],[Abbaurate '[%/d']]]*Tabelle1[[#This Row],[Thickness '[mm']]]/Tabelle1[[#This Row],[Formfaktor]],""),"")</f>
        <v/>
      </c>
      <c r="AG181" s="99" t="str">
        <f>IF(OR(Tabelle1[[#This Row],[Nicht einbezogen weil…]]="",Tabelle1[[#This Row],[Nicht einbezogen weil…]]="nicht-natürlich"),IF(Tabelle1[[#This Row],[Formfaktor]]=2, 1,IF(Tabelle1[[#This Row],[Formfaktor]]=4,2,IF(Tabelle1[[#This Row],[Formfaktor]]=6,3,""))),"")</f>
        <v/>
      </c>
      <c r="AH18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8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81" s="71">
        <v>1</v>
      </c>
      <c r="AK18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81" s="3" t="s">
        <v>138</v>
      </c>
      <c r="AM181" s="3" t="s">
        <v>196</v>
      </c>
      <c r="AN181" s="3" t="s">
        <v>538</v>
      </c>
      <c r="AO181" s="3" t="s">
        <v>235</v>
      </c>
      <c r="AP181" s="3" t="s">
        <v>235</v>
      </c>
      <c r="AT181" s="10" t="s">
        <v>223</v>
      </c>
      <c r="AU181" s="13" t="s">
        <v>200</v>
      </c>
      <c r="AW181" s="10" t="s">
        <v>813</v>
      </c>
    </row>
    <row r="182" spans="1:49" ht="17.25" customHeight="1">
      <c r="B182" s="7" t="s">
        <v>48</v>
      </c>
      <c r="C182" s="3" t="s">
        <v>48</v>
      </c>
      <c r="D182" s="3" t="s">
        <v>223</v>
      </c>
      <c r="E182" s="10"/>
      <c r="F182" s="3" t="s">
        <v>241</v>
      </c>
      <c r="G182" s="17">
        <f>AVERAGE(0.063,0.25)</f>
        <v>0.1565</v>
      </c>
      <c r="H182" s="106">
        <f>4*PI()*((G182/2)^2)</f>
        <v>7.6944672669884612E-2</v>
      </c>
      <c r="I182" s="77">
        <v>1.1100000000000001</v>
      </c>
      <c r="J182" s="3" t="s">
        <v>612</v>
      </c>
      <c r="K182" s="3" t="s">
        <v>1133</v>
      </c>
      <c r="M182" s="3" t="s">
        <v>223</v>
      </c>
      <c r="N182" s="3" t="s">
        <v>461</v>
      </c>
      <c r="O182" s="3" t="s">
        <v>358</v>
      </c>
      <c r="P18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82" s="4">
        <v>55</v>
      </c>
      <c r="W182" s="3" t="s">
        <v>90</v>
      </c>
      <c r="Y182" s="4">
        <v>38</v>
      </c>
      <c r="Z182" s="4">
        <v>6</v>
      </c>
      <c r="AA182" s="5">
        <f t="shared" si="9"/>
        <v>6.333333333333333</v>
      </c>
      <c r="AB182" s="5"/>
      <c r="AC18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82" s="97" t="str">
        <f>IF(Tabelle1[[#This Row],[Nicht einbezogen weil…]]="",IFERROR(1000*Tabelle1[[#This Row],[Formfaktor]]/Tabelle1[[#This Row],[Thickness '[mm']]],""),"")</f>
        <v/>
      </c>
      <c r="AE182" s="98" t="str">
        <f>IF(Tabelle1[[#This Row],[Nicht einbezogen weil…]]="",IFERROR(Tabelle1[[#This Row],[specific surface '[m^2/m^3']]]/Tabelle1[[#This Row],[Density 
'[g/cm3']]]/1000000,""),"")</f>
        <v/>
      </c>
      <c r="AF182" s="97" t="str">
        <f>IF(Tabelle1[[#This Row],[Nicht einbezogen weil…]]="",IFERROR(365*10*Tabelle1[[#This Row],[Abbaurate '[%/d']]]*Tabelle1[[#This Row],[Thickness '[mm']]]/Tabelle1[[#This Row],[Formfaktor]],""),"")</f>
        <v/>
      </c>
      <c r="AG182" s="99">
        <f>IF(OR(Tabelle1[[#This Row],[Nicht einbezogen weil…]]="",Tabelle1[[#This Row],[Nicht einbezogen weil…]]="nicht-natürlich"),IF(Tabelle1[[#This Row],[Formfaktor]]=2, 1,IF(Tabelle1[[#This Row],[Formfaktor]]=4,2,IF(Tabelle1[[#This Row],[Formfaktor]]=6,3,""))),"")</f>
        <v>3</v>
      </c>
      <c r="AH182" s="97">
        <f>IF(OR(Tabelle1[[#This Row],[Nicht einbezogen weil…]]="",Tabelle1[[#This Row],[Nicht einbezogen weil…]]="nicht-natürlich"),IFERROR(Tabelle1[[#This Row],[Thickness '[mm']]]/Tabelle1[[#This Row],[Dauer des Abbaus
'[Tage']]]*1000*0.5*365*(1-(1-Tabelle1[[#This Row],[Abbaurate '[%/d']]]/100*Tabelle1[[#This Row],[Dauer des Abbaus
'[Tage']]])^(1/Tabelle1[[#This Row],[Exponent]])),""),"")</f>
        <v>701.16965106247437</v>
      </c>
      <c r="AI18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PCL_Boden/Kompost_nicht natürlich</v>
      </c>
      <c r="AJ182" s="71">
        <v>1</v>
      </c>
      <c r="AK18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182" s="3" t="s">
        <v>154</v>
      </c>
      <c r="AM182" s="3" t="s">
        <v>196</v>
      </c>
      <c r="AO182" s="3" t="s">
        <v>235</v>
      </c>
      <c r="AP182" s="3" t="s">
        <v>235</v>
      </c>
      <c r="AT182" s="10" t="s">
        <v>223</v>
      </c>
      <c r="AU182" s="13" t="s">
        <v>200</v>
      </c>
      <c r="AW182" s="17" t="s">
        <v>816</v>
      </c>
    </row>
    <row r="183" spans="1:49" ht="17.25" customHeight="1">
      <c r="B183" s="7" t="s">
        <v>48</v>
      </c>
      <c r="C183" s="3" t="s">
        <v>183</v>
      </c>
      <c r="E183" s="10"/>
      <c r="F183" s="3" t="s">
        <v>241</v>
      </c>
      <c r="G183" s="3" t="s">
        <v>341</v>
      </c>
      <c r="I183" s="77">
        <v>1.1100000000000001</v>
      </c>
      <c r="M183" s="3" t="s">
        <v>223</v>
      </c>
      <c r="N183" s="3" t="s">
        <v>3</v>
      </c>
      <c r="O183" s="3" t="s">
        <v>358</v>
      </c>
      <c r="P18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83" s="4">
        <v>58</v>
      </c>
      <c r="T183" s="4">
        <v>65</v>
      </c>
      <c r="W183" s="3" t="s">
        <v>90</v>
      </c>
      <c r="Y183" s="4">
        <v>88</v>
      </c>
      <c r="Z183" s="4">
        <v>28</v>
      </c>
      <c r="AA183" s="5">
        <f t="shared" si="9"/>
        <v>3.1428571428571428</v>
      </c>
      <c r="AB183" s="5"/>
      <c r="AC18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183" s="97" t="str">
        <f>IF(Tabelle1[[#This Row],[Nicht einbezogen weil…]]="",IFERROR(1000*Tabelle1[[#This Row],[Formfaktor]]/Tabelle1[[#This Row],[Thickness '[mm']]],""),"")</f>
        <v/>
      </c>
      <c r="AE183" s="98" t="str">
        <f>IF(Tabelle1[[#This Row],[Nicht einbezogen weil…]]="",IFERROR(Tabelle1[[#This Row],[specific surface '[m^2/m^3']]]/Tabelle1[[#This Row],[Density 
'[g/cm3']]]/1000000,""),"")</f>
        <v/>
      </c>
      <c r="AF183" s="97" t="str">
        <f>IF(Tabelle1[[#This Row],[Nicht einbezogen weil…]]="",IFERROR(365*10*Tabelle1[[#This Row],[Abbaurate '[%/d']]]*Tabelle1[[#This Row],[Thickness '[mm']]]/Tabelle1[[#This Row],[Formfaktor]],""),"")</f>
        <v/>
      </c>
      <c r="AG183" s="99" t="str">
        <f>IF(OR(Tabelle1[[#This Row],[Nicht einbezogen weil…]]="",Tabelle1[[#This Row],[Nicht einbezogen weil…]]="nicht-natürlich"),IF(Tabelle1[[#This Row],[Formfaktor]]=2, 1,IF(Tabelle1[[#This Row],[Formfaktor]]=4,2,IF(Tabelle1[[#This Row],[Formfaktor]]=6,3,""))),"")</f>
        <v/>
      </c>
      <c r="AH18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8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83" s="6">
        <v>0</v>
      </c>
      <c r="AK18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183" s="3" t="s">
        <v>181</v>
      </c>
      <c r="AO183" s="3" t="s">
        <v>223</v>
      </c>
      <c r="AP183" s="3" t="s">
        <v>223</v>
      </c>
      <c r="AT183" s="10" t="s">
        <v>223</v>
      </c>
      <c r="AU183" s="76" t="s">
        <v>695</v>
      </c>
      <c r="AV183" s="10" t="s">
        <v>589</v>
      </c>
      <c r="AW183" s="10" t="s">
        <v>813</v>
      </c>
    </row>
    <row r="184" spans="1:49" ht="17.25" customHeight="1">
      <c r="B184" s="11" t="s">
        <v>48</v>
      </c>
      <c r="C184" s="3" t="s">
        <v>636</v>
      </c>
      <c r="D184" s="3" t="s">
        <v>223</v>
      </c>
      <c r="E184" s="10"/>
      <c r="F184" s="74" t="s">
        <v>341</v>
      </c>
      <c r="G184" s="74" t="s">
        <v>341</v>
      </c>
      <c r="H184" s="74" t="s">
        <v>341</v>
      </c>
      <c r="I184" s="77">
        <v>1.1100000000000001</v>
      </c>
      <c r="M184" s="3" t="s">
        <v>223</v>
      </c>
      <c r="N184" s="3" t="s">
        <v>655</v>
      </c>
      <c r="O184" s="3" t="s">
        <v>294</v>
      </c>
      <c r="P18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184" s="4">
        <v>30</v>
      </c>
      <c r="U184" s="4" t="s">
        <v>12</v>
      </c>
      <c r="W184" s="3" t="s">
        <v>190</v>
      </c>
      <c r="Y184" s="4">
        <v>25.68</v>
      </c>
      <c r="Z184" s="4">
        <v>14</v>
      </c>
      <c r="AA184" s="5">
        <f t="shared" si="9"/>
        <v>1.8342857142857143</v>
      </c>
      <c r="AB184" s="5"/>
      <c r="AC184"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84" s="97" t="str">
        <f>IF(Tabelle1[[#This Row],[Nicht einbezogen weil…]]="",IFERROR(1000*Tabelle1[[#This Row],[Formfaktor]]/Tabelle1[[#This Row],[Thickness '[mm']]],""),"")</f>
        <v/>
      </c>
      <c r="AE184" s="98" t="str">
        <f>IF(Tabelle1[[#This Row],[Nicht einbezogen weil…]]="",IFERROR(Tabelle1[[#This Row],[specific surface '[m^2/m^3']]]/Tabelle1[[#This Row],[Density 
'[g/cm3']]]/1000000,""),"")</f>
        <v/>
      </c>
      <c r="AF184" s="97" t="str">
        <f>IF(Tabelle1[[#This Row],[Nicht einbezogen weil…]]="",IFERROR(365*10*Tabelle1[[#This Row],[Abbaurate '[%/d']]]*Tabelle1[[#This Row],[Thickness '[mm']]]/Tabelle1[[#This Row],[Formfaktor]],""),"")</f>
        <v/>
      </c>
      <c r="AG184" s="99" t="str">
        <f>IF(OR(Tabelle1[[#This Row],[Nicht einbezogen weil…]]="",Tabelle1[[#This Row],[Nicht einbezogen weil…]]="nicht-natürlich"),IF(Tabelle1[[#This Row],[Formfaktor]]=2, 1,IF(Tabelle1[[#This Row],[Formfaktor]]=4,2,IF(Tabelle1[[#This Row],[Formfaktor]]=6,3,""))),"")</f>
        <v/>
      </c>
      <c r="AH18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8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84" s="71">
        <v>1</v>
      </c>
      <c r="AK18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84" s="3" t="s">
        <v>386</v>
      </c>
      <c r="AM184" s="3" t="s">
        <v>962</v>
      </c>
      <c r="AN184" s="3" t="s">
        <v>538</v>
      </c>
      <c r="AO184" s="3" t="s">
        <v>200</v>
      </c>
      <c r="AP184" s="3" t="s">
        <v>200</v>
      </c>
      <c r="AT184" s="10" t="s">
        <v>223</v>
      </c>
      <c r="AU184" s="13" t="s">
        <v>200</v>
      </c>
      <c r="AW184" s="10" t="s">
        <v>813</v>
      </c>
    </row>
    <row r="185" spans="1:49" ht="17.25" customHeight="1">
      <c r="B185" s="7" t="s">
        <v>48</v>
      </c>
      <c r="C185" s="3" t="s">
        <v>48</v>
      </c>
      <c r="D185" s="3" t="s">
        <v>223</v>
      </c>
      <c r="E185" s="10"/>
      <c r="F185" s="3" t="s">
        <v>198</v>
      </c>
      <c r="G185" s="74" t="s">
        <v>341</v>
      </c>
      <c r="H185" s="74" t="s">
        <v>341</v>
      </c>
      <c r="I185" s="77">
        <v>1.1100000000000001</v>
      </c>
      <c r="M185" s="3" t="s">
        <v>200</v>
      </c>
      <c r="N185" s="3" t="s">
        <v>95</v>
      </c>
      <c r="O185" s="3" t="s">
        <v>23</v>
      </c>
      <c r="P18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85" s="4" t="s">
        <v>81</v>
      </c>
      <c r="R185" s="4">
        <v>8.1999999999999993</v>
      </c>
      <c r="U185" s="4" t="s">
        <v>12</v>
      </c>
      <c r="W185" s="3" t="s">
        <v>13</v>
      </c>
      <c r="Y185" s="4">
        <v>100</v>
      </c>
      <c r="Z185" s="4">
        <v>42</v>
      </c>
      <c r="AA185" s="5">
        <f t="shared" si="9"/>
        <v>2.3809523809523809</v>
      </c>
      <c r="AB185" s="5"/>
      <c r="AC18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85" s="97" t="str">
        <f>IF(Tabelle1[[#This Row],[Nicht einbezogen weil…]]="",IFERROR(1000*Tabelle1[[#This Row],[Formfaktor]]/Tabelle1[[#This Row],[Thickness '[mm']]],""),"")</f>
        <v/>
      </c>
      <c r="AE185" s="98" t="str">
        <f>IF(Tabelle1[[#This Row],[Nicht einbezogen weil…]]="",IFERROR(Tabelle1[[#This Row],[specific surface '[m^2/m^3']]]/Tabelle1[[#This Row],[Density 
'[g/cm3']]]/1000000,""),"")</f>
        <v/>
      </c>
      <c r="AF185" s="97" t="str">
        <f>IF(Tabelle1[[#This Row],[Nicht einbezogen weil…]]="",IFERROR(365*10*Tabelle1[[#This Row],[Abbaurate '[%/d']]]*Tabelle1[[#This Row],[Thickness '[mm']]]/Tabelle1[[#This Row],[Formfaktor]],""),"")</f>
        <v/>
      </c>
      <c r="AG185" s="99" t="str">
        <f>IF(OR(Tabelle1[[#This Row],[Nicht einbezogen weil…]]="",Tabelle1[[#This Row],[Nicht einbezogen weil…]]="nicht-natürlich"),IF(Tabelle1[[#This Row],[Formfaktor]]=2, 1,IF(Tabelle1[[#This Row],[Formfaktor]]=4,2,IF(Tabelle1[[#This Row],[Formfaktor]]=6,3,""))),"")</f>
        <v/>
      </c>
      <c r="AH18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8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85" s="71">
        <v>1</v>
      </c>
      <c r="AK18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85" s="3" t="s">
        <v>85</v>
      </c>
      <c r="AO185" s="3" t="s">
        <v>200</v>
      </c>
      <c r="AP185" s="3" t="s">
        <v>200</v>
      </c>
      <c r="AT185" s="10" t="s">
        <v>223</v>
      </c>
      <c r="AU185" s="13" t="s">
        <v>200</v>
      </c>
      <c r="AW185" s="10" t="s">
        <v>813</v>
      </c>
    </row>
    <row r="186" spans="1:49" ht="17.25" customHeight="1">
      <c r="A186" s="10" t="s">
        <v>223</v>
      </c>
      <c r="B186" s="109" t="s">
        <v>42</v>
      </c>
      <c r="C186" s="3" t="s">
        <v>116</v>
      </c>
      <c r="D186" s="3" t="s">
        <v>223</v>
      </c>
      <c r="E186" s="10"/>
      <c r="F186" s="12" t="s">
        <v>198</v>
      </c>
      <c r="G186" s="12">
        <v>0.1</v>
      </c>
      <c r="H186" s="12" t="s">
        <v>341</v>
      </c>
      <c r="I186" s="24">
        <v>1.22</v>
      </c>
      <c r="M186" s="3" t="s">
        <v>301</v>
      </c>
      <c r="N186" s="3" t="s">
        <v>120</v>
      </c>
      <c r="O186" s="3" t="s">
        <v>23</v>
      </c>
      <c r="P18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86" s="4">
        <v>25</v>
      </c>
      <c r="U186" s="4" t="s">
        <v>12</v>
      </c>
      <c r="W186" s="3" t="s">
        <v>13</v>
      </c>
      <c r="Y186" s="4">
        <v>2</v>
      </c>
      <c r="Z186" s="4">
        <v>28</v>
      </c>
      <c r="AA186" s="5">
        <f>Tabelle1[[#This Row],[biologische
Abbaubarkeit '[%']]]/Z186</f>
        <v>7.1428571428571425E-2</v>
      </c>
      <c r="AB186" s="5"/>
      <c r="AC18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86" s="97">
        <f>IF(Tabelle1[[#This Row],[Nicht einbezogen weil…]]="",IFERROR(1000*Tabelle1[[#This Row],[Formfaktor]]/Tabelle1[[#This Row],[Thickness '[mm']]],""),"")</f>
        <v>20000</v>
      </c>
      <c r="AE186" s="98">
        <f>IF(Tabelle1[[#This Row],[Nicht einbezogen weil…]]="",IFERROR(Tabelle1[[#This Row],[specific surface '[m^2/m^3']]]/Tabelle1[[#This Row],[Density 
'[g/cm3']]]/1000000,""),"")</f>
        <v>1.6393442622950821E-2</v>
      </c>
      <c r="AF186" s="97">
        <f>IF(Tabelle1[[#This Row],[Nicht einbezogen weil…]]="",IFERROR(365*10*Tabelle1[[#This Row],[Abbaurate '[%/d']]]*Tabelle1[[#This Row],[Thickness '[mm']]]/Tabelle1[[#This Row],[Formfaktor]],""),"")</f>
        <v>13.035714285714286</v>
      </c>
      <c r="AG186" s="99">
        <f>IF(OR(Tabelle1[[#This Row],[Nicht einbezogen weil…]]="",Tabelle1[[#This Row],[Nicht einbezogen weil…]]="nicht-natürlich"),IF(Tabelle1[[#This Row],[Formfaktor]]=2, 1,IF(Tabelle1[[#This Row],[Formfaktor]]=4,2,IF(Tabelle1[[#This Row],[Formfaktor]]=6,3,""))),"")</f>
        <v>1</v>
      </c>
      <c r="AH186" s="97">
        <f>IF(OR(Tabelle1[[#This Row],[Nicht einbezogen weil…]]="",Tabelle1[[#This Row],[Nicht einbezogen weil…]]="nicht-natürlich"),IFERROR(Tabelle1[[#This Row],[Thickness '[mm']]]/Tabelle1[[#This Row],[Dauer des Abbaus
'[Tage']]]*1000*0.5*365*(1-(1-Tabelle1[[#This Row],[Abbaurate '[%/d']]]/100*Tabelle1[[#This Row],[Dauer des Abbaus
'[Tage']]])^(1/Tabelle1[[#This Row],[Exponent]])),""),"")</f>
        <v>13.035714285714299</v>
      </c>
      <c r="AI18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PBS_Meerwasser_natürlich</v>
      </c>
      <c r="AJ186" s="71">
        <v>1</v>
      </c>
      <c r="AK18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86" s="3" t="s">
        <v>699</v>
      </c>
      <c r="AO186" s="3" t="s">
        <v>200</v>
      </c>
      <c r="AP186" s="3" t="s">
        <v>200</v>
      </c>
      <c r="AT186" s="10" t="s">
        <v>223</v>
      </c>
      <c r="AU186" s="13" t="s">
        <v>200</v>
      </c>
      <c r="AW186" s="10" t="s">
        <v>775</v>
      </c>
    </row>
    <row r="187" spans="1:49" ht="17.25" customHeight="1">
      <c r="A187" s="10" t="s">
        <v>223</v>
      </c>
      <c r="B187" s="109" t="s">
        <v>42</v>
      </c>
      <c r="C187" s="3" t="s">
        <v>116</v>
      </c>
      <c r="D187" s="3" t="s">
        <v>223</v>
      </c>
      <c r="E187" s="10"/>
      <c r="F187" s="12" t="s">
        <v>198</v>
      </c>
      <c r="G187" s="12">
        <v>0.1</v>
      </c>
      <c r="H187" s="12" t="s">
        <v>341</v>
      </c>
      <c r="I187" s="24">
        <v>1.22</v>
      </c>
      <c r="M187" s="3" t="s">
        <v>301</v>
      </c>
      <c r="N187" s="3" t="s">
        <v>120</v>
      </c>
      <c r="O187" s="3" t="s">
        <v>23</v>
      </c>
      <c r="P18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87" s="4">
        <v>25</v>
      </c>
      <c r="U187" s="4" t="s">
        <v>12</v>
      </c>
      <c r="W187" s="3" t="s">
        <v>506</v>
      </c>
      <c r="Y187" s="4">
        <v>1</v>
      </c>
      <c r="Z187" s="4">
        <v>28</v>
      </c>
      <c r="AA187" s="5">
        <f>Tabelle1[[#This Row],[biologische
Abbaubarkeit '[%']]]/Z187</f>
        <v>3.5714285714285712E-2</v>
      </c>
      <c r="AB187" s="5"/>
      <c r="AC18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87" s="97">
        <f>IF(Tabelle1[[#This Row],[Nicht einbezogen weil…]]="",IFERROR(1000*Tabelle1[[#This Row],[Formfaktor]]/Tabelle1[[#This Row],[Thickness '[mm']]],""),"")</f>
        <v>20000</v>
      </c>
      <c r="AE187" s="98">
        <f>IF(Tabelle1[[#This Row],[Nicht einbezogen weil…]]="",IFERROR(Tabelle1[[#This Row],[specific surface '[m^2/m^3']]]/Tabelle1[[#This Row],[Density 
'[g/cm3']]]/1000000,""),"")</f>
        <v>1.6393442622950821E-2</v>
      </c>
      <c r="AF187" s="97">
        <f>IF(Tabelle1[[#This Row],[Nicht einbezogen weil…]]="",IFERROR(365*10*Tabelle1[[#This Row],[Abbaurate '[%/d']]]*Tabelle1[[#This Row],[Thickness '[mm']]]/Tabelle1[[#This Row],[Formfaktor]],""),"")</f>
        <v>6.5178571428571432</v>
      </c>
      <c r="AG187" s="99">
        <f>IF(OR(Tabelle1[[#This Row],[Nicht einbezogen weil…]]="",Tabelle1[[#This Row],[Nicht einbezogen weil…]]="nicht-natürlich"),IF(Tabelle1[[#This Row],[Formfaktor]]=2, 1,IF(Tabelle1[[#This Row],[Formfaktor]]=4,2,IF(Tabelle1[[#This Row],[Formfaktor]]=6,3,""))),"")</f>
        <v>1</v>
      </c>
      <c r="AH187"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6.5178571428571495</v>
      </c>
      <c r="AI18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PBS_Meerwasser_natürlich</v>
      </c>
      <c r="AJ187" s="71">
        <v>1</v>
      </c>
      <c r="AK18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187" s="3" t="s">
        <v>699</v>
      </c>
      <c r="AO187" s="3" t="s">
        <v>200</v>
      </c>
      <c r="AP187" s="3" t="s">
        <v>200</v>
      </c>
      <c r="AT187" s="10" t="s">
        <v>223</v>
      </c>
      <c r="AU187" s="13" t="s">
        <v>200</v>
      </c>
      <c r="AW187" s="10" t="s">
        <v>775</v>
      </c>
    </row>
    <row r="188" spans="1:49" ht="17.25" customHeight="1">
      <c r="B188" s="7" t="s">
        <v>48</v>
      </c>
      <c r="C188" s="3" t="s">
        <v>48</v>
      </c>
      <c r="D188" s="3" t="s">
        <v>223</v>
      </c>
      <c r="E188" s="10"/>
      <c r="F188" s="3" t="s">
        <v>428</v>
      </c>
      <c r="G188" s="3">
        <v>0.06</v>
      </c>
      <c r="H188" s="3">
        <f t="shared" ref="H188:H193" si="10">0.15*0.02</f>
        <v>3.0000000000000001E-3</v>
      </c>
      <c r="I188" s="77">
        <v>1.1100000000000001</v>
      </c>
      <c r="J188" s="3" t="s">
        <v>427</v>
      </c>
      <c r="M188" s="3" t="s">
        <v>200</v>
      </c>
      <c r="N188" s="3" t="s">
        <v>429</v>
      </c>
      <c r="O188" s="3" t="s">
        <v>23</v>
      </c>
      <c r="P18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88" s="9" t="s">
        <v>432</v>
      </c>
      <c r="R188" s="9" t="s">
        <v>51</v>
      </c>
      <c r="U188" s="4" t="s">
        <v>12</v>
      </c>
      <c r="W188" s="3" t="s">
        <v>478</v>
      </c>
      <c r="X188" s="19" t="s">
        <v>431</v>
      </c>
      <c r="Y188" s="4">
        <v>61.7</v>
      </c>
      <c r="Z188" s="4">
        <f>6*7</f>
        <v>42</v>
      </c>
      <c r="AA188" s="5">
        <f t="shared" ref="AA188:AA196" si="11">Y188/Z188</f>
        <v>1.4690476190476192</v>
      </c>
      <c r="AB188" s="5"/>
      <c r="AC18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88" s="97" t="str">
        <f>IF(Tabelle1[[#This Row],[Nicht einbezogen weil…]]="",IFERROR(1000*Tabelle1[[#This Row],[Formfaktor]]/Tabelle1[[#This Row],[Thickness '[mm']]],""),"")</f>
        <v/>
      </c>
      <c r="AE188" s="98" t="str">
        <f>IF(Tabelle1[[#This Row],[Nicht einbezogen weil…]]="",IFERROR(Tabelle1[[#This Row],[specific surface '[m^2/m^3']]]/Tabelle1[[#This Row],[Density 
'[g/cm3']]]/1000000,""),"")</f>
        <v/>
      </c>
      <c r="AF188" s="97" t="str">
        <f>IF(Tabelle1[[#This Row],[Nicht einbezogen weil…]]="",IFERROR(365*10*Tabelle1[[#This Row],[Abbaurate '[%/d']]]*Tabelle1[[#This Row],[Thickness '[mm']]]/Tabelle1[[#This Row],[Formfaktor]],""),"")</f>
        <v/>
      </c>
      <c r="AG188" s="99" t="str">
        <f>IF(OR(Tabelle1[[#This Row],[Nicht einbezogen weil…]]="",Tabelle1[[#This Row],[Nicht einbezogen weil…]]="nicht-natürlich"),IF(Tabelle1[[#This Row],[Formfaktor]]=2, 1,IF(Tabelle1[[#This Row],[Formfaktor]]=4,2,IF(Tabelle1[[#This Row],[Formfaktor]]=6,3,""))),"")</f>
        <v/>
      </c>
      <c r="AH18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8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88" s="71">
        <v>1</v>
      </c>
      <c r="AK18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188" s="3" t="s">
        <v>434</v>
      </c>
      <c r="AM188" s="3" t="s">
        <v>962</v>
      </c>
      <c r="AN188" s="3" t="s">
        <v>538</v>
      </c>
      <c r="AO188" s="3" t="s">
        <v>200</v>
      </c>
      <c r="AP188" s="3" t="s">
        <v>200</v>
      </c>
      <c r="AT188" s="10" t="s">
        <v>223</v>
      </c>
      <c r="AU188" s="13" t="s">
        <v>200</v>
      </c>
      <c r="AW188" s="10" t="s">
        <v>813</v>
      </c>
    </row>
    <row r="189" spans="1:49" ht="17.25" customHeight="1">
      <c r="B189" s="7" t="s">
        <v>48</v>
      </c>
      <c r="C189" s="3" t="s">
        <v>48</v>
      </c>
      <c r="D189" s="3" t="s">
        <v>223</v>
      </c>
      <c r="E189" s="10"/>
      <c r="F189" s="3" t="s">
        <v>428</v>
      </c>
      <c r="G189" s="3">
        <v>0.06</v>
      </c>
      <c r="H189" s="3">
        <f t="shared" si="10"/>
        <v>3.0000000000000001E-3</v>
      </c>
      <c r="I189" s="77">
        <v>1.1100000000000001</v>
      </c>
      <c r="J189" s="3" t="s">
        <v>427</v>
      </c>
      <c r="M189" s="3" t="s">
        <v>223</v>
      </c>
      <c r="N189" s="3" t="s">
        <v>94</v>
      </c>
      <c r="O189" s="3" t="s">
        <v>23</v>
      </c>
      <c r="P18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89" s="9" t="s">
        <v>433</v>
      </c>
      <c r="R189" s="9" t="s">
        <v>51</v>
      </c>
      <c r="U189" s="4" t="s">
        <v>12</v>
      </c>
      <c r="W189" s="19" t="s">
        <v>13</v>
      </c>
      <c r="X189" s="19"/>
      <c r="Y189" s="4">
        <v>1.5</v>
      </c>
      <c r="Z189" s="4">
        <f>6*7</f>
        <v>42</v>
      </c>
      <c r="AA189" s="5">
        <f t="shared" si="11"/>
        <v>3.5714285714285712E-2</v>
      </c>
      <c r="AB189" s="5"/>
      <c r="AC18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89" s="97" t="str">
        <f>IF(Tabelle1[[#This Row],[Nicht einbezogen weil…]]="",IFERROR(1000*Tabelle1[[#This Row],[Formfaktor]]/Tabelle1[[#This Row],[Thickness '[mm']]],""),"")</f>
        <v/>
      </c>
      <c r="AE189" s="98" t="str">
        <f>IF(Tabelle1[[#This Row],[Nicht einbezogen weil…]]="",IFERROR(Tabelle1[[#This Row],[specific surface '[m^2/m^3']]]/Tabelle1[[#This Row],[Density 
'[g/cm3']]]/1000000,""),"")</f>
        <v/>
      </c>
      <c r="AF189" s="97" t="str">
        <f>IF(Tabelle1[[#This Row],[Nicht einbezogen weil…]]="",IFERROR(365*10*Tabelle1[[#This Row],[Abbaurate '[%/d']]]*Tabelle1[[#This Row],[Thickness '[mm']]]/Tabelle1[[#This Row],[Formfaktor]],""),"")</f>
        <v/>
      </c>
      <c r="AG189" s="99">
        <f>IF(OR(Tabelle1[[#This Row],[Nicht einbezogen weil…]]="",Tabelle1[[#This Row],[Nicht einbezogen weil…]]="nicht-natürlich"),IF(Tabelle1[[#This Row],[Formfaktor]]=2, 1,IF(Tabelle1[[#This Row],[Formfaktor]]=4,2,IF(Tabelle1[[#This Row],[Formfaktor]]=6,3,""))),"")</f>
        <v>1</v>
      </c>
      <c r="AH189" s="97">
        <f>IF(OR(Tabelle1[[#This Row],[Nicht einbezogen weil…]]="",Tabelle1[[#This Row],[Nicht einbezogen weil…]]="nicht-natürlich"),IFERROR(Tabelle1[[#This Row],[Thickness '[mm']]]/Tabelle1[[#This Row],[Dauer des Abbaus
'[Tage']]]*1000*0.5*365*(1-(1-Tabelle1[[#This Row],[Abbaurate '[%/d']]]/100*Tabelle1[[#This Row],[Dauer des Abbaus
'[Tage']]])^(1/Tabelle1[[#This Row],[Exponent]])),""),"")</f>
        <v>3.9107142857142891</v>
      </c>
      <c r="AI18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PCL_Meerwasser_nicht natürlich</v>
      </c>
      <c r="AJ189" s="71">
        <v>1</v>
      </c>
      <c r="AK18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189" s="3" t="s">
        <v>434</v>
      </c>
      <c r="AM189" s="3" t="s">
        <v>962</v>
      </c>
      <c r="AN189" s="3" t="s">
        <v>538</v>
      </c>
      <c r="AO189" s="3" t="s">
        <v>200</v>
      </c>
      <c r="AP189" s="3" t="s">
        <v>200</v>
      </c>
      <c r="AT189" s="10" t="s">
        <v>223</v>
      </c>
      <c r="AU189" s="13" t="s">
        <v>200</v>
      </c>
      <c r="AW189" s="10" t="s">
        <v>813</v>
      </c>
    </row>
    <row r="190" spans="1:49" ht="17.25" customHeight="1">
      <c r="B190" s="7" t="s">
        <v>48</v>
      </c>
      <c r="C190" s="3" t="s">
        <v>48</v>
      </c>
      <c r="D190" s="3" t="s">
        <v>223</v>
      </c>
      <c r="E190" s="10"/>
      <c r="F190" s="3" t="s">
        <v>428</v>
      </c>
      <c r="G190" s="3">
        <v>0.06</v>
      </c>
      <c r="H190" s="3">
        <f t="shared" si="10"/>
        <v>3.0000000000000001E-3</v>
      </c>
      <c r="I190" s="77">
        <v>1.1100000000000001</v>
      </c>
      <c r="J190" s="3" t="s">
        <v>427</v>
      </c>
      <c r="M190" s="3" t="s">
        <v>200</v>
      </c>
      <c r="N190" s="3" t="s">
        <v>430</v>
      </c>
      <c r="O190" s="3" t="s">
        <v>1081</v>
      </c>
      <c r="P19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90" s="9" t="s">
        <v>432</v>
      </c>
      <c r="R190" s="9" t="s">
        <v>51</v>
      </c>
      <c r="U190" s="4" t="s">
        <v>12</v>
      </c>
      <c r="W190" s="3" t="s">
        <v>478</v>
      </c>
      <c r="X190" s="19" t="s">
        <v>431</v>
      </c>
      <c r="Y190" s="4">
        <v>66.099999999999994</v>
      </c>
      <c r="Z190" s="4">
        <f>37*7</f>
        <v>259</v>
      </c>
      <c r="AA190" s="5">
        <f t="shared" si="11"/>
        <v>0.25521235521235519</v>
      </c>
      <c r="AB190" s="5"/>
      <c r="AC19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90" s="97" t="str">
        <f>IF(Tabelle1[[#This Row],[Nicht einbezogen weil…]]="",IFERROR(1000*Tabelle1[[#This Row],[Formfaktor]]/Tabelle1[[#This Row],[Thickness '[mm']]],""),"")</f>
        <v/>
      </c>
      <c r="AE190" s="98" t="str">
        <f>IF(Tabelle1[[#This Row],[Nicht einbezogen weil…]]="",IFERROR(Tabelle1[[#This Row],[specific surface '[m^2/m^3']]]/Tabelle1[[#This Row],[Density 
'[g/cm3']]]/1000000,""),"")</f>
        <v/>
      </c>
      <c r="AF190" s="97" t="str">
        <f>IF(Tabelle1[[#This Row],[Nicht einbezogen weil…]]="",IFERROR(365*10*Tabelle1[[#This Row],[Abbaurate '[%/d']]]*Tabelle1[[#This Row],[Thickness '[mm']]]/Tabelle1[[#This Row],[Formfaktor]],""),"")</f>
        <v/>
      </c>
      <c r="AG190" s="99" t="str">
        <f>IF(OR(Tabelle1[[#This Row],[Nicht einbezogen weil…]]="",Tabelle1[[#This Row],[Nicht einbezogen weil…]]="nicht-natürlich"),IF(Tabelle1[[#This Row],[Formfaktor]]=2, 1,IF(Tabelle1[[#This Row],[Formfaktor]]=4,2,IF(Tabelle1[[#This Row],[Formfaktor]]=6,3,""))),"")</f>
        <v/>
      </c>
      <c r="AH19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9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90" s="71">
        <v>1</v>
      </c>
      <c r="AK19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190" s="3" t="s">
        <v>434</v>
      </c>
      <c r="AM190" s="3" t="s">
        <v>962</v>
      </c>
      <c r="AN190" s="3" t="s">
        <v>538</v>
      </c>
      <c r="AO190" s="3" t="s">
        <v>200</v>
      </c>
      <c r="AP190" s="3" t="s">
        <v>200</v>
      </c>
      <c r="AT190" s="10" t="s">
        <v>223</v>
      </c>
      <c r="AU190" s="13" t="s">
        <v>200</v>
      </c>
      <c r="AW190" s="10" t="s">
        <v>813</v>
      </c>
    </row>
    <row r="191" spans="1:49" ht="17.25" customHeight="1">
      <c r="B191" s="7" t="s">
        <v>48</v>
      </c>
      <c r="C191" s="3" t="s">
        <v>48</v>
      </c>
      <c r="D191" s="3" t="s">
        <v>223</v>
      </c>
      <c r="E191" s="10"/>
      <c r="F191" s="3" t="s">
        <v>428</v>
      </c>
      <c r="G191" s="3">
        <v>0.06</v>
      </c>
      <c r="H191" s="3">
        <f t="shared" si="10"/>
        <v>3.0000000000000001E-3</v>
      </c>
      <c r="I191" s="77">
        <v>1.1100000000000001</v>
      </c>
      <c r="J191" s="3" t="s">
        <v>427</v>
      </c>
      <c r="M191" s="3" t="s">
        <v>223</v>
      </c>
      <c r="N191" s="3" t="s">
        <v>119</v>
      </c>
      <c r="O191" s="3" t="s">
        <v>1081</v>
      </c>
      <c r="P19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91" s="9" t="s">
        <v>433</v>
      </c>
      <c r="R191" s="9" t="s">
        <v>51</v>
      </c>
      <c r="U191" s="4" t="s">
        <v>12</v>
      </c>
      <c r="W191" s="19" t="s">
        <v>13</v>
      </c>
      <c r="X191" s="19"/>
      <c r="Y191" s="4">
        <v>8.5</v>
      </c>
      <c r="Z191" s="4">
        <f>42*7</f>
        <v>294</v>
      </c>
      <c r="AA191" s="5">
        <f t="shared" si="11"/>
        <v>2.8911564625850341E-2</v>
      </c>
      <c r="AB191" s="5"/>
      <c r="AC19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91" s="97" t="str">
        <f>IF(Tabelle1[[#This Row],[Nicht einbezogen weil…]]="",IFERROR(1000*Tabelle1[[#This Row],[Formfaktor]]/Tabelle1[[#This Row],[Thickness '[mm']]],""),"")</f>
        <v/>
      </c>
      <c r="AE191" s="98" t="str">
        <f>IF(Tabelle1[[#This Row],[Nicht einbezogen weil…]]="",IFERROR(Tabelle1[[#This Row],[specific surface '[m^2/m^3']]]/Tabelle1[[#This Row],[Density 
'[g/cm3']]]/1000000,""),"")</f>
        <v/>
      </c>
      <c r="AF191" s="97" t="str">
        <f>IF(Tabelle1[[#This Row],[Nicht einbezogen weil…]]="",IFERROR(365*10*Tabelle1[[#This Row],[Abbaurate '[%/d']]]*Tabelle1[[#This Row],[Thickness '[mm']]]/Tabelle1[[#This Row],[Formfaktor]],""),"")</f>
        <v/>
      </c>
      <c r="AG191" s="99">
        <f>IF(OR(Tabelle1[[#This Row],[Nicht einbezogen weil…]]="",Tabelle1[[#This Row],[Nicht einbezogen weil…]]="nicht-natürlich"),IF(Tabelle1[[#This Row],[Formfaktor]]=2, 1,IF(Tabelle1[[#This Row],[Formfaktor]]=4,2,IF(Tabelle1[[#This Row],[Formfaktor]]=6,3,""))),"")</f>
        <v>1</v>
      </c>
      <c r="AH191" s="97">
        <f>IF(OR(Tabelle1[[#This Row],[Nicht einbezogen weil…]]="",Tabelle1[[#This Row],[Nicht einbezogen weil…]]="nicht-natürlich"),IFERROR(Tabelle1[[#This Row],[Thickness '[mm']]]/Tabelle1[[#This Row],[Dauer des Abbaus
'[Tage']]]*1000*0.5*365*(1-(1-Tabelle1[[#This Row],[Abbaurate '[%/d']]]/100*Tabelle1[[#This Row],[Dauer des Abbaus
'[Tage']]])^(1/Tabelle1[[#This Row],[Exponent]])),""),"")</f>
        <v>3.1658163265306105</v>
      </c>
      <c r="AI19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PCL_Süßwasser_nicht natürlich</v>
      </c>
      <c r="AJ191" s="71">
        <v>1</v>
      </c>
      <c r="AK19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191" s="3" t="s">
        <v>434</v>
      </c>
      <c r="AM191" s="3" t="s">
        <v>962</v>
      </c>
      <c r="AN191" s="3" t="s">
        <v>538</v>
      </c>
      <c r="AO191" s="3" t="s">
        <v>200</v>
      </c>
      <c r="AP191" s="3" t="s">
        <v>200</v>
      </c>
      <c r="AT191" s="10" t="s">
        <v>223</v>
      </c>
      <c r="AU191" s="13" t="s">
        <v>200</v>
      </c>
      <c r="AW191" s="10" t="s">
        <v>813</v>
      </c>
    </row>
    <row r="192" spans="1:49" ht="17.25" customHeight="1">
      <c r="B192" s="7" t="s">
        <v>48</v>
      </c>
      <c r="C192" s="3" t="s">
        <v>48</v>
      </c>
      <c r="D192" s="3" t="s">
        <v>223</v>
      </c>
      <c r="E192" s="10"/>
      <c r="F192" s="3" t="s">
        <v>428</v>
      </c>
      <c r="G192" s="3">
        <v>0.06</v>
      </c>
      <c r="H192" s="3">
        <f t="shared" si="10"/>
        <v>3.0000000000000001E-3</v>
      </c>
      <c r="I192" s="77">
        <v>1.1100000000000001</v>
      </c>
      <c r="J192" s="3" t="s">
        <v>427</v>
      </c>
      <c r="M192" s="3" t="s">
        <v>223</v>
      </c>
      <c r="N192" s="3" t="s">
        <v>94</v>
      </c>
      <c r="O192" s="3" t="s">
        <v>23</v>
      </c>
      <c r="P19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92" s="9" t="s">
        <v>433</v>
      </c>
      <c r="R192" s="9" t="s">
        <v>51</v>
      </c>
      <c r="U192" s="4" t="s">
        <v>12</v>
      </c>
      <c r="W192" s="3" t="s">
        <v>478</v>
      </c>
      <c r="X192" s="19" t="s">
        <v>431</v>
      </c>
      <c r="Y192" s="4">
        <v>55.5</v>
      </c>
      <c r="Z192" s="4">
        <f>6*7</f>
        <v>42</v>
      </c>
      <c r="AA192" s="5">
        <f t="shared" si="11"/>
        <v>1.3214285714285714</v>
      </c>
      <c r="AB192" s="5"/>
      <c r="AC19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92" s="97" t="str">
        <f>IF(Tabelle1[[#This Row],[Nicht einbezogen weil…]]="",IFERROR(1000*Tabelle1[[#This Row],[Formfaktor]]/Tabelle1[[#This Row],[Thickness '[mm']]],""),"")</f>
        <v/>
      </c>
      <c r="AE192" s="98" t="str">
        <f>IF(Tabelle1[[#This Row],[Nicht einbezogen weil…]]="",IFERROR(Tabelle1[[#This Row],[specific surface '[m^2/m^3']]]/Tabelle1[[#This Row],[Density 
'[g/cm3']]]/1000000,""),"")</f>
        <v/>
      </c>
      <c r="AF192" s="97" t="str">
        <f>IF(Tabelle1[[#This Row],[Nicht einbezogen weil…]]="",IFERROR(365*10*Tabelle1[[#This Row],[Abbaurate '[%/d']]]*Tabelle1[[#This Row],[Thickness '[mm']]]/Tabelle1[[#This Row],[Formfaktor]],""),"")</f>
        <v/>
      </c>
      <c r="AG192" s="99" t="str">
        <f>IF(OR(Tabelle1[[#This Row],[Nicht einbezogen weil…]]="",Tabelle1[[#This Row],[Nicht einbezogen weil…]]="nicht-natürlich"),IF(Tabelle1[[#This Row],[Formfaktor]]=2, 1,IF(Tabelle1[[#This Row],[Formfaktor]]=4,2,IF(Tabelle1[[#This Row],[Formfaktor]]=6,3,""))),"")</f>
        <v/>
      </c>
      <c r="AH19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9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92" s="71">
        <v>1</v>
      </c>
      <c r="AK19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192" s="3" t="s">
        <v>434</v>
      </c>
      <c r="AM192" s="3" t="s">
        <v>962</v>
      </c>
      <c r="AN192" s="3" t="s">
        <v>538</v>
      </c>
      <c r="AO192" s="3" t="s">
        <v>200</v>
      </c>
      <c r="AP192" s="3" t="s">
        <v>200</v>
      </c>
      <c r="AT192" s="10" t="s">
        <v>223</v>
      </c>
      <c r="AU192" s="13" t="s">
        <v>200</v>
      </c>
      <c r="AW192" s="10" t="s">
        <v>813</v>
      </c>
    </row>
    <row r="193" spans="2:49" ht="17.25" customHeight="1">
      <c r="B193" s="7" t="s">
        <v>48</v>
      </c>
      <c r="C193" s="3" t="s">
        <v>48</v>
      </c>
      <c r="D193" s="3" t="s">
        <v>223</v>
      </c>
      <c r="E193" s="10"/>
      <c r="F193" s="3" t="s">
        <v>428</v>
      </c>
      <c r="G193" s="3">
        <v>0.06</v>
      </c>
      <c r="H193" s="3">
        <f t="shared" si="10"/>
        <v>3.0000000000000001E-3</v>
      </c>
      <c r="I193" s="77">
        <v>1.1100000000000001</v>
      </c>
      <c r="J193" s="3" t="s">
        <v>427</v>
      </c>
      <c r="M193" s="3" t="s">
        <v>223</v>
      </c>
      <c r="N193" s="3" t="s">
        <v>119</v>
      </c>
      <c r="O193" s="3" t="s">
        <v>1081</v>
      </c>
      <c r="P19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93" s="9" t="s">
        <v>433</v>
      </c>
      <c r="R193" s="9" t="s">
        <v>51</v>
      </c>
      <c r="U193" s="4" t="s">
        <v>12</v>
      </c>
      <c r="W193" s="3" t="s">
        <v>478</v>
      </c>
      <c r="X193" s="19" t="s">
        <v>431</v>
      </c>
      <c r="Y193" s="4">
        <v>60</v>
      </c>
      <c r="Z193" s="4">
        <f>37*7</f>
        <v>259</v>
      </c>
      <c r="AA193" s="5">
        <f t="shared" si="11"/>
        <v>0.23166023166023167</v>
      </c>
      <c r="AB193" s="5"/>
      <c r="AC19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93" s="97" t="str">
        <f>IF(Tabelle1[[#This Row],[Nicht einbezogen weil…]]="",IFERROR(1000*Tabelle1[[#This Row],[Formfaktor]]/Tabelle1[[#This Row],[Thickness '[mm']]],""),"")</f>
        <v/>
      </c>
      <c r="AE193" s="98" t="str">
        <f>IF(Tabelle1[[#This Row],[Nicht einbezogen weil…]]="",IFERROR(Tabelle1[[#This Row],[specific surface '[m^2/m^3']]]/Tabelle1[[#This Row],[Density 
'[g/cm3']]]/1000000,""),"")</f>
        <v/>
      </c>
      <c r="AF193" s="97" t="str">
        <f>IF(Tabelle1[[#This Row],[Nicht einbezogen weil…]]="",IFERROR(365*10*Tabelle1[[#This Row],[Abbaurate '[%/d']]]*Tabelle1[[#This Row],[Thickness '[mm']]]/Tabelle1[[#This Row],[Formfaktor]],""),"")</f>
        <v/>
      </c>
      <c r="AG193" s="99" t="str">
        <f>IF(OR(Tabelle1[[#This Row],[Nicht einbezogen weil…]]="",Tabelle1[[#This Row],[Nicht einbezogen weil…]]="nicht-natürlich"),IF(Tabelle1[[#This Row],[Formfaktor]]=2, 1,IF(Tabelle1[[#This Row],[Formfaktor]]=4,2,IF(Tabelle1[[#This Row],[Formfaktor]]=6,3,""))),"")</f>
        <v/>
      </c>
      <c r="AH19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9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93" s="71">
        <v>1</v>
      </c>
      <c r="AK19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193" s="3" t="s">
        <v>434</v>
      </c>
      <c r="AM193" s="3" t="s">
        <v>962</v>
      </c>
      <c r="AN193" s="3" t="s">
        <v>538</v>
      </c>
      <c r="AO193" s="3" t="s">
        <v>200</v>
      </c>
      <c r="AP193" s="3" t="s">
        <v>200</v>
      </c>
      <c r="AT193" s="10" t="s">
        <v>223</v>
      </c>
      <c r="AU193" s="13" t="s">
        <v>200</v>
      </c>
      <c r="AW193" s="10" t="s">
        <v>813</v>
      </c>
    </row>
    <row r="194" spans="2:49" ht="17.25" customHeight="1">
      <c r="B194" s="329" t="s">
        <v>48</v>
      </c>
      <c r="C194" s="3" t="s">
        <v>48</v>
      </c>
      <c r="D194" s="3" t="s">
        <v>223</v>
      </c>
      <c r="E194" s="10"/>
      <c r="F194" s="3" t="s">
        <v>288</v>
      </c>
      <c r="G194" s="3" t="s">
        <v>341</v>
      </c>
      <c r="H194" s="3">
        <f>0.05*0.05</f>
        <v>2.5000000000000005E-3</v>
      </c>
      <c r="I194" s="77">
        <v>1.1100000000000001</v>
      </c>
      <c r="K194" s="8" t="s">
        <v>229</v>
      </c>
      <c r="M194" s="3" t="s">
        <v>301</v>
      </c>
      <c r="N194" s="3" t="s">
        <v>1004</v>
      </c>
      <c r="O194" s="3" t="s">
        <v>294</v>
      </c>
      <c r="P19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R194" s="9" t="s">
        <v>1007</v>
      </c>
      <c r="U194" s="4" t="s">
        <v>89</v>
      </c>
      <c r="W194" s="3" t="s">
        <v>13</v>
      </c>
      <c r="Y194" s="4">
        <v>30</v>
      </c>
      <c r="Z194" s="4">
        <v>120</v>
      </c>
      <c r="AA194" s="5">
        <f t="shared" si="11"/>
        <v>0.25</v>
      </c>
      <c r="AB194" s="5"/>
      <c r="AC19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94" s="5" t="str">
        <f>IF(Tabelle1[[#This Row],[Nicht einbezogen weil…]]="",IFERROR(1000*Tabelle1[[#This Row],[Formfaktor]]/Tabelle1[[#This Row],[Thickness '[mm']]],""),"")</f>
        <v/>
      </c>
      <c r="AE194" s="5" t="str">
        <f>IF(Tabelle1[[#This Row],[Nicht einbezogen weil…]]="",IFERROR(Tabelle1[[#This Row],[specific surface '[m^2/m^3']]]/Tabelle1[[#This Row],[Density 
'[g/cm3']]]/1000000,""),"")</f>
        <v/>
      </c>
      <c r="AF194" s="5" t="str">
        <f>IF(Tabelle1[[#This Row],[Nicht einbezogen weil…]]="",IFERROR(365*10*Tabelle1[[#This Row],[Abbaurate '[%/d']]]*Tabelle1[[#This Row],[Thickness '[mm']]]/Tabelle1[[#This Row],[Formfaktor]],""),"")</f>
        <v/>
      </c>
      <c r="AG194" s="327" t="str">
        <f>IF(OR(Tabelle1[[#This Row],[Nicht einbezogen weil…]]="",Tabelle1[[#This Row],[Nicht einbezogen weil…]]="nicht-natürlich"),IF(Tabelle1[[#This Row],[Formfaktor]]=2, 1,IF(Tabelle1[[#This Row],[Formfaktor]]=4,2,IF(Tabelle1[[#This Row],[Formfaktor]]=6,3,""))),"")</f>
        <v/>
      </c>
      <c r="AH194"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9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94" s="6">
        <v>1</v>
      </c>
      <c r="AK19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94" s="3" t="s">
        <v>976</v>
      </c>
      <c r="AM194" s="3" t="s">
        <v>967</v>
      </c>
      <c r="AN194" s="3" t="s">
        <v>824</v>
      </c>
      <c r="AO194" s="3" t="s">
        <v>200</v>
      </c>
      <c r="AP194" s="3" t="s">
        <v>200</v>
      </c>
      <c r="AT194" s="10" t="s">
        <v>200</v>
      </c>
      <c r="AU194" s="13" t="s">
        <v>200</v>
      </c>
      <c r="AW194" s="10" t="s">
        <v>813</v>
      </c>
    </row>
    <row r="195" spans="2:49" ht="17.25" customHeight="1">
      <c r="B195" s="329" t="s">
        <v>48</v>
      </c>
      <c r="C195" s="3" t="s">
        <v>48</v>
      </c>
      <c r="D195" s="3" t="s">
        <v>223</v>
      </c>
      <c r="E195" s="10"/>
      <c r="F195" s="3" t="s">
        <v>288</v>
      </c>
      <c r="G195" s="3" t="s">
        <v>341</v>
      </c>
      <c r="H195" s="3">
        <f>0.05*0.05</f>
        <v>2.5000000000000005E-3</v>
      </c>
      <c r="I195" s="77">
        <v>1.1100000000000001</v>
      </c>
      <c r="K195" s="8" t="s">
        <v>229</v>
      </c>
      <c r="M195" s="3" t="s">
        <v>301</v>
      </c>
      <c r="N195" s="3" t="s">
        <v>1004</v>
      </c>
      <c r="O195" s="3" t="s">
        <v>294</v>
      </c>
      <c r="P19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R195" s="9" t="s">
        <v>51</v>
      </c>
      <c r="U195" s="4" t="s">
        <v>12</v>
      </c>
      <c r="W195" s="3" t="s">
        <v>13</v>
      </c>
      <c r="Y195" s="4">
        <v>15</v>
      </c>
      <c r="Z195" s="4">
        <v>120</v>
      </c>
      <c r="AA195" s="5">
        <f t="shared" si="11"/>
        <v>0.125</v>
      </c>
      <c r="AB195" s="5"/>
      <c r="AC19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95" s="5" t="str">
        <f>IF(Tabelle1[[#This Row],[Nicht einbezogen weil…]]="",IFERROR(1000*Tabelle1[[#This Row],[Formfaktor]]/Tabelle1[[#This Row],[Thickness '[mm']]],""),"")</f>
        <v/>
      </c>
      <c r="AE195" s="5" t="str">
        <f>IF(Tabelle1[[#This Row],[Nicht einbezogen weil…]]="",IFERROR(Tabelle1[[#This Row],[specific surface '[m^2/m^3']]]/Tabelle1[[#This Row],[Density 
'[g/cm3']]]/1000000,""),"")</f>
        <v/>
      </c>
      <c r="AF195" s="5" t="str">
        <f>IF(Tabelle1[[#This Row],[Nicht einbezogen weil…]]="",IFERROR(365*10*Tabelle1[[#This Row],[Abbaurate '[%/d']]]*Tabelle1[[#This Row],[Thickness '[mm']]]/Tabelle1[[#This Row],[Formfaktor]],""),"")</f>
        <v/>
      </c>
      <c r="AG195" s="327" t="str">
        <f>IF(OR(Tabelle1[[#This Row],[Nicht einbezogen weil…]]="",Tabelle1[[#This Row],[Nicht einbezogen weil…]]="nicht-natürlich"),IF(Tabelle1[[#This Row],[Formfaktor]]=2, 1,IF(Tabelle1[[#This Row],[Formfaktor]]=4,2,IF(Tabelle1[[#This Row],[Formfaktor]]=6,3,""))),"")</f>
        <v/>
      </c>
      <c r="AH19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9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95" s="6">
        <v>1</v>
      </c>
      <c r="AK19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195" s="3" t="s">
        <v>976</v>
      </c>
      <c r="AM195" s="3" t="s">
        <v>967</v>
      </c>
      <c r="AN195" s="3" t="s">
        <v>824</v>
      </c>
      <c r="AO195" s="3" t="s">
        <v>200</v>
      </c>
      <c r="AP195" s="3" t="s">
        <v>200</v>
      </c>
      <c r="AT195" s="10" t="s">
        <v>200</v>
      </c>
      <c r="AU195" s="13" t="s">
        <v>200</v>
      </c>
      <c r="AW195" s="10" t="s">
        <v>813</v>
      </c>
    </row>
    <row r="196" spans="2:49" ht="17.25" customHeight="1">
      <c r="B196" s="329" t="s">
        <v>48</v>
      </c>
      <c r="C196" s="3" t="s">
        <v>48</v>
      </c>
      <c r="D196" s="3" t="s">
        <v>200</v>
      </c>
      <c r="E196" s="10" t="s">
        <v>205</v>
      </c>
      <c r="F196" s="3" t="s">
        <v>288</v>
      </c>
      <c r="G196" s="3">
        <v>0.1</v>
      </c>
      <c r="H196" s="3">
        <f>0.01*0.09</f>
        <v>8.9999999999999998E-4</v>
      </c>
      <c r="I196" s="77">
        <v>1.1100000000000001</v>
      </c>
      <c r="K196" s="8" t="s">
        <v>1008</v>
      </c>
      <c r="L196" s="3" t="s">
        <v>1009</v>
      </c>
      <c r="M196" s="3" t="s">
        <v>223</v>
      </c>
      <c r="N196" s="3" t="s">
        <v>1010</v>
      </c>
      <c r="O196" s="3" t="s">
        <v>358</v>
      </c>
      <c r="P19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96" s="4">
        <v>37</v>
      </c>
      <c r="R196" s="4">
        <v>7</v>
      </c>
      <c r="U196" s="4" t="s">
        <v>89</v>
      </c>
      <c r="W196" s="3" t="s">
        <v>13</v>
      </c>
      <c r="Y196" s="4">
        <v>7.6</v>
      </c>
      <c r="Z196" s="4">
        <f>10*7</f>
        <v>70</v>
      </c>
      <c r="AA196" s="5">
        <f t="shared" si="11"/>
        <v>0.10857142857142857</v>
      </c>
      <c r="AB196" s="5"/>
      <c r="AC19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96" s="5" t="str">
        <f>IF(Tabelle1[[#This Row],[Nicht einbezogen weil…]]="",IFERROR(1000*Tabelle1[[#This Row],[Formfaktor]]/Tabelle1[[#This Row],[Thickness '[mm']]],""),"")</f>
        <v/>
      </c>
      <c r="AE196" s="5" t="str">
        <f>IF(Tabelle1[[#This Row],[Nicht einbezogen weil…]]="",IFERROR(Tabelle1[[#This Row],[specific surface '[m^2/m^3']]]/Tabelle1[[#This Row],[Density 
'[g/cm3']]]/1000000,""),"")</f>
        <v/>
      </c>
      <c r="AF196" s="5" t="str">
        <f>IF(Tabelle1[[#This Row],[Nicht einbezogen weil…]]="",IFERROR(365*10*Tabelle1[[#This Row],[Abbaurate '[%/d']]]*Tabelle1[[#This Row],[Thickness '[mm']]]/Tabelle1[[#This Row],[Formfaktor]],""),"")</f>
        <v/>
      </c>
      <c r="AG196" s="327" t="str">
        <f>IF(OR(Tabelle1[[#This Row],[Nicht einbezogen weil…]]="",Tabelle1[[#This Row],[Nicht einbezogen weil…]]="nicht-natürlich"),IF(Tabelle1[[#This Row],[Formfaktor]]=2, 1,IF(Tabelle1[[#This Row],[Formfaktor]]=4,2,IF(Tabelle1[[#This Row],[Formfaktor]]=6,3,""))),"")</f>
        <v/>
      </c>
      <c r="AH196"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9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96" s="6">
        <v>1</v>
      </c>
      <c r="AK19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96" s="3" t="s">
        <v>975</v>
      </c>
      <c r="AM196" s="3" t="s">
        <v>967</v>
      </c>
      <c r="AN196" s="3" t="s">
        <v>824</v>
      </c>
      <c r="AT196" s="10" t="s">
        <v>200</v>
      </c>
      <c r="AU196" s="13" t="s">
        <v>200</v>
      </c>
      <c r="AW196" s="10" t="s">
        <v>813</v>
      </c>
    </row>
    <row r="197" spans="2:49" ht="17.25" customHeight="1">
      <c r="B197" s="7" t="s">
        <v>780</v>
      </c>
      <c r="C197" s="3" t="s">
        <v>375</v>
      </c>
      <c r="D197" s="3" t="s">
        <v>200</v>
      </c>
      <c r="E197" s="10" t="s">
        <v>1127</v>
      </c>
      <c r="F197" s="3" t="s">
        <v>198</v>
      </c>
      <c r="G197" s="3">
        <v>0.05</v>
      </c>
      <c r="H197" s="3" t="s">
        <v>341</v>
      </c>
      <c r="I197" s="77">
        <v>1.1100000000000001</v>
      </c>
      <c r="J197" s="3" t="s">
        <v>376</v>
      </c>
      <c r="M197" s="3" t="s">
        <v>200</v>
      </c>
      <c r="N197" s="3" t="s">
        <v>5</v>
      </c>
      <c r="O197" s="19" t="s">
        <v>358</v>
      </c>
      <c r="P197"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197" s="4" t="s">
        <v>12</v>
      </c>
      <c r="W197" s="3" t="s">
        <v>90</v>
      </c>
      <c r="Y197" s="9" t="s">
        <v>549</v>
      </c>
      <c r="Z197" s="4">
        <v>365</v>
      </c>
      <c r="AA197" s="5">
        <f>82/Z197</f>
        <v>0.22465753424657534</v>
      </c>
      <c r="AB197" s="5"/>
      <c r="AC19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197" s="97" t="str">
        <f>IF(Tabelle1[[#This Row],[Nicht einbezogen weil…]]="",IFERROR(1000*Tabelle1[[#This Row],[Formfaktor]]/Tabelle1[[#This Row],[Thickness '[mm']]],""),"")</f>
        <v/>
      </c>
      <c r="AE197" s="98" t="str">
        <f>IF(Tabelle1[[#This Row],[Nicht einbezogen weil…]]="",IFERROR(Tabelle1[[#This Row],[specific surface '[m^2/m^3']]]/Tabelle1[[#This Row],[Density 
'[g/cm3']]]/1000000,""),"")</f>
        <v/>
      </c>
      <c r="AF197" s="97" t="str">
        <f>IF(Tabelle1[[#This Row],[Nicht einbezogen weil…]]="",IFERROR(365*10*Tabelle1[[#This Row],[Abbaurate '[%/d']]]*Tabelle1[[#This Row],[Thickness '[mm']]]/Tabelle1[[#This Row],[Formfaktor]],""),"")</f>
        <v/>
      </c>
      <c r="AG197" s="99" t="str">
        <f>IF(OR(Tabelle1[[#This Row],[Nicht einbezogen weil…]]="",Tabelle1[[#This Row],[Nicht einbezogen weil…]]="nicht-natürlich"),IF(Tabelle1[[#This Row],[Formfaktor]]=2, 1,IF(Tabelle1[[#This Row],[Formfaktor]]=4,2,IF(Tabelle1[[#This Row],[Formfaktor]]=6,3,""))),"")</f>
        <v/>
      </c>
      <c r="AH19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9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97" s="71">
        <v>1</v>
      </c>
      <c r="AK19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197" s="3" t="s">
        <v>381</v>
      </c>
      <c r="AM197" s="3" t="s">
        <v>977</v>
      </c>
      <c r="AN197" s="3" t="s">
        <v>538</v>
      </c>
      <c r="AO197" s="3" t="s">
        <v>200</v>
      </c>
      <c r="AP197" s="3" t="s">
        <v>200</v>
      </c>
      <c r="AT197" s="10" t="s">
        <v>223</v>
      </c>
      <c r="AU197" s="13" t="s">
        <v>200</v>
      </c>
      <c r="AW197" s="10" t="s">
        <v>814</v>
      </c>
    </row>
    <row r="198" spans="2:49" ht="17.25" customHeight="1">
      <c r="B198" s="7" t="s">
        <v>780</v>
      </c>
      <c r="C198" s="3" t="s">
        <v>531</v>
      </c>
      <c r="D198" s="3" t="s">
        <v>200</v>
      </c>
      <c r="E198" s="10" t="s">
        <v>1127</v>
      </c>
      <c r="F198" s="74" t="s">
        <v>341</v>
      </c>
      <c r="G198" s="74" t="s">
        <v>341</v>
      </c>
      <c r="H198" s="74" t="s">
        <v>341</v>
      </c>
      <c r="I198" s="77">
        <v>1.1100000000000001</v>
      </c>
      <c r="M198" s="3" t="s">
        <v>200</v>
      </c>
      <c r="N198" s="3" t="s">
        <v>95</v>
      </c>
      <c r="O198" s="3" t="s">
        <v>23</v>
      </c>
      <c r="P19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98" s="9" t="s">
        <v>535</v>
      </c>
      <c r="R198" s="9" t="s">
        <v>536</v>
      </c>
      <c r="U198" s="4" t="s">
        <v>12</v>
      </c>
      <c r="W198" s="3" t="s">
        <v>13</v>
      </c>
      <c r="Y198" s="4">
        <v>100</v>
      </c>
      <c r="Z198" s="4">
        <f>8*7</f>
        <v>56</v>
      </c>
      <c r="AA198" s="5">
        <f t="shared" ref="AA198:AA213" si="12">Y198/Z198</f>
        <v>1.7857142857142858</v>
      </c>
      <c r="AB198" s="5"/>
      <c r="AC198"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98" s="97" t="str">
        <f>IF(Tabelle1[[#This Row],[Nicht einbezogen weil…]]="",IFERROR(1000*Tabelle1[[#This Row],[Formfaktor]]/Tabelle1[[#This Row],[Thickness '[mm']]],""),"")</f>
        <v/>
      </c>
      <c r="AE198" s="98" t="str">
        <f>IF(Tabelle1[[#This Row],[Nicht einbezogen weil…]]="",IFERROR(Tabelle1[[#This Row],[specific surface '[m^2/m^3']]]/Tabelle1[[#This Row],[Density 
'[g/cm3']]]/1000000,""),"")</f>
        <v/>
      </c>
      <c r="AF198" s="97" t="str">
        <f>IF(Tabelle1[[#This Row],[Nicht einbezogen weil…]]="",IFERROR(365*10*Tabelle1[[#This Row],[Abbaurate '[%/d']]]*Tabelle1[[#This Row],[Thickness '[mm']]]/Tabelle1[[#This Row],[Formfaktor]],""),"")</f>
        <v/>
      </c>
      <c r="AG198" s="99" t="str">
        <f>IF(OR(Tabelle1[[#This Row],[Nicht einbezogen weil…]]="",Tabelle1[[#This Row],[Nicht einbezogen weil…]]="nicht-natürlich"),IF(Tabelle1[[#This Row],[Formfaktor]]=2, 1,IF(Tabelle1[[#This Row],[Formfaktor]]=4,2,IF(Tabelle1[[#This Row],[Formfaktor]]=6,3,""))),"")</f>
        <v/>
      </c>
      <c r="AH19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9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98" s="71">
        <v>1</v>
      </c>
      <c r="AK19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98" s="3" t="s">
        <v>537</v>
      </c>
      <c r="AO198" s="3" t="s">
        <v>200</v>
      </c>
      <c r="AP198" s="3" t="s">
        <v>200</v>
      </c>
      <c r="AU198" s="13" t="s">
        <v>200</v>
      </c>
      <c r="AW198" s="10" t="s">
        <v>814</v>
      </c>
    </row>
    <row r="199" spans="2:49" ht="17.25" customHeight="1">
      <c r="B199" s="7" t="s">
        <v>780</v>
      </c>
      <c r="C199" s="3" t="s">
        <v>532</v>
      </c>
      <c r="D199" s="3" t="s">
        <v>200</v>
      </c>
      <c r="E199" s="10" t="s">
        <v>1127</v>
      </c>
      <c r="F199" s="74" t="s">
        <v>341</v>
      </c>
      <c r="G199" s="74" t="s">
        <v>341</v>
      </c>
      <c r="H199" s="74" t="s">
        <v>341</v>
      </c>
      <c r="I199" s="77">
        <v>1.1100000000000001</v>
      </c>
      <c r="M199" s="3" t="s">
        <v>200</v>
      </c>
      <c r="N199" s="3" t="s">
        <v>95</v>
      </c>
      <c r="O199" s="3" t="s">
        <v>23</v>
      </c>
      <c r="P19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199" s="9" t="s">
        <v>535</v>
      </c>
      <c r="R199" s="9" t="s">
        <v>536</v>
      </c>
      <c r="U199" s="4" t="s">
        <v>12</v>
      </c>
      <c r="W199" s="3" t="s">
        <v>13</v>
      </c>
      <c r="Y199" s="4">
        <v>100</v>
      </c>
      <c r="Z199" s="4">
        <f>8*7</f>
        <v>56</v>
      </c>
      <c r="AA199" s="5">
        <f t="shared" si="12"/>
        <v>1.7857142857142858</v>
      </c>
      <c r="AB199" s="5"/>
      <c r="AC199"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199" s="97" t="str">
        <f>IF(Tabelle1[[#This Row],[Nicht einbezogen weil…]]="",IFERROR(1000*Tabelle1[[#This Row],[Formfaktor]]/Tabelle1[[#This Row],[Thickness '[mm']]],""),"")</f>
        <v/>
      </c>
      <c r="AE199" s="98" t="str">
        <f>IF(Tabelle1[[#This Row],[Nicht einbezogen weil…]]="",IFERROR(Tabelle1[[#This Row],[specific surface '[m^2/m^3']]]/Tabelle1[[#This Row],[Density 
'[g/cm3']]]/1000000,""),"")</f>
        <v/>
      </c>
      <c r="AF199" s="97" t="str">
        <f>IF(Tabelle1[[#This Row],[Nicht einbezogen weil…]]="",IFERROR(365*10*Tabelle1[[#This Row],[Abbaurate '[%/d']]]*Tabelle1[[#This Row],[Thickness '[mm']]]/Tabelle1[[#This Row],[Formfaktor]],""),"")</f>
        <v/>
      </c>
      <c r="AG199" s="99" t="str">
        <f>IF(OR(Tabelle1[[#This Row],[Nicht einbezogen weil…]]="",Tabelle1[[#This Row],[Nicht einbezogen weil…]]="nicht-natürlich"),IF(Tabelle1[[#This Row],[Formfaktor]]=2, 1,IF(Tabelle1[[#This Row],[Formfaktor]]=4,2,IF(Tabelle1[[#This Row],[Formfaktor]]=6,3,""))),"")</f>
        <v/>
      </c>
      <c r="AH19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19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199" s="71">
        <v>1</v>
      </c>
      <c r="AK19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199" s="3" t="s">
        <v>537</v>
      </c>
      <c r="AN199" s="3" t="s">
        <v>538</v>
      </c>
      <c r="AO199" s="3" t="s">
        <v>200</v>
      </c>
      <c r="AP199" s="3" t="s">
        <v>200</v>
      </c>
      <c r="AU199" s="13" t="s">
        <v>200</v>
      </c>
      <c r="AW199" s="10" t="s">
        <v>814</v>
      </c>
    </row>
    <row r="200" spans="2:49" ht="17.25" customHeight="1">
      <c r="B200" s="7" t="s">
        <v>780</v>
      </c>
      <c r="C200" s="3" t="s">
        <v>534</v>
      </c>
      <c r="D200" s="3" t="s">
        <v>200</v>
      </c>
      <c r="E200" s="10" t="s">
        <v>1127</v>
      </c>
      <c r="F200" s="74" t="s">
        <v>341</v>
      </c>
      <c r="G200" s="74" t="s">
        <v>341</v>
      </c>
      <c r="H200" s="74" t="s">
        <v>341</v>
      </c>
      <c r="I200" s="77">
        <v>1.1100000000000001</v>
      </c>
      <c r="M200" s="3" t="s">
        <v>200</v>
      </c>
      <c r="N200" s="3" t="s">
        <v>95</v>
      </c>
      <c r="O200" s="3" t="s">
        <v>23</v>
      </c>
      <c r="P20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0" s="9" t="s">
        <v>535</v>
      </c>
      <c r="R200" s="9" t="s">
        <v>536</v>
      </c>
      <c r="U200" s="4" t="s">
        <v>12</v>
      </c>
      <c r="W200" s="3" t="s">
        <v>13</v>
      </c>
      <c r="Y200" s="4">
        <v>100</v>
      </c>
      <c r="Z200" s="4">
        <f>8*7</f>
        <v>56</v>
      </c>
      <c r="AA200" s="5">
        <f t="shared" si="12"/>
        <v>1.7857142857142858</v>
      </c>
      <c r="AB200" s="5"/>
      <c r="AC200"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00" s="97" t="str">
        <f>IF(Tabelle1[[#This Row],[Nicht einbezogen weil…]]="",IFERROR(1000*Tabelle1[[#This Row],[Formfaktor]]/Tabelle1[[#This Row],[Thickness '[mm']]],""),"")</f>
        <v/>
      </c>
      <c r="AE200" s="98" t="str">
        <f>IF(Tabelle1[[#This Row],[Nicht einbezogen weil…]]="",IFERROR(Tabelle1[[#This Row],[specific surface '[m^2/m^3']]]/Tabelle1[[#This Row],[Density 
'[g/cm3']]]/1000000,""),"")</f>
        <v/>
      </c>
      <c r="AF200" s="97" t="str">
        <f>IF(Tabelle1[[#This Row],[Nicht einbezogen weil…]]="",IFERROR(365*10*Tabelle1[[#This Row],[Abbaurate '[%/d']]]*Tabelle1[[#This Row],[Thickness '[mm']]]/Tabelle1[[#This Row],[Formfaktor]],""),"")</f>
        <v/>
      </c>
      <c r="AG200" s="99" t="str">
        <f>IF(OR(Tabelle1[[#This Row],[Nicht einbezogen weil…]]="",Tabelle1[[#This Row],[Nicht einbezogen weil…]]="nicht-natürlich"),IF(Tabelle1[[#This Row],[Formfaktor]]=2, 1,IF(Tabelle1[[#This Row],[Formfaktor]]=4,2,IF(Tabelle1[[#This Row],[Formfaktor]]=6,3,""))),"")</f>
        <v/>
      </c>
      <c r="AH20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0" s="71">
        <v>1</v>
      </c>
      <c r="AK20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00" s="3" t="s">
        <v>537</v>
      </c>
      <c r="AN200" s="3" t="s">
        <v>538</v>
      </c>
      <c r="AO200" s="3" t="s">
        <v>200</v>
      </c>
      <c r="AP200" s="3" t="s">
        <v>200</v>
      </c>
      <c r="AU200" s="13" t="s">
        <v>200</v>
      </c>
      <c r="AW200" s="10" t="s">
        <v>814</v>
      </c>
    </row>
    <row r="201" spans="2:49" ht="17.25" customHeight="1">
      <c r="B201" s="7" t="s">
        <v>780</v>
      </c>
      <c r="C201" s="3" t="s">
        <v>533</v>
      </c>
      <c r="D201" s="3" t="s">
        <v>200</v>
      </c>
      <c r="E201" s="10" t="s">
        <v>1127</v>
      </c>
      <c r="F201" s="74" t="s">
        <v>341</v>
      </c>
      <c r="G201" s="74" t="s">
        <v>341</v>
      </c>
      <c r="H201" s="74" t="s">
        <v>341</v>
      </c>
      <c r="I201" s="77">
        <v>1.1100000000000001</v>
      </c>
      <c r="M201" s="3" t="s">
        <v>200</v>
      </c>
      <c r="N201" s="3" t="s">
        <v>95</v>
      </c>
      <c r="O201" s="3" t="s">
        <v>23</v>
      </c>
      <c r="P20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1" s="9" t="s">
        <v>535</v>
      </c>
      <c r="R201" s="9" t="s">
        <v>536</v>
      </c>
      <c r="U201" s="4" t="s">
        <v>12</v>
      </c>
      <c r="W201" s="3" t="s">
        <v>13</v>
      </c>
      <c r="Y201" s="4">
        <v>100</v>
      </c>
      <c r="Z201" s="4">
        <f>8*7</f>
        <v>56</v>
      </c>
      <c r="AA201" s="5">
        <f t="shared" si="12"/>
        <v>1.7857142857142858</v>
      </c>
      <c r="AB201" s="5"/>
      <c r="AC201"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01" s="97" t="str">
        <f>IF(Tabelle1[[#This Row],[Nicht einbezogen weil…]]="",IFERROR(1000*Tabelle1[[#This Row],[Formfaktor]]/Tabelle1[[#This Row],[Thickness '[mm']]],""),"")</f>
        <v/>
      </c>
      <c r="AE201" s="98" t="str">
        <f>IF(Tabelle1[[#This Row],[Nicht einbezogen weil…]]="",IFERROR(Tabelle1[[#This Row],[specific surface '[m^2/m^3']]]/Tabelle1[[#This Row],[Density 
'[g/cm3']]]/1000000,""),"")</f>
        <v/>
      </c>
      <c r="AF201" s="97" t="str">
        <f>IF(Tabelle1[[#This Row],[Nicht einbezogen weil…]]="",IFERROR(365*10*Tabelle1[[#This Row],[Abbaurate '[%/d']]]*Tabelle1[[#This Row],[Thickness '[mm']]]/Tabelle1[[#This Row],[Formfaktor]],""),"")</f>
        <v/>
      </c>
      <c r="AG201" s="99" t="str">
        <f>IF(OR(Tabelle1[[#This Row],[Nicht einbezogen weil…]]="",Tabelle1[[#This Row],[Nicht einbezogen weil…]]="nicht-natürlich"),IF(Tabelle1[[#This Row],[Formfaktor]]=2, 1,IF(Tabelle1[[#This Row],[Formfaktor]]=4,2,IF(Tabelle1[[#This Row],[Formfaktor]]=6,3,""))),"")</f>
        <v/>
      </c>
      <c r="AH20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1" s="71">
        <v>1</v>
      </c>
      <c r="AK20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01" s="3" t="s">
        <v>537</v>
      </c>
      <c r="AN201" s="3" t="s">
        <v>538</v>
      </c>
      <c r="AO201" s="3" t="s">
        <v>200</v>
      </c>
      <c r="AP201" s="3" t="s">
        <v>200</v>
      </c>
      <c r="AU201" s="13" t="s">
        <v>200</v>
      </c>
      <c r="AW201" s="10" t="s">
        <v>814</v>
      </c>
    </row>
    <row r="202" spans="2:49" ht="17.25" customHeight="1">
      <c r="B202" s="7" t="s">
        <v>780</v>
      </c>
      <c r="C202" s="3" t="s">
        <v>49</v>
      </c>
      <c r="D202" s="3" t="s">
        <v>200</v>
      </c>
      <c r="E202" s="10" t="s">
        <v>1127</v>
      </c>
      <c r="F202" s="3" t="s">
        <v>288</v>
      </c>
      <c r="G202" s="3">
        <v>0.02</v>
      </c>
      <c r="H202" s="3">
        <f>0.02*0.02</f>
        <v>4.0000000000000002E-4</v>
      </c>
      <c r="I202" s="77">
        <v>1.1100000000000001</v>
      </c>
      <c r="J202" s="3" t="s">
        <v>513</v>
      </c>
      <c r="L202" s="3" t="s">
        <v>6</v>
      </c>
      <c r="M202" s="3" t="s">
        <v>223</v>
      </c>
      <c r="N202" s="3" t="s">
        <v>515</v>
      </c>
      <c r="O202" s="3" t="s">
        <v>256</v>
      </c>
      <c r="P20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2" s="4">
        <v>30</v>
      </c>
      <c r="U202" s="4" t="s">
        <v>12</v>
      </c>
      <c r="W202" s="3" t="s">
        <v>13</v>
      </c>
      <c r="Y202" s="4">
        <v>53</v>
      </c>
      <c r="Z202" s="4">
        <v>28</v>
      </c>
      <c r="AA202" s="5">
        <f t="shared" si="12"/>
        <v>1.8928571428571428</v>
      </c>
      <c r="AB202" s="5"/>
      <c r="AC20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02" s="97" t="str">
        <f>IF(Tabelle1[[#This Row],[Nicht einbezogen weil…]]="",IFERROR(1000*Tabelle1[[#This Row],[Formfaktor]]/Tabelle1[[#This Row],[Thickness '[mm']]],""),"")</f>
        <v/>
      </c>
      <c r="AE202" s="98" t="str">
        <f>IF(Tabelle1[[#This Row],[Nicht einbezogen weil…]]="",IFERROR(Tabelle1[[#This Row],[specific surface '[m^2/m^3']]]/Tabelle1[[#This Row],[Density 
'[g/cm3']]]/1000000,""),"")</f>
        <v/>
      </c>
      <c r="AF202" s="97" t="str">
        <f>IF(Tabelle1[[#This Row],[Nicht einbezogen weil…]]="",IFERROR(365*10*Tabelle1[[#This Row],[Abbaurate '[%/d']]]*Tabelle1[[#This Row],[Thickness '[mm']]]/Tabelle1[[#This Row],[Formfaktor]],""),"")</f>
        <v/>
      </c>
      <c r="AG202" s="99" t="str">
        <f>IF(OR(Tabelle1[[#This Row],[Nicht einbezogen weil…]]="",Tabelle1[[#This Row],[Nicht einbezogen weil…]]="nicht-natürlich"),IF(Tabelle1[[#This Row],[Formfaktor]]=2, 1,IF(Tabelle1[[#This Row],[Formfaktor]]=4,2,IF(Tabelle1[[#This Row],[Formfaktor]]=6,3,""))),"")</f>
        <v/>
      </c>
      <c r="AH20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2" s="71">
        <v>1</v>
      </c>
      <c r="AK20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02" s="3" t="s">
        <v>138</v>
      </c>
      <c r="AM202" s="3" t="s">
        <v>196</v>
      </c>
      <c r="AO202" s="3" t="s">
        <v>235</v>
      </c>
      <c r="AP202" s="3" t="s">
        <v>235</v>
      </c>
      <c r="AT202" s="10" t="s">
        <v>223</v>
      </c>
      <c r="AU202" s="13" t="s">
        <v>200</v>
      </c>
      <c r="AW202" s="10" t="s">
        <v>814</v>
      </c>
    </row>
    <row r="203" spans="2:49" ht="17.25" customHeight="1">
      <c r="B203" s="7" t="s">
        <v>780</v>
      </c>
      <c r="C203" s="3" t="s">
        <v>49</v>
      </c>
      <c r="D203" s="3" t="s">
        <v>200</v>
      </c>
      <c r="E203" s="10" t="s">
        <v>1127</v>
      </c>
      <c r="F203" s="3" t="s">
        <v>288</v>
      </c>
      <c r="G203" s="3">
        <v>0.02</v>
      </c>
      <c r="H203" s="3">
        <f>0.02*0.02</f>
        <v>4.0000000000000002E-4</v>
      </c>
      <c r="I203" s="77">
        <v>1.1100000000000001</v>
      </c>
      <c r="J203" s="3" t="s">
        <v>513</v>
      </c>
      <c r="L203" s="3" t="s">
        <v>6</v>
      </c>
      <c r="M203" s="3" t="s">
        <v>223</v>
      </c>
      <c r="N203" s="3" t="s">
        <v>515</v>
      </c>
      <c r="O203" s="3" t="s">
        <v>256</v>
      </c>
      <c r="P20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3" s="4">
        <v>30</v>
      </c>
      <c r="U203" s="4" t="s">
        <v>12</v>
      </c>
      <c r="W203" s="3" t="s">
        <v>506</v>
      </c>
      <c r="Y203" s="4">
        <v>42.8</v>
      </c>
      <c r="Z203" s="4">
        <v>28</v>
      </c>
      <c r="AA203" s="5">
        <f t="shared" si="12"/>
        <v>1.5285714285714285</v>
      </c>
      <c r="AB203" s="5"/>
      <c r="AC20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03" s="97" t="str">
        <f>IF(Tabelle1[[#This Row],[Nicht einbezogen weil…]]="",IFERROR(1000*Tabelle1[[#This Row],[Formfaktor]]/Tabelle1[[#This Row],[Thickness '[mm']]],""),"")</f>
        <v/>
      </c>
      <c r="AE203" s="98" t="str">
        <f>IF(Tabelle1[[#This Row],[Nicht einbezogen weil…]]="",IFERROR(Tabelle1[[#This Row],[specific surface '[m^2/m^3']]]/Tabelle1[[#This Row],[Density 
'[g/cm3']]]/1000000,""),"")</f>
        <v/>
      </c>
      <c r="AF203" s="97" t="str">
        <f>IF(Tabelle1[[#This Row],[Nicht einbezogen weil…]]="",IFERROR(365*10*Tabelle1[[#This Row],[Abbaurate '[%/d']]]*Tabelle1[[#This Row],[Thickness '[mm']]]/Tabelle1[[#This Row],[Formfaktor]],""),"")</f>
        <v/>
      </c>
      <c r="AG203" s="99" t="str">
        <f>IF(OR(Tabelle1[[#This Row],[Nicht einbezogen weil…]]="",Tabelle1[[#This Row],[Nicht einbezogen weil…]]="nicht-natürlich"),IF(Tabelle1[[#This Row],[Formfaktor]]=2, 1,IF(Tabelle1[[#This Row],[Formfaktor]]=4,2,IF(Tabelle1[[#This Row],[Formfaktor]]=6,3,""))),"")</f>
        <v/>
      </c>
      <c r="AH20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3" s="71">
        <v>1</v>
      </c>
      <c r="AK20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03" s="3" t="s">
        <v>138</v>
      </c>
      <c r="AM203" s="3" t="s">
        <v>196</v>
      </c>
      <c r="AO203" s="3" t="s">
        <v>235</v>
      </c>
      <c r="AP203" s="3" t="s">
        <v>235</v>
      </c>
      <c r="AT203" s="10" t="s">
        <v>223</v>
      </c>
      <c r="AU203" s="13" t="s">
        <v>200</v>
      </c>
      <c r="AW203" s="10" t="s">
        <v>814</v>
      </c>
    </row>
    <row r="204" spans="2:49" ht="17.25" customHeight="1">
      <c r="B204" s="7" t="s">
        <v>780</v>
      </c>
      <c r="C204" s="3" t="s">
        <v>49</v>
      </c>
      <c r="D204" s="3" t="s">
        <v>200</v>
      </c>
      <c r="E204" s="10" t="s">
        <v>205</v>
      </c>
      <c r="F204" s="3" t="s">
        <v>288</v>
      </c>
      <c r="G204" s="3">
        <v>0.02</v>
      </c>
      <c r="H204" s="3">
        <f>0.02*0.02</f>
        <v>4.0000000000000002E-4</v>
      </c>
      <c r="I204" s="77">
        <v>1.1100000000000001</v>
      </c>
      <c r="J204" s="3" t="s">
        <v>513</v>
      </c>
      <c r="L204" s="3" t="s">
        <v>6</v>
      </c>
      <c r="M204" s="3" t="s">
        <v>223</v>
      </c>
      <c r="N204" s="3" t="s">
        <v>515</v>
      </c>
      <c r="O204" s="3" t="s">
        <v>256</v>
      </c>
      <c r="P20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4" s="4">
        <v>30</v>
      </c>
      <c r="U204" s="4" t="s">
        <v>89</v>
      </c>
      <c r="W204" s="3" t="s">
        <v>13</v>
      </c>
      <c r="Y204" s="4">
        <v>44.82</v>
      </c>
      <c r="Z204" s="4">
        <v>28</v>
      </c>
      <c r="AA204" s="5">
        <f t="shared" si="12"/>
        <v>1.6007142857142858</v>
      </c>
      <c r="AB204" s="5"/>
      <c r="AC20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04" s="97" t="str">
        <f>IF(Tabelle1[[#This Row],[Nicht einbezogen weil…]]="",IFERROR(1000*Tabelle1[[#This Row],[Formfaktor]]/Tabelle1[[#This Row],[Thickness '[mm']]],""),"")</f>
        <v/>
      </c>
      <c r="AE204" s="98" t="str">
        <f>IF(Tabelle1[[#This Row],[Nicht einbezogen weil…]]="",IFERROR(Tabelle1[[#This Row],[specific surface '[m^2/m^3']]]/Tabelle1[[#This Row],[Density 
'[g/cm3']]]/1000000,""),"")</f>
        <v/>
      </c>
      <c r="AF204" s="97" t="str">
        <f>IF(Tabelle1[[#This Row],[Nicht einbezogen weil…]]="",IFERROR(365*10*Tabelle1[[#This Row],[Abbaurate '[%/d']]]*Tabelle1[[#This Row],[Thickness '[mm']]]/Tabelle1[[#This Row],[Formfaktor]],""),"")</f>
        <v/>
      </c>
      <c r="AG204" s="99" t="str">
        <f>IF(OR(Tabelle1[[#This Row],[Nicht einbezogen weil…]]="",Tabelle1[[#This Row],[Nicht einbezogen weil…]]="nicht-natürlich"),IF(Tabelle1[[#This Row],[Formfaktor]]=2, 1,IF(Tabelle1[[#This Row],[Formfaktor]]=4,2,IF(Tabelle1[[#This Row],[Formfaktor]]=6,3,""))),"")</f>
        <v/>
      </c>
      <c r="AH20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4" s="71">
        <v>1</v>
      </c>
      <c r="AK20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04" s="3" t="s">
        <v>138</v>
      </c>
      <c r="AM204" s="3" t="s">
        <v>196</v>
      </c>
      <c r="AN204" s="3" t="s">
        <v>538</v>
      </c>
      <c r="AO204" s="3" t="s">
        <v>235</v>
      </c>
      <c r="AP204" s="3" t="s">
        <v>235</v>
      </c>
      <c r="AT204" s="10" t="s">
        <v>223</v>
      </c>
      <c r="AU204" s="13" t="s">
        <v>200</v>
      </c>
      <c r="AW204" s="10" t="s">
        <v>814</v>
      </c>
    </row>
    <row r="205" spans="2:49" ht="17.25" customHeight="1">
      <c r="B205" s="7" t="s">
        <v>780</v>
      </c>
      <c r="C205" s="3" t="s">
        <v>531</v>
      </c>
      <c r="D205" s="3" t="s">
        <v>200</v>
      </c>
      <c r="E205" s="10" t="s">
        <v>1127</v>
      </c>
      <c r="F205" s="74" t="s">
        <v>341</v>
      </c>
      <c r="G205" s="74" t="s">
        <v>341</v>
      </c>
      <c r="H205" s="74" t="s">
        <v>341</v>
      </c>
      <c r="I205" s="77">
        <v>1.1100000000000001</v>
      </c>
      <c r="M205" s="3" t="s">
        <v>223</v>
      </c>
      <c r="N205" s="3" t="s">
        <v>94</v>
      </c>
      <c r="O205" s="3" t="s">
        <v>23</v>
      </c>
      <c r="P20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5" s="4">
        <v>37</v>
      </c>
      <c r="R205" s="4">
        <v>7.2</v>
      </c>
      <c r="W205" s="3" t="s">
        <v>13</v>
      </c>
      <c r="Y205" s="4">
        <v>19.8</v>
      </c>
      <c r="Z205" s="4">
        <f>8*7</f>
        <v>56</v>
      </c>
      <c r="AA205" s="5">
        <f t="shared" si="12"/>
        <v>0.35357142857142859</v>
      </c>
      <c r="AB205" s="5"/>
      <c r="AC205"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05" s="97" t="str">
        <f>IF(Tabelle1[[#This Row],[Nicht einbezogen weil…]]="",IFERROR(1000*Tabelle1[[#This Row],[Formfaktor]]/Tabelle1[[#This Row],[Thickness '[mm']]],""),"")</f>
        <v/>
      </c>
      <c r="AE205" s="98" t="str">
        <f>IF(Tabelle1[[#This Row],[Nicht einbezogen weil…]]="",IFERROR(Tabelle1[[#This Row],[specific surface '[m^2/m^3']]]/Tabelle1[[#This Row],[Density 
'[g/cm3']]]/1000000,""),"")</f>
        <v/>
      </c>
      <c r="AF205" s="97" t="str">
        <f>IF(Tabelle1[[#This Row],[Nicht einbezogen weil…]]="",IFERROR(365*10*Tabelle1[[#This Row],[Abbaurate '[%/d']]]*Tabelle1[[#This Row],[Thickness '[mm']]]/Tabelle1[[#This Row],[Formfaktor]],""),"")</f>
        <v/>
      </c>
      <c r="AG205" s="99" t="str">
        <f>IF(OR(Tabelle1[[#This Row],[Nicht einbezogen weil…]]="",Tabelle1[[#This Row],[Nicht einbezogen weil…]]="nicht-natürlich"),IF(Tabelle1[[#This Row],[Formfaktor]]=2, 1,IF(Tabelle1[[#This Row],[Formfaktor]]=4,2,IF(Tabelle1[[#This Row],[Formfaktor]]=6,3,""))),"")</f>
        <v/>
      </c>
      <c r="AH20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5" s="71">
        <v>1</v>
      </c>
      <c r="AK20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05" s="3" t="s">
        <v>537</v>
      </c>
      <c r="AN205" s="3" t="s">
        <v>538</v>
      </c>
      <c r="AO205" s="3" t="s">
        <v>200</v>
      </c>
      <c r="AP205" s="3" t="s">
        <v>200</v>
      </c>
      <c r="AU205" s="13" t="s">
        <v>200</v>
      </c>
      <c r="AW205" s="10" t="s">
        <v>814</v>
      </c>
    </row>
    <row r="206" spans="2:49" ht="17.25" customHeight="1">
      <c r="B206" s="7" t="s">
        <v>780</v>
      </c>
      <c r="C206" s="3" t="s">
        <v>532</v>
      </c>
      <c r="D206" s="3" t="s">
        <v>200</v>
      </c>
      <c r="E206" s="10" t="s">
        <v>1127</v>
      </c>
      <c r="F206" s="74" t="s">
        <v>341</v>
      </c>
      <c r="G206" s="74" t="s">
        <v>341</v>
      </c>
      <c r="H206" s="74" t="s">
        <v>341</v>
      </c>
      <c r="I206" s="77">
        <v>1.1100000000000001</v>
      </c>
      <c r="M206" s="3" t="s">
        <v>223</v>
      </c>
      <c r="N206" s="3" t="s">
        <v>94</v>
      </c>
      <c r="O206" s="3" t="s">
        <v>23</v>
      </c>
      <c r="P20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6" s="4">
        <v>37</v>
      </c>
      <c r="R206" s="4">
        <v>7.2</v>
      </c>
      <c r="W206" s="3" t="s">
        <v>13</v>
      </c>
      <c r="Y206" s="4">
        <v>10.29</v>
      </c>
      <c r="Z206" s="4">
        <f>8*7</f>
        <v>56</v>
      </c>
      <c r="AA206" s="5">
        <f t="shared" si="12"/>
        <v>0.18375</v>
      </c>
      <c r="AB206" s="5"/>
      <c r="AC206"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06" s="97" t="str">
        <f>IF(Tabelle1[[#This Row],[Nicht einbezogen weil…]]="",IFERROR(1000*Tabelle1[[#This Row],[Formfaktor]]/Tabelle1[[#This Row],[Thickness '[mm']]],""),"")</f>
        <v/>
      </c>
      <c r="AE206" s="98" t="str">
        <f>IF(Tabelle1[[#This Row],[Nicht einbezogen weil…]]="",IFERROR(Tabelle1[[#This Row],[specific surface '[m^2/m^3']]]/Tabelle1[[#This Row],[Density 
'[g/cm3']]]/1000000,""),"")</f>
        <v/>
      </c>
      <c r="AF206" s="97" t="str">
        <f>IF(Tabelle1[[#This Row],[Nicht einbezogen weil…]]="",IFERROR(365*10*Tabelle1[[#This Row],[Abbaurate '[%/d']]]*Tabelle1[[#This Row],[Thickness '[mm']]]/Tabelle1[[#This Row],[Formfaktor]],""),"")</f>
        <v/>
      </c>
      <c r="AG206" s="99" t="str">
        <f>IF(OR(Tabelle1[[#This Row],[Nicht einbezogen weil…]]="",Tabelle1[[#This Row],[Nicht einbezogen weil…]]="nicht-natürlich"),IF(Tabelle1[[#This Row],[Formfaktor]]=2, 1,IF(Tabelle1[[#This Row],[Formfaktor]]=4,2,IF(Tabelle1[[#This Row],[Formfaktor]]=6,3,""))),"")</f>
        <v/>
      </c>
      <c r="AH20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6" s="71">
        <v>1</v>
      </c>
      <c r="AK20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06" s="3" t="s">
        <v>537</v>
      </c>
      <c r="AN206" s="3" t="s">
        <v>538</v>
      </c>
      <c r="AO206" s="3" t="s">
        <v>200</v>
      </c>
      <c r="AP206" s="3" t="s">
        <v>200</v>
      </c>
      <c r="AU206" s="13" t="s">
        <v>200</v>
      </c>
      <c r="AW206" s="10" t="s">
        <v>814</v>
      </c>
    </row>
    <row r="207" spans="2:49" ht="17.25" customHeight="1">
      <c r="B207" s="7" t="s">
        <v>780</v>
      </c>
      <c r="C207" s="3" t="s">
        <v>534</v>
      </c>
      <c r="D207" s="3" t="s">
        <v>200</v>
      </c>
      <c r="E207" s="10" t="s">
        <v>1127</v>
      </c>
      <c r="F207" s="74" t="s">
        <v>341</v>
      </c>
      <c r="G207" s="74" t="s">
        <v>341</v>
      </c>
      <c r="H207" s="74" t="s">
        <v>341</v>
      </c>
      <c r="I207" s="77">
        <v>1.1100000000000001</v>
      </c>
      <c r="M207" s="3" t="s">
        <v>223</v>
      </c>
      <c r="N207" s="3" t="s">
        <v>94</v>
      </c>
      <c r="O207" s="3" t="s">
        <v>23</v>
      </c>
      <c r="P20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7" s="4">
        <v>37</v>
      </c>
      <c r="R207" s="4">
        <v>7.2</v>
      </c>
      <c r="W207" s="3" t="s">
        <v>13</v>
      </c>
      <c r="Y207" s="4">
        <v>11.12</v>
      </c>
      <c r="Z207" s="4">
        <f>8*7</f>
        <v>56</v>
      </c>
      <c r="AA207" s="5">
        <f t="shared" si="12"/>
        <v>0.19857142857142857</v>
      </c>
      <c r="AB207" s="5"/>
      <c r="AC207"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07" s="97" t="str">
        <f>IF(Tabelle1[[#This Row],[Nicht einbezogen weil…]]="",IFERROR(1000*Tabelle1[[#This Row],[Formfaktor]]/Tabelle1[[#This Row],[Thickness '[mm']]],""),"")</f>
        <v/>
      </c>
      <c r="AE207" s="98" t="str">
        <f>IF(Tabelle1[[#This Row],[Nicht einbezogen weil…]]="",IFERROR(Tabelle1[[#This Row],[specific surface '[m^2/m^3']]]/Tabelle1[[#This Row],[Density 
'[g/cm3']]]/1000000,""),"")</f>
        <v/>
      </c>
      <c r="AF207" s="97" t="str">
        <f>IF(Tabelle1[[#This Row],[Nicht einbezogen weil…]]="",IFERROR(365*10*Tabelle1[[#This Row],[Abbaurate '[%/d']]]*Tabelle1[[#This Row],[Thickness '[mm']]]/Tabelle1[[#This Row],[Formfaktor]],""),"")</f>
        <v/>
      </c>
      <c r="AG207" s="99" t="str">
        <f>IF(OR(Tabelle1[[#This Row],[Nicht einbezogen weil…]]="",Tabelle1[[#This Row],[Nicht einbezogen weil…]]="nicht-natürlich"),IF(Tabelle1[[#This Row],[Formfaktor]]=2, 1,IF(Tabelle1[[#This Row],[Formfaktor]]=4,2,IF(Tabelle1[[#This Row],[Formfaktor]]=6,3,""))),"")</f>
        <v/>
      </c>
      <c r="AH20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7" s="71">
        <v>1</v>
      </c>
      <c r="AK20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07" s="3" t="s">
        <v>537</v>
      </c>
      <c r="AN207" s="3" t="s">
        <v>538</v>
      </c>
      <c r="AO207" s="3" t="s">
        <v>200</v>
      </c>
      <c r="AP207" s="3" t="s">
        <v>200</v>
      </c>
      <c r="AU207" s="13" t="s">
        <v>200</v>
      </c>
      <c r="AW207" s="10" t="s">
        <v>814</v>
      </c>
    </row>
    <row r="208" spans="2:49" ht="17.25" customHeight="1">
      <c r="B208" s="7" t="s">
        <v>780</v>
      </c>
      <c r="C208" s="3" t="s">
        <v>533</v>
      </c>
      <c r="D208" s="3" t="s">
        <v>200</v>
      </c>
      <c r="E208" s="10" t="s">
        <v>1127</v>
      </c>
      <c r="F208" s="74" t="s">
        <v>341</v>
      </c>
      <c r="G208" s="74" t="s">
        <v>341</v>
      </c>
      <c r="H208" s="74" t="s">
        <v>341</v>
      </c>
      <c r="I208" s="77">
        <v>1.1100000000000001</v>
      </c>
      <c r="M208" s="3" t="s">
        <v>223</v>
      </c>
      <c r="N208" s="3" t="s">
        <v>94</v>
      </c>
      <c r="O208" s="3" t="s">
        <v>23</v>
      </c>
      <c r="P20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8" s="4">
        <v>37</v>
      </c>
      <c r="R208" s="4">
        <v>7.2</v>
      </c>
      <c r="W208" s="3" t="s">
        <v>13</v>
      </c>
      <c r="Y208" s="4">
        <v>11.74</v>
      </c>
      <c r="Z208" s="4">
        <f>8*7</f>
        <v>56</v>
      </c>
      <c r="AA208" s="5">
        <f t="shared" si="12"/>
        <v>0.20964285714285716</v>
      </c>
      <c r="AB208" s="5"/>
      <c r="AC208"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08" s="97" t="str">
        <f>IF(Tabelle1[[#This Row],[Nicht einbezogen weil…]]="",IFERROR(1000*Tabelle1[[#This Row],[Formfaktor]]/Tabelle1[[#This Row],[Thickness '[mm']]],""),"")</f>
        <v/>
      </c>
      <c r="AE208" s="98" t="str">
        <f>IF(Tabelle1[[#This Row],[Nicht einbezogen weil…]]="",IFERROR(Tabelle1[[#This Row],[specific surface '[m^2/m^3']]]/Tabelle1[[#This Row],[Density 
'[g/cm3']]]/1000000,""),"")</f>
        <v/>
      </c>
      <c r="AF208" s="97" t="str">
        <f>IF(Tabelle1[[#This Row],[Nicht einbezogen weil…]]="",IFERROR(365*10*Tabelle1[[#This Row],[Abbaurate '[%/d']]]*Tabelle1[[#This Row],[Thickness '[mm']]]/Tabelle1[[#This Row],[Formfaktor]],""),"")</f>
        <v/>
      </c>
      <c r="AG208" s="99" t="str">
        <f>IF(OR(Tabelle1[[#This Row],[Nicht einbezogen weil…]]="",Tabelle1[[#This Row],[Nicht einbezogen weil…]]="nicht-natürlich"),IF(Tabelle1[[#This Row],[Formfaktor]]=2, 1,IF(Tabelle1[[#This Row],[Formfaktor]]=4,2,IF(Tabelle1[[#This Row],[Formfaktor]]=6,3,""))),"")</f>
        <v/>
      </c>
      <c r="AH20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8" s="71">
        <v>1</v>
      </c>
      <c r="AK20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08" s="3" t="s">
        <v>537</v>
      </c>
      <c r="AN208" s="3" t="s">
        <v>538</v>
      </c>
      <c r="AO208" s="3" t="s">
        <v>200</v>
      </c>
      <c r="AP208" s="3" t="s">
        <v>200</v>
      </c>
      <c r="AU208" s="13" t="s">
        <v>200</v>
      </c>
      <c r="AW208" s="10" t="s">
        <v>814</v>
      </c>
    </row>
    <row r="209" spans="1:49" ht="17.25" customHeight="1">
      <c r="B209" s="7" t="s">
        <v>780</v>
      </c>
      <c r="C209" s="3" t="s">
        <v>79</v>
      </c>
      <c r="D209" s="3" t="s">
        <v>200</v>
      </c>
      <c r="E209" s="10" t="s">
        <v>1127</v>
      </c>
      <c r="F209" s="3" t="s">
        <v>198</v>
      </c>
      <c r="G209" s="74" t="s">
        <v>341</v>
      </c>
      <c r="H209" s="74" t="s">
        <v>341</v>
      </c>
      <c r="I209" s="77">
        <v>1.1100000000000001</v>
      </c>
      <c r="M209" s="3" t="s">
        <v>200</v>
      </c>
      <c r="N209" s="3" t="s">
        <v>95</v>
      </c>
      <c r="O209" s="3" t="s">
        <v>23</v>
      </c>
      <c r="P20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09" s="4" t="s">
        <v>81</v>
      </c>
      <c r="R209" s="4">
        <v>8.1999999999999993</v>
      </c>
      <c r="U209" s="4" t="s">
        <v>12</v>
      </c>
      <c r="W209" s="3" t="s">
        <v>13</v>
      </c>
      <c r="Y209" s="4">
        <v>100</v>
      </c>
      <c r="Z209" s="4">
        <v>35</v>
      </c>
      <c r="AA209" s="5">
        <f t="shared" si="12"/>
        <v>2.8571428571428572</v>
      </c>
      <c r="AB209" s="5"/>
      <c r="AC20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09" s="97" t="str">
        <f>IF(Tabelle1[[#This Row],[Nicht einbezogen weil…]]="",IFERROR(1000*Tabelle1[[#This Row],[Formfaktor]]/Tabelle1[[#This Row],[Thickness '[mm']]],""),"")</f>
        <v/>
      </c>
      <c r="AE209" s="98" t="str">
        <f>IF(Tabelle1[[#This Row],[Nicht einbezogen weil…]]="",IFERROR(Tabelle1[[#This Row],[specific surface '[m^2/m^3']]]/Tabelle1[[#This Row],[Density 
'[g/cm3']]]/1000000,""),"")</f>
        <v/>
      </c>
      <c r="AF209" s="97" t="str">
        <f>IF(Tabelle1[[#This Row],[Nicht einbezogen weil…]]="",IFERROR(365*10*Tabelle1[[#This Row],[Abbaurate '[%/d']]]*Tabelle1[[#This Row],[Thickness '[mm']]]/Tabelle1[[#This Row],[Formfaktor]],""),"")</f>
        <v/>
      </c>
      <c r="AG209" s="99" t="str">
        <f>IF(OR(Tabelle1[[#This Row],[Nicht einbezogen weil…]]="",Tabelle1[[#This Row],[Nicht einbezogen weil…]]="nicht-natürlich"),IF(Tabelle1[[#This Row],[Formfaktor]]=2, 1,IF(Tabelle1[[#This Row],[Formfaktor]]=4,2,IF(Tabelle1[[#This Row],[Formfaktor]]=6,3,""))),"")</f>
        <v/>
      </c>
      <c r="AH20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0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09" s="71">
        <v>1</v>
      </c>
      <c r="AK20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09" s="3" t="s">
        <v>85</v>
      </c>
      <c r="AO209" s="3" t="s">
        <v>200</v>
      </c>
      <c r="AP209" s="3" t="s">
        <v>200</v>
      </c>
      <c r="AT209" s="10" t="s">
        <v>223</v>
      </c>
      <c r="AU209" s="13" t="s">
        <v>200</v>
      </c>
      <c r="AW209" s="10" t="s">
        <v>814</v>
      </c>
    </row>
    <row r="210" spans="1:49" ht="17.25" customHeight="1">
      <c r="B210" s="7" t="s">
        <v>790</v>
      </c>
      <c r="C210" s="3" t="s">
        <v>725</v>
      </c>
      <c r="D210" s="3" t="s">
        <v>200</v>
      </c>
      <c r="E210" s="10" t="s">
        <v>1127</v>
      </c>
      <c r="F210" s="3" t="s">
        <v>288</v>
      </c>
      <c r="G210" s="17">
        <f>AVERAGE(0.5,1)</f>
        <v>0.75</v>
      </c>
      <c r="H210" s="338" t="s">
        <v>341</v>
      </c>
      <c r="I210" s="24">
        <f>AVERAGE(0.9265,0.9495)</f>
        <v>0.93799999999999994</v>
      </c>
      <c r="J210" s="19" t="s">
        <v>727</v>
      </c>
      <c r="K210" s="8" t="s">
        <v>229</v>
      </c>
      <c r="M210" s="3" t="s">
        <v>301</v>
      </c>
      <c r="N210" s="3" t="s">
        <v>3</v>
      </c>
      <c r="O210" s="3" t="s">
        <v>358</v>
      </c>
      <c r="P21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210" s="4" t="s">
        <v>12</v>
      </c>
      <c r="W210" s="3" t="s">
        <v>13</v>
      </c>
      <c r="Y210" s="4">
        <v>0.02</v>
      </c>
      <c r="Z210" s="4">
        <v>72</v>
      </c>
      <c r="AA210" s="5">
        <f t="shared" si="12"/>
        <v>2.7777777777777778E-4</v>
      </c>
      <c r="AB210" s="5"/>
      <c r="AC21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10" s="97" t="str">
        <f>IF(Tabelle1[[#This Row],[Nicht einbezogen weil…]]="",IFERROR(1000*Tabelle1[[#This Row],[Formfaktor]]/Tabelle1[[#This Row],[Thickness '[mm']]],""),"")</f>
        <v/>
      </c>
      <c r="AE210" s="98" t="str">
        <f>IF(Tabelle1[[#This Row],[Nicht einbezogen weil…]]="",IFERROR(Tabelle1[[#This Row],[specific surface '[m^2/m^3']]]/Tabelle1[[#This Row],[Density 
'[g/cm3']]]/1000000,""),"")</f>
        <v/>
      </c>
      <c r="AF210" s="97" t="str">
        <f>IF(Tabelle1[[#This Row],[Nicht einbezogen weil…]]="",IFERROR(365*10*Tabelle1[[#This Row],[Abbaurate '[%/d']]]*Tabelle1[[#This Row],[Thickness '[mm']]]/Tabelle1[[#This Row],[Formfaktor]],""),"")</f>
        <v/>
      </c>
      <c r="AG210" s="99" t="str">
        <f>IF(OR(Tabelle1[[#This Row],[Nicht einbezogen weil…]]="",Tabelle1[[#This Row],[Nicht einbezogen weil…]]="nicht-natürlich"),IF(Tabelle1[[#This Row],[Formfaktor]]=2, 1,IF(Tabelle1[[#This Row],[Formfaktor]]=4,2,IF(Tabelle1[[#This Row],[Formfaktor]]=6,3,""))),"")</f>
        <v/>
      </c>
      <c r="AH21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1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10" s="71">
        <v>1</v>
      </c>
      <c r="AK21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10" s="3" t="s">
        <v>150</v>
      </c>
      <c r="AM210" s="3" t="s">
        <v>962</v>
      </c>
      <c r="AN210" s="3" t="s">
        <v>538</v>
      </c>
      <c r="AO210" s="3" t="s">
        <v>235</v>
      </c>
      <c r="AP210" s="3" t="s">
        <v>200</v>
      </c>
      <c r="AT210" s="10" t="s">
        <v>223</v>
      </c>
      <c r="AU210" s="13" t="s">
        <v>200</v>
      </c>
      <c r="AV210" s="14"/>
      <c r="AW210" s="10" t="s">
        <v>805</v>
      </c>
    </row>
    <row r="211" spans="1:49" ht="17.25" customHeight="1">
      <c r="B211" s="11" t="s">
        <v>77</v>
      </c>
      <c r="C211" s="3" t="s">
        <v>641</v>
      </c>
      <c r="D211" s="3" t="s">
        <v>223</v>
      </c>
      <c r="E211" s="10"/>
      <c r="F211" s="74" t="s">
        <v>341</v>
      </c>
      <c r="G211" s="74" t="s">
        <v>341</v>
      </c>
      <c r="H211" s="74" t="s">
        <v>341</v>
      </c>
      <c r="I211" s="24">
        <f>AVERAGE(0.9265,0.9495)</f>
        <v>0.93799999999999994</v>
      </c>
      <c r="M211" s="3" t="s">
        <v>223</v>
      </c>
      <c r="N211" s="3" t="s">
        <v>655</v>
      </c>
      <c r="O211" s="3" t="s">
        <v>294</v>
      </c>
      <c r="P21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11" s="4">
        <v>30</v>
      </c>
      <c r="U211" s="4" t="s">
        <v>12</v>
      </c>
      <c r="W211" s="3" t="s">
        <v>190</v>
      </c>
      <c r="Y211" s="4">
        <v>0</v>
      </c>
      <c r="Z211" s="4">
        <v>14</v>
      </c>
      <c r="AA211" s="5">
        <f t="shared" si="12"/>
        <v>0</v>
      </c>
      <c r="AB211" s="5"/>
      <c r="AC211"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11" s="97" t="str">
        <f>IF(Tabelle1[[#This Row],[Nicht einbezogen weil…]]="",IFERROR(1000*Tabelle1[[#This Row],[Formfaktor]]/Tabelle1[[#This Row],[Thickness '[mm']]],""),"")</f>
        <v/>
      </c>
      <c r="AE211" s="98" t="str">
        <f>IF(Tabelle1[[#This Row],[Nicht einbezogen weil…]]="",IFERROR(Tabelle1[[#This Row],[specific surface '[m^2/m^3']]]/Tabelle1[[#This Row],[Density 
'[g/cm3']]]/1000000,""),"")</f>
        <v/>
      </c>
      <c r="AF211" s="97" t="str">
        <f>IF(Tabelle1[[#This Row],[Nicht einbezogen weil…]]="",IFERROR(365*10*Tabelle1[[#This Row],[Abbaurate '[%/d']]]*Tabelle1[[#This Row],[Thickness '[mm']]]/Tabelle1[[#This Row],[Formfaktor]],""),"")</f>
        <v/>
      </c>
      <c r="AG211" s="99" t="str">
        <f>IF(OR(Tabelle1[[#This Row],[Nicht einbezogen weil…]]="",Tabelle1[[#This Row],[Nicht einbezogen weil…]]="nicht-natürlich"),IF(Tabelle1[[#This Row],[Formfaktor]]=2, 1,IF(Tabelle1[[#This Row],[Formfaktor]]=4,2,IF(Tabelle1[[#This Row],[Formfaktor]]=6,3,""))),"")</f>
        <v/>
      </c>
      <c r="AH21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1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11" s="71">
        <v>1</v>
      </c>
      <c r="AK21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11" s="3" t="s">
        <v>386</v>
      </c>
      <c r="AM211" s="3" t="s">
        <v>962</v>
      </c>
      <c r="AN211" s="3" t="s">
        <v>538</v>
      </c>
      <c r="AO211" s="3" t="s">
        <v>200</v>
      </c>
      <c r="AP211" s="3" t="s">
        <v>200</v>
      </c>
      <c r="AT211" s="10" t="s">
        <v>223</v>
      </c>
      <c r="AU211" s="13" t="s">
        <v>200</v>
      </c>
      <c r="AW211" s="10" t="s">
        <v>775</v>
      </c>
    </row>
    <row r="212" spans="1:49" ht="17.25" customHeight="1">
      <c r="B212" s="321" t="s">
        <v>77</v>
      </c>
      <c r="C212" s="322" t="s">
        <v>878</v>
      </c>
      <c r="D212" s="322" t="s">
        <v>200</v>
      </c>
      <c r="E212" s="10" t="s">
        <v>205</v>
      </c>
      <c r="F212" s="322" t="s">
        <v>876</v>
      </c>
      <c r="G212" s="322" t="s">
        <v>341</v>
      </c>
      <c r="H212" s="322"/>
      <c r="I212" s="331" t="s">
        <v>596</v>
      </c>
      <c r="J212" s="322"/>
      <c r="K212" s="73"/>
      <c r="L212" s="322" t="s">
        <v>879</v>
      </c>
      <c r="M212" s="322" t="s">
        <v>200</v>
      </c>
      <c r="N212" s="322" t="s">
        <v>877</v>
      </c>
      <c r="O212" s="322" t="s">
        <v>850</v>
      </c>
      <c r="P212" s="322"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12" s="72"/>
      <c r="R212" s="72"/>
      <c r="S212" s="72"/>
      <c r="T212" s="72"/>
      <c r="U212" s="72"/>
      <c r="V212" s="72"/>
      <c r="W212" s="322"/>
      <c r="X212" s="322"/>
      <c r="Y212" s="72"/>
      <c r="Z212" s="72"/>
      <c r="AA212" s="97" t="e">
        <f t="shared" si="12"/>
        <v>#DIV/0!</v>
      </c>
      <c r="AB212" s="97"/>
      <c r="AC212"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12" s="97" t="str">
        <f>IF(Tabelle1[[#This Row],[Nicht einbezogen weil…]]="",IFERROR(1000*Tabelle1[[#This Row],[Formfaktor]]/Tabelle1[[#This Row],[Thickness '[mm']]],""),"")</f>
        <v/>
      </c>
      <c r="AE212" s="98" t="str">
        <f>IF(Tabelle1[[#This Row],[Nicht einbezogen weil…]]="",IFERROR(Tabelle1[[#This Row],[specific surface '[m^2/m^3']]]/Tabelle1[[#This Row],[Density 
'[g/cm3']]]/1000000,""),"")</f>
        <v/>
      </c>
      <c r="AF212" s="97" t="str">
        <f>IF(Tabelle1[[#This Row],[Nicht einbezogen weil…]]="",IFERROR(365*10*Tabelle1[[#This Row],[Abbaurate '[%/d']]]*Tabelle1[[#This Row],[Thickness '[mm']]]/Tabelle1[[#This Row],[Formfaktor]],""),"")</f>
        <v/>
      </c>
      <c r="AG212" s="99" t="str">
        <f>IF(OR(Tabelle1[[#This Row],[Nicht einbezogen weil…]]="",Tabelle1[[#This Row],[Nicht einbezogen weil…]]="nicht-natürlich"),IF(Tabelle1[[#This Row],[Formfaktor]]=2, 1,IF(Tabelle1[[#This Row],[Formfaktor]]=4,2,IF(Tabelle1[[#This Row],[Formfaktor]]=6,3,""))),"")</f>
        <v/>
      </c>
      <c r="AH21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1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12" s="96">
        <v>0</v>
      </c>
      <c r="AK21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212" s="326" t="s">
        <v>841</v>
      </c>
      <c r="AM212" s="322" t="s">
        <v>855</v>
      </c>
      <c r="AN212" s="322" t="s">
        <v>824</v>
      </c>
      <c r="AO212" s="322" t="s">
        <v>200</v>
      </c>
      <c r="AP212" s="322" t="s">
        <v>223</v>
      </c>
      <c r="AQ212" s="322"/>
      <c r="AR212" s="72"/>
      <c r="AS212" s="72"/>
      <c r="AT212" s="73"/>
      <c r="AU212" s="324" t="s">
        <v>701</v>
      </c>
      <c r="AV212" s="325" t="s">
        <v>875</v>
      </c>
      <c r="AW212" s="73" t="s">
        <v>933</v>
      </c>
    </row>
    <row r="213" spans="1:49" ht="17.25" customHeight="1">
      <c r="B213" s="7" t="s">
        <v>77</v>
      </c>
      <c r="C213" s="3" t="s">
        <v>77</v>
      </c>
      <c r="D213" s="3" t="s">
        <v>200</v>
      </c>
      <c r="E213" s="10" t="s">
        <v>205</v>
      </c>
      <c r="F213" s="3" t="s">
        <v>288</v>
      </c>
      <c r="G213" s="3">
        <v>0.02</v>
      </c>
      <c r="H213" s="3">
        <f>0.02*0.02</f>
        <v>4.0000000000000002E-4</v>
      </c>
      <c r="I213" s="24">
        <f>AVERAGE(0.9265,0.9495)</f>
        <v>0.93799999999999994</v>
      </c>
      <c r="L213" s="3" t="s">
        <v>6</v>
      </c>
      <c r="M213" s="3" t="s">
        <v>223</v>
      </c>
      <c r="N213" s="3" t="s">
        <v>515</v>
      </c>
      <c r="O213" s="3" t="s">
        <v>256</v>
      </c>
      <c r="P21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13" s="4">
        <v>30</v>
      </c>
      <c r="U213" s="4" t="s">
        <v>12</v>
      </c>
      <c r="W213" s="3" t="s">
        <v>13</v>
      </c>
      <c r="Y213" s="4">
        <v>0</v>
      </c>
      <c r="Z213" s="4">
        <v>28</v>
      </c>
      <c r="AA213" s="5">
        <f t="shared" si="12"/>
        <v>0</v>
      </c>
      <c r="AB213" s="5"/>
      <c r="AC21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13" s="97" t="str">
        <f>IF(Tabelle1[[#This Row],[Nicht einbezogen weil…]]="",IFERROR(1000*Tabelle1[[#This Row],[Formfaktor]]/Tabelle1[[#This Row],[Thickness '[mm']]],""),"")</f>
        <v/>
      </c>
      <c r="AE213" s="98" t="str">
        <f>IF(Tabelle1[[#This Row],[Nicht einbezogen weil…]]="",IFERROR(Tabelle1[[#This Row],[specific surface '[m^2/m^3']]]/Tabelle1[[#This Row],[Density 
'[g/cm3']]]/1000000,""),"")</f>
        <v/>
      </c>
      <c r="AF213" s="97" t="str">
        <f>IF(Tabelle1[[#This Row],[Nicht einbezogen weil…]]="",IFERROR(365*10*Tabelle1[[#This Row],[Abbaurate '[%/d']]]*Tabelle1[[#This Row],[Thickness '[mm']]]/Tabelle1[[#This Row],[Formfaktor]],""),"")</f>
        <v/>
      </c>
      <c r="AG213" s="99" t="str">
        <f>IF(OR(Tabelle1[[#This Row],[Nicht einbezogen weil…]]="",Tabelle1[[#This Row],[Nicht einbezogen weil…]]="nicht-natürlich"),IF(Tabelle1[[#This Row],[Formfaktor]]=2, 1,IF(Tabelle1[[#This Row],[Formfaktor]]=4,2,IF(Tabelle1[[#This Row],[Formfaktor]]=6,3,""))),"")</f>
        <v/>
      </c>
      <c r="AH21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1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13" s="71">
        <v>1</v>
      </c>
      <c r="AK21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13" s="3" t="s">
        <v>138</v>
      </c>
      <c r="AM213" s="3" t="s">
        <v>196</v>
      </c>
      <c r="AN213" s="3" t="s">
        <v>538</v>
      </c>
      <c r="AO213" s="3" t="s">
        <v>200</v>
      </c>
      <c r="AP213" s="3" t="s">
        <v>200</v>
      </c>
      <c r="AT213" s="10" t="s">
        <v>223</v>
      </c>
      <c r="AU213" s="13" t="s">
        <v>200</v>
      </c>
      <c r="AW213" s="10" t="s">
        <v>775</v>
      </c>
    </row>
    <row r="214" spans="1:49" ht="17.25" customHeight="1">
      <c r="B214" s="7" t="s">
        <v>77</v>
      </c>
      <c r="C214" s="3" t="s">
        <v>77</v>
      </c>
      <c r="D214" s="3" t="s">
        <v>200</v>
      </c>
      <c r="E214" s="10" t="s">
        <v>205</v>
      </c>
      <c r="F214" s="3" t="s">
        <v>288</v>
      </c>
      <c r="G214" s="3">
        <v>0.02</v>
      </c>
      <c r="H214" s="3">
        <f>0.02*0.02</f>
        <v>4.0000000000000002E-4</v>
      </c>
      <c r="I214" s="24">
        <f>AVERAGE(0.9265,0.9495)</f>
        <v>0.93799999999999994</v>
      </c>
      <c r="L214" s="3" t="s">
        <v>6</v>
      </c>
      <c r="M214" s="3" t="s">
        <v>223</v>
      </c>
      <c r="N214" s="3" t="s">
        <v>515</v>
      </c>
      <c r="O214" s="3" t="s">
        <v>256</v>
      </c>
      <c r="P21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14" s="4">
        <v>30</v>
      </c>
      <c r="U214" s="4" t="s">
        <v>12</v>
      </c>
      <c r="W214" s="3" t="s">
        <v>506</v>
      </c>
      <c r="Y214" s="4">
        <v>4.0999999999999996</v>
      </c>
      <c r="Z214" s="4">
        <v>28</v>
      </c>
      <c r="AA214" s="5">
        <f>4/Z214</f>
        <v>0.14285714285714285</v>
      </c>
      <c r="AB214" s="5"/>
      <c r="AC21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14" s="97" t="str">
        <f>IF(Tabelle1[[#This Row],[Nicht einbezogen weil…]]="",IFERROR(1000*Tabelle1[[#This Row],[Formfaktor]]/Tabelle1[[#This Row],[Thickness '[mm']]],""),"")</f>
        <v/>
      </c>
      <c r="AE214" s="98" t="str">
        <f>IF(Tabelle1[[#This Row],[Nicht einbezogen weil…]]="",IFERROR(Tabelle1[[#This Row],[specific surface '[m^2/m^3']]]/Tabelle1[[#This Row],[Density 
'[g/cm3']]]/1000000,""),"")</f>
        <v/>
      </c>
      <c r="AF214" s="97" t="str">
        <f>IF(Tabelle1[[#This Row],[Nicht einbezogen weil…]]="",IFERROR(365*10*Tabelle1[[#This Row],[Abbaurate '[%/d']]]*Tabelle1[[#This Row],[Thickness '[mm']]]/Tabelle1[[#This Row],[Formfaktor]],""),"")</f>
        <v/>
      </c>
      <c r="AG214" s="99" t="str">
        <f>IF(OR(Tabelle1[[#This Row],[Nicht einbezogen weil…]]="",Tabelle1[[#This Row],[Nicht einbezogen weil…]]="nicht-natürlich"),IF(Tabelle1[[#This Row],[Formfaktor]]=2, 1,IF(Tabelle1[[#This Row],[Formfaktor]]=4,2,IF(Tabelle1[[#This Row],[Formfaktor]]=6,3,""))),"")</f>
        <v/>
      </c>
      <c r="AH21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1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14" s="71">
        <v>1</v>
      </c>
      <c r="AK21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14" s="3" t="s">
        <v>138</v>
      </c>
      <c r="AM214" s="3" t="s">
        <v>196</v>
      </c>
      <c r="AO214" s="3" t="s">
        <v>235</v>
      </c>
      <c r="AP214" s="3" t="s">
        <v>235</v>
      </c>
      <c r="AT214" s="10" t="s">
        <v>223</v>
      </c>
      <c r="AU214" s="13" t="s">
        <v>200</v>
      </c>
      <c r="AW214" s="10" t="s">
        <v>775</v>
      </c>
    </row>
    <row r="215" spans="1:49" ht="17.25" customHeight="1">
      <c r="B215" s="7" t="s">
        <v>77</v>
      </c>
      <c r="C215" s="3" t="s">
        <v>77</v>
      </c>
      <c r="D215" s="3" t="s">
        <v>200</v>
      </c>
      <c r="E215" s="10" t="s">
        <v>205</v>
      </c>
      <c r="F215" s="3" t="s">
        <v>288</v>
      </c>
      <c r="G215" s="3">
        <v>0.02</v>
      </c>
      <c r="H215" s="3">
        <f>0.02*0.02</f>
        <v>4.0000000000000002E-4</v>
      </c>
      <c r="I215" s="24">
        <f>AVERAGE(0.9265,0.9495)</f>
        <v>0.93799999999999994</v>
      </c>
      <c r="L215" s="3" t="s">
        <v>6</v>
      </c>
      <c r="M215" s="3" t="s">
        <v>223</v>
      </c>
      <c r="N215" s="3" t="s">
        <v>515</v>
      </c>
      <c r="O215" s="3" t="s">
        <v>256</v>
      </c>
      <c r="P21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15" s="4">
        <v>30</v>
      </c>
      <c r="U215" s="4" t="s">
        <v>89</v>
      </c>
      <c r="W215" s="3" t="s">
        <v>13</v>
      </c>
      <c r="Y215" s="4">
        <v>0</v>
      </c>
      <c r="Z215" s="4">
        <v>28</v>
      </c>
      <c r="AA215" s="5">
        <f>Y215/Z215</f>
        <v>0</v>
      </c>
      <c r="AB215" s="5"/>
      <c r="AC21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15" s="97" t="str">
        <f>IF(Tabelle1[[#This Row],[Nicht einbezogen weil…]]="",IFERROR(1000*Tabelle1[[#This Row],[Formfaktor]]/Tabelle1[[#This Row],[Thickness '[mm']]],""),"")</f>
        <v/>
      </c>
      <c r="AE215" s="98" t="str">
        <f>IF(Tabelle1[[#This Row],[Nicht einbezogen weil…]]="",IFERROR(Tabelle1[[#This Row],[specific surface '[m^2/m^3']]]/Tabelle1[[#This Row],[Density 
'[g/cm3']]]/1000000,""),"")</f>
        <v/>
      </c>
      <c r="AF215" s="97" t="str">
        <f>IF(Tabelle1[[#This Row],[Nicht einbezogen weil…]]="",IFERROR(365*10*Tabelle1[[#This Row],[Abbaurate '[%/d']]]*Tabelle1[[#This Row],[Thickness '[mm']]]/Tabelle1[[#This Row],[Formfaktor]],""),"")</f>
        <v/>
      </c>
      <c r="AG215" s="99" t="str">
        <f>IF(OR(Tabelle1[[#This Row],[Nicht einbezogen weil…]]="",Tabelle1[[#This Row],[Nicht einbezogen weil…]]="nicht-natürlich"),IF(Tabelle1[[#This Row],[Formfaktor]]=2, 1,IF(Tabelle1[[#This Row],[Formfaktor]]=4,2,IF(Tabelle1[[#This Row],[Formfaktor]]=6,3,""))),"")</f>
        <v/>
      </c>
      <c r="AH21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1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15" s="71">
        <v>1</v>
      </c>
      <c r="AK21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15" s="3" t="s">
        <v>138</v>
      </c>
      <c r="AM215" s="3" t="s">
        <v>196</v>
      </c>
      <c r="AN215" s="3" t="s">
        <v>538</v>
      </c>
      <c r="AO215" s="3" t="s">
        <v>235</v>
      </c>
      <c r="AP215" s="3" t="s">
        <v>235</v>
      </c>
      <c r="AT215" s="10" t="s">
        <v>223</v>
      </c>
      <c r="AU215" s="13" t="s">
        <v>200</v>
      </c>
      <c r="AW215" s="10" t="s">
        <v>775</v>
      </c>
    </row>
    <row r="216" spans="1:49" ht="17.25" customHeight="1">
      <c r="A216" s="10" t="s">
        <v>223</v>
      </c>
      <c r="B216" s="109" t="s">
        <v>42</v>
      </c>
      <c r="C216" s="3" t="s">
        <v>116</v>
      </c>
      <c r="D216" s="3" t="s">
        <v>223</v>
      </c>
      <c r="E216" s="10"/>
      <c r="F216" s="12" t="s">
        <v>198</v>
      </c>
      <c r="G216" s="12">
        <v>0.1</v>
      </c>
      <c r="H216" s="12" t="s">
        <v>341</v>
      </c>
      <c r="I216" s="24">
        <v>1.22</v>
      </c>
      <c r="M216" s="3" t="s">
        <v>301</v>
      </c>
      <c r="N216" s="3" t="s">
        <v>121</v>
      </c>
      <c r="O216" s="3" t="s">
        <v>23</v>
      </c>
      <c r="P21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16" s="4">
        <v>25</v>
      </c>
      <c r="U216" s="4" t="s">
        <v>12</v>
      </c>
      <c r="W216" s="3" t="s">
        <v>13</v>
      </c>
      <c r="Y216" s="337" t="s">
        <v>1417</v>
      </c>
      <c r="Z216" s="4">
        <v>28</v>
      </c>
      <c r="AA216" s="5">
        <f>Tabelle1[[#This Row],[biologische
Abbaubarkeit '[%']]]/Z216</f>
        <v>7.1428571428571425E-2</v>
      </c>
      <c r="AB216" s="5"/>
      <c r="AC21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16" s="97">
        <f>IF(Tabelle1[[#This Row],[Nicht einbezogen weil…]]="",IFERROR(1000*Tabelle1[[#This Row],[Formfaktor]]/Tabelle1[[#This Row],[Thickness '[mm']]],""),"")</f>
        <v>20000</v>
      </c>
      <c r="AE216" s="98">
        <f>IF(Tabelle1[[#This Row],[Nicht einbezogen weil…]]="",IFERROR(Tabelle1[[#This Row],[specific surface '[m^2/m^3']]]/Tabelle1[[#This Row],[Density 
'[g/cm3']]]/1000000,""),"")</f>
        <v>1.6393442622950821E-2</v>
      </c>
      <c r="AF216" s="97">
        <f>IF(Tabelle1[[#This Row],[Nicht einbezogen weil…]]="",IFERROR(365*10*Tabelle1[[#This Row],[Abbaurate '[%/d']]]*Tabelle1[[#This Row],[Thickness '[mm']]]/Tabelle1[[#This Row],[Formfaktor]],""),"")</f>
        <v>13.035714285714286</v>
      </c>
      <c r="AG216" s="99">
        <f>IF(OR(Tabelle1[[#This Row],[Nicht einbezogen weil…]]="",Tabelle1[[#This Row],[Nicht einbezogen weil…]]="nicht-natürlich"),IF(Tabelle1[[#This Row],[Formfaktor]]=2, 1,IF(Tabelle1[[#This Row],[Formfaktor]]=4,2,IF(Tabelle1[[#This Row],[Formfaktor]]=6,3,""))),"")</f>
        <v>1</v>
      </c>
      <c r="AH216" s="97">
        <f>IF(OR(Tabelle1[[#This Row],[Nicht einbezogen weil…]]="",Tabelle1[[#This Row],[Nicht einbezogen weil…]]="nicht-natürlich"),IFERROR(Tabelle1[[#This Row],[Thickness '[mm']]]/Tabelle1[[#This Row],[Dauer des Abbaus
'[Tage']]]*1000*0.5*365*(1-(1-Tabelle1[[#This Row],[Abbaurate '[%/d']]]/100*Tabelle1[[#This Row],[Dauer des Abbaus
'[Tage']]])^(1/Tabelle1[[#This Row],[Exponent]])),""),"")</f>
        <v>13.035714285714299</v>
      </c>
      <c r="AI21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PBS_Meerwasser_natürlich</v>
      </c>
      <c r="AJ216" s="71">
        <v>1</v>
      </c>
      <c r="AK21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16" s="3" t="s">
        <v>699</v>
      </c>
      <c r="AO216" s="3" t="s">
        <v>200</v>
      </c>
      <c r="AP216" s="3" t="s">
        <v>200</v>
      </c>
      <c r="AT216" s="10" t="s">
        <v>223</v>
      </c>
      <c r="AU216" s="13" t="s">
        <v>200</v>
      </c>
      <c r="AW216" s="10" t="s">
        <v>775</v>
      </c>
    </row>
    <row r="217" spans="1:49" ht="17.25" customHeight="1">
      <c r="A217" s="10" t="s">
        <v>223</v>
      </c>
      <c r="B217" s="109" t="s">
        <v>42</v>
      </c>
      <c r="C217" s="3" t="s">
        <v>116</v>
      </c>
      <c r="D217" s="3" t="s">
        <v>223</v>
      </c>
      <c r="E217" s="10"/>
      <c r="F217" s="12" t="s">
        <v>198</v>
      </c>
      <c r="G217" s="12">
        <v>0.1</v>
      </c>
      <c r="H217" s="12" t="s">
        <v>341</v>
      </c>
      <c r="I217" s="24">
        <v>1.22</v>
      </c>
      <c r="M217" s="3" t="s">
        <v>301</v>
      </c>
      <c r="N217" s="3" t="s">
        <v>121</v>
      </c>
      <c r="O217" s="3" t="s">
        <v>23</v>
      </c>
      <c r="P21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17" s="4">
        <v>25</v>
      </c>
      <c r="U217" s="4" t="s">
        <v>12</v>
      </c>
      <c r="W217" s="3" t="s">
        <v>506</v>
      </c>
      <c r="Y217" s="4">
        <v>2</v>
      </c>
      <c r="Z217" s="4">
        <v>28</v>
      </c>
      <c r="AA217" s="5">
        <f>Tabelle1[[#This Row],[biologische
Abbaubarkeit '[%']]]/Z217</f>
        <v>7.1428571428571425E-2</v>
      </c>
      <c r="AB217" s="5"/>
      <c r="AC21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17" s="97">
        <f>IF(Tabelle1[[#This Row],[Nicht einbezogen weil…]]="",IFERROR(1000*Tabelle1[[#This Row],[Formfaktor]]/Tabelle1[[#This Row],[Thickness '[mm']]],""),"")</f>
        <v>20000</v>
      </c>
      <c r="AE217" s="98">
        <f>IF(Tabelle1[[#This Row],[Nicht einbezogen weil…]]="",IFERROR(Tabelle1[[#This Row],[specific surface '[m^2/m^3']]]/Tabelle1[[#This Row],[Density 
'[g/cm3']]]/1000000,""),"")</f>
        <v>1.6393442622950821E-2</v>
      </c>
      <c r="AF217" s="97">
        <f>IF(Tabelle1[[#This Row],[Nicht einbezogen weil…]]="",IFERROR(365*10*Tabelle1[[#This Row],[Abbaurate '[%/d']]]*Tabelle1[[#This Row],[Thickness '[mm']]]/Tabelle1[[#This Row],[Formfaktor]],""),"")</f>
        <v>13.035714285714286</v>
      </c>
      <c r="AG217" s="99">
        <f>IF(OR(Tabelle1[[#This Row],[Nicht einbezogen weil…]]="",Tabelle1[[#This Row],[Nicht einbezogen weil…]]="nicht-natürlich"),IF(Tabelle1[[#This Row],[Formfaktor]]=2, 1,IF(Tabelle1[[#This Row],[Formfaktor]]=4,2,IF(Tabelle1[[#This Row],[Formfaktor]]=6,3,""))),"")</f>
        <v>1</v>
      </c>
      <c r="AH217" s="97">
        <f>IF(OR(Tabelle1[[#This Row],[Nicht einbezogen weil…]]="",Tabelle1[[#This Row],[Nicht einbezogen weil…]]="nicht-natürlich"),IFERROR(Tabelle1[[#This Row],[Thickness '[mm']]]/Tabelle1[[#This Row],[Dauer des Abbaus
'[Tage']]]*1000*0.5*365*(1-(1-Tabelle1[[#This Row],[Abbaurate '[%/d']]]/100*Tabelle1[[#This Row],[Dauer des Abbaus
'[Tage']]])^(1/Tabelle1[[#This Row],[Exponent]])),""),"")</f>
        <v>13.035714285714299</v>
      </c>
      <c r="AI21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PBS_Meerwasser_natürlich</v>
      </c>
      <c r="AJ217" s="71">
        <v>1</v>
      </c>
      <c r="AK21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17" s="3" t="s">
        <v>699</v>
      </c>
      <c r="AO217" s="3" t="s">
        <v>200</v>
      </c>
      <c r="AP217" s="3" t="s">
        <v>200</v>
      </c>
      <c r="AT217" s="10" t="s">
        <v>223</v>
      </c>
      <c r="AU217" s="13" t="s">
        <v>200</v>
      </c>
      <c r="AW217" s="10" t="s">
        <v>775</v>
      </c>
    </row>
    <row r="218" spans="1:49" ht="17.25" customHeight="1">
      <c r="B218" s="109" t="s">
        <v>42</v>
      </c>
      <c r="D218" s="3" t="s">
        <v>223</v>
      </c>
      <c r="F218" s="3" t="s">
        <v>996</v>
      </c>
      <c r="G218" s="3">
        <v>0.1</v>
      </c>
      <c r="I218" s="3">
        <v>1.26</v>
      </c>
      <c r="J218" s="3" t="s">
        <v>1312</v>
      </c>
      <c r="M218" s="3" t="s">
        <v>200</v>
      </c>
      <c r="O218" s="3" t="s">
        <v>1081</v>
      </c>
      <c r="P218"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18" s="3" t="s">
        <v>1412</v>
      </c>
      <c r="Y218" s="4">
        <v>50</v>
      </c>
      <c r="Z218" s="4">
        <v>92</v>
      </c>
      <c r="AA218" s="5">
        <f>Y218/Z218</f>
        <v>0.54347826086956519</v>
      </c>
      <c r="AB218" s="5"/>
      <c r="AC218"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18" s="5">
        <f>IF(Tabelle1[[#This Row],[Nicht einbezogen weil…]]="",IFERROR(1000*Tabelle1[[#This Row],[Formfaktor]]/Tabelle1[[#This Row],[Thickness '[mm']]],""),"")</f>
        <v>20000</v>
      </c>
      <c r="AE218" s="5">
        <f>IF(Tabelle1[[#This Row],[Nicht einbezogen weil…]]="",IFERROR(Tabelle1[[#This Row],[specific surface '[m^2/m^3']]]/Tabelle1[[#This Row],[Density 
'[g/cm3']]]/1000000,""),"")</f>
        <v>1.5873015873015872E-2</v>
      </c>
      <c r="AF218" s="5">
        <f>IF(Tabelle1[[#This Row],[Nicht einbezogen weil…]]="",IFERROR(365*10*Tabelle1[[#This Row],[Abbaurate '[%/d']]]*Tabelle1[[#This Row],[Thickness '[mm']]]/Tabelle1[[#This Row],[Formfaktor]],""),"")</f>
        <v>99.184782608695656</v>
      </c>
      <c r="AG218" s="349">
        <f>IF(OR(Tabelle1[[#This Row],[Nicht einbezogen weil…]]="",Tabelle1[[#This Row],[Nicht einbezogen weil…]]="nicht-natürlich"),IF(Tabelle1[[#This Row],[Formfaktor]]=2, 1,IF(Tabelle1[[#This Row],[Formfaktor]]=4,2,IF(Tabelle1[[#This Row],[Formfaktor]]=6,3,""))),"")</f>
        <v>1</v>
      </c>
      <c r="AH218" s="5">
        <f>IF(OR(Tabelle1[[#This Row],[Nicht einbezogen weil…]]="",Tabelle1[[#This Row],[Nicht einbezogen weil…]]="nicht-natürlich"),IFERROR(Tabelle1[[#This Row],[Thickness '[mm']]]/Tabelle1[[#This Row],[Dauer des Abbaus
'[Tage']]]*1000*0.5*365*(1-(1-Tabelle1[[#This Row],[Abbaurate '[%/d']]]/100*Tabelle1[[#This Row],[Dauer des Abbaus
'[Tage']]])^(1/Tabelle1[[#This Row],[Exponent]])),""),"")</f>
        <v>99.184782608695642</v>
      </c>
      <c r="AI218"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PBS_Süßwasser_natürlich</v>
      </c>
      <c r="AJ218" s="6">
        <v>1</v>
      </c>
      <c r="AK21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18" s="3" t="s">
        <v>1411</v>
      </c>
      <c r="AU218" s="13"/>
    </row>
    <row r="219" spans="1:49" ht="17.25" customHeight="1">
      <c r="A219" s="10" t="s">
        <v>223</v>
      </c>
      <c r="B219" s="109" t="s">
        <v>654</v>
      </c>
      <c r="C219" s="3" t="s">
        <v>117</v>
      </c>
      <c r="D219" s="3" t="s">
        <v>223</v>
      </c>
      <c r="E219" s="10"/>
      <c r="F219" s="3" t="s">
        <v>198</v>
      </c>
      <c r="G219" s="3">
        <v>0.1</v>
      </c>
      <c r="H219" s="3" t="s">
        <v>341</v>
      </c>
      <c r="I219" s="24">
        <v>1.23</v>
      </c>
      <c r="M219" s="3" t="s">
        <v>301</v>
      </c>
      <c r="N219" s="3" t="s">
        <v>118</v>
      </c>
      <c r="O219" s="3" t="s">
        <v>1081</v>
      </c>
      <c r="P21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19" s="4">
        <v>25</v>
      </c>
      <c r="U219" s="4" t="s">
        <v>12</v>
      </c>
      <c r="W219" s="3" t="s">
        <v>13</v>
      </c>
      <c r="Y219" s="337" t="s">
        <v>1422</v>
      </c>
      <c r="Z219" s="4">
        <v>28</v>
      </c>
      <c r="AA219" s="5">
        <f>Tabelle1[[#This Row],[biologische
Abbaubarkeit '[%']]]/Z219</f>
        <v>0.8571428571428571</v>
      </c>
      <c r="AB219" s="5"/>
      <c r="AC21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19" s="97">
        <f>IF(Tabelle1[[#This Row],[Nicht einbezogen weil…]]="",IFERROR(1000*Tabelle1[[#This Row],[Formfaktor]]/Tabelle1[[#This Row],[Thickness '[mm']]],""),"")</f>
        <v>20000</v>
      </c>
      <c r="AE219" s="98">
        <f>IF(Tabelle1[[#This Row],[Nicht einbezogen weil…]]="",IFERROR(Tabelle1[[#This Row],[specific surface '[m^2/m^3']]]/Tabelle1[[#This Row],[Density 
'[g/cm3']]]/1000000,""),"")</f>
        <v>1.6260162601626015E-2</v>
      </c>
      <c r="AF219" s="97">
        <f>IF(Tabelle1[[#This Row],[Nicht einbezogen weil…]]="",IFERROR(365*10*Tabelle1[[#This Row],[Abbaurate '[%/d']]]*Tabelle1[[#This Row],[Thickness '[mm']]]/Tabelle1[[#This Row],[Formfaktor]],""),"")</f>
        <v>156.42857142857144</v>
      </c>
      <c r="AG219" s="99">
        <f>IF(OR(Tabelle1[[#This Row],[Nicht einbezogen weil…]]="",Tabelle1[[#This Row],[Nicht einbezogen weil…]]="nicht-natürlich"),IF(Tabelle1[[#This Row],[Formfaktor]]=2, 1,IF(Tabelle1[[#This Row],[Formfaktor]]=4,2,IF(Tabelle1[[#This Row],[Formfaktor]]=6,3,""))),"")</f>
        <v>1</v>
      </c>
      <c r="AH219" s="97">
        <f>IF(OR(Tabelle1[[#This Row],[Nicht einbezogen weil…]]="",Tabelle1[[#This Row],[Nicht einbezogen weil…]]="nicht-natürlich"),IFERROR(Tabelle1[[#This Row],[Thickness '[mm']]]/Tabelle1[[#This Row],[Dauer des Abbaus
'[Tage']]]*1000*0.5*365*(1-(1-Tabelle1[[#This Row],[Abbaurate '[%/d']]]/100*Tabelle1[[#This Row],[Dauer des Abbaus
'[Tage']]])^(1/Tabelle1[[#This Row],[Exponent]])),""),"")</f>
        <v>156.42857142857144</v>
      </c>
      <c r="AI21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PBSA_Süßwasser_natürlich</v>
      </c>
      <c r="AJ219" s="71">
        <v>1</v>
      </c>
      <c r="AK21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19" s="3" t="s">
        <v>699</v>
      </c>
      <c r="AO219" s="3" t="s">
        <v>200</v>
      </c>
      <c r="AP219" s="3" t="s">
        <v>200</v>
      </c>
      <c r="AT219" s="10" t="s">
        <v>223</v>
      </c>
      <c r="AU219" s="13" t="s">
        <v>200</v>
      </c>
      <c r="AW219" s="10" t="s">
        <v>813</v>
      </c>
    </row>
    <row r="220" spans="1:49" ht="17.25" customHeight="1">
      <c r="A220" s="10" t="s">
        <v>223</v>
      </c>
      <c r="B220" s="109" t="s">
        <v>654</v>
      </c>
      <c r="C220" s="3" t="s">
        <v>117</v>
      </c>
      <c r="D220" s="3" t="s">
        <v>223</v>
      </c>
      <c r="E220" s="10"/>
      <c r="F220" s="3" t="s">
        <v>198</v>
      </c>
      <c r="G220" s="3">
        <v>0.1</v>
      </c>
      <c r="H220" s="3" t="s">
        <v>341</v>
      </c>
      <c r="I220" s="24">
        <v>1.23</v>
      </c>
      <c r="M220" s="3" t="s">
        <v>301</v>
      </c>
      <c r="N220" s="3" t="s">
        <v>118</v>
      </c>
      <c r="O220" s="3" t="s">
        <v>1081</v>
      </c>
      <c r="P22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20" s="4">
        <v>25</v>
      </c>
      <c r="U220" s="4" t="s">
        <v>12</v>
      </c>
      <c r="W220" s="3" t="s">
        <v>506</v>
      </c>
      <c r="Y220" s="4">
        <v>20</v>
      </c>
      <c r="Z220" s="4">
        <v>28</v>
      </c>
      <c r="AA220" s="5">
        <f>Tabelle1[[#This Row],[biologische
Abbaubarkeit '[%']]]/Z220</f>
        <v>0.7142857142857143</v>
      </c>
      <c r="AB220" s="5"/>
      <c r="AC22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20" s="97">
        <f>IF(Tabelle1[[#This Row],[Nicht einbezogen weil…]]="",IFERROR(1000*Tabelle1[[#This Row],[Formfaktor]]/Tabelle1[[#This Row],[Thickness '[mm']]],""),"")</f>
        <v>20000</v>
      </c>
      <c r="AE220" s="98">
        <f>IF(Tabelle1[[#This Row],[Nicht einbezogen weil…]]="",IFERROR(Tabelle1[[#This Row],[specific surface '[m^2/m^3']]]/Tabelle1[[#This Row],[Density 
'[g/cm3']]]/1000000,""),"")</f>
        <v>1.6260162601626015E-2</v>
      </c>
      <c r="AF220" s="97">
        <f>IF(Tabelle1[[#This Row],[Nicht einbezogen weil…]]="",IFERROR(365*10*Tabelle1[[#This Row],[Abbaurate '[%/d']]]*Tabelle1[[#This Row],[Thickness '[mm']]]/Tabelle1[[#This Row],[Formfaktor]],""),"")</f>
        <v>130.35714285714286</v>
      </c>
      <c r="AG220" s="99">
        <f>IF(OR(Tabelle1[[#This Row],[Nicht einbezogen weil…]]="",Tabelle1[[#This Row],[Nicht einbezogen weil…]]="nicht-natürlich"),IF(Tabelle1[[#This Row],[Formfaktor]]=2, 1,IF(Tabelle1[[#This Row],[Formfaktor]]=4,2,IF(Tabelle1[[#This Row],[Formfaktor]]=6,3,""))),"")</f>
        <v>1</v>
      </c>
      <c r="AH220" s="97">
        <f>IF(OR(Tabelle1[[#This Row],[Nicht einbezogen weil…]]="",Tabelle1[[#This Row],[Nicht einbezogen weil…]]="nicht-natürlich"),IFERROR(Tabelle1[[#This Row],[Thickness '[mm']]]/Tabelle1[[#This Row],[Dauer des Abbaus
'[Tage']]]*1000*0.5*365*(1-(1-Tabelle1[[#This Row],[Abbaurate '[%/d']]]/100*Tabelle1[[#This Row],[Dauer des Abbaus
'[Tage']]])^(1/Tabelle1[[#This Row],[Exponent]])),""),"")</f>
        <v>130.35714285714283</v>
      </c>
      <c r="AI22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PBSA_Süßwasser_natürlich</v>
      </c>
      <c r="AJ220" s="71">
        <v>1</v>
      </c>
      <c r="AK22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20" s="3" t="s">
        <v>699</v>
      </c>
      <c r="AO220" s="3" t="s">
        <v>200</v>
      </c>
      <c r="AP220" s="3" t="s">
        <v>200</v>
      </c>
      <c r="AT220" s="10" t="s">
        <v>223</v>
      </c>
      <c r="AU220" s="13" t="s">
        <v>200</v>
      </c>
      <c r="AW220" s="10" t="s">
        <v>813</v>
      </c>
    </row>
    <row r="221" spans="1:49" ht="17.25" customHeight="1">
      <c r="B221" s="11" t="s">
        <v>77</v>
      </c>
      <c r="C221" s="3" t="s">
        <v>77</v>
      </c>
      <c r="D221" s="3" t="s">
        <v>200</v>
      </c>
      <c r="E221" s="10" t="s">
        <v>203</v>
      </c>
      <c r="F221" s="3" t="s">
        <v>578</v>
      </c>
      <c r="G221" s="3">
        <v>3.5999999999999997E-2</v>
      </c>
      <c r="H221" s="3">
        <v>5.9999999999999995E-8</v>
      </c>
      <c r="I221" s="24">
        <f>AVERAGE(0.9265,0.9495)</f>
        <v>0.93799999999999994</v>
      </c>
      <c r="J221" s="3" t="s">
        <v>579</v>
      </c>
      <c r="K221" s="8" t="s">
        <v>575</v>
      </c>
      <c r="M221" s="3" t="s">
        <v>1121</v>
      </c>
      <c r="N221" s="3" t="s">
        <v>577</v>
      </c>
      <c r="O221" s="3" t="s">
        <v>358</v>
      </c>
      <c r="P22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221" s="9">
        <v>7.5</v>
      </c>
      <c r="W221" s="3" t="s">
        <v>190</v>
      </c>
      <c r="Y221" s="4">
        <v>3.2</v>
      </c>
      <c r="Z221" s="4">
        <v>84</v>
      </c>
      <c r="AA221" s="5">
        <f>Y221/Z221</f>
        <v>3.8095238095238099E-2</v>
      </c>
      <c r="AB221" s="5"/>
      <c r="AC22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21" s="97" t="str">
        <f>IF(Tabelle1[[#This Row],[Nicht einbezogen weil…]]="",IFERROR(1000*Tabelle1[[#This Row],[Formfaktor]]/Tabelle1[[#This Row],[Thickness '[mm']]],""),"")</f>
        <v/>
      </c>
      <c r="AE221" s="98" t="str">
        <f>IF(Tabelle1[[#This Row],[Nicht einbezogen weil…]]="",IFERROR(Tabelle1[[#This Row],[specific surface '[m^2/m^3']]]/Tabelle1[[#This Row],[Density 
'[g/cm3']]]/1000000,""),"")</f>
        <v/>
      </c>
      <c r="AF221" s="97" t="str">
        <f>IF(Tabelle1[[#This Row],[Nicht einbezogen weil…]]="",IFERROR(365*10*Tabelle1[[#This Row],[Abbaurate '[%/d']]]*Tabelle1[[#This Row],[Thickness '[mm']]]/Tabelle1[[#This Row],[Formfaktor]],""),"")</f>
        <v/>
      </c>
      <c r="AG221" s="99" t="str">
        <f>IF(OR(Tabelle1[[#This Row],[Nicht einbezogen weil…]]="",Tabelle1[[#This Row],[Nicht einbezogen weil…]]="nicht-natürlich"),IF(Tabelle1[[#This Row],[Formfaktor]]=2, 1,IF(Tabelle1[[#This Row],[Formfaktor]]=4,2,IF(Tabelle1[[#This Row],[Formfaktor]]=6,3,""))),"")</f>
        <v/>
      </c>
      <c r="AH22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2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21" s="71">
        <v>1</v>
      </c>
      <c r="AK22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21" s="3" t="s">
        <v>164</v>
      </c>
      <c r="AN221" s="3" t="s">
        <v>538</v>
      </c>
      <c r="AO221" s="3" t="s">
        <v>235</v>
      </c>
      <c r="AP221" s="10" t="s">
        <v>235</v>
      </c>
      <c r="AQ221" s="10"/>
      <c r="AR221" s="10"/>
      <c r="AS221" s="10"/>
      <c r="AT221" s="10" t="s">
        <v>223</v>
      </c>
      <c r="AU221" s="13" t="s">
        <v>200</v>
      </c>
      <c r="AW221" s="10" t="s">
        <v>775</v>
      </c>
    </row>
    <row r="222" spans="1:49" ht="17.25" customHeight="1">
      <c r="A222" s="10" t="s">
        <v>223</v>
      </c>
      <c r="B222" s="109" t="s">
        <v>654</v>
      </c>
      <c r="C222" s="3" t="s">
        <v>117</v>
      </c>
      <c r="D222" s="3" t="s">
        <v>223</v>
      </c>
      <c r="E222" s="10"/>
      <c r="F222" s="3" t="s">
        <v>198</v>
      </c>
      <c r="G222" s="3">
        <v>0.1</v>
      </c>
      <c r="H222" s="3" t="s">
        <v>341</v>
      </c>
      <c r="I222" s="24">
        <v>1.23</v>
      </c>
      <c r="M222" s="3" t="s">
        <v>301</v>
      </c>
      <c r="N222" s="3" t="s">
        <v>119</v>
      </c>
      <c r="O222" s="3" t="s">
        <v>1081</v>
      </c>
      <c r="P22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22" s="4">
        <v>25</v>
      </c>
      <c r="U222" s="4" t="s">
        <v>12</v>
      </c>
      <c r="W222" s="3" t="s">
        <v>13</v>
      </c>
      <c r="Y222" s="4">
        <v>80</v>
      </c>
      <c r="Z222" s="4">
        <v>28</v>
      </c>
      <c r="AA222" s="5">
        <f>Tabelle1[[#This Row],[biologische
Abbaubarkeit '[%']]]/Z222</f>
        <v>2.8571428571428572</v>
      </c>
      <c r="AB222" s="5"/>
      <c r="AC22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22" s="97">
        <f>IF(Tabelle1[[#This Row],[Nicht einbezogen weil…]]="",IFERROR(1000*Tabelle1[[#This Row],[Formfaktor]]/Tabelle1[[#This Row],[Thickness '[mm']]],""),"")</f>
        <v>20000</v>
      </c>
      <c r="AE222" s="98">
        <f>IF(Tabelle1[[#This Row],[Nicht einbezogen weil…]]="",IFERROR(Tabelle1[[#This Row],[specific surface '[m^2/m^3']]]/Tabelle1[[#This Row],[Density 
'[g/cm3']]]/1000000,""),"")</f>
        <v>1.6260162601626015E-2</v>
      </c>
      <c r="AF222" s="97">
        <f>IF(Tabelle1[[#This Row],[Nicht einbezogen weil…]]="",IFERROR(365*10*Tabelle1[[#This Row],[Abbaurate '[%/d']]]*Tabelle1[[#This Row],[Thickness '[mm']]]/Tabelle1[[#This Row],[Formfaktor]],""),"")</f>
        <v>521.42857142857144</v>
      </c>
      <c r="AG222" s="99">
        <f>IF(OR(Tabelle1[[#This Row],[Nicht einbezogen weil…]]="",Tabelle1[[#This Row],[Nicht einbezogen weil…]]="nicht-natürlich"),IF(Tabelle1[[#This Row],[Formfaktor]]=2, 1,IF(Tabelle1[[#This Row],[Formfaktor]]=4,2,IF(Tabelle1[[#This Row],[Formfaktor]]=6,3,""))),"")</f>
        <v>1</v>
      </c>
      <c r="AH222" s="97">
        <f>IF(OR(Tabelle1[[#This Row],[Nicht einbezogen weil…]]="",Tabelle1[[#This Row],[Nicht einbezogen weil…]]="nicht-natürlich"),IFERROR(Tabelle1[[#This Row],[Thickness '[mm']]]/Tabelle1[[#This Row],[Dauer des Abbaus
'[Tage']]]*1000*0.5*365*(1-(1-Tabelle1[[#This Row],[Abbaurate '[%/d']]]/100*Tabelle1[[#This Row],[Dauer des Abbaus
'[Tage']]])^(1/Tabelle1[[#This Row],[Exponent]])),""),"")</f>
        <v>521.42857142857144</v>
      </c>
      <c r="AI22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PBSA_Süßwasser_natürlich</v>
      </c>
      <c r="AJ222" s="71">
        <v>1</v>
      </c>
      <c r="AK22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22" s="3" t="s">
        <v>699</v>
      </c>
      <c r="AO222" s="3" t="s">
        <v>200</v>
      </c>
      <c r="AP222" s="3" t="s">
        <v>200</v>
      </c>
      <c r="AT222" s="10" t="s">
        <v>223</v>
      </c>
      <c r="AU222" s="13" t="s">
        <v>200</v>
      </c>
      <c r="AW222" s="10" t="s">
        <v>813</v>
      </c>
    </row>
    <row r="223" spans="1:49" ht="17.25" customHeight="1">
      <c r="A223" s="10" t="s">
        <v>223</v>
      </c>
      <c r="B223" s="109" t="s">
        <v>654</v>
      </c>
      <c r="C223" s="3" t="s">
        <v>117</v>
      </c>
      <c r="D223" s="3" t="s">
        <v>223</v>
      </c>
      <c r="E223" s="10"/>
      <c r="F223" s="3" t="s">
        <v>198</v>
      </c>
      <c r="G223" s="3">
        <v>0.1</v>
      </c>
      <c r="H223" s="3" t="s">
        <v>341</v>
      </c>
      <c r="I223" s="24">
        <v>1.23</v>
      </c>
      <c r="M223" s="3" t="s">
        <v>301</v>
      </c>
      <c r="N223" s="3" t="s">
        <v>119</v>
      </c>
      <c r="O223" s="3" t="s">
        <v>1081</v>
      </c>
      <c r="P22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23" s="4">
        <v>25</v>
      </c>
      <c r="U223" s="4" t="s">
        <v>12</v>
      </c>
      <c r="W223" s="3" t="s">
        <v>506</v>
      </c>
      <c r="Y223" s="4">
        <v>50</v>
      </c>
      <c r="Z223" s="4">
        <v>28</v>
      </c>
      <c r="AA223" s="5">
        <f>Tabelle1[[#This Row],[biologische
Abbaubarkeit '[%']]]/Z223</f>
        <v>1.7857142857142858</v>
      </c>
      <c r="AB223" s="5"/>
      <c r="AC22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23" s="97">
        <f>IF(Tabelle1[[#This Row],[Nicht einbezogen weil…]]="",IFERROR(1000*Tabelle1[[#This Row],[Formfaktor]]/Tabelle1[[#This Row],[Thickness '[mm']]],""),"")</f>
        <v>20000</v>
      </c>
      <c r="AE223" s="98">
        <f>IF(Tabelle1[[#This Row],[Nicht einbezogen weil…]]="",IFERROR(Tabelle1[[#This Row],[specific surface '[m^2/m^3']]]/Tabelle1[[#This Row],[Density 
'[g/cm3']]]/1000000,""),"")</f>
        <v>1.6260162601626015E-2</v>
      </c>
      <c r="AF223" s="97">
        <f>IF(Tabelle1[[#This Row],[Nicht einbezogen weil…]]="",IFERROR(365*10*Tabelle1[[#This Row],[Abbaurate '[%/d']]]*Tabelle1[[#This Row],[Thickness '[mm']]]/Tabelle1[[#This Row],[Formfaktor]],""),"")</f>
        <v>325.89285714285717</v>
      </c>
      <c r="AG223" s="99">
        <f>IF(OR(Tabelle1[[#This Row],[Nicht einbezogen weil…]]="",Tabelle1[[#This Row],[Nicht einbezogen weil…]]="nicht-natürlich"),IF(Tabelle1[[#This Row],[Formfaktor]]=2, 1,IF(Tabelle1[[#This Row],[Formfaktor]]=4,2,IF(Tabelle1[[#This Row],[Formfaktor]]=6,3,""))),"")</f>
        <v>1</v>
      </c>
      <c r="AH223" s="97">
        <f>IF(OR(Tabelle1[[#This Row],[Nicht einbezogen weil…]]="",Tabelle1[[#This Row],[Nicht einbezogen weil…]]="nicht-natürlich"),IFERROR(Tabelle1[[#This Row],[Thickness '[mm']]]/Tabelle1[[#This Row],[Dauer des Abbaus
'[Tage']]]*1000*0.5*365*(1-(1-Tabelle1[[#This Row],[Abbaurate '[%/d']]]/100*Tabelle1[[#This Row],[Dauer des Abbaus
'[Tage']]])^(1/Tabelle1[[#This Row],[Exponent]])),""),"")</f>
        <v>325.89285714285722</v>
      </c>
      <c r="AI22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PBSA_Süßwasser_natürlich</v>
      </c>
      <c r="AJ223" s="71">
        <v>1</v>
      </c>
      <c r="AK22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23" s="3" t="s">
        <v>699</v>
      </c>
      <c r="AO223" s="3" t="s">
        <v>200</v>
      </c>
      <c r="AP223" s="3" t="s">
        <v>200</v>
      </c>
      <c r="AT223" s="10" t="s">
        <v>223</v>
      </c>
      <c r="AU223" s="13" t="s">
        <v>200</v>
      </c>
      <c r="AW223" s="10" t="s">
        <v>813</v>
      </c>
    </row>
    <row r="224" spans="1:49" ht="17.25" customHeight="1">
      <c r="A224" s="10" t="s">
        <v>223</v>
      </c>
      <c r="B224" s="109" t="s">
        <v>654</v>
      </c>
      <c r="C224" s="3" t="s">
        <v>117</v>
      </c>
      <c r="D224" s="3" t="s">
        <v>223</v>
      </c>
      <c r="E224" s="10"/>
      <c r="F224" s="3" t="s">
        <v>198</v>
      </c>
      <c r="G224" s="3">
        <v>0.1</v>
      </c>
      <c r="H224" s="3" t="s">
        <v>341</v>
      </c>
      <c r="I224" s="24">
        <v>1.23</v>
      </c>
      <c r="M224" s="3" t="s">
        <v>301</v>
      </c>
      <c r="N224" s="3" t="s">
        <v>120</v>
      </c>
      <c r="O224" s="3" t="s">
        <v>23</v>
      </c>
      <c r="P22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24" s="4">
        <v>25</v>
      </c>
      <c r="U224" s="4" t="s">
        <v>12</v>
      </c>
      <c r="W224" s="3" t="s">
        <v>13</v>
      </c>
      <c r="Y224" s="4">
        <v>34</v>
      </c>
      <c r="Z224" s="4">
        <v>28</v>
      </c>
      <c r="AA224" s="5">
        <f>Tabelle1[[#This Row],[biologische
Abbaubarkeit '[%']]]/Z224</f>
        <v>1.2142857142857142</v>
      </c>
      <c r="AB224" s="5"/>
      <c r="AC22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24" s="97">
        <f>IF(Tabelle1[[#This Row],[Nicht einbezogen weil…]]="",IFERROR(1000*Tabelle1[[#This Row],[Formfaktor]]/Tabelle1[[#This Row],[Thickness '[mm']]],""),"")</f>
        <v>20000</v>
      </c>
      <c r="AE224" s="98">
        <f>IF(Tabelle1[[#This Row],[Nicht einbezogen weil…]]="",IFERROR(Tabelle1[[#This Row],[specific surface '[m^2/m^3']]]/Tabelle1[[#This Row],[Density 
'[g/cm3']]]/1000000,""),"")</f>
        <v>1.6260162601626015E-2</v>
      </c>
      <c r="AF224" s="97">
        <f>IF(Tabelle1[[#This Row],[Nicht einbezogen weil…]]="",IFERROR(365*10*Tabelle1[[#This Row],[Abbaurate '[%/d']]]*Tabelle1[[#This Row],[Thickness '[mm']]]/Tabelle1[[#This Row],[Formfaktor]],""),"")</f>
        <v>221.60714285714286</v>
      </c>
      <c r="AG224" s="99">
        <f>IF(OR(Tabelle1[[#This Row],[Nicht einbezogen weil…]]="",Tabelle1[[#This Row],[Nicht einbezogen weil…]]="nicht-natürlich"),IF(Tabelle1[[#This Row],[Formfaktor]]=2, 1,IF(Tabelle1[[#This Row],[Formfaktor]]=4,2,IF(Tabelle1[[#This Row],[Formfaktor]]=6,3,""))),"")</f>
        <v>1</v>
      </c>
      <c r="AH224" s="97">
        <f>IF(OR(Tabelle1[[#This Row],[Nicht einbezogen weil…]]="",Tabelle1[[#This Row],[Nicht einbezogen weil…]]="nicht-natürlich"),IFERROR(Tabelle1[[#This Row],[Thickness '[mm']]]/Tabelle1[[#This Row],[Dauer des Abbaus
'[Tage']]]*1000*0.5*365*(1-(1-Tabelle1[[#This Row],[Abbaurate '[%/d']]]/100*Tabelle1[[#This Row],[Dauer des Abbaus
'[Tage']]])^(1/Tabelle1[[#This Row],[Exponent]])),""),"")</f>
        <v>221.60714285714286</v>
      </c>
      <c r="AI22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PBSA_Meerwasser_natürlich</v>
      </c>
      <c r="AJ224" s="71">
        <v>1</v>
      </c>
      <c r="AK22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24" s="3" t="s">
        <v>699</v>
      </c>
      <c r="AO224" s="3" t="s">
        <v>200</v>
      </c>
      <c r="AP224" s="3" t="s">
        <v>200</v>
      </c>
      <c r="AT224" s="10" t="s">
        <v>223</v>
      </c>
      <c r="AU224" s="13" t="s">
        <v>200</v>
      </c>
      <c r="AW224" s="10" t="s">
        <v>813</v>
      </c>
    </row>
    <row r="225" spans="2:49" ht="17.25" customHeight="1">
      <c r="B225" s="109" t="s">
        <v>654</v>
      </c>
      <c r="C225" s="3" t="s">
        <v>117</v>
      </c>
      <c r="D225" s="3" t="s">
        <v>223</v>
      </c>
      <c r="E225" s="10"/>
      <c r="F225" s="3" t="s">
        <v>198</v>
      </c>
      <c r="G225" s="3">
        <v>0.1</v>
      </c>
      <c r="H225" s="3" t="s">
        <v>341</v>
      </c>
      <c r="I225" s="24">
        <v>1.23</v>
      </c>
      <c r="M225" s="3" t="s">
        <v>301</v>
      </c>
      <c r="N225" s="3" t="s">
        <v>120</v>
      </c>
      <c r="O225" s="3" t="s">
        <v>23</v>
      </c>
      <c r="P22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25" s="4">
        <v>25</v>
      </c>
      <c r="U225" s="4" t="s">
        <v>12</v>
      </c>
      <c r="W225" s="3" t="s">
        <v>506</v>
      </c>
      <c r="Y225" s="4">
        <v>20</v>
      </c>
      <c r="Z225" s="4">
        <v>28</v>
      </c>
      <c r="AA225" s="5">
        <f>Tabelle1[[#This Row],[biologische
Abbaubarkeit '[%']]]/Z225</f>
        <v>0.7142857142857143</v>
      </c>
      <c r="AB225" s="5"/>
      <c r="AC22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25" s="97">
        <f>IF(Tabelle1[[#This Row],[Nicht einbezogen weil…]]="",IFERROR(1000*Tabelle1[[#This Row],[Formfaktor]]/Tabelle1[[#This Row],[Thickness '[mm']]],""),"")</f>
        <v>20000</v>
      </c>
      <c r="AE225" s="98">
        <f>IF(Tabelle1[[#This Row],[Nicht einbezogen weil…]]="",IFERROR(Tabelle1[[#This Row],[specific surface '[m^2/m^3']]]/Tabelle1[[#This Row],[Density 
'[g/cm3']]]/1000000,""),"")</f>
        <v>1.6260162601626015E-2</v>
      </c>
      <c r="AF225" s="97">
        <f>IF(Tabelle1[[#This Row],[Nicht einbezogen weil…]]="",IFERROR(365*10*Tabelle1[[#This Row],[Abbaurate '[%/d']]]*Tabelle1[[#This Row],[Thickness '[mm']]]/Tabelle1[[#This Row],[Formfaktor]],""),"")</f>
        <v>130.35714285714286</v>
      </c>
      <c r="AG225" s="99">
        <f>IF(OR(Tabelle1[[#This Row],[Nicht einbezogen weil…]]="",Tabelle1[[#This Row],[Nicht einbezogen weil…]]="nicht-natürlich"),IF(Tabelle1[[#This Row],[Formfaktor]]=2, 1,IF(Tabelle1[[#This Row],[Formfaktor]]=4,2,IF(Tabelle1[[#This Row],[Formfaktor]]=6,3,""))),"")</f>
        <v>1</v>
      </c>
      <c r="AH225" s="97">
        <f>IF(OR(Tabelle1[[#This Row],[Nicht einbezogen weil…]]="",Tabelle1[[#This Row],[Nicht einbezogen weil…]]="nicht-natürlich"),IFERROR(Tabelle1[[#This Row],[Thickness '[mm']]]/Tabelle1[[#This Row],[Dauer des Abbaus
'[Tage']]]*1000*0.5*365*(1-(1-Tabelle1[[#This Row],[Abbaurate '[%/d']]]/100*Tabelle1[[#This Row],[Dauer des Abbaus
'[Tage']]])^(1/Tabelle1[[#This Row],[Exponent]])),""),"")</f>
        <v>130.35714285714283</v>
      </c>
      <c r="AI22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PBSA_Meerwasser_natürlich</v>
      </c>
      <c r="AJ225" s="71">
        <v>1</v>
      </c>
      <c r="AK22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25" s="3" t="s">
        <v>699</v>
      </c>
      <c r="AO225" s="3" t="s">
        <v>200</v>
      </c>
      <c r="AP225" s="3" t="s">
        <v>200</v>
      </c>
      <c r="AT225" s="10" t="s">
        <v>223</v>
      </c>
      <c r="AU225" s="13" t="s">
        <v>200</v>
      </c>
      <c r="AW225" s="10" t="s">
        <v>813</v>
      </c>
    </row>
    <row r="226" spans="2:49" ht="17.25" customHeight="1">
      <c r="B226" s="109" t="s">
        <v>654</v>
      </c>
      <c r="C226" s="3" t="s">
        <v>117</v>
      </c>
      <c r="D226" s="3" t="s">
        <v>223</v>
      </c>
      <c r="E226" s="10"/>
      <c r="F226" s="3" t="s">
        <v>198</v>
      </c>
      <c r="G226" s="3">
        <v>0.1</v>
      </c>
      <c r="H226" s="3" t="s">
        <v>341</v>
      </c>
      <c r="I226" s="24">
        <v>1.23</v>
      </c>
      <c r="M226" s="3" t="s">
        <v>301</v>
      </c>
      <c r="N226" s="3" t="s">
        <v>121</v>
      </c>
      <c r="O226" s="3" t="s">
        <v>23</v>
      </c>
      <c r="P22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26" s="4">
        <v>25</v>
      </c>
      <c r="U226" s="4" t="s">
        <v>12</v>
      </c>
      <c r="W226" s="3" t="s">
        <v>13</v>
      </c>
      <c r="Y226" s="337" t="s">
        <v>1423</v>
      </c>
      <c r="Z226" s="4">
        <v>28</v>
      </c>
      <c r="AA226" s="5">
        <f>Tabelle1[[#This Row],[biologische
Abbaubarkeit '[%']]]/Z226</f>
        <v>0.39285714285714285</v>
      </c>
      <c r="AB226" s="5"/>
      <c r="AC22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26" s="97">
        <f>IF(Tabelle1[[#This Row],[Nicht einbezogen weil…]]="",IFERROR(1000*Tabelle1[[#This Row],[Formfaktor]]/Tabelle1[[#This Row],[Thickness '[mm']]],""),"")</f>
        <v>20000</v>
      </c>
      <c r="AE226" s="98">
        <f>IF(Tabelle1[[#This Row],[Nicht einbezogen weil…]]="",IFERROR(Tabelle1[[#This Row],[specific surface '[m^2/m^3']]]/Tabelle1[[#This Row],[Density 
'[g/cm3']]]/1000000,""),"")</f>
        <v>1.6260162601626015E-2</v>
      </c>
      <c r="AF226" s="97">
        <f>IF(Tabelle1[[#This Row],[Nicht einbezogen weil…]]="",IFERROR(365*10*Tabelle1[[#This Row],[Abbaurate '[%/d']]]*Tabelle1[[#This Row],[Thickness '[mm']]]/Tabelle1[[#This Row],[Formfaktor]],""),"")</f>
        <v>71.696428571428569</v>
      </c>
      <c r="AG226" s="99">
        <f>IF(OR(Tabelle1[[#This Row],[Nicht einbezogen weil…]]="",Tabelle1[[#This Row],[Nicht einbezogen weil…]]="nicht-natürlich"),IF(Tabelle1[[#This Row],[Formfaktor]]=2, 1,IF(Tabelle1[[#This Row],[Formfaktor]]=4,2,IF(Tabelle1[[#This Row],[Formfaktor]]=6,3,""))),"")</f>
        <v>1</v>
      </c>
      <c r="AH226" s="97">
        <f>IF(OR(Tabelle1[[#This Row],[Nicht einbezogen weil…]]="",Tabelle1[[#This Row],[Nicht einbezogen weil…]]="nicht-natürlich"),IFERROR(Tabelle1[[#This Row],[Thickness '[mm']]]/Tabelle1[[#This Row],[Dauer des Abbaus
'[Tage']]]*1000*0.5*365*(1-(1-Tabelle1[[#This Row],[Abbaurate '[%/d']]]/100*Tabelle1[[#This Row],[Dauer des Abbaus
'[Tage']]])^(1/Tabelle1[[#This Row],[Exponent]])),""),"")</f>
        <v>71.696428571428569</v>
      </c>
      <c r="AI22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PBSA_Meerwasser_natürlich</v>
      </c>
      <c r="AJ226" s="71">
        <v>1</v>
      </c>
      <c r="AK22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26" s="3" t="s">
        <v>699</v>
      </c>
      <c r="AO226" s="3" t="s">
        <v>200</v>
      </c>
      <c r="AP226" s="3" t="s">
        <v>200</v>
      </c>
      <c r="AT226" s="10" t="s">
        <v>223</v>
      </c>
      <c r="AU226" s="13" t="s">
        <v>200</v>
      </c>
      <c r="AW226" s="10" t="s">
        <v>813</v>
      </c>
    </row>
    <row r="227" spans="2:49" ht="17.25" customHeight="1">
      <c r="B227" s="7" t="s">
        <v>78</v>
      </c>
      <c r="C227" s="3" t="s">
        <v>78</v>
      </c>
      <c r="D227" s="3" t="s">
        <v>200</v>
      </c>
      <c r="E227" s="10" t="s">
        <v>205</v>
      </c>
      <c r="F227" s="3" t="s">
        <v>288</v>
      </c>
      <c r="G227" s="3">
        <v>0.2</v>
      </c>
      <c r="H227" s="3">
        <f>0.02*0.015</f>
        <v>2.9999999999999997E-4</v>
      </c>
      <c r="I227" s="24">
        <v>1.38</v>
      </c>
      <c r="K227" s="8" t="s">
        <v>229</v>
      </c>
      <c r="L227" s="3" t="s">
        <v>983</v>
      </c>
      <c r="M227" s="3" t="s">
        <v>223</v>
      </c>
      <c r="N227" s="3" t="s">
        <v>984</v>
      </c>
      <c r="O227" s="3" t="s">
        <v>294</v>
      </c>
      <c r="P22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27" s="4">
        <v>30</v>
      </c>
      <c r="W227" s="3" t="s">
        <v>13</v>
      </c>
      <c r="Y227" s="4">
        <v>47</v>
      </c>
      <c r="Z227" s="4">
        <f>6*7</f>
        <v>42</v>
      </c>
      <c r="AA227" s="5">
        <f>Y227/Z227</f>
        <v>1.1190476190476191</v>
      </c>
      <c r="AB227" s="5"/>
      <c r="AC22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27" s="5" t="str">
        <f>IF(Tabelle1[[#This Row],[Nicht einbezogen weil…]]="",IFERROR(1000*Tabelle1[[#This Row],[Formfaktor]]/Tabelle1[[#This Row],[Thickness '[mm']]],""),"")</f>
        <v/>
      </c>
      <c r="AE227" s="5" t="str">
        <f>IF(Tabelle1[[#This Row],[Nicht einbezogen weil…]]="",IFERROR(Tabelle1[[#This Row],[specific surface '[m^2/m^3']]]/Tabelle1[[#This Row],[Density 
'[g/cm3']]]/1000000,""),"")</f>
        <v/>
      </c>
      <c r="AF227" s="5" t="str">
        <f>IF(Tabelle1[[#This Row],[Nicht einbezogen weil…]]="",IFERROR(365*10*Tabelle1[[#This Row],[Abbaurate '[%/d']]]*Tabelle1[[#This Row],[Thickness '[mm']]]/Tabelle1[[#This Row],[Formfaktor]],""),"")</f>
        <v/>
      </c>
      <c r="AG227" s="328" t="str">
        <f>IF(OR(Tabelle1[[#This Row],[Nicht einbezogen weil…]]="",Tabelle1[[#This Row],[Nicht einbezogen weil…]]="nicht-natürlich"),IF(Tabelle1[[#This Row],[Formfaktor]]=2, 1,IF(Tabelle1[[#This Row],[Formfaktor]]=4,2,IF(Tabelle1[[#This Row],[Formfaktor]]=6,3,""))),"")</f>
        <v/>
      </c>
      <c r="AH227"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2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27" s="6">
        <v>1</v>
      </c>
      <c r="AK22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27" s="3" t="s">
        <v>968</v>
      </c>
      <c r="AM227" s="3" t="s">
        <v>967</v>
      </c>
      <c r="AN227" s="3" t="s">
        <v>824</v>
      </c>
      <c r="AO227" s="3" t="s">
        <v>200</v>
      </c>
      <c r="AP227" s="3" t="s">
        <v>200</v>
      </c>
      <c r="AT227" s="10" t="s">
        <v>200</v>
      </c>
      <c r="AU227" s="13" t="s">
        <v>200</v>
      </c>
      <c r="AW227" s="10" t="s">
        <v>775</v>
      </c>
    </row>
    <row r="228" spans="2:49" ht="17.25" customHeight="1">
      <c r="B228" s="109" t="s">
        <v>654</v>
      </c>
      <c r="C228" s="3" t="s">
        <v>117</v>
      </c>
      <c r="D228" s="3" t="s">
        <v>223</v>
      </c>
      <c r="E228" s="10"/>
      <c r="F228" s="3" t="s">
        <v>198</v>
      </c>
      <c r="G228" s="3">
        <v>0.1</v>
      </c>
      <c r="H228" s="3" t="s">
        <v>341</v>
      </c>
      <c r="I228" s="24">
        <v>1.23</v>
      </c>
      <c r="M228" s="3" t="s">
        <v>301</v>
      </c>
      <c r="N228" s="3" t="s">
        <v>121</v>
      </c>
      <c r="O228" s="3" t="s">
        <v>23</v>
      </c>
      <c r="P22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28" s="4">
        <v>25</v>
      </c>
      <c r="U228" s="4" t="s">
        <v>12</v>
      </c>
      <c r="W228" s="3" t="s">
        <v>506</v>
      </c>
      <c r="Y228" s="337" t="s">
        <v>1424</v>
      </c>
      <c r="Z228" s="4">
        <v>28</v>
      </c>
      <c r="AA228" s="5">
        <f>Tabelle1[[#This Row],[biologische
Abbaubarkeit '[%']]]/Z228</f>
        <v>0.35714285714285715</v>
      </c>
      <c r="AB228" s="5"/>
      <c r="AC22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28" s="97">
        <f>IF(Tabelle1[[#This Row],[Nicht einbezogen weil…]]="",IFERROR(1000*Tabelle1[[#This Row],[Formfaktor]]/Tabelle1[[#This Row],[Thickness '[mm']]],""),"")</f>
        <v>20000</v>
      </c>
      <c r="AE228" s="98">
        <f>IF(Tabelle1[[#This Row],[Nicht einbezogen weil…]]="",IFERROR(Tabelle1[[#This Row],[specific surface '[m^2/m^3']]]/Tabelle1[[#This Row],[Density 
'[g/cm3']]]/1000000,""),"")</f>
        <v>1.6260162601626015E-2</v>
      </c>
      <c r="AF228" s="97">
        <f>IF(Tabelle1[[#This Row],[Nicht einbezogen weil…]]="",IFERROR(365*10*Tabelle1[[#This Row],[Abbaurate '[%/d']]]*Tabelle1[[#This Row],[Thickness '[mm']]]/Tabelle1[[#This Row],[Formfaktor]],""),"")</f>
        <v>65.178571428571431</v>
      </c>
      <c r="AG228" s="99">
        <f>IF(OR(Tabelle1[[#This Row],[Nicht einbezogen weil…]]="",Tabelle1[[#This Row],[Nicht einbezogen weil…]]="nicht-natürlich"),IF(Tabelle1[[#This Row],[Formfaktor]]=2, 1,IF(Tabelle1[[#This Row],[Formfaktor]]=4,2,IF(Tabelle1[[#This Row],[Formfaktor]]=6,3,""))),"")</f>
        <v>1</v>
      </c>
      <c r="AH228"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65.178571428571416</v>
      </c>
      <c r="AI22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PBSA_Meerwasser_natürlich</v>
      </c>
      <c r="AJ228" s="71">
        <v>1</v>
      </c>
      <c r="AK22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28" s="3" t="s">
        <v>699</v>
      </c>
      <c r="AO228" s="3" t="s">
        <v>200</v>
      </c>
      <c r="AP228" s="3" t="s">
        <v>200</v>
      </c>
      <c r="AT228" s="10" t="s">
        <v>223</v>
      </c>
      <c r="AU228" s="13" t="s">
        <v>200</v>
      </c>
      <c r="AW228" s="10" t="s">
        <v>813</v>
      </c>
    </row>
    <row r="229" spans="2:49" ht="17.25" customHeight="1">
      <c r="B229" s="109" t="s">
        <v>654</v>
      </c>
      <c r="D229" s="3" t="s">
        <v>223</v>
      </c>
      <c r="F229" s="3" t="s">
        <v>996</v>
      </c>
      <c r="G229" s="3">
        <v>0.1</v>
      </c>
      <c r="I229" s="3">
        <v>1.23</v>
      </c>
      <c r="J229" s="3" t="s">
        <v>1311</v>
      </c>
      <c r="M229" s="3" t="s">
        <v>200</v>
      </c>
      <c r="O229" s="3" t="s">
        <v>1081</v>
      </c>
      <c r="P22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29" s="3" t="s">
        <v>1412</v>
      </c>
      <c r="Y229" s="4">
        <v>50</v>
      </c>
      <c r="Z229" s="4">
        <v>45</v>
      </c>
      <c r="AA229" s="5">
        <f t="shared" ref="AA229:AA235" si="13">Y229/Z229</f>
        <v>1.1111111111111112</v>
      </c>
      <c r="AB229" s="5"/>
      <c r="AC22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29" s="5">
        <f>IF(Tabelle1[[#This Row],[Nicht einbezogen weil…]]="",IFERROR(1000*Tabelle1[[#This Row],[Formfaktor]]/Tabelle1[[#This Row],[Thickness '[mm']]],""),"")</f>
        <v>20000</v>
      </c>
      <c r="AE229" s="5">
        <f>IF(Tabelle1[[#This Row],[Nicht einbezogen weil…]]="",IFERROR(Tabelle1[[#This Row],[specific surface '[m^2/m^3']]]/Tabelle1[[#This Row],[Density 
'[g/cm3']]]/1000000,""),"")</f>
        <v>1.6260162601626015E-2</v>
      </c>
      <c r="AF229" s="5">
        <f>IF(Tabelle1[[#This Row],[Nicht einbezogen weil…]]="",IFERROR(365*10*Tabelle1[[#This Row],[Abbaurate '[%/d']]]*Tabelle1[[#This Row],[Thickness '[mm']]]/Tabelle1[[#This Row],[Formfaktor]],""),"")</f>
        <v>202.7777777777778</v>
      </c>
      <c r="AG229" s="349">
        <f>IF(OR(Tabelle1[[#This Row],[Nicht einbezogen weil…]]="",Tabelle1[[#This Row],[Nicht einbezogen weil…]]="nicht-natürlich"),IF(Tabelle1[[#This Row],[Formfaktor]]=2, 1,IF(Tabelle1[[#This Row],[Formfaktor]]=4,2,IF(Tabelle1[[#This Row],[Formfaktor]]=6,3,""))),"")</f>
        <v>1</v>
      </c>
      <c r="AH229" s="5">
        <f>IF(OR(Tabelle1[[#This Row],[Nicht einbezogen weil…]]="",Tabelle1[[#This Row],[Nicht einbezogen weil…]]="nicht-natürlich"),IFERROR(Tabelle1[[#This Row],[Thickness '[mm']]]/Tabelle1[[#This Row],[Dauer des Abbaus
'[Tage']]]*1000*0.5*365*(1-(1-Tabelle1[[#This Row],[Abbaurate '[%/d']]]/100*Tabelle1[[#This Row],[Dauer des Abbaus
'[Tage']]])^(1/Tabelle1[[#This Row],[Exponent]])),""),"")</f>
        <v>202.7777777777778</v>
      </c>
      <c r="AI22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PBSA_Süßwasser_natürlich</v>
      </c>
      <c r="AJ229" s="6">
        <v>1</v>
      </c>
      <c r="AK22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29" s="3" t="s">
        <v>1411</v>
      </c>
      <c r="AU229" s="13"/>
    </row>
    <row r="230" spans="2:49" ht="17.25" customHeight="1">
      <c r="B230" s="109" t="s">
        <v>1078</v>
      </c>
      <c r="C230" s="3" t="s">
        <v>1079</v>
      </c>
      <c r="D230" s="3" t="s">
        <v>223</v>
      </c>
      <c r="E230" s="10"/>
      <c r="F230" s="3" t="s">
        <v>198</v>
      </c>
      <c r="G230" s="3">
        <v>2.5000000000000001E-2</v>
      </c>
      <c r="H230" s="3" t="s">
        <v>341</v>
      </c>
      <c r="I230" s="3" t="s">
        <v>341</v>
      </c>
      <c r="K230" s="8" t="s">
        <v>229</v>
      </c>
      <c r="M230" s="3" t="s">
        <v>200</v>
      </c>
      <c r="N230" s="3" t="s">
        <v>1068</v>
      </c>
      <c r="O230" s="3" t="s">
        <v>23</v>
      </c>
      <c r="P23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30" s="3" t="s">
        <v>13</v>
      </c>
      <c r="X230" s="3" t="s">
        <v>1067</v>
      </c>
      <c r="Y230" s="4">
        <v>50</v>
      </c>
      <c r="Z230" s="4">
        <v>511</v>
      </c>
      <c r="AA230" s="5">
        <f t="shared" si="13"/>
        <v>9.7847358121330719E-2</v>
      </c>
      <c r="AB230" s="5"/>
      <c r="AC23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30" s="5">
        <f>IF(Tabelle1[[#This Row],[Nicht einbezogen weil…]]="",IFERROR(1000*Tabelle1[[#This Row],[Formfaktor]]/Tabelle1[[#This Row],[Thickness '[mm']]],""),"")</f>
        <v>80000</v>
      </c>
      <c r="AE230" s="5" t="str">
        <f>IF(Tabelle1[[#This Row],[Nicht einbezogen weil…]]="",IFERROR(Tabelle1[[#This Row],[specific surface '[m^2/m^3']]]/Tabelle1[[#This Row],[Density 
'[g/cm3']]]/1000000,""),"")</f>
        <v/>
      </c>
      <c r="AF230" s="5">
        <f>IF(Tabelle1[[#This Row],[Nicht einbezogen weil…]]="",IFERROR(365*10*Tabelle1[[#This Row],[Abbaurate '[%/d']]]*Tabelle1[[#This Row],[Thickness '[mm']]]/Tabelle1[[#This Row],[Formfaktor]],""),"")</f>
        <v>4.4642857142857144</v>
      </c>
      <c r="AG230" s="328">
        <f>IF(OR(Tabelle1[[#This Row],[Nicht einbezogen weil…]]="",Tabelle1[[#This Row],[Nicht einbezogen weil…]]="nicht-natürlich"),IF(Tabelle1[[#This Row],[Formfaktor]]=2, 1,IF(Tabelle1[[#This Row],[Formfaktor]]=4,2,IF(Tabelle1[[#This Row],[Formfaktor]]=6,3,""))),"")</f>
        <v>1</v>
      </c>
      <c r="AH230" s="5">
        <f>IF(OR(Tabelle1[[#This Row],[Nicht einbezogen weil…]]="",Tabelle1[[#This Row],[Nicht einbezogen weil…]]="nicht-natürlich"),IFERROR(Tabelle1[[#This Row],[Thickness '[mm']]]/Tabelle1[[#This Row],[Dauer des Abbaus
'[Tage']]]*1000*0.5*365*(1-(1-Tabelle1[[#This Row],[Abbaurate '[%/d']]]/100*Tabelle1[[#This Row],[Dauer des Abbaus
'[Tage']]])^(1/Tabelle1[[#This Row],[Exponent]])),""),"")</f>
        <v>4.4642857142857144</v>
      </c>
      <c r="AI23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PBSe_Meerwasser_natürlich</v>
      </c>
      <c r="AJ230" s="6">
        <v>1</v>
      </c>
      <c r="AK23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30" s="3" t="s">
        <v>1080</v>
      </c>
      <c r="AN230" s="3" t="s">
        <v>1065</v>
      </c>
      <c r="AO230" s="3" t="s">
        <v>200</v>
      </c>
      <c r="AP230" s="3" t="s">
        <v>200</v>
      </c>
      <c r="AT230" s="10" t="s">
        <v>223</v>
      </c>
      <c r="AU230" s="13" t="s">
        <v>200</v>
      </c>
    </row>
    <row r="231" spans="2:49" ht="17.25" customHeight="1">
      <c r="B231" s="7" t="s">
        <v>77</v>
      </c>
      <c r="C231" s="3" t="s">
        <v>77</v>
      </c>
      <c r="D231" s="3" t="s">
        <v>200</v>
      </c>
      <c r="E231" s="10" t="s">
        <v>205</v>
      </c>
      <c r="F231" s="3" t="s">
        <v>198</v>
      </c>
      <c r="G231" s="322" t="s">
        <v>341</v>
      </c>
      <c r="I231" s="17" t="s">
        <v>596</v>
      </c>
      <c r="L231" s="322" t="s">
        <v>871</v>
      </c>
      <c r="P23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AA231" s="5" t="e">
        <f t="shared" si="13"/>
        <v>#DIV/0!</v>
      </c>
      <c r="AB231" s="5"/>
      <c r="AC23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31" s="97" t="str">
        <f>IF(Tabelle1[[#This Row],[Nicht einbezogen weil…]]="",IFERROR(1000*Tabelle1[[#This Row],[Formfaktor]]/Tabelle1[[#This Row],[Thickness '[mm']]],""),"")</f>
        <v/>
      </c>
      <c r="AE231" s="98" t="str">
        <f>IF(Tabelle1[[#This Row],[Nicht einbezogen weil…]]="",IFERROR(Tabelle1[[#This Row],[specific surface '[m^2/m^3']]]/Tabelle1[[#This Row],[Density 
'[g/cm3']]]/1000000,""),"")</f>
        <v/>
      </c>
      <c r="AF231" s="97" t="str">
        <f>IF(Tabelle1[[#This Row],[Nicht einbezogen weil…]]="",IFERROR(365*10*Tabelle1[[#This Row],[Abbaurate '[%/d']]]*Tabelle1[[#This Row],[Thickness '[mm']]]/Tabelle1[[#This Row],[Formfaktor]],""),"")</f>
        <v/>
      </c>
      <c r="AG231" s="99" t="str">
        <f>IF(OR(Tabelle1[[#This Row],[Nicht einbezogen weil…]]="",Tabelle1[[#This Row],[Nicht einbezogen weil…]]="nicht-natürlich"),IF(Tabelle1[[#This Row],[Formfaktor]]=2, 1,IF(Tabelle1[[#This Row],[Formfaktor]]=4,2,IF(Tabelle1[[#This Row],[Formfaktor]]=6,3,""))),"")</f>
        <v/>
      </c>
      <c r="AH23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3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31" s="6">
        <v>0</v>
      </c>
      <c r="AK23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231" s="323" t="s">
        <v>837</v>
      </c>
      <c r="AM231" s="3" t="s">
        <v>855</v>
      </c>
      <c r="AN231" s="3" t="s">
        <v>824</v>
      </c>
      <c r="AO231" s="3" t="s">
        <v>200</v>
      </c>
      <c r="AP231" s="3" t="s">
        <v>223</v>
      </c>
      <c r="AU231" s="324" t="s">
        <v>701</v>
      </c>
      <c r="AV231" s="14" t="s">
        <v>870</v>
      </c>
      <c r="AW231" s="73" t="s">
        <v>933</v>
      </c>
    </row>
    <row r="232" spans="2:49" ht="17.25" customHeight="1">
      <c r="B232" s="7" t="s">
        <v>18</v>
      </c>
      <c r="C232" s="3" t="s">
        <v>18</v>
      </c>
      <c r="D232" s="3" t="s">
        <v>200</v>
      </c>
      <c r="E232" s="10" t="s">
        <v>205</v>
      </c>
      <c r="F232" s="3" t="s">
        <v>288</v>
      </c>
      <c r="G232" s="3">
        <v>0.2</v>
      </c>
      <c r="H232" s="3">
        <f>0.008*0.008</f>
        <v>6.3999999999999997E-5</v>
      </c>
      <c r="I232" s="77">
        <v>1.26</v>
      </c>
      <c r="L232" s="3" t="s">
        <v>591</v>
      </c>
      <c r="M232" s="3" t="s">
        <v>223</v>
      </c>
      <c r="N232" s="3" t="s">
        <v>25</v>
      </c>
      <c r="O232" s="3" t="s">
        <v>294</v>
      </c>
      <c r="P23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32" s="4">
        <v>25</v>
      </c>
      <c r="V232" s="4" t="s">
        <v>592</v>
      </c>
      <c r="W232" s="3" t="s">
        <v>13</v>
      </c>
      <c r="Y232" s="4">
        <v>18</v>
      </c>
      <c r="Z232" s="4">
        <v>18</v>
      </c>
      <c r="AA232" s="5">
        <f t="shared" si="13"/>
        <v>1</v>
      </c>
      <c r="AB232" s="5"/>
      <c r="AC23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32" s="97" t="str">
        <f>IF(Tabelle1[[#This Row],[Nicht einbezogen weil…]]="",IFERROR(1000*Tabelle1[[#This Row],[Formfaktor]]/Tabelle1[[#This Row],[Thickness '[mm']]],""),"")</f>
        <v/>
      </c>
      <c r="AE232" s="98" t="str">
        <f>IF(Tabelle1[[#This Row],[Nicht einbezogen weil…]]="",IFERROR(Tabelle1[[#This Row],[specific surface '[m^2/m^3']]]/Tabelle1[[#This Row],[Density 
'[g/cm3']]]/1000000,""),"")</f>
        <v/>
      </c>
      <c r="AF232" s="97" t="str">
        <f>IF(Tabelle1[[#This Row],[Nicht einbezogen weil…]]="",IFERROR(365*10*Tabelle1[[#This Row],[Abbaurate '[%/d']]]*Tabelle1[[#This Row],[Thickness '[mm']]]/Tabelle1[[#This Row],[Formfaktor]],""),"")</f>
        <v/>
      </c>
      <c r="AG232" s="99" t="str">
        <f>IF(OR(Tabelle1[[#This Row],[Nicht einbezogen weil…]]="",Tabelle1[[#This Row],[Nicht einbezogen weil…]]="nicht-natürlich"),IF(Tabelle1[[#This Row],[Formfaktor]]=2, 1,IF(Tabelle1[[#This Row],[Formfaktor]]=4,2,IF(Tabelle1[[#This Row],[Formfaktor]]=6,3,""))),"")</f>
        <v/>
      </c>
      <c r="AH23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3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32" s="71">
        <v>1</v>
      </c>
      <c r="AK23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32" s="3" t="s">
        <v>142</v>
      </c>
      <c r="AM232" s="3" t="s">
        <v>977</v>
      </c>
      <c r="AO232" s="3" t="s">
        <v>235</v>
      </c>
      <c r="AP232" s="3" t="s">
        <v>235</v>
      </c>
      <c r="AT232" s="10" t="s">
        <v>223</v>
      </c>
      <c r="AU232" s="13" t="s">
        <v>200</v>
      </c>
      <c r="AW232" s="10" t="s">
        <v>813</v>
      </c>
    </row>
    <row r="233" spans="2:49" ht="17.25" customHeight="1">
      <c r="B233" s="7" t="s">
        <v>77</v>
      </c>
      <c r="C233" s="3" t="s">
        <v>77</v>
      </c>
      <c r="D233" s="3" t="s">
        <v>200</v>
      </c>
      <c r="E233" s="10" t="s">
        <v>205</v>
      </c>
      <c r="F233" s="3" t="s">
        <v>341</v>
      </c>
      <c r="G233" s="3" t="s">
        <v>341</v>
      </c>
      <c r="I233" s="17" t="s">
        <v>596</v>
      </c>
      <c r="L233" s="3" t="s">
        <v>893</v>
      </c>
      <c r="P23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233" s="3" t="s">
        <v>13</v>
      </c>
      <c r="AA233" s="5" t="e">
        <f t="shared" si="13"/>
        <v>#DIV/0!</v>
      </c>
      <c r="AB233" s="5"/>
      <c r="AC233"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33" s="97" t="str">
        <f>IF(Tabelle1[[#This Row],[Nicht einbezogen weil…]]="",IFERROR(1000*Tabelle1[[#This Row],[Formfaktor]]/Tabelle1[[#This Row],[Thickness '[mm']]],""),"")</f>
        <v/>
      </c>
      <c r="AE233" s="98" t="str">
        <f>IF(Tabelle1[[#This Row],[Nicht einbezogen weil…]]="",IFERROR(Tabelle1[[#This Row],[specific surface '[m^2/m^3']]]/Tabelle1[[#This Row],[Density 
'[g/cm3']]]/1000000,""),"")</f>
        <v/>
      </c>
      <c r="AF233" s="97" t="str">
        <f>IF(Tabelle1[[#This Row],[Nicht einbezogen weil…]]="",IFERROR(365*10*Tabelle1[[#This Row],[Abbaurate '[%/d']]]*Tabelle1[[#This Row],[Thickness '[mm']]]/Tabelle1[[#This Row],[Formfaktor]],""),"")</f>
        <v/>
      </c>
      <c r="AG233" s="99" t="str">
        <f>IF(OR(Tabelle1[[#This Row],[Nicht einbezogen weil…]]="",Tabelle1[[#This Row],[Nicht einbezogen weil…]]="nicht-natürlich"),IF(Tabelle1[[#This Row],[Formfaktor]]=2, 1,IF(Tabelle1[[#This Row],[Formfaktor]]=4,2,IF(Tabelle1[[#This Row],[Formfaktor]]=6,3,""))),"")</f>
        <v/>
      </c>
      <c r="AH23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3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33" s="6">
        <v>0</v>
      </c>
      <c r="AK23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233" s="323" t="s">
        <v>831</v>
      </c>
      <c r="AM233" s="3" t="s">
        <v>855</v>
      </c>
      <c r="AN233" s="3" t="s">
        <v>824</v>
      </c>
      <c r="AO233" s="3" t="s">
        <v>200</v>
      </c>
      <c r="AP233" s="3" t="s">
        <v>223</v>
      </c>
      <c r="AU233" s="324" t="s">
        <v>701</v>
      </c>
      <c r="AV233" s="14" t="s">
        <v>867</v>
      </c>
      <c r="AW233" s="73" t="s">
        <v>933</v>
      </c>
    </row>
    <row r="234" spans="2:49" ht="17.25" customHeight="1">
      <c r="B234" s="7" t="s">
        <v>77</v>
      </c>
      <c r="C234" s="3" t="s">
        <v>77</v>
      </c>
      <c r="D234" s="3" t="s">
        <v>223</v>
      </c>
      <c r="E234" s="10"/>
      <c r="F234" s="3" t="s">
        <v>288</v>
      </c>
      <c r="G234" s="74" t="s">
        <v>341</v>
      </c>
      <c r="H234" s="3">
        <f>0.07*0.01</f>
        <v>7.000000000000001E-4</v>
      </c>
      <c r="I234" s="24">
        <f t="shared" ref="I234:I246" si="14">AVERAGE(0.9265,0.9495)</f>
        <v>0.93799999999999994</v>
      </c>
      <c r="J234" s="3" t="s">
        <v>405</v>
      </c>
      <c r="M234" s="3" t="s">
        <v>200</v>
      </c>
      <c r="N234" s="3" t="s">
        <v>406</v>
      </c>
      <c r="O234" s="3" t="s">
        <v>23</v>
      </c>
      <c r="P23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34" s="3" t="s">
        <v>478</v>
      </c>
      <c r="X234" s="3" t="s">
        <v>407</v>
      </c>
      <c r="Y234" s="4">
        <f>(75-28)/75</f>
        <v>0.62666666666666671</v>
      </c>
      <c r="Z234" s="4">
        <f>40*7</f>
        <v>280</v>
      </c>
      <c r="AA234" s="5">
        <f t="shared" si="13"/>
        <v>2.2380952380952382E-3</v>
      </c>
      <c r="AB234" s="5"/>
      <c r="AC23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34" s="97" t="str">
        <f>IF(Tabelle1[[#This Row],[Nicht einbezogen weil…]]="",IFERROR(1000*Tabelle1[[#This Row],[Formfaktor]]/Tabelle1[[#This Row],[Thickness '[mm']]],""),"")</f>
        <v/>
      </c>
      <c r="AE234" s="98" t="str">
        <f>IF(Tabelle1[[#This Row],[Nicht einbezogen weil…]]="",IFERROR(Tabelle1[[#This Row],[specific surface '[m^2/m^3']]]/Tabelle1[[#This Row],[Density 
'[g/cm3']]]/1000000,""),"")</f>
        <v/>
      </c>
      <c r="AF234" s="97" t="str">
        <f>IF(Tabelle1[[#This Row],[Nicht einbezogen weil…]]="",IFERROR(365*10*Tabelle1[[#This Row],[Abbaurate '[%/d']]]*Tabelle1[[#This Row],[Thickness '[mm']]]/Tabelle1[[#This Row],[Formfaktor]],""),"")</f>
        <v/>
      </c>
      <c r="AG234" s="99" t="str">
        <f>IF(OR(Tabelle1[[#This Row],[Nicht einbezogen weil…]]="",Tabelle1[[#This Row],[Nicht einbezogen weil…]]="nicht-natürlich"),IF(Tabelle1[[#This Row],[Formfaktor]]=2, 1,IF(Tabelle1[[#This Row],[Formfaktor]]=4,2,IF(Tabelle1[[#This Row],[Formfaktor]]=6,3,""))),"")</f>
        <v/>
      </c>
      <c r="AH23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3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34" s="71">
        <v>1</v>
      </c>
      <c r="AK23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34" s="3" t="s">
        <v>384</v>
      </c>
      <c r="AM234" s="3" t="s">
        <v>977</v>
      </c>
      <c r="AN234" s="3" t="s">
        <v>538</v>
      </c>
      <c r="AO234" s="3" t="s">
        <v>200</v>
      </c>
      <c r="AP234" s="3" t="s">
        <v>200</v>
      </c>
      <c r="AT234" s="10" t="s">
        <v>223</v>
      </c>
      <c r="AU234" s="13" t="s">
        <v>200</v>
      </c>
      <c r="AW234" s="10" t="s">
        <v>775</v>
      </c>
    </row>
    <row r="235" spans="2:49" ht="17.25" customHeight="1">
      <c r="B235" s="7" t="s">
        <v>77</v>
      </c>
      <c r="C235" s="3" t="s">
        <v>77</v>
      </c>
      <c r="D235" s="3" t="s">
        <v>223</v>
      </c>
      <c r="E235" s="10"/>
      <c r="F235" s="3" t="s">
        <v>198</v>
      </c>
      <c r="G235" s="74" t="s">
        <v>341</v>
      </c>
      <c r="H235" s="74" t="s">
        <v>341</v>
      </c>
      <c r="I235" s="24">
        <f t="shared" si="14"/>
        <v>0.93799999999999994</v>
      </c>
      <c r="M235" s="3" t="s">
        <v>200</v>
      </c>
      <c r="N235" s="3" t="s">
        <v>95</v>
      </c>
      <c r="O235" s="3" t="s">
        <v>23</v>
      </c>
      <c r="P23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35" s="4" t="s">
        <v>81</v>
      </c>
      <c r="R235" s="4">
        <v>8.1999999999999993</v>
      </c>
      <c r="U235" s="4" t="s">
        <v>12</v>
      </c>
      <c r="W235" s="3" t="s">
        <v>13</v>
      </c>
      <c r="Y235" s="4">
        <v>0</v>
      </c>
      <c r="Z235" s="4">
        <v>561</v>
      </c>
      <c r="AA235" s="5">
        <f t="shared" si="13"/>
        <v>0</v>
      </c>
      <c r="AB235" s="5"/>
      <c r="AC23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35" s="97" t="str">
        <f>IF(Tabelle1[[#This Row],[Nicht einbezogen weil…]]="",IFERROR(1000*Tabelle1[[#This Row],[Formfaktor]]/Tabelle1[[#This Row],[Thickness '[mm']]],""),"")</f>
        <v/>
      </c>
      <c r="AE235" s="98" t="str">
        <f>IF(Tabelle1[[#This Row],[Nicht einbezogen weil…]]="",IFERROR(Tabelle1[[#This Row],[specific surface '[m^2/m^3']]]/Tabelle1[[#This Row],[Density 
'[g/cm3']]]/1000000,""),"")</f>
        <v/>
      </c>
      <c r="AF235" s="97" t="str">
        <f>IF(Tabelle1[[#This Row],[Nicht einbezogen weil…]]="",IFERROR(365*10*Tabelle1[[#This Row],[Abbaurate '[%/d']]]*Tabelle1[[#This Row],[Thickness '[mm']]]/Tabelle1[[#This Row],[Formfaktor]],""),"")</f>
        <v/>
      </c>
      <c r="AG235" s="99" t="str">
        <f>IF(OR(Tabelle1[[#This Row],[Nicht einbezogen weil…]]="",Tabelle1[[#This Row],[Nicht einbezogen weil…]]="nicht-natürlich"),IF(Tabelle1[[#This Row],[Formfaktor]]=2, 1,IF(Tabelle1[[#This Row],[Formfaktor]]=4,2,IF(Tabelle1[[#This Row],[Formfaktor]]=6,3,""))),"")</f>
        <v/>
      </c>
      <c r="AH23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3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35" s="71">
        <v>1</v>
      </c>
      <c r="AK23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35" s="3" t="s">
        <v>85</v>
      </c>
      <c r="AO235" s="3" t="s">
        <v>200</v>
      </c>
      <c r="AP235" s="3" t="s">
        <v>200</v>
      </c>
      <c r="AQ235" s="3" t="s">
        <v>200</v>
      </c>
      <c r="AR235" s="2" t="s">
        <v>200</v>
      </c>
      <c r="AS235" s="2" t="s">
        <v>297</v>
      </c>
      <c r="AT235" s="10" t="s">
        <v>223</v>
      </c>
      <c r="AU235" s="13" t="s">
        <v>200</v>
      </c>
      <c r="AW235" s="10" t="s">
        <v>775</v>
      </c>
    </row>
    <row r="236" spans="2:49" ht="17.25" customHeight="1">
      <c r="B236" s="7" t="s">
        <v>77</v>
      </c>
      <c r="C236" s="3" t="s">
        <v>77</v>
      </c>
      <c r="D236" s="3" t="s">
        <v>223</v>
      </c>
      <c r="E236" s="10"/>
      <c r="F236" s="3" t="s">
        <v>288</v>
      </c>
      <c r="G236" s="74" t="s">
        <v>341</v>
      </c>
      <c r="H236" s="3">
        <f>0.07*0.01</f>
        <v>7.000000000000001E-4</v>
      </c>
      <c r="I236" s="24">
        <f t="shared" si="14"/>
        <v>0.93799999999999994</v>
      </c>
      <c r="J236" s="3" t="s">
        <v>405</v>
      </c>
      <c r="M236" s="3" t="s">
        <v>200</v>
      </c>
      <c r="N236" s="3" t="s">
        <v>406</v>
      </c>
      <c r="O236" s="3" t="s">
        <v>23</v>
      </c>
      <c r="P23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36" s="3" t="s">
        <v>478</v>
      </c>
      <c r="X236" s="3" t="s">
        <v>408</v>
      </c>
      <c r="Y236" s="4">
        <v>0</v>
      </c>
      <c r="Z236" s="4">
        <f>40*7</f>
        <v>280</v>
      </c>
      <c r="AA236" s="5">
        <v>0</v>
      </c>
      <c r="AB236" s="5"/>
      <c r="AC23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36" s="97" t="str">
        <f>IF(Tabelle1[[#This Row],[Nicht einbezogen weil…]]="",IFERROR(1000*Tabelle1[[#This Row],[Formfaktor]]/Tabelle1[[#This Row],[Thickness '[mm']]],""),"")</f>
        <v/>
      </c>
      <c r="AE236" s="98" t="str">
        <f>IF(Tabelle1[[#This Row],[Nicht einbezogen weil…]]="",IFERROR(Tabelle1[[#This Row],[specific surface '[m^2/m^3']]]/Tabelle1[[#This Row],[Density 
'[g/cm3']]]/1000000,""),"")</f>
        <v/>
      </c>
      <c r="AF236" s="97" t="str">
        <f>IF(Tabelle1[[#This Row],[Nicht einbezogen weil…]]="",IFERROR(365*10*Tabelle1[[#This Row],[Abbaurate '[%/d']]]*Tabelle1[[#This Row],[Thickness '[mm']]]/Tabelle1[[#This Row],[Formfaktor]],""),"")</f>
        <v/>
      </c>
      <c r="AG236" s="99" t="str">
        <f>IF(OR(Tabelle1[[#This Row],[Nicht einbezogen weil…]]="",Tabelle1[[#This Row],[Nicht einbezogen weil…]]="nicht-natürlich"),IF(Tabelle1[[#This Row],[Formfaktor]]=2, 1,IF(Tabelle1[[#This Row],[Formfaktor]]=4,2,IF(Tabelle1[[#This Row],[Formfaktor]]=6,3,""))),"")</f>
        <v/>
      </c>
      <c r="AH23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3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36" s="71">
        <v>1</v>
      </c>
      <c r="AK23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36" s="3" t="s">
        <v>384</v>
      </c>
      <c r="AM236" s="3" t="s">
        <v>977</v>
      </c>
      <c r="AN236" s="3" t="s">
        <v>538</v>
      </c>
      <c r="AO236" s="3" t="s">
        <v>200</v>
      </c>
      <c r="AP236" s="3" t="s">
        <v>200</v>
      </c>
      <c r="AT236" s="10" t="s">
        <v>223</v>
      </c>
      <c r="AU236" s="13" t="s">
        <v>200</v>
      </c>
      <c r="AW236" s="10" t="s">
        <v>775</v>
      </c>
    </row>
    <row r="237" spans="2:49" ht="17.25" customHeight="1">
      <c r="B237" s="7" t="s">
        <v>77</v>
      </c>
      <c r="C237" s="3" t="s">
        <v>723</v>
      </c>
      <c r="D237" s="3" t="s">
        <v>200</v>
      </c>
      <c r="E237" s="10" t="s">
        <v>203</v>
      </c>
      <c r="F237" s="12" t="s">
        <v>721</v>
      </c>
      <c r="G237" s="17">
        <f>AVERAGE(0.05,0.055)</f>
        <v>5.2500000000000005E-2</v>
      </c>
      <c r="H237" s="23">
        <f>PI()*((0.002/2)^2)</f>
        <v>3.1415926535897929E-6</v>
      </c>
      <c r="I237" s="24">
        <f t="shared" si="14"/>
        <v>0.93799999999999994</v>
      </c>
      <c r="J237" s="3" t="s">
        <v>717</v>
      </c>
      <c r="K237" s="208" t="s">
        <v>719</v>
      </c>
      <c r="M237" s="3" t="s">
        <v>223</v>
      </c>
      <c r="N237" s="3" t="s">
        <v>5</v>
      </c>
      <c r="O237" s="3" t="s">
        <v>358</v>
      </c>
      <c r="P23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37" s="4">
        <v>25</v>
      </c>
      <c r="W237" s="3" t="s">
        <v>190</v>
      </c>
      <c r="Y237" s="4">
        <v>13</v>
      </c>
      <c r="Z237" s="4">
        <v>460</v>
      </c>
      <c r="AA237" s="5">
        <f t="shared" ref="AA237:AA247" si="15">Y237/Z237</f>
        <v>2.8260869565217391E-2</v>
      </c>
      <c r="AB237" s="5"/>
      <c r="AC23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37" s="97" t="str">
        <f>IF(Tabelle1[[#This Row],[Nicht einbezogen weil…]]="",IFERROR(1000*Tabelle1[[#This Row],[Formfaktor]]/Tabelle1[[#This Row],[Thickness '[mm']]],""),"")</f>
        <v/>
      </c>
      <c r="AE237" s="98" t="str">
        <f>IF(Tabelle1[[#This Row],[Nicht einbezogen weil…]]="",IFERROR(Tabelle1[[#This Row],[specific surface '[m^2/m^3']]]/Tabelle1[[#This Row],[Density 
'[g/cm3']]]/1000000,""),"")</f>
        <v/>
      </c>
      <c r="AF237" s="97" t="str">
        <f>IF(Tabelle1[[#This Row],[Nicht einbezogen weil…]]="",IFERROR(365*10*Tabelle1[[#This Row],[Abbaurate '[%/d']]]*Tabelle1[[#This Row],[Thickness '[mm']]]/Tabelle1[[#This Row],[Formfaktor]],""),"")</f>
        <v/>
      </c>
      <c r="AG237" s="99" t="str">
        <f>IF(OR(Tabelle1[[#This Row],[Nicht einbezogen weil…]]="",Tabelle1[[#This Row],[Nicht einbezogen weil…]]="nicht-natürlich"),IF(Tabelle1[[#This Row],[Formfaktor]]=2, 1,IF(Tabelle1[[#This Row],[Formfaktor]]=4,2,IF(Tabelle1[[#This Row],[Formfaktor]]=6,3,""))),"")</f>
        <v/>
      </c>
      <c r="AH23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3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37" s="71">
        <v>1</v>
      </c>
      <c r="AK23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37" s="3" t="s">
        <v>595</v>
      </c>
      <c r="AM237" s="3" t="s">
        <v>962</v>
      </c>
      <c r="AN237" s="3" t="s">
        <v>538</v>
      </c>
      <c r="AO237" s="3" t="s">
        <v>200</v>
      </c>
      <c r="AP237" s="12" t="s">
        <v>200</v>
      </c>
      <c r="AT237" s="10" t="s">
        <v>223</v>
      </c>
      <c r="AU237" s="13" t="s">
        <v>200</v>
      </c>
      <c r="AV237" s="14"/>
      <c r="AW237" s="17" t="s">
        <v>799</v>
      </c>
    </row>
    <row r="238" spans="2:49" ht="17.25" customHeight="1">
      <c r="B238" s="11" t="s">
        <v>77</v>
      </c>
      <c r="C238" s="19" t="s">
        <v>723</v>
      </c>
      <c r="D238" s="3" t="s">
        <v>200</v>
      </c>
      <c r="E238" s="10" t="s">
        <v>203</v>
      </c>
      <c r="F238" s="12" t="s">
        <v>721</v>
      </c>
      <c r="G238" s="17">
        <f>AVERAGE(0.05,0.055)</f>
        <v>5.2500000000000005E-2</v>
      </c>
      <c r="H238" s="23">
        <f>PI()*((0.002/2)^2)</f>
        <v>3.1415926535897929E-6</v>
      </c>
      <c r="I238" s="24">
        <f t="shared" si="14"/>
        <v>0.93799999999999994</v>
      </c>
      <c r="J238" s="3" t="s">
        <v>717</v>
      </c>
      <c r="K238" s="208" t="s">
        <v>719</v>
      </c>
      <c r="M238" s="3" t="s">
        <v>223</v>
      </c>
      <c r="N238" s="3" t="s">
        <v>3</v>
      </c>
      <c r="O238" s="3" t="s">
        <v>358</v>
      </c>
      <c r="P23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38" s="4">
        <v>58</v>
      </c>
      <c r="W238" s="19" t="s">
        <v>190</v>
      </c>
      <c r="Y238" s="4">
        <v>19</v>
      </c>
      <c r="Z238" s="4">
        <v>460</v>
      </c>
      <c r="AA238" s="5">
        <f t="shared" si="15"/>
        <v>4.1304347826086954E-2</v>
      </c>
      <c r="AB238" s="5"/>
      <c r="AC23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38" s="97" t="str">
        <f>IF(Tabelle1[[#This Row],[Nicht einbezogen weil…]]="",IFERROR(1000*Tabelle1[[#This Row],[Formfaktor]]/Tabelle1[[#This Row],[Thickness '[mm']]],""),"")</f>
        <v/>
      </c>
      <c r="AE238" s="98" t="str">
        <f>IF(Tabelle1[[#This Row],[Nicht einbezogen weil…]]="",IFERROR(Tabelle1[[#This Row],[specific surface '[m^2/m^3']]]/Tabelle1[[#This Row],[Density 
'[g/cm3']]]/1000000,""),"")</f>
        <v/>
      </c>
      <c r="AF238" s="97" t="str">
        <f>IF(Tabelle1[[#This Row],[Nicht einbezogen weil…]]="",IFERROR(365*10*Tabelle1[[#This Row],[Abbaurate '[%/d']]]*Tabelle1[[#This Row],[Thickness '[mm']]]/Tabelle1[[#This Row],[Formfaktor]],""),"")</f>
        <v/>
      </c>
      <c r="AG238" s="99" t="str">
        <f>IF(OR(Tabelle1[[#This Row],[Nicht einbezogen weil…]]="",Tabelle1[[#This Row],[Nicht einbezogen weil…]]="nicht-natürlich"),IF(Tabelle1[[#This Row],[Formfaktor]]=2, 1,IF(Tabelle1[[#This Row],[Formfaktor]]=4,2,IF(Tabelle1[[#This Row],[Formfaktor]]=6,3,""))),"")</f>
        <v/>
      </c>
      <c r="AH23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3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38" s="71">
        <v>1</v>
      </c>
      <c r="AK23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38" s="3" t="s">
        <v>595</v>
      </c>
      <c r="AM238" s="3" t="s">
        <v>962</v>
      </c>
      <c r="AN238" s="3" t="s">
        <v>538</v>
      </c>
      <c r="AO238" s="3" t="s">
        <v>200</v>
      </c>
      <c r="AP238" s="12" t="s">
        <v>200</v>
      </c>
      <c r="AT238" s="10" t="s">
        <v>223</v>
      </c>
      <c r="AU238" s="13" t="s">
        <v>200</v>
      </c>
      <c r="AV238" s="14"/>
      <c r="AW238" s="17" t="s">
        <v>799</v>
      </c>
    </row>
    <row r="239" spans="2:49" ht="17.25" customHeight="1">
      <c r="B239" s="11" t="s">
        <v>77</v>
      </c>
      <c r="C239" s="19" t="s">
        <v>724</v>
      </c>
      <c r="D239" s="3" t="s">
        <v>200</v>
      </c>
      <c r="E239" s="10" t="s">
        <v>203</v>
      </c>
      <c r="F239" s="12" t="s">
        <v>721</v>
      </c>
      <c r="G239" s="17">
        <f>AVERAGE(0.05,0.055)</f>
        <v>5.2500000000000005E-2</v>
      </c>
      <c r="H239" s="23">
        <f>PI()*((0.002/2)^2)</f>
        <v>3.1415926535897929E-6</v>
      </c>
      <c r="I239" s="24">
        <f t="shared" si="14"/>
        <v>0.93799999999999994</v>
      </c>
      <c r="J239" s="19" t="s">
        <v>717</v>
      </c>
      <c r="K239" s="208" t="s">
        <v>720</v>
      </c>
      <c r="M239" s="3" t="s">
        <v>223</v>
      </c>
      <c r="N239" s="19" t="s">
        <v>5</v>
      </c>
      <c r="O239" s="19" t="s">
        <v>358</v>
      </c>
      <c r="P239"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39" s="4">
        <v>25</v>
      </c>
      <c r="W239" s="19" t="s">
        <v>190</v>
      </c>
      <c r="Y239" s="4">
        <v>16</v>
      </c>
      <c r="Z239" s="4">
        <v>460</v>
      </c>
      <c r="AA239" s="5">
        <f t="shared" si="15"/>
        <v>3.4782608695652174E-2</v>
      </c>
      <c r="AB239" s="5"/>
      <c r="AC23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39" s="97" t="str">
        <f>IF(Tabelle1[[#This Row],[Nicht einbezogen weil…]]="",IFERROR(1000*Tabelle1[[#This Row],[Formfaktor]]/Tabelle1[[#This Row],[Thickness '[mm']]],""),"")</f>
        <v/>
      </c>
      <c r="AE239" s="98" t="str">
        <f>IF(Tabelle1[[#This Row],[Nicht einbezogen weil…]]="",IFERROR(Tabelle1[[#This Row],[specific surface '[m^2/m^3']]]/Tabelle1[[#This Row],[Density 
'[g/cm3']]]/1000000,""),"")</f>
        <v/>
      </c>
      <c r="AF239" s="97" t="str">
        <f>IF(Tabelle1[[#This Row],[Nicht einbezogen weil…]]="",IFERROR(365*10*Tabelle1[[#This Row],[Abbaurate '[%/d']]]*Tabelle1[[#This Row],[Thickness '[mm']]]/Tabelle1[[#This Row],[Formfaktor]],""),"")</f>
        <v/>
      </c>
      <c r="AG239" s="99" t="str">
        <f>IF(OR(Tabelle1[[#This Row],[Nicht einbezogen weil…]]="",Tabelle1[[#This Row],[Nicht einbezogen weil…]]="nicht-natürlich"),IF(Tabelle1[[#This Row],[Formfaktor]]=2, 1,IF(Tabelle1[[#This Row],[Formfaktor]]=4,2,IF(Tabelle1[[#This Row],[Formfaktor]]=6,3,""))),"")</f>
        <v/>
      </c>
      <c r="AH23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3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39" s="71">
        <v>1</v>
      </c>
      <c r="AK23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39" s="3" t="s">
        <v>595</v>
      </c>
      <c r="AM239" s="3" t="s">
        <v>962</v>
      </c>
      <c r="AN239" s="3" t="s">
        <v>538</v>
      </c>
      <c r="AO239" s="3" t="s">
        <v>200</v>
      </c>
      <c r="AP239" s="12" t="s">
        <v>200</v>
      </c>
      <c r="AT239" s="10" t="s">
        <v>223</v>
      </c>
      <c r="AU239" s="13" t="s">
        <v>200</v>
      </c>
      <c r="AV239" s="14"/>
      <c r="AW239" s="17" t="s">
        <v>799</v>
      </c>
    </row>
    <row r="240" spans="2:49" ht="17.25" customHeight="1">
      <c r="B240" s="11" t="s">
        <v>77</v>
      </c>
      <c r="C240" s="19" t="s">
        <v>724</v>
      </c>
      <c r="D240" s="3" t="s">
        <v>200</v>
      </c>
      <c r="E240" s="10" t="s">
        <v>203</v>
      </c>
      <c r="F240" s="12" t="s">
        <v>721</v>
      </c>
      <c r="G240" s="17">
        <f>AVERAGE(0.05,0.055)</f>
        <v>5.2500000000000005E-2</v>
      </c>
      <c r="H240" s="23">
        <f>PI()*((0.002/2)^2)</f>
        <v>3.1415926535897929E-6</v>
      </c>
      <c r="I240" s="24">
        <f t="shared" si="14"/>
        <v>0.93799999999999994</v>
      </c>
      <c r="J240" s="19" t="s">
        <v>717</v>
      </c>
      <c r="K240" s="208" t="s">
        <v>719</v>
      </c>
      <c r="M240" s="3" t="s">
        <v>223</v>
      </c>
      <c r="N240" s="3" t="s">
        <v>3</v>
      </c>
      <c r="O240" s="19" t="s">
        <v>358</v>
      </c>
      <c r="P240"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40" s="4">
        <v>58</v>
      </c>
      <c r="W240" s="19" t="s">
        <v>190</v>
      </c>
      <c r="Y240" s="4">
        <v>19</v>
      </c>
      <c r="Z240" s="4">
        <v>460</v>
      </c>
      <c r="AA240" s="5">
        <f t="shared" si="15"/>
        <v>4.1304347826086954E-2</v>
      </c>
      <c r="AB240" s="5"/>
      <c r="AC24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40" s="97" t="str">
        <f>IF(Tabelle1[[#This Row],[Nicht einbezogen weil…]]="",IFERROR(1000*Tabelle1[[#This Row],[Formfaktor]]/Tabelle1[[#This Row],[Thickness '[mm']]],""),"")</f>
        <v/>
      </c>
      <c r="AE240" s="98" t="str">
        <f>IF(Tabelle1[[#This Row],[Nicht einbezogen weil…]]="",IFERROR(Tabelle1[[#This Row],[specific surface '[m^2/m^3']]]/Tabelle1[[#This Row],[Density 
'[g/cm3']]]/1000000,""),"")</f>
        <v/>
      </c>
      <c r="AF240" s="97" t="str">
        <f>IF(Tabelle1[[#This Row],[Nicht einbezogen weil…]]="",IFERROR(365*10*Tabelle1[[#This Row],[Abbaurate '[%/d']]]*Tabelle1[[#This Row],[Thickness '[mm']]]/Tabelle1[[#This Row],[Formfaktor]],""),"")</f>
        <v/>
      </c>
      <c r="AG240" s="99" t="str">
        <f>IF(OR(Tabelle1[[#This Row],[Nicht einbezogen weil…]]="",Tabelle1[[#This Row],[Nicht einbezogen weil…]]="nicht-natürlich"),IF(Tabelle1[[#This Row],[Formfaktor]]=2, 1,IF(Tabelle1[[#This Row],[Formfaktor]]=4,2,IF(Tabelle1[[#This Row],[Formfaktor]]=6,3,""))),"")</f>
        <v/>
      </c>
      <c r="AH24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4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40" s="71">
        <v>1</v>
      </c>
      <c r="AK24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40" s="3" t="s">
        <v>595</v>
      </c>
      <c r="AM240" s="3" t="s">
        <v>962</v>
      </c>
      <c r="AN240" s="3" t="s">
        <v>538</v>
      </c>
      <c r="AO240" s="3" t="s">
        <v>200</v>
      </c>
      <c r="AP240" s="12" t="s">
        <v>200</v>
      </c>
      <c r="AT240" s="10" t="s">
        <v>223</v>
      </c>
      <c r="AU240" s="13" t="s">
        <v>200</v>
      </c>
      <c r="AV240" s="14"/>
      <c r="AW240" s="17" t="s">
        <v>799</v>
      </c>
    </row>
    <row r="241" spans="2:49" ht="17.25" customHeight="1">
      <c r="B241" s="329" t="s">
        <v>77</v>
      </c>
      <c r="C241" s="322" t="s">
        <v>921</v>
      </c>
      <c r="D241" s="3" t="s">
        <v>200</v>
      </c>
      <c r="E241" s="10" t="s">
        <v>205</v>
      </c>
      <c r="F241" s="3" t="s">
        <v>250</v>
      </c>
      <c r="G241" s="3" t="s">
        <v>341</v>
      </c>
      <c r="H241" s="3">
        <f>0.01*0.01</f>
        <v>1E-4</v>
      </c>
      <c r="I241" s="24">
        <f t="shared" si="14"/>
        <v>0.93799999999999994</v>
      </c>
      <c r="J241" s="3" t="s">
        <v>920</v>
      </c>
      <c r="K241" s="8" t="s">
        <v>913</v>
      </c>
      <c r="L241" s="3" t="s">
        <v>924</v>
      </c>
      <c r="M241" s="3" t="s">
        <v>301</v>
      </c>
      <c r="N241" s="3" t="s">
        <v>914</v>
      </c>
      <c r="O241" s="3" t="s">
        <v>23</v>
      </c>
      <c r="P24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41" s="4">
        <v>25</v>
      </c>
      <c r="V241" s="4" t="s">
        <v>734</v>
      </c>
      <c r="W241" s="3" t="s">
        <v>13</v>
      </c>
      <c r="Y241" s="4">
        <v>0.3</v>
      </c>
      <c r="Z241" s="4">
        <v>180</v>
      </c>
      <c r="AA241" s="5">
        <f t="shared" si="15"/>
        <v>1.6666666666666666E-3</v>
      </c>
      <c r="AB241" s="5"/>
      <c r="AC24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41" s="97" t="str">
        <f>IF(Tabelle1[[#This Row],[Nicht einbezogen weil…]]="",IFERROR(1000*Tabelle1[[#This Row],[Formfaktor]]/Tabelle1[[#This Row],[Thickness '[mm']]],""),"")</f>
        <v/>
      </c>
      <c r="AE241" s="98" t="str">
        <f>IF(Tabelle1[[#This Row],[Nicht einbezogen weil…]]="",IFERROR(Tabelle1[[#This Row],[specific surface '[m^2/m^3']]]/Tabelle1[[#This Row],[Density 
'[g/cm3']]]/1000000,""),"")</f>
        <v/>
      </c>
      <c r="AF241" s="97" t="str">
        <f>IF(Tabelle1[[#This Row],[Nicht einbezogen weil…]]="",IFERROR(365*10*Tabelle1[[#This Row],[Abbaurate '[%/d']]]*Tabelle1[[#This Row],[Thickness '[mm']]]/Tabelle1[[#This Row],[Formfaktor]],""),"")</f>
        <v/>
      </c>
      <c r="AG241" s="99" t="str">
        <f>IF(OR(Tabelle1[[#This Row],[Nicht einbezogen weil…]]="",Tabelle1[[#This Row],[Nicht einbezogen weil…]]="nicht-natürlich"),IF(Tabelle1[[#This Row],[Formfaktor]]=2, 1,IF(Tabelle1[[#This Row],[Formfaktor]]=4,2,IF(Tabelle1[[#This Row],[Formfaktor]]=6,3,""))),"")</f>
        <v/>
      </c>
      <c r="AH24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4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41" s="6">
        <v>1</v>
      </c>
      <c r="AK24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41" s="326" t="s">
        <v>919</v>
      </c>
      <c r="AM241" s="3" t="s">
        <v>855</v>
      </c>
      <c r="AN241" s="3" t="s">
        <v>824</v>
      </c>
      <c r="AO241" s="3" t="s">
        <v>200</v>
      </c>
      <c r="AP241" s="3" t="s">
        <v>200</v>
      </c>
      <c r="AU241" s="13" t="s">
        <v>200</v>
      </c>
      <c r="AW241" s="10" t="s">
        <v>775</v>
      </c>
    </row>
    <row r="242" spans="2:49" ht="17.25" customHeight="1">
      <c r="B242" s="329" t="s">
        <v>77</v>
      </c>
      <c r="C242" s="322" t="s">
        <v>922</v>
      </c>
      <c r="D242" s="3" t="s">
        <v>200</v>
      </c>
      <c r="E242" s="10" t="s">
        <v>205</v>
      </c>
      <c r="F242" s="3" t="s">
        <v>250</v>
      </c>
      <c r="G242" s="3" t="s">
        <v>341</v>
      </c>
      <c r="H242" s="3">
        <f>0.01*0.01</f>
        <v>1E-4</v>
      </c>
      <c r="I242" s="24">
        <f t="shared" si="14"/>
        <v>0.93799999999999994</v>
      </c>
      <c r="J242" s="3" t="s">
        <v>920</v>
      </c>
      <c r="K242" s="8" t="s">
        <v>913</v>
      </c>
      <c r="L242" s="3" t="s">
        <v>923</v>
      </c>
      <c r="M242" s="3" t="s">
        <v>301</v>
      </c>
      <c r="N242" s="3" t="s">
        <v>914</v>
      </c>
      <c r="O242" s="3" t="s">
        <v>23</v>
      </c>
      <c r="P24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42" s="4">
        <v>25</v>
      </c>
      <c r="V242" s="4" t="s">
        <v>734</v>
      </c>
      <c r="W242" s="3" t="s">
        <v>13</v>
      </c>
      <c r="Y242" s="4">
        <v>0.4</v>
      </c>
      <c r="Z242" s="4">
        <v>180</v>
      </c>
      <c r="AA242" s="5">
        <f t="shared" si="15"/>
        <v>2.2222222222222222E-3</v>
      </c>
      <c r="AB242" s="5"/>
      <c r="AC24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42" s="97" t="str">
        <f>IF(Tabelle1[[#This Row],[Nicht einbezogen weil…]]="",IFERROR(1000*Tabelle1[[#This Row],[Formfaktor]]/Tabelle1[[#This Row],[Thickness '[mm']]],""),"")</f>
        <v/>
      </c>
      <c r="AE242" s="98" t="str">
        <f>IF(Tabelle1[[#This Row],[Nicht einbezogen weil…]]="",IFERROR(Tabelle1[[#This Row],[specific surface '[m^2/m^3']]]/Tabelle1[[#This Row],[Density 
'[g/cm3']]]/1000000,""),"")</f>
        <v/>
      </c>
      <c r="AF242" s="97" t="str">
        <f>IF(Tabelle1[[#This Row],[Nicht einbezogen weil…]]="",IFERROR(365*10*Tabelle1[[#This Row],[Abbaurate '[%/d']]]*Tabelle1[[#This Row],[Thickness '[mm']]]/Tabelle1[[#This Row],[Formfaktor]],""),"")</f>
        <v/>
      </c>
      <c r="AG242" s="99" t="str">
        <f>IF(OR(Tabelle1[[#This Row],[Nicht einbezogen weil…]]="",Tabelle1[[#This Row],[Nicht einbezogen weil…]]="nicht-natürlich"),IF(Tabelle1[[#This Row],[Formfaktor]]=2, 1,IF(Tabelle1[[#This Row],[Formfaktor]]=4,2,IF(Tabelle1[[#This Row],[Formfaktor]]=6,3,""))),"")</f>
        <v/>
      </c>
      <c r="AH24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4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42" s="6">
        <v>1</v>
      </c>
      <c r="AK24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42" s="326" t="s">
        <v>919</v>
      </c>
      <c r="AM242" s="3" t="s">
        <v>855</v>
      </c>
      <c r="AN242" s="3" t="s">
        <v>824</v>
      </c>
      <c r="AO242" s="3" t="s">
        <v>200</v>
      </c>
      <c r="AP242" s="3" t="s">
        <v>200</v>
      </c>
      <c r="AU242" s="13" t="s">
        <v>200</v>
      </c>
      <c r="AW242" s="10" t="s">
        <v>775</v>
      </c>
    </row>
    <row r="243" spans="2:49" ht="17.25" customHeight="1">
      <c r="B243" s="329" t="s">
        <v>77</v>
      </c>
      <c r="C243" s="322" t="s">
        <v>921</v>
      </c>
      <c r="D243" s="3" t="s">
        <v>200</v>
      </c>
      <c r="E243" s="10" t="s">
        <v>205</v>
      </c>
      <c r="F243" s="3" t="s">
        <v>250</v>
      </c>
      <c r="G243" s="3" t="s">
        <v>341</v>
      </c>
      <c r="H243" s="3">
        <f>0.01*0.01</f>
        <v>1E-4</v>
      </c>
      <c r="I243" s="24">
        <f t="shared" si="14"/>
        <v>0.93799999999999994</v>
      </c>
      <c r="J243" s="3" t="s">
        <v>920</v>
      </c>
      <c r="K243" s="8" t="s">
        <v>913</v>
      </c>
      <c r="L243" s="3" t="s">
        <v>926</v>
      </c>
      <c r="M243" s="3" t="s">
        <v>301</v>
      </c>
      <c r="N243" s="3" t="s">
        <v>914</v>
      </c>
      <c r="O243" s="3" t="s">
        <v>23</v>
      </c>
      <c r="P24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43" s="4">
        <v>25</v>
      </c>
      <c r="V243" s="4" t="s">
        <v>734</v>
      </c>
      <c r="W243" s="3" t="s">
        <v>13</v>
      </c>
      <c r="Y243" s="4">
        <v>4.2</v>
      </c>
      <c r="Z243" s="4">
        <v>180</v>
      </c>
      <c r="AA243" s="5">
        <f t="shared" si="15"/>
        <v>2.3333333333333334E-2</v>
      </c>
      <c r="AB243" s="5"/>
      <c r="AC24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43" s="97" t="str">
        <f>IF(Tabelle1[[#This Row],[Nicht einbezogen weil…]]="",IFERROR(1000*Tabelle1[[#This Row],[Formfaktor]]/Tabelle1[[#This Row],[Thickness '[mm']]],""),"")</f>
        <v/>
      </c>
      <c r="AE243" s="98" t="str">
        <f>IF(Tabelle1[[#This Row],[Nicht einbezogen weil…]]="",IFERROR(Tabelle1[[#This Row],[specific surface '[m^2/m^3']]]/Tabelle1[[#This Row],[Density 
'[g/cm3']]]/1000000,""),"")</f>
        <v/>
      </c>
      <c r="AF243" s="97" t="str">
        <f>IF(Tabelle1[[#This Row],[Nicht einbezogen weil…]]="",IFERROR(365*10*Tabelle1[[#This Row],[Abbaurate '[%/d']]]*Tabelle1[[#This Row],[Thickness '[mm']]]/Tabelle1[[#This Row],[Formfaktor]],""),"")</f>
        <v/>
      </c>
      <c r="AG243" s="99" t="str">
        <f>IF(OR(Tabelle1[[#This Row],[Nicht einbezogen weil…]]="",Tabelle1[[#This Row],[Nicht einbezogen weil…]]="nicht-natürlich"),IF(Tabelle1[[#This Row],[Formfaktor]]=2, 1,IF(Tabelle1[[#This Row],[Formfaktor]]=4,2,IF(Tabelle1[[#This Row],[Formfaktor]]=6,3,""))),"")</f>
        <v/>
      </c>
      <c r="AH24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4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43" s="6">
        <v>1</v>
      </c>
      <c r="AK24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43" s="326" t="s">
        <v>919</v>
      </c>
      <c r="AM243" s="3" t="s">
        <v>855</v>
      </c>
      <c r="AN243" s="3" t="s">
        <v>824</v>
      </c>
      <c r="AO243" s="3" t="s">
        <v>200</v>
      </c>
      <c r="AP243" s="3" t="s">
        <v>200</v>
      </c>
      <c r="AU243" s="13" t="s">
        <v>200</v>
      </c>
      <c r="AW243" s="10" t="s">
        <v>775</v>
      </c>
    </row>
    <row r="244" spans="2:49" ht="17.25" customHeight="1">
      <c r="B244" s="329" t="s">
        <v>77</v>
      </c>
      <c r="C244" s="322" t="s">
        <v>922</v>
      </c>
      <c r="D244" s="3" t="s">
        <v>200</v>
      </c>
      <c r="E244" s="10" t="s">
        <v>205</v>
      </c>
      <c r="F244" s="3" t="s">
        <v>250</v>
      </c>
      <c r="G244" s="3" t="s">
        <v>341</v>
      </c>
      <c r="H244" s="3">
        <f>0.01*0.01</f>
        <v>1E-4</v>
      </c>
      <c r="I244" s="24">
        <f t="shared" si="14"/>
        <v>0.93799999999999994</v>
      </c>
      <c r="J244" s="3" t="s">
        <v>920</v>
      </c>
      <c r="K244" s="8" t="s">
        <v>913</v>
      </c>
      <c r="L244" s="3" t="s">
        <v>927</v>
      </c>
      <c r="M244" s="3" t="s">
        <v>301</v>
      </c>
      <c r="N244" s="3" t="s">
        <v>914</v>
      </c>
      <c r="O244" s="3" t="s">
        <v>23</v>
      </c>
      <c r="P24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44" s="4">
        <v>25</v>
      </c>
      <c r="V244" s="4" t="s">
        <v>734</v>
      </c>
      <c r="W244" s="3" t="s">
        <v>13</v>
      </c>
      <c r="Y244" s="4">
        <v>19</v>
      </c>
      <c r="Z244" s="4">
        <v>180</v>
      </c>
      <c r="AA244" s="5">
        <f t="shared" si="15"/>
        <v>0.10555555555555556</v>
      </c>
      <c r="AB244" s="5"/>
      <c r="AC24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44" s="97" t="str">
        <f>IF(Tabelle1[[#This Row],[Nicht einbezogen weil…]]="",IFERROR(1000*Tabelle1[[#This Row],[Formfaktor]]/Tabelle1[[#This Row],[Thickness '[mm']]],""),"")</f>
        <v/>
      </c>
      <c r="AE244" s="98" t="str">
        <f>IF(Tabelle1[[#This Row],[Nicht einbezogen weil…]]="",IFERROR(Tabelle1[[#This Row],[specific surface '[m^2/m^3']]]/Tabelle1[[#This Row],[Density 
'[g/cm3']]]/1000000,""),"")</f>
        <v/>
      </c>
      <c r="AF244" s="97" t="str">
        <f>IF(Tabelle1[[#This Row],[Nicht einbezogen weil…]]="",IFERROR(365*10*Tabelle1[[#This Row],[Abbaurate '[%/d']]]*Tabelle1[[#This Row],[Thickness '[mm']]]/Tabelle1[[#This Row],[Formfaktor]],""),"")</f>
        <v/>
      </c>
      <c r="AG244" s="99" t="str">
        <f>IF(OR(Tabelle1[[#This Row],[Nicht einbezogen weil…]]="",Tabelle1[[#This Row],[Nicht einbezogen weil…]]="nicht-natürlich"),IF(Tabelle1[[#This Row],[Formfaktor]]=2, 1,IF(Tabelle1[[#This Row],[Formfaktor]]=4,2,IF(Tabelle1[[#This Row],[Formfaktor]]=6,3,""))),"")</f>
        <v/>
      </c>
      <c r="AH24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4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44" s="6">
        <v>1</v>
      </c>
      <c r="AK24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44" s="326" t="s">
        <v>919</v>
      </c>
      <c r="AM244" s="3" t="s">
        <v>855</v>
      </c>
      <c r="AN244" s="3" t="s">
        <v>824</v>
      </c>
      <c r="AO244" s="3" t="s">
        <v>200</v>
      </c>
      <c r="AP244" s="3" t="s">
        <v>200</v>
      </c>
      <c r="AU244" s="13" t="s">
        <v>200</v>
      </c>
      <c r="AW244" s="10" t="s">
        <v>775</v>
      </c>
    </row>
    <row r="245" spans="2:49" ht="17.25" customHeight="1">
      <c r="B245" s="11" t="s">
        <v>77</v>
      </c>
      <c r="C245" s="3" t="s">
        <v>722</v>
      </c>
      <c r="D245" s="3" t="s">
        <v>200</v>
      </c>
      <c r="E245" s="10" t="s">
        <v>203</v>
      </c>
      <c r="F245" s="12" t="s">
        <v>721</v>
      </c>
      <c r="G245" s="17">
        <f>AVERAGE(0.03,0.035)</f>
        <v>3.2500000000000001E-2</v>
      </c>
      <c r="H245" s="23">
        <f>PI()*((0.002/2)^2)</f>
        <v>3.1415926535897929E-6</v>
      </c>
      <c r="I245" s="24">
        <f t="shared" si="14"/>
        <v>0.93799999999999994</v>
      </c>
      <c r="J245" s="19" t="s">
        <v>718</v>
      </c>
      <c r="K245" s="208" t="s">
        <v>719</v>
      </c>
      <c r="M245" s="3" t="s">
        <v>223</v>
      </c>
      <c r="N245" s="19" t="s">
        <v>5</v>
      </c>
      <c r="O245" s="19" t="s">
        <v>358</v>
      </c>
      <c r="P245"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45" s="4">
        <v>25</v>
      </c>
      <c r="W245" s="19" t="s">
        <v>190</v>
      </c>
      <c r="Y245" s="4">
        <v>7</v>
      </c>
      <c r="Z245" s="4">
        <v>460</v>
      </c>
      <c r="AA245" s="5">
        <f t="shared" si="15"/>
        <v>1.5217391304347827E-2</v>
      </c>
      <c r="AB245" s="5"/>
      <c r="AC24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45" s="97" t="str">
        <f>IF(Tabelle1[[#This Row],[Nicht einbezogen weil…]]="",IFERROR(1000*Tabelle1[[#This Row],[Formfaktor]]/Tabelle1[[#This Row],[Thickness '[mm']]],""),"")</f>
        <v/>
      </c>
      <c r="AE245" s="98" t="str">
        <f>IF(Tabelle1[[#This Row],[Nicht einbezogen weil…]]="",IFERROR(Tabelle1[[#This Row],[specific surface '[m^2/m^3']]]/Tabelle1[[#This Row],[Density 
'[g/cm3']]]/1000000,""),"")</f>
        <v/>
      </c>
      <c r="AF245" s="97" t="str">
        <f>IF(Tabelle1[[#This Row],[Nicht einbezogen weil…]]="",IFERROR(365*10*Tabelle1[[#This Row],[Abbaurate '[%/d']]]*Tabelle1[[#This Row],[Thickness '[mm']]]/Tabelle1[[#This Row],[Formfaktor]],""),"")</f>
        <v/>
      </c>
      <c r="AG245" s="99" t="str">
        <f>IF(OR(Tabelle1[[#This Row],[Nicht einbezogen weil…]]="",Tabelle1[[#This Row],[Nicht einbezogen weil…]]="nicht-natürlich"),IF(Tabelle1[[#This Row],[Formfaktor]]=2, 1,IF(Tabelle1[[#This Row],[Formfaktor]]=4,2,IF(Tabelle1[[#This Row],[Formfaktor]]=6,3,""))),"")</f>
        <v/>
      </c>
      <c r="AH24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4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45" s="71">
        <v>1</v>
      </c>
      <c r="AK24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45" s="3" t="s">
        <v>595</v>
      </c>
      <c r="AM245" s="3" t="s">
        <v>962</v>
      </c>
      <c r="AN245" s="3" t="s">
        <v>538</v>
      </c>
      <c r="AO245" s="3" t="s">
        <v>200</v>
      </c>
      <c r="AP245" s="12" t="s">
        <v>200</v>
      </c>
      <c r="AT245" s="10" t="s">
        <v>223</v>
      </c>
      <c r="AU245" s="13" t="s">
        <v>200</v>
      </c>
      <c r="AV245" s="14"/>
      <c r="AW245" s="17" t="s">
        <v>800</v>
      </c>
    </row>
    <row r="246" spans="2:49" ht="17.25" customHeight="1">
      <c r="B246" s="11" t="s">
        <v>77</v>
      </c>
      <c r="C246" s="3" t="s">
        <v>722</v>
      </c>
      <c r="D246" s="3" t="s">
        <v>200</v>
      </c>
      <c r="E246" s="10" t="s">
        <v>203</v>
      </c>
      <c r="F246" s="12" t="s">
        <v>721</v>
      </c>
      <c r="G246" s="17">
        <f>AVERAGE(0.03,0.035)</f>
        <v>3.2500000000000001E-2</v>
      </c>
      <c r="H246" s="23">
        <f>PI()*((0.002/2)^2)</f>
        <v>3.1415926535897929E-6</v>
      </c>
      <c r="I246" s="24">
        <f t="shared" si="14"/>
        <v>0.93799999999999994</v>
      </c>
      <c r="J246" s="19" t="s">
        <v>718</v>
      </c>
      <c r="K246" s="208" t="s">
        <v>720</v>
      </c>
      <c r="M246" s="3" t="s">
        <v>223</v>
      </c>
      <c r="N246" s="3" t="s">
        <v>3</v>
      </c>
      <c r="O246" s="19" t="s">
        <v>358</v>
      </c>
      <c r="P246"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46" s="4">
        <v>58</v>
      </c>
      <c r="W246" s="19" t="s">
        <v>190</v>
      </c>
      <c r="Y246" s="4">
        <v>23</v>
      </c>
      <c r="Z246" s="4">
        <v>460</v>
      </c>
      <c r="AA246" s="5">
        <f t="shared" si="15"/>
        <v>0.05</v>
      </c>
      <c r="AB246" s="5"/>
      <c r="AC24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46" s="97" t="str">
        <f>IF(Tabelle1[[#This Row],[Nicht einbezogen weil…]]="",IFERROR(1000*Tabelle1[[#This Row],[Formfaktor]]/Tabelle1[[#This Row],[Thickness '[mm']]],""),"")</f>
        <v/>
      </c>
      <c r="AE246" s="98" t="str">
        <f>IF(Tabelle1[[#This Row],[Nicht einbezogen weil…]]="",IFERROR(Tabelle1[[#This Row],[specific surface '[m^2/m^3']]]/Tabelle1[[#This Row],[Density 
'[g/cm3']]]/1000000,""),"")</f>
        <v/>
      </c>
      <c r="AF246" s="97" t="str">
        <f>IF(Tabelle1[[#This Row],[Nicht einbezogen weil…]]="",IFERROR(365*10*Tabelle1[[#This Row],[Abbaurate '[%/d']]]*Tabelle1[[#This Row],[Thickness '[mm']]]/Tabelle1[[#This Row],[Formfaktor]],""),"")</f>
        <v/>
      </c>
      <c r="AG246" s="99" t="str">
        <f>IF(OR(Tabelle1[[#This Row],[Nicht einbezogen weil…]]="",Tabelle1[[#This Row],[Nicht einbezogen weil…]]="nicht-natürlich"),IF(Tabelle1[[#This Row],[Formfaktor]]=2, 1,IF(Tabelle1[[#This Row],[Formfaktor]]=4,2,IF(Tabelle1[[#This Row],[Formfaktor]]=6,3,""))),"")</f>
        <v/>
      </c>
      <c r="AH24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4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46" s="71">
        <v>1</v>
      </c>
      <c r="AK24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46" s="3" t="s">
        <v>595</v>
      </c>
      <c r="AM246" s="3" t="s">
        <v>962</v>
      </c>
      <c r="AN246" s="3" t="s">
        <v>538</v>
      </c>
      <c r="AO246" s="3" t="s">
        <v>200</v>
      </c>
      <c r="AP246" s="12" t="s">
        <v>200</v>
      </c>
      <c r="AT246" s="10" t="s">
        <v>223</v>
      </c>
      <c r="AU246" s="13" t="s">
        <v>200</v>
      </c>
      <c r="AV246" s="14"/>
      <c r="AW246" s="17" t="s">
        <v>800</v>
      </c>
    </row>
    <row r="247" spans="2:49" ht="17.25" customHeight="1">
      <c r="B247" s="109" t="s">
        <v>1078</v>
      </c>
      <c r="C247" s="3" t="s">
        <v>1079</v>
      </c>
      <c r="D247" s="3" t="s">
        <v>223</v>
      </c>
      <c r="E247" s="10"/>
      <c r="F247" s="3" t="s">
        <v>198</v>
      </c>
      <c r="G247" s="3">
        <v>2.5000000000000001E-2</v>
      </c>
      <c r="H247" s="3" t="s">
        <v>341</v>
      </c>
      <c r="I247" s="3" t="s">
        <v>341</v>
      </c>
      <c r="K247" s="8" t="s">
        <v>229</v>
      </c>
      <c r="M247" s="3" t="s">
        <v>200</v>
      </c>
      <c r="N247" s="3" t="s">
        <v>1069</v>
      </c>
      <c r="O247" s="3" t="s">
        <v>23</v>
      </c>
      <c r="P24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47" s="3" t="s">
        <v>13</v>
      </c>
      <c r="X247" s="3" t="s">
        <v>1067</v>
      </c>
      <c r="Y247" s="4">
        <v>50</v>
      </c>
      <c r="Z247" s="4">
        <v>1564</v>
      </c>
      <c r="AA247" s="5">
        <f t="shared" si="15"/>
        <v>3.1969309462915603E-2</v>
      </c>
      <c r="AB247" s="5"/>
      <c r="AC24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47" s="5">
        <f>IF(Tabelle1[[#This Row],[Nicht einbezogen weil…]]="",IFERROR(1000*Tabelle1[[#This Row],[Formfaktor]]/Tabelle1[[#This Row],[Thickness '[mm']]],""),"")</f>
        <v>80000</v>
      </c>
      <c r="AE247" s="5" t="str">
        <f>IF(Tabelle1[[#This Row],[Nicht einbezogen weil…]]="",IFERROR(Tabelle1[[#This Row],[specific surface '[m^2/m^3']]]/Tabelle1[[#This Row],[Density 
'[g/cm3']]]/1000000,""),"")</f>
        <v/>
      </c>
      <c r="AF247" s="5">
        <f>IF(Tabelle1[[#This Row],[Nicht einbezogen weil…]]="",IFERROR(365*10*Tabelle1[[#This Row],[Abbaurate '[%/d']]]*Tabelle1[[#This Row],[Thickness '[mm']]]/Tabelle1[[#This Row],[Formfaktor]],""),"")</f>
        <v>1.4585997442455243</v>
      </c>
      <c r="AG247" s="328">
        <f>IF(OR(Tabelle1[[#This Row],[Nicht einbezogen weil…]]="",Tabelle1[[#This Row],[Nicht einbezogen weil…]]="nicht-natürlich"),IF(Tabelle1[[#This Row],[Formfaktor]]=2, 1,IF(Tabelle1[[#This Row],[Formfaktor]]=4,2,IF(Tabelle1[[#This Row],[Formfaktor]]=6,3,""))),"")</f>
        <v>1</v>
      </c>
      <c r="AH247" s="5">
        <f>IF(OR(Tabelle1[[#This Row],[Nicht einbezogen weil…]]="",Tabelle1[[#This Row],[Nicht einbezogen weil…]]="nicht-natürlich"),IFERROR(Tabelle1[[#This Row],[Thickness '[mm']]]/Tabelle1[[#This Row],[Dauer des Abbaus
'[Tage']]]*1000*0.5*365*(1-(1-Tabelle1[[#This Row],[Abbaurate '[%/d']]]/100*Tabelle1[[#This Row],[Dauer des Abbaus
'[Tage']]])^(1/Tabelle1[[#This Row],[Exponent]])),""),"")</f>
        <v>1.4585997442455243</v>
      </c>
      <c r="AI24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PBSe_Meerwasser_natürlich</v>
      </c>
      <c r="AJ247" s="6">
        <v>1</v>
      </c>
      <c r="AK24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47" s="3" t="s">
        <v>1080</v>
      </c>
      <c r="AN247" s="3" t="s">
        <v>1065</v>
      </c>
      <c r="AO247" s="3" t="s">
        <v>200</v>
      </c>
      <c r="AP247" s="3" t="s">
        <v>200</v>
      </c>
      <c r="AT247" s="10" t="s">
        <v>223</v>
      </c>
      <c r="AU247" s="13" t="s">
        <v>200</v>
      </c>
    </row>
    <row r="248" spans="2:49" ht="17.25" customHeight="1">
      <c r="B248" s="7" t="s">
        <v>77</v>
      </c>
      <c r="C248" s="3" t="s">
        <v>77</v>
      </c>
      <c r="D248" s="3" t="s">
        <v>223</v>
      </c>
      <c r="E248" s="10"/>
      <c r="F248" s="3" t="s">
        <v>288</v>
      </c>
      <c r="G248" s="3">
        <v>0.08</v>
      </c>
      <c r="H248" s="3">
        <f>0.15*0.02</f>
        <v>3.0000000000000001E-3</v>
      </c>
      <c r="I248" s="24">
        <f t="shared" ref="I248:I279" si="16">AVERAGE(0.9265,0.9495)</f>
        <v>0.93799999999999994</v>
      </c>
      <c r="M248" s="3" t="s">
        <v>223</v>
      </c>
      <c r="N248" s="3" t="s">
        <v>94</v>
      </c>
      <c r="O248" s="3" t="s">
        <v>23</v>
      </c>
      <c r="P24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48" s="4" t="s">
        <v>96</v>
      </c>
      <c r="R248" s="4" t="s">
        <v>100</v>
      </c>
      <c r="U248" s="4" t="s">
        <v>12</v>
      </c>
      <c r="W248" s="3" t="s">
        <v>13</v>
      </c>
      <c r="Y248" s="4">
        <v>0.2</v>
      </c>
      <c r="Z248" s="4">
        <v>365</v>
      </c>
      <c r="AA248" s="5">
        <f>0.6/Z248</f>
        <v>1.643835616438356E-3</v>
      </c>
      <c r="AB248" s="5"/>
      <c r="AC24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48" s="97" t="str">
        <f>IF(Tabelle1[[#This Row],[Nicht einbezogen weil…]]="",IFERROR(1000*Tabelle1[[#This Row],[Formfaktor]]/Tabelle1[[#This Row],[Thickness '[mm']]],""),"")</f>
        <v/>
      </c>
      <c r="AE248" s="98" t="str">
        <f>IF(Tabelle1[[#This Row],[Nicht einbezogen weil…]]="",IFERROR(Tabelle1[[#This Row],[specific surface '[m^2/m^3']]]/Tabelle1[[#This Row],[Density 
'[g/cm3']]]/1000000,""),"")</f>
        <v/>
      </c>
      <c r="AF248" s="97" t="str">
        <f>IF(Tabelle1[[#This Row],[Nicht einbezogen weil…]]="",IFERROR(365*10*Tabelle1[[#This Row],[Abbaurate '[%/d']]]*Tabelle1[[#This Row],[Thickness '[mm']]]/Tabelle1[[#This Row],[Formfaktor]],""),"")</f>
        <v/>
      </c>
      <c r="AG248" s="99">
        <f>IF(OR(Tabelle1[[#This Row],[Nicht einbezogen weil…]]="",Tabelle1[[#This Row],[Nicht einbezogen weil…]]="nicht-natürlich"),IF(Tabelle1[[#This Row],[Formfaktor]]=2, 1,IF(Tabelle1[[#This Row],[Formfaktor]]=4,2,IF(Tabelle1[[#This Row],[Formfaktor]]=6,3,""))),"")</f>
        <v>1</v>
      </c>
      <c r="AH248" s="97">
        <f>IF(OR(Tabelle1[[#This Row],[Nicht einbezogen weil…]]="",Tabelle1[[#This Row],[Nicht einbezogen weil…]]="nicht-natürlich"),IFERROR(Tabelle1[[#This Row],[Thickness '[mm']]]/Tabelle1[[#This Row],[Dauer des Abbaus
'[Tage']]]*1000*0.5*365*(1-(1-Tabelle1[[#This Row],[Abbaurate '[%/d']]]/100*Tabelle1[[#This Row],[Dauer des Abbaus
'[Tage']]])^(1/Tabelle1[[#This Row],[Exponent]])),""),"")</f>
        <v>0.24000000000000021</v>
      </c>
      <c r="AI24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PE_Meerwasser_nicht natürlich</v>
      </c>
      <c r="AJ248" s="71">
        <v>1</v>
      </c>
      <c r="AK24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248" s="3" t="s">
        <v>969</v>
      </c>
      <c r="AM248" s="3" t="s">
        <v>967</v>
      </c>
      <c r="AO248" s="3" t="s">
        <v>200</v>
      </c>
      <c r="AP248" s="3" t="s">
        <v>200</v>
      </c>
      <c r="AQ248" s="3" t="s">
        <v>200</v>
      </c>
      <c r="AR248" s="2" t="s">
        <v>260</v>
      </c>
      <c r="AS248" s="2" t="s">
        <v>297</v>
      </c>
      <c r="AT248" s="10" t="s">
        <v>200</v>
      </c>
      <c r="AU248" s="13" t="s">
        <v>200</v>
      </c>
      <c r="AW248" s="10" t="s">
        <v>775</v>
      </c>
    </row>
    <row r="249" spans="2:49" ht="17.25" customHeight="1">
      <c r="B249" s="7" t="s">
        <v>790</v>
      </c>
      <c r="C249" s="3" t="s">
        <v>379</v>
      </c>
      <c r="D249" s="3" t="s">
        <v>200</v>
      </c>
      <c r="E249" s="10" t="s">
        <v>203</v>
      </c>
      <c r="F249" s="3" t="s">
        <v>198</v>
      </c>
      <c r="G249" s="3">
        <v>3.5999999999999997E-2</v>
      </c>
      <c r="H249" s="3" t="s">
        <v>341</v>
      </c>
      <c r="I249" s="24">
        <f t="shared" si="16"/>
        <v>0.93799999999999994</v>
      </c>
      <c r="J249" s="3" t="s">
        <v>380</v>
      </c>
      <c r="M249" s="3" t="s">
        <v>200</v>
      </c>
      <c r="N249" s="3" t="s">
        <v>5</v>
      </c>
      <c r="O249" s="19" t="s">
        <v>358</v>
      </c>
      <c r="P249"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249" s="4" t="s">
        <v>12</v>
      </c>
      <c r="W249" s="3" t="s">
        <v>90</v>
      </c>
      <c r="Y249" s="4">
        <v>15</v>
      </c>
      <c r="Z249" s="4">
        <v>365</v>
      </c>
      <c r="AA249" s="5">
        <f t="shared" ref="AA249:AA271" si="17">Y249/Z249</f>
        <v>4.1095890410958902E-2</v>
      </c>
      <c r="AB249" s="5"/>
      <c r="AC24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49" s="97" t="str">
        <f>IF(Tabelle1[[#This Row],[Nicht einbezogen weil…]]="",IFERROR(1000*Tabelle1[[#This Row],[Formfaktor]]/Tabelle1[[#This Row],[Thickness '[mm']]],""),"")</f>
        <v/>
      </c>
      <c r="AE249" s="98" t="str">
        <f>IF(Tabelle1[[#This Row],[Nicht einbezogen weil…]]="",IFERROR(Tabelle1[[#This Row],[specific surface '[m^2/m^3']]]/Tabelle1[[#This Row],[Density 
'[g/cm3']]]/1000000,""),"")</f>
        <v/>
      </c>
      <c r="AF249" s="97" t="str">
        <f>IF(Tabelle1[[#This Row],[Nicht einbezogen weil…]]="",IFERROR(365*10*Tabelle1[[#This Row],[Abbaurate '[%/d']]]*Tabelle1[[#This Row],[Thickness '[mm']]]/Tabelle1[[#This Row],[Formfaktor]],""),"")</f>
        <v/>
      </c>
      <c r="AG249" s="99" t="str">
        <f>IF(OR(Tabelle1[[#This Row],[Nicht einbezogen weil…]]="",Tabelle1[[#This Row],[Nicht einbezogen weil…]]="nicht-natürlich"),IF(Tabelle1[[#This Row],[Formfaktor]]=2, 1,IF(Tabelle1[[#This Row],[Formfaktor]]=4,2,IF(Tabelle1[[#This Row],[Formfaktor]]=6,3,""))),"")</f>
        <v/>
      </c>
      <c r="AH24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4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49" s="71">
        <v>1</v>
      </c>
      <c r="AK24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49" s="3" t="s">
        <v>381</v>
      </c>
      <c r="AM249" s="3" t="s">
        <v>977</v>
      </c>
      <c r="AN249" s="3" t="s">
        <v>538</v>
      </c>
      <c r="AO249" s="3" t="s">
        <v>200</v>
      </c>
      <c r="AP249" s="3" t="s">
        <v>200</v>
      </c>
      <c r="AT249" s="10" t="s">
        <v>223</v>
      </c>
      <c r="AU249" s="13" t="s">
        <v>200</v>
      </c>
      <c r="AW249" s="10" t="s">
        <v>775</v>
      </c>
    </row>
    <row r="250" spans="2:49" ht="17.25" customHeight="1">
      <c r="B250" s="7" t="s">
        <v>790</v>
      </c>
      <c r="C250" s="3" t="s">
        <v>158</v>
      </c>
      <c r="D250" s="3" t="s">
        <v>200</v>
      </c>
      <c r="E250" s="10" t="s">
        <v>1127</v>
      </c>
      <c r="F250" s="3" t="s">
        <v>288</v>
      </c>
      <c r="G250" s="3">
        <v>0.04</v>
      </c>
      <c r="H250" s="3">
        <f>0.0254*0.1524</f>
        <v>3.8709600000000001E-3</v>
      </c>
      <c r="I250" s="24">
        <f t="shared" si="16"/>
        <v>0.93799999999999994</v>
      </c>
      <c r="J250" s="3" t="s">
        <v>201</v>
      </c>
      <c r="K250" s="8" t="s">
        <v>204</v>
      </c>
      <c r="M250" s="3" t="s">
        <v>223</v>
      </c>
      <c r="N250" s="3" t="s">
        <v>159</v>
      </c>
      <c r="O250" s="3" t="s">
        <v>358</v>
      </c>
      <c r="P25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250" s="4" t="s">
        <v>161</v>
      </c>
      <c r="W250" s="3" t="s">
        <v>13</v>
      </c>
      <c r="Y250" s="4">
        <v>36</v>
      </c>
      <c r="Z250" s="4">
        <f>17*30</f>
        <v>510</v>
      </c>
      <c r="AA250" s="5">
        <f t="shared" si="17"/>
        <v>7.0588235294117646E-2</v>
      </c>
      <c r="AB250" s="5"/>
      <c r="AC25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50" s="97" t="str">
        <f>IF(Tabelle1[[#This Row],[Nicht einbezogen weil…]]="",IFERROR(1000*Tabelle1[[#This Row],[Formfaktor]]/Tabelle1[[#This Row],[Thickness '[mm']]],""),"")</f>
        <v/>
      </c>
      <c r="AE250" s="98" t="str">
        <f>IF(Tabelle1[[#This Row],[Nicht einbezogen weil…]]="",IFERROR(Tabelle1[[#This Row],[specific surface '[m^2/m^3']]]/Tabelle1[[#This Row],[Density 
'[g/cm3']]]/1000000,""),"")</f>
        <v/>
      </c>
      <c r="AF250" s="97" t="str">
        <f>IF(Tabelle1[[#This Row],[Nicht einbezogen weil…]]="",IFERROR(365*10*Tabelle1[[#This Row],[Abbaurate '[%/d']]]*Tabelle1[[#This Row],[Thickness '[mm']]]/Tabelle1[[#This Row],[Formfaktor]],""),"")</f>
        <v/>
      </c>
      <c r="AG250" s="99" t="str">
        <f>IF(OR(Tabelle1[[#This Row],[Nicht einbezogen weil…]]="",Tabelle1[[#This Row],[Nicht einbezogen weil…]]="nicht-natürlich"),IF(Tabelle1[[#This Row],[Formfaktor]]=2, 1,IF(Tabelle1[[#This Row],[Formfaktor]]=4,2,IF(Tabelle1[[#This Row],[Formfaktor]]=6,3,""))),"")</f>
        <v/>
      </c>
      <c r="AH25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0" s="71">
        <v>1</v>
      </c>
      <c r="AK25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50" s="3" t="s">
        <v>160</v>
      </c>
      <c r="AO250" s="3" t="s">
        <v>235</v>
      </c>
      <c r="AP250" s="3" t="s">
        <v>235</v>
      </c>
      <c r="AR250" s="2" t="s">
        <v>200</v>
      </c>
      <c r="AT250" s="10" t="s">
        <v>223</v>
      </c>
      <c r="AU250" s="13" t="s">
        <v>200</v>
      </c>
      <c r="AW250" s="10" t="s">
        <v>775</v>
      </c>
    </row>
    <row r="251" spans="2:49" ht="17.25" customHeight="1">
      <c r="B251" s="7" t="s">
        <v>790</v>
      </c>
      <c r="C251" s="12" t="s">
        <v>567</v>
      </c>
      <c r="D251" s="3" t="s">
        <v>200</v>
      </c>
      <c r="E251" s="10" t="s">
        <v>1127</v>
      </c>
      <c r="F251" s="3" t="s">
        <v>288</v>
      </c>
      <c r="G251" s="3">
        <v>0.02</v>
      </c>
      <c r="H251" s="3">
        <f t="shared" ref="H251:H265" si="18">0.015*0.025</f>
        <v>3.7500000000000001E-4</v>
      </c>
      <c r="I251" s="24">
        <f t="shared" si="16"/>
        <v>0.93799999999999994</v>
      </c>
      <c r="J251" s="3" t="s">
        <v>439</v>
      </c>
      <c r="M251" s="3" t="s">
        <v>223</v>
      </c>
      <c r="N251" s="3" t="s">
        <v>442</v>
      </c>
      <c r="O251" s="3" t="s">
        <v>294</v>
      </c>
      <c r="P25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51" s="4">
        <v>21</v>
      </c>
      <c r="W251" s="3" t="s">
        <v>478</v>
      </c>
      <c r="X251" s="3" t="s">
        <v>407</v>
      </c>
      <c r="Y251" s="4">
        <v>18.260000000000002</v>
      </c>
      <c r="Z251" s="4">
        <f t="shared" ref="Z251:Z265" si="19">27*30</f>
        <v>810</v>
      </c>
      <c r="AA251" s="5">
        <f t="shared" si="17"/>
        <v>2.2543209876543211E-2</v>
      </c>
      <c r="AB251" s="5"/>
      <c r="AC25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51" s="97" t="str">
        <f>IF(Tabelle1[[#This Row],[Nicht einbezogen weil…]]="",IFERROR(1000*Tabelle1[[#This Row],[Formfaktor]]/Tabelle1[[#This Row],[Thickness '[mm']]],""),"")</f>
        <v/>
      </c>
      <c r="AE251" s="98" t="str">
        <f>IF(Tabelle1[[#This Row],[Nicht einbezogen weil…]]="",IFERROR(Tabelle1[[#This Row],[specific surface '[m^2/m^3']]]/Tabelle1[[#This Row],[Density 
'[g/cm3']]]/1000000,""),"")</f>
        <v/>
      </c>
      <c r="AF251" s="97" t="str">
        <f>IF(Tabelle1[[#This Row],[Nicht einbezogen weil…]]="",IFERROR(365*10*Tabelle1[[#This Row],[Abbaurate '[%/d']]]*Tabelle1[[#This Row],[Thickness '[mm']]]/Tabelle1[[#This Row],[Formfaktor]],""),"")</f>
        <v/>
      </c>
      <c r="AG251" s="99" t="str">
        <f>IF(OR(Tabelle1[[#This Row],[Nicht einbezogen weil…]]="",Tabelle1[[#This Row],[Nicht einbezogen weil…]]="nicht-natürlich"),IF(Tabelle1[[#This Row],[Formfaktor]]=2, 1,IF(Tabelle1[[#This Row],[Formfaktor]]=4,2,IF(Tabelle1[[#This Row],[Formfaktor]]=6,3,""))),"")</f>
        <v/>
      </c>
      <c r="AH25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1" s="71">
        <v>1</v>
      </c>
      <c r="AK25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51" s="3" t="s">
        <v>390</v>
      </c>
      <c r="AM251" s="3" t="s">
        <v>977</v>
      </c>
      <c r="AN251" s="3" t="s">
        <v>538</v>
      </c>
      <c r="AO251" s="3" t="s">
        <v>200</v>
      </c>
      <c r="AP251" s="3" t="s">
        <v>200</v>
      </c>
      <c r="AT251" s="10" t="s">
        <v>223</v>
      </c>
      <c r="AU251" s="13" t="s">
        <v>200</v>
      </c>
      <c r="AW251" s="10" t="s">
        <v>775</v>
      </c>
    </row>
    <row r="252" spans="2:49" ht="17.25" customHeight="1">
      <c r="B252" s="7" t="s">
        <v>790</v>
      </c>
      <c r="C252" s="12" t="s">
        <v>567</v>
      </c>
      <c r="D252" s="3" t="s">
        <v>200</v>
      </c>
      <c r="E252" s="10" t="s">
        <v>1127</v>
      </c>
      <c r="F252" s="3" t="s">
        <v>288</v>
      </c>
      <c r="G252" s="3">
        <v>0.02</v>
      </c>
      <c r="H252" s="3">
        <f t="shared" si="18"/>
        <v>3.7500000000000001E-4</v>
      </c>
      <c r="I252" s="24">
        <f t="shared" si="16"/>
        <v>0.93799999999999994</v>
      </c>
      <c r="J252" s="3" t="s">
        <v>439</v>
      </c>
      <c r="M252" s="3" t="s">
        <v>200</v>
      </c>
      <c r="N252" s="3" t="s">
        <v>444</v>
      </c>
      <c r="O252" s="3" t="s">
        <v>358</v>
      </c>
      <c r="P25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52" s="3" t="s">
        <v>478</v>
      </c>
      <c r="X252" s="3" t="s">
        <v>407</v>
      </c>
      <c r="Y252" s="4">
        <v>25.03</v>
      </c>
      <c r="Z252" s="4">
        <f t="shared" si="19"/>
        <v>810</v>
      </c>
      <c r="AA252" s="5">
        <f t="shared" si="17"/>
        <v>3.0901234567901236E-2</v>
      </c>
      <c r="AB252" s="5"/>
      <c r="AC25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52" s="97" t="str">
        <f>IF(Tabelle1[[#This Row],[Nicht einbezogen weil…]]="",IFERROR(1000*Tabelle1[[#This Row],[Formfaktor]]/Tabelle1[[#This Row],[Thickness '[mm']]],""),"")</f>
        <v/>
      </c>
      <c r="AE252" s="98" t="str">
        <f>IF(Tabelle1[[#This Row],[Nicht einbezogen weil…]]="",IFERROR(Tabelle1[[#This Row],[specific surface '[m^2/m^3']]]/Tabelle1[[#This Row],[Density 
'[g/cm3']]]/1000000,""),"")</f>
        <v/>
      </c>
      <c r="AF252" s="97" t="str">
        <f>IF(Tabelle1[[#This Row],[Nicht einbezogen weil…]]="",IFERROR(365*10*Tabelle1[[#This Row],[Abbaurate '[%/d']]]*Tabelle1[[#This Row],[Thickness '[mm']]]/Tabelle1[[#This Row],[Formfaktor]],""),"")</f>
        <v/>
      </c>
      <c r="AG252" s="99" t="str">
        <f>IF(OR(Tabelle1[[#This Row],[Nicht einbezogen weil…]]="",Tabelle1[[#This Row],[Nicht einbezogen weil…]]="nicht-natürlich"),IF(Tabelle1[[#This Row],[Formfaktor]]=2, 1,IF(Tabelle1[[#This Row],[Formfaktor]]=4,2,IF(Tabelle1[[#This Row],[Formfaktor]]=6,3,""))),"")</f>
        <v/>
      </c>
      <c r="AH25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2" s="71">
        <v>1</v>
      </c>
      <c r="AK25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52" s="3" t="s">
        <v>390</v>
      </c>
      <c r="AM252" s="3" t="s">
        <v>977</v>
      </c>
      <c r="AN252" s="3" t="s">
        <v>538</v>
      </c>
      <c r="AO252" s="3" t="s">
        <v>200</v>
      </c>
      <c r="AP252" s="3" t="s">
        <v>200</v>
      </c>
      <c r="AT252" s="10" t="s">
        <v>223</v>
      </c>
      <c r="AU252" s="13" t="s">
        <v>200</v>
      </c>
      <c r="AW252" s="10" t="s">
        <v>775</v>
      </c>
    </row>
    <row r="253" spans="2:49" ht="17.25" customHeight="1">
      <c r="B253" s="7" t="s">
        <v>790</v>
      </c>
      <c r="C253" s="12" t="s">
        <v>567</v>
      </c>
      <c r="D253" s="3" t="s">
        <v>200</v>
      </c>
      <c r="E253" s="10" t="s">
        <v>1127</v>
      </c>
      <c r="F253" s="3" t="s">
        <v>288</v>
      </c>
      <c r="G253" s="3">
        <v>0.02</v>
      </c>
      <c r="H253" s="3">
        <f t="shared" si="18"/>
        <v>3.7500000000000001E-4</v>
      </c>
      <c r="I253" s="24">
        <f t="shared" si="16"/>
        <v>0.93799999999999994</v>
      </c>
      <c r="J253" s="3" t="s">
        <v>439</v>
      </c>
      <c r="M253" s="3" t="s">
        <v>200</v>
      </c>
      <c r="N253" s="3" t="s">
        <v>443</v>
      </c>
      <c r="O253" s="3" t="s">
        <v>569</v>
      </c>
      <c r="P25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53" s="9" t="s">
        <v>453</v>
      </c>
      <c r="W253" s="3" t="s">
        <v>478</v>
      </c>
      <c r="X253" s="3" t="s">
        <v>407</v>
      </c>
      <c r="Y253" s="4">
        <v>100</v>
      </c>
      <c r="Z253" s="4">
        <f t="shared" si="19"/>
        <v>810</v>
      </c>
      <c r="AA253" s="5">
        <f t="shared" si="17"/>
        <v>0.12345679012345678</v>
      </c>
      <c r="AB253" s="5"/>
      <c r="AC25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53" s="97" t="str">
        <f>IF(Tabelle1[[#This Row],[Nicht einbezogen weil…]]="",IFERROR(1000*Tabelle1[[#This Row],[Formfaktor]]/Tabelle1[[#This Row],[Thickness '[mm']]],""),"")</f>
        <v/>
      </c>
      <c r="AE253" s="98" t="str">
        <f>IF(Tabelle1[[#This Row],[Nicht einbezogen weil…]]="",IFERROR(Tabelle1[[#This Row],[specific surface '[m^2/m^3']]]/Tabelle1[[#This Row],[Density 
'[g/cm3']]]/1000000,""),"")</f>
        <v/>
      </c>
      <c r="AF253" s="97" t="str">
        <f>IF(Tabelle1[[#This Row],[Nicht einbezogen weil…]]="",IFERROR(365*10*Tabelle1[[#This Row],[Abbaurate '[%/d']]]*Tabelle1[[#This Row],[Thickness '[mm']]]/Tabelle1[[#This Row],[Formfaktor]],""),"")</f>
        <v/>
      </c>
      <c r="AG253" s="99" t="str">
        <f>IF(OR(Tabelle1[[#This Row],[Nicht einbezogen weil…]]="",Tabelle1[[#This Row],[Nicht einbezogen weil…]]="nicht-natürlich"),IF(Tabelle1[[#This Row],[Formfaktor]]=2, 1,IF(Tabelle1[[#This Row],[Formfaktor]]=4,2,IF(Tabelle1[[#This Row],[Formfaktor]]=6,3,""))),"")</f>
        <v/>
      </c>
      <c r="AH25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3" s="71">
        <v>1</v>
      </c>
      <c r="AK25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53" s="3" t="s">
        <v>390</v>
      </c>
      <c r="AM253" s="3" t="s">
        <v>977</v>
      </c>
      <c r="AN253" s="3" t="s">
        <v>538</v>
      </c>
      <c r="AO253" s="3" t="s">
        <v>200</v>
      </c>
      <c r="AP253" s="3" t="s">
        <v>200</v>
      </c>
      <c r="AT253" s="10" t="s">
        <v>223</v>
      </c>
      <c r="AU253" s="13" t="s">
        <v>200</v>
      </c>
      <c r="AW253" s="10" t="s">
        <v>775</v>
      </c>
    </row>
    <row r="254" spans="2:49" ht="17.25" customHeight="1">
      <c r="B254" s="7" t="s">
        <v>790</v>
      </c>
      <c r="C254" s="12" t="s">
        <v>567</v>
      </c>
      <c r="D254" s="3" t="s">
        <v>200</v>
      </c>
      <c r="E254" s="10" t="s">
        <v>1127</v>
      </c>
      <c r="F254" s="3" t="s">
        <v>288</v>
      </c>
      <c r="G254" s="3">
        <v>0.02</v>
      </c>
      <c r="H254" s="3">
        <f t="shared" si="18"/>
        <v>3.7500000000000001E-4</v>
      </c>
      <c r="I254" s="24">
        <f t="shared" si="16"/>
        <v>0.93799999999999994</v>
      </c>
      <c r="J254" s="3" t="s">
        <v>439</v>
      </c>
      <c r="M254" s="3" t="s">
        <v>200</v>
      </c>
      <c r="N254" s="3" t="s">
        <v>445</v>
      </c>
      <c r="O254" s="3" t="s">
        <v>23</v>
      </c>
      <c r="P25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54" s="9" t="s">
        <v>448</v>
      </c>
      <c r="W254" s="3" t="s">
        <v>478</v>
      </c>
      <c r="X254" s="3" t="s">
        <v>407</v>
      </c>
      <c r="Y254" s="4">
        <v>23.1</v>
      </c>
      <c r="Z254" s="4">
        <f t="shared" si="19"/>
        <v>810</v>
      </c>
      <c r="AA254" s="5">
        <f t="shared" si="17"/>
        <v>2.8518518518518519E-2</v>
      </c>
      <c r="AB254" s="5"/>
      <c r="AC25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54" s="97" t="str">
        <f>IF(Tabelle1[[#This Row],[Nicht einbezogen weil…]]="",IFERROR(1000*Tabelle1[[#This Row],[Formfaktor]]/Tabelle1[[#This Row],[Thickness '[mm']]],""),"")</f>
        <v/>
      </c>
      <c r="AE254" s="98" t="str">
        <f>IF(Tabelle1[[#This Row],[Nicht einbezogen weil…]]="",IFERROR(Tabelle1[[#This Row],[specific surface '[m^2/m^3']]]/Tabelle1[[#This Row],[Density 
'[g/cm3']]]/1000000,""),"")</f>
        <v/>
      </c>
      <c r="AF254" s="97" t="str">
        <f>IF(Tabelle1[[#This Row],[Nicht einbezogen weil…]]="",IFERROR(365*10*Tabelle1[[#This Row],[Abbaurate '[%/d']]]*Tabelle1[[#This Row],[Thickness '[mm']]]/Tabelle1[[#This Row],[Formfaktor]],""),"")</f>
        <v/>
      </c>
      <c r="AG254" s="99" t="str">
        <f>IF(OR(Tabelle1[[#This Row],[Nicht einbezogen weil…]]="",Tabelle1[[#This Row],[Nicht einbezogen weil…]]="nicht-natürlich"),IF(Tabelle1[[#This Row],[Formfaktor]]=2, 1,IF(Tabelle1[[#This Row],[Formfaktor]]=4,2,IF(Tabelle1[[#This Row],[Formfaktor]]=6,3,""))),"")</f>
        <v/>
      </c>
      <c r="AH25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4" s="71">
        <v>1</v>
      </c>
      <c r="AK25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54" s="3" t="s">
        <v>390</v>
      </c>
      <c r="AM254" s="3" t="s">
        <v>977</v>
      </c>
      <c r="AN254" s="3" t="s">
        <v>538</v>
      </c>
      <c r="AO254" s="3" t="s">
        <v>200</v>
      </c>
      <c r="AP254" s="3" t="s">
        <v>200</v>
      </c>
      <c r="AT254" s="10" t="s">
        <v>223</v>
      </c>
      <c r="AU254" s="13" t="s">
        <v>200</v>
      </c>
      <c r="AW254" s="10" t="s">
        <v>775</v>
      </c>
    </row>
    <row r="255" spans="2:49" ht="17.25" customHeight="1">
      <c r="B255" s="7" t="s">
        <v>790</v>
      </c>
      <c r="C255" s="12" t="s">
        <v>568</v>
      </c>
      <c r="D255" s="3" t="s">
        <v>200</v>
      </c>
      <c r="E255" s="10" t="s">
        <v>1127</v>
      </c>
      <c r="F255" s="3" t="s">
        <v>288</v>
      </c>
      <c r="G255" s="3">
        <v>0.03</v>
      </c>
      <c r="H255" s="3">
        <f t="shared" si="18"/>
        <v>3.7500000000000001E-4</v>
      </c>
      <c r="I255" s="24">
        <f t="shared" si="16"/>
        <v>0.93799999999999994</v>
      </c>
      <c r="J255" s="3" t="s">
        <v>440</v>
      </c>
      <c r="M255" s="3" t="s">
        <v>223</v>
      </c>
      <c r="N255" s="3" t="s">
        <v>442</v>
      </c>
      <c r="O255" s="3" t="s">
        <v>294</v>
      </c>
      <c r="P25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55" s="4">
        <v>21</v>
      </c>
      <c r="W255" s="3" t="s">
        <v>478</v>
      </c>
      <c r="X255" s="3" t="s">
        <v>407</v>
      </c>
      <c r="Y255" s="4">
        <v>11.48</v>
      </c>
      <c r="Z255" s="4">
        <f t="shared" si="19"/>
        <v>810</v>
      </c>
      <c r="AA255" s="5">
        <f t="shared" si="17"/>
        <v>1.4172839506172839E-2</v>
      </c>
      <c r="AB255" s="5"/>
      <c r="AC25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55" s="97" t="str">
        <f>IF(Tabelle1[[#This Row],[Nicht einbezogen weil…]]="",IFERROR(1000*Tabelle1[[#This Row],[Formfaktor]]/Tabelle1[[#This Row],[Thickness '[mm']]],""),"")</f>
        <v/>
      </c>
      <c r="AE255" s="98" t="str">
        <f>IF(Tabelle1[[#This Row],[Nicht einbezogen weil…]]="",IFERROR(Tabelle1[[#This Row],[specific surface '[m^2/m^3']]]/Tabelle1[[#This Row],[Density 
'[g/cm3']]]/1000000,""),"")</f>
        <v/>
      </c>
      <c r="AF255" s="97" t="str">
        <f>IF(Tabelle1[[#This Row],[Nicht einbezogen weil…]]="",IFERROR(365*10*Tabelle1[[#This Row],[Abbaurate '[%/d']]]*Tabelle1[[#This Row],[Thickness '[mm']]]/Tabelle1[[#This Row],[Formfaktor]],""),"")</f>
        <v/>
      </c>
      <c r="AG255" s="99" t="str">
        <f>IF(OR(Tabelle1[[#This Row],[Nicht einbezogen weil…]]="",Tabelle1[[#This Row],[Nicht einbezogen weil…]]="nicht-natürlich"),IF(Tabelle1[[#This Row],[Formfaktor]]=2, 1,IF(Tabelle1[[#This Row],[Formfaktor]]=4,2,IF(Tabelle1[[#This Row],[Formfaktor]]=6,3,""))),"")</f>
        <v/>
      </c>
      <c r="AH25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5" s="71">
        <v>1</v>
      </c>
      <c r="AK25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55" s="3" t="s">
        <v>390</v>
      </c>
      <c r="AM255" s="3" t="s">
        <v>977</v>
      </c>
      <c r="AN255" s="3" t="s">
        <v>538</v>
      </c>
      <c r="AO255" s="3" t="s">
        <v>200</v>
      </c>
      <c r="AP255" s="3" t="s">
        <v>200</v>
      </c>
      <c r="AT255" s="10" t="s">
        <v>223</v>
      </c>
      <c r="AU255" s="13" t="s">
        <v>200</v>
      </c>
      <c r="AW255" s="10" t="s">
        <v>775</v>
      </c>
    </row>
    <row r="256" spans="2:49" ht="17.25" customHeight="1">
      <c r="B256" s="7" t="s">
        <v>790</v>
      </c>
      <c r="C256" s="12" t="s">
        <v>568</v>
      </c>
      <c r="D256" s="3" t="s">
        <v>200</v>
      </c>
      <c r="E256" s="10" t="s">
        <v>1127</v>
      </c>
      <c r="F256" s="3" t="s">
        <v>288</v>
      </c>
      <c r="G256" s="3">
        <v>0.03</v>
      </c>
      <c r="H256" s="3">
        <f t="shared" si="18"/>
        <v>3.7500000000000001E-4</v>
      </c>
      <c r="I256" s="24">
        <f t="shared" si="16"/>
        <v>0.93799999999999994</v>
      </c>
      <c r="J256" s="3" t="s">
        <v>440</v>
      </c>
      <c r="M256" s="3" t="s">
        <v>200</v>
      </c>
      <c r="N256" s="3" t="s">
        <v>444</v>
      </c>
      <c r="O256" s="3" t="s">
        <v>358</v>
      </c>
      <c r="P25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56" s="3" t="s">
        <v>478</v>
      </c>
      <c r="X256" s="3" t="s">
        <v>407</v>
      </c>
      <c r="Y256" s="4">
        <v>68.86</v>
      </c>
      <c r="Z256" s="4">
        <f t="shared" si="19"/>
        <v>810</v>
      </c>
      <c r="AA256" s="5">
        <f t="shared" si="17"/>
        <v>8.5012345679012349E-2</v>
      </c>
      <c r="AB256" s="5"/>
      <c r="AC25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56" s="97" t="str">
        <f>IF(Tabelle1[[#This Row],[Nicht einbezogen weil…]]="",IFERROR(1000*Tabelle1[[#This Row],[Formfaktor]]/Tabelle1[[#This Row],[Thickness '[mm']]],""),"")</f>
        <v/>
      </c>
      <c r="AE256" s="98" t="str">
        <f>IF(Tabelle1[[#This Row],[Nicht einbezogen weil…]]="",IFERROR(Tabelle1[[#This Row],[specific surface '[m^2/m^3']]]/Tabelle1[[#This Row],[Density 
'[g/cm3']]]/1000000,""),"")</f>
        <v/>
      </c>
      <c r="AF256" s="97" t="str">
        <f>IF(Tabelle1[[#This Row],[Nicht einbezogen weil…]]="",IFERROR(365*10*Tabelle1[[#This Row],[Abbaurate '[%/d']]]*Tabelle1[[#This Row],[Thickness '[mm']]]/Tabelle1[[#This Row],[Formfaktor]],""),"")</f>
        <v/>
      </c>
      <c r="AG256" s="99" t="str">
        <f>IF(OR(Tabelle1[[#This Row],[Nicht einbezogen weil…]]="",Tabelle1[[#This Row],[Nicht einbezogen weil…]]="nicht-natürlich"),IF(Tabelle1[[#This Row],[Formfaktor]]=2, 1,IF(Tabelle1[[#This Row],[Formfaktor]]=4,2,IF(Tabelle1[[#This Row],[Formfaktor]]=6,3,""))),"")</f>
        <v/>
      </c>
      <c r="AH25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6" s="71">
        <v>1</v>
      </c>
      <c r="AK25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56" s="3" t="s">
        <v>390</v>
      </c>
      <c r="AM256" s="3" t="s">
        <v>977</v>
      </c>
      <c r="AN256" s="3" t="s">
        <v>538</v>
      </c>
      <c r="AO256" s="3" t="s">
        <v>200</v>
      </c>
      <c r="AP256" s="3" t="s">
        <v>200</v>
      </c>
      <c r="AT256" s="10" t="s">
        <v>223</v>
      </c>
      <c r="AU256" s="13" t="s">
        <v>200</v>
      </c>
      <c r="AW256" s="10" t="s">
        <v>775</v>
      </c>
    </row>
    <row r="257" spans="2:49" ht="17.25" customHeight="1">
      <c r="B257" s="7" t="s">
        <v>790</v>
      </c>
      <c r="C257" s="12" t="s">
        <v>568</v>
      </c>
      <c r="D257" s="3" t="s">
        <v>200</v>
      </c>
      <c r="E257" s="10" t="s">
        <v>1127</v>
      </c>
      <c r="F257" s="3" t="s">
        <v>288</v>
      </c>
      <c r="G257" s="3">
        <v>0.03</v>
      </c>
      <c r="H257" s="3">
        <f t="shared" si="18"/>
        <v>3.7500000000000001E-4</v>
      </c>
      <c r="I257" s="24">
        <f t="shared" si="16"/>
        <v>0.93799999999999994</v>
      </c>
      <c r="J257" s="3" t="s">
        <v>440</v>
      </c>
      <c r="M257" s="3" t="s">
        <v>200</v>
      </c>
      <c r="N257" s="3" t="s">
        <v>443</v>
      </c>
      <c r="O257" s="3" t="s">
        <v>569</v>
      </c>
      <c r="P25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57" s="9" t="s">
        <v>454</v>
      </c>
      <c r="W257" s="3" t="s">
        <v>478</v>
      </c>
      <c r="X257" s="3" t="s">
        <v>407</v>
      </c>
      <c r="Y257" s="4">
        <v>100</v>
      </c>
      <c r="Z257" s="4">
        <f t="shared" si="19"/>
        <v>810</v>
      </c>
      <c r="AA257" s="5">
        <f t="shared" si="17"/>
        <v>0.12345679012345678</v>
      </c>
      <c r="AB257" s="5"/>
      <c r="AC25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57" s="97" t="str">
        <f>IF(Tabelle1[[#This Row],[Nicht einbezogen weil…]]="",IFERROR(1000*Tabelle1[[#This Row],[Formfaktor]]/Tabelle1[[#This Row],[Thickness '[mm']]],""),"")</f>
        <v/>
      </c>
      <c r="AE257" s="98" t="str">
        <f>IF(Tabelle1[[#This Row],[Nicht einbezogen weil…]]="",IFERROR(Tabelle1[[#This Row],[specific surface '[m^2/m^3']]]/Tabelle1[[#This Row],[Density 
'[g/cm3']]]/1000000,""),"")</f>
        <v/>
      </c>
      <c r="AF257" s="97" t="str">
        <f>IF(Tabelle1[[#This Row],[Nicht einbezogen weil…]]="",IFERROR(365*10*Tabelle1[[#This Row],[Abbaurate '[%/d']]]*Tabelle1[[#This Row],[Thickness '[mm']]]/Tabelle1[[#This Row],[Formfaktor]],""),"")</f>
        <v/>
      </c>
      <c r="AG257" s="99" t="str">
        <f>IF(OR(Tabelle1[[#This Row],[Nicht einbezogen weil…]]="",Tabelle1[[#This Row],[Nicht einbezogen weil…]]="nicht-natürlich"),IF(Tabelle1[[#This Row],[Formfaktor]]=2, 1,IF(Tabelle1[[#This Row],[Formfaktor]]=4,2,IF(Tabelle1[[#This Row],[Formfaktor]]=6,3,""))),"")</f>
        <v/>
      </c>
      <c r="AH25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7" s="71">
        <v>1</v>
      </c>
      <c r="AK25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57" s="3" t="s">
        <v>390</v>
      </c>
      <c r="AM257" s="3" t="s">
        <v>977</v>
      </c>
      <c r="AN257" s="3" t="s">
        <v>538</v>
      </c>
      <c r="AO257" s="3" t="s">
        <v>200</v>
      </c>
      <c r="AP257" s="3" t="s">
        <v>200</v>
      </c>
      <c r="AT257" s="10" t="s">
        <v>223</v>
      </c>
      <c r="AU257" s="13" t="s">
        <v>200</v>
      </c>
      <c r="AW257" s="10" t="s">
        <v>775</v>
      </c>
    </row>
    <row r="258" spans="2:49" ht="17.25" customHeight="1">
      <c r="B258" s="7" t="s">
        <v>790</v>
      </c>
      <c r="C258" s="12" t="s">
        <v>568</v>
      </c>
      <c r="D258" s="3" t="s">
        <v>200</v>
      </c>
      <c r="E258" s="10" t="s">
        <v>1127</v>
      </c>
      <c r="F258" s="3" t="s">
        <v>288</v>
      </c>
      <c r="G258" s="3">
        <v>0.03</v>
      </c>
      <c r="H258" s="3">
        <f t="shared" si="18"/>
        <v>3.7500000000000001E-4</v>
      </c>
      <c r="I258" s="24">
        <f t="shared" si="16"/>
        <v>0.93799999999999994</v>
      </c>
      <c r="J258" s="3" t="s">
        <v>440</v>
      </c>
      <c r="M258" s="3" t="s">
        <v>200</v>
      </c>
      <c r="N258" s="3" t="s">
        <v>445</v>
      </c>
      <c r="O258" s="3" t="s">
        <v>23</v>
      </c>
      <c r="P25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58" s="9" t="s">
        <v>449</v>
      </c>
      <c r="W258" s="3" t="s">
        <v>478</v>
      </c>
      <c r="X258" s="3" t="s">
        <v>407</v>
      </c>
      <c r="Y258" s="4">
        <v>100</v>
      </c>
      <c r="Z258" s="4">
        <f t="shared" si="19"/>
        <v>810</v>
      </c>
      <c r="AA258" s="5">
        <f t="shared" si="17"/>
        <v>0.12345679012345678</v>
      </c>
      <c r="AB258" s="5"/>
      <c r="AC25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58" s="97" t="str">
        <f>IF(Tabelle1[[#This Row],[Nicht einbezogen weil…]]="",IFERROR(1000*Tabelle1[[#This Row],[Formfaktor]]/Tabelle1[[#This Row],[Thickness '[mm']]],""),"")</f>
        <v/>
      </c>
      <c r="AE258" s="98" t="str">
        <f>IF(Tabelle1[[#This Row],[Nicht einbezogen weil…]]="",IFERROR(Tabelle1[[#This Row],[specific surface '[m^2/m^3']]]/Tabelle1[[#This Row],[Density 
'[g/cm3']]]/1000000,""),"")</f>
        <v/>
      </c>
      <c r="AF258" s="97" t="str">
        <f>IF(Tabelle1[[#This Row],[Nicht einbezogen weil…]]="",IFERROR(365*10*Tabelle1[[#This Row],[Abbaurate '[%/d']]]*Tabelle1[[#This Row],[Thickness '[mm']]]/Tabelle1[[#This Row],[Formfaktor]],""),"")</f>
        <v/>
      </c>
      <c r="AG258" s="99" t="str">
        <f>IF(OR(Tabelle1[[#This Row],[Nicht einbezogen weil…]]="",Tabelle1[[#This Row],[Nicht einbezogen weil…]]="nicht-natürlich"),IF(Tabelle1[[#This Row],[Formfaktor]]=2, 1,IF(Tabelle1[[#This Row],[Formfaktor]]=4,2,IF(Tabelle1[[#This Row],[Formfaktor]]=6,3,""))),"")</f>
        <v/>
      </c>
      <c r="AH25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8" s="71">
        <v>1</v>
      </c>
      <c r="AK25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58" s="3" t="s">
        <v>390</v>
      </c>
      <c r="AM258" s="3" t="s">
        <v>977</v>
      </c>
      <c r="AN258" s="3" t="s">
        <v>538</v>
      </c>
      <c r="AO258" s="3" t="s">
        <v>200</v>
      </c>
      <c r="AP258" s="3" t="s">
        <v>200</v>
      </c>
      <c r="AT258" s="10" t="s">
        <v>223</v>
      </c>
      <c r="AU258" s="13" t="s">
        <v>200</v>
      </c>
      <c r="AW258" s="10" t="s">
        <v>775</v>
      </c>
    </row>
    <row r="259" spans="2:49" ht="17.25" customHeight="1">
      <c r="B259" s="7" t="s">
        <v>790</v>
      </c>
      <c r="C259" s="12" t="s">
        <v>566</v>
      </c>
      <c r="D259" s="3" t="s">
        <v>200</v>
      </c>
      <c r="E259" s="10" t="s">
        <v>1127</v>
      </c>
      <c r="F259" s="3" t="s">
        <v>288</v>
      </c>
      <c r="G259" s="3">
        <v>0.02</v>
      </c>
      <c r="H259" s="3">
        <f t="shared" si="18"/>
        <v>3.7500000000000001E-4</v>
      </c>
      <c r="I259" s="24">
        <f t="shared" si="16"/>
        <v>0.93799999999999994</v>
      </c>
      <c r="J259" s="3" t="s">
        <v>437</v>
      </c>
      <c r="M259" s="3" t="s">
        <v>200</v>
      </c>
      <c r="N259" s="3" t="s">
        <v>444</v>
      </c>
      <c r="O259" s="3" t="s">
        <v>358</v>
      </c>
      <c r="P25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59" s="3" t="s">
        <v>478</v>
      </c>
      <c r="X259" s="3" t="s">
        <v>407</v>
      </c>
      <c r="Y259" s="4">
        <v>75.459999999999994</v>
      </c>
      <c r="Z259" s="4">
        <f t="shared" si="19"/>
        <v>810</v>
      </c>
      <c r="AA259" s="5">
        <f t="shared" si="17"/>
        <v>9.316049382716049E-2</v>
      </c>
      <c r="AB259" s="5"/>
      <c r="AC25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59" s="97" t="str">
        <f>IF(Tabelle1[[#This Row],[Nicht einbezogen weil…]]="",IFERROR(1000*Tabelle1[[#This Row],[Formfaktor]]/Tabelle1[[#This Row],[Thickness '[mm']]],""),"")</f>
        <v/>
      </c>
      <c r="AE259" s="98" t="str">
        <f>IF(Tabelle1[[#This Row],[Nicht einbezogen weil…]]="",IFERROR(Tabelle1[[#This Row],[specific surface '[m^2/m^3']]]/Tabelle1[[#This Row],[Density 
'[g/cm3']]]/1000000,""),"")</f>
        <v/>
      </c>
      <c r="AF259" s="97" t="str">
        <f>IF(Tabelle1[[#This Row],[Nicht einbezogen weil…]]="",IFERROR(365*10*Tabelle1[[#This Row],[Abbaurate '[%/d']]]*Tabelle1[[#This Row],[Thickness '[mm']]]/Tabelle1[[#This Row],[Formfaktor]],""),"")</f>
        <v/>
      </c>
      <c r="AG259" s="99" t="str">
        <f>IF(OR(Tabelle1[[#This Row],[Nicht einbezogen weil…]]="",Tabelle1[[#This Row],[Nicht einbezogen weil…]]="nicht-natürlich"),IF(Tabelle1[[#This Row],[Formfaktor]]=2, 1,IF(Tabelle1[[#This Row],[Formfaktor]]=4,2,IF(Tabelle1[[#This Row],[Formfaktor]]=6,3,""))),"")</f>
        <v/>
      </c>
      <c r="AH25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5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59" s="71">
        <v>1</v>
      </c>
      <c r="AK25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59" s="3" t="s">
        <v>390</v>
      </c>
      <c r="AM259" s="3" t="s">
        <v>977</v>
      </c>
      <c r="AN259" s="3" t="s">
        <v>538</v>
      </c>
      <c r="AO259" s="3" t="s">
        <v>200</v>
      </c>
      <c r="AP259" s="3" t="s">
        <v>200</v>
      </c>
      <c r="AT259" s="10" t="s">
        <v>223</v>
      </c>
      <c r="AU259" s="13" t="s">
        <v>200</v>
      </c>
      <c r="AW259" s="10" t="s">
        <v>775</v>
      </c>
    </row>
    <row r="260" spans="2:49" ht="17.25" customHeight="1">
      <c r="B260" s="7" t="s">
        <v>790</v>
      </c>
      <c r="C260" s="12" t="s">
        <v>566</v>
      </c>
      <c r="D260" s="3" t="s">
        <v>200</v>
      </c>
      <c r="E260" s="10" t="s">
        <v>1127</v>
      </c>
      <c r="F260" s="3" t="s">
        <v>288</v>
      </c>
      <c r="G260" s="3">
        <v>0.04</v>
      </c>
      <c r="H260" s="3">
        <f t="shared" si="18"/>
        <v>3.7500000000000001E-4</v>
      </c>
      <c r="I260" s="24">
        <f t="shared" si="16"/>
        <v>0.93799999999999994</v>
      </c>
      <c r="J260" s="3" t="s">
        <v>438</v>
      </c>
      <c r="M260" s="3" t="s">
        <v>200</v>
      </c>
      <c r="N260" s="3" t="s">
        <v>444</v>
      </c>
      <c r="O260" s="3" t="s">
        <v>358</v>
      </c>
      <c r="P26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60" s="3" t="s">
        <v>478</v>
      </c>
      <c r="X260" s="3" t="s">
        <v>407</v>
      </c>
      <c r="Y260" s="4">
        <v>57.19</v>
      </c>
      <c r="Z260" s="4">
        <f t="shared" si="19"/>
        <v>810</v>
      </c>
      <c r="AA260" s="5">
        <f t="shared" si="17"/>
        <v>7.0604938271604939E-2</v>
      </c>
      <c r="AB260" s="5"/>
      <c r="AC26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60" s="97" t="str">
        <f>IF(Tabelle1[[#This Row],[Nicht einbezogen weil…]]="",IFERROR(1000*Tabelle1[[#This Row],[Formfaktor]]/Tabelle1[[#This Row],[Thickness '[mm']]],""),"")</f>
        <v/>
      </c>
      <c r="AE260" s="98" t="str">
        <f>IF(Tabelle1[[#This Row],[Nicht einbezogen weil…]]="",IFERROR(Tabelle1[[#This Row],[specific surface '[m^2/m^3']]]/Tabelle1[[#This Row],[Density 
'[g/cm3']]]/1000000,""),"")</f>
        <v/>
      </c>
      <c r="AF260" s="97" t="str">
        <f>IF(Tabelle1[[#This Row],[Nicht einbezogen weil…]]="",IFERROR(365*10*Tabelle1[[#This Row],[Abbaurate '[%/d']]]*Tabelle1[[#This Row],[Thickness '[mm']]]/Tabelle1[[#This Row],[Formfaktor]],""),"")</f>
        <v/>
      </c>
      <c r="AG260" s="99" t="str">
        <f>IF(OR(Tabelle1[[#This Row],[Nicht einbezogen weil…]]="",Tabelle1[[#This Row],[Nicht einbezogen weil…]]="nicht-natürlich"),IF(Tabelle1[[#This Row],[Formfaktor]]=2, 1,IF(Tabelle1[[#This Row],[Formfaktor]]=4,2,IF(Tabelle1[[#This Row],[Formfaktor]]=6,3,""))),"")</f>
        <v/>
      </c>
      <c r="AH26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0" s="71">
        <v>1</v>
      </c>
      <c r="AK26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0" s="3" t="s">
        <v>390</v>
      </c>
      <c r="AM260" s="3" t="s">
        <v>977</v>
      </c>
      <c r="AN260" s="3" t="s">
        <v>538</v>
      </c>
      <c r="AO260" s="3" t="s">
        <v>200</v>
      </c>
      <c r="AP260" s="3" t="s">
        <v>200</v>
      </c>
      <c r="AT260" s="10" t="s">
        <v>223</v>
      </c>
      <c r="AU260" s="13" t="s">
        <v>200</v>
      </c>
      <c r="AW260" s="10" t="s">
        <v>775</v>
      </c>
    </row>
    <row r="261" spans="2:49" ht="17.25" customHeight="1">
      <c r="B261" s="7" t="s">
        <v>790</v>
      </c>
      <c r="C261" s="12" t="s">
        <v>566</v>
      </c>
      <c r="D261" s="3" t="s">
        <v>200</v>
      </c>
      <c r="E261" s="10" t="s">
        <v>1127</v>
      </c>
      <c r="F261" s="3" t="s">
        <v>288</v>
      </c>
      <c r="G261" s="3">
        <v>0.02</v>
      </c>
      <c r="H261" s="3">
        <f t="shared" si="18"/>
        <v>3.7500000000000001E-4</v>
      </c>
      <c r="I261" s="24">
        <f t="shared" si="16"/>
        <v>0.93799999999999994</v>
      </c>
      <c r="J261" s="3" t="s">
        <v>437</v>
      </c>
      <c r="M261" s="3" t="s">
        <v>200</v>
      </c>
      <c r="N261" s="3" t="s">
        <v>443</v>
      </c>
      <c r="O261" s="3" t="s">
        <v>569</v>
      </c>
      <c r="P26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61" s="9" t="s">
        <v>451</v>
      </c>
      <c r="W261" s="3" t="s">
        <v>478</v>
      </c>
      <c r="X261" s="3" t="s">
        <v>407</v>
      </c>
      <c r="Y261" s="4">
        <v>100</v>
      </c>
      <c r="Z261" s="4">
        <f t="shared" si="19"/>
        <v>810</v>
      </c>
      <c r="AA261" s="5">
        <f t="shared" si="17"/>
        <v>0.12345679012345678</v>
      </c>
      <c r="AB261" s="5"/>
      <c r="AC26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61" s="97" t="str">
        <f>IF(Tabelle1[[#This Row],[Nicht einbezogen weil…]]="",IFERROR(1000*Tabelle1[[#This Row],[Formfaktor]]/Tabelle1[[#This Row],[Thickness '[mm']]],""),"")</f>
        <v/>
      </c>
      <c r="AE261" s="98" t="str">
        <f>IF(Tabelle1[[#This Row],[Nicht einbezogen weil…]]="",IFERROR(Tabelle1[[#This Row],[specific surface '[m^2/m^3']]]/Tabelle1[[#This Row],[Density 
'[g/cm3']]]/1000000,""),"")</f>
        <v/>
      </c>
      <c r="AF261" s="97" t="str">
        <f>IF(Tabelle1[[#This Row],[Nicht einbezogen weil…]]="",IFERROR(365*10*Tabelle1[[#This Row],[Abbaurate '[%/d']]]*Tabelle1[[#This Row],[Thickness '[mm']]]/Tabelle1[[#This Row],[Formfaktor]],""),"")</f>
        <v/>
      </c>
      <c r="AG261" s="99" t="str">
        <f>IF(OR(Tabelle1[[#This Row],[Nicht einbezogen weil…]]="",Tabelle1[[#This Row],[Nicht einbezogen weil…]]="nicht-natürlich"),IF(Tabelle1[[#This Row],[Formfaktor]]=2, 1,IF(Tabelle1[[#This Row],[Formfaktor]]=4,2,IF(Tabelle1[[#This Row],[Formfaktor]]=6,3,""))),"")</f>
        <v/>
      </c>
      <c r="AH26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1" s="71">
        <v>1</v>
      </c>
      <c r="AK26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1" s="3" t="s">
        <v>390</v>
      </c>
      <c r="AM261" s="3" t="s">
        <v>977</v>
      </c>
      <c r="AN261" s="3" t="s">
        <v>538</v>
      </c>
      <c r="AO261" s="3" t="s">
        <v>200</v>
      </c>
      <c r="AP261" s="3" t="s">
        <v>200</v>
      </c>
      <c r="AT261" s="10" t="s">
        <v>223</v>
      </c>
      <c r="AU261" s="13" t="s">
        <v>200</v>
      </c>
      <c r="AW261" s="10" t="s">
        <v>775</v>
      </c>
    </row>
    <row r="262" spans="2:49" ht="17.25" customHeight="1">
      <c r="B262" s="7" t="s">
        <v>790</v>
      </c>
      <c r="C262" s="12" t="s">
        <v>566</v>
      </c>
      <c r="D262" s="3" t="s">
        <v>200</v>
      </c>
      <c r="E262" s="10" t="s">
        <v>1127</v>
      </c>
      <c r="F262" s="3" t="s">
        <v>288</v>
      </c>
      <c r="G262" s="3">
        <v>0.02</v>
      </c>
      <c r="H262" s="3">
        <f t="shared" si="18"/>
        <v>3.7500000000000001E-4</v>
      </c>
      <c r="I262" s="24">
        <f t="shared" si="16"/>
        <v>0.93799999999999994</v>
      </c>
      <c r="J262" s="3" t="s">
        <v>437</v>
      </c>
      <c r="M262" s="3" t="s">
        <v>223</v>
      </c>
      <c r="N262" s="3" t="s">
        <v>442</v>
      </c>
      <c r="O262" s="3" t="s">
        <v>294</v>
      </c>
      <c r="P26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62" s="4">
        <v>21</v>
      </c>
      <c r="W262" s="3" t="s">
        <v>478</v>
      </c>
      <c r="X262" s="3" t="s">
        <v>407</v>
      </c>
      <c r="Y262" s="4">
        <v>29.09</v>
      </c>
      <c r="Z262" s="4">
        <f t="shared" si="19"/>
        <v>810</v>
      </c>
      <c r="AA262" s="5">
        <f t="shared" si="17"/>
        <v>3.591358024691358E-2</v>
      </c>
      <c r="AB262" s="5"/>
      <c r="AC26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62" s="97" t="str">
        <f>IF(Tabelle1[[#This Row],[Nicht einbezogen weil…]]="",IFERROR(1000*Tabelle1[[#This Row],[Formfaktor]]/Tabelle1[[#This Row],[Thickness '[mm']]],""),"")</f>
        <v/>
      </c>
      <c r="AE262" s="98" t="str">
        <f>IF(Tabelle1[[#This Row],[Nicht einbezogen weil…]]="",IFERROR(Tabelle1[[#This Row],[specific surface '[m^2/m^3']]]/Tabelle1[[#This Row],[Density 
'[g/cm3']]]/1000000,""),"")</f>
        <v/>
      </c>
      <c r="AF262" s="97" t="str">
        <f>IF(Tabelle1[[#This Row],[Nicht einbezogen weil…]]="",IFERROR(365*10*Tabelle1[[#This Row],[Abbaurate '[%/d']]]*Tabelle1[[#This Row],[Thickness '[mm']]]/Tabelle1[[#This Row],[Formfaktor]],""),"")</f>
        <v/>
      </c>
      <c r="AG262" s="99" t="str">
        <f>IF(OR(Tabelle1[[#This Row],[Nicht einbezogen weil…]]="",Tabelle1[[#This Row],[Nicht einbezogen weil…]]="nicht-natürlich"),IF(Tabelle1[[#This Row],[Formfaktor]]=2, 1,IF(Tabelle1[[#This Row],[Formfaktor]]=4,2,IF(Tabelle1[[#This Row],[Formfaktor]]=6,3,""))),"")</f>
        <v/>
      </c>
      <c r="AH26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2" s="71">
        <v>1</v>
      </c>
      <c r="AK26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2" s="3" t="s">
        <v>390</v>
      </c>
      <c r="AM262" s="3" t="s">
        <v>977</v>
      </c>
      <c r="AN262" s="3" t="s">
        <v>538</v>
      </c>
      <c r="AO262" s="3" t="s">
        <v>200</v>
      </c>
      <c r="AP262" s="3" t="s">
        <v>200</v>
      </c>
      <c r="AT262" s="10" t="s">
        <v>223</v>
      </c>
      <c r="AU262" s="13" t="s">
        <v>200</v>
      </c>
      <c r="AW262" s="10" t="s">
        <v>775</v>
      </c>
    </row>
    <row r="263" spans="2:49" ht="17.25" customHeight="1">
      <c r="B263" s="7" t="s">
        <v>790</v>
      </c>
      <c r="C263" s="12" t="s">
        <v>566</v>
      </c>
      <c r="D263" s="3" t="s">
        <v>200</v>
      </c>
      <c r="E263" s="10" t="s">
        <v>1127</v>
      </c>
      <c r="F263" s="3" t="s">
        <v>288</v>
      </c>
      <c r="G263" s="3">
        <v>0.04</v>
      </c>
      <c r="H263" s="3">
        <f t="shared" si="18"/>
        <v>3.7500000000000001E-4</v>
      </c>
      <c r="I263" s="24">
        <f t="shared" si="16"/>
        <v>0.93799999999999994</v>
      </c>
      <c r="J263" s="3" t="s">
        <v>438</v>
      </c>
      <c r="M263" s="3" t="s">
        <v>223</v>
      </c>
      <c r="N263" s="3" t="s">
        <v>442</v>
      </c>
      <c r="O263" s="3" t="s">
        <v>294</v>
      </c>
      <c r="P26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63" s="4">
        <v>21</v>
      </c>
      <c r="W263" s="3" t="s">
        <v>478</v>
      </c>
      <c r="X263" s="3" t="s">
        <v>407</v>
      </c>
      <c r="Y263" s="4">
        <v>19.07</v>
      </c>
      <c r="Z263" s="4">
        <f t="shared" si="19"/>
        <v>810</v>
      </c>
      <c r="AA263" s="5">
        <f t="shared" si="17"/>
        <v>2.3543209876543209E-2</v>
      </c>
      <c r="AB263" s="5"/>
      <c r="AC26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63" s="97" t="str">
        <f>IF(Tabelle1[[#This Row],[Nicht einbezogen weil…]]="",IFERROR(1000*Tabelle1[[#This Row],[Formfaktor]]/Tabelle1[[#This Row],[Thickness '[mm']]],""),"")</f>
        <v/>
      </c>
      <c r="AE263" s="98" t="str">
        <f>IF(Tabelle1[[#This Row],[Nicht einbezogen weil…]]="",IFERROR(Tabelle1[[#This Row],[specific surface '[m^2/m^3']]]/Tabelle1[[#This Row],[Density 
'[g/cm3']]]/1000000,""),"")</f>
        <v/>
      </c>
      <c r="AF263" s="97" t="str">
        <f>IF(Tabelle1[[#This Row],[Nicht einbezogen weil…]]="",IFERROR(365*10*Tabelle1[[#This Row],[Abbaurate '[%/d']]]*Tabelle1[[#This Row],[Thickness '[mm']]]/Tabelle1[[#This Row],[Formfaktor]],""),"")</f>
        <v/>
      </c>
      <c r="AG263" s="99" t="str">
        <f>IF(OR(Tabelle1[[#This Row],[Nicht einbezogen weil…]]="",Tabelle1[[#This Row],[Nicht einbezogen weil…]]="nicht-natürlich"),IF(Tabelle1[[#This Row],[Formfaktor]]=2, 1,IF(Tabelle1[[#This Row],[Formfaktor]]=4,2,IF(Tabelle1[[#This Row],[Formfaktor]]=6,3,""))),"")</f>
        <v/>
      </c>
      <c r="AH26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3" s="71">
        <v>1</v>
      </c>
      <c r="AK26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3" s="3" t="s">
        <v>390</v>
      </c>
      <c r="AM263" s="3" t="s">
        <v>977</v>
      </c>
      <c r="AN263" s="3" t="s">
        <v>538</v>
      </c>
      <c r="AO263" s="3" t="s">
        <v>200</v>
      </c>
      <c r="AP263" s="3" t="s">
        <v>200</v>
      </c>
      <c r="AT263" s="10" t="s">
        <v>223</v>
      </c>
      <c r="AU263" s="13" t="s">
        <v>200</v>
      </c>
      <c r="AW263" s="10" t="s">
        <v>775</v>
      </c>
    </row>
    <row r="264" spans="2:49" ht="17.25" customHeight="1">
      <c r="B264" s="7" t="s">
        <v>790</v>
      </c>
      <c r="C264" s="12" t="s">
        <v>566</v>
      </c>
      <c r="D264" s="3" t="s">
        <v>200</v>
      </c>
      <c r="E264" s="10" t="s">
        <v>1127</v>
      </c>
      <c r="F264" s="3" t="s">
        <v>288</v>
      </c>
      <c r="G264" s="3">
        <v>0.04</v>
      </c>
      <c r="H264" s="3">
        <f t="shared" si="18"/>
        <v>3.7500000000000001E-4</v>
      </c>
      <c r="I264" s="24">
        <f t="shared" si="16"/>
        <v>0.93799999999999994</v>
      </c>
      <c r="J264" s="3" t="s">
        <v>438</v>
      </c>
      <c r="M264" s="3" t="s">
        <v>200</v>
      </c>
      <c r="N264" s="3" t="s">
        <v>443</v>
      </c>
      <c r="O264" s="3" t="s">
        <v>569</v>
      </c>
      <c r="P26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64" s="9" t="s">
        <v>452</v>
      </c>
      <c r="W264" s="3" t="s">
        <v>478</v>
      </c>
      <c r="X264" s="3" t="s">
        <v>407</v>
      </c>
      <c r="Y264" s="4">
        <v>100</v>
      </c>
      <c r="Z264" s="4">
        <f t="shared" si="19"/>
        <v>810</v>
      </c>
      <c r="AA264" s="5">
        <f t="shared" si="17"/>
        <v>0.12345679012345678</v>
      </c>
      <c r="AB264" s="5"/>
      <c r="AC26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64" s="97" t="str">
        <f>IF(Tabelle1[[#This Row],[Nicht einbezogen weil…]]="",IFERROR(1000*Tabelle1[[#This Row],[Formfaktor]]/Tabelle1[[#This Row],[Thickness '[mm']]],""),"")</f>
        <v/>
      </c>
      <c r="AE264" s="98" t="str">
        <f>IF(Tabelle1[[#This Row],[Nicht einbezogen weil…]]="",IFERROR(Tabelle1[[#This Row],[specific surface '[m^2/m^3']]]/Tabelle1[[#This Row],[Density 
'[g/cm3']]]/1000000,""),"")</f>
        <v/>
      </c>
      <c r="AF264" s="97" t="str">
        <f>IF(Tabelle1[[#This Row],[Nicht einbezogen weil…]]="",IFERROR(365*10*Tabelle1[[#This Row],[Abbaurate '[%/d']]]*Tabelle1[[#This Row],[Thickness '[mm']]]/Tabelle1[[#This Row],[Formfaktor]],""),"")</f>
        <v/>
      </c>
      <c r="AG264" s="99" t="str">
        <f>IF(OR(Tabelle1[[#This Row],[Nicht einbezogen weil…]]="",Tabelle1[[#This Row],[Nicht einbezogen weil…]]="nicht-natürlich"),IF(Tabelle1[[#This Row],[Formfaktor]]=2, 1,IF(Tabelle1[[#This Row],[Formfaktor]]=4,2,IF(Tabelle1[[#This Row],[Formfaktor]]=6,3,""))),"")</f>
        <v/>
      </c>
      <c r="AH26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4" s="71">
        <v>1</v>
      </c>
      <c r="AK26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4" s="3" t="s">
        <v>390</v>
      </c>
      <c r="AM264" s="3" t="s">
        <v>977</v>
      </c>
      <c r="AN264" s="3" t="s">
        <v>538</v>
      </c>
      <c r="AO264" s="3" t="s">
        <v>200</v>
      </c>
      <c r="AP264" s="3" t="s">
        <v>200</v>
      </c>
      <c r="AT264" s="10" t="s">
        <v>223</v>
      </c>
      <c r="AU264" s="13" t="s">
        <v>200</v>
      </c>
      <c r="AW264" s="10" t="s">
        <v>775</v>
      </c>
    </row>
    <row r="265" spans="2:49" ht="17.25" customHeight="1">
      <c r="B265" s="7" t="s">
        <v>790</v>
      </c>
      <c r="C265" s="12" t="s">
        <v>566</v>
      </c>
      <c r="D265" s="3" t="s">
        <v>200</v>
      </c>
      <c r="E265" s="10" t="s">
        <v>1127</v>
      </c>
      <c r="F265" s="3" t="s">
        <v>288</v>
      </c>
      <c r="G265" s="3">
        <v>0.02</v>
      </c>
      <c r="H265" s="3">
        <f t="shared" si="18"/>
        <v>3.7500000000000001E-4</v>
      </c>
      <c r="I265" s="24">
        <f t="shared" si="16"/>
        <v>0.93799999999999994</v>
      </c>
      <c r="J265" s="3" t="s">
        <v>437</v>
      </c>
      <c r="M265" s="3" t="s">
        <v>200</v>
      </c>
      <c r="N265" s="3" t="s">
        <v>445</v>
      </c>
      <c r="O265" s="3" t="s">
        <v>23</v>
      </c>
      <c r="P26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65" s="9" t="s">
        <v>446</v>
      </c>
      <c r="W265" s="3" t="s">
        <v>478</v>
      </c>
      <c r="X265" s="3" t="s">
        <v>407</v>
      </c>
      <c r="Y265" s="4">
        <v>59.85</v>
      </c>
      <c r="Z265" s="4">
        <f t="shared" si="19"/>
        <v>810</v>
      </c>
      <c r="AA265" s="5">
        <f t="shared" si="17"/>
        <v>7.3888888888888893E-2</v>
      </c>
      <c r="AB265" s="5"/>
      <c r="AC26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65" s="97" t="str">
        <f>IF(Tabelle1[[#This Row],[Nicht einbezogen weil…]]="",IFERROR(1000*Tabelle1[[#This Row],[Formfaktor]]/Tabelle1[[#This Row],[Thickness '[mm']]],""),"")</f>
        <v/>
      </c>
      <c r="AE265" s="98" t="str">
        <f>IF(Tabelle1[[#This Row],[Nicht einbezogen weil…]]="",IFERROR(Tabelle1[[#This Row],[specific surface '[m^2/m^3']]]/Tabelle1[[#This Row],[Density 
'[g/cm3']]]/1000000,""),"")</f>
        <v/>
      </c>
      <c r="AF265" s="97" t="str">
        <f>IF(Tabelle1[[#This Row],[Nicht einbezogen weil…]]="",IFERROR(365*10*Tabelle1[[#This Row],[Abbaurate '[%/d']]]*Tabelle1[[#This Row],[Thickness '[mm']]]/Tabelle1[[#This Row],[Formfaktor]],""),"")</f>
        <v/>
      </c>
      <c r="AG265" s="99" t="str">
        <f>IF(OR(Tabelle1[[#This Row],[Nicht einbezogen weil…]]="",Tabelle1[[#This Row],[Nicht einbezogen weil…]]="nicht-natürlich"),IF(Tabelle1[[#This Row],[Formfaktor]]=2, 1,IF(Tabelle1[[#This Row],[Formfaktor]]=4,2,IF(Tabelle1[[#This Row],[Formfaktor]]=6,3,""))),"")</f>
        <v/>
      </c>
      <c r="AH26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5" s="71">
        <v>1</v>
      </c>
      <c r="AK26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5" s="3" t="s">
        <v>390</v>
      </c>
      <c r="AM265" s="3" t="s">
        <v>977</v>
      </c>
      <c r="AN265" s="3" t="s">
        <v>538</v>
      </c>
      <c r="AO265" s="3" t="s">
        <v>200</v>
      </c>
      <c r="AP265" s="3" t="s">
        <v>200</v>
      </c>
      <c r="AT265" s="10" t="s">
        <v>223</v>
      </c>
      <c r="AU265" s="13" t="s">
        <v>200</v>
      </c>
      <c r="AW265" s="10" t="s">
        <v>775</v>
      </c>
    </row>
    <row r="266" spans="2:49" ht="17.25" customHeight="1">
      <c r="B266" s="7" t="s">
        <v>790</v>
      </c>
      <c r="C266" s="3" t="s">
        <v>163</v>
      </c>
      <c r="D266" s="3" t="s">
        <v>200</v>
      </c>
      <c r="E266" s="10" t="s">
        <v>1127</v>
      </c>
      <c r="F266" s="3" t="s">
        <v>578</v>
      </c>
      <c r="G266" s="3">
        <v>3.5999999999999997E-2</v>
      </c>
      <c r="H266" s="3">
        <f>0.0004*0.00015</f>
        <v>5.9999999999999995E-8</v>
      </c>
      <c r="I266" s="24">
        <f t="shared" si="16"/>
        <v>0.93799999999999994</v>
      </c>
      <c r="J266" s="3" t="s">
        <v>580</v>
      </c>
      <c r="K266" s="3"/>
      <c r="M266" s="3" t="s">
        <v>301</v>
      </c>
      <c r="N266" s="3" t="s">
        <v>577</v>
      </c>
      <c r="O266" s="3" t="s">
        <v>358</v>
      </c>
      <c r="P26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266" s="9">
        <v>7.5</v>
      </c>
      <c r="W266" s="3" t="s">
        <v>13</v>
      </c>
      <c r="Y266" s="4">
        <v>11.1</v>
      </c>
      <c r="Z266" s="4">
        <v>84</v>
      </c>
      <c r="AA266" s="5">
        <f t="shared" si="17"/>
        <v>0.13214285714285715</v>
      </c>
      <c r="AB266" s="5"/>
      <c r="AC26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66" s="97" t="str">
        <f>IF(Tabelle1[[#This Row],[Nicht einbezogen weil…]]="",IFERROR(1000*Tabelle1[[#This Row],[Formfaktor]]/Tabelle1[[#This Row],[Thickness '[mm']]],""),"")</f>
        <v/>
      </c>
      <c r="AE266" s="98" t="str">
        <f>IF(Tabelle1[[#This Row],[Nicht einbezogen weil…]]="",IFERROR(Tabelle1[[#This Row],[specific surface '[m^2/m^3']]]/Tabelle1[[#This Row],[Density 
'[g/cm3']]]/1000000,""),"")</f>
        <v/>
      </c>
      <c r="AF266" s="97" t="str">
        <f>IF(Tabelle1[[#This Row],[Nicht einbezogen weil…]]="",IFERROR(365*10*Tabelle1[[#This Row],[Abbaurate '[%/d']]]*Tabelle1[[#This Row],[Thickness '[mm']]]/Tabelle1[[#This Row],[Formfaktor]],""),"")</f>
        <v/>
      </c>
      <c r="AG266" s="99" t="str">
        <f>IF(OR(Tabelle1[[#This Row],[Nicht einbezogen weil…]]="",Tabelle1[[#This Row],[Nicht einbezogen weil…]]="nicht-natürlich"),IF(Tabelle1[[#This Row],[Formfaktor]]=2, 1,IF(Tabelle1[[#This Row],[Formfaktor]]=4,2,IF(Tabelle1[[#This Row],[Formfaktor]]=6,3,""))),"")</f>
        <v/>
      </c>
      <c r="AH26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6" s="71">
        <v>1</v>
      </c>
      <c r="AK26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6" s="3" t="s">
        <v>164</v>
      </c>
      <c r="AO266" s="3" t="s">
        <v>235</v>
      </c>
      <c r="AP266" s="3" t="s">
        <v>235</v>
      </c>
      <c r="AT266" s="10" t="s">
        <v>223</v>
      </c>
      <c r="AU266" s="13" t="s">
        <v>200</v>
      </c>
      <c r="AW266" s="10" t="s">
        <v>775</v>
      </c>
    </row>
    <row r="267" spans="2:49" ht="17.25" customHeight="1">
      <c r="B267" s="7" t="s">
        <v>790</v>
      </c>
      <c r="C267" s="3" t="s">
        <v>163</v>
      </c>
      <c r="D267" s="3" t="s">
        <v>200</v>
      </c>
      <c r="E267" s="10" t="s">
        <v>1127</v>
      </c>
      <c r="F267" s="3" t="s">
        <v>578</v>
      </c>
      <c r="G267" s="3">
        <v>3.5999999999999997E-2</v>
      </c>
      <c r="H267" s="3">
        <v>5.9999999999999995E-8</v>
      </c>
      <c r="I267" s="24">
        <f t="shared" si="16"/>
        <v>0.93799999999999994</v>
      </c>
      <c r="J267" s="3" t="s">
        <v>580</v>
      </c>
      <c r="M267" s="3" t="s">
        <v>301</v>
      </c>
      <c r="N267" s="3" t="s">
        <v>577</v>
      </c>
      <c r="O267" s="3" t="s">
        <v>358</v>
      </c>
      <c r="P26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267" s="9">
        <v>7.5</v>
      </c>
      <c r="W267" s="3" t="s">
        <v>190</v>
      </c>
      <c r="Y267" s="4">
        <v>12.7</v>
      </c>
      <c r="Z267" s="4">
        <v>84</v>
      </c>
      <c r="AA267" s="5">
        <f t="shared" si="17"/>
        <v>0.15119047619047618</v>
      </c>
      <c r="AB267" s="5"/>
      <c r="AC26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67" s="97" t="str">
        <f>IF(Tabelle1[[#This Row],[Nicht einbezogen weil…]]="",IFERROR(1000*Tabelle1[[#This Row],[Formfaktor]]/Tabelle1[[#This Row],[Thickness '[mm']]],""),"")</f>
        <v/>
      </c>
      <c r="AE267" s="98" t="str">
        <f>IF(Tabelle1[[#This Row],[Nicht einbezogen weil…]]="",IFERROR(Tabelle1[[#This Row],[specific surface '[m^2/m^3']]]/Tabelle1[[#This Row],[Density 
'[g/cm3']]]/1000000,""),"")</f>
        <v/>
      </c>
      <c r="AF267" s="97" t="str">
        <f>IF(Tabelle1[[#This Row],[Nicht einbezogen weil…]]="",IFERROR(365*10*Tabelle1[[#This Row],[Abbaurate '[%/d']]]*Tabelle1[[#This Row],[Thickness '[mm']]]/Tabelle1[[#This Row],[Formfaktor]],""),"")</f>
        <v/>
      </c>
      <c r="AG267" s="99" t="str">
        <f>IF(OR(Tabelle1[[#This Row],[Nicht einbezogen weil…]]="",Tabelle1[[#This Row],[Nicht einbezogen weil…]]="nicht-natürlich"),IF(Tabelle1[[#This Row],[Formfaktor]]=2, 1,IF(Tabelle1[[#This Row],[Formfaktor]]=4,2,IF(Tabelle1[[#This Row],[Formfaktor]]=6,3,""))),"")</f>
        <v/>
      </c>
      <c r="AH26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7" s="71">
        <v>1</v>
      </c>
      <c r="AK26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7" s="3" t="s">
        <v>164</v>
      </c>
      <c r="AN267" s="3" t="s">
        <v>538</v>
      </c>
      <c r="AO267" s="3" t="s">
        <v>235</v>
      </c>
      <c r="AP267" s="10" t="s">
        <v>235</v>
      </c>
      <c r="AQ267" s="10"/>
      <c r="AR267" s="10"/>
      <c r="AS267" s="10"/>
      <c r="AT267" s="10" t="s">
        <v>223</v>
      </c>
      <c r="AU267" s="13" t="s">
        <v>200</v>
      </c>
      <c r="AW267" s="10" t="s">
        <v>775</v>
      </c>
    </row>
    <row r="268" spans="2:49" ht="17.25" customHeight="1">
      <c r="B268" s="7" t="s">
        <v>790</v>
      </c>
      <c r="C268" s="3" t="s">
        <v>576</v>
      </c>
      <c r="D268" s="3" t="s">
        <v>200</v>
      </c>
      <c r="E268" s="10" t="s">
        <v>1127</v>
      </c>
      <c r="F268" s="3" t="s">
        <v>578</v>
      </c>
      <c r="G268" s="3">
        <v>3.3000000000000002E-2</v>
      </c>
      <c r="H268" s="3">
        <v>5.9999999999999995E-8</v>
      </c>
      <c r="I268" s="24">
        <f t="shared" si="16"/>
        <v>0.93799999999999994</v>
      </c>
      <c r="J268" s="3" t="s">
        <v>581</v>
      </c>
      <c r="M268" s="3" t="s">
        <v>301</v>
      </c>
      <c r="N268" s="3" t="s">
        <v>577</v>
      </c>
      <c r="O268" s="3" t="s">
        <v>358</v>
      </c>
      <c r="P26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268" s="9">
        <v>7.5</v>
      </c>
      <c r="W268" s="3" t="s">
        <v>190</v>
      </c>
      <c r="Y268" s="4">
        <v>4.0999999999999996</v>
      </c>
      <c r="Z268" s="4">
        <v>84</v>
      </c>
      <c r="AA268" s="5">
        <f t="shared" si="17"/>
        <v>4.8809523809523803E-2</v>
      </c>
      <c r="AB268" s="5"/>
      <c r="AC26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68" s="97" t="str">
        <f>IF(Tabelle1[[#This Row],[Nicht einbezogen weil…]]="",IFERROR(1000*Tabelle1[[#This Row],[Formfaktor]]/Tabelle1[[#This Row],[Thickness '[mm']]],""),"")</f>
        <v/>
      </c>
      <c r="AE268" s="98" t="str">
        <f>IF(Tabelle1[[#This Row],[Nicht einbezogen weil…]]="",IFERROR(Tabelle1[[#This Row],[specific surface '[m^2/m^3']]]/Tabelle1[[#This Row],[Density 
'[g/cm3']]]/1000000,""),"")</f>
        <v/>
      </c>
      <c r="AF268" s="97" t="str">
        <f>IF(Tabelle1[[#This Row],[Nicht einbezogen weil…]]="",IFERROR(365*10*Tabelle1[[#This Row],[Abbaurate '[%/d']]]*Tabelle1[[#This Row],[Thickness '[mm']]]/Tabelle1[[#This Row],[Formfaktor]],""),"")</f>
        <v/>
      </c>
      <c r="AG268" s="99" t="str">
        <f>IF(OR(Tabelle1[[#This Row],[Nicht einbezogen weil…]]="",Tabelle1[[#This Row],[Nicht einbezogen weil…]]="nicht-natürlich"),IF(Tabelle1[[#This Row],[Formfaktor]]=2, 1,IF(Tabelle1[[#This Row],[Formfaktor]]=4,2,IF(Tabelle1[[#This Row],[Formfaktor]]=6,3,""))),"")</f>
        <v/>
      </c>
      <c r="AH26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8" s="71">
        <v>1</v>
      </c>
      <c r="AK26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8" s="3" t="s">
        <v>164</v>
      </c>
      <c r="AN268" s="3" t="s">
        <v>538</v>
      </c>
      <c r="AO268" s="3" t="s">
        <v>235</v>
      </c>
      <c r="AP268" s="10" t="s">
        <v>235</v>
      </c>
      <c r="AQ268" s="10"/>
      <c r="AR268" s="10"/>
      <c r="AS268" s="10"/>
      <c r="AT268" s="10" t="s">
        <v>223</v>
      </c>
      <c r="AU268" s="13" t="s">
        <v>200</v>
      </c>
      <c r="AW268" s="10" t="s">
        <v>775</v>
      </c>
    </row>
    <row r="269" spans="2:49" ht="17.25" customHeight="1">
      <c r="B269" s="7" t="s">
        <v>790</v>
      </c>
      <c r="C269" s="12" t="s">
        <v>566</v>
      </c>
      <c r="D269" s="3" t="s">
        <v>200</v>
      </c>
      <c r="E269" s="10" t="s">
        <v>1127</v>
      </c>
      <c r="F269" s="3" t="s">
        <v>288</v>
      </c>
      <c r="G269" s="3">
        <v>0.04</v>
      </c>
      <c r="H269" s="3">
        <f>0.015*0.025</f>
        <v>3.7500000000000001E-4</v>
      </c>
      <c r="I269" s="24">
        <f t="shared" si="16"/>
        <v>0.93799999999999994</v>
      </c>
      <c r="J269" s="3" t="s">
        <v>438</v>
      </c>
      <c r="M269" s="3" t="s">
        <v>200</v>
      </c>
      <c r="N269" s="3" t="s">
        <v>445</v>
      </c>
      <c r="O269" s="3" t="s">
        <v>23</v>
      </c>
      <c r="P26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69" s="9" t="s">
        <v>447</v>
      </c>
      <c r="W269" s="3" t="s">
        <v>478</v>
      </c>
      <c r="X269" s="3" t="s">
        <v>407</v>
      </c>
      <c r="Y269" s="4">
        <v>16.52</v>
      </c>
      <c r="Z269" s="4">
        <f>27*30</f>
        <v>810</v>
      </c>
      <c r="AA269" s="5">
        <f t="shared" si="17"/>
        <v>2.0395061728395062E-2</v>
      </c>
      <c r="AB269" s="5"/>
      <c r="AC26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69" s="97" t="str">
        <f>IF(Tabelle1[[#This Row],[Nicht einbezogen weil…]]="",IFERROR(1000*Tabelle1[[#This Row],[Formfaktor]]/Tabelle1[[#This Row],[Thickness '[mm']]],""),"")</f>
        <v/>
      </c>
      <c r="AE269" s="98" t="str">
        <f>IF(Tabelle1[[#This Row],[Nicht einbezogen weil…]]="",IFERROR(Tabelle1[[#This Row],[specific surface '[m^2/m^3']]]/Tabelle1[[#This Row],[Density 
'[g/cm3']]]/1000000,""),"")</f>
        <v/>
      </c>
      <c r="AF269" s="97" t="str">
        <f>IF(Tabelle1[[#This Row],[Nicht einbezogen weil…]]="",IFERROR(365*10*Tabelle1[[#This Row],[Abbaurate '[%/d']]]*Tabelle1[[#This Row],[Thickness '[mm']]]/Tabelle1[[#This Row],[Formfaktor]],""),"")</f>
        <v/>
      </c>
      <c r="AG269" s="99" t="str">
        <f>IF(OR(Tabelle1[[#This Row],[Nicht einbezogen weil…]]="",Tabelle1[[#This Row],[Nicht einbezogen weil…]]="nicht-natürlich"),IF(Tabelle1[[#This Row],[Formfaktor]]=2, 1,IF(Tabelle1[[#This Row],[Formfaktor]]=4,2,IF(Tabelle1[[#This Row],[Formfaktor]]=6,3,""))),"")</f>
        <v/>
      </c>
      <c r="AH26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6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69" s="71">
        <v>1</v>
      </c>
      <c r="AK26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69" s="3" t="s">
        <v>390</v>
      </c>
      <c r="AM269" s="3" t="s">
        <v>977</v>
      </c>
      <c r="AN269" s="3" t="s">
        <v>538</v>
      </c>
      <c r="AO269" s="3" t="s">
        <v>200</v>
      </c>
      <c r="AP269" s="3" t="s">
        <v>200</v>
      </c>
      <c r="AT269" s="10" t="s">
        <v>223</v>
      </c>
      <c r="AU269" s="13" t="s">
        <v>200</v>
      </c>
      <c r="AW269" s="10" t="s">
        <v>775</v>
      </c>
    </row>
    <row r="270" spans="2:49" ht="17.25" customHeight="1">
      <c r="B270" s="7" t="s">
        <v>790</v>
      </c>
      <c r="C270" s="3" t="s">
        <v>163</v>
      </c>
      <c r="D270" s="3" t="s">
        <v>200</v>
      </c>
      <c r="E270" s="10" t="s">
        <v>1127</v>
      </c>
      <c r="F270" s="3" t="s">
        <v>198</v>
      </c>
      <c r="G270" s="74" t="s">
        <v>341</v>
      </c>
      <c r="H270" s="74" t="s">
        <v>341</v>
      </c>
      <c r="I270" s="24">
        <f t="shared" si="16"/>
        <v>0.93799999999999994</v>
      </c>
      <c r="M270" s="3" t="s">
        <v>200</v>
      </c>
      <c r="N270" s="3" t="s">
        <v>95</v>
      </c>
      <c r="O270" s="3" t="s">
        <v>23</v>
      </c>
      <c r="P27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70" s="4" t="s">
        <v>81</v>
      </c>
      <c r="R270" s="4">
        <v>8.1999999999999993</v>
      </c>
      <c r="U270" s="4" t="s">
        <v>12</v>
      </c>
      <c r="W270" s="3" t="s">
        <v>13</v>
      </c>
      <c r="Y270" s="4">
        <v>0</v>
      </c>
      <c r="Z270" s="4">
        <v>561</v>
      </c>
      <c r="AA270" s="5">
        <f t="shared" si="17"/>
        <v>0</v>
      </c>
      <c r="AB270" s="5"/>
      <c r="AC27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0" s="97" t="str">
        <f>IF(Tabelle1[[#This Row],[Nicht einbezogen weil…]]="",IFERROR(1000*Tabelle1[[#This Row],[Formfaktor]]/Tabelle1[[#This Row],[Thickness '[mm']]],""),"")</f>
        <v/>
      </c>
      <c r="AE270" s="98" t="str">
        <f>IF(Tabelle1[[#This Row],[Nicht einbezogen weil…]]="",IFERROR(Tabelle1[[#This Row],[specific surface '[m^2/m^3']]]/Tabelle1[[#This Row],[Density 
'[g/cm3']]]/1000000,""),"")</f>
        <v/>
      </c>
      <c r="AF270" s="97" t="str">
        <f>IF(Tabelle1[[#This Row],[Nicht einbezogen weil…]]="",IFERROR(365*10*Tabelle1[[#This Row],[Abbaurate '[%/d']]]*Tabelle1[[#This Row],[Thickness '[mm']]]/Tabelle1[[#This Row],[Formfaktor]],""),"")</f>
        <v/>
      </c>
      <c r="AG270" s="99" t="str">
        <f>IF(OR(Tabelle1[[#This Row],[Nicht einbezogen weil…]]="",Tabelle1[[#This Row],[Nicht einbezogen weil…]]="nicht-natürlich"),IF(Tabelle1[[#This Row],[Formfaktor]]=2, 1,IF(Tabelle1[[#This Row],[Formfaktor]]=4,2,IF(Tabelle1[[#This Row],[Formfaktor]]=6,3,""))),"")</f>
        <v/>
      </c>
      <c r="AH27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7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70" s="71">
        <v>1</v>
      </c>
      <c r="AK27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70" s="3" t="s">
        <v>85</v>
      </c>
      <c r="AO270" s="3" t="s">
        <v>200</v>
      </c>
      <c r="AP270" s="3" t="s">
        <v>200</v>
      </c>
      <c r="AQ270" s="3" t="s">
        <v>200</v>
      </c>
      <c r="AR270" s="2" t="s">
        <v>200</v>
      </c>
      <c r="AS270" s="2" t="s">
        <v>297</v>
      </c>
      <c r="AT270" s="10" t="s">
        <v>223</v>
      </c>
      <c r="AU270" s="13" t="s">
        <v>200</v>
      </c>
      <c r="AW270" s="10" t="s">
        <v>775</v>
      </c>
    </row>
    <row r="271" spans="2:49" ht="17.25" customHeight="1">
      <c r="B271" s="7" t="s">
        <v>790</v>
      </c>
      <c r="C271" s="3" t="s">
        <v>404</v>
      </c>
      <c r="D271" s="3" t="s">
        <v>200</v>
      </c>
      <c r="E271" s="10" t="s">
        <v>1127</v>
      </c>
      <c r="F271" s="3" t="s">
        <v>288</v>
      </c>
      <c r="G271" s="74" t="s">
        <v>341</v>
      </c>
      <c r="H271" s="3">
        <f>0.04*0.01</f>
        <v>4.0000000000000002E-4</v>
      </c>
      <c r="I271" s="24">
        <f t="shared" si="16"/>
        <v>0.93799999999999994</v>
      </c>
      <c r="J271" s="3" t="s">
        <v>401</v>
      </c>
      <c r="M271" s="3" t="s">
        <v>200</v>
      </c>
      <c r="N271" s="3" t="s">
        <v>406</v>
      </c>
      <c r="O271" s="3" t="s">
        <v>23</v>
      </c>
      <c r="P27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71" s="3" t="s">
        <v>478</v>
      </c>
      <c r="X271" s="3" t="s">
        <v>407</v>
      </c>
      <c r="Y271" s="4">
        <f>(98-32)/98</f>
        <v>0.67346938775510201</v>
      </c>
      <c r="Z271" s="4">
        <f>40*7</f>
        <v>280</v>
      </c>
      <c r="AA271" s="5">
        <f t="shared" si="17"/>
        <v>2.4052478134110786E-3</v>
      </c>
      <c r="AB271" s="5"/>
      <c r="AC27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1" s="97" t="str">
        <f>IF(Tabelle1[[#This Row],[Nicht einbezogen weil…]]="",IFERROR(1000*Tabelle1[[#This Row],[Formfaktor]]/Tabelle1[[#This Row],[Thickness '[mm']]],""),"")</f>
        <v/>
      </c>
      <c r="AE271" s="98" t="str">
        <f>IF(Tabelle1[[#This Row],[Nicht einbezogen weil…]]="",IFERROR(Tabelle1[[#This Row],[specific surface '[m^2/m^3']]]/Tabelle1[[#This Row],[Density 
'[g/cm3']]]/1000000,""),"")</f>
        <v/>
      </c>
      <c r="AF271" s="97" t="str">
        <f>IF(Tabelle1[[#This Row],[Nicht einbezogen weil…]]="",IFERROR(365*10*Tabelle1[[#This Row],[Abbaurate '[%/d']]]*Tabelle1[[#This Row],[Thickness '[mm']]]/Tabelle1[[#This Row],[Formfaktor]],""),"")</f>
        <v/>
      </c>
      <c r="AG271" s="99" t="str">
        <f>IF(OR(Tabelle1[[#This Row],[Nicht einbezogen weil…]]="",Tabelle1[[#This Row],[Nicht einbezogen weil…]]="nicht-natürlich"),IF(Tabelle1[[#This Row],[Formfaktor]]=2, 1,IF(Tabelle1[[#This Row],[Formfaktor]]=4,2,IF(Tabelle1[[#This Row],[Formfaktor]]=6,3,""))),"")</f>
        <v/>
      </c>
      <c r="AH27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7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71" s="71">
        <v>1</v>
      </c>
      <c r="AK27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71" s="3" t="s">
        <v>384</v>
      </c>
      <c r="AM271" s="3" t="s">
        <v>977</v>
      </c>
      <c r="AN271" s="3" t="s">
        <v>538</v>
      </c>
      <c r="AO271" s="3" t="s">
        <v>200</v>
      </c>
      <c r="AP271" s="3" t="s">
        <v>200</v>
      </c>
      <c r="AT271" s="10" t="s">
        <v>223</v>
      </c>
      <c r="AU271" s="13" t="s">
        <v>200</v>
      </c>
      <c r="AW271" s="10" t="s">
        <v>775</v>
      </c>
    </row>
    <row r="272" spans="2:49" ht="17.25" customHeight="1">
      <c r="B272" s="7" t="s">
        <v>790</v>
      </c>
      <c r="C272" s="3" t="s">
        <v>404</v>
      </c>
      <c r="D272" s="3" t="s">
        <v>200</v>
      </c>
      <c r="E272" s="10" t="s">
        <v>1127</v>
      </c>
      <c r="F272" s="3" t="s">
        <v>288</v>
      </c>
      <c r="G272" s="74" t="s">
        <v>341</v>
      </c>
      <c r="H272" s="3">
        <f>0.04*0.01</f>
        <v>4.0000000000000002E-4</v>
      </c>
      <c r="I272" s="24">
        <f t="shared" si="16"/>
        <v>0.93799999999999994</v>
      </c>
      <c r="J272" s="3" t="s">
        <v>401</v>
      </c>
      <c r="M272" s="3" t="s">
        <v>200</v>
      </c>
      <c r="N272" s="3" t="s">
        <v>406</v>
      </c>
      <c r="O272" s="3" t="s">
        <v>23</v>
      </c>
      <c r="P27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72" s="3" t="s">
        <v>478</v>
      </c>
      <c r="X272" s="3" t="s">
        <v>408</v>
      </c>
      <c r="Y272" s="4">
        <f>(400-392)/400</f>
        <v>0.02</v>
      </c>
      <c r="Z272" s="4">
        <f>40*7</f>
        <v>280</v>
      </c>
      <c r="AA272" s="5">
        <f>2/Z272</f>
        <v>7.1428571428571426E-3</v>
      </c>
      <c r="AB272" s="5"/>
      <c r="AC27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2" s="97" t="str">
        <f>IF(Tabelle1[[#This Row],[Nicht einbezogen weil…]]="",IFERROR(1000*Tabelle1[[#This Row],[Formfaktor]]/Tabelle1[[#This Row],[Thickness '[mm']]],""),"")</f>
        <v/>
      </c>
      <c r="AE272" s="98" t="str">
        <f>IF(Tabelle1[[#This Row],[Nicht einbezogen weil…]]="",IFERROR(Tabelle1[[#This Row],[specific surface '[m^2/m^3']]]/Tabelle1[[#This Row],[Density 
'[g/cm3']]]/1000000,""),"")</f>
        <v/>
      </c>
      <c r="AF272" s="97" t="str">
        <f>IF(Tabelle1[[#This Row],[Nicht einbezogen weil…]]="",IFERROR(365*10*Tabelle1[[#This Row],[Abbaurate '[%/d']]]*Tabelle1[[#This Row],[Thickness '[mm']]]/Tabelle1[[#This Row],[Formfaktor]],""),"")</f>
        <v/>
      </c>
      <c r="AG272" s="99" t="str">
        <f>IF(OR(Tabelle1[[#This Row],[Nicht einbezogen weil…]]="",Tabelle1[[#This Row],[Nicht einbezogen weil…]]="nicht-natürlich"),IF(Tabelle1[[#This Row],[Formfaktor]]=2, 1,IF(Tabelle1[[#This Row],[Formfaktor]]=4,2,IF(Tabelle1[[#This Row],[Formfaktor]]=6,3,""))),"")</f>
        <v/>
      </c>
      <c r="AH27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7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72" s="71">
        <v>1</v>
      </c>
      <c r="AK27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72" s="3" t="s">
        <v>384</v>
      </c>
      <c r="AM272" s="3" t="s">
        <v>977</v>
      </c>
      <c r="AN272" s="3" t="s">
        <v>538</v>
      </c>
      <c r="AO272" s="3" t="s">
        <v>200</v>
      </c>
      <c r="AP272" s="3" t="s">
        <v>200</v>
      </c>
      <c r="AT272" s="10" t="s">
        <v>223</v>
      </c>
      <c r="AU272" s="13" t="s">
        <v>200</v>
      </c>
      <c r="AW272" s="10" t="s">
        <v>775</v>
      </c>
    </row>
    <row r="273" spans="1:49" ht="17.25" customHeight="1">
      <c r="B273" s="7" t="s">
        <v>790</v>
      </c>
      <c r="C273" s="3" t="s">
        <v>404</v>
      </c>
      <c r="D273" s="3" t="s">
        <v>200</v>
      </c>
      <c r="E273" s="10" t="s">
        <v>1127</v>
      </c>
      <c r="F273" s="3" t="s">
        <v>288</v>
      </c>
      <c r="G273" s="74" t="s">
        <v>341</v>
      </c>
      <c r="H273" s="3">
        <f>0.04*0.01</f>
        <v>4.0000000000000002E-4</v>
      </c>
      <c r="I273" s="24">
        <f t="shared" si="16"/>
        <v>0.93799999999999994</v>
      </c>
      <c r="J273" s="3" t="s">
        <v>402</v>
      </c>
      <c r="M273" s="3" t="s">
        <v>200</v>
      </c>
      <c r="N273" s="3" t="s">
        <v>406</v>
      </c>
      <c r="O273" s="3" t="s">
        <v>23</v>
      </c>
      <c r="P27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73" s="3" t="s">
        <v>478</v>
      </c>
      <c r="X273" s="3" t="s">
        <v>407</v>
      </c>
      <c r="Y273" s="4">
        <f>(90-24)/90</f>
        <v>0.73333333333333328</v>
      </c>
      <c r="Z273" s="4">
        <f>40*7</f>
        <v>280</v>
      </c>
      <c r="AA273" s="5">
        <f>Y273/Z273</f>
        <v>2.6190476190476189E-3</v>
      </c>
      <c r="AB273" s="5"/>
      <c r="AC27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3" s="97" t="str">
        <f>IF(Tabelle1[[#This Row],[Nicht einbezogen weil…]]="",IFERROR(1000*Tabelle1[[#This Row],[Formfaktor]]/Tabelle1[[#This Row],[Thickness '[mm']]],""),"")</f>
        <v/>
      </c>
      <c r="AE273" s="98" t="str">
        <f>IF(Tabelle1[[#This Row],[Nicht einbezogen weil…]]="",IFERROR(Tabelle1[[#This Row],[specific surface '[m^2/m^3']]]/Tabelle1[[#This Row],[Density 
'[g/cm3']]]/1000000,""),"")</f>
        <v/>
      </c>
      <c r="AF273" s="97" t="str">
        <f>IF(Tabelle1[[#This Row],[Nicht einbezogen weil…]]="",IFERROR(365*10*Tabelle1[[#This Row],[Abbaurate '[%/d']]]*Tabelle1[[#This Row],[Thickness '[mm']]]/Tabelle1[[#This Row],[Formfaktor]],""),"")</f>
        <v/>
      </c>
      <c r="AG273" s="99" t="str">
        <f>IF(OR(Tabelle1[[#This Row],[Nicht einbezogen weil…]]="",Tabelle1[[#This Row],[Nicht einbezogen weil…]]="nicht-natürlich"),IF(Tabelle1[[#This Row],[Formfaktor]]=2, 1,IF(Tabelle1[[#This Row],[Formfaktor]]=4,2,IF(Tabelle1[[#This Row],[Formfaktor]]=6,3,""))),"")</f>
        <v/>
      </c>
      <c r="AH27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7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73" s="71">
        <v>1</v>
      </c>
      <c r="AK27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73" s="3" t="s">
        <v>384</v>
      </c>
      <c r="AM273" s="3" t="s">
        <v>977</v>
      </c>
      <c r="AN273" s="3" t="s">
        <v>538</v>
      </c>
      <c r="AO273" s="3" t="s">
        <v>200</v>
      </c>
      <c r="AP273" s="3" t="s">
        <v>200</v>
      </c>
      <c r="AT273" s="10" t="s">
        <v>223</v>
      </c>
      <c r="AU273" s="13" t="s">
        <v>200</v>
      </c>
      <c r="AW273" s="10" t="s">
        <v>775</v>
      </c>
    </row>
    <row r="274" spans="1:49" ht="17.25" customHeight="1">
      <c r="B274" s="7" t="s">
        <v>790</v>
      </c>
      <c r="C274" s="3" t="s">
        <v>404</v>
      </c>
      <c r="D274" s="3" t="s">
        <v>200</v>
      </c>
      <c r="E274" s="10" t="s">
        <v>1127</v>
      </c>
      <c r="F274" s="3" t="s">
        <v>288</v>
      </c>
      <c r="G274" s="74" t="s">
        <v>341</v>
      </c>
      <c r="H274" s="3">
        <f>0.04*0.01</f>
        <v>4.0000000000000002E-4</v>
      </c>
      <c r="I274" s="24">
        <f t="shared" si="16"/>
        <v>0.93799999999999994</v>
      </c>
      <c r="J274" s="3" t="s">
        <v>402</v>
      </c>
      <c r="M274" s="3" t="s">
        <v>200</v>
      </c>
      <c r="N274" s="3" t="s">
        <v>406</v>
      </c>
      <c r="O274" s="3" t="s">
        <v>23</v>
      </c>
      <c r="P27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74" s="3" t="s">
        <v>478</v>
      </c>
      <c r="X274" s="3" t="s">
        <v>408</v>
      </c>
      <c r="Y274" s="4">
        <v>0</v>
      </c>
      <c r="Z274" s="4">
        <f>40*7</f>
        <v>280</v>
      </c>
      <c r="AA274" s="5">
        <v>0</v>
      </c>
      <c r="AB274" s="5"/>
      <c r="AC27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4" s="97" t="str">
        <f>IF(Tabelle1[[#This Row],[Nicht einbezogen weil…]]="",IFERROR(1000*Tabelle1[[#This Row],[Formfaktor]]/Tabelle1[[#This Row],[Thickness '[mm']]],""),"")</f>
        <v/>
      </c>
      <c r="AE274" s="98" t="str">
        <f>IF(Tabelle1[[#This Row],[Nicht einbezogen weil…]]="",IFERROR(Tabelle1[[#This Row],[specific surface '[m^2/m^3']]]/Tabelle1[[#This Row],[Density 
'[g/cm3']]]/1000000,""),"")</f>
        <v/>
      </c>
      <c r="AF274" s="97" t="str">
        <f>IF(Tabelle1[[#This Row],[Nicht einbezogen weil…]]="",IFERROR(365*10*Tabelle1[[#This Row],[Abbaurate '[%/d']]]*Tabelle1[[#This Row],[Thickness '[mm']]]/Tabelle1[[#This Row],[Formfaktor]],""),"")</f>
        <v/>
      </c>
      <c r="AG274" s="99" t="str">
        <f>IF(OR(Tabelle1[[#This Row],[Nicht einbezogen weil…]]="",Tabelle1[[#This Row],[Nicht einbezogen weil…]]="nicht-natürlich"),IF(Tabelle1[[#This Row],[Formfaktor]]=2, 1,IF(Tabelle1[[#This Row],[Formfaktor]]=4,2,IF(Tabelle1[[#This Row],[Formfaktor]]=6,3,""))),"")</f>
        <v/>
      </c>
      <c r="AH27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7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74" s="71">
        <v>1</v>
      </c>
      <c r="AK27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74" s="3" t="s">
        <v>384</v>
      </c>
      <c r="AM274" s="3" t="s">
        <v>977</v>
      </c>
      <c r="AN274" s="3" t="s">
        <v>538</v>
      </c>
      <c r="AO274" s="3" t="s">
        <v>200</v>
      </c>
      <c r="AP274" s="3" t="s">
        <v>200</v>
      </c>
      <c r="AT274" s="10" t="s">
        <v>223</v>
      </c>
      <c r="AU274" s="13" t="s">
        <v>200</v>
      </c>
      <c r="AW274" s="10" t="s">
        <v>775</v>
      </c>
    </row>
    <row r="275" spans="1:49" ht="17.25" customHeight="1">
      <c r="B275" s="7" t="s">
        <v>790</v>
      </c>
      <c r="C275" s="3" t="s">
        <v>93</v>
      </c>
      <c r="D275" s="3" t="s">
        <v>200</v>
      </c>
      <c r="E275" s="10" t="s">
        <v>1127</v>
      </c>
      <c r="F275" s="3" t="s">
        <v>288</v>
      </c>
      <c r="G275" s="3">
        <v>0.08</v>
      </c>
      <c r="H275" s="3">
        <f>0.15*0.02</f>
        <v>3.0000000000000001E-3</v>
      </c>
      <c r="I275" s="24">
        <f t="shared" si="16"/>
        <v>0.93799999999999994</v>
      </c>
      <c r="J275" s="3" t="s">
        <v>529</v>
      </c>
      <c r="M275" s="3" t="s">
        <v>200</v>
      </c>
      <c r="N275" s="3" t="s">
        <v>95</v>
      </c>
      <c r="O275" s="3" t="s">
        <v>23</v>
      </c>
      <c r="P27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75" s="4" t="s">
        <v>84</v>
      </c>
      <c r="R275" s="4" t="s">
        <v>99</v>
      </c>
      <c r="U275" s="4" t="s">
        <v>12</v>
      </c>
      <c r="W275" s="3" t="s">
        <v>13</v>
      </c>
      <c r="Y275" s="4">
        <v>26</v>
      </c>
      <c r="Z275" s="4">
        <v>608</v>
      </c>
      <c r="AA275" s="5">
        <f>Y275/Z275</f>
        <v>4.2763157894736843E-2</v>
      </c>
      <c r="AB275" s="5"/>
      <c r="AC27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5" s="97" t="str">
        <f>IF(Tabelle1[[#This Row],[Nicht einbezogen weil…]]="",IFERROR(1000*Tabelle1[[#This Row],[Formfaktor]]/Tabelle1[[#This Row],[Thickness '[mm']]],""),"")</f>
        <v/>
      </c>
      <c r="AE275" s="98" t="str">
        <f>IF(Tabelle1[[#This Row],[Nicht einbezogen weil…]]="",IFERROR(Tabelle1[[#This Row],[specific surface '[m^2/m^3']]]/Tabelle1[[#This Row],[Density 
'[g/cm3']]]/1000000,""),"")</f>
        <v/>
      </c>
      <c r="AF275" s="97" t="str">
        <f>IF(Tabelle1[[#This Row],[Nicht einbezogen weil…]]="",IFERROR(365*10*Tabelle1[[#This Row],[Abbaurate '[%/d']]]*Tabelle1[[#This Row],[Thickness '[mm']]]/Tabelle1[[#This Row],[Formfaktor]],""),"")</f>
        <v/>
      </c>
      <c r="AG275" s="99" t="str">
        <f>IF(OR(Tabelle1[[#This Row],[Nicht einbezogen weil…]]="",Tabelle1[[#This Row],[Nicht einbezogen weil…]]="nicht-natürlich"),IF(Tabelle1[[#This Row],[Formfaktor]]=2, 1,IF(Tabelle1[[#This Row],[Formfaktor]]=4,2,IF(Tabelle1[[#This Row],[Formfaktor]]=6,3,""))),"")</f>
        <v/>
      </c>
      <c r="AH27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7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75" s="71">
        <v>1</v>
      </c>
      <c r="AK27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75" s="3" t="s">
        <v>969</v>
      </c>
      <c r="AM275" s="3" t="s">
        <v>967</v>
      </c>
      <c r="AO275" s="3" t="s">
        <v>200</v>
      </c>
      <c r="AP275" s="3" t="s">
        <v>200</v>
      </c>
      <c r="AQ275" s="3" t="s">
        <v>200</v>
      </c>
      <c r="AR275" s="2" t="s">
        <v>260</v>
      </c>
      <c r="AS275" s="2" t="s">
        <v>297</v>
      </c>
      <c r="AT275" s="10" t="s">
        <v>200</v>
      </c>
      <c r="AU275" s="13" t="s">
        <v>200</v>
      </c>
      <c r="AW275" s="10" t="s">
        <v>775</v>
      </c>
    </row>
    <row r="276" spans="1:49" ht="17.25" customHeight="1">
      <c r="B276" s="7" t="s">
        <v>790</v>
      </c>
      <c r="C276" s="3" t="s">
        <v>163</v>
      </c>
      <c r="D276" s="3" t="s">
        <v>200</v>
      </c>
      <c r="E276" s="10" t="s">
        <v>1127</v>
      </c>
      <c r="F276" s="3" t="s">
        <v>288</v>
      </c>
      <c r="G276" s="3">
        <v>0.08</v>
      </c>
      <c r="H276" s="3">
        <f>0.15*0.02</f>
        <v>3.0000000000000001E-3</v>
      </c>
      <c r="I276" s="24">
        <f t="shared" si="16"/>
        <v>0.93799999999999994</v>
      </c>
      <c r="M276" s="3" t="s">
        <v>200</v>
      </c>
      <c r="N276" s="3" t="s">
        <v>95</v>
      </c>
      <c r="O276" s="3" t="s">
        <v>23</v>
      </c>
      <c r="P27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76" s="4" t="s">
        <v>83</v>
      </c>
      <c r="R276" s="4" t="s">
        <v>99</v>
      </c>
      <c r="U276" s="4" t="s">
        <v>12</v>
      </c>
      <c r="W276" s="3" t="s">
        <v>13</v>
      </c>
      <c r="Y276" s="4">
        <v>0.5</v>
      </c>
      <c r="Z276" s="4">
        <v>608</v>
      </c>
      <c r="AA276" s="5">
        <f>Y276/Z276</f>
        <v>8.2236842105263153E-4</v>
      </c>
      <c r="AB276" s="5"/>
      <c r="AC27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6" s="97" t="str">
        <f>IF(Tabelle1[[#This Row],[Nicht einbezogen weil…]]="",IFERROR(1000*Tabelle1[[#This Row],[Formfaktor]]/Tabelle1[[#This Row],[Thickness '[mm']]],""),"")</f>
        <v/>
      </c>
      <c r="AE276" s="98" t="str">
        <f>IF(Tabelle1[[#This Row],[Nicht einbezogen weil…]]="",IFERROR(Tabelle1[[#This Row],[specific surface '[m^2/m^3']]]/Tabelle1[[#This Row],[Density 
'[g/cm3']]]/1000000,""),"")</f>
        <v/>
      </c>
      <c r="AF276" s="97" t="str">
        <f>IF(Tabelle1[[#This Row],[Nicht einbezogen weil…]]="",IFERROR(365*10*Tabelle1[[#This Row],[Abbaurate '[%/d']]]*Tabelle1[[#This Row],[Thickness '[mm']]]/Tabelle1[[#This Row],[Formfaktor]],""),"")</f>
        <v/>
      </c>
      <c r="AG276" s="99" t="str">
        <f>IF(OR(Tabelle1[[#This Row],[Nicht einbezogen weil…]]="",Tabelle1[[#This Row],[Nicht einbezogen weil…]]="nicht-natürlich"),IF(Tabelle1[[#This Row],[Formfaktor]]=2, 1,IF(Tabelle1[[#This Row],[Formfaktor]]=4,2,IF(Tabelle1[[#This Row],[Formfaktor]]=6,3,""))),"")</f>
        <v/>
      </c>
      <c r="AH27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7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76" s="71">
        <v>1</v>
      </c>
      <c r="AK27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76" s="3" t="s">
        <v>969</v>
      </c>
      <c r="AM276" s="3" t="s">
        <v>967</v>
      </c>
      <c r="AO276" s="3" t="s">
        <v>200</v>
      </c>
      <c r="AP276" s="3" t="s">
        <v>200</v>
      </c>
      <c r="AQ276" s="3" t="s">
        <v>200</v>
      </c>
      <c r="AR276" s="2" t="s">
        <v>260</v>
      </c>
      <c r="AS276" s="2" t="s">
        <v>297</v>
      </c>
      <c r="AT276" s="10" t="s">
        <v>200</v>
      </c>
      <c r="AU276" s="13" t="s">
        <v>200</v>
      </c>
      <c r="AW276" s="10" t="s">
        <v>775</v>
      </c>
    </row>
    <row r="277" spans="1:49" ht="17.25" customHeight="1">
      <c r="B277" s="7" t="s">
        <v>790</v>
      </c>
      <c r="C277" s="3" t="s">
        <v>91</v>
      </c>
      <c r="D277" s="3" t="s">
        <v>200</v>
      </c>
      <c r="E277" s="10" t="s">
        <v>1127</v>
      </c>
      <c r="F277" s="3" t="s">
        <v>288</v>
      </c>
      <c r="G277" s="3">
        <v>0.08</v>
      </c>
      <c r="H277" s="3">
        <f>0.15*0.02</f>
        <v>3.0000000000000001E-3</v>
      </c>
      <c r="I277" s="24">
        <f t="shared" si="16"/>
        <v>0.93799999999999994</v>
      </c>
      <c r="M277" s="3" t="s">
        <v>200</v>
      </c>
      <c r="N277" s="3" t="s">
        <v>95</v>
      </c>
      <c r="O277" s="3" t="s">
        <v>23</v>
      </c>
      <c r="P27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77" s="4" t="s">
        <v>82</v>
      </c>
      <c r="R277" s="4" t="s">
        <v>99</v>
      </c>
      <c r="U277" s="4" t="s">
        <v>12</v>
      </c>
      <c r="W277" s="3" t="s">
        <v>13</v>
      </c>
      <c r="Y277" s="4">
        <v>0.3</v>
      </c>
      <c r="Z277" s="4">
        <v>608</v>
      </c>
      <c r="AA277" s="5">
        <f>Y277/Z277</f>
        <v>4.9342105263157896E-4</v>
      </c>
      <c r="AB277" s="5"/>
      <c r="AC27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7" s="97" t="str">
        <f>IF(Tabelle1[[#This Row],[Nicht einbezogen weil…]]="",IFERROR(1000*Tabelle1[[#This Row],[Formfaktor]]/Tabelle1[[#This Row],[Thickness '[mm']]],""),"")</f>
        <v/>
      </c>
      <c r="AE277" s="98" t="str">
        <f>IF(Tabelle1[[#This Row],[Nicht einbezogen weil…]]="",IFERROR(Tabelle1[[#This Row],[specific surface '[m^2/m^3']]]/Tabelle1[[#This Row],[Density 
'[g/cm3']]]/1000000,""),"")</f>
        <v/>
      </c>
      <c r="AF277" s="97" t="str">
        <f>IF(Tabelle1[[#This Row],[Nicht einbezogen weil…]]="",IFERROR(365*10*Tabelle1[[#This Row],[Abbaurate '[%/d']]]*Tabelle1[[#This Row],[Thickness '[mm']]]/Tabelle1[[#This Row],[Formfaktor]],""),"")</f>
        <v/>
      </c>
      <c r="AG277" s="99" t="str">
        <f>IF(OR(Tabelle1[[#This Row],[Nicht einbezogen weil…]]="",Tabelle1[[#This Row],[Nicht einbezogen weil…]]="nicht-natürlich"),IF(Tabelle1[[#This Row],[Formfaktor]]=2, 1,IF(Tabelle1[[#This Row],[Formfaktor]]=4,2,IF(Tabelle1[[#This Row],[Formfaktor]]=6,3,""))),"")</f>
        <v/>
      </c>
      <c r="AH27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7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77" s="71">
        <v>1</v>
      </c>
      <c r="AK27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77" s="3" t="s">
        <v>969</v>
      </c>
      <c r="AM277" s="3" t="s">
        <v>967</v>
      </c>
      <c r="AO277" s="3" t="s">
        <v>200</v>
      </c>
      <c r="AP277" s="3" t="s">
        <v>200</v>
      </c>
      <c r="AQ277" s="3" t="s">
        <v>200</v>
      </c>
      <c r="AR277" s="2" t="s">
        <v>260</v>
      </c>
      <c r="AS277" s="2" t="s">
        <v>297</v>
      </c>
      <c r="AT277" s="10" t="s">
        <v>200</v>
      </c>
      <c r="AU277" s="13" t="s">
        <v>200</v>
      </c>
      <c r="AW277" s="10" t="s">
        <v>775</v>
      </c>
    </row>
    <row r="278" spans="1:49" ht="17.25" customHeight="1">
      <c r="B278" s="7" t="s">
        <v>790</v>
      </c>
      <c r="C278" s="3" t="s">
        <v>91</v>
      </c>
      <c r="D278" s="3" t="s">
        <v>223</v>
      </c>
      <c r="E278" s="10"/>
      <c r="F278" s="3" t="s">
        <v>288</v>
      </c>
      <c r="G278" s="3">
        <v>0.08</v>
      </c>
      <c r="H278" s="3">
        <f>0.15*0.02</f>
        <v>3.0000000000000001E-3</v>
      </c>
      <c r="I278" s="24">
        <f t="shared" si="16"/>
        <v>0.93799999999999994</v>
      </c>
      <c r="M278" s="3" t="s">
        <v>223</v>
      </c>
      <c r="N278" s="3" t="s">
        <v>94</v>
      </c>
      <c r="O278" s="3" t="s">
        <v>23</v>
      </c>
      <c r="P27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78" s="4" t="s">
        <v>97</v>
      </c>
      <c r="R278" s="4" t="s">
        <v>100</v>
      </c>
      <c r="U278" s="4" t="s">
        <v>12</v>
      </c>
      <c r="W278" s="3" t="s">
        <v>13</v>
      </c>
      <c r="Y278" s="4">
        <v>0.3</v>
      </c>
      <c r="Z278" s="4">
        <v>365</v>
      </c>
      <c r="AA278" s="5">
        <f>0.6/Z278</f>
        <v>1.643835616438356E-3</v>
      </c>
      <c r="AB278" s="5"/>
      <c r="AC27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8" s="97" t="str">
        <f>IF(Tabelle1[[#This Row],[Nicht einbezogen weil…]]="",IFERROR(1000*Tabelle1[[#This Row],[Formfaktor]]/Tabelle1[[#This Row],[Thickness '[mm']]],""),"")</f>
        <v/>
      </c>
      <c r="AE278" s="98" t="str">
        <f>IF(Tabelle1[[#This Row],[Nicht einbezogen weil…]]="",IFERROR(Tabelle1[[#This Row],[specific surface '[m^2/m^3']]]/Tabelle1[[#This Row],[Density 
'[g/cm3']]]/1000000,""),"")</f>
        <v/>
      </c>
      <c r="AF278" s="97" t="str">
        <f>IF(Tabelle1[[#This Row],[Nicht einbezogen weil…]]="",IFERROR(365*10*Tabelle1[[#This Row],[Abbaurate '[%/d']]]*Tabelle1[[#This Row],[Thickness '[mm']]]/Tabelle1[[#This Row],[Formfaktor]],""),"")</f>
        <v/>
      </c>
      <c r="AG278" s="99">
        <f>IF(OR(Tabelle1[[#This Row],[Nicht einbezogen weil…]]="",Tabelle1[[#This Row],[Nicht einbezogen weil…]]="nicht-natürlich"),IF(Tabelle1[[#This Row],[Formfaktor]]=2, 1,IF(Tabelle1[[#This Row],[Formfaktor]]=4,2,IF(Tabelle1[[#This Row],[Formfaktor]]=6,3,""))),"")</f>
        <v>1</v>
      </c>
      <c r="AH278" s="97">
        <f>IF(OR(Tabelle1[[#This Row],[Nicht einbezogen weil…]]="",Tabelle1[[#This Row],[Nicht einbezogen weil…]]="nicht-natürlich"),IFERROR(Tabelle1[[#This Row],[Thickness '[mm']]]/Tabelle1[[#This Row],[Dauer des Abbaus
'[Tage']]]*1000*0.5*365*(1-(1-Tabelle1[[#This Row],[Abbaurate '[%/d']]]/100*Tabelle1[[#This Row],[Dauer des Abbaus
'[Tage']]])^(1/Tabelle1[[#This Row],[Exponent]])),""),"")</f>
        <v>0.24000000000000021</v>
      </c>
      <c r="AI27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PE+_Meerwasser_nicht natürlich</v>
      </c>
      <c r="AJ278" s="71">
        <v>1</v>
      </c>
      <c r="AK27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278" s="3" t="s">
        <v>969</v>
      </c>
      <c r="AM278" s="3" t="s">
        <v>967</v>
      </c>
      <c r="AO278" s="3" t="s">
        <v>200</v>
      </c>
      <c r="AP278" s="3" t="s">
        <v>200</v>
      </c>
      <c r="AQ278" s="3" t="s">
        <v>200</v>
      </c>
      <c r="AR278" s="2" t="s">
        <v>260</v>
      </c>
      <c r="AS278" s="2" t="s">
        <v>297</v>
      </c>
      <c r="AT278" s="10" t="s">
        <v>200</v>
      </c>
      <c r="AU278" s="13" t="s">
        <v>200</v>
      </c>
      <c r="AW278" s="10" t="s">
        <v>775</v>
      </c>
    </row>
    <row r="279" spans="1:49" ht="17.25" customHeight="1">
      <c r="B279" s="7" t="s">
        <v>790</v>
      </c>
      <c r="C279" s="3" t="s">
        <v>92</v>
      </c>
      <c r="D279" s="3" t="s">
        <v>223</v>
      </c>
      <c r="E279" s="10"/>
      <c r="F279" s="3" t="s">
        <v>288</v>
      </c>
      <c r="G279" s="3">
        <v>0.08</v>
      </c>
      <c r="H279" s="3">
        <f>0.15*0.02</f>
        <v>3.0000000000000001E-3</v>
      </c>
      <c r="I279" s="24">
        <f t="shared" si="16"/>
        <v>0.93799999999999994</v>
      </c>
      <c r="M279" s="3" t="s">
        <v>223</v>
      </c>
      <c r="N279" s="3" t="s">
        <v>94</v>
      </c>
      <c r="O279" s="3" t="s">
        <v>23</v>
      </c>
      <c r="P27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79" s="4" t="s">
        <v>98</v>
      </c>
      <c r="R279" s="4" t="s">
        <v>100</v>
      </c>
      <c r="U279" s="4" t="s">
        <v>12</v>
      </c>
      <c r="W279" s="3" t="s">
        <v>13</v>
      </c>
      <c r="Y279" s="4">
        <v>0.6</v>
      </c>
      <c r="Z279" s="4">
        <v>365</v>
      </c>
      <c r="AA279" s="5">
        <f>0.6/Z279</f>
        <v>1.643835616438356E-3</v>
      </c>
      <c r="AB279" s="5"/>
      <c r="AC27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79" s="97" t="str">
        <f>IF(Tabelle1[[#This Row],[Nicht einbezogen weil…]]="",IFERROR(1000*Tabelle1[[#This Row],[Formfaktor]]/Tabelle1[[#This Row],[Thickness '[mm']]],""),"")</f>
        <v/>
      </c>
      <c r="AE279" s="98" t="str">
        <f>IF(Tabelle1[[#This Row],[Nicht einbezogen weil…]]="",IFERROR(Tabelle1[[#This Row],[specific surface '[m^2/m^3']]]/Tabelle1[[#This Row],[Density 
'[g/cm3']]]/1000000,""),"")</f>
        <v/>
      </c>
      <c r="AF279" s="97" t="str">
        <f>IF(Tabelle1[[#This Row],[Nicht einbezogen weil…]]="",IFERROR(365*10*Tabelle1[[#This Row],[Abbaurate '[%/d']]]*Tabelle1[[#This Row],[Thickness '[mm']]]/Tabelle1[[#This Row],[Formfaktor]],""),"")</f>
        <v/>
      </c>
      <c r="AG279" s="99">
        <f>IF(OR(Tabelle1[[#This Row],[Nicht einbezogen weil…]]="",Tabelle1[[#This Row],[Nicht einbezogen weil…]]="nicht-natürlich"),IF(Tabelle1[[#This Row],[Formfaktor]]=2, 1,IF(Tabelle1[[#This Row],[Formfaktor]]=4,2,IF(Tabelle1[[#This Row],[Formfaktor]]=6,3,""))),"")</f>
        <v>1</v>
      </c>
      <c r="AH279" s="97">
        <f>IF(OR(Tabelle1[[#This Row],[Nicht einbezogen weil…]]="",Tabelle1[[#This Row],[Nicht einbezogen weil…]]="nicht-natürlich"),IFERROR(Tabelle1[[#This Row],[Thickness '[mm']]]/Tabelle1[[#This Row],[Dauer des Abbaus
'[Tage']]]*1000*0.5*365*(1-(1-Tabelle1[[#This Row],[Abbaurate '[%/d']]]/100*Tabelle1[[#This Row],[Dauer des Abbaus
'[Tage']]])^(1/Tabelle1[[#This Row],[Exponent]])),""),"")</f>
        <v>0.24000000000000021</v>
      </c>
      <c r="AI27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PE+_Meerwasser_nicht natürlich</v>
      </c>
      <c r="AJ279" s="71">
        <v>1</v>
      </c>
      <c r="AK27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279" s="3" t="s">
        <v>969</v>
      </c>
      <c r="AM279" s="3" t="s">
        <v>967</v>
      </c>
      <c r="AO279" s="3" t="s">
        <v>200</v>
      </c>
      <c r="AP279" s="3" t="s">
        <v>200</v>
      </c>
      <c r="AQ279" s="3" t="s">
        <v>200</v>
      </c>
      <c r="AR279" s="2" t="s">
        <v>260</v>
      </c>
      <c r="AS279" s="2" t="s">
        <v>297</v>
      </c>
      <c r="AT279" s="10" t="s">
        <v>200</v>
      </c>
      <c r="AU279" s="13" t="s">
        <v>200</v>
      </c>
      <c r="AW279" s="10" t="s">
        <v>775</v>
      </c>
    </row>
    <row r="280" spans="1:49" ht="17.25" customHeight="1">
      <c r="B280" s="109" t="s">
        <v>1078</v>
      </c>
      <c r="C280" s="3" t="s">
        <v>1079</v>
      </c>
      <c r="D280" s="3" t="s">
        <v>223</v>
      </c>
      <c r="E280" s="10"/>
      <c r="F280" s="3" t="s">
        <v>198</v>
      </c>
      <c r="G280" s="3">
        <v>2.5000000000000001E-2</v>
      </c>
      <c r="H280" s="3" t="s">
        <v>341</v>
      </c>
      <c r="I280" s="3" t="s">
        <v>341</v>
      </c>
      <c r="K280" s="8" t="s">
        <v>229</v>
      </c>
      <c r="M280" s="3" t="s">
        <v>200</v>
      </c>
      <c r="N280" s="3" t="s">
        <v>1070</v>
      </c>
      <c r="O280" s="3" t="s">
        <v>1104</v>
      </c>
      <c r="P28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80" s="3" t="s">
        <v>13</v>
      </c>
      <c r="X280" s="3" t="s">
        <v>1067</v>
      </c>
      <c r="Y280" s="4">
        <v>50</v>
      </c>
      <c r="Z280" s="4">
        <v>909</v>
      </c>
      <c r="AA280" s="5">
        <f t="shared" ref="AA280:AA284" si="20">Y280/Z280</f>
        <v>5.5005500550055007E-2</v>
      </c>
      <c r="AB280" s="5"/>
      <c r="AC28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80" s="5">
        <f>IF(Tabelle1[[#This Row],[Nicht einbezogen weil…]]="",IFERROR(1000*Tabelle1[[#This Row],[Formfaktor]]/Tabelle1[[#This Row],[Thickness '[mm']]],""),"")</f>
        <v>80000</v>
      </c>
      <c r="AE280" s="5" t="str">
        <f>IF(Tabelle1[[#This Row],[Nicht einbezogen weil…]]="",IFERROR(Tabelle1[[#This Row],[specific surface '[m^2/m^3']]]/Tabelle1[[#This Row],[Density 
'[g/cm3']]]/1000000,""),"")</f>
        <v/>
      </c>
      <c r="AF280" s="5">
        <f>IF(Tabelle1[[#This Row],[Nicht einbezogen weil…]]="",IFERROR(365*10*Tabelle1[[#This Row],[Abbaurate '[%/d']]]*Tabelle1[[#This Row],[Thickness '[mm']]]/Tabelle1[[#This Row],[Formfaktor]],""),"")</f>
        <v>2.5096259625962598</v>
      </c>
      <c r="AG280" s="328">
        <f>IF(OR(Tabelle1[[#This Row],[Nicht einbezogen weil…]]="",Tabelle1[[#This Row],[Nicht einbezogen weil…]]="nicht-natürlich"),IF(Tabelle1[[#This Row],[Formfaktor]]=2, 1,IF(Tabelle1[[#This Row],[Formfaktor]]=4,2,IF(Tabelle1[[#This Row],[Formfaktor]]=6,3,""))),"")</f>
        <v>1</v>
      </c>
      <c r="AH280" s="5">
        <f>IF(OR(Tabelle1[[#This Row],[Nicht einbezogen weil…]]="",Tabelle1[[#This Row],[Nicht einbezogen weil…]]="nicht-natürlich"),IFERROR(Tabelle1[[#This Row],[Thickness '[mm']]]/Tabelle1[[#This Row],[Dauer des Abbaus
'[Tage']]]*1000*0.5*365*(1-(1-Tabelle1[[#This Row],[Abbaurate '[%/d']]]/100*Tabelle1[[#This Row],[Dauer des Abbaus
'[Tage']]])^(1/Tabelle1[[#This Row],[Exponent]])),""),"")</f>
        <v>2.5096259625962598</v>
      </c>
      <c r="AI28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PBSe_Benthic_natürlich</v>
      </c>
      <c r="AJ280" s="6">
        <v>1</v>
      </c>
      <c r="AK28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80" s="3" t="s">
        <v>1080</v>
      </c>
      <c r="AN280" s="3" t="s">
        <v>1065</v>
      </c>
      <c r="AO280" s="3" t="s">
        <v>200</v>
      </c>
      <c r="AP280" s="3" t="s">
        <v>200</v>
      </c>
      <c r="AT280" s="10" t="s">
        <v>223</v>
      </c>
      <c r="AU280" s="13" t="s">
        <v>200</v>
      </c>
    </row>
    <row r="281" spans="1:49" ht="17.25" customHeight="1">
      <c r="B281" s="109" t="s">
        <v>1078</v>
      </c>
      <c r="C281" s="3" t="s">
        <v>1079</v>
      </c>
      <c r="D281" s="3" t="s">
        <v>223</v>
      </c>
      <c r="E281" s="10"/>
      <c r="F281" s="3" t="s">
        <v>198</v>
      </c>
      <c r="G281" s="3">
        <v>2.5000000000000001E-2</v>
      </c>
      <c r="H281" s="3" t="s">
        <v>341</v>
      </c>
      <c r="I281" s="3" t="s">
        <v>341</v>
      </c>
      <c r="K281" s="8" t="s">
        <v>229</v>
      </c>
      <c r="M281" s="3" t="s">
        <v>200</v>
      </c>
      <c r="N281" s="3" t="s">
        <v>1071</v>
      </c>
      <c r="O281" s="3" t="s">
        <v>1104</v>
      </c>
      <c r="P28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281" s="3" t="s">
        <v>13</v>
      </c>
      <c r="X281" s="3" t="s">
        <v>1067</v>
      </c>
      <c r="Y281" s="4">
        <v>50</v>
      </c>
      <c r="Z281" s="4">
        <v>89</v>
      </c>
      <c r="AA281" s="5">
        <f t="shared" si="20"/>
        <v>0.5617977528089888</v>
      </c>
      <c r="AB281" s="5"/>
      <c r="AC28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81" s="5">
        <f>IF(Tabelle1[[#This Row],[Nicht einbezogen weil…]]="",IFERROR(1000*Tabelle1[[#This Row],[Formfaktor]]/Tabelle1[[#This Row],[Thickness '[mm']]],""),"")</f>
        <v>80000</v>
      </c>
      <c r="AE281" s="5" t="str">
        <f>IF(Tabelle1[[#This Row],[Nicht einbezogen weil…]]="",IFERROR(Tabelle1[[#This Row],[specific surface '[m^2/m^3']]]/Tabelle1[[#This Row],[Density 
'[g/cm3']]]/1000000,""),"")</f>
        <v/>
      </c>
      <c r="AF281" s="5">
        <f>IF(Tabelle1[[#This Row],[Nicht einbezogen weil…]]="",IFERROR(365*10*Tabelle1[[#This Row],[Abbaurate '[%/d']]]*Tabelle1[[#This Row],[Thickness '[mm']]]/Tabelle1[[#This Row],[Formfaktor]],""),"")</f>
        <v>25.632022471910116</v>
      </c>
      <c r="AG281" s="328">
        <f>IF(OR(Tabelle1[[#This Row],[Nicht einbezogen weil…]]="",Tabelle1[[#This Row],[Nicht einbezogen weil…]]="nicht-natürlich"),IF(Tabelle1[[#This Row],[Formfaktor]]=2, 1,IF(Tabelle1[[#This Row],[Formfaktor]]=4,2,IF(Tabelle1[[#This Row],[Formfaktor]]=6,3,""))),"")</f>
        <v>1</v>
      </c>
      <c r="AH281" s="5">
        <f>IF(OR(Tabelle1[[#This Row],[Nicht einbezogen weil…]]="",Tabelle1[[#This Row],[Nicht einbezogen weil…]]="nicht-natürlich"),IFERROR(Tabelle1[[#This Row],[Thickness '[mm']]]/Tabelle1[[#This Row],[Dauer des Abbaus
'[Tage']]]*1000*0.5*365*(1-(1-Tabelle1[[#This Row],[Abbaurate '[%/d']]]/100*Tabelle1[[#This Row],[Dauer des Abbaus
'[Tage']]])^(1/Tabelle1[[#This Row],[Exponent]])),""),"")</f>
        <v>25.632022471910123</v>
      </c>
      <c r="AI28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PBSe_Benthic_natürlich</v>
      </c>
      <c r="AJ281" s="6">
        <v>1</v>
      </c>
      <c r="AK28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81" s="3" t="s">
        <v>1080</v>
      </c>
      <c r="AN281" s="3" t="s">
        <v>1065</v>
      </c>
      <c r="AO281" s="3" t="s">
        <v>200</v>
      </c>
      <c r="AP281" s="3" t="s">
        <v>200</v>
      </c>
      <c r="AT281" s="10" t="s">
        <v>223</v>
      </c>
      <c r="AU281" s="13" t="s">
        <v>200</v>
      </c>
    </row>
    <row r="282" spans="1:49" ht="17.25" customHeight="1">
      <c r="A282" s="40" t="s">
        <v>223</v>
      </c>
      <c r="B282" s="109" t="s">
        <v>1078</v>
      </c>
      <c r="C282" s="12" t="s">
        <v>1187</v>
      </c>
      <c r="D282" s="12" t="s">
        <v>223</v>
      </c>
      <c r="E282" s="12"/>
      <c r="F282" s="12" t="s">
        <v>198</v>
      </c>
      <c r="G282" s="12">
        <v>2.5000000000000001E-2</v>
      </c>
      <c r="H282" s="12"/>
      <c r="I282" s="12"/>
      <c r="J282" s="12" t="s">
        <v>1186</v>
      </c>
      <c r="K282" s="208" t="s">
        <v>229</v>
      </c>
      <c r="L282" s="12" t="s">
        <v>223</v>
      </c>
      <c r="M282" s="12" t="s">
        <v>301</v>
      </c>
      <c r="N282" s="12" t="s">
        <v>1192</v>
      </c>
      <c r="O282" s="12" t="s">
        <v>358</v>
      </c>
      <c r="P282" s="364"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82" s="366" t="s">
        <v>1190</v>
      </c>
      <c r="R282" s="366" t="s">
        <v>1191</v>
      </c>
      <c r="S282" s="365"/>
      <c r="T282" s="366" t="s">
        <v>123</v>
      </c>
      <c r="U282" s="365"/>
      <c r="V282" s="365" t="s">
        <v>734</v>
      </c>
      <c r="W282" s="12" t="s">
        <v>190</v>
      </c>
      <c r="X282" s="12"/>
      <c r="Y282" s="365">
        <v>91.7</v>
      </c>
      <c r="Z282" s="365">
        <v>120</v>
      </c>
      <c r="AA282" s="367">
        <f t="shared" si="20"/>
        <v>0.76416666666666666</v>
      </c>
      <c r="AB282" s="367"/>
      <c r="AC282" s="328">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82" s="367">
        <f>IF(Tabelle1[[#This Row],[Nicht einbezogen weil…]]="",IFERROR(1000*Tabelle1[[#This Row],[Formfaktor]]/Tabelle1[[#This Row],[Thickness '[mm']]],""),"")</f>
        <v>80000</v>
      </c>
      <c r="AE282" s="367" t="str">
        <f>IF(Tabelle1[[#This Row],[Nicht einbezogen weil…]]="",IFERROR(Tabelle1[[#This Row],[specific surface '[m^2/m^3']]]/Tabelle1[[#This Row],[Density 
'[g/cm3']]]/1000000,""),"")</f>
        <v/>
      </c>
      <c r="AF282" s="367">
        <f>IF(Tabelle1[[#This Row],[Nicht einbezogen weil…]]="",IFERROR(365*10*Tabelle1[[#This Row],[Abbaurate '[%/d']]]*Tabelle1[[#This Row],[Thickness '[mm']]]/Tabelle1[[#This Row],[Formfaktor]],""),"")</f>
        <v>34.865104166666669</v>
      </c>
      <c r="AG282" s="328">
        <f>IF(OR(Tabelle1[[#This Row],[Nicht einbezogen weil…]]="",Tabelle1[[#This Row],[Nicht einbezogen weil…]]="nicht-natürlich"),IF(Tabelle1[[#This Row],[Formfaktor]]=2, 1,IF(Tabelle1[[#This Row],[Formfaktor]]=4,2,IF(Tabelle1[[#This Row],[Formfaktor]]=6,3,""))),"")</f>
        <v>1</v>
      </c>
      <c r="AH282" s="367">
        <f>IF(OR(Tabelle1[[#This Row],[Nicht einbezogen weil…]]="",Tabelle1[[#This Row],[Nicht einbezogen weil…]]="nicht-natürlich"),IFERROR(Tabelle1[[#This Row],[Thickness '[mm']]]/Tabelle1[[#This Row],[Dauer des Abbaus
'[Tage']]]*1000*0.5*365*(1-(1-Tabelle1[[#This Row],[Abbaurate '[%/d']]]/100*Tabelle1[[#This Row],[Dauer des Abbaus
'[Tage']]])^(1/Tabelle1[[#This Row],[Exponent]])),""),"")</f>
        <v>34.865104166666669</v>
      </c>
      <c r="AI282" s="36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PBSe_Boden/Kompost_natürlich</v>
      </c>
      <c r="AJ282" s="328">
        <v>1</v>
      </c>
      <c r="AK282" s="368"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82" s="12" t="s">
        <v>1183</v>
      </c>
      <c r="AM282" s="12"/>
      <c r="AN282" s="12"/>
      <c r="AO282" s="12"/>
      <c r="AP282" s="12"/>
      <c r="AQ282" s="12"/>
      <c r="AR282" s="369"/>
      <c r="AS282" s="369"/>
      <c r="AT282" s="40"/>
      <c r="AU282" s="370"/>
      <c r="AV282" s="40"/>
      <c r="AW282" s="40"/>
    </row>
    <row r="283" spans="1:49" ht="17.25" customHeight="1">
      <c r="A283" s="40" t="s">
        <v>223</v>
      </c>
      <c r="B283" s="109" t="s">
        <v>1078</v>
      </c>
      <c r="C283" s="12" t="s">
        <v>1187</v>
      </c>
      <c r="D283" s="12" t="s">
        <v>223</v>
      </c>
      <c r="E283" s="12"/>
      <c r="F283" s="12" t="s">
        <v>198</v>
      </c>
      <c r="G283" s="12">
        <v>2.5000000000000001E-2</v>
      </c>
      <c r="J283" s="12" t="s">
        <v>1186</v>
      </c>
      <c r="K283" s="208" t="s">
        <v>229</v>
      </c>
      <c r="L283" s="12" t="s">
        <v>223</v>
      </c>
      <c r="M283" s="12" t="s">
        <v>301</v>
      </c>
      <c r="N283" s="12" t="s">
        <v>1193</v>
      </c>
      <c r="O283" s="12" t="s">
        <v>358</v>
      </c>
      <c r="P283" s="364"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83" s="366" t="s">
        <v>1190</v>
      </c>
      <c r="R283" s="366" t="s">
        <v>1191</v>
      </c>
      <c r="S283" s="365"/>
      <c r="T283" s="366" t="s">
        <v>123</v>
      </c>
      <c r="U283" s="365"/>
      <c r="V283" s="365" t="s">
        <v>734</v>
      </c>
      <c r="W283" s="12" t="s">
        <v>190</v>
      </c>
      <c r="X283" s="12"/>
      <c r="Y283" s="4">
        <v>87.39</v>
      </c>
      <c r="Z283" s="4">
        <v>210</v>
      </c>
      <c r="AA283" s="5">
        <f t="shared" si="20"/>
        <v>0.41614285714285715</v>
      </c>
      <c r="AB283" s="5"/>
      <c r="AC28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83" s="5">
        <f>IF(Tabelle1[[#This Row],[Nicht einbezogen weil…]]="",IFERROR(1000*Tabelle1[[#This Row],[Formfaktor]]/Tabelle1[[#This Row],[Thickness '[mm']]],""),"")</f>
        <v>80000</v>
      </c>
      <c r="AE283" s="5" t="str">
        <f>IF(Tabelle1[[#This Row],[Nicht einbezogen weil…]]="",IFERROR(Tabelle1[[#This Row],[specific surface '[m^2/m^3']]]/Tabelle1[[#This Row],[Density 
'[g/cm3']]]/1000000,""),"")</f>
        <v/>
      </c>
      <c r="AF283" s="5">
        <f>IF(Tabelle1[[#This Row],[Nicht einbezogen weil…]]="",IFERROR(365*10*Tabelle1[[#This Row],[Abbaurate '[%/d']]]*Tabelle1[[#This Row],[Thickness '[mm']]]/Tabelle1[[#This Row],[Formfaktor]],""),"")</f>
        <v>18.986517857142857</v>
      </c>
      <c r="AG283" s="328">
        <f>IF(OR(Tabelle1[[#This Row],[Nicht einbezogen weil…]]="",Tabelle1[[#This Row],[Nicht einbezogen weil…]]="nicht-natürlich"),IF(Tabelle1[[#This Row],[Formfaktor]]=2, 1,IF(Tabelle1[[#This Row],[Formfaktor]]=4,2,IF(Tabelle1[[#This Row],[Formfaktor]]=6,3,""))),"")</f>
        <v>1</v>
      </c>
      <c r="AH283" s="5">
        <f>IF(OR(Tabelle1[[#This Row],[Nicht einbezogen weil…]]="",Tabelle1[[#This Row],[Nicht einbezogen weil…]]="nicht-natürlich"),IFERROR(Tabelle1[[#This Row],[Thickness '[mm']]]/Tabelle1[[#This Row],[Dauer des Abbaus
'[Tage']]]*1000*0.5*365*(1-(1-Tabelle1[[#This Row],[Abbaurate '[%/d']]]/100*Tabelle1[[#This Row],[Dauer des Abbaus
'[Tage']]])^(1/Tabelle1[[#This Row],[Exponent]])),""),"")</f>
        <v>18.986517857142854</v>
      </c>
      <c r="AI28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PBSe_Boden/Kompost_natürlich</v>
      </c>
      <c r="AJ283" s="6">
        <v>1</v>
      </c>
      <c r="AK28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83" s="12" t="s">
        <v>1183</v>
      </c>
      <c r="AU283" s="13"/>
    </row>
    <row r="284" spans="1:49" ht="17.25" customHeight="1">
      <c r="B284" s="109" t="s">
        <v>1078</v>
      </c>
      <c r="C284" s="3" t="s">
        <v>1078</v>
      </c>
      <c r="D284" s="3" t="s">
        <v>223</v>
      </c>
      <c r="F284" s="3" t="s">
        <v>241</v>
      </c>
      <c r="G284" s="3">
        <v>2.5000000000000001E-2</v>
      </c>
      <c r="L284" s="3" t="s">
        <v>229</v>
      </c>
      <c r="M284" s="3" t="s">
        <v>200</v>
      </c>
      <c r="N284" s="3" t="s">
        <v>1206</v>
      </c>
      <c r="O284" s="3" t="s">
        <v>358</v>
      </c>
      <c r="P28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84" s="4">
        <v>25</v>
      </c>
      <c r="W284" s="3" t="s">
        <v>1207</v>
      </c>
      <c r="Y284" s="4">
        <v>50</v>
      </c>
      <c r="Z284" s="4">
        <f>6*7</f>
        <v>42</v>
      </c>
      <c r="AA284" s="5">
        <f t="shared" si="20"/>
        <v>1.1904761904761905</v>
      </c>
      <c r="AB284" s="5"/>
      <c r="AC28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84" s="5">
        <f>IF(Tabelle1[[#This Row],[Nicht einbezogen weil…]]="",IFERROR(1000*Tabelle1[[#This Row],[Formfaktor]]/Tabelle1[[#This Row],[Thickness '[mm']]],""),"")</f>
        <v>240000</v>
      </c>
      <c r="AE284" s="5" t="str">
        <f>IF(Tabelle1[[#This Row],[Nicht einbezogen weil…]]="",IFERROR(Tabelle1[[#This Row],[specific surface '[m^2/m^3']]]/Tabelle1[[#This Row],[Density 
'[g/cm3']]]/1000000,""),"")</f>
        <v/>
      </c>
      <c r="AF284" s="5">
        <f>IF(Tabelle1[[#This Row],[Nicht einbezogen weil…]]="",IFERROR(365*10*Tabelle1[[#This Row],[Abbaurate '[%/d']]]*Tabelle1[[#This Row],[Thickness '[mm']]]/Tabelle1[[#This Row],[Formfaktor]],""),"")</f>
        <v>18.105158730158731</v>
      </c>
      <c r="AG284" s="328">
        <f>IF(OR(Tabelle1[[#This Row],[Nicht einbezogen weil…]]="",Tabelle1[[#This Row],[Nicht einbezogen weil…]]="nicht-natürlich"),IF(Tabelle1[[#This Row],[Formfaktor]]=2, 1,IF(Tabelle1[[#This Row],[Formfaktor]]=4,2,IF(Tabelle1[[#This Row],[Formfaktor]]=6,3,""))),"")</f>
        <v>3</v>
      </c>
      <c r="AH284" s="5">
        <f>IF(OR(Tabelle1[[#This Row],[Nicht einbezogen weil…]]="",Tabelle1[[#This Row],[Nicht einbezogen weil…]]="nicht-natürlich"),IFERROR(Tabelle1[[#This Row],[Thickness '[mm']]]/Tabelle1[[#This Row],[Dauer des Abbaus
'[Tage']]]*1000*0.5*365*(1-(1-Tabelle1[[#This Row],[Abbaurate '[%/d']]]/100*Tabelle1[[#This Row],[Dauer des Abbaus
'[Tage']]])^(1/Tabelle1[[#This Row],[Exponent]])),""),"")</f>
        <v>22.410508338036781</v>
      </c>
      <c r="AI28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PBSe_Boden/Kompost_natürlich</v>
      </c>
      <c r="AJ284" s="6">
        <v>1</v>
      </c>
      <c r="AK28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84" s="3" t="s">
        <v>1208</v>
      </c>
      <c r="AU284" s="13"/>
    </row>
    <row r="285" spans="1:49" ht="17.25" customHeight="1">
      <c r="A285" s="10" t="s">
        <v>223</v>
      </c>
      <c r="B285" s="109" t="s">
        <v>1078</v>
      </c>
      <c r="C285" s="3" t="s">
        <v>1187</v>
      </c>
      <c r="D285" s="3" t="s">
        <v>223</v>
      </c>
      <c r="F285" s="3" t="s">
        <v>996</v>
      </c>
      <c r="G285" s="3">
        <v>2.5000000000000001E-2</v>
      </c>
      <c r="J285" s="3" t="s">
        <v>1367</v>
      </c>
      <c r="K285" s="8" t="s">
        <v>1376</v>
      </c>
      <c r="N285" s="3" t="s">
        <v>1384</v>
      </c>
      <c r="O285" s="3" t="s">
        <v>23</v>
      </c>
      <c r="P28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85" s="4" t="s">
        <v>1373</v>
      </c>
      <c r="R285" s="4" t="s">
        <v>1372</v>
      </c>
      <c r="V285" s="4" t="s">
        <v>734</v>
      </c>
      <c r="W285" s="12" t="s">
        <v>190</v>
      </c>
      <c r="Y285" s="4">
        <v>92.3</v>
      </c>
      <c r="Z285" s="4">
        <v>180</v>
      </c>
      <c r="AA285" s="5">
        <f t="shared" ref="AA285:AA301" si="21">Y285/Z285</f>
        <v>0.51277777777777778</v>
      </c>
      <c r="AB285" s="5"/>
      <c r="AC28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85" s="5">
        <f>IF(Tabelle1[[#This Row],[Nicht einbezogen weil…]]="",IFERROR(1000*Tabelle1[[#This Row],[Formfaktor]]/Tabelle1[[#This Row],[Thickness '[mm']]],""),"")</f>
        <v>80000</v>
      </c>
      <c r="AE285" s="5" t="str">
        <f>IF(Tabelle1[[#This Row],[Nicht einbezogen weil…]]="",IFERROR(Tabelle1[[#This Row],[specific surface '[m^2/m^3']]]/Tabelle1[[#This Row],[Density 
'[g/cm3']]]/1000000,""),"")</f>
        <v/>
      </c>
      <c r="AF285" s="5">
        <f>IF(Tabelle1[[#This Row],[Nicht einbezogen weil…]]="",IFERROR(365*10*Tabelle1[[#This Row],[Abbaurate '[%/d']]]*Tabelle1[[#This Row],[Thickness '[mm']]]/Tabelle1[[#This Row],[Formfaktor]],""),"")</f>
        <v>23.395486111111111</v>
      </c>
      <c r="AG285" s="328">
        <f>IF(OR(Tabelle1[[#This Row],[Nicht einbezogen weil…]]="",Tabelle1[[#This Row],[Nicht einbezogen weil…]]="nicht-natürlich"),IF(Tabelle1[[#This Row],[Formfaktor]]=2, 1,IF(Tabelle1[[#This Row],[Formfaktor]]=4,2,IF(Tabelle1[[#This Row],[Formfaktor]]=6,3,""))),"")</f>
        <v>1</v>
      </c>
      <c r="AH285" s="5">
        <f>IF(OR(Tabelle1[[#This Row],[Nicht einbezogen weil…]]="",Tabelle1[[#This Row],[Nicht einbezogen weil…]]="nicht-natürlich"),IFERROR(Tabelle1[[#This Row],[Thickness '[mm']]]/Tabelle1[[#This Row],[Dauer des Abbaus
'[Tage']]]*1000*0.5*365*(1-(1-Tabelle1[[#This Row],[Abbaurate '[%/d']]]/100*Tabelle1[[#This Row],[Dauer des Abbaus
'[Tage']]])^(1/Tabelle1[[#This Row],[Exponent]])),""),"")</f>
        <v>23.395486111111115</v>
      </c>
      <c r="AI28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PBSe_Meerwasser_nicht natürlich</v>
      </c>
      <c r="AJ285" s="6">
        <v>1</v>
      </c>
      <c r="AK28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85" s="3" t="s">
        <v>1366</v>
      </c>
      <c r="AU285" s="13"/>
    </row>
    <row r="286" spans="1:49" ht="17.25" customHeight="1">
      <c r="A286" s="10" t="s">
        <v>223</v>
      </c>
      <c r="B286" s="109" t="s">
        <v>1078</v>
      </c>
      <c r="C286" s="3" t="s">
        <v>1187</v>
      </c>
      <c r="D286" s="3" t="s">
        <v>223</v>
      </c>
      <c r="F286" s="3" t="s">
        <v>996</v>
      </c>
      <c r="G286" s="3">
        <v>2.5000000000000001E-2</v>
      </c>
      <c r="J286" s="3" t="s">
        <v>1367</v>
      </c>
      <c r="K286" s="8" t="s">
        <v>1382</v>
      </c>
      <c r="N286" s="3" t="s">
        <v>1384</v>
      </c>
      <c r="O286" s="3" t="s">
        <v>23</v>
      </c>
      <c r="P28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86" s="4" t="s">
        <v>1373</v>
      </c>
      <c r="R286" s="4" t="s">
        <v>1372</v>
      </c>
      <c r="V286" s="4" t="s">
        <v>734</v>
      </c>
      <c r="W286" s="12" t="s">
        <v>190</v>
      </c>
      <c r="Y286" s="4">
        <v>31.8</v>
      </c>
      <c r="Z286" s="4">
        <v>175</v>
      </c>
      <c r="AA286" s="5">
        <f t="shared" si="21"/>
        <v>0.18171428571428572</v>
      </c>
      <c r="AB286" s="5"/>
      <c r="AC28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86" s="5">
        <f>IF(Tabelle1[[#This Row],[Nicht einbezogen weil…]]="",IFERROR(1000*Tabelle1[[#This Row],[Formfaktor]]/Tabelle1[[#This Row],[Thickness '[mm']]],""),"")</f>
        <v>80000</v>
      </c>
      <c r="AE286" s="5" t="str">
        <f>IF(Tabelle1[[#This Row],[Nicht einbezogen weil…]]="",IFERROR(Tabelle1[[#This Row],[specific surface '[m^2/m^3']]]/Tabelle1[[#This Row],[Density 
'[g/cm3']]]/1000000,""),"")</f>
        <v/>
      </c>
      <c r="AF286" s="5">
        <f>IF(Tabelle1[[#This Row],[Nicht einbezogen weil…]]="",IFERROR(365*10*Tabelle1[[#This Row],[Abbaurate '[%/d']]]*Tabelle1[[#This Row],[Thickness '[mm']]]/Tabelle1[[#This Row],[Formfaktor]],""),"")</f>
        <v>8.2907142857142855</v>
      </c>
      <c r="AG286" s="328">
        <f>IF(OR(Tabelle1[[#This Row],[Nicht einbezogen weil…]]="",Tabelle1[[#This Row],[Nicht einbezogen weil…]]="nicht-natürlich"),IF(Tabelle1[[#This Row],[Formfaktor]]=2, 1,IF(Tabelle1[[#This Row],[Formfaktor]]=4,2,IF(Tabelle1[[#This Row],[Formfaktor]]=6,3,""))),"")</f>
        <v>1</v>
      </c>
      <c r="AH286" s="5">
        <f>IF(OR(Tabelle1[[#This Row],[Nicht einbezogen weil…]]="",Tabelle1[[#This Row],[Nicht einbezogen weil…]]="nicht-natürlich"),IFERROR(Tabelle1[[#This Row],[Thickness '[mm']]]/Tabelle1[[#This Row],[Dauer des Abbaus
'[Tage']]]*1000*0.5*365*(1-(1-Tabelle1[[#This Row],[Abbaurate '[%/d']]]/100*Tabelle1[[#This Row],[Dauer des Abbaus
'[Tage']]])^(1/Tabelle1[[#This Row],[Exponent]])),""),"")</f>
        <v>8.290714285714289</v>
      </c>
      <c r="AI28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PBSe_Meerwasser_nicht natürlich</v>
      </c>
      <c r="AJ286" s="6">
        <v>1</v>
      </c>
      <c r="AK28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86" s="3" t="s">
        <v>1366</v>
      </c>
      <c r="AU286" s="13"/>
    </row>
    <row r="287" spans="1:49" ht="17.25" customHeight="1">
      <c r="A287" s="10" t="s">
        <v>223</v>
      </c>
      <c r="B287" s="109" t="s">
        <v>1078</v>
      </c>
      <c r="C287" s="3" t="s">
        <v>1187</v>
      </c>
      <c r="D287" s="3" t="s">
        <v>223</v>
      </c>
      <c r="F287" s="3" t="s">
        <v>996</v>
      </c>
      <c r="G287" s="3">
        <v>2.5000000000000001E-2</v>
      </c>
      <c r="J287" s="3" t="s">
        <v>1367</v>
      </c>
      <c r="K287" s="8" t="s">
        <v>1374</v>
      </c>
      <c r="N287" s="3" t="s">
        <v>1384</v>
      </c>
      <c r="O287" s="3" t="s">
        <v>23</v>
      </c>
      <c r="P28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87" s="4" t="s">
        <v>1373</v>
      </c>
      <c r="R287" s="4" t="s">
        <v>1372</v>
      </c>
      <c r="V287" s="4" t="s">
        <v>734</v>
      </c>
      <c r="W287" s="12" t="s">
        <v>190</v>
      </c>
      <c r="Y287" s="4">
        <v>78.599999999999994</v>
      </c>
      <c r="Z287" s="4">
        <v>220</v>
      </c>
      <c r="AA287" s="5">
        <f t="shared" si="21"/>
        <v>0.35727272727272724</v>
      </c>
      <c r="AB287" s="5"/>
      <c r="AC28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87" s="5">
        <f>IF(Tabelle1[[#This Row],[Nicht einbezogen weil…]]="",IFERROR(1000*Tabelle1[[#This Row],[Formfaktor]]/Tabelle1[[#This Row],[Thickness '[mm']]],""),"")</f>
        <v>80000</v>
      </c>
      <c r="AE287" s="5" t="str">
        <f>IF(Tabelle1[[#This Row],[Nicht einbezogen weil…]]="",IFERROR(Tabelle1[[#This Row],[specific surface '[m^2/m^3']]]/Tabelle1[[#This Row],[Density 
'[g/cm3']]]/1000000,""),"")</f>
        <v/>
      </c>
      <c r="AF287" s="5">
        <f>IF(Tabelle1[[#This Row],[Nicht einbezogen weil…]]="",IFERROR(365*10*Tabelle1[[#This Row],[Abbaurate '[%/d']]]*Tabelle1[[#This Row],[Thickness '[mm']]]/Tabelle1[[#This Row],[Formfaktor]],""),"")</f>
        <v>16.300568181818182</v>
      </c>
      <c r="AG287" s="328">
        <f>IF(OR(Tabelle1[[#This Row],[Nicht einbezogen weil…]]="",Tabelle1[[#This Row],[Nicht einbezogen weil…]]="nicht-natürlich"),IF(Tabelle1[[#This Row],[Formfaktor]]=2, 1,IF(Tabelle1[[#This Row],[Formfaktor]]=4,2,IF(Tabelle1[[#This Row],[Formfaktor]]=6,3,""))),"")</f>
        <v>1</v>
      </c>
      <c r="AH287" s="5">
        <f>IF(OR(Tabelle1[[#This Row],[Nicht einbezogen weil…]]="",Tabelle1[[#This Row],[Nicht einbezogen weil…]]="nicht-natürlich"),IFERROR(Tabelle1[[#This Row],[Thickness '[mm']]]/Tabelle1[[#This Row],[Dauer des Abbaus
'[Tage']]]*1000*0.5*365*(1-(1-Tabelle1[[#This Row],[Abbaurate '[%/d']]]/100*Tabelle1[[#This Row],[Dauer des Abbaus
'[Tage']]])^(1/Tabelle1[[#This Row],[Exponent]])),""),"")</f>
        <v>16.300568181818178</v>
      </c>
      <c r="AI28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PBSe_Meerwasser_nicht natürlich</v>
      </c>
      <c r="AJ287" s="6">
        <v>1</v>
      </c>
      <c r="AK28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287" s="3" t="s">
        <v>1366</v>
      </c>
      <c r="AU287" s="13"/>
    </row>
    <row r="288" spans="1:49" ht="17.25" customHeight="1">
      <c r="B288" s="11" t="s">
        <v>645</v>
      </c>
      <c r="C288" s="3" t="s">
        <v>637</v>
      </c>
      <c r="D288" s="3" t="s">
        <v>223</v>
      </c>
      <c r="E288" s="10"/>
      <c r="F288" s="74" t="s">
        <v>341</v>
      </c>
      <c r="G288" s="74" t="s">
        <v>341</v>
      </c>
      <c r="H288" s="74" t="s">
        <v>341</v>
      </c>
      <c r="I288" s="77">
        <v>1.2</v>
      </c>
      <c r="M288" s="3" t="s">
        <v>223</v>
      </c>
      <c r="N288" s="3" t="s">
        <v>655</v>
      </c>
      <c r="O288" s="3" t="s">
        <v>294</v>
      </c>
      <c r="P28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88" s="4">
        <v>30</v>
      </c>
      <c r="U288" s="4" t="s">
        <v>12</v>
      </c>
      <c r="W288" s="3" t="s">
        <v>190</v>
      </c>
      <c r="Y288" s="4">
        <v>11.97</v>
      </c>
      <c r="Z288" s="4">
        <v>14</v>
      </c>
      <c r="AA288" s="5">
        <f t="shared" si="21"/>
        <v>0.85500000000000009</v>
      </c>
      <c r="AB288" s="5"/>
      <c r="AC288"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88" s="97" t="str">
        <f>IF(Tabelle1[[#This Row],[Nicht einbezogen weil…]]="",IFERROR(1000*Tabelle1[[#This Row],[Formfaktor]]/Tabelle1[[#This Row],[Thickness '[mm']]],""),"")</f>
        <v/>
      </c>
      <c r="AE288" s="98" t="str">
        <f>IF(Tabelle1[[#This Row],[Nicht einbezogen weil…]]="",IFERROR(Tabelle1[[#This Row],[specific surface '[m^2/m^3']]]/Tabelle1[[#This Row],[Density 
'[g/cm3']]]/1000000,""),"")</f>
        <v/>
      </c>
      <c r="AF288" s="97" t="str">
        <f>IF(Tabelle1[[#This Row],[Nicht einbezogen weil…]]="",IFERROR(365*10*Tabelle1[[#This Row],[Abbaurate '[%/d']]]*Tabelle1[[#This Row],[Thickness '[mm']]]/Tabelle1[[#This Row],[Formfaktor]],""),"")</f>
        <v/>
      </c>
      <c r="AG288" s="99" t="str">
        <f>IF(OR(Tabelle1[[#This Row],[Nicht einbezogen weil…]]="",Tabelle1[[#This Row],[Nicht einbezogen weil…]]="nicht-natürlich"),IF(Tabelle1[[#This Row],[Formfaktor]]=2, 1,IF(Tabelle1[[#This Row],[Formfaktor]]=4,2,IF(Tabelle1[[#This Row],[Formfaktor]]=6,3,""))),"")</f>
        <v/>
      </c>
      <c r="AH28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8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88" s="71">
        <v>1</v>
      </c>
      <c r="AK28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88" s="3" t="s">
        <v>386</v>
      </c>
      <c r="AM288" s="3" t="s">
        <v>962</v>
      </c>
      <c r="AN288" s="3" t="s">
        <v>538</v>
      </c>
      <c r="AO288" s="3" t="s">
        <v>200</v>
      </c>
      <c r="AP288" s="3" t="s">
        <v>200</v>
      </c>
      <c r="AT288" s="10" t="s">
        <v>223</v>
      </c>
      <c r="AU288" s="13" t="s">
        <v>200</v>
      </c>
      <c r="AW288" s="10" t="s">
        <v>813</v>
      </c>
    </row>
    <row r="289" spans="1:49" ht="17.25" customHeight="1">
      <c r="B289" s="11" t="s">
        <v>646</v>
      </c>
      <c r="C289" s="3" t="s">
        <v>638</v>
      </c>
      <c r="D289" s="3" t="s">
        <v>223</v>
      </c>
      <c r="E289" s="10"/>
      <c r="F289" s="74" t="s">
        <v>341</v>
      </c>
      <c r="G289" s="74" t="s">
        <v>341</v>
      </c>
      <c r="H289" s="74" t="s">
        <v>341</v>
      </c>
      <c r="I289" s="77">
        <v>1.2</v>
      </c>
      <c r="M289" s="3" t="s">
        <v>223</v>
      </c>
      <c r="N289" s="3" t="s">
        <v>655</v>
      </c>
      <c r="O289" s="3" t="s">
        <v>294</v>
      </c>
      <c r="P28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89" s="4">
        <v>30</v>
      </c>
      <c r="U289" s="4" t="s">
        <v>12</v>
      </c>
      <c r="W289" s="3" t="s">
        <v>190</v>
      </c>
      <c r="Y289" s="4">
        <v>3.73</v>
      </c>
      <c r="Z289" s="4">
        <v>14</v>
      </c>
      <c r="AA289" s="5">
        <f t="shared" si="21"/>
        <v>0.2664285714285714</v>
      </c>
      <c r="AB289" s="5"/>
      <c r="AC289"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89" s="97" t="str">
        <f>IF(Tabelle1[[#This Row],[Nicht einbezogen weil…]]="",IFERROR(1000*Tabelle1[[#This Row],[Formfaktor]]/Tabelle1[[#This Row],[Thickness '[mm']]],""),"")</f>
        <v/>
      </c>
      <c r="AE289" s="98" t="str">
        <f>IF(Tabelle1[[#This Row],[Nicht einbezogen weil…]]="",IFERROR(Tabelle1[[#This Row],[specific surface '[m^2/m^3']]]/Tabelle1[[#This Row],[Density 
'[g/cm3']]]/1000000,""),"")</f>
        <v/>
      </c>
      <c r="AF289" s="97" t="str">
        <f>IF(Tabelle1[[#This Row],[Nicht einbezogen weil…]]="",IFERROR(365*10*Tabelle1[[#This Row],[Abbaurate '[%/d']]]*Tabelle1[[#This Row],[Thickness '[mm']]]/Tabelle1[[#This Row],[Formfaktor]],""),"")</f>
        <v/>
      </c>
      <c r="AG289" s="99" t="str">
        <f>IF(OR(Tabelle1[[#This Row],[Nicht einbezogen weil…]]="",Tabelle1[[#This Row],[Nicht einbezogen weil…]]="nicht-natürlich"),IF(Tabelle1[[#This Row],[Formfaktor]]=2, 1,IF(Tabelle1[[#This Row],[Formfaktor]]=4,2,IF(Tabelle1[[#This Row],[Formfaktor]]=6,3,""))),"")</f>
        <v/>
      </c>
      <c r="AH28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8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89" s="71">
        <v>1</v>
      </c>
      <c r="AK28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89" s="3" t="s">
        <v>386</v>
      </c>
      <c r="AM289" s="3" t="s">
        <v>962</v>
      </c>
      <c r="AN289" s="3" t="s">
        <v>538</v>
      </c>
      <c r="AO289" s="3" t="s">
        <v>200</v>
      </c>
      <c r="AP289" s="3" t="s">
        <v>200</v>
      </c>
      <c r="AT289" s="10" t="s">
        <v>223</v>
      </c>
      <c r="AU289" s="13" t="s">
        <v>200</v>
      </c>
      <c r="AW289" s="10" t="s">
        <v>813</v>
      </c>
    </row>
    <row r="290" spans="1:49" ht="17.25" customHeight="1">
      <c r="B290" s="7" t="s">
        <v>78</v>
      </c>
      <c r="C290" s="3" t="s">
        <v>266</v>
      </c>
      <c r="D290" s="3" t="s">
        <v>200</v>
      </c>
      <c r="E290" s="10" t="s">
        <v>205</v>
      </c>
      <c r="F290" s="3" t="s">
        <v>288</v>
      </c>
      <c r="G290" s="3" t="s">
        <v>341</v>
      </c>
      <c r="H290" s="3">
        <f>PI()*(0.012/2)^2</f>
        <v>1.1309733552923255E-4</v>
      </c>
      <c r="I290" s="24">
        <v>1.38</v>
      </c>
      <c r="J290" s="3" t="s">
        <v>267</v>
      </c>
      <c r="K290" s="8" t="s">
        <v>268</v>
      </c>
      <c r="L290" s="3" t="s">
        <v>1128</v>
      </c>
      <c r="M290" s="3" t="s">
        <v>223</v>
      </c>
      <c r="N290" s="3" t="s">
        <v>269</v>
      </c>
      <c r="O290" s="3" t="s">
        <v>294</v>
      </c>
      <c r="P29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90" s="4">
        <v>55</v>
      </c>
      <c r="U290" s="4" t="s">
        <v>12</v>
      </c>
      <c r="V290" s="4" t="s">
        <v>594</v>
      </c>
      <c r="W290" s="3" t="s">
        <v>13</v>
      </c>
      <c r="Y290" s="4">
        <v>22.4</v>
      </c>
      <c r="Z290" s="6">
        <v>21</v>
      </c>
      <c r="AA290" s="5">
        <f t="shared" si="21"/>
        <v>1.0666666666666667</v>
      </c>
      <c r="AB290" s="5"/>
      <c r="AC29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90" s="97" t="str">
        <f>IF(Tabelle1[[#This Row],[Nicht einbezogen weil…]]="",IFERROR(1000*Tabelle1[[#This Row],[Formfaktor]]/Tabelle1[[#This Row],[Thickness '[mm']]],""),"")</f>
        <v/>
      </c>
      <c r="AE290" s="98" t="str">
        <f>IF(Tabelle1[[#This Row],[Nicht einbezogen weil…]]="",IFERROR(Tabelle1[[#This Row],[specific surface '[m^2/m^3']]]/Tabelle1[[#This Row],[Density 
'[g/cm3']]]/1000000,""),"")</f>
        <v/>
      </c>
      <c r="AF290" s="97" t="str">
        <f>IF(Tabelle1[[#This Row],[Nicht einbezogen weil…]]="",IFERROR(365*10*Tabelle1[[#This Row],[Abbaurate '[%/d']]]*Tabelle1[[#This Row],[Thickness '[mm']]]/Tabelle1[[#This Row],[Formfaktor]],""),"")</f>
        <v/>
      </c>
      <c r="AG290" s="99" t="str">
        <f>IF(OR(Tabelle1[[#This Row],[Nicht einbezogen weil…]]="",Tabelle1[[#This Row],[Nicht einbezogen weil…]]="nicht-natürlich"),IF(Tabelle1[[#This Row],[Formfaktor]]=2, 1,IF(Tabelle1[[#This Row],[Formfaktor]]=4,2,IF(Tabelle1[[#This Row],[Formfaktor]]=6,3,""))),"")</f>
        <v/>
      </c>
      <c r="AH29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0" s="71">
        <v>1</v>
      </c>
      <c r="AK29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90" s="3" t="s">
        <v>270</v>
      </c>
      <c r="AM290" s="3" t="s">
        <v>967</v>
      </c>
      <c r="AO290" s="3" t="s">
        <v>235</v>
      </c>
      <c r="AP290" s="3" t="s">
        <v>235</v>
      </c>
      <c r="AT290" s="10" t="s">
        <v>200</v>
      </c>
      <c r="AU290" s="13" t="s">
        <v>200</v>
      </c>
      <c r="AW290" s="10" t="s">
        <v>775</v>
      </c>
    </row>
    <row r="291" spans="1:49" ht="17.25" customHeight="1">
      <c r="B291" s="7" t="s">
        <v>78</v>
      </c>
      <c r="C291" s="3" t="s">
        <v>264</v>
      </c>
      <c r="D291" s="3" t="s">
        <v>200</v>
      </c>
      <c r="E291" s="10" t="s">
        <v>205</v>
      </c>
      <c r="F291" s="3" t="s">
        <v>288</v>
      </c>
      <c r="G291" s="3" t="s">
        <v>341</v>
      </c>
      <c r="H291" s="3">
        <f>PI()*(0.012/2)^2</f>
        <v>1.1309733552923255E-4</v>
      </c>
      <c r="I291" s="24">
        <v>1.38</v>
      </c>
      <c r="J291" s="3" t="s">
        <v>265</v>
      </c>
      <c r="K291" s="8" t="s">
        <v>268</v>
      </c>
      <c r="L291" s="3" t="s">
        <v>1128</v>
      </c>
      <c r="M291" s="3" t="s">
        <v>223</v>
      </c>
      <c r="N291" s="3" t="s">
        <v>269</v>
      </c>
      <c r="O291" s="3" t="s">
        <v>294</v>
      </c>
      <c r="P29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91" s="4">
        <v>55</v>
      </c>
      <c r="U291" s="4" t="s">
        <v>12</v>
      </c>
      <c r="V291" s="4" t="s">
        <v>594</v>
      </c>
      <c r="W291" s="3" t="s">
        <v>13</v>
      </c>
      <c r="Y291" s="4">
        <v>50</v>
      </c>
      <c r="Z291" s="6">
        <v>21</v>
      </c>
      <c r="AA291" s="5">
        <f t="shared" si="21"/>
        <v>2.3809523809523809</v>
      </c>
      <c r="AB291" s="5"/>
      <c r="AC29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91" s="97" t="str">
        <f>IF(Tabelle1[[#This Row],[Nicht einbezogen weil…]]="",IFERROR(1000*Tabelle1[[#This Row],[Formfaktor]]/Tabelle1[[#This Row],[Thickness '[mm']]],""),"")</f>
        <v/>
      </c>
      <c r="AE291" s="98" t="str">
        <f>IF(Tabelle1[[#This Row],[Nicht einbezogen weil…]]="",IFERROR(Tabelle1[[#This Row],[specific surface '[m^2/m^3']]]/Tabelle1[[#This Row],[Density 
'[g/cm3']]]/1000000,""),"")</f>
        <v/>
      </c>
      <c r="AF291" s="97" t="str">
        <f>IF(Tabelle1[[#This Row],[Nicht einbezogen weil…]]="",IFERROR(365*10*Tabelle1[[#This Row],[Abbaurate '[%/d']]]*Tabelle1[[#This Row],[Thickness '[mm']]]/Tabelle1[[#This Row],[Formfaktor]],""),"")</f>
        <v/>
      </c>
      <c r="AG291" s="99" t="str">
        <f>IF(OR(Tabelle1[[#This Row],[Nicht einbezogen weil…]]="",Tabelle1[[#This Row],[Nicht einbezogen weil…]]="nicht-natürlich"),IF(Tabelle1[[#This Row],[Formfaktor]]=2, 1,IF(Tabelle1[[#This Row],[Formfaktor]]=4,2,IF(Tabelle1[[#This Row],[Formfaktor]]=6,3,""))),"")</f>
        <v/>
      </c>
      <c r="AH29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1" s="71">
        <v>1</v>
      </c>
      <c r="AK29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91" s="3" t="s">
        <v>270</v>
      </c>
      <c r="AM291" s="3" t="s">
        <v>967</v>
      </c>
      <c r="AO291" s="3" t="s">
        <v>235</v>
      </c>
      <c r="AP291" s="3" t="s">
        <v>235</v>
      </c>
      <c r="AT291" s="10" t="s">
        <v>200</v>
      </c>
      <c r="AU291" s="13" t="s">
        <v>200</v>
      </c>
      <c r="AW291" s="10" t="s">
        <v>775</v>
      </c>
    </row>
    <row r="292" spans="1:49" ht="17.25" customHeight="1">
      <c r="A292" s="10" t="s">
        <v>200</v>
      </c>
      <c r="B292" s="7" t="s">
        <v>357</v>
      </c>
      <c r="C292" s="3" t="s">
        <v>1154</v>
      </c>
      <c r="D292" s="3" t="s">
        <v>223</v>
      </c>
      <c r="E292" s="10"/>
      <c r="F292" s="3" t="s">
        <v>288</v>
      </c>
      <c r="G292" s="3">
        <v>3</v>
      </c>
      <c r="H292" s="3">
        <f>10*7.5/10000</f>
        <v>7.4999999999999997E-3</v>
      </c>
      <c r="I292" s="3">
        <v>1.38</v>
      </c>
      <c r="K292" s="8" t="s">
        <v>686</v>
      </c>
      <c r="M292" s="3" t="s">
        <v>200</v>
      </c>
      <c r="N292" s="3" t="s">
        <v>23</v>
      </c>
      <c r="O292" s="3" t="s">
        <v>23</v>
      </c>
      <c r="P29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292" s="4">
        <v>28</v>
      </c>
      <c r="R292" s="4">
        <v>8.18</v>
      </c>
      <c r="U292" s="4" t="s">
        <v>12</v>
      </c>
      <c r="W292" s="3" t="s">
        <v>13</v>
      </c>
      <c r="Y292" s="4">
        <v>7.49</v>
      </c>
      <c r="Z292" s="4">
        <v>365</v>
      </c>
      <c r="AA292" s="5">
        <f t="shared" si="21"/>
        <v>2.052054794520548E-2</v>
      </c>
      <c r="AB292" s="5"/>
      <c r="AC29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92" s="97" t="str">
        <f>IF(Tabelle1[[#This Row],[Nicht einbezogen weil…]]="",IFERROR(1000*Tabelle1[[#This Row],[Formfaktor]]/Tabelle1[[#This Row],[Thickness '[mm']]],""),"")</f>
        <v/>
      </c>
      <c r="AE292" s="98" t="str">
        <f>IF(Tabelle1[[#This Row],[Nicht einbezogen weil…]]="",IFERROR(Tabelle1[[#This Row],[specific surface '[m^2/m^3']]]/Tabelle1[[#This Row],[Density 
'[g/cm3']]]/1000000,""),"")</f>
        <v/>
      </c>
      <c r="AF292" s="97" t="str">
        <f>IF(Tabelle1[[#This Row],[Nicht einbezogen weil…]]="",IFERROR(365*10*Tabelle1[[#This Row],[Abbaurate '[%/d']]]*Tabelle1[[#This Row],[Thickness '[mm']]]/Tabelle1[[#This Row],[Formfaktor]],""),"")</f>
        <v/>
      </c>
      <c r="AG292" s="99" t="str">
        <f>IF(OR(Tabelle1[[#This Row],[Nicht einbezogen weil…]]="",Tabelle1[[#This Row],[Nicht einbezogen weil…]]="nicht-natürlich"),IF(Tabelle1[[#This Row],[Formfaktor]]=2, 1,IF(Tabelle1[[#This Row],[Formfaktor]]=4,2,IF(Tabelle1[[#This Row],[Formfaktor]]=6,3,""))),"")</f>
        <v/>
      </c>
      <c r="AH292" s="361"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2" s="71">
        <v>1</v>
      </c>
      <c r="AK29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Plastikart unklar</v>
      </c>
      <c r="AL292" s="3" t="s">
        <v>303</v>
      </c>
      <c r="AM292" s="3" t="s">
        <v>967</v>
      </c>
      <c r="AO292" s="3" t="s">
        <v>235</v>
      </c>
      <c r="AP292" s="3" t="s">
        <v>235</v>
      </c>
      <c r="AQ292" s="3" t="s">
        <v>200</v>
      </c>
      <c r="AR292" s="2" t="s">
        <v>200</v>
      </c>
      <c r="AS292" s="2" t="s">
        <v>200</v>
      </c>
      <c r="AT292" s="10" t="s">
        <v>200</v>
      </c>
      <c r="AU292" s="13" t="s">
        <v>200</v>
      </c>
    </row>
    <row r="293" spans="1:49" ht="17.25" customHeight="1">
      <c r="B293" s="7" t="s">
        <v>18</v>
      </c>
      <c r="C293" s="3" t="s">
        <v>590</v>
      </c>
      <c r="D293" s="3" t="s">
        <v>200</v>
      </c>
      <c r="E293" s="10" t="s">
        <v>205</v>
      </c>
      <c r="F293" s="3" t="s">
        <v>288</v>
      </c>
      <c r="G293" s="3">
        <v>0.2</v>
      </c>
      <c r="H293" s="3">
        <f>0.008*0.008</f>
        <v>6.3999999999999997E-5</v>
      </c>
      <c r="I293" s="77">
        <v>1.26</v>
      </c>
      <c r="L293" s="3" t="s">
        <v>591</v>
      </c>
      <c r="M293" s="3" t="s">
        <v>223</v>
      </c>
      <c r="N293" s="3" t="s">
        <v>25</v>
      </c>
      <c r="O293" s="3" t="s">
        <v>294</v>
      </c>
      <c r="P29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93" s="4">
        <v>25</v>
      </c>
      <c r="V293" s="4" t="s">
        <v>592</v>
      </c>
      <c r="W293" s="3" t="s">
        <v>13</v>
      </c>
      <c r="Y293" s="4">
        <v>41</v>
      </c>
      <c r="Z293" s="4">
        <v>18</v>
      </c>
      <c r="AA293" s="5">
        <f t="shared" si="21"/>
        <v>2.2777777777777777</v>
      </c>
      <c r="AB293" s="5"/>
      <c r="AC29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93" s="97" t="str">
        <f>IF(Tabelle1[[#This Row],[Nicht einbezogen weil…]]="",IFERROR(1000*Tabelle1[[#This Row],[Formfaktor]]/Tabelle1[[#This Row],[Thickness '[mm']]],""),"")</f>
        <v/>
      </c>
      <c r="AE293" s="98" t="str">
        <f>IF(Tabelle1[[#This Row],[Nicht einbezogen weil…]]="",IFERROR(Tabelle1[[#This Row],[specific surface '[m^2/m^3']]]/Tabelle1[[#This Row],[Density 
'[g/cm3']]]/1000000,""),"")</f>
        <v/>
      </c>
      <c r="AF293" s="97" t="str">
        <f>IF(Tabelle1[[#This Row],[Nicht einbezogen weil…]]="",IFERROR(365*10*Tabelle1[[#This Row],[Abbaurate '[%/d']]]*Tabelle1[[#This Row],[Thickness '[mm']]]/Tabelle1[[#This Row],[Formfaktor]],""),"")</f>
        <v/>
      </c>
      <c r="AG293" s="99" t="str">
        <f>IF(OR(Tabelle1[[#This Row],[Nicht einbezogen weil…]]="",Tabelle1[[#This Row],[Nicht einbezogen weil…]]="nicht-natürlich"),IF(Tabelle1[[#This Row],[Formfaktor]]=2, 1,IF(Tabelle1[[#This Row],[Formfaktor]]=4,2,IF(Tabelle1[[#This Row],[Formfaktor]]=6,3,""))),"")</f>
        <v/>
      </c>
      <c r="AH29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3" s="71">
        <v>1</v>
      </c>
      <c r="AK29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293" s="3" t="s">
        <v>142</v>
      </c>
      <c r="AM293" s="3" t="s">
        <v>977</v>
      </c>
      <c r="AO293" s="3" t="s">
        <v>235</v>
      </c>
      <c r="AP293" s="3" t="s">
        <v>235</v>
      </c>
      <c r="AT293" s="10" t="s">
        <v>223</v>
      </c>
      <c r="AU293" s="13" t="s">
        <v>200</v>
      </c>
      <c r="AW293" s="10" t="s">
        <v>775</v>
      </c>
    </row>
    <row r="294" spans="1:49" ht="17.25" customHeight="1">
      <c r="B294" s="7" t="s">
        <v>78</v>
      </c>
      <c r="C294" s="3" t="s">
        <v>78</v>
      </c>
      <c r="D294" s="3" t="s">
        <v>223</v>
      </c>
      <c r="E294" s="10"/>
      <c r="F294" s="3" t="s">
        <v>615</v>
      </c>
      <c r="G294" s="74" t="s">
        <v>341</v>
      </c>
      <c r="H294" s="74" t="s">
        <v>341</v>
      </c>
      <c r="I294" s="24">
        <v>1.38</v>
      </c>
      <c r="J294" s="3" t="s">
        <v>616</v>
      </c>
      <c r="K294" s="8" t="s">
        <v>229</v>
      </c>
      <c r="M294" s="3" t="s">
        <v>223</v>
      </c>
      <c r="N294" s="3" t="s">
        <v>233</v>
      </c>
      <c r="O294" s="3" t="s">
        <v>617</v>
      </c>
      <c r="P29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94" s="4">
        <v>36</v>
      </c>
      <c r="U294" s="4" t="s">
        <v>12</v>
      </c>
      <c r="W294" s="3" t="s">
        <v>478</v>
      </c>
      <c r="X294" s="3" t="s">
        <v>1131</v>
      </c>
      <c r="Y294" s="4">
        <v>100</v>
      </c>
      <c r="Z294" s="4">
        <f>30*365</f>
        <v>10950</v>
      </c>
      <c r="AA294" s="5">
        <f t="shared" si="21"/>
        <v>9.1324200913242004E-3</v>
      </c>
      <c r="AB294" s="5"/>
      <c r="AC294"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94" s="97" t="str">
        <f>IF(Tabelle1[[#This Row],[Nicht einbezogen weil…]]="",IFERROR(1000*Tabelle1[[#This Row],[Formfaktor]]/Tabelle1[[#This Row],[Thickness '[mm']]],""),"")</f>
        <v/>
      </c>
      <c r="AE294" s="98" t="str">
        <f>IF(Tabelle1[[#This Row],[Nicht einbezogen weil…]]="",IFERROR(Tabelle1[[#This Row],[specific surface '[m^2/m^3']]]/Tabelle1[[#This Row],[Density 
'[g/cm3']]]/1000000,""),"")</f>
        <v/>
      </c>
      <c r="AF294" s="97" t="str">
        <f>IF(Tabelle1[[#This Row],[Nicht einbezogen weil…]]="",IFERROR(365*10*Tabelle1[[#This Row],[Abbaurate '[%/d']]]*Tabelle1[[#This Row],[Thickness '[mm']]]/Tabelle1[[#This Row],[Formfaktor]],""),"")</f>
        <v/>
      </c>
      <c r="AG294" s="99" t="str">
        <f>IF(OR(Tabelle1[[#This Row],[Nicht einbezogen weil…]]="",Tabelle1[[#This Row],[Nicht einbezogen weil…]]="nicht-natürlich"),IF(Tabelle1[[#This Row],[Formfaktor]]=2, 1,IF(Tabelle1[[#This Row],[Formfaktor]]=4,2,IF(Tabelle1[[#This Row],[Formfaktor]]=6,3,""))),"")</f>
        <v/>
      </c>
      <c r="AH29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4" s="71">
        <v>1</v>
      </c>
      <c r="AK29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294" s="3" t="s">
        <v>234</v>
      </c>
      <c r="AM294" s="3" t="s">
        <v>232</v>
      </c>
      <c r="AO294" s="3" t="s">
        <v>235</v>
      </c>
      <c r="AP294" s="3" t="s">
        <v>235</v>
      </c>
      <c r="AQ294" s="2"/>
      <c r="AT294" s="10" t="s">
        <v>223</v>
      </c>
      <c r="AU294" s="13" t="s">
        <v>200</v>
      </c>
      <c r="AW294" s="10" t="s">
        <v>775</v>
      </c>
    </row>
    <row r="295" spans="1:49" ht="17.25" customHeight="1">
      <c r="B295" s="7" t="s">
        <v>78</v>
      </c>
      <c r="C295" s="3" t="s">
        <v>78</v>
      </c>
      <c r="D295" s="3" t="s">
        <v>223</v>
      </c>
      <c r="E295" s="10"/>
      <c r="F295" s="3" t="s">
        <v>241</v>
      </c>
      <c r="G295" s="74" t="s">
        <v>341</v>
      </c>
      <c r="H295" s="74" t="s">
        <v>341</v>
      </c>
      <c r="I295" s="24">
        <v>1.38</v>
      </c>
      <c r="L295" s="3" t="s">
        <v>242</v>
      </c>
      <c r="M295" s="3" t="s">
        <v>223</v>
      </c>
      <c r="N295" s="3" t="s">
        <v>243</v>
      </c>
      <c r="O295" s="3" t="s">
        <v>294</v>
      </c>
      <c r="P29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95" s="4">
        <v>65</v>
      </c>
      <c r="R295" s="4">
        <v>8</v>
      </c>
      <c r="U295" s="4" t="s">
        <v>12</v>
      </c>
      <c r="W295" s="3" t="s">
        <v>478</v>
      </c>
      <c r="X295" s="3" t="s">
        <v>244</v>
      </c>
      <c r="Y295" s="4">
        <v>24</v>
      </c>
      <c r="Z295" s="6">
        <f>96/24</f>
        <v>4</v>
      </c>
      <c r="AA295" s="5">
        <f t="shared" si="21"/>
        <v>6</v>
      </c>
      <c r="AB295" s="5"/>
      <c r="AC29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295" s="97" t="str">
        <f>IF(Tabelle1[[#This Row],[Nicht einbezogen weil…]]="",IFERROR(1000*Tabelle1[[#This Row],[Formfaktor]]/Tabelle1[[#This Row],[Thickness '[mm']]],""),"")</f>
        <v/>
      </c>
      <c r="AE295" s="98" t="str">
        <f>IF(Tabelle1[[#This Row],[Nicht einbezogen weil…]]="",IFERROR(Tabelle1[[#This Row],[specific surface '[m^2/m^3']]]/Tabelle1[[#This Row],[Density 
'[g/cm3']]]/1000000,""),"")</f>
        <v/>
      </c>
      <c r="AF295" s="97" t="str">
        <f>IF(Tabelle1[[#This Row],[Nicht einbezogen weil…]]="",IFERROR(365*10*Tabelle1[[#This Row],[Abbaurate '[%/d']]]*Tabelle1[[#This Row],[Thickness '[mm']]]/Tabelle1[[#This Row],[Formfaktor]],""),"")</f>
        <v/>
      </c>
      <c r="AG295" s="99" t="str">
        <f>IF(OR(Tabelle1[[#This Row],[Nicht einbezogen weil…]]="",Tabelle1[[#This Row],[Nicht einbezogen weil…]]="nicht-natürlich"),IF(Tabelle1[[#This Row],[Formfaktor]]=2, 1,IF(Tabelle1[[#This Row],[Formfaktor]]=4,2,IF(Tabelle1[[#This Row],[Formfaktor]]=6,3,""))),"")</f>
        <v/>
      </c>
      <c r="AH29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5" s="71">
        <v>1</v>
      </c>
      <c r="AK29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95" s="3" t="s">
        <v>245</v>
      </c>
      <c r="AO295" s="3" t="s">
        <v>235</v>
      </c>
      <c r="AP295" s="3" t="s">
        <v>235</v>
      </c>
      <c r="AT295" s="10" t="s">
        <v>223</v>
      </c>
      <c r="AU295" s="13" t="s">
        <v>200</v>
      </c>
      <c r="AW295" s="10" t="s">
        <v>775</v>
      </c>
    </row>
    <row r="296" spans="1:49" ht="17.25" customHeight="1">
      <c r="B296" s="7" t="s">
        <v>78</v>
      </c>
      <c r="C296" s="3" t="s">
        <v>78</v>
      </c>
      <c r="D296" s="3" t="s">
        <v>223</v>
      </c>
      <c r="E296" s="10"/>
      <c r="F296" s="3" t="s">
        <v>288</v>
      </c>
      <c r="G296" s="74" t="s">
        <v>341</v>
      </c>
      <c r="H296" s="3">
        <f>0.01*0.01</f>
        <v>1E-4</v>
      </c>
      <c r="I296" s="24">
        <v>1.38</v>
      </c>
      <c r="K296" s="8" t="s">
        <v>292</v>
      </c>
      <c r="L296" s="3" t="s">
        <v>293</v>
      </c>
      <c r="M296" s="3" t="s">
        <v>223</v>
      </c>
      <c r="N296" s="3" t="s">
        <v>294</v>
      </c>
      <c r="O296" s="3" t="s">
        <v>294</v>
      </c>
      <c r="P29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296" s="4" t="s">
        <v>12</v>
      </c>
      <c r="W296" s="3" t="s">
        <v>13</v>
      </c>
      <c r="Y296" s="4">
        <v>2</v>
      </c>
      <c r="Z296" s="6">
        <v>200</v>
      </c>
      <c r="AA296" s="5">
        <f t="shared" si="21"/>
        <v>0.01</v>
      </c>
      <c r="AB296" s="5"/>
      <c r="AC29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96" s="97" t="str">
        <f>IF(Tabelle1[[#This Row],[Nicht einbezogen weil…]]="",IFERROR(1000*Tabelle1[[#This Row],[Formfaktor]]/Tabelle1[[#This Row],[Thickness '[mm']]],""),"")</f>
        <v/>
      </c>
      <c r="AE296" s="98" t="str">
        <f>IF(Tabelle1[[#This Row],[Nicht einbezogen weil…]]="",IFERROR(Tabelle1[[#This Row],[specific surface '[m^2/m^3']]]/Tabelle1[[#This Row],[Density 
'[g/cm3']]]/1000000,""),"")</f>
        <v/>
      </c>
      <c r="AF296" s="97" t="str">
        <f>IF(Tabelle1[[#This Row],[Nicht einbezogen weil…]]="",IFERROR(365*10*Tabelle1[[#This Row],[Abbaurate '[%/d']]]*Tabelle1[[#This Row],[Thickness '[mm']]]/Tabelle1[[#This Row],[Formfaktor]],""),"")</f>
        <v/>
      </c>
      <c r="AG296" s="99" t="str">
        <f>IF(OR(Tabelle1[[#This Row],[Nicht einbezogen weil…]]="",Tabelle1[[#This Row],[Nicht einbezogen weil…]]="nicht-natürlich"),IF(Tabelle1[[#This Row],[Formfaktor]]=2, 1,IF(Tabelle1[[#This Row],[Formfaktor]]=4,2,IF(Tabelle1[[#This Row],[Formfaktor]]=6,3,""))),"")</f>
        <v/>
      </c>
      <c r="AH29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6" s="71">
        <v>1</v>
      </c>
      <c r="AK29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96" s="3" t="s">
        <v>295</v>
      </c>
      <c r="AM296" s="3" t="s">
        <v>967</v>
      </c>
      <c r="AO296" s="3" t="s">
        <v>235</v>
      </c>
      <c r="AP296" s="3" t="s">
        <v>235</v>
      </c>
      <c r="AT296" s="10" t="s">
        <v>200</v>
      </c>
      <c r="AU296" s="13" t="s">
        <v>200</v>
      </c>
      <c r="AW296" s="10" t="s">
        <v>775</v>
      </c>
    </row>
    <row r="297" spans="1:49" ht="17.25" customHeight="1">
      <c r="B297" s="7" t="s">
        <v>78</v>
      </c>
      <c r="C297" s="3" t="s">
        <v>78</v>
      </c>
      <c r="D297" s="3" t="s">
        <v>223</v>
      </c>
      <c r="E297" s="10"/>
      <c r="F297" s="3" t="s">
        <v>288</v>
      </c>
      <c r="G297" s="74" t="s">
        <v>341</v>
      </c>
      <c r="H297" s="3">
        <f>0.01*0.01</f>
        <v>1E-4</v>
      </c>
      <c r="I297" s="24">
        <v>1.38</v>
      </c>
      <c r="K297" s="8" t="s">
        <v>292</v>
      </c>
      <c r="L297" s="3" t="s">
        <v>296</v>
      </c>
      <c r="M297" s="3" t="s">
        <v>223</v>
      </c>
      <c r="N297" s="3" t="s">
        <v>294</v>
      </c>
      <c r="O297" s="3" t="s">
        <v>294</v>
      </c>
      <c r="P29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297" s="4" t="s">
        <v>12</v>
      </c>
      <c r="W297" s="3" t="s">
        <v>13</v>
      </c>
      <c r="Y297" s="4">
        <v>0.2</v>
      </c>
      <c r="Z297" s="6">
        <v>200</v>
      </c>
      <c r="AA297" s="5">
        <f t="shared" si="21"/>
        <v>1E-3</v>
      </c>
      <c r="AB297" s="5"/>
      <c r="AC29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297" s="97" t="str">
        <f>IF(Tabelle1[[#This Row],[Nicht einbezogen weil…]]="",IFERROR(1000*Tabelle1[[#This Row],[Formfaktor]]/Tabelle1[[#This Row],[Thickness '[mm']]],""),"")</f>
        <v/>
      </c>
      <c r="AE297" s="98" t="str">
        <f>IF(Tabelle1[[#This Row],[Nicht einbezogen weil…]]="",IFERROR(Tabelle1[[#This Row],[specific surface '[m^2/m^3']]]/Tabelle1[[#This Row],[Density 
'[g/cm3']]]/1000000,""),"")</f>
        <v/>
      </c>
      <c r="AF297" s="97" t="str">
        <f>IF(Tabelle1[[#This Row],[Nicht einbezogen weil…]]="",IFERROR(365*10*Tabelle1[[#This Row],[Abbaurate '[%/d']]]*Tabelle1[[#This Row],[Thickness '[mm']]]/Tabelle1[[#This Row],[Formfaktor]],""),"")</f>
        <v/>
      </c>
      <c r="AG297" s="99" t="str">
        <f>IF(OR(Tabelle1[[#This Row],[Nicht einbezogen weil…]]="",Tabelle1[[#This Row],[Nicht einbezogen weil…]]="nicht-natürlich"),IF(Tabelle1[[#This Row],[Formfaktor]]=2, 1,IF(Tabelle1[[#This Row],[Formfaktor]]=4,2,IF(Tabelle1[[#This Row],[Formfaktor]]=6,3,""))),"")</f>
        <v/>
      </c>
      <c r="AH29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7" s="71">
        <v>1</v>
      </c>
      <c r="AK29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297" s="3" t="s">
        <v>295</v>
      </c>
      <c r="AM297" s="3" t="s">
        <v>967</v>
      </c>
      <c r="AO297" s="3" t="s">
        <v>235</v>
      </c>
      <c r="AP297" s="3" t="s">
        <v>235</v>
      </c>
      <c r="AT297" s="10" t="s">
        <v>200</v>
      </c>
      <c r="AU297" s="13" t="s">
        <v>200</v>
      </c>
      <c r="AW297" s="10" t="s">
        <v>775</v>
      </c>
    </row>
    <row r="298" spans="1:49" ht="17.25" customHeight="1">
      <c r="B298" s="7" t="s">
        <v>78</v>
      </c>
      <c r="C298" s="3" t="s">
        <v>78</v>
      </c>
      <c r="D298" s="3" t="s">
        <v>223</v>
      </c>
      <c r="E298" s="10"/>
      <c r="F298" s="3" t="s">
        <v>213</v>
      </c>
      <c r="G298" s="3">
        <v>0.5</v>
      </c>
      <c r="I298" s="3">
        <v>1.38</v>
      </c>
      <c r="M298" s="3" t="s">
        <v>200</v>
      </c>
      <c r="N298" s="3" t="s">
        <v>23</v>
      </c>
      <c r="O298" s="3" t="s">
        <v>23</v>
      </c>
      <c r="P29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298" s="4" t="s">
        <v>12</v>
      </c>
      <c r="Y298" s="4">
        <v>100</v>
      </c>
      <c r="Z298" s="4">
        <f>450*365</f>
        <v>164250</v>
      </c>
      <c r="AA298" s="5">
        <f t="shared" si="21"/>
        <v>6.0882800608828011E-4</v>
      </c>
      <c r="AB298" s="5"/>
      <c r="AC298"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98" s="97" t="str">
        <f>IF(Tabelle1[[#This Row],[Nicht einbezogen weil…]]="",IFERROR(1000*Tabelle1[[#This Row],[Formfaktor]]/Tabelle1[[#This Row],[Thickness '[mm']]],""),"")</f>
        <v/>
      </c>
      <c r="AE298" s="98" t="str">
        <f>IF(Tabelle1[[#This Row],[Nicht einbezogen weil…]]="",IFERROR(Tabelle1[[#This Row],[specific surface '[m^2/m^3']]]/Tabelle1[[#This Row],[Density 
'[g/cm3']]]/1000000,""),"")</f>
        <v/>
      </c>
      <c r="AF298" s="97" t="str">
        <f>IF(Tabelle1[[#This Row],[Nicht einbezogen weil…]]="",IFERROR(365*10*Tabelle1[[#This Row],[Abbaurate '[%/d']]]*Tabelle1[[#This Row],[Thickness '[mm']]]/Tabelle1[[#This Row],[Formfaktor]],""),"")</f>
        <v/>
      </c>
      <c r="AG298" s="99" t="str">
        <f>IF(OR(Tabelle1[[#This Row],[Nicht einbezogen weil…]]="",Tabelle1[[#This Row],[Nicht einbezogen weil…]]="nicht-natürlich"),IF(Tabelle1[[#This Row],[Formfaktor]]=2, 1,IF(Tabelle1[[#This Row],[Formfaktor]]=4,2,IF(Tabelle1[[#This Row],[Formfaktor]]=6,3,""))),"")</f>
        <v/>
      </c>
      <c r="AH29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8" s="6">
        <v>0</v>
      </c>
      <c r="AK29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298" s="3" t="s">
        <v>237</v>
      </c>
      <c r="AM298" s="3" t="s">
        <v>236</v>
      </c>
      <c r="AO298" s="3" t="s">
        <v>223</v>
      </c>
      <c r="AP298" s="3" t="s">
        <v>223</v>
      </c>
      <c r="AT298" s="10" t="s">
        <v>223</v>
      </c>
      <c r="AU298" s="76" t="s">
        <v>695</v>
      </c>
      <c r="AV298" s="10" t="s">
        <v>589</v>
      </c>
    </row>
    <row r="299" spans="1:49" ht="17.25" customHeight="1">
      <c r="B299" s="7" t="s">
        <v>78</v>
      </c>
      <c r="C299" s="3" t="s">
        <v>78</v>
      </c>
      <c r="D299" s="74"/>
      <c r="E299" s="10"/>
      <c r="F299" s="74" t="s">
        <v>341</v>
      </c>
      <c r="G299" s="74" t="s">
        <v>341</v>
      </c>
      <c r="H299" s="74"/>
      <c r="I299" s="3">
        <v>1.38</v>
      </c>
      <c r="K299" s="8" t="s">
        <v>229</v>
      </c>
      <c r="M299" s="3" t="s">
        <v>223</v>
      </c>
      <c r="N299" s="3" t="s">
        <v>239</v>
      </c>
      <c r="O299" s="3" t="s">
        <v>617</v>
      </c>
      <c r="P29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299" s="4" t="s">
        <v>230</v>
      </c>
      <c r="U299" s="4" t="s">
        <v>12</v>
      </c>
      <c r="W299" s="3" t="s">
        <v>478</v>
      </c>
      <c r="X299" s="3" t="s">
        <v>231</v>
      </c>
      <c r="Y299" s="4">
        <v>100</v>
      </c>
      <c r="Z299" s="4">
        <f>((16+48)/2)*365</f>
        <v>11680</v>
      </c>
      <c r="AA299" s="5">
        <f t="shared" si="21"/>
        <v>8.5616438356164379E-3</v>
      </c>
      <c r="AB299" s="5"/>
      <c r="AC299"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299" s="97" t="str">
        <f>IF(Tabelle1[[#This Row],[Nicht einbezogen weil…]]="",IFERROR(1000*Tabelle1[[#This Row],[Formfaktor]]/Tabelle1[[#This Row],[Thickness '[mm']]],""),"")</f>
        <v/>
      </c>
      <c r="AE299" s="98" t="str">
        <f>IF(Tabelle1[[#This Row],[Nicht einbezogen weil…]]="",IFERROR(Tabelle1[[#This Row],[specific surface '[m^2/m^3']]]/Tabelle1[[#This Row],[Density 
'[g/cm3']]]/1000000,""),"")</f>
        <v/>
      </c>
      <c r="AF299" s="97" t="str">
        <f>IF(Tabelle1[[#This Row],[Nicht einbezogen weil…]]="",IFERROR(365*10*Tabelle1[[#This Row],[Abbaurate '[%/d']]]*Tabelle1[[#This Row],[Thickness '[mm']]]/Tabelle1[[#This Row],[Formfaktor]],""),"")</f>
        <v/>
      </c>
      <c r="AG299" s="99" t="str">
        <f>IF(OR(Tabelle1[[#This Row],[Nicht einbezogen weil…]]="",Tabelle1[[#This Row],[Nicht einbezogen weil…]]="nicht-natürlich"),IF(Tabelle1[[#This Row],[Formfaktor]]=2, 1,IF(Tabelle1[[#This Row],[Formfaktor]]=4,2,IF(Tabelle1[[#This Row],[Formfaktor]]=6,3,""))),"")</f>
        <v/>
      </c>
      <c r="AH29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29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299" s="6">
        <v>0</v>
      </c>
      <c r="AK29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299" s="3" t="s">
        <v>910</v>
      </c>
      <c r="AM299" s="3" t="s">
        <v>961</v>
      </c>
      <c r="AO299" s="3" t="s">
        <v>235</v>
      </c>
      <c r="AP299" s="3" t="s">
        <v>235</v>
      </c>
      <c r="AQ299" s="2"/>
      <c r="AT299" s="10" t="s">
        <v>223</v>
      </c>
      <c r="AU299" s="76" t="s">
        <v>953</v>
      </c>
      <c r="AV299" s="14" t="s">
        <v>496</v>
      </c>
    </row>
    <row r="300" spans="1:49" ht="17.25" customHeight="1">
      <c r="B300" s="7" t="s">
        <v>78</v>
      </c>
      <c r="C300" s="3" t="s">
        <v>78</v>
      </c>
      <c r="D300" s="3" t="s">
        <v>223</v>
      </c>
      <c r="E300" s="10"/>
      <c r="F300" s="3" t="s">
        <v>198</v>
      </c>
      <c r="G300" s="74" t="s">
        <v>341</v>
      </c>
      <c r="H300" s="74" t="s">
        <v>341</v>
      </c>
      <c r="I300" s="24">
        <v>1.38</v>
      </c>
      <c r="L300" s="3" t="s">
        <v>238</v>
      </c>
      <c r="M300" s="3" t="s">
        <v>200</v>
      </c>
      <c r="N300" s="3" t="s">
        <v>80</v>
      </c>
      <c r="O300" s="3" t="s">
        <v>23</v>
      </c>
      <c r="P30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00" s="4" t="s">
        <v>81</v>
      </c>
      <c r="R300" s="4">
        <v>8.1999999999999993</v>
      </c>
      <c r="U300" s="4" t="s">
        <v>12</v>
      </c>
      <c r="W300" s="3" t="s">
        <v>13</v>
      </c>
      <c r="Y300" s="339">
        <v>0.1</v>
      </c>
      <c r="Z300" s="4">
        <f>80*7</f>
        <v>560</v>
      </c>
      <c r="AA300" s="340">
        <f t="shared" si="21"/>
        <v>1.7857142857142857E-4</v>
      </c>
      <c r="AB300" s="340"/>
      <c r="AC30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00" s="97" t="str">
        <f>IF(Tabelle1[[#This Row],[Nicht einbezogen weil…]]="",IFERROR(1000*Tabelle1[[#This Row],[Formfaktor]]/Tabelle1[[#This Row],[Thickness '[mm']]],""),"")</f>
        <v/>
      </c>
      <c r="AE300" s="98" t="str">
        <f>IF(Tabelle1[[#This Row],[Nicht einbezogen weil…]]="",IFERROR(Tabelle1[[#This Row],[specific surface '[m^2/m^3']]]/Tabelle1[[#This Row],[Density 
'[g/cm3']]]/1000000,""),"")</f>
        <v/>
      </c>
      <c r="AF300" s="97" t="str">
        <f>IF(Tabelle1[[#This Row],[Nicht einbezogen weil…]]="",IFERROR(365*10*Tabelle1[[#This Row],[Abbaurate '[%/d']]]*Tabelle1[[#This Row],[Thickness '[mm']]]/Tabelle1[[#This Row],[Formfaktor]],""),"")</f>
        <v/>
      </c>
      <c r="AG300" s="99" t="str">
        <f>IF(OR(Tabelle1[[#This Row],[Nicht einbezogen weil…]]="",Tabelle1[[#This Row],[Nicht einbezogen weil…]]="nicht-natürlich"),IF(Tabelle1[[#This Row],[Formfaktor]]=2, 1,IF(Tabelle1[[#This Row],[Formfaktor]]=4,2,IF(Tabelle1[[#This Row],[Formfaktor]]=6,3,""))),"")</f>
        <v/>
      </c>
      <c r="AH30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0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00" s="71">
        <v>1</v>
      </c>
      <c r="AK30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00" s="3" t="s">
        <v>85</v>
      </c>
      <c r="AO300" s="3" t="s">
        <v>235</v>
      </c>
      <c r="AP300" s="3" t="s">
        <v>235</v>
      </c>
      <c r="AQ300" s="2"/>
      <c r="AT300" s="10" t="s">
        <v>223</v>
      </c>
      <c r="AU300" s="13" t="s">
        <v>200</v>
      </c>
      <c r="AW300" s="10" t="s">
        <v>775</v>
      </c>
    </row>
    <row r="301" spans="1:49" ht="17.25" customHeight="1">
      <c r="B301" s="7" t="s">
        <v>19</v>
      </c>
      <c r="C301" s="3" t="s">
        <v>1005</v>
      </c>
      <c r="D301" s="3" t="s">
        <v>223</v>
      </c>
      <c r="E301" s="10"/>
      <c r="F301" s="3" t="s">
        <v>288</v>
      </c>
      <c r="G301" s="3">
        <v>5.3999999999999999E-2</v>
      </c>
      <c r="H301" s="3">
        <f>0.05*0.05</f>
        <v>2.5000000000000005E-3</v>
      </c>
      <c r="I301" s="24">
        <v>1.24</v>
      </c>
      <c r="K301" s="8" t="s">
        <v>229</v>
      </c>
      <c r="M301" s="3" t="s">
        <v>301</v>
      </c>
      <c r="N301" s="3" t="s">
        <v>1004</v>
      </c>
      <c r="O301" s="3" t="s">
        <v>294</v>
      </c>
      <c r="P30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R301" s="9" t="s">
        <v>1007</v>
      </c>
      <c r="U301" s="4" t="s">
        <v>89</v>
      </c>
      <c r="W301" s="3" t="s">
        <v>13</v>
      </c>
      <c r="Y301" s="4">
        <v>5</v>
      </c>
      <c r="Z301" s="4">
        <v>120</v>
      </c>
      <c r="AA301" s="5">
        <f t="shared" si="21"/>
        <v>4.1666666666666664E-2</v>
      </c>
      <c r="AB301" s="5"/>
      <c r="AC30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01" s="5" t="str">
        <f>IF(Tabelle1[[#This Row],[Nicht einbezogen weil…]]="",IFERROR(1000*Tabelle1[[#This Row],[Formfaktor]]/Tabelle1[[#This Row],[Thickness '[mm']]],""),"")</f>
        <v/>
      </c>
      <c r="AE301" s="5" t="str">
        <f>IF(Tabelle1[[#This Row],[Nicht einbezogen weil…]]="",IFERROR(Tabelle1[[#This Row],[specific surface '[m^2/m^3']]]/Tabelle1[[#This Row],[Density 
'[g/cm3']]]/1000000,""),"")</f>
        <v/>
      </c>
      <c r="AF301" s="5" t="str">
        <f>IF(Tabelle1[[#This Row],[Nicht einbezogen weil…]]="",IFERROR(365*10*Tabelle1[[#This Row],[Abbaurate '[%/d']]]*Tabelle1[[#This Row],[Thickness '[mm']]]/Tabelle1[[#This Row],[Formfaktor]],""),"")</f>
        <v/>
      </c>
      <c r="AG301" s="328" t="str">
        <f>IF(OR(Tabelle1[[#This Row],[Nicht einbezogen weil…]]="",Tabelle1[[#This Row],[Nicht einbezogen weil…]]="nicht-natürlich"),IF(Tabelle1[[#This Row],[Formfaktor]]=2, 1,IF(Tabelle1[[#This Row],[Formfaktor]]=4,2,IF(Tabelle1[[#This Row],[Formfaktor]]=6,3,""))),"")</f>
        <v/>
      </c>
      <c r="AH301"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0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01" s="6">
        <v>1</v>
      </c>
      <c r="AK30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301" s="3" t="s">
        <v>976</v>
      </c>
      <c r="AM301" s="3" t="s">
        <v>967</v>
      </c>
      <c r="AN301" s="3" t="s">
        <v>824</v>
      </c>
      <c r="AO301" s="3" t="s">
        <v>200</v>
      </c>
      <c r="AP301" s="3" t="s">
        <v>200</v>
      </c>
      <c r="AT301" s="10" t="s">
        <v>200</v>
      </c>
      <c r="AU301" s="13" t="s">
        <v>200</v>
      </c>
      <c r="AW301" s="10" t="s">
        <v>813</v>
      </c>
    </row>
    <row r="302" spans="1:49" ht="17.25" customHeight="1">
      <c r="B302" s="7" t="s">
        <v>791</v>
      </c>
      <c r="C302" s="3" t="s">
        <v>415</v>
      </c>
      <c r="D302" s="3" t="s">
        <v>200</v>
      </c>
      <c r="E302" s="10" t="s">
        <v>1127</v>
      </c>
      <c r="F302" s="3" t="s">
        <v>288</v>
      </c>
      <c r="G302" s="3">
        <v>0.36</v>
      </c>
      <c r="H302" s="3">
        <f>0.01*0.01</f>
        <v>1E-4</v>
      </c>
      <c r="I302" s="24">
        <v>1.39</v>
      </c>
      <c r="J302" s="3" t="s">
        <v>414</v>
      </c>
      <c r="K302" s="8" t="s">
        <v>421</v>
      </c>
      <c r="M302" s="3" t="s">
        <v>223</v>
      </c>
      <c r="N302" s="3" t="s">
        <v>325</v>
      </c>
      <c r="O302" s="3" t="s">
        <v>358</v>
      </c>
      <c r="P30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302" s="4">
        <v>7.43</v>
      </c>
      <c r="U302" s="4" t="s">
        <v>12</v>
      </c>
      <c r="W302" s="3" t="s">
        <v>90</v>
      </c>
      <c r="Y302" s="9" t="s">
        <v>426</v>
      </c>
      <c r="Z302" s="4">
        <v>660</v>
      </c>
      <c r="AA302" s="5">
        <v>0</v>
      </c>
      <c r="AB302" s="5"/>
      <c r="AC30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02" s="97" t="str">
        <f>IF(Tabelle1[[#This Row],[Nicht einbezogen weil…]]="",IFERROR(1000*Tabelle1[[#This Row],[Formfaktor]]/Tabelle1[[#This Row],[Thickness '[mm']]],""),"")</f>
        <v/>
      </c>
      <c r="AE302" s="98" t="str">
        <f>IF(Tabelle1[[#This Row],[Nicht einbezogen weil…]]="",IFERROR(Tabelle1[[#This Row],[specific surface '[m^2/m^3']]]/Tabelle1[[#This Row],[Density 
'[g/cm3']]]/1000000,""),"")</f>
        <v/>
      </c>
      <c r="AF302" s="97" t="str">
        <f>IF(Tabelle1[[#This Row],[Nicht einbezogen weil…]]="",IFERROR(365*10*Tabelle1[[#This Row],[Abbaurate '[%/d']]]*Tabelle1[[#This Row],[Thickness '[mm']]]/Tabelle1[[#This Row],[Formfaktor]],""),"")</f>
        <v/>
      </c>
      <c r="AG302" s="99" t="str">
        <f>IF(OR(Tabelle1[[#This Row],[Nicht einbezogen weil…]]="",Tabelle1[[#This Row],[Nicht einbezogen weil…]]="nicht-natürlich"),IF(Tabelle1[[#This Row],[Formfaktor]]=2, 1,IF(Tabelle1[[#This Row],[Formfaktor]]=4,2,IF(Tabelle1[[#This Row],[Formfaktor]]=6,3,""))),"")</f>
        <v/>
      </c>
      <c r="AH30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0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02" s="71">
        <v>1</v>
      </c>
      <c r="AK30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02" s="3" t="s">
        <v>145</v>
      </c>
      <c r="AN302" s="3" t="s">
        <v>538</v>
      </c>
      <c r="AO302" s="3" t="s">
        <v>200</v>
      </c>
      <c r="AP302" s="3" t="s">
        <v>200</v>
      </c>
      <c r="AT302" s="10" t="s">
        <v>223</v>
      </c>
      <c r="AU302" s="13" t="s">
        <v>200</v>
      </c>
      <c r="AW302" s="10" t="s">
        <v>775</v>
      </c>
    </row>
    <row r="303" spans="1:49" ht="17.25" customHeight="1">
      <c r="B303" s="7" t="s">
        <v>791</v>
      </c>
      <c r="C303" s="3" t="s">
        <v>415</v>
      </c>
      <c r="D303" s="3" t="s">
        <v>200</v>
      </c>
      <c r="E303" s="10" t="s">
        <v>1127</v>
      </c>
      <c r="F303" s="3" t="s">
        <v>288</v>
      </c>
      <c r="G303" s="3">
        <v>0.36</v>
      </c>
      <c r="H303" s="3">
        <f>0.01*0.01</f>
        <v>1E-4</v>
      </c>
      <c r="I303" s="24">
        <v>1.39</v>
      </c>
      <c r="J303" s="3" t="s">
        <v>414</v>
      </c>
      <c r="K303" s="8" t="s">
        <v>422</v>
      </c>
      <c r="M303" s="3" t="s">
        <v>223</v>
      </c>
      <c r="N303" s="3" t="s">
        <v>323</v>
      </c>
      <c r="O303" s="3" t="s">
        <v>358</v>
      </c>
      <c r="P30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03" s="4">
        <v>55</v>
      </c>
      <c r="R303" s="4">
        <v>7.95</v>
      </c>
      <c r="T303" s="4">
        <v>60</v>
      </c>
      <c r="U303" s="4" t="s">
        <v>12</v>
      </c>
      <c r="V303" s="4" t="s">
        <v>424</v>
      </c>
      <c r="W303" s="3" t="s">
        <v>90</v>
      </c>
      <c r="Y303" s="4">
        <v>0.6</v>
      </c>
      <c r="Z303" s="4">
        <v>115</v>
      </c>
      <c r="AA303" s="5">
        <v>0</v>
      </c>
      <c r="AB303" s="5"/>
      <c r="AC30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03" s="97" t="str">
        <f>IF(Tabelle1[[#This Row],[Nicht einbezogen weil…]]="",IFERROR(1000*Tabelle1[[#This Row],[Formfaktor]]/Tabelle1[[#This Row],[Thickness '[mm']]],""),"")</f>
        <v/>
      </c>
      <c r="AE303" s="98" t="str">
        <f>IF(Tabelle1[[#This Row],[Nicht einbezogen weil…]]="",IFERROR(Tabelle1[[#This Row],[specific surface '[m^2/m^3']]]/Tabelle1[[#This Row],[Density 
'[g/cm3']]]/1000000,""),"")</f>
        <v/>
      </c>
      <c r="AF303" s="97" t="str">
        <f>IF(Tabelle1[[#This Row],[Nicht einbezogen weil…]]="",IFERROR(365*10*Tabelle1[[#This Row],[Abbaurate '[%/d']]]*Tabelle1[[#This Row],[Thickness '[mm']]]/Tabelle1[[#This Row],[Formfaktor]],""),"")</f>
        <v/>
      </c>
      <c r="AG303" s="99" t="str">
        <f>IF(OR(Tabelle1[[#This Row],[Nicht einbezogen weil…]]="",Tabelle1[[#This Row],[Nicht einbezogen weil…]]="nicht-natürlich"),IF(Tabelle1[[#This Row],[Formfaktor]]=2, 1,IF(Tabelle1[[#This Row],[Formfaktor]]=4,2,IF(Tabelle1[[#This Row],[Formfaktor]]=6,3,""))),"")</f>
        <v/>
      </c>
      <c r="AH30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0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03" s="71">
        <v>1</v>
      </c>
      <c r="AK30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03" s="3" t="s">
        <v>145</v>
      </c>
      <c r="AM303" s="3" t="s">
        <v>962</v>
      </c>
      <c r="AN303" s="3" t="s">
        <v>538</v>
      </c>
      <c r="AO303" s="3" t="s">
        <v>200</v>
      </c>
      <c r="AP303" s="3" t="s">
        <v>200</v>
      </c>
      <c r="AT303" s="10" t="s">
        <v>223</v>
      </c>
      <c r="AU303" s="13" t="s">
        <v>200</v>
      </c>
      <c r="AW303" s="10" t="s">
        <v>775</v>
      </c>
    </row>
    <row r="304" spans="1:49" ht="17.25" customHeight="1">
      <c r="B304" s="7" t="s">
        <v>791</v>
      </c>
      <c r="C304" s="3" t="s">
        <v>415</v>
      </c>
      <c r="D304" s="3" t="s">
        <v>200</v>
      </c>
      <c r="E304" s="10" t="s">
        <v>1127</v>
      </c>
      <c r="F304" s="3" t="s">
        <v>288</v>
      </c>
      <c r="G304" s="3">
        <v>0.36</v>
      </c>
      <c r="H304" s="3">
        <f>0.01*0.01</f>
        <v>1E-4</v>
      </c>
      <c r="I304" s="24">
        <v>1.39</v>
      </c>
      <c r="J304" s="3" t="s">
        <v>414</v>
      </c>
      <c r="M304" s="3" t="s">
        <v>223</v>
      </c>
      <c r="N304" s="3" t="s">
        <v>423</v>
      </c>
      <c r="O304" s="3" t="s">
        <v>358</v>
      </c>
      <c r="P30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04" s="4">
        <v>37</v>
      </c>
      <c r="R304" s="4">
        <v>8.3000000000000007</v>
      </c>
      <c r="U304" s="4" t="s">
        <v>89</v>
      </c>
      <c r="W304" s="3" t="s">
        <v>90</v>
      </c>
      <c r="Y304" s="4">
        <v>2.2000000000000002</v>
      </c>
      <c r="Z304" s="4">
        <v>50</v>
      </c>
      <c r="AA304" s="5">
        <v>0</v>
      </c>
      <c r="AB304" s="5"/>
      <c r="AC30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04" s="97" t="str">
        <f>IF(Tabelle1[[#This Row],[Nicht einbezogen weil…]]="",IFERROR(1000*Tabelle1[[#This Row],[Formfaktor]]/Tabelle1[[#This Row],[Thickness '[mm']]],""),"")</f>
        <v/>
      </c>
      <c r="AE304" s="98" t="str">
        <f>IF(Tabelle1[[#This Row],[Nicht einbezogen weil…]]="",IFERROR(Tabelle1[[#This Row],[specific surface '[m^2/m^3']]]/Tabelle1[[#This Row],[Density 
'[g/cm3']]]/1000000,""),"")</f>
        <v/>
      </c>
      <c r="AF304" s="97" t="str">
        <f>IF(Tabelle1[[#This Row],[Nicht einbezogen weil…]]="",IFERROR(365*10*Tabelle1[[#This Row],[Abbaurate '[%/d']]]*Tabelle1[[#This Row],[Thickness '[mm']]]/Tabelle1[[#This Row],[Formfaktor]],""),"")</f>
        <v/>
      </c>
      <c r="AG304" s="99" t="str">
        <f>IF(OR(Tabelle1[[#This Row],[Nicht einbezogen weil…]]="",Tabelle1[[#This Row],[Nicht einbezogen weil…]]="nicht-natürlich"),IF(Tabelle1[[#This Row],[Formfaktor]]=2, 1,IF(Tabelle1[[#This Row],[Formfaktor]]=4,2,IF(Tabelle1[[#This Row],[Formfaktor]]=6,3,""))),"")</f>
        <v/>
      </c>
      <c r="AH30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0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04" s="71">
        <v>1</v>
      </c>
      <c r="AK30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04" s="3" t="s">
        <v>145</v>
      </c>
      <c r="AM304" s="3" t="s">
        <v>962</v>
      </c>
      <c r="AN304" s="3" t="s">
        <v>538</v>
      </c>
      <c r="AO304" s="3" t="s">
        <v>200</v>
      </c>
      <c r="AP304" s="3" t="s">
        <v>200</v>
      </c>
      <c r="AT304" s="10" t="s">
        <v>223</v>
      </c>
      <c r="AU304" s="13" t="s">
        <v>200</v>
      </c>
      <c r="AW304" s="10" t="s">
        <v>775</v>
      </c>
    </row>
    <row r="305" spans="1:49" ht="17.25" customHeight="1">
      <c r="B305" s="7" t="s">
        <v>20</v>
      </c>
      <c r="C305" s="3" t="s">
        <v>20</v>
      </c>
      <c r="D305" s="3" t="s">
        <v>223</v>
      </c>
      <c r="E305" s="10"/>
      <c r="F305" s="3" t="s">
        <v>288</v>
      </c>
      <c r="G305" s="3">
        <v>0.62</v>
      </c>
      <c r="H305" s="3">
        <f>0.01*0.01</f>
        <v>1E-4</v>
      </c>
      <c r="I305" s="3" t="s">
        <v>341</v>
      </c>
      <c r="J305" s="3" t="s">
        <v>420</v>
      </c>
      <c r="K305" s="8" t="s">
        <v>685</v>
      </c>
      <c r="M305" s="3" t="s">
        <v>223</v>
      </c>
      <c r="N305" s="3" t="s">
        <v>325</v>
      </c>
      <c r="O305" s="3" t="s">
        <v>358</v>
      </c>
      <c r="P30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05" s="4">
        <v>20</v>
      </c>
      <c r="R305" s="4">
        <v>7.43</v>
      </c>
      <c r="T305" s="4">
        <v>60</v>
      </c>
      <c r="U305" s="4" t="s">
        <v>12</v>
      </c>
      <c r="W305" s="3" t="s">
        <v>90</v>
      </c>
      <c r="Y305" s="4">
        <v>69.2</v>
      </c>
      <c r="Z305" s="4">
        <v>660</v>
      </c>
      <c r="AA305" s="5">
        <f>Y305/Z305</f>
        <v>0.10484848484848486</v>
      </c>
      <c r="AB305" s="5"/>
      <c r="AC30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05" s="97" t="str">
        <f>IF(Tabelle1[[#This Row],[Nicht einbezogen weil…]]="",IFERROR(1000*Tabelle1[[#This Row],[Formfaktor]]/Tabelle1[[#This Row],[Thickness '[mm']]],""),"")</f>
        <v/>
      </c>
      <c r="AE305" s="98" t="str">
        <f>IF(Tabelle1[[#This Row],[Nicht einbezogen weil…]]="",IFERROR(Tabelle1[[#This Row],[specific surface '[m^2/m^3']]]/Tabelle1[[#This Row],[Density 
'[g/cm3']]]/1000000,""),"")</f>
        <v/>
      </c>
      <c r="AF305" s="97" t="str">
        <f>IF(Tabelle1[[#This Row],[Nicht einbezogen weil…]]="",IFERROR(365*10*Tabelle1[[#This Row],[Abbaurate '[%/d']]]*Tabelle1[[#This Row],[Thickness '[mm']]]/Tabelle1[[#This Row],[Formfaktor]],""),"")</f>
        <v/>
      </c>
      <c r="AG305" s="99">
        <f>IF(OR(Tabelle1[[#This Row],[Nicht einbezogen weil…]]="",Tabelle1[[#This Row],[Nicht einbezogen weil…]]="nicht-natürlich"),IF(Tabelle1[[#This Row],[Formfaktor]]=2, 1,IF(Tabelle1[[#This Row],[Formfaktor]]=4,2,IF(Tabelle1[[#This Row],[Formfaktor]]=6,3,""))),"")</f>
        <v>1</v>
      </c>
      <c r="AH305" s="97">
        <f>IF(OR(Tabelle1[[#This Row],[Nicht einbezogen weil…]]="",Tabelle1[[#This Row],[Nicht einbezogen weil…]]="nicht-natürlich"),IFERROR(Tabelle1[[#This Row],[Thickness '[mm']]]/Tabelle1[[#This Row],[Dauer des Abbaus
'[Tage']]]*1000*0.5*365*(1-(1-Tabelle1[[#This Row],[Abbaurate '[%/d']]]/100*Tabelle1[[#This Row],[Dauer des Abbaus
'[Tage']]])^(1/Tabelle1[[#This Row],[Exponent]])),""),"")</f>
        <v>118.6360606060606</v>
      </c>
      <c r="AI30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PHA_Boden/Kompost_nicht natürlich</v>
      </c>
      <c r="AJ305" s="71">
        <v>1</v>
      </c>
      <c r="AK30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05" s="3" t="s">
        <v>145</v>
      </c>
      <c r="AM305" s="3" t="s">
        <v>962</v>
      </c>
      <c r="AN305" s="3" t="s">
        <v>538</v>
      </c>
      <c r="AO305" s="3" t="s">
        <v>200</v>
      </c>
      <c r="AP305" s="3" t="s">
        <v>200</v>
      </c>
      <c r="AT305" s="10" t="s">
        <v>223</v>
      </c>
      <c r="AU305" s="13" t="s">
        <v>200</v>
      </c>
    </row>
    <row r="306" spans="1:49" ht="17.25" customHeight="1">
      <c r="B306" s="7" t="s">
        <v>20</v>
      </c>
      <c r="C306" s="3" t="s">
        <v>20</v>
      </c>
      <c r="D306" s="3" t="s">
        <v>223</v>
      </c>
      <c r="E306" s="10"/>
      <c r="F306" s="3" t="s">
        <v>198</v>
      </c>
      <c r="G306" s="3">
        <v>1</v>
      </c>
      <c r="H306" s="3">
        <f>0.03*0.03</f>
        <v>8.9999999999999998E-4</v>
      </c>
      <c r="N306" s="3" t="s">
        <v>5</v>
      </c>
      <c r="O306" s="3" t="s">
        <v>358</v>
      </c>
      <c r="P30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06" s="4">
        <v>35</v>
      </c>
      <c r="T306" s="4">
        <v>30</v>
      </c>
      <c r="W306" s="3" t="s">
        <v>13</v>
      </c>
      <c r="Y306" s="4">
        <v>35</v>
      </c>
      <c r="Z306" s="4">
        <v>60</v>
      </c>
      <c r="AA306" s="5">
        <f>Y306/Z306</f>
        <v>0.58333333333333337</v>
      </c>
      <c r="AB306" s="5"/>
      <c r="AC30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06" s="97" t="str">
        <f>IF(Tabelle1[[#This Row],[Nicht einbezogen weil…]]="",IFERROR(1000*Tabelle1[[#This Row],[Formfaktor]]/Tabelle1[[#This Row],[Thickness '[mm']]],""),"")</f>
        <v/>
      </c>
      <c r="AE306" s="98" t="str">
        <f>IF(Tabelle1[[#This Row],[Nicht einbezogen weil…]]="",IFERROR(Tabelle1[[#This Row],[specific surface '[m^2/m^3']]]/Tabelle1[[#This Row],[Density 
'[g/cm3']]]/1000000,""),"")</f>
        <v/>
      </c>
      <c r="AF306" s="97" t="str">
        <f>IF(Tabelle1[[#This Row],[Nicht einbezogen weil…]]="",IFERROR(365*10*Tabelle1[[#This Row],[Abbaurate '[%/d']]]*Tabelle1[[#This Row],[Thickness '[mm']]]/Tabelle1[[#This Row],[Formfaktor]],""),"")</f>
        <v/>
      </c>
      <c r="AG306" s="99" t="str">
        <f>IF(OR(Tabelle1[[#This Row],[Nicht einbezogen weil…]]="",Tabelle1[[#This Row],[Nicht einbezogen weil…]]="nicht-natürlich"),IF(Tabelle1[[#This Row],[Formfaktor]]=2, 1,IF(Tabelle1[[#This Row],[Formfaktor]]=4,2,IF(Tabelle1[[#This Row],[Formfaktor]]=6,3,""))),"")</f>
        <v/>
      </c>
      <c r="AH30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0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06" s="6">
        <v>0</v>
      </c>
      <c r="AK30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306" s="3" t="s">
        <v>137</v>
      </c>
      <c r="AO306" s="3" t="s">
        <v>200</v>
      </c>
      <c r="AP306" s="3" t="s">
        <v>223</v>
      </c>
      <c r="AT306" s="10" t="s">
        <v>223</v>
      </c>
      <c r="AU306" s="76" t="s">
        <v>695</v>
      </c>
      <c r="AV306" s="10" t="s">
        <v>589</v>
      </c>
    </row>
    <row r="307" spans="1:49" ht="17.25" customHeight="1">
      <c r="B307" s="7" t="s">
        <v>20</v>
      </c>
      <c r="C307" s="3" t="s">
        <v>20</v>
      </c>
      <c r="D307" s="3" t="s">
        <v>223</v>
      </c>
      <c r="E307" s="10"/>
      <c r="F307" s="3" t="s">
        <v>241</v>
      </c>
      <c r="G307" s="3" t="s">
        <v>341</v>
      </c>
      <c r="H307" s="3" t="s">
        <v>341</v>
      </c>
      <c r="I307" s="3" t="s">
        <v>341</v>
      </c>
      <c r="J307" s="3" t="s">
        <v>497</v>
      </c>
      <c r="M307" s="3" t="s">
        <v>301</v>
      </c>
      <c r="N307" s="3" t="s">
        <v>94</v>
      </c>
      <c r="O307" s="3" t="s">
        <v>23</v>
      </c>
      <c r="P30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307" s="3" t="s">
        <v>90</v>
      </c>
      <c r="Y307" s="9" t="s">
        <v>502</v>
      </c>
      <c r="Z307" s="4">
        <v>180</v>
      </c>
      <c r="AA307" s="5">
        <f>45/Z307</f>
        <v>0.25</v>
      </c>
      <c r="AB307" s="5"/>
      <c r="AC30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307" s="97" t="str">
        <f>IF(Tabelle1[[#This Row],[Nicht einbezogen weil…]]="",IFERROR(1000*Tabelle1[[#This Row],[Formfaktor]]/Tabelle1[[#This Row],[Thickness '[mm']]],""),"")</f>
        <v/>
      </c>
      <c r="AE307" s="98" t="str">
        <f>IF(Tabelle1[[#This Row],[Nicht einbezogen weil…]]="",IFERROR(Tabelle1[[#This Row],[specific surface '[m^2/m^3']]]/Tabelle1[[#This Row],[Density 
'[g/cm3']]]/1000000,""),"")</f>
        <v/>
      </c>
      <c r="AF307" s="97" t="str">
        <f>IF(Tabelle1[[#This Row],[Nicht einbezogen weil…]]="",IFERROR(365*10*Tabelle1[[#This Row],[Abbaurate '[%/d']]]*Tabelle1[[#This Row],[Thickness '[mm']]]/Tabelle1[[#This Row],[Formfaktor]],""),"")</f>
        <v/>
      </c>
      <c r="AG307" s="99" t="str">
        <f>IF(OR(Tabelle1[[#This Row],[Nicht einbezogen weil…]]="",Tabelle1[[#This Row],[Nicht einbezogen weil…]]="nicht-natürlich"),IF(Tabelle1[[#This Row],[Formfaktor]]=2, 1,IF(Tabelle1[[#This Row],[Formfaktor]]=4,2,IF(Tabelle1[[#This Row],[Formfaktor]]=6,3,""))),"")</f>
        <v/>
      </c>
      <c r="AH30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0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07" s="71">
        <v>1</v>
      </c>
      <c r="AK30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07" s="3" t="s">
        <v>76</v>
      </c>
      <c r="AM307" s="3" t="s">
        <v>196</v>
      </c>
      <c r="AO307" s="3" t="s">
        <v>235</v>
      </c>
      <c r="AP307" s="3" t="s">
        <v>235</v>
      </c>
      <c r="AT307" s="10" t="s">
        <v>223</v>
      </c>
      <c r="AU307" s="13" t="s">
        <v>200</v>
      </c>
    </row>
    <row r="308" spans="1:49" ht="17.25" customHeight="1">
      <c r="B308" s="11" t="s">
        <v>20</v>
      </c>
      <c r="C308" s="3" t="s">
        <v>20</v>
      </c>
      <c r="D308" s="3" t="s">
        <v>223</v>
      </c>
      <c r="E308" s="10"/>
      <c r="F308" s="3" t="s">
        <v>371</v>
      </c>
      <c r="G308" s="3" t="s">
        <v>341</v>
      </c>
      <c r="H308" s="3" t="s">
        <v>341</v>
      </c>
      <c r="I308" s="3" t="s">
        <v>341</v>
      </c>
      <c r="J308" s="3" t="s">
        <v>605</v>
      </c>
      <c r="K308" s="8" t="s">
        <v>687</v>
      </c>
      <c r="M308" s="3" t="s">
        <v>301</v>
      </c>
      <c r="N308" s="3" t="s">
        <v>94</v>
      </c>
      <c r="O308" s="3" t="s">
        <v>23</v>
      </c>
      <c r="P30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308" s="3" t="s">
        <v>190</v>
      </c>
      <c r="Y308" s="4">
        <v>38.22</v>
      </c>
      <c r="Z308" s="4">
        <v>180</v>
      </c>
      <c r="AA308" s="5">
        <f>Y308/Z308</f>
        <v>0.21233333333333332</v>
      </c>
      <c r="AB308" s="5"/>
      <c r="AC30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308" s="97" t="str">
        <f>IF(Tabelle1[[#This Row],[Nicht einbezogen weil…]]="",IFERROR(1000*Tabelle1[[#This Row],[Formfaktor]]/Tabelle1[[#This Row],[Thickness '[mm']]],""),"")</f>
        <v/>
      </c>
      <c r="AE308" s="98" t="str">
        <f>IF(Tabelle1[[#This Row],[Nicht einbezogen weil…]]="",IFERROR(Tabelle1[[#This Row],[specific surface '[m^2/m^3']]]/Tabelle1[[#This Row],[Density 
'[g/cm3']]]/1000000,""),"")</f>
        <v/>
      </c>
      <c r="AF308" s="97" t="str">
        <f>IF(Tabelle1[[#This Row],[Nicht einbezogen weil…]]="",IFERROR(365*10*Tabelle1[[#This Row],[Abbaurate '[%/d']]]*Tabelle1[[#This Row],[Thickness '[mm']]]/Tabelle1[[#This Row],[Formfaktor]],""),"")</f>
        <v/>
      </c>
      <c r="AG308" s="99" t="str">
        <f>IF(OR(Tabelle1[[#This Row],[Nicht einbezogen weil…]]="",Tabelle1[[#This Row],[Nicht einbezogen weil…]]="nicht-natürlich"),IF(Tabelle1[[#This Row],[Formfaktor]]=2, 1,IF(Tabelle1[[#This Row],[Formfaktor]]=4,2,IF(Tabelle1[[#This Row],[Formfaktor]]=6,3,""))),"")</f>
        <v/>
      </c>
      <c r="AH30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0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08" s="71">
        <v>1</v>
      </c>
      <c r="AK30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08" s="3" t="s">
        <v>76</v>
      </c>
      <c r="AM308" s="17" t="s">
        <v>596</v>
      </c>
      <c r="AN308" s="3" t="s">
        <v>538</v>
      </c>
      <c r="AO308" s="3" t="s">
        <v>235</v>
      </c>
      <c r="AP308" s="3" t="s">
        <v>235</v>
      </c>
      <c r="AT308" s="10" t="s">
        <v>223</v>
      </c>
      <c r="AU308" s="13" t="s">
        <v>200</v>
      </c>
    </row>
    <row r="309" spans="1:49" ht="17.25" customHeight="1">
      <c r="B309" s="11" t="s">
        <v>20</v>
      </c>
      <c r="C309" s="3" t="s">
        <v>20</v>
      </c>
      <c r="D309" s="3" t="s">
        <v>223</v>
      </c>
      <c r="E309" s="10"/>
      <c r="F309" s="3" t="s">
        <v>371</v>
      </c>
      <c r="G309" s="3" t="s">
        <v>341</v>
      </c>
      <c r="H309" s="3" t="s">
        <v>341</v>
      </c>
      <c r="I309" s="3" t="s">
        <v>341</v>
      </c>
      <c r="J309" s="3" t="s">
        <v>607</v>
      </c>
      <c r="K309" s="8" t="s">
        <v>687</v>
      </c>
      <c r="M309" s="3" t="s">
        <v>301</v>
      </c>
      <c r="N309" s="3" t="s">
        <v>94</v>
      </c>
      <c r="O309" s="3" t="s">
        <v>23</v>
      </c>
      <c r="P30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309" s="3" t="s">
        <v>190</v>
      </c>
      <c r="Y309" s="4">
        <v>45.08</v>
      </c>
      <c r="Z309" s="4">
        <v>180</v>
      </c>
      <c r="AA309" s="5">
        <f>Y309/Z309</f>
        <v>0.25044444444444441</v>
      </c>
      <c r="AB309" s="5"/>
      <c r="AC30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309" s="97" t="str">
        <f>IF(Tabelle1[[#This Row],[Nicht einbezogen weil…]]="",IFERROR(1000*Tabelle1[[#This Row],[Formfaktor]]/Tabelle1[[#This Row],[Thickness '[mm']]],""),"")</f>
        <v/>
      </c>
      <c r="AE309" s="98" t="str">
        <f>IF(Tabelle1[[#This Row],[Nicht einbezogen weil…]]="",IFERROR(Tabelle1[[#This Row],[specific surface '[m^2/m^3']]]/Tabelle1[[#This Row],[Density 
'[g/cm3']]]/1000000,""),"")</f>
        <v/>
      </c>
      <c r="AF309" s="97" t="str">
        <f>IF(Tabelle1[[#This Row],[Nicht einbezogen weil…]]="",IFERROR(365*10*Tabelle1[[#This Row],[Abbaurate '[%/d']]]*Tabelle1[[#This Row],[Thickness '[mm']]]/Tabelle1[[#This Row],[Formfaktor]],""),"")</f>
        <v/>
      </c>
      <c r="AG309" s="99" t="str">
        <f>IF(OR(Tabelle1[[#This Row],[Nicht einbezogen weil…]]="",Tabelle1[[#This Row],[Nicht einbezogen weil…]]="nicht-natürlich"),IF(Tabelle1[[#This Row],[Formfaktor]]=2, 1,IF(Tabelle1[[#This Row],[Formfaktor]]=4,2,IF(Tabelle1[[#This Row],[Formfaktor]]=6,3,""))),"")</f>
        <v/>
      </c>
      <c r="AH30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0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09" s="71">
        <v>1</v>
      </c>
      <c r="AK30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09" s="3" t="s">
        <v>76</v>
      </c>
      <c r="AM309" s="17" t="s">
        <v>596</v>
      </c>
      <c r="AN309" s="3" t="s">
        <v>538</v>
      </c>
      <c r="AO309" s="3" t="s">
        <v>235</v>
      </c>
      <c r="AP309" s="3" t="s">
        <v>235</v>
      </c>
      <c r="AT309" s="10" t="s">
        <v>223</v>
      </c>
      <c r="AU309" s="13" t="s">
        <v>200</v>
      </c>
    </row>
    <row r="310" spans="1:49" ht="17.25" customHeight="1">
      <c r="A310" s="10" t="s">
        <v>223</v>
      </c>
      <c r="B310" s="109" t="s">
        <v>1077</v>
      </c>
      <c r="C310" s="3" t="s">
        <v>1188</v>
      </c>
      <c r="D310" s="3" t="s">
        <v>223</v>
      </c>
      <c r="F310" s="3" t="s">
        <v>996</v>
      </c>
      <c r="G310" s="3">
        <v>2.5000000000000001E-2</v>
      </c>
      <c r="J310" s="3" t="s">
        <v>1189</v>
      </c>
      <c r="K310" s="8" t="s">
        <v>1376</v>
      </c>
      <c r="N310" s="3" t="s">
        <v>1384</v>
      </c>
      <c r="O310" s="3" t="s">
        <v>23</v>
      </c>
      <c r="P31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10" s="4" t="s">
        <v>1373</v>
      </c>
      <c r="R310" s="4" t="s">
        <v>1372</v>
      </c>
      <c r="V310" s="4" t="s">
        <v>734</v>
      </c>
      <c r="W310" s="12" t="s">
        <v>190</v>
      </c>
      <c r="Y310" s="4">
        <v>78.400000000000006</v>
      </c>
      <c r="Z310" s="4">
        <v>180</v>
      </c>
      <c r="AA310" s="5">
        <f>Y310/Z310</f>
        <v>0.43555555555555558</v>
      </c>
      <c r="AB310" s="5"/>
      <c r="AC31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10" s="5">
        <f>IF(Tabelle1[[#This Row],[Nicht einbezogen weil…]]="",IFERROR(1000*Tabelle1[[#This Row],[Formfaktor]]/Tabelle1[[#This Row],[Thickness '[mm']]],""),"")</f>
        <v>80000</v>
      </c>
      <c r="AE310" s="5" t="str">
        <f>IF(Tabelle1[[#This Row],[Nicht einbezogen weil…]]="",IFERROR(Tabelle1[[#This Row],[specific surface '[m^2/m^3']]]/Tabelle1[[#This Row],[Density 
'[g/cm3']]]/1000000,""),"")</f>
        <v/>
      </c>
      <c r="AF310" s="5">
        <f>IF(Tabelle1[[#This Row],[Nicht einbezogen weil…]]="",IFERROR(365*10*Tabelle1[[#This Row],[Abbaurate '[%/d']]]*Tabelle1[[#This Row],[Thickness '[mm']]]/Tabelle1[[#This Row],[Formfaktor]],""),"")</f>
        <v>19.872222222222224</v>
      </c>
      <c r="AG310" s="328">
        <f>IF(OR(Tabelle1[[#This Row],[Nicht einbezogen weil…]]="",Tabelle1[[#This Row],[Nicht einbezogen weil…]]="nicht-natürlich"),IF(Tabelle1[[#This Row],[Formfaktor]]=2, 1,IF(Tabelle1[[#This Row],[Formfaktor]]=4,2,IF(Tabelle1[[#This Row],[Formfaktor]]=6,3,""))),"")</f>
        <v>1</v>
      </c>
      <c r="AH310" s="5">
        <f>IF(OR(Tabelle1[[#This Row],[Nicht einbezogen weil…]]="",Tabelle1[[#This Row],[Nicht einbezogen weil…]]="nicht-natürlich"),IFERROR(Tabelle1[[#This Row],[Thickness '[mm']]]/Tabelle1[[#This Row],[Dauer des Abbaus
'[Tage']]]*1000*0.5*365*(1-(1-Tabelle1[[#This Row],[Abbaurate '[%/d']]]/100*Tabelle1[[#This Row],[Dauer des Abbaus
'[Tage']]])^(1/Tabelle1[[#This Row],[Exponent]])),""),"")</f>
        <v>19.872222222222227</v>
      </c>
      <c r="AI31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PBSeT_Meerwasser_nicht natürlich</v>
      </c>
      <c r="AJ310" s="6">
        <v>1</v>
      </c>
      <c r="AK31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10" s="3" t="s">
        <v>1366</v>
      </c>
      <c r="AU310" s="13"/>
    </row>
    <row r="311" spans="1:49" ht="17.25" customHeight="1">
      <c r="A311" s="10" t="s">
        <v>223</v>
      </c>
      <c r="B311" s="109" t="s">
        <v>1077</v>
      </c>
      <c r="C311" s="3" t="s">
        <v>1188</v>
      </c>
      <c r="D311" s="3" t="s">
        <v>223</v>
      </c>
      <c r="F311" s="3" t="s">
        <v>996</v>
      </c>
      <c r="G311" s="3">
        <v>2.5000000000000001E-2</v>
      </c>
      <c r="J311" s="3" t="s">
        <v>1189</v>
      </c>
      <c r="K311" s="8" t="s">
        <v>1382</v>
      </c>
      <c r="N311" s="3" t="s">
        <v>1384</v>
      </c>
      <c r="O311" s="3" t="s">
        <v>23</v>
      </c>
      <c r="P31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11" s="4" t="s">
        <v>1373</v>
      </c>
      <c r="R311" s="4" t="s">
        <v>1372</v>
      </c>
      <c r="V311" s="4" t="s">
        <v>734</v>
      </c>
      <c r="W311" s="12" t="s">
        <v>190</v>
      </c>
      <c r="Y311" s="4">
        <v>2.6</v>
      </c>
      <c r="Z311" s="4">
        <v>175</v>
      </c>
      <c r="AA311" s="5">
        <f>Y311/Z311</f>
        <v>1.4857142857142857E-2</v>
      </c>
      <c r="AB311" s="5"/>
      <c r="AC31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11" s="5">
        <f>IF(Tabelle1[[#This Row],[Nicht einbezogen weil…]]="",IFERROR(1000*Tabelle1[[#This Row],[Formfaktor]]/Tabelle1[[#This Row],[Thickness '[mm']]],""),"")</f>
        <v>80000</v>
      </c>
      <c r="AE311" s="5" t="str">
        <f>IF(Tabelle1[[#This Row],[Nicht einbezogen weil…]]="",IFERROR(Tabelle1[[#This Row],[specific surface '[m^2/m^3']]]/Tabelle1[[#This Row],[Density 
'[g/cm3']]]/1000000,""),"")</f>
        <v/>
      </c>
      <c r="AF311" s="5">
        <f>IF(Tabelle1[[#This Row],[Nicht einbezogen weil…]]="",IFERROR(365*10*Tabelle1[[#This Row],[Abbaurate '[%/d']]]*Tabelle1[[#This Row],[Thickness '[mm']]]/Tabelle1[[#This Row],[Formfaktor]],""),"")</f>
        <v>0.67785714285714294</v>
      </c>
      <c r="AG311" s="328">
        <f>IF(OR(Tabelle1[[#This Row],[Nicht einbezogen weil…]]="",Tabelle1[[#This Row],[Nicht einbezogen weil…]]="nicht-natürlich"),IF(Tabelle1[[#This Row],[Formfaktor]]=2, 1,IF(Tabelle1[[#This Row],[Formfaktor]]=4,2,IF(Tabelle1[[#This Row],[Formfaktor]]=6,3,""))),"")</f>
        <v>1</v>
      </c>
      <c r="AH311" s="5">
        <f>IF(OR(Tabelle1[[#This Row],[Nicht einbezogen weil…]]="",Tabelle1[[#This Row],[Nicht einbezogen weil…]]="nicht-natürlich"),IFERROR(Tabelle1[[#This Row],[Thickness '[mm']]]/Tabelle1[[#This Row],[Dauer des Abbaus
'[Tage']]]*1000*0.5*365*(1-(1-Tabelle1[[#This Row],[Abbaurate '[%/d']]]/100*Tabelle1[[#This Row],[Dauer des Abbaus
'[Tage']]])^(1/Tabelle1[[#This Row],[Exponent]])),""),"")</f>
        <v>0.6778571428571436</v>
      </c>
      <c r="AI31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PBSeT_Meerwasser_nicht natürlich</v>
      </c>
      <c r="AJ311" s="6">
        <v>1</v>
      </c>
      <c r="AK31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11" s="3" t="s">
        <v>1366</v>
      </c>
      <c r="AU311" s="13"/>
    </row>
    <row r="312" spans="1:49" ht="17.25" customHeight="1">
      <c r="B312" s="7" t="s">
        <v>794</v>
      </c>
      <c r="C312" s="3" t="s">
        <v>26</v>
      </c>
      <c r="D312" s="3" t="s">
        <v>200</v>
      </c>
      <c r="E312" s="10" t="s">
        <v>1127</v>
      </c>
      <c r="F312" s="3" t="s">
        <v>288</v>
      </c>
      <c r="G312" s="3">
        <v>1</v>
      </c>
      <c r="H312" s="3">
        <f>0.05*0.03</f>
        <v>1.5E-3</v>
      </c>
      <c r="I312" s="3" t="s">
        <v>341</v>
      </c>
      <c r="M312" s="3" t="s">
        <v>200</v>
      </c>
      <c r="N312" s="3" t="s">
        <v>618</v>
      </c>
      <c r="O312" s="3" t="s">
        <v>358</v>
      </c>
      <c r="P31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312" s="4">
        <v>35</v>
      </c>
      <c r="W312" s="3" t="s">
        <v>13</v>
      </c>
      <c r="Y312" s="4" t="s">
        <v>621</v>
      </c>
      <c r="Z312" s="4">
        <v>60</v>
      </c>
      <c r="AA312" s="5">
        <f>95/Z312</f>
        <v>1.5833333333333333</v>
      </c>
      <c r="AB312" s="5"/>
      <c r="AC31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12" s="97" t="str">
        <f>IF(Tabelle1[[#This Row],[Nicht einbezogen weil…]]="",IFERROR(1000*Tabelle1[[#This Row],[Formfaktor]]/Tabelle1[[#This Row],[Thickness '[mm']]],""),"")</f>
        <v/>
      </c>
      <c r="AE312" s="98" t="str">
        <f>IF(Tabelle1[[#This Row],[Nicht einbezogen weil…]]="",IFERROR(Tabelle1[[#This Row],[specific surface '[m^2/m^3']]]/Tabelle1[[#This Row],[Density 
'[g/cm3']]]/1000000,""),"")</f>
        <v/>
      </c>
      <c r="AF312" s="97" t="str">
        <f>IF(Tabelle1[[#This Row],[Nicht einbezogen weil…]]="",IFERROR(365*10*Tabelle1[[#This Row],[Abbaurate '[%/d']]]*Tabelle1[[#This Row],[Thickness '[mm']]]/Tabelle1[[#This Row],[Formfaktor]],""),"")</f>
        <v/>
      </c>
      <c r="AG312" s="99" t="str">
        <f>IF(OR(Tabelle1[[#This Row],[Nicht einbezogen weil…]]="",Tabelle1[[#This Row],[Nicht einbezogen weil…]]="nicht-natürlich"),IF(Tabelle1[[#This Row],[Formfaktor]]=2, 1,IF(Tabelle1[[#This Row],[Formfaktor]]=4,2,IF(Tabelle1[[#This Row],[Formfaktor]]=6,3,""))),"")</f>
        <v/>
      </c>
      <c r="AH31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1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12" s="71">
        <v>1</v>
      </c>
      <c r="AK31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12" s="3" t="s">
        <v>156</v>
      </c>
      <c r="AM312" s="3" t="s">
        <v>196</v>
      </c>
      <c r="AO312" s="3" t="s">
        <v>235</v>
      </c>
      <c r="AP312" s="3" t="s">
        <v>235</v>
      </c>
      <c r="AT312" s="10" t="s">
        <v>223</v>
      </c>
      <c r="AU312" s="13" t="s">
        <v>200</v>
      </c>
    </row>
    <row r="313" spans="1:49" ht="17.25" customHeight="1">
      <c r="B313" s="7" t="s">
        <v>794</v>
      </c>
      <c r="C313" s="3" t="s">
        <v>619</v>
      </c>
      <c r="D313" s="3" t="s">
        <v>200</v>
      </c>
      <c r="E313" s="10" t="s">
        <v>1127</v>
      </c>
      <c r="F313" s="3" t="s">
        <v>288</v>
      </c>
      <c r="G313" s="3">
        <v>1</v>
      </c>
      <c r="H313" s="3">
        <f>0.05*0.03</f>
        <v>1.5E-3</v>
      </c>
      <c r="I313" s="3" t="s">
        <v>341</v>
      </c>
      <c r="M313" s="3" t="s">
        <v>200</v>
      </c>
      <c r="N313" s="3" t="s">
        <v>618</v>
      </c>
      <c r="O313" s="3" t="s">
        <v>358</v>
      </c>
      <c r="P31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313" s="4">
        <v>35</v>
      </c>
      <c r="W313" s="3" t="s">
        <v>13</v>
      </c>
      <c r="Y313" s="4">
        <v>35</v>
      </c>
      <c r="Z313" s="4">
        <v>60</v>
      </c>
      <c r="AA313" s="5">
        <f t="shared" ref="AA313:AA347" si="22">Y313/Z313</f>
        <v>0.58333333333333337</v>
      </c>
      <c r="AB313" s="5"/>
      <c r="AC31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13" s="97" t="str">
        <f>IF(Tabelle1[[#This Row],[Nicht einbezogen weil…]]="",IFERROR(1000*Tabelle1[[#This Row],[Formfaktor]]/Tabelle1[[#This Row],[Thickness '[mm']]],""),"")</f>
        <v/>
      </c>
      <c r="AE313" s="98" t="str">
        <f>IF(Tabelle1[[#This Row],[Nicht einbezogen weil…]]="",IFERROR(Tabelle1[[#This Row],[specific surface '[m^2/m^3']]]/Tabelle1[[#This Row],[Density 
'[g/cm3']]]/1000000,""),"")</f>
        <v/>
      </c>
      <c r="AF313" s="97" t="str">
        <f>IF(Tabelle1[[#This Row],[Nicht einbezogen weil…]]="",IFERROR(365*10*Tabelle1[[#This Row],[Abbaurate '[%/d']]]*Tabelle1[[#This Row],[Thickness '[mm']]]/Tabelle1[[#This Row],[Formfaktor]],""),"")</f>
        <v/>
      </c>
      <c r="AG313" s="99" t="str">
        <f>IF(OR(Tabelle1[[#This Row],[Nicht einbezogen weil…]]="",Tabelle1[[#This Row],[Nicht einbezogen weil…]]="nicht-natürlich"),IF(Tabelle1[[#This Row],[Formfaktor]]=2, 1,IF(Tabelle1[[#This Row],[Formfaktor]]=4,2,IF(Tabelle1[[#This Row],[Formfaktor]]=6,3,""))),"")</f>
        <v/>
      </c>
      <c r="AH31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1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13" s="71">
        <v>1</v>
      </c>
      <c r="AK31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13" s="3" t="s">
        <v>156</v>
      </c>
      <c r="AM313" s="3" t="s">
        <v>196</v>
      </c>
      <c r="AN313" s="3" t="s">
        <v>538</v>
      </c>
      <c r="AO313" s="3" t="s">
        <v>235</v>
      </c>
      <c r="AP313" s="3" t="s">
        <v>235</v>
      </c>
      <c r="AT313" s="10" t="s">
        <v>223</v>
      </c>
      <c r="AU313" s="13" t="s">
        <v>200</v>
      </c>
    </row>
    <row r="314" spans="1:49" ht="17.25" customHeight="1">
      <c r="B314" s="7" t="s">
        <v>794</v>
      </c>
      <c r="C314" s="3" t="s">
        <v>620</v>
      </c>
      <c r="D314" s="3" t="s">
        <v>200</v>
      </c>
      <c r="E314" s="10" t="s">
        <v>1127</v>
      </c>
      <c r="F314" s="3" t="s">
        <v>288</v>
      </c>
      <c r="G314" s="3">
        <v>1</v>
      </c>
      <c r="H314" s="3">
        <f>0.05*0.03</f>
        <v>1.5E-3</v>
      </c>
      <c r="I314" s="3" t="s">
        <v>341</v>
      </c>
      <c r="M314" s="3" t="s">
        <v>200</v>
      </c>
      <c r="N314" s="3" t="s">
        <v>618</v>
      </c>
      <c r="O314" s="3" t="s">
        <v>358</v>
      </c>
      <c r="P31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314" s="4">
        <v>35</v>
      </c>
      <c r="W314" s="3" t="s">
        <v>13</v>
      </c>
      <c r="Y314" s="4">
        <v>90</v>
      </c>
      <c r="Z314" s="4">
        <v>60</v>
      </c>
      <c r="AA314" s="5">
        <f t="shared" si="22"/>
        <v>1.5</v>
      </c>
      <c r="AB314" s="5"/>
      <c r="AC31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14" s="97" t="str">
        <f>IF(Tabelle1[[#This Row],[Nicht einbezogen weil…]]="",IFERROR(1000*Tabelle1[[#This Row],[Formfaktor]]/Tabelle1[[#This Row],[Thickness '[mm']]],""),"")</f>
        <v/>
      </c>
      <c r="AE314" s="98" t="str">
        <f>IF(Tabelle1[[#This Row],[Nicht einbezogen weil…]]="",IFERROR(Tabelle1[[#This Row],[specific surface '[m^2/m^3']]]/Tabelle1[[#This Row],[Density 
'[g/cm3']]]/1000000,""),"")</f>
        <v/>
      </c>
      <c r="AF314" s="97" t="str">
        <f>IF(Tabelle1[[#This Row],[Nicht einbezogen weil…]]="",IFERROR(365*10*Tabelle1[[#This Row],[Abbaurate '[%/d']]]*Tabelle1[[#This Row],[Thickness '[mm']]]/Tabelle1[[#This Row],[Formfaktor]],""),"")</f>
        <v/>
      </c>
      <c r="AG314" s="99" t="str">
        <f>IF(OR(Tabelle1[[#This Row],[Nicht einbezogen weil…]]="",Tabelle1[[#This Row],[Nicht einbezogen weil…]]="nicht-natürlich"),IF(Tabelle1[[#This Row],[Formfaktor]]=2, 1,IF(Tabelle1[[#This Row],[Formfaktor]]=4,2,IF(Tabelle1[[#This Row],[Formfaktor]]=6,3,""))),"")</f>
        <v/>
      </c>
      <c r="AH31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1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14" s="71">
        <v>1</v>
      </c>
      <c r="AK31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14" s="3" t="s">
        <v>156</v>
      </c>
      <c r="AM314" s="3" t="s">
        <v>196</v>
      </c>
      <c r="AN314" s="3" t="s">
        <v>538</v>
      </c>
      <c r="AO314" s="3" t="s">
        <v>235</v>
      </c>
      <c r="AP314" s="3" t="s">
        <v>235</v>
      </c>
      <c r="AT314" s="10" t="s">
        <v>223</v>
      </c>
      <c r="AU314" s="13" t="s">
        <v>200</v>
      </c>
    </row>
    <row r="315" spans="1:49" ht="17.25" customHeight="1">
      <c r="B315" s="7" t="s">
        <v>18</v>
      </c>
      <c r="C315" s="3" t="s">
        <v>18</v>
      </c>
      <c r="D315" s="3" t="s">
        <v>200</v>
      </c>
      <c r="E315" s="10" t="s">
        <v>205</v>
      </c>
      <c r="F315" s="3" t="s">
        <v>288</v>
      </c>
      <c r="G315" s="3">
        <v>0.1</v>
      </c>
      <c r="H315" s="3">
        <f>0.01*0.09</f>
        <v>8.9999999999999998E-4</v>
      </c>
      <c r="K315" s="8" t="s">
        <v>1008</v>
      </c>
      <c r="L315" s="3" t="s">
        <v>1009</v>
      </c>
      <c r="M315" s="3" t="s">
        <v>223</v>
      </c>
      <c r="N315" s="3" t="s">
        <v>1010</v>
      </c>
      <c r="O315" s="3" t="s">
        <v>358</v>
      </c>
      <c r="P31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15" s="4">
        <v>37</v>
      </c>
      <c r="R315" s="4">
        <v>7</v>
      </c>
      <c r="U315" s="4" t="s">
        <v>89</v>
      </c>
      <c r="W315" s="3" t="s">
        <v>13</v>
      </c>
      <c r="Y315" s="4">
        <v>23</v>
      </c>
      <c r="Z315" s="4">
        <f>10*7</f>
        <v>70</v>
      </c>
      <c r="AA315" s="5">
        <f t="shared" si="22"/>
        <v>0.32857142857142857</v>
      </c>
      <c r="AB315" s="5"/>
      <c r="AC31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15" s="5" t="str">
        <f>IF(Tabelle1[[#This Row],[Nicht einbezogen weil…]]="",IFERROR(1000*Tabelle1[[#This Row],[Formfaktor]]/Tabelle1[[#This Row],[Thickness '[mm']]],""),"")</f>
        <v/>
      </c>
      <c r="AE315" s="5" t="str">
        <f>IF(Tabelle1[[#This Row],[Nicht einbezogen weil…]]="",IFERROR(Tabelle1[[#This Row],[specific surface '[m^2/m^3']]]/Tabelle1[[#This Row],[Density 
'[g/cm3']]]/1000000,""),"")</f>
        <v/>
      </c>
      <c r="AF315" s="5" t="str">
        <f>IF(Tabelle1[[#This Row],[Nicht einbezogen weil…]]="",IFERROR(365*10*Tabelle1[[#This Row],[Abbaurate '[%/d']]]*Tabelle1[[#This Row],[Thickness '[mm']]]/Tabelle1[[#This Row],[Formfaktor]],""),"")</f>
        <v/>
      </c>
      <c r="AG315" s="328" t="str">
        <f>IF(OR(Tabelle1[[#This Row],[Nicht einbezogen weil…]]="",Tabelle1[[#This Row],[Nicht einbezogen weil…]]="nicht-natürlich"),IF(Tabelle1[[#This Row],[Formfaktor]]=2, 1,IF(Tabelle1[[#This Row],[Formfaktor]]=4,2,IF(Tabelle1[[#This Row],[Formfaktor]]=6,3,""))),"")</f>
        <v/>
      </c>
      <c r="AH31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1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15" s="6">
        <v>1</v>
      </c>
      <c r="AK31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15" s="3" t="s">
        <v>975</v>
      </c>
      <c r="AM315" s="3" t="s">
        <v>967</v>
      </c>
      <c r="AN315" s="3" t="s">
        <v>824</v>
      </c>
      <c r="AT315" s="10" t="s">
        <v>200</v>
      </c>
      <c r="AU315" s="13" t="s">
        <v>200</v>
      </c>
    </row>
    <row r="316" spans="1:49" ht="17.25" customHeight="1">
      <c r="B316" s="11" t="s">
        <v>18</v>
      </c>
      <c r="C316" s="3" t="s">
        <v>635</v>
      </c>
      <c r="D316" s="3" t="s">
        <v>223</v>
      </c>
      <c r="E316" s="10"/>
      <c r="F316" s="74" t="s">
        <v>341</v>
      </c>
      <c r="G316" s="74" t="s">
        <v>341</v>
      </c>
      <c r="H316" s="74" t="s">
        <v>341</v>
      </c>
      <c r="I316" s="77">
        <v>1.26</v>
      </c>
      <c r="M316" s="3" t="s">
        <v>223</v>
      </c>
      <c r="N316" s="3" t="s">
        <v>655</v>
      </c>
      <c r="O316" s="3" t="s">
        <v>294</v>
      </c>
      <c r="P31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16" s="4">
        <v>30</v>
      </c>
      <c r="U316" s="4" t="s">
        <v>12</v>
      </c>
      <c r="W316" s="3" t="s">
        <v>190</v>
      </c>
      <c r="Y316" s="4">
        <v>62.16</v>
      </c>
      <c r="Z316" s="4">
        <v>14</v>
      </c>
      <c r="AA316" s="5">
        <f t="shared" si="22"/>
        <v>4.4399999999999995</v>
      </c>
      <c r="AB316" s="5"/>
      <c r="AC316"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316" s="97" t="str">
        <f>IF(Tabelle1[[#This Row],[Nicht einbezogen weil…]]="",IFERROR(1000*Tabelle1[[#This Row],[Formfaktor]]/Tabelle1[[#This Row],[Thickness '[mm']]],""),"")</f>
        <v/>
      </c>
      <c r="AE316" s="98" t="str">
        <f>IF(Tabelle1[[#This Row],[Nicht einbezogen weil…]]="",IFERROR(Tabelle1[[#This Row],[specific surface '[m^2/m^3']]]/Tabelle1[[#This Row],[Density 
'[g/cm3']]]/1000000,""),"")</f>
        <v/>
      </c>
      <c r="AF316" s="97" t="str">
        <f>IF(Tabelle1[[#This Row],[Nicht einbezogen weil…]]="",IFERROR(365*10*Tabelle1[[#This Row],[Abbaurate '[%/d']]]*Tabelle1[[#This Row],[Thickness '[mm']]]/Tabelle1[[#This Row],[Formfaktor]],""),"")</f>
        <v/>
      </c>
      <c r="AG316" s="99" t="str">
        <f>IF(OR(Tabelle1[[#This Row],[Nicht einbezogen weil…]]="",Tabelle1[[#This Row],[Nicht einbezogen weil…]]="nicht-natürlich"),IF(Tabelle1[[#This Row],[Formfaktor]]=2, 1,IF(Tabelle1[[#This Row],[Formfaktor]]=4,2,IF(Tabelle1[[#This Row],[Formfaktor]]=6,3,""))),"")</f>
        <v/>
      </c>
      <c r="AH31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1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16" s="71">
        <v>1</v>
      </c>
      <c r="AK31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316" s="3" t="s">
        <v>386</v>
      </c>
      <c r="AM316" s="3" t="s">
        <v>962</v>
      </c>
      <c r="AN316" s="3" t="s">
        <v>538</v>
      </c>
      <c r="AO316" s="3" t="s">
        <v>200</v>
      </c>
      <c r="AP316" s="3" t="s">
        <v>200</v>
      </c>
      <c r="AT316" s="10" t="s">
        <v>223</v>
      </c>
      <c r="AU316" s="13" t="s">
        <v>200</v>
      </c>
      <c r="AW316" s="10" t="s">
        <v>813</v>
      </c>
    </row>
    <row r="317" spans="1:49" ht="18" customHeight="1">
      <c r="B317" s="7" t="s">
        <v>18</v>
      </c>
      <c r="C317" s="3" t="s">
        <v>713</v>
      </c>
      <c r="D317" s="3" t="s">
        <v>223</v>
      </c>
      <c r="E317" s="10"/>
      <c r="F317" s="3" t="s">
        <v>241</v>
      </c>
      <c r="G317" s="3" t="s">
        <v>341</v>
      </c>
      <c r="H317" s="3" t="s">
        <v>341</v>
      </c>
      <c r="I317" s="3">
        <v>1.23</v>
      </c>
      <c r="K317" s="8" t="s">
        <v>229</v>
      </c>
      <c r="M317" s="3" t="s">
        <v>223</v>
      </c>
      <c r="N317" s="3" t="s">
        <v>3</v>
      </c>
      <c r="O317" s="3" t="s">
        <v>358</v>
      </c>
      <c r="P31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17" s="4">
        <v>58</v>
      </c>
      <c r="R317" s="21">
        <v>8.1999999999999993</v>
      </c>
      <c r="S317" s="21"/>
      <c r="T317" s="21"/>
      <c r="U317" s="21" t="s">
        <v>12</v>
      </c>
      <c r="W317" s="3" t="s">
        <v>90</v>
      </c>
      <c r="Y317" s="4">
        <v>90.3</v>
      </c>
      <c r="Z317" s="4">
        <v>110</v>
      </c>
      <c r="AA317" s="5">
        <f t="shared" si="22"/>
        <v>0.82090909090909092</v>
      </c>
      <c r="AB317" s="5"/>
      <c r="AC31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317" s="97" t="str">
        <f>IF(Tabelle1[[#This Row],[Nicht einbezogen weil…]]="",IFERROR(1000*Tabelle1[[#This Row],[Formfaktor]]/Tabelle1[[#This Row],[Thickness '[mm']]],""),"")</f>
        <v/>
      </c>
      <c r="AE317" s="98" t="str">
        <f>IF(Tabelle1[[#This Row],[Nicht einbezogen weil…]]="",IFERROR(Tabelle1[[#This Row],[specific surface '[m^2/m^3']]]/Tabelle1[[#This Row],[Density 
'[g/cm3']]]/1000000,""),"")</f>
        <v/>
      </c>
      <c r="AF317" s="97" t="str">
        <f>IF(Tabelle1[[#This Row],[Nicht einbezogen weil…]]="",IFERROR(365*10*Tabelle1[[#This Row],[Abbaurate '[%/d']]]*Tabelle1[[#This Row],[Thickness '[mm']]]/Tabelle1[[#This Row],[Formfaktor]],""),"")</f>
        <v/>
      </c>
      <c r="AG317" s="99" t="str">
        <f>IF(OR(Tabelle1[[#This Row],[Nicht einbezogen weil…]]="",Tabelle1[[#This Row],[Nicht einbezogen weil…]]="nicht-natürlich"),IF(Tabelle1[[#This Row],[Formfaktor]]=2, 1,IF(Tabelle1[[#This Row],[Formfaktor]]=4,2,IF(Tabelle1[[#This Row],[Formfaktor]]=6,3,""))),"")</f>
        <v/>
      </c>
      <c r="AH31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1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17" s="71">
        <v>1</v>
      </c>
      <c r="AK31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17" s="3" t="s">
        <v>597</v>
      </c>
      <c r="AM317" s="3" t="s">
        <v>196</v>
      </c>
      <c r="AN317" s="3" t="s">
        <v>538</v>
      </c>
      <c r="AO317" s="3" t="s">
        <v>235</v>
      </c>
      <c r="AP317" s="3" t="s">
        <v>200</v>
      </c>
      <c r="AT317" s="10" t="s">
        <v>223</v>
      </c>
      <c r="AU317" s="13" t="s">
        <v>200</v>
      </c>
      <c r="AV317" s="14"/>
    </row>
    <row r="318" spans="1:49" ht="17.25" customHeight="1">
      <c r="B318" s="7" t="s">
        <v>18</v>
      </c>
      <c r="C318" s="3" t="s">
        <v>18</v>
      </c>
      <c r="D318" s="3" t="s">
        <v>223</v>
      </c>
      <c r="E318" s="10"/>
      <c r="F318" s="3" t="s">
        <v>198</v>
      </c>
      <c r="G318" s="17">
        <f>AVERAGE(0.001,0.09)</f>
        <v>4.5499999999999999E-2</v>
      </c>
      <c r="H318" s="3" t="s">
        <v>341</v>
      </c>
      <c r="I318" s="3">
        <v>1.23</v>
      </c>
      <c r="K318" s="8" t="s">
        <v>229</v>
      </c>
      <c r="M318" s="3" t="s">
        <v>223</v>
      </c>
      <c r="N318" s="3" t="s">
        <v>3</v>
      </c>
      <c r="O318" s="3" t="s">
        <v>358</v>
      </c>
      <c r="P31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18" s="4">
        <v>58</v>
      </c>
      <c r="R318" s="21">
        <v>8.1999999999999993</v>
      </c>
      <c r="S318" s="21"/>
      <c r="T318" s="21"/>
      <c r="U318" s="21" t="s">
        <v>12</v>
      </c>
      <c r="W318" s="3" t="s">
        <v>90</v>
      </c>
      <c r="Y318" s="4">
        <v>79.7</v>
      </c>
      <c r="Z318" s="4">
        <v>110</v>
      </c>
      <c r="AA318" s="5">
        <f t="shared" si="22"/>
        <v>0.7245454545454546</v>
      </c>
      <c r="AB318" s="5"/>
      <c r="AC31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18" s="97" t="str">
        <f>IF(Tabelle1[[#This Row],[Nicht einbezogen weil…]]="",IFERROR(1000*Tabelle1[[#This Row],[Formfaktor]]/Tabelle1[[#This Row],[Thickness '[mm']]],""),"")</f>
        <v/>
      </c>
      <c r="AE318" s="98" t="str">
        <f>IF(Tabelle1[[#This Row],[Nicht einbezogen weil…]]="",IFERROR(Tabelle1[[#This Row],[specific surface '[m^2/m^3']]]/Tabelle1[[#This Row],[Density 
'[g/cm3']]]/1000000,""),"")</f>
        <v/>
      </c>
      <c r="AF318" s="97" t="str">
        <f>IF(Tabelle1[[#This Row],[Nicht einbezogen weil…]]="",IFERROR(365*10*Tabelle1[[#This Row],[Abbaurate '[%/d']]]*Tabelle1[[#This Row],[Thickness '[mm']]]/Tabelle1[[#This Row],[Formfaktor]],""),"")</f>
        <v/>
      </c>
      <c r="AG318" s="99">
        <f>IF(OR(Tabelle1[[#This Row],[Nicht einbezogen weil…]]="",Tabelle1[[#This Row],[Nicht einbezogen weil…]]="nicht-natürlich"),IF(Tabelle1[[#This Row],[Formfaktor]]=2, 1,IF(Tabelle1[[#This Row],[Formfaktor]]=4,2,IF(Tabelle1[[#This Row],[Formfaktor]]=6,3,""))),"")</f>
        <v>1</v>
      </c>
      <c r="AH318" s="97">
        <f>IF(OR(Tabelle1[[#This Row],[Nicht einbezogen weil…]]="",Tabelle1[[#This Row],[Nicht einbezogen weil…]]="nicht-natürlich"),IFERROR(Tabelle1[[#This Row],[Thickness '[mm']]]/Tabelle1[[#This Row],[Dauer des Abbaus
'[Tage']]]*1000*0.5*365*(1-(1-Tabelle1[[#This Row],[Abbaurate '[%/d']]]/100*Tabelle1[[#This Row],[Dauer des Abbaus
'[Tage']]])^(1/Tabelle1[[#This Row],[Exponent]])),""),"")</f>
        <v>60.164443181818179</v>
      </c>
      <c r="AI31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PHB_Boden/Kompost_nicht natürlich</v>
      </c>
      <c r="AJ318" s="71">
        <v>1</v>
      </c>
      <c r="AK31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18" s="3" t="s">
        <v>597</v>
      </c>
      <c r="AM318" s="3" t="s">
        <v>196</v>
      </c>
      <c r="AO318" s="3" t="s">
        <v>235</v>
      </c>
      <c r="AP318" s="3" t="s">
        <v>200</v>
      </c>
      <c r="AT318" s="10" t="s">
        <v>223</v>
      </c>
      <c r="AU318" s="13" t="s">
        <v>200</v>
      </c>
      <c r="AV318" s="14"/>
      <c r="AW318" s="10" t="s">
        <v>818</v>
      </c>
    </row>
    <row r="319" spans="1:49" ht="17.25" customHeight="1">
      <c r="B319" s="7" t="s">
        <v>19</v>
      </c>
      <c r="C319" s="3" t="s">
        <v>1005</v>
      </c>
      <c r="D319" s="3" t="s">
        <v>223</v>
      </c>
      <c r="E319" s="10"/>
      <c r="F319" s="3" t="s">
        <v>288</v>
      </c>
      <c r="G319" s="3">
        <v>5.3999999999999999E-2</v>
      </c>
      <c r="H319" s="3">
        <f>0.05*0.05</f>
        <v>2.5000000000000005E-3</v>
      </c>
      <c r="I319" s="24">
        <v>1.24</v>
      </c>
      <c r="K319" s="8" t="s">
        <v>229</v>
      </c>
      <c r="M319" s="3" t="s">
        <v>301</v>
      </c>
      <c r="N319" s="3" t="s">
        <v>1004</v>
      </c>
      <c r="O319" s="3" t="s">
        <v>294</v>
      </c>
      <c r="P31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R319" s="9" t="s">
        <v>51</v>
      </c>
      <c r="U319" s="4" t="s">
        <v>12</v>
      </c>
      <c r="W319" s="3" t="s">
        <v>13</v>
      </c>
      <c r="Y319" s="4">
        <v>100</v>
      </c>
      <c r="Z319" s="4">
        <v>120</v>
      </c>
      <c r="AA319" s="5">
        <f t="shared" si="22"/>
        <v>0.83333333333333337</v>
      </c>
      <c r="AB319" s="5"/>
      <c r="AC31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19" s="5" t="str">
        <f>IF(Tabelle1[[#This Row],[Nicht einbezogen weil…]]="",IFERROR(1000*Tabelle1[[#This Row],[Formfaktor]]/Tabelle1[[#This Row],[Thickness '[mm']]],""),"")</f>
        <v/>
      </c>
      <c r="AE319" s="5" t="str">
        <f>IF(Tabelle1[[#This Row],[Nicht einbezogen weil…]]="",IFERROR(Tabelle1[[#This Row],[specific surface '[m^2/m^3']]]/Tabelle1[[#This Row],[Density 
'[g/cm3']]]/1000000,""),"")</f>
        <v/>
      </c>
      <c r="AF319" s="5" t="str">
        <f>IF(Tabelle1[[#This Row],[Nicht einbezogen weil…]]="",IFERROR(365*10*Tabelle1[[#This Row],[Abbaurate '[%/d']]]*Tabelle1[[#This Row],[Thickness '[mm']]]/Tabelle1[[#This Row],[Formfaktor]],""),"")</f>
        <v/>
      </c>
      <c r="AG319" s="327" t="str">
        <f>IF(OR(Tabelle1[[#This Row],[Nicht einbezogen weil…]]="",Tabelle1[[#This Row],[Nicht einbezogen weil…]]="nicht-natürlich"),IF(Tabelle1[[#This Row],[Formfaktor]]=2, 1,IF(Tabelle1[[#This Row],[Formfaktor]]=4,2,IF(Tabelle1[[#This Row],[Formfaktor]]=6,3,""))),"")</f>
        <v/>
      </c>
      <c r="AH319"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1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19" s="6">
        <v>1</v>
      </c>
      <c r="AK31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319" s="3" t="s">
        <v>976</v>
      </c>
      <c r="AM319" s="3" t="s">
        <v>967</v>
      </c>
      <c r="AN319" s="3" t="s">
        <v>824</v>
      </c>
      <c r="AO319" s="3" t="s">
        <v>200</v>
      </c>
      <c r="AP319" s="3" t="s">
        <v>200</v>
      </c>
      <c r="AT319" s="10" t="s">
        <v>200</v>
      </c>
      <c r="AU319" s="13" t="s">
        <v>200</v>
      </c>
      <c r="AW319" s="10" t="s">
        <v>813</v>
      </c>
    </row>
    <row r="320" spans="1:49" ht="17.25" customHeight="1">
      <c r="B320" s="7" t="s">
        <v>2</v>
      </c>
      <c r="C320" s="3" t="s">
        <v>320</v>
      </c>
      <c r="D320" s="3" t="s">
        <v>223</v>
      </c>
      <c r="E320" s="10"/>
      <c r="F320" s="3" t="s">
        <v>288</v>
      </c>
      <c r="G320" s="3">
        <v>0.03</v>
      </c>
      <c r="H320" s="3">
        <f>0.015*0.015</f>
        <v>2.2499999999999999E-4</v>
      </c>
      <c r="K320" s="8" t="s">
        <v>1000</v>
      </c>
      <c r="L320" s="3" t="s">
        <v>1001</v>
      </c>
      <c r="M320" s="3" t="s">
        <v>223</v>
      </c>
      <c r="N320" s="3" t="s">
        <v>951</v>
      </c>
      <c r="O320" s="3" t="s">
        <v>294</v>
      </c>
      <c r="P32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20" s="4">
        <v>37</v>
      </c>
      <c r="W320" s="3" t="s">
        <v>13</v>
      </c>
      <c r="Y320" s="4">
        <v>88.3</v>
      </c>
      <c r="Z320" s="4">
        <v>1</v>
      </c>
      <c r="AA320" s="5">
        <f t="shared" si="22"/>
        <v>88.3</v>
      </c>
      <c r="AB320" s="5"/>
      <c r="AC32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0" s="5" t="str">
        <f>IF(Tabelle1[[#This Row],[Nicht einbezogen weil…]]="",IFERROR(1000*Tabelle1[[#This Row],[Formfaktor]]/Tabelle1[[#This Row],[Thickness '[mm']]],""),"")</f>
        <v/>
      </c>
      <c r="AE320" s="5" t="str">
        <f>IF(Tabelle1[[#This Row],[Nicht einbezogen weil…]]="",IFERROR(Tabelle1[[#This Row],[specific surface '[m^2/m^3']]]/Tabelle1[[#This Row],[Density 
'[g/cm3']]]/1000000,""),"")</f>
        <v/>
      </c>
      <c r="AF320" s="5" t="str">
        <f>IF(Tabelle1[[#This Row],[Nicht einbezogen weil…]]="",IFERROR(365*10*Tabelle1[[#This Row],[Abbaurate '[%/d']]]*Tabelle1[[#This Row],[Thickness '[mm']]]/Tabelle1[[#This Row],[Formfaktor]],""),"")</f>
        <v/>
      </c>
      <c r="AG320" s="328" t="str">
        <f>IF(OR(Tabelle1[[#This Row],[Nicht einbezogen weil…]]="",Tabelle1[[#This Row],[Nicht einbezogen weil…]]="nicht-natürlich"),IF(Tabelle1[[#This Row],[Formfaktor]]=2, 1,IF(Tabelle1[[#This Row],[Formfaktor]]=4,2,IF(Tabelle1[[#This Row],[Formfaktor]]=6,3,""))),"")</f>
        <v/>
      </c>
      <c r="AH320"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2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20" s="6">
        <v>1</v>
      </c>
      <c r="AK32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320" s="3" t="s">
        <v>974</v>
      </c>
      <c r="AM320" s="3" t="s">
        <v>967</v>
      </c>
      <c r="AN320" s="3" t="s">
        <v>824</v>
      </c>
      <c r="AT320" s="10" t="s">
        <v>200</v>
      </c>
      <c r="AU320" s="13" t="s">
        <v>200</v>
      </c>
    </row>
    <row r="321" spans="1:49" ht="17.25" customHeight="1">
      <c r="B321" s="7" t="s">
        <v>18</v>
      </c>
      <c r="C321" s="3" t="s">
        <v>18</v>
      </c>
      <c r="D321" s="3" t="s">
        <v>223</v>
      </c>
      <c r="E321" s="10"/>
      <c r="F321" s="3" t="s">
        <v>288</v>
      </c>
      <c r="G321" s="3">
        <v>3.5000000000000003E-2</v>
      </c>
      <c r="H321" s="3">
        <f>0.05*0.05</f>
        <v>2.5000000000000005E-3</v>
      </c>
      <c r="I321" s="77">
        <v>1.26</v>
      </c>
      <c r="J321" s="3" t="s">
        <v>601</v>
      </c>
      <c r="M321" s="3" t="s">
        <v>223</v>
      </c>
      <c r="N321" s="3" t="s">
        <v>3</v>
      </c>
      <c r="O321" s="3" t="s">
        <v>358</v>
      </c>
      <c r="P32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21" s="4">
        <v>55</v>
      </c>
      <c r="T321" s="4">
        <v>70</v>
      </c>
      <c r="W321" s="3" t="s">
        <v>90</v>
      </c>
      <c r="Y321" s="4">
        <v>80</v>
      </c>
      <c r="Z321" s="4">
        <v>28</v>
      </c>
      <c r="AA321" s="5">
        <f t="shared" si="22"/>
        <v>2.8571428571428572</v>
      </c>
      <c r="AB321" s="5"/>
      <c r="AC32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1" s="97" t="str">
        <f>IF(Tabelle1[[#This Row],[Nicht einbezogen weil…]]="",IFERROR(1000*Tabelle1[[#This Row],[Formfaktor]]/Tabelle1[[#This Row],[Thickness '[mm']]],""),"")</f>
        <v/>
      </c>
      <c r="AE321" s="98" t="str">
        <f>IF(Tabelle1[[#This Row],[Nicht einbezogen weil…]]="",IFERROR(Tabelle1[[#This Row],[specific surface '[m^2/m^3']]]/Tabelle1[[#This Row],[Density 
'[g/cm3']]]/1000000,""),"")</f>
        <v/>
      </c>
      <c r="AF321" s="97" t="str">
        <f>IF(Tabelle1[[#This Row],[Nicht einbezogen weil…]]="",IFERROR(365*10*Tabelle1[[#This Row],[Abbaurate '[%/d']]]*Tabelle1[[#This Row],[Thickness '[mm']]]/Tabelle1[[#This Row],[Formfaktor]],""),"")</f>
        <v/>
      </c>
      <c r="AG321" s="99">
        <f>IF(OR(Tabelle1[[#This Row],[Nicht einbezogen weil…]]="",Tabelle1[[#This Row],[Nicht einbezogen weil…]]="nicht-natürlich"),IF(Tabelle1[[#This Row],[Formfaktor]]=2, 1,IF(Tabelle1[[#This Row],[Formfaktor]]=4,2,IF(Tabelle1[[#This Row],[Formfaktor]]=6,3,""))),"")</f>
        <v>1</v>
      </c>
      <c r="AH321" s="97">
        <f>IF(OR(Tabelle1[[#This Row],[Nicht einbezogen weil…]]="",Tabelle1[[#This Row],[Nicht einbezogen weil…]]="nicht-natürlich"),IFERROR(Tabelle1[[#This Row],[Thickness '[mm']]]/Tabelle1[[#This Row],[Dauer des Abbaus
'[Tage']]]*1000*0.5*365*(1-(1-Tabelle1[[#This Row],[Abbaurate '[%/d']]]/100*Tabelle1[[#This Row],[Dauer des Abbaus
'[Tage']]])^(1/Tabelle1[[#This Row],[Exponent]])),""),"")</f>
        <v>182.49999999999997</v>
      </c>
      <c r="AI32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PHB_Boden/Kompost_nicht natürlich</v>
      </c>
      <c r="AJ321" s="71">
        <v>1</v>
      </c>
      <c r="AK32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21" s="3" t="s">
        <v>133</v>
      </c>
      <c r="AM321" s="3" t="s">
        <v>196</v>
      </c>
      <c r="AO321" s="3" t="s">
        <v>235</v>
      </c>
      <c r="AP321" s="3" t="s">
        <v>235</v>
      </c>
      <c r="AT321" s="10" t="s">
        <v>223</v>
      </c>
      <c r="AU321" s="13" t="s">
        <v>200</v>
      </c>
      <c r="AW321" s="10" t="s">
        <v>813</v>
      </c>
    </row>
    <row r="322" spans="1:49" ht="17.25" customHeight="1">
      <c r="A322" s="10" t="s">
        <v>223</v>
      </c>
      <c r="B322" s="109" t="s">
        <v>1077</v>
      </c>
      <c r="C322" s="3" t="s">
        <v>1188</v>
      </c>
      <c r="D322" s="3" t="s">
        <v>223</v>
      </c>
      <c r="F322" s="3" t="s">
        <v>996</v>
      </c>
      <c r="G322" s="3">
        <v>2.5000000000000001E-2</v>
      </c>
      <c r="J322" s="3" t="s">
        <v>1189</v>
      </c>
      <c r="K322" s="8" t="s">
        <v>1374</v>
      </c>
      <c r="N322" s="3" t="s">
        <v>1384</v>
      </c>
      <c r="O322" s="3" t="s">
        <v>23</v>
      </c>
      <c r="P32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22" s="4" t="s">
        <v>1373</v>
      </c>
      <c r="R322" s="4" t="s">
        <v>1372</v>
      </c>
      <c r="V322" s="4" t="s">
        <v>734</v>
      </c>
      <c r="W322" s="12" t="s">
        <v>190</v>
      </c>
      <c r="Y322" s="4">
        <v>44.8</v>
      </c>
      <c r="Z322" s="4">
        <v>220</v>
      </c>
      <c r="AA322" s="5">
        <f t="shared" si="22"/>
        <v>0.20363636363636362</v>
      </c>
      <c r="AB322" s="5"/>
      <c r="AC32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2" s="5">
        <f>IF(Tabelle1[[#This Row],[Nicht einbezogen weil…]]="",IFERROR(1000*Tabelle1[[#This Row],[Formfaktor]]/Tabelle1[[#This Row],[Thickness '[mm']]],""),"")</f>
        <v>80000</v>
      </c>
      <c r="AE322" s="5" t="str">
        <f>IF(Tabelle1[[#This Row],[Nicht einbezogen weil…]]="",IFERROR(Tabelle1[[#This Row],[specific surface '[m^2/m^3']]]/Tabelle1[[#This Row],[Density 
'[g/cm3']]]/1000000,""),"")</f>
        <v/>
      </c>
      <c r="AF322" s="5">
        <f>IF(Tabelle1[[#This Row],[Nicht einbezogen weil…]]="",IFERROR(365*10*Tabelle1[[#This Row],[Abbaurate '[%/d']]]*Tabelle1[[#This Row],[Thickness '[mm']]]/Tabelle1[[#This Row],[Formfaktor]],""),"")</f>
        <v>9.290909090909091</v>
      </c>
      <c r="AG322" s="328">
        <f>IF(OR(Tabelle1[[#This Row],[Nicht einbezogen weil…]]="",Tabelle1[[#This Row],[Nicht einbezogen weil…]]="nicht-natürlich"),IF(Tabelle1[[#This Row],[Formfaktor]]=2, 1,IF(Tabelle1[[#This Row],[Formfaktor]]=4,2,IF(Tabelle1[[#This Row],[Formfaktor]]=6,3,""))),"")</f>
        <v>1</v>
      </c>
      <c r="AH322" s="5">
        <f>IF(OR(Tabelle1[[#This Row],[Nicht einbezogen weil…]]="",Tabelle1[[#This Row],[Nicht einbezogen weil…]]="nicht-natürlich"),IFERROR(Tabelle1[[#This Row],[Thickness '[mm']]]/Tabelle1[[#This Row],[Dauer des Abbaus
'[Tage']]]*1000*0.5*365*(1-(1-Tabelle1[[#This Row],[Abbaurate '[%/d']]]/100*Tabelle1[[#This Row],[Dauer des Abbaus
'[Tage']]])^(1/Tabelle1[[#This Row],[Exponent]])),""),"")</f>
        <v>9.2909090909090892</v>
      </c>
      <c r="AI32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PBSeT_Meerwasser_nicht natürlich</v>
      </c>
      <c r="AJ322" s="6">
        <v>1</v>
      </c>
      <c r="AK32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22" s="3" t="s">
        <v>1366</v>
      </c>
      <c r="AU322" s="13"/>
    </row>
    <row r="323" spans="1:49" ht="17.25" customHeight="1">
      <c r="B323" s="7" t="s">
        <v>18</v>
      </c>
      <c r="C323" s="3" t="s">
        <v>18</v>
      </c>
      <c r="D323" s="3" t="s">
        <v>223</v>
      </c>
      <c r="E323" s="10"/>
      <c r="F323" s="3" t="s">
        <v>288</v>
      </c>
      <c r="G323" s="3" t="s">
        <v>341</v>
      </c>
      <c r="H323" s="3">
        <f>0.01*0.01</f>
        <v>1E-4</v>
      </c>
      <c r="I323" s="77">
        <v>1.26</v>
      </c>
      <c r="M323" s="3" t="s">
        <v>200</v>
      </c>
      <c r="N323" s="3" t="s">
        <v>613</v>
      </c>
      <c r="O323" s="3" t="s">
        <v>850</v>
      </c>
      <c r="P32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23" s="4">
        <v>32</v>
      </c>
      <c r="R323" s="4">
        <v>7.06</v>
      </c>
      <c r="W323" s="3" t="s">
        <v>13</v>
      </c>
      <c r="Y323" s="4">
        <v>100</v>
      </c>
      <c r="Z323" s="4">
        <v>56</v>
      </c>
      <c r="AA323" s="5">
        <f t="shared" si="22"/>
        <v>1.7857142857142858</v>
      </c>
      <c r="AB323" s="5"/>
      <c r="AC32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3" s="97" t="str">
        <f>IF(Tabelle1[[#This Row],[Nicht einbezogen weil…]]="",IFERROR(1000*Tabelle1[[#This Row],[Formfaktor]]/Tabelle1[[#This Row],[Thickness '[mm']]],""),"")</f>
        <v/>
      </c>
      <c r="AE323" s="98" t="str">
        <f>IF(Tabelle1[[#This Row],[Nicht einbezogen weil…]]="",IFERROR(Tabelle1[[#This Row],[specific surface '[m^2/m^3']]]/Tabelle1[[#This Row],[Density 
'[g/cm3']]]/1000000,""),"")</f>
        <v/>
      </c>
      <c r="AF323" s="97" t="str">
        <f>IF(Tabelle1[[#This Row],[Nicht einbezogen weil…]]="",IFERROR(365*10*Tabelle1[[#This Row],[Abbaurate '[%/d']]]*Tabelle1[[#This Row],[Thickness '[mm']]]/Tabelle1[[#This Row],[Formfaktor]],""),"")</f>
        <v/>
      </c>
      <c r="AG323" s="99" t="str">
        <f>IF(OR(Tabelle1[[#This Row],[Nicht einbezogen weil…]]="",Tabelle1[[#This Row],[Nicht einbezogen weil…]]="nicht-natürlich"),IF(Tabelle1[[#This Row],[Formfaktor]]=2, 1,IF(Tabelle1[[#This Row],[Formfaktor]]=4,2,IF(Tabelle1[[#This Row],[Formfaktor]]=6,3,""))),"")</f>
        <v/>
      </c>
      <c r="AH32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2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23" s="71">
        <v>1</v>
      </c>
      <c r="AK32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23" s="3" t="s">
        <v>155</v>
      </c>
      <c r="AM323" s="3" t="s">
        <v>700</v>
      </c>
      <c r="AO323" s="3" t="s">
        <v>235</v>
      </c>
      <c r="AP323" s="3" t="s">
        <v>235</v>
      </c>
      <c r="AT323" s="10" t="s">
        <v>223</v>
      </c>
      <c r="AU323" s="13" t="s">
        <v>200</v>
      </c>
      <c r="AW323" s="10" t="s">
        <v>813</v>
      </c>
    </row>
    <row r="324" spans="1:49" ht="17.25" customHeight="1">
      <c r="A324" s="10" t="s">
        <v>223</v>
      </c>
      <c r="B324" s="7" t="s">
        <v>18</v>
      </c>
      <c r="C324" s="3" t="s">
        <v>1185</v>
      </c>
      <c r="D324" s="3" t="s">
        <v>200</v>
      </c>
      <c r="E324" s="3" t="s">
        <v>1127</v>
      </c>
      <c r="F324" s="3" t="s">
        <v>996</v>
      </c>
      <c r="G324" s="17" t="s">
        <v>1369</v>
      </c>
      <c r="J324" s="3" t="s">
        <v>1368</v>
      </c>
      <c r="K324" s="8" t="s">
        <v>1376</v>
      </c>
      <c r="N324" s="3" t="s">
        <v>1384</v>
      </c>
      <c r="O324" s="3" t="s">
        <v>23</v>
      </c>
      <c r="P32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24" s="4" t="s">
        <v>1373</v>
      </c>
      <c r="R324" s="4" t="s">
        <v>1372</v>
      </c>
      <c r="V324" s="4" t="s">
        <v>734</v>
      </c>
      <c r="W324" s="12" t="s">
        <v>190</v>
      </c>
      <c r="Y324" s="4">
        <v>72.400000000000006</v>
      </c>
      <c r="Z324" s="4">
        <v>180</v>
      </c>
      <c r="AA324" s="5">
        <f t="shared" si="22"/>
        <v>0.40222222222222226</v>
      </c>
      <c r="AB324" s="5"/>
      <c r="AC32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4" s="5" t="str">
        <f>IF(Tabelle1[[#This Row],[Nicht einbezogen weil…]]="",IFERROR(1000*Tabelle1[[#This Row],[Formfaktor]]/Tabelle1[[#This Row],[Thickness '[mm']]],""),"")</f>
        <v/>
      </c>
      <c r="AE324" s="5" t="str">
        <f>IF(Tabelle1[[#This Row],[Nicht einbezogen weil…]]="",IFERROR(Tabelle1[[#This Row],[specific surface '[m^2/m^3']]]/Tabelle1[[#This Row],[Density 
'[g/cm3']]]/1000000,""),"")</f>
        <v/>
      </c>
      <c r="AF324" s="5" t="str">
        <f>IF(Tabelle1[[#This Row],[Nicht einbezogen weil…]]="",IFERROR(365*10*Tabelle1[[#This Row],[Abbaurate '[%/d']]]*Tabelle1[[#This Row],[Thickness '[mm']]]/Tabelle1[[#This Row],[Formfaktor]],""),"")</f>
        <v/>
      </c>
      <c r="AG324" s="328" t="str">
        <f>IF(OR(Tabelle1[[#This Row],[Nicht einbezogen weil…]]="",Tabelle1[[#This Row],[Nicht einbezogen weil…]]="nicht-natürlich"),IF(Tabelle1[[#This Row],[Formfaktor]]=2, 1,IF(Tabelle1[[#This Row],[Formfaktor]]=4,2,IF(Tabelle1[[#This Row],[Formfaktor]]=6,3,""))),"")</f>
        <v/>
      </c>
      <c r="AH324"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2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24" s="6">
        <v>1</v>
      </c>
      <c r="AK32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24" s="3" t="s">
        <v>1366</v>
      </c>
      <c r="AU324" s="13"/>
    </row>
    <row r="325" spans="1:49" ht="17.25" customHeight="1">
      <c r="A325" s="10" t="s">
        <v>223</v>
      </c>
      <c r="B325" s="7" t="s">
        <v>18</v>
      </c>
      <c r="C325" s="3" t="s">
        <v>1185</v>
      </c>
      <c r="D325" s="3" t="s">
        <v>200</v>
      </c>
      <c r="E325" s="3" t="s">
        <v>1127</v>
      </c>
      <c r="F325" s="3" t="s">
        <v>996</v>
      </c>
      <c r="G325" s="17" t="s">
        <v>1369</v>
      </c>
      <c r="J325" s="3" t="s">
        <v>1368</v>
      </c>
      <c r="K325" s="8" t="s">
        <v>1382</v>
      </c>
      <c r="N325" s="3" t="s">
        <v>1384</v>
      </c>
      <c r="O325" s="3" t="s">
        <v>23</v>
      </c>
      <c r="P32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25" s="4" t="s">
        <v>1373</v>
      </c>
      <c r="R325" s="4" t="s">
        <v>1372</v>
      </c>
      <c r="V325" s="4" t="s">
        <v>734</v>
      </c>
      <c r="W325" s="12" t="s">
        <v>190</v>
      </c>
      <c r="Y325" s="4">
        <v>84.7</v>
      </c>
      <c r="Z325" s="4">
        <v>175</v>
      </c>
      <c r="AA325" s="5">
        <f t="shared" si="22"/>
        <v>0.48400000000000004</v>
      </c>
      <c r="AB325" s="5"/>
      <c r="AC32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5" s="5" t="str">
        <f>IF(Tabelle1[[#This Row],[Nicht einbezogen weil…]]="",IFERROR(1000*Tabelle1[[#This Row],[Formfaktor]]/Tabelle1[[#This Row],[Thickness '[mm']]],""),"")</f>
        <v/>
      </c>
      <c r="AE325" s="5" t="str">
        <f>IF(Tabelle1[[#This Row],[Nicht einbezogen weil…]]="",IFERROR(Tabelle1[[#This Row],[specific surface '[m^2/m^3']]]/Tabelle1[[#This Row],[Density 
'[g/cm3']]]/1000000,""),"")</f>
        <v/>
      </c>
      <c r="AF325" s="5" t="str">
        <f>IF(Tabelle1[[#This Row],[Nicht einbezogen weil…]]="",IFERROR(365*10*Tabelle1[[#This Row],[Abbaurate '[%/d']]]*Tabelle1[[#This Row],[Thickness '[mm']]]/Tabelle1[[#This Row],[Formfaktor]],""),"")</f>
        <v/>
      </c>
      <c r="AG325" s="328" t="str">
        <f>IF(OR(Tabelle1[[#This Row],[Nicht einbezogen weil…]]="",Tabelle1[[#This Row],[Nicht einbezogen weil…]]="nicht-natürlich"),IF(Tabelle1[[#This Row],[Formfaktor]]=2, 1,IF(Tabelle1[[#This Row],[Formfaktor]]=4,2,IF(Tabelle1[[#This Row],[Formfaktor]]=6,3,""))),"")</f>
        <v/>
      </c>
      <c r="AH32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2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25" s="6">
        <v>1</v>
      </c>
      <c r="AK32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25" s="3" t="s">
        <v>1366</v>
      </c>
      <c r="AU325" s="13"/>
    </row>
    <row r="326" spans="1:49" ht="17.25" customHeight="1">
      <c r="A326" s="10" t="s">
        <v>223</v>
      </c>
      <c r="B326" s="7" t="s">
        <v>18</v>
      </c>
      <c r="C326" s="3" t="s">
        <v>1185</v>
      </c>
      <c r="D326" s="3" t="s">
        <v>200</v>
      </c>
      <c r="E326" s="3" t="s">
        <v>1127</v>
      </c>
      <c r="F326" s="3" t="s">
        <v>996</v>
      </c>
      <c r="G326" s="17" t="s">
        <v>1369</v>
      </c>
      <c r="J326" s="3" t="s">
        <v>1368</v>
      </c>
      <c r="K326" s="8" t="s">
        <v>1374</v>
      </c>
      <c r="N326" s="3" t="s">
        <v>1384</v>
      </c>
      <c r="O326" s="3" t="s">
        <v>23</v>
      </c>
      <c r="P32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26" s="4" t="s">
        <v>1373</v>
      </c>
      <c r="R326" s="4" t="s">
        <v>1372</v>
      </c>
      <c r="V326" s="4" t="s">
        <v>734</v>
      </c>
      <c r="W326" s="12" t="s">
        <v>190</v>
      </c>
      <c r="Y326" s="4">
        <v>84.3</v>
      </c>
      <c r="Z326" s="4">
        <v>220</v>
      </c>
      <c r="AA326" s="5">
        <f t="shared" si="22"/>
        <v>0.38318181818181818</v>
      </c>
      <c r="AB326" s="5"/>
      <c r="AC32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6" s="5" t="str">
        <f>IF(Tabelle1[[#This Row],[Nicht einbezogen weil…]]="",IFERROR(1000*Tabelle1[[#This Row],[Formfaktor]]/Tabelle1[[#This Row],[Thickness '[mm']]],""),"")</f>
        <v/>
      </c>
      <c r="AE326" s="5" t="str">
        <f>IF(Tabelle1[[#This Row],[Nicht einbezogen weil…]]="",IFERROR(Tabelle1[[#This Row],[specific surface '[m^2/m^3']]]/Tabelle1[[#This Row],[Density 
'[g/cm3']]]/1000000,""),"")</f>
        <v/>
      </c>
      <c r="AF326" s="5" t="str">
        <f>IF(Tabelle1[[#This Row],[Nicht einbezogen weil…]]="",IFERROR(365*10*Tabelle1[[#This Row],[Abbaurate '[%/d']]]*Tabelle1[[#This Row],[Thickness '[mm']]]/Tabelle1[[#This Row],[Formfaktor]],""),"")</f>
        <v/>
      </c>
      <c r="AG326" s="328" t="str">
        <f>IF(OR(Tabelle1[[#This Row],[Nicht einbezogen weil…]]="",Tabelle1[[#This Row],[Nicht einbezogen weil…]]="nicht-natürlich"),IF(Tabelle1[[#This Row],[Formfaktor]]=2, 1,IF(Tabelle1[[#This Row],[Formfaktor]]=4,2,IF(Tabelle1[[#This Row],[Formfaktor]]=6,3,""))),"")</f>
        <v/>
      </c>
      <c r="AH326"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2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26" s="6">
        <v>1</v>
      </c>
      <c r="AK32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26" s="3" t="s">
        <v>1366</v>
      </c>
      <c r="AU326" s="13"/>
    </row>
    <row r="327" spans="1:49" ht="17.25" customHeight="1">
      <c r="A327" s="10" t="s">
        <v>223</v>
      </c>
      <c r="B327" s="109" t="s">
        <v>1078</v>
      </c>
      <c r="C327" s="3" t="s">
        <v>1187</v>
      </c>
      <c r="D327" s="3" t="s">
        <v>223</v>
      </c>
      <c r="F327" s="3" t="s">
        <v>996</v>
      </c>
      <c r="G327" s="3">
        <v>2.5000000000000001E-2</v>
      </c>
      <c r="J327" s="3" t="s">
        <v>1367</v>
      </c>
      <c r="K327" s="8" t="s">
        <v>1375</v>
      </c>
      <c r="L327" s="3" t="s">
        <v>223</v>
      </c>
      <c r="M327" s="12" t="s">
        <v>301</v>
      </c>
      <c r="N327" s="3" t="s">
        <v>1385</v>
      </c>
      <c r="O327" s="3" t="s">
        <v>23</v>
      </c>
      <c r="P32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27" s="4" t="s">
        <v>1373</v>
      </c>
      <c r="R327" s="4" t="s">
        <v>1372</v>
      </c>
      <c r="V327" s="4" t="s">
        <v>734</v>
      </c>
      <c r="W327" s="12" t="s">
        <v>190</v>
      </c>
      <c r="Y327" s="4">
        <v>78.2</v>
      </c>
      <c r="Z327" s="4">
        <v>180</v>
      </c>
      <c r="AA327" s="5">
        <f t="shared" si="22"/>
        <v>0.43444444444444447</v>
      </c>
      <c r="AB327" s="5"/>
      <c r="AC32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7" s="5">
        <f>IF(Tabelle1[[#This Row],[Nicht einbezogen weil…]]="",IFERROR(1000*Tabelle1[[#This Row],[Formfaktor]]/Tabelle1[[#This Row],[Thickness '[mm']]],""),"")</f>
        <v>80000</v>
      </c>
      <c r="AE327" s="5" t="str">
        <f>IF(Tabelle1[[#This Row],[Nicht einbezogen weil…]]="",IFERROR(Tabelle1[[#This Row],[specific surface '[m^2/m^3']]]/Tabelle1[[#This Row],[Density 
'[g/cm3']]]/1000000,""),"")</f>
        <v/>
      </c>
      <c r="AF327" s="5">
        <f>IF(Tabelle1[[#This Row],[Nicht einbezogen weil…]]="",IFERROR(365*10*Tabelle1[[#This Row],[Abbaurate '[%/d']]]*Tabelle1[[#This Row],[Thickness '[mm']]]/Tabelle1[[#This Row],[Formfaktor]],""),"")</f>
        <v>19.821527777777781</v>
      </c>
      <c r="AG327" s="328">
        <f>IF(OR(Tabelle1[[#This Row],[Nicht einbezogen weil…]]="",Tabelle1[[#This Row],[Nicht einbezogen weil…]]="nicht-natürlich"),IF(Tabelle1[[#This Row],[Formfaktor]]=2, 1,IF(Tabelle1[[#This Row],[Formfaktor]]=4,2,IF(Tabelle1[[#This Row],[Formfaktor]]=6,3,""))),"")</f>
        <v>1</v>
      </c>
      <c r="AH327" s="5">
        <f>IF(OR(Tabelle1[[#This Row],[Nicht einbezogen weil…]]="",Tabelle1[[#This Row],[Nicht einbezogen weil…]]="nicht-natürlich"),IFERROR(Tabelle1[[#This Row],[Thickness '[mm']]]/Tabelle1[[#This Row],[Dauer des Abbaus
'[Tage']]]*1000*0.5*365*(1-(1-Tabelle1[[#This Row],[Abbaurate '[%/d']]]/100*Tabelle1[[#This Row],[Dauer des Abbaus
'[Tage']]])^(1/Tabelle1[[#This Row],[Exponent]])),""),"")</f>
        <v>19.821527777777785</v>
      </c>
      <c r="AI32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PBSe_Meerwasser_natürlich</v>
      </c>
      <c r="AJ327" s="6">
        <v>1</v>
      </c>
      <c r="AK32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27" s="3" t="s">
        <v>1366</v>
      </c>
      <c r="AU327" s="13"/>
    </row>
    <row r="328" spans="1:49" ht="17.25" customHeight="1">
      <c r="A328" s="10" t="s">
        <v>223</v>
      </c>
      <c r="B328" s="109" t="s">
        <v>1078</v>
      </c>
      <c r="C328" s="3" t="s">
        <v>1187</v>
      </c>
      <c r="D328" s="3" t="s">
        <v>223</v>
      </c>
      <c r="F328" s="3" t="s">
        <v>996</v>
      </c>
      <c r="G328" s="3">
        <v>2.5000000000000001E-2</v>
      </c>
      <c r="J328" s="3" t="s">
        <v>1367</v>
      </c>
      <c r="K328" s="8" t="s">
        <v>1377</v>
      </c>
      <c r="N328" s="3" t="s">
        <v>1385</v>
      </c>
      <c r="O328" s="3" t="s">
        <v>23</v>
      </c>
      <c r="P328"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28" s="4" t="s">
        <v>1373</v>
      </c>
      <c r="R328" s="4" t="s">
        <v>1372</v>
      </c>
      <c r="V328" s="4" t="s">
        <v>734</v>
      </c>
      <c r="W328" s="12" t="s">
        <v>190</v>
      </c>
      <c r="Y328" s="4">
        <v>100</v>
      </c>
      <c r="Z328" s="4">
        <v>120</v>
      </c>
      <c r="AA328" s="5">
        <f t="shared" si="22"/>
        <v>0.83333333333333337</v>
      </c>
      <c r="AB328" s="5"/>
      <c r="AC328"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8" s="5">
        <f>IF(Tabelle1[[#This Row],[Nicht einbezogen weil…]]="",IFERROR(1000*Tabelle1[[#This Row],[Formfaktor]]/Tabelle1[[#This Row],[Thickness '[mm']]],""),"")</f>
        <v>80000</v>
      </c>
      <c r="AE328" s="5" t="str">
        <f>IF(Tabelle1[[#This Row],[Nicht einbezogen weil…]]="",IFERROR(Tabelle1[[#This Row],[specific surface '[m^2/m^3']]]/Tabelle1[[#This Row],[Density 
'[g/cm3']]]/1000000,""),"")</f>
        <v/>
      </c>
      <c r="AF328" s="5">
        <f>IF(Tabelle1[[#This Row],[Nicht einbezogen weil…]]="",IFERROR(365*10*Tabelle1[[#This Row],[Abbaurate '[%/d']]]*Tabelle1[[#This Row],[Thickness '[mm']]]/Tabelle1[[#This Row],[Formfaktor]],""),"")</f>
        <v>38.020833333333336</v>
      </c>
      <c r="AG328" s="328">
        <f>IF(OR(Tabelle1[[#This Row],[Nicht einbezogen weil…]]="",Tabelle1[[#This Row],[Nicht einbezogen weil…]]="nicht-natürlich"),IF(Tabelle1[[#This Row],[Formfaktor]]=2, 1,IF(Tabelle1[[#This Row],[Formfaktor]]=4,2,IF(Tabelle1[[#This Row],[Formfaktor]]=6,3,""))),"")</f>
        <v>1</v>
      </c>
      <c r="AH328" s="5">
        <f>IF(OR(Tabelle1[[#This Row],[Nicht einbezogen weil…]]="",Tabelle1[[#This Row],[Nicht einbezogen weil…]]="nicht-natürlich"),IFERROR(Tabelle1[[#This Row],[Thickness '[mm']]]/Tabelle1[[#This Row],[Dauer des Abbaus
'[Tage']]]*1000*0.5*365*(1-(1-Tabelle1[[#This Row],[Abbaurate '[%/d']]]/100*Tabelle1[[#This Row],[Dauer des Abbaus
'[Tage']]])^(1/Tabelle1[[#This Row],[Exponent]])),""),"")</f>
        <v>38.020833333333336</v>
      </c>
      <c r="AI328"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PBSe_Meerwasser_nicht natürlich</v>
      </c>
      <c r="AJ328" s="6">
        <v>1</v>
      </c>
      <c r="AK32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28" s="3" t="s">
        <v>1366</v>
      </c>
      <c r="AU328" s="13"/>
    </row>
    <row r="329" spans="1:49" ht="17.25" customHeight="1">
      <c r="A329" s="10" t="s">
        <v>223</v>
      </c>
      <c r="B329" s="109" t="s">
        <v>1078</v>
      </c>
      <c r="C329" s="3" t="s">
        <v>1187</v>
      </c>
      <c r="D329" s="3" t="s">
        <v>223</v>
      </c>
      <c r="F329" s="3" t="s">
        <v>996</v>
      </c>
      <c r="G329" s="3">
        <v>2.5000000000000001E-2</v>
      </c>
      <c r="J329" s="3" t="s">
        <v>1367</v>
      </c>
      <c r="K329" s="8" t="s">
        <v>1379</v>
      </c>
      <c r="N329" s="3" t="s">
        <v>1385</v>
      </c>
      <c r="O329" s="3" t="s">
        <v>23</v>
      </c>
      <c r="P32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29" s="4" t="s">
        <v>1373</v>
      </c>
      <c r="R329" s="4" t="s">
        <v>1372</v>
      </c>
      <c r="V329" s="4" t="s">
        <v>734</v>
      </c>
      <c r="W329" s="12" t="s">
        <v>190</v>
      </c>
      <c r="Y329" s="4">
        <v>64</v>
      </c>
      <c r="Z329" s="4">
        <v>180</v>
      </c>
      <c r="AA329" s="5">
        <f t="shared" si="22"/>
        <v>0.35555555555555557</v>
      </c>
      <c r="AB329" s="5"/>
      <c r="AC32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29" s="5">
        <f>IF(Tabelle1[[#This Row],[Nicht einbezogen weil…]]="",IFERROR(1000*Tabelle1[[#This Row],[Formfaktor]]/Tabelle1[[#This Row],[Thickness '[mm']]],""),"")</f>
        <v>80000</v>
      </c>
      <c r="AE329" s="5" t="str">
        <f>IF(Tabelle1[[#This Row],[Nicht einbezogen weil…]]="",IFERROR(Tabelle1[[#This Row],[specific surface '[m^2/m^3']]]/Tabelle1[[#This Row],[Density 
'[g/cm3']]]/1000000,""),"")</f>
        <v/>
      </c>
      <c r="AF329" s="5">
        <f>IF(Tabelle1[[#This Row],[Nicht einbezogen weil…]]="",IFERROR(365*10*Tabelle1[[#This Row],[Abbaurate '[%/d']]]*Tabelle1[[#This Row],[Thickness '[mm']]]/Tabelle1[[#This Row],[Formfaktor]],""),"")</f>
        <v>16.222222222222225</v>
      </c>
      <c r="AG329" s="328">
        <f>IF(OR(Tabelle1[[#This Row],[Nicht einbezogen weil…]]="",Tabelle1[[#This Row],[Nicht einbezogen weil…]]="nicht-natürlich"),IF(Tabelle1[[#This Row],[Formfaktor]]=2, 1,IF(Tabelle1[[#This Row],[Formfaktor]]=4,2,IF(Tabelle1[[#This Row],[Formfaktor]]=6,3,""))),"")</f>
        <v>1</v>
      </c>
      <c r="AH329" s="5">
        <f>IF(OR(Tabelle1[[#This Row],[Nicht einbezogen weil…]]="",Tabelle1[[#This Row],[Nicht einbezogen weil…]]="nicht-natürlich"),IFERROR(Tabelle1[[#This Row],[Thickness '[mm']]]/Tabelle1[[#This Row],[Dauer des Abbaus
'[Tage']]]*1000*0.5*365*(1-(1-Tabelle1[[#This Row],[Abbaurate '[%/d']]]/100*Tabelle1[[#This Row],[Dauer des Abbaus
'[Tage']]])^(1/Tabelle1[[#This Row],[Exponent]])),""),"")</f>
        <v>16.222222222222225</v>
      </c>
      <c r="AI32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PBSe_Meerwasser_nicht natürlich</v>
      </c>
      <c r="AJ329" s="6">
        <v>1</v>
      </c>
      <c r="AK32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29" s="3" t="s">
        <v>1366</v>
      </c>
      <c r="AU329" s="13"/>
    </row>
    <row r="330" spans="1:49" ht="17.25" customHeight="1">
      <c r="A330" s="10" t="s">
        <v>223</v>
      </c>
      <c r="B330" s="109" t="s">
        <v>1077</v>
      </c>
      <c r="C330" s="3" t="s">
        <v>1188</v>
      </c>
      <c r="D330" s="3" t="s">
        <v>223</v>
      </c>
      <c r="F330" s="3" t="s">
        <v>996</v>
      </c>
      <c r="G330" s="3">
        <v>2.5000000000000001E-2</v>
      </c>
      <c r="J330" s="3" t="s">
        <v>1189</v>
      </c>
      <c r="K330" s="8" t="s">
        <v>1375</v>
      </c>
      <c r="L330" s="3" t="s">
        <v>223</v>
      </c>
      <c r="M330" s="12" t="s">
        <v>301</v>
      </c>
      <c r="N330" s="3" t="s">
        <v>1385</v>
      </c>
      <c r="O330" s="3" t="s">
        <v>23</v>
      </c>
      <c r="P33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30" s="4" t="s">
        <v>1373</v>
      </c>
      <c r="R330" s="4" t="s">
        <v>1372</v>
      </c>
      <c r="V330" s="4" t="s">
        <v>734</v>
      </c>
      <c r="W330" s="12" t="s">
        <v>190</v>
      </c>
      <c r="Y330" s="4">
        <v>30.1</v>
      </c>
      <c r="Z330" s="4">
        <v>180</v>
      </c>
      <c r="AA330" s="5">
        <f t="shared" si="22"/>
        <v>0.16722222222222222</v>
      </c>
      <c r="AB330" s="5"/>
      <c r="AC33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30" s="5">
        <f>IF(Tabelle1[[#This Row],[Nicht einbezogen weil…]]="",IFERROR(1000*Tabelle1[[#This Row],[Formfaktor]]/Tabelle1[[#This Row],[Thickness '[mm']]],""),"")</f>
        <v>80000</v>
      </c>
      <c r="AE330" s="5" t="str">
        <f>IF(Tabelle1[[#This Row],[Nicht einbezogen weil…]]="",IFERROR(Tabelle1[[#This Row],[specific surface '[m^2/m^3']]]/Tabelle1[[#This Row],[Density 
'[g/cm3']]]/1000000,""),"")</f>
        <v/>
      </c>
      <c r="AF330" s="5">
        <f>IF(Tabelle1[[#This Row],[Nicht einbezogen weil…]]="",IFERROR(365*10*Tabelle1[[#This Row],[Abbaurate '[%/d']]]*Tabelle1[[#This Row],[Thickness '[mm']]]/Tabelle1[[#This Row],[Formfaktor]],""),"")</f>
        <v>7.6295138888888889</v>
      </c>
      <c r="AG330" s="328">
        <f>IF(OR(Tabelle1[[#This Row],[Nicht einbezogen weil…]]="",Tabelle1[[#This Row],[Nicht einbezogen weil…]]="nicht-natürlich"),IF(Tabelle1[[#This Row],[Formfaktor]]=2, 1,IF(Tabelle1[[#This Row],[Formfaktor]]=4,2,IF(Tabelle1[[#This Row],[Formfaktor]]=6,3,""))),"")</f>
        <v>1</v>
      </c>
      <c r="AH330" s="5">
        <f>IF(OR(Tabelle1[[#This Row],[Nicht einbezogen weil…]]="",Tabelle1[[#This Row],[Nicht einbezogen weil…]]="nicht-natürlich"),IFERROR(Tabelle1[[#This Row],[Thickness '[mm']]]/Tabelle1[[#This Row],[Dauer des Abbaus
'[Tage']]]*1000*0.5*365*(1-(1-Tabelle1[[#This Row],[Abbaurate '[%/d']]]/100*Tabelle1[[#This Row],[Dauer des Abbaus
'[Tage']]])^(1/Tabelle1[[#This Row],[Exponent]])),""),"")</f>
        <v>7.629513888888888</v>
      </c>
      <c r="AI33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PBSeT_Meerwasser_natürlich</v>
      </c>
      <c r="AJ330" s="6">
        <v>1</v>
      </c>
      <c r="AK33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30" s="3" t="s">
        <v>1366</v>
      </c>
      <c r="AU330" s="13"/>
    </row>
    <row r="331" spans="1:49" ht="17.25" customHeight="1">
      <c r="B331" s="109" t="s">
        <v>1077</v>
      </c>
      <c r="C331" s="3" t="s">
        <v>1100</v>
      </c>
      <c r="D331" s="3" t="s">
        <v>223</v>
      </c>
      <c r="E331" s="10"/>
      <c r="F331" s="3" t="s">
        <v>198</v>
      </c>
      <c r="G331" s="3">
        <v>2.5000000000000001E-2</v>
      </c>
      <c r="H331" s="3" t="s">
        <v>341</v>
      </c>
      <c r="I331" s="3" t="s">
        <v>341</v>
      </c>
      <c r="K331" s="8" t="s">
        <v>229</v>
      </c>
      <c r="M331" s="3" t="s">
        <v>200</v>
      </c>
      <c r="N331" s="3" t="s">
        <v>1068</v>
      </c>
      <c r="O331" s="3" t="s">
        <v>23</v>
      </c>
      <c r="P33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331" s="3" t="s">
        <v>13</v>
      </c>
      <c r="X331" s="3" t="s">
        <v>1067</v>
      </c>
      <c r="Y331" s="4">
        <v>50</v>
      </c>
      <c r="Z331" s="4">
        <v>753</v>
      </c>
      <c r="AA331" s="5">
        <f t="shared" si="22"/>
        <v>6.6401062416998669E-2</v>
      </c>
      <c r="AB331" s="5"/>
      <c r="AC33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31" s="5">
        <f>IF(Tabelle1[[#This Row],[Nicht einbezogen weil…]]="",IFERROR(1000*Tabelle1[[#This Row],[Formfaktor]]/Tabelle1[[#This Row],[Thickness '[mm']]],""),"")</f>
        <v>80000</v>
      </c>
      <c r="AE331" s="5" t="str">
        <f>IF(Tabelle1[[#This Row],[Nicht einbezogen weil…]]="",IFERROR(Tabelle1[[#This Row],[specific surface '[m^2/m^3']]]/Tabelle1[[#This Row],[Density 
'[g/cm3']]]/1000000,""),"")</f>
        <v/>
      </c>
      <c r="AF331" s="5">
        <f>IF(Tabelle1[[#This Row],[Nicht einbezogen weil…]]="",IFERROR(365*10*Tabelle1[[#This Row],[Abbaurate '[%/d']]]*Tabelle1[[#This Row],[Thickness '[mm']]]/Tabelle1[[#This Row],[Formfaktor]],""),"")</f>
        <v>3.0295484727755646</v>
      </c>
      <c r="AG331" s="328">
        <f>IF(OR(Tabelle1[[#This Row],[Nicht einbezogen weil…]]="",Tabelle1[[#This Row],[Nicht einbezogen weil…]]="nicht-natürlich"),IF(Tabelle1[[#This Row],[Formfaktor]]=2, 1,IF(Tabelle1[[#This Row],[Formfaktor]]=4,2,IF(Tabelle1[[#This Row],[Formfaktor]]=6,3,""))),"")</f>
        <v>1</v>
      </c>
      <c r="AH331" s="5">
        <f>IF(OR(Tabelle1[[#This Row],[Nicht einbezogen weil…]]="",Tabelle1[[#This Row],[Nicht einbezogen weil…]]="nicht-natürlich"),IFERROR(Tabelle1[[#This Row],[Thickness '[mm']]]/Tabelle1[[#This Row],[Dauer des Abbaus
'[Tage']]]*1000*0.5*365*(1-(1-Tabelle1[[#This Row],[Abbaurate '[%/d']]]/100*Tabelle1[[#This Row],[Dauer des Abbaus
'[Tage']]])^(1/Tabelle1[[#This Row],[Exponent]])),""),"")</f>
        <v>3.0295484727755642</v>
      </c>
      <c r="AI33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PBSeT_Meerwasser_natürlich</v>
      </c>
      <c r="AJ331" s="6">
        <v>1</v>
      </c>
      <c r="AK33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31" s="3" t="s">
        <v>1080</v>
      </c>
      <c r="AN331" s="3" t="s">
        <v>1065</v>
      </c>
      <c r="AO331" s="3" t="s">
        <v>200</v>
      </c>
      <c r="AP331" s="3" t="s">
        <v>200</v>
      </c>
      <c r="AT331" s="10" t="s">
        <v>223</v>
      </c>
      <c r="AU331" s="13" t="s">
        <v>200</v>
      </c>
    </row>
    <row r="332" spans="1:49" ht="17.25" customHeight="1">
      <c r="B332" s="109" t="s">
        <v>1077</v>
      </c>
      <c r="C332" s="3" t="s">
        <v>1100</v>
      </c>
      <c r="D332" s="3" t="s">
        <v>223</v>
      </c>
      <c r="E332" s="10"/>
      <c r="F332" s="3" t="s">
        <v>198</v>
      </c>
      <c r="G332" s="3">
        <v>2.5000000000000001E-2</v>
      </c>
      <c r="H332" s="3" t="s">
        <v>341</v>
      </c>
      <c r="I332" s="3" t="s">
        <v>341</v>
      </c>
      <c r="K332" s="8" t="s">
        <v>229</v>
      </c>
      <c r="M332" s="3" t="s">
        <v>200</v>
      </c>
      <c r="N332" s="3" t="s">
        <v>1069</v>
      </c>
      <c r="O332" s="3" t="s">
        <v>23</v>
      </c>
      <c r="P33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332" s="3" t="s">
        <v>13</v>
      </c>
      <c r="X332" s="3" t="s">
        <v>1067</v>
      </c>
      <c r="Y332" s="4">
        <v>50</v>
      </c>
      <c r="Z332" s="4">
        <v>2347</v>
      </c>
      <c r="AA332" s="5">
        <f t="shared" si="22"/>
        <v>2.1303792074989347E-2</v>
      </c>
      <c r="AB332" s="5"/>
      <c r="AC33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32" s="5">
        <f>IF(Tabelle1[[#This Row],[Nicht einbezogen weil…]]="",IFERROR(1000*Tabelle1[[#This Row],[Formfaktor]]/Tabelle1[[#This Row],[Thickness '[mm']]],""),"")</f>
        <v>80000</v>
      </c>
      <c r="AE332" s="5" t="str">
        <f>IF(Tabelle1[[#This Row],[Nicht einbezogen weil…]]="",IFERROR(Tabelle1[[#This Row],[specific surface '[m^2/m^3']]]/Tabelle1[[#This Row],[Density 
'[g/cm3']]]/1000000,""),"")</f>
        <v/>
      </c>
      <c r="AF332" s="5">
        <f>IF(Tabelle1[[#This Row],[Nicht einbezogen weil…]]="",IFERROR(365*10*Tabelle1[[#This Row],[Abbaurate '[%/d']]]*Tabelle1[[#This Row],[Thickness '[mm']]]/Tabelle1[[#This Row],[Formfaktor]],""),"")</f>
        <v>0.97198551342138895</v>
      </c>
      <c r="AG332" s="328">
        <f>IF(OR(Tabelle1[[#This Row],[Nicht einbezogen weil…]]="",Tabelle1[[#This Row],[Nicht einbezogen weil…]]="nicht-natürlich"),IF(Tabelle1[[#This Row],[Formfaktor]]=2, 1,IF(Tabelle1[[#This Row],[Formfaktor]]=4,2,IF(Tabelle1[[#This Row],[Formfaktor]]=6,3,""))),"")</f>
        <v>1</v>
      </c>
      <c r="AH332" s="5">
        <f>IF(OR(Tabelle1[[#This Row],[Nicht einbezogen weil…]]="",Tabelle1[[#This Row],[Nicht einbezogen weil…]]="nicht-natürlich"),IFERROR(Tabelle1[[#This Row],[Thickness '[mm']]]/Tabelle1[[#This Row],[Dauer des Abbaus
'[Tage']]]*1000*0.5*365*(1-(1-Tabelle1[[#This Row],[Abbaurate '[%/d']]]/100*Tabelle1[[#This Row],[Dauer des Abbaus
'[Tage']]])^(1/Tabelle1[[#This Row],[Exponent]])),""),"")</f>
        <v>0.97198551342138906</v>
      </c>
      <c r="AI33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PBSeT_Meerwasser_natürlich</v>
      </c>
      <c r="AJ332" s="6">
        <v>1</v>
      </c>
      <c r="AK33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32" s="3" t="s">
        <v>1080</v>
      </c>
      <c r="AN332" s="3" t="s">
        <v>1065</v>
      </c>
      <c r="AO332" s="3" t="s">
        <v>200</v>
      </c>
      <c r="AP332" s="3" t="s">
        <v>200</v>
      </c>
      <c r="AT332" s="10" t="s">
        <v>223</v>
      </c>
      <c r="AU332" s="13" t="s">
        <v>200</v>
      </c>
    </row>
    <row r="333" spans="1:49" ht="17.25" customHeight="1">
      <c r="B333" s="7" t="s">
        <v>18</v>
      </c>
      <c r="C333" s="3" t="s">
        <v>102</v>
      </c>
      <c r="E333" s="10"/>
      <c r="F333" s="3" t="s">
        <v>341</v>
      </c>
      <c r="G333" s="74" t="s">
        <v>341</v>
      </c>
      <c r="I333" s="77">
        <v>1.26</v>
      </c>
      <c r="N333" s="3" t="s">
        <v>105</v>
      </c>
      <c r="O333" s="3" t="s">
        <v>23</v>
      </c>
      <c r="P33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33" s="4">
        <v>25</v>
      </c>
      <c r="U333" s="4" t="s">
        <v>12</v>
      </c>
      <c r="W333" s="3" t="s">
        <v>13</v>
      </c>
      <c r="Y333" s="4">
        <v>8</v>
      </c>
      <c r="Z333" s="4">
        <v>70</v>
      </c>
      <c r="AA333" s="5">
        <f t="shared" si="22"/>
        <v>0.11428571428571428</v>
      </c>
      <c r="AB333" s="5"/>
      <c r="AC333"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333" s="97" t="str">
        <f>IF(Tabelle1[[#This Row],[Nicht einbezogen weil…]]="",IFERROR(1000*Tabelle1[[#This Row],[Formfaktor]]/Tabelle1[[#This Row],[Thickness '[mm']]],""),"")</f>
        <v/>
      </c>
      <c r="AE333" s="98" t="str">
        <f>IF(Tabelle1[[#This Row],[Nicht einbezogen weil…]]="",IFERROR(Tabelle1[[#This Row],[specific surface '[m^2/m^3']]]/Tabelle1[[#This Row],[Density 
'[g/cm3']]]/1000000,""),"")</f>
        <v/>
      </c>
      <c r="AF333" s="97" t="str">
        <f>IF(Tabelle1[[#This Row],[Nicht einbezogen weil…]]="",IFERROR(365*10*Tabelle1[[#This Row],[Abbaurate '[%/d']]]*Tabelle1[[#This Row],[Thickness '[mm']]]/Tabelle1[[#This Row],[Formfaktor]],""),"")</f>
        <v/>
      </c>
      <c r="AG333" s="99" t="str">
        <f>IF(OR(Tabelle1[[#This Row],[Nicht einbezogen weil…]]="",Tabelle1[[#This Row],[Nicht einbezogen weil…]]="nicht-natürlich"),IF(Tabelle1[[#This Row],[Formfaktor]]=2, 1,IF(Tabelle1[[#This Row],[Formfaktor]]=4,2,IF(Tabelle1[[#This Row],[Formfaktor]]=6,3,""))),"")</f>
        <v/>
      </c>
      <c r="AH33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3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33" s="6">
        <v>0</v>
      </c>
      <c r="AK33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333" s="3" t="s">
        <v>106</v>
      </c>
      <c r="AM333" s="3" t="s">
        <v>196</v>
      </c>
      <c r="AO333" s="3" t="s">
        <v>223</v>
      </c>
      <c r="AP333" s="3" t="s">
        <v>223</v>
      </c>
      <c r="AT333" s="10" t="s">
        <v>223</v>
      </c>
      <c r="AU333" s="76" t="s">
        <v>695</v>
      </c>
      <c r="AV333" s="10" t="s">
        <v>589</v>
      </c>
      <c r="AW333" s="10" t="s">
        <v>813</v>
      </c>
    </row>
    <row r="334" spans="1:49" ht="17.25" customHeight="1">
      <c r="B334" s="109" t="s">
        <v>1077</v>
      </c>
      <c r="C334" s="3" t="s">
        <v>1100</v>
      </c>
      <c r="D334" s="3" t="s">
        <v>223</v>
      </c>
      <c r="E334" s="10"/>
      <c r="F334" s="3" t="s">
        <v>198</v>
      </c>
      <c r="G334" s="3">
        <v>2.5000000000000001E-2</v>
      </c>
      <c r="H334" s="3" t="s">
        <v>341</v>
      </c>
      <c r="I334" s="3" t="s">
        <v>341</v>
      </c>
      <c r="K334" s="8" t="s">
        <v>229</v>
      </c>
      <c r="M334" s="3" t="s">
        <v>200</v>
      </c>
      <c r="N334" s="3" t="s">
        <v>1070</v>
      </c>
      <c r="O334" s="3" t="s">
        <v>1104</v>
      </c>
      <c r="P33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334" s="3" t="s">
        <v>13</v>
      </c>
      <c r="X334" s="3" t="s">
        <v>1067</v>
      </c>
      <c r="Y334" s="4">
        <v>50</v>
      </c>
      <c r="Z334" s="4">
        <v>1071</v>
      </c>
      <c r="AA334" s="5">
        <f t="shared" si="22"/>
        <v>4.6685340802987862E-2</v>
      </c>
      <c r="AB334" s="5"/>
      <c r="AC33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34" s="5">
        <f>IF(Tabelle1[[#This Row],[Nicht einbezogen weil…]]="",IFERROR(1000*Tabelle1[[#This Row],[Formfaktor]]/Tabelle1[[#This Row],[Thickness '[mm']]],""),"")</f>
        <v>80000</v>
      </c>
      <c r="AE334" s="5" t="str">
        <f>IF(Tabelle1[[#This Row],[Nicht einbezogen weil…]]="",IFERROR(Tabelle1[[#This Row],[specific surface '[m^2/m^3']]]/Tabelle1[[#This Row],[Density 
'[g/cm3']]]/1000000,""),"")</f>
        <v/>
      </c>
      <c r="AF334" s="5">
        <f>IF(Tabelle1[[#This Row],[Nicht einbezogen weil…]]="",IFERROR(365*10*Tabelle1[[#This Row],[Abbaurate '[%/d']]]*Tabelle1[[#This Row],[Thickness '[mm']]]/Tabelle1[[#This Row],[Formfaktor]],""),"")</f>
        <v>2.1300186741363212</v>
      </c>
      <c r="AG334" s="328">
        <f>IF(OR(Tabelle1[[#This Row],[Nicht einbezogen weil…]]="",Tabelle1[[#This Row],[Nicht einbezogen weil…]]="nicht-natürlich"),IF(Tabelle1[[#This Row],[Formfaktor]]=2, 1,IF(Tabelle1[[#This Row],[Formfaktor]]=4,2,IF(Tabelle1[[#This Row],[Formfaktor]]=6,3,""))),"")</f>
        <v>1</v>
      </c>
      <c r="AH334" s="5">
        <f>IF(OR(Tabelle1[[#This Row],[Nicht einbezogen weil…]]="",Tabelle1[[#This Row],[Nicht einbezogen weil…]]="nicht-natürlich"),IFERROR(Tabelle1[[#This Row],[Thickness '[mm']]]/Tabelle1[[#This Row],[Dauer des Abbaus
'[Tage']]]*1000*0.5*365*(1-(1-Tabelle1[[#This Row],[Abbaurate '[%/d']]]/100*Tabelle1[[#This Row],[Dauer des Abbaus
'[Tage']]])^(1/Tabelle1[[#This Row],[Exponent]])),""),"")</f>
        <v>2.1300186741363212</v>
      </c>
      <c r="AI33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PBSeT_Benthic_natürlich</v>
      </c>
      <c r="AJ334" s="6">
        <v>1</v>
      </c>
      <c r="AK33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34" s="3" t="s">
        <v>1080</v>
      </c>
      <c r="AN334" s="3" t="s">
        <v>1065</v>
      </c>
      <c r="AO334" s="3" t="s">
        <v>200</v>
      </c>
      <c r="AP334" s="3" t="s">
        <v>200</v>
      </c>
      <c r="AT334" s="10" t="s">
        <v>223</v>
      </c>
      <c r="AU334" s="13" t="s">
        <v>200</v>
      </c>
    </row>
    <row r="335" spans="1:49" ht="17.25" customHeight="1">
      <c r="B335" s="11" t="s">
        <v>18</v>
      </c>
      <c r="C335" s="3" t="s">
        <v>18</v>
      </c>
      <c r="D335" s="3" t="s">
        <v>200</v>
      </c>
      <c r="E335" s="10" t="s">
        <v>205</v>
      </c>
      <c r="F335" s="3" t="s">
        <v>198</v>
      </c>
      <c r="G335" s="17">
        <f>AVERAGE(0.152,0.19)</f>
        <v>0.17099999999999999</v>
      </c>
      <c r="H335" s="3" t="s">
        <v>341</v>
      </c>
      <c r="I335" s="77">
        <v>1.26</v>
      </c>
      <c r="J335" s="3" t="s">
        <v>539</v>
      </c>
      <c r="L335" s="3" t="s">
        <v>544</v>
      </c>
      <c r="M335" s="3" t="s">
        <v>223</v>
      </c>
      <c r="N335" s="3" t="s">
        <v>94</v>
      </c>
      <c r="O335" s="3" t="s">
        <v>23</v>
      </c>
      <c r="P33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35" s="4">
        <v>30</v>
      </c>
      <c r="W335" s="3" t="s">
        <v>190</v>
      </c>
      <c r="Y335" s="4">
        <v>90</v>
      </c>
      <c r="Z335" s="4">
        <v>100</v>
      </c>
      <c r="AA335" s="5">
        <f t="shared" si="22"/>
        <v>0.9</v>
      </c>
      <c r="AB335" s="5"/>
      <c r="AC33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35" s="97" t="str">
        <f>IF(Tabelle1[[#This Row],[Nicht einbezogen weil…]]="",IFERROR(1000*Tabelle1[[#This Row],[Formfaktor]]/Tabelle1[[#This Row],[Thickness '[mm']]],""),"")</f>
        <v/>
      </c>
      <c r="AE335" s="98" t="str">
        <f>IF(Tabelle1[[#This Row],[Nicht einbezogen weil…]]="",IFERROR(Tabelle1[[#This Row],[specific surface '[m^2/m^3']]]/Tabelle1[[#This Row],[Density 
'[g/cm3']]]/1000000,""),"")</f>
        <v/>
      </c>
      <c r="AF335" s="97" t="str">
        <f>IF(Tabelle1[[#This Row],[Nicht einbezogen weil…]]="",IFERROR(365*10*Tabelle1[[#This Row],[Abbaurate '[%/d']]]*Tabelle1[[#This Row],[Thickness '[mm']]]/Tabelle1[[#This Row],[Formfaktor]],""),"")</f>
        <v/>
      </c>
      <c r="AG335" s="99" t="str">
        <f>IF(OR(Tabelle1[[#This Row],[Nicht einbezogen weil…]]="",Tabelle1[[#This Row],[Nicht einbezogen weil…]]="nicht-natürlich"),IF(Tabelle1[[#This Row],[Formfaktor]]=2, 1,IF(Tabelle1[[#This Row],[Formfaktor]]=4,2,IF(Tabelle1[[#This Row],[Formfaktor]]=6,3,""))),"")</f>
        <v/>
      </c>
      <c r="AH33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3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35" s="71">
        <v>1</v>
      </c>
      <c r="AK33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35" s="3" t="s">
        <v>146</v>
      </c>
      <c r="AM335" s="8" t="s">
        <v>978</v>
      </c>
      <c r="AN335" s="3" t="s">
        <v>538</v>
      </c>
      <c r="AO335" s="3" t="s">
        <v>200</v>
      </c>
      <c r="AP335" s="3" t="s">
        <v>200</v>
      </c>
      <c r="AT335" s="3" t="s">
        <v>223</v>
      </c>
      <c r="AU335" s="13" t="s">
        <v>200</v>
      </c>
      <c r="AW335" s="17" t="s">
        <v>817</v>
      </c>
    </row>
    <row r="336" spans="1:49" ht="17.25" customHeight="1">
      <c r="B336" s="11" t="s">
        <v>18</v>
      </c>
      <c r="C336" s="3" t="s">
        <v>18</v>
      </c>
      <c r="D336" s="3" t="s">
        <v>200</v>
      </c>
      <c r="E336" s="10" t="s">
        <v>205</v>
      </c>
      <c r="F336" s="3" t="s">
        <v>198</v>
      </c>
      <c r="G336" s="17">
        <f>AVERAGE(0.152,0.19)</f>
        <v>0.17099999999999999</v>
      </c>
      <c r="H336" s="3" t="s">
        <v>341</v>
      </c>
      <c r="I336" s="77">
        <v>1.26</v>
      </c>
      <c r="J336" s="3" t="s">
        <v>539</v>
      </c>
      <c r="L336" s="3" t="s">
        <v>544</v>
      </c>
      <c r="M336" s="3" t="s">
        <v>223</v>
      </c>
      <c r="N336" s="3" t="s">
        <v>94</v>
      </c>
      <c r="O336" s="3" t="s">
        <v>23</v>
      </c>
      <c r="P33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36" s="4">
        <v>30</v>
      </c>
      <c r="W336" s="3" t="s">
        <v>190</v>
      </c>
      <c r="Y336" s="4">
        <v>82</v>
      </c>
      <c r="Z336" s="4">
        <v>100</v>
      </c>
      <c r="AA336" s="5">
        <f t="shared" si="22"/>
        <v>0.82</v>
      </c>
      <c r="AB336" s="5"/>
      <c r="AC33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36" s="97" t="str">
        <f>IF(Tabelle1[[#This Row],[Nicht einbezogen weil…]]="",IFERROR(1000*Tabelle1[[#This Row],[Formfaktor]]/Tabelle1[[#This Row],[Thickness '[mm']]],""),"")</f>
        <v/>
      </c>
      <c r="AE336" s="98" t="str">
        <f>IF(Tabelle1[[#This Row],[Nicht einbezogen weil…]]="",IFERROR(Tabelle1[[#This Row],[specific surface '[m^2/m^3']]]/Tabelle1[[#This Row],[Density 
'[g/cm3']]]/1000000,""),"")</f>
        <v/>
      </c>
      <c r="AF336" s="97" t="str">
        <f>IF(Tabelle1[[#This Row],[Nicht einbezogen weil…]]="",IFERROR(365*10*Tabelle1[[#This Row],[Abbaurate '[%/d']]]*Tabelle1[[#This Row],[Thickness '[mm']]]/Tabelle1[[#This Row],[Formfaktor]],""),"")</f>
        <v/>
      </c>
      <c r="AG336" s="99" t="str">
        <f>IF(OR(Tabelle1[[#This Row],[Nicht einbezogen weil…]]="",Tabelle1[[#This Row],[Nicht einbezogen weil…]]="nicht-natürlich"),IF(Tabelle1[[#This Row],[Formfaktor]]=2, 1,IF(Tabelle1[[#This Row],[Formfaktor]]=4,2,IF(Tabelle1[[#This Row],[Formfaktor]]=6,3,""))),"")</f>
        <v/>
      </c>
      <c r="AH33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3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36" s="71">
        <v>1</v>
      </c>
      <c r="AK33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36" s="3" t="s">
        <v>146</v>
      </c>
      <c r="AM336" s="8" t="s">
        <v>978</v>
      </c>
      <c r="AN336" s="3" t="s">
        <v>538</v>
      </c>
      <c r="AO336" s="3" t="s">
        <v>200</v>
      </c>
      <c r="AP336" s="3" t="s">
        <v>200</v>
      </c>
      <c r="AT336" s="3" t="s">
        <v>223</v>
      </c>
      <c r="AU336" s="13" t="s">
        <v>200</v>
      </c>
      <c r="AW336" s="17" t="s">
        <v>817</v>
      </c>
    </row>
    <row r="337" spans="1:49" ht="17.25" customHeight="1">
      <c r="B337" s="11" t="s">
        <v>18</v>
      </c>
      <c r="C337" s="3" t="s">
        <v>18</v>
      </c>
      <c r="D337" s="3" t="s">
        <v>200</v>
      </c>
      <c r="E337" s="10" t="s">
        <v>205</v>
      </c>
      <c r="F337" s="3" t="s">
        <v>198</v>
      </c>
      <c r="G337" s="17">
        <f>AVERAGE(0.152,0.19)</f>
        <v>0.17099999999999999</v>
      </c>
      <c r="H337" s="3" t="s">
        <v>341</v>
      </c>
      <c r="I337" s="77">
        <v>1.26</v>
      </c>
      <c r="J337" s="3" t="s">
        <v>539</v>
      </c>
      <c r="L337" s="3" t="s">
        <v>544</v>
      </c>
      <c r="M337" s="3" t="s">
        <v>223</v>
      </c>
      <c r="N337" s="3" t="s">
        <v>94</v>
      </c>
      <c r="O337" s="3" t="s">
        <v>23</v>
      </c>
      <c r="P33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37" s="4">
        <v>30</v>
      </c>
      <c r="W337" s="3" t="s">
        <v>190</v>
      </c>
      <c r="Y337" s="4">
        <v>80</v>
      </c>
      <c r="Z337" s="4">
        <v>100</v>
      </c>
      <c r="AA337" s="5">
        <f t="shared" si="22"/>
        <v>0.8</v>
      </c>
      <c r="AB337" s="5"/>
      <c r="AC33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37" s="97" t="str">
        <f>IF(Tabelle1[[#This Row],[Nicht einbezogen weil…]]="",IFERROR(1000*Tabelle1[[#This Row],[Formfaktor]]/Tabelle1[[#This Row],[Thickness '[mm']]],""),"")</f>
        <v/>
      </c>
      <c r="AE337" s="98" t="str">
        <f>IF(Tabelle1[[#This Row],[Nicht einbezogen weil…]]="",IFERROR(Tabelle1[[#This Row],[specific surface '[m^2/m^3']]]/Tabelle1[[#This Row],[Density 
'[g/cm3']]]/1000000,""),"")</f>
        <v/>
      </c>
      <c r="AF337" s="97" t="str">
        <f>IF(Tabelle1[[#This Row],[Nicht einbezogen weil…]]="",IFERROR(365*10*Tabelle1[[#This Row],[Abbaurate '[%/d']]]*Tabelle1[[#This Row],[Thickness '[mm']]]/Tabelle1[[#This Row],[Formfaktor]],""),"")</f>
        <v/>
      </c>
      <c r="AG337" s="99" t="str">
        <f>IF(OR(Tabelle1[[#This Row],[Nicht einbezogen weil…]]="",Tabelle1[[#This Row],[Nicht einbezogen weil…]]="nicht-natürlich"),IF(Tabelle1[[#This Row],[Formfaktor]]=2, 1,IF(Tabelle1[[#This Row],[Formfaktor]]=4,2,IF(Tabelle1[[#This Row],[Formfaktor]]=6,3,""))),"")</f>
        <v/>
      </c>
      <c r="AH33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3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37" s="71">
        <v>1</v>
      </c>
      <c r="AK33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37" s="3" t="s">
        <v>146</v>
      </c>
      <c r="AM337" s="8" t="s">
        <v>978</v>
      </c>
      <c r="AN337" s="3" t="s">
        <v>538</v>
      </c>
      <c r="AO337" s="3" t="s">
        <v>200</v>
      </c>
      <c r="AP337" s="3" t="s">
        <v>200</v>
      </c>
      <c r="AT337" s="3" t="s">
        <v>223</v>
      </c>
      <c r="AU337" s="13" t="s">
        <v>200</v>
      </c>
      <c r="AW337" s="17" t="s">
        <v>817</v>
      </c>
    </row>
    <row r="338" spans="1:49" ht="17.25" customHeight="1">
      <c r="B338" s="7" t="s">
        <v>18</v>
      </c>
      <c r="C338" s="3" t="s">
        <v>18</v>
      </c>
      <c r="D338" s="3" t="s">
        <v>223</v>
      </c>
      <c r="E338" s="10"/>
      <c r="F338" s="3" t="s">
        <v>288</v>
      </c>
      <c r="G338" s="17">
        <f>AVERAGE(0.152,0.19)</f>
        <v>0.17099999999999999</v>
      </c>
      <c r="H338" s="3">
        <f>0.127*0.0127</f>
        <v>1.6129E-3</v>
      </c>
      <c r="I338" s="77">
        <v>1.26</v>
      </c>
      <c r="J338" s="3" t="s">
        <v>539</v>
      </c>
      <c r="K338" s="8" t="s">
        <v>540</v>
      </c>
      <c r="L338" s="3" t="s">
        <v>229</v>
      </c>
      <c r="M338" s="3" t="s">
        <v>223</v>
      </c>
      <c r="N338" s="3" t="s">
        <v>23</v>
      </c>
      <c r="O338" s="3" t="s">
        <v>23</v>
      </c>
      <c r="P33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38" s="4">
        <v>21</v>
      </c>
      <c r="V338" s="4" t="s">
        <v>27</v>
      </c>
      <c r="W338" s="3" t="s">
        <v>13</v>
      </c>
      <c r="Y338" s="4">
        <v>99</v>
      </c>
      <c r="Z338" s="4">
        <v>49</v>
      </c>
      <c r="AA338" s="5">
        <f t="shared" si="22"/>
        <v>2.0204081632653059</v>
      </c>
      <c r="AB338" s="5"/>
      <c r="AC33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38" s="97" t="str">
        <f>IF(Tabelle1[[#This Row],[Nicht einbezogen weil…]]="",IFERROR(1000*Tabelle1[[#This Row],[Formfaktor]]/Tabelle1[[#This Row],[Thickness '[mm']]],""),"")</f>
        <v/>
      </c>
      <c r="AE338" s="98" t="str">
        <f>IF(Tabelle1[[#This Row],[Nicht einbezogen weil…]]="",IFERROR(Tabelle1[[#This Row],[specific surface '[m^2/m^3']]]/Tabelle1[[#This Row],[Density 
'[g/cm3']]]/1000000,""),"")</f>
        <v/>
      </c>
      <c r="AF338" s="97" t="str">
        <f>IF(Tabelle1[[#This Row],[Nicht einbezogen weil…]]="",IFERROR(365*10*Tabelle1[[#This Row],[Abbaurate '[%/d']]]*Tabelle1[[#This Row],[Thickness '[mm']]]/Tabelle1[[#This Row],[Formfaktor]],""),"")</f>
        <v/>
      </c>
      <c r="AG338" s="99">
        <f>IF(OR(Tabelle1[[#This Row],[Nicht einbezogen weil…]]="",Tabelle1[[#This Row],[Nicht einbezogen weil…]]="nicht-natürlich"),IF(Tabelle1[[#This Row],[Formfaktor]]=2, 1,IF(Tabelle1[[#This Row],[Formfaktor]]=4,2,IF(Tabelle1[[#This Row],[Formfaktor]]=6,3,""))),"")</f>
        <v>1</v>
      </c>
      <c r="AH338" s="97">
        <f>IF(OR(Tabelle1[[#This Row],[Nicht einbezogen weil…]]="",Tabelle1[[#This Row],[Nicht einbezogen weil…]]="nicht-natürlich"),IFERROR(Tabelle1[[#This Row],[Thickness '[mm']]]/Tabelle1[[#This Row],[Dauer des Abbaus
'[Tage']]]*1000*0.5*365*(1-(1-Tabelle1[[#This Row],[Abbaurate '[%/d']]]/100*Tabelle1[[#This Row],[Dauer des Abbaus
'[Tage']]])^(1/Tabelle1[[#This Row],[Exponent]])),""),"")</f>
        <v>630.5188775510203</v>
      </c>
      <c r="AI33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PHB_Meerwasser_nicht natürlich</v>
      </c>
      <c r="AJ338" s="71">
        <v>1</v>
      </c>
      <c r="AK33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38" s="3" t="s">
        <v>146</v>
      </c>
      <c r="AM338" s="8" t="s">
        <v>978</v>
      </c>
      <c r="AO338" s="3" t="s">
        <v>200</v>
      </c>
      <c r="AP338" s="3" t="s">
        <v>200</v>
      </c>
      <c r="AT338" s="10" t="s">
        <v>223</v>
      </c>
      <c r="AU338" s="13" t="s">
        <v>200</v>
      </c>
      <c r="AW338" s="17" t="s">
        <v>817</v>
      </c>
    </row>
    <row r="339" spans="1:49" ht="17.25" customHeight="1">
      <c r="B339" s="7" t="s">
        <v>18</v>
      </c>
      <c r="C339" s="3" t="s">
        <v>18</v>
      </c>
      <c r="D339" s="3" t="s">
        <v>223</v>
      </c>
      <c r="E339" s="10"/>
      <c r="F339" s="3" t="s">
        <v>198</v>
      </c>
      <c r="G339" s="17">
        <f>AVERAGE(0.152,0.19)</f>
        <v>0.17099999999999999</v>
      </c>
      <c r="H339" s="3" t="s">
        <v>341</v>
      </c>
      <c r="I339" s="77">
        <v>1.26</v>
      </c>
      <c r="J339" s="3" t="s">
        <v>539</v>
      </c>
      <c r="K339" s="8" t="s">
        <v>540</v>
      </c>
      <c r="L339" s="3" t="s">
        <v>229</v>
      </c>
      <c r="M339" s="3" t="s">
        <v>223</v>
      </c>
      <c r="N339" s="3" t="s">
        <v>23</v>
      </c>
      <c r="O339" s="3" t="s">
        <v>23</v>
      </c>
      <c r="P33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39" s="337" t="s">
        <v>30</v>
      </c>
      <c r="R339" s="4" t="s">
        <v>28</v>
      </c>
      <c r="V339" s="4" t="s">
        <v>29</v>
      </c>
      <c r="W339" s="3" t="s">
        <v>13</v>
      </c>
      <c r="Y339" s="4">
        <v>30</v>
      </c>
      <c r="Z339" s="4">
        <v>90</v>
      </c>
      <c r="AA339" s="5">
        <f t="shared" si="22"/>
        <v>0.33333333333333331</v>
      </c>
      <c r="AB339" s="5"/>
      <c r="AC33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39" s="97" t="str">
        <f>IF(Tabelle1[[#This Row],[Nicht einbezogen weil…]]="",IFERROR(1000*Tabelle1[[#This Row],[Formfaktor]]/Tabelle1[[#This Row],[Thickness '[mm']]],""),"")</f>
        <v/>
      </c>
      <c r="AE339" s="98" t="str">
        <f>IF(Tabelle1[[#This Row],[Nicht einbezogen weil…]]="",IFERROR(Tabelle1[[#This Row],[specific surface '[m^2/m^3']]]/Tabelle1[[#This Row],[Density 
'[g/cm3']]]/1000000,""),"")</f>
        <v/>
      </c>
      <c r="AF339" s="97" t="str">
        <f>IF(Tabelle1[[#This Row],[Nicht einbezogen weil…]]="",IFERROR(365*10*Tabelle1[[#This Row],[Abbaurate '[%/d']]]*Tabelle1[[#This Row],[Thickness '[mm']]]/Tabelle1[[#This Row],[Formfaktor]],""),"")</f>
        <v/>
      </c>
      <c r="AG339" s="99">
        <f>IF(OR(Tabelle1[[#This Row],[Nicht einbezogen weil…]]="",Tabelle1[[#This Row],[Nicht einbezogen weil…]]="nicht-natürlich"),IF(Tabelle1[[#This Row],[Formfaktor]]=2, 1,IF(Tabelle1[[#This Row],[Formfaktor]]=4,2,IF(Tabelle1[[#This Row],[Formfaktor]]=6,3,""))),"")</f>
        <v>1</v>
      </c>
      <c r="AH339" s="97">
        <f>IF(OR(Tabelle1[[#This Row],[Nicht einbezogen weil…]]="",Tabelle1[[#This Row],[Nicht einbezogen weil…]]="nicht-natürlich"),IFERROR(Tabelle1[[#This Row],[Thickness '[mm']]]/Tabelle1[[#This Row],[Dauer des Abbaus
'[Tage']]]*1000*0.5*365*(1-(1-Tabelle1[[#This Row],[Abbaurate '[%/d']]]/100*Tabelle1[[#This Row],[Dauer des Abbaus
'[Tage']]])^(1/Tabelle1[[#This Row],[Exponent]])),""),"")</f>
        <v>104.02499999999999</v>
      </c>
      <c r="AI33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PHB_Meerwasser_nicht natürlich</v>
      </c>
      <c r="AJ339" s="71">
        <v>1</v>
      </c>
      <c r="AK33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39" s="3" t="s">
        <v>146</v>
      </c>
      <c r="AM339" s="8" t="s">
        <v>978</v>
      </c>
      <c r="AO339" s="3" t="s">
        <v>200</v>
      </c>
      <c r="AP339" s="3" t="s">
        <v>200</v>
      </c>
      <c r="AT339" s="10" t="s">
        <v>223</v>
      </c>
      <c r="AU339" s="13" t="s">
        <v>200</v>
      </c>
      <c r="AW339" s="17" t="s">
        <v>817</v>
      </c>
    </row>
    <row r="340" spans="1:49" ht="17.25" customHeight="1">
      <c r="B340" s="109" t="s">
        <v>1077</v>
      </c>
      <c r="C340" s="3" t="s">
        <v>1100</v>
      </c>
      <c r="D340" s="3" t="s">
        <v>223</v>
      </c>
      <c r="E340" s="10"/>
      <c r="F340" s="3" t="s">
        <v>198</v>
      </c>
      <c r="G340" s="3">
        <v>2.5000000000000001E-2</v>
      </c>
      <c r="H340" s="3" t="s">
        <v>341</v>
      </c>
      <c r="I340" s="3" t="s">
        <v>341</v>
      </c>
      <c r="K340" s="8" t="s">
        <v>229</v>
      </c>
      <c r="M340" s="3" t="s">
        <v>200</v>
      </c>
      <c r="N340" s="3" t="s">
        <v>1071</v>
      </c>
      <c r="O340" s="3" t="s">
        <v>1104</v>
      </c>
      <c r="P34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340" s="3" t="s">
        <v>13</v>
      </c>
      <c r="X340" s="3" t="s">
        <v>1067</v>
      </c>
      <c r="Y340" s="4">
        <v>50</v>
      </c>
      <c r="Z340" s="4">
        <v>156</v>
      </c>
      <c r="AA340" s="5">
        <f t="shared" si="22"/>
        <v>0.32051282051282054</v>
      </c>
      <c r="AB340" s="5"/>
      <c r="AC34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40" s="5">
        <f>IF(Tabelle1[[#This Row],[Nicht einbezogen weil…]]="",IFERROR(1000*Tabelle1[[#This Row],[Formfaktor]]/Tabelle1[[#This Row],[Thickness '[mm']]],""),"")</f>
        <v>80000</v>
      </c>
      <c r="AE340" s="5" t="str">
        <f>IF(Tabelle1[[#This Row],[Nicht einbezogen weil…]]="",IFERROR(Tabelle1[[#This Row],[specific surface '[m^2/m^3']]]/Tabelle1[[#This Row],[Density 
'[g/cm3']]]/1000000,""),"")</f>
        <v/>
      </c>
      <c r="AF340" s="5">
        <f>IF(Tabelle1[[#This Row],[Nicht einbezogen weil…]]="",IFERROR(365*10*Tabelle1[[#This Row],[Abbaurate '[%/d']]]*Tabelle1[[#This Row],[Thickness '[mm']]]/Tabelle1[[#This Row],[Formfaktor]],""),"")</f>
        <v>14.623397435897438</v>
      </c>
      <c r="AG340" s="328">
        <f>IF(OR(Tabelle1[[#This Row],[Nicht einbezogen weil…]]="",Tabelle1[[#This Row],[Nicht einbezogen weil…]]="nicht-natürlich"),IF(Tabelle1[[#This Row],[Formfaktor]]=2, 1,IF(Tabelle1[[#This Row],[Formfaktor]]=4,2,IF(Tabelle1[[#This Row],[Formfaktor]]=6,3,""))),"")</f>
        <v>1</v>
      </c>
      <c r="AH340" s="5">
        <f>IF(OR(Tabelle1[[#This Row],[Nicht einbezogen weil…]]="",Tabelle1[[#This Row],[Nicht einbezogen weil…]]="nicht-natürlich"),IFERROR(Tabelle1[[#This Row],[Thickness '[mm']]]/Tabelle1[[#This Row],[Dauer des Abbaus
'[Tage']]]*1000*0.5*365*(1-(1-Tabelle1[[#This Row],[Abbaurate '[%/d']]]/100*Tabelle1[[#This Row],[Dauer des Abbaus
'[Tage']]])^(1/Tabelle1[[#This Row],[Exponent]])),""),"")</f>
        <v>14.623397435897438</v>
      </c>
      <c r="AI34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PBSeT_Benthic_natürlich</v>
      </c>
      <c r="AJ340" s="6">
        <v>1</v>
      </c>
      <c r="AK34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40" s="3" t="s">
        <v>1080</v>
      </c>
      <c r="AN340" s="3" t="s">
        <v>1065</v>
      </c>
      <c r="AO340" s="3" t="s">
        <v>200</v>
      </c>
      <c r="AP340" s="3" t="s">
        <v>200</v>
      </c>
      <c r="AT340" s="10" t="s">
        <v>223</v>
      </c>
      <c r="AU340" s="13" t="s">
        <v>200</v>
      </c>
    </row>
    <row r="341" spans="1:49" ht="17.25" customHeight="1">
      <c r="A341" s="40" t="s">
        <v>223</v>
      </c>
      <c r="B341" s="109" t="s">
        <v>1077</v>
      </c>
      <c r="C341" s="12" t="s">
        <v>1188</v>
      </c>
      <c r="D341" s="12" t="s">
        <v>223</v>
      </c>
      <c r="E341" s="12"/>
      <c r="F341" s="12" t="s">
        <v>198</v>
      </c>
      <c r="G341" s="12">
        <v>2.5000000000000001E-2</v>
      </c>
      <c r="H341" s="12"/>
      <c r="I341" s="12"/>
      <c r="J341" s="12" t="s">
        <v>1189</v>
      </c>
      <c r="K341" s="208" t="s">
        <v>229</v>
      </c>
      <c r="L341" s="12" t="s">
        <v>223</v>
      </c>
      <c r="M341" s="12" t="s">
        <v>301</v>
      </c>
      <c r="N341" s="12" t="s">
        <v>1192</v>
      </c>
      <c r="O341" s="12" t="s">
        <v>358</v>
      </c>
      <c r="P341" s="364"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41" s="366" t="s">
        <v>1190</v>
      </c>
      <c r="R341" s="366" t="s">
        <v>1191</v>
      </c>
      <c r="S341" s="365"/>
      <c r="T341" s="366" t="s">
        <v>123</v>
      </c>
      <c r="U341" s="365"/>
      <c r="V341" s="365" t="s">
        <v>734</v>
      </c>
      <c r="W341" s="12" t="s">
        <v>190</v>
      </c>
      <c r="X341" s="12"/>
      <c r="Y341" s="365">
        <v>37.200000000000003</v>
      </c>
      <c r="Z341" s="365">
        <v>120</v>
      </c>
      <c r="AA341" s="367">
        <f t="shared" si="22"/>
        <v>0.31</v>
      </c>
      <c r="AB341" s="367"/>
      <c r="AC341" s="328">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41" s="367">
        <f>IF(Tabelle1[[#This Row],[Nicht einbezogen weil…]]="",IFERROR(1000*Tabelle1[[#This Row],[Formfaktor]]/Tabelle1[[#This Row],[Thickness '[mm']]],""),"")</f>
        <v>80000</v>
      </c>
      <c r="AE341" s="367" t="str">
        <f>IF(Tabelle1[[#This Row],[Nicht einbezogen weil…]]="",IFERROR(Tabelle1[[#This Row],[specific surface '[m^2/m^3']]]/Tabelle1[[#This Row],[Density 
'[g/cm3']]]/1000000,""),"")</f>
        <v/>
      </c>
      <c r="AF341" s="367">
        <f>IF(Tabelle1[[#This Row],[Nicht einbezogen weil…]]="",IFERROR(365*10*Tabelle1[[#This Row],[Abbaurate '[%/d']]]*Tabelle1[[#This Row],[Thickness '[mm']]]/Tabelle1[[#This Row],[Formfaktor]],""),"")</f>
        <v>14.143750000000001</v>
      </c>
      <c r="AG341" s="328">
        <f>IF(OR(Tabelle1[[#This Row],[Nicht einbezogen weil…]]="",Tabelle1[[#This Row],[Nicht einbezogen weil…]]="nicht-natürlich"),IF(Tabelle1[[#This Row],[Formfaktor]]=2, 1,IF(Tabelle1[[#This Row],[Formfaktor]]=4,2,IF(Tabelle1[[#This Row],[Formfaktor]]=6,3,""))),"")</f>
        <v>1</v>
      </c>
      <c r="AH341" s="367">
        <f>IF(OR(Tabelle1[[#This Row],[Nicht einbezogen weil…]]="",Tabelle1[[#This Row],[Nicht einbezogen weil…]]="nicht-natürlich"),IFERROR(Tabelle1[[#This Row],[Thickness '[mm']]]/Tabelle1[[#This Row],[Dauer des Abbaus
'[Tage']]]*1000*0.5*365*(1-(1-Tabelle1[[#This Row],[Abbaurate '[%/d']]]/100*Tabelle1[[#This Row],[Dauer des Abbaus
'[Tage']]])^(1/Tabelle1[[#This Row],[Exponent]])),""),"")</f>
        <v>14.143750000000001</v>
      </c>
      <c r="AI341" s="36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PBSeT_Boden/Kompost_natürlich</v>
      </c>
      <c r="AJ341" s="328">
        <v>1</v>
      </c>
      <c r="AK341" s="368"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41" s="12" t="s">
        <v>1183</v>
      </c>
      <c r="AM341" s="12"/>
      <c r="AN341" s="12"/>
      <c r="AO341" s="12"/>
      <c r="AP341" s="12"/>
      <c r="AQ341" s="12"/>
      <c r="AR341" s="369"/>
      <c r="AS341" s="369"/>
      <c r="AT341" s="40"/>
      <c r="AU341" s="370"/>
      <c r="AV341" s="40"/>
      <c r="AW341" s="40"/>
    </row>
    <row r="342" spans="1:49" ht="17.25" customHeight="1">
      <c r="B342" s="7" t="s">
        <v>18</v>
      </c>
      <c r="C342" s="3" t="s">
        <v>18</v>
      </c>
      <c r="D342" s="3" t="s">
        <v>223</v>
      </c>
      <c r="E342" s="10"/>
      <c r="F342" s="3" t="s">
        <v>198</v>
      </c>
      <c r="G342" s="3" t="s">
        <v>341</v>
      </c>
      <c r="H342" s="3" t="s">
        <v>341</v>
      </c>
      <c r="I342" s="77">
        <v>1.26</v>
      </c>
      <c r="J342" s="3" t="s">
        <v>556</v>
      </c>
      <c r="L342" s="3" t="s">
        <v>555</v>
      </c>
      <c r="M342" s="3" t="s">
        <v>223</v>
      </c>
      <c r="N342" s="3" t="s">
        <v>162</v>
      </c>
      <c r="O342" s="3" t="s">
        <v>358</v>
      </c>
      <c r="P34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342" s="3" t="s">
        <v>13</v>
      </c>
      <c r="Y342" s="4">
        <v>64.3</v>
      </c>
      <c r="Z342" s="4">
        <v>180</v>
      </c>
      <c r="AA342" s="5">
        <f t="shared" si="22"/>
        <v>0.35722222222222222</v>
      </c>
      <c r="AB342" s="5"/>
      <c r="AC34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42" s="97" t="str">
        <f>IF(Tabelle1[[#This Row],[Nicht einbezogen weil…]]="",IFERROR(1000*Tabelle1[[#This Row],[Formfaktor]]/Tabelle1[[#This Row],[Thickness '[mm']]],""),"")</f>
        <v/>
      </c>
      <c r="AE342" s="98" t="str">
        <f>IF(Tabelle1[[#This Row],[Nicht einbezogen weil…]]="",IFERROR(Tabelle1[[#This Row],[specific surface '[m^2/m^3']]]/Tabelle1[[#This Row],[Density 
'[g/cm3']]]/1000000,""),"")</f>
        <v/>
      </c>
      <c r="AF342" s="97" t="str">
        <f>IF(Tabelle1[[#This Row],[Nicht einbezogen weil…]]="",IFERROR(365*10*Tabelle1[[#This Row],[Abbaurate '[%/d']]]*Tabelle1[[#This Row],[Thickness '[mm']]]/Tabelle1[[#This Row],[Formfaktor]],""),"")</f>
        <v/>
      </c>
      <c r="AG342" s="99" t="str">
        <f>IF(OR(Tabelle1[[#This Row],[Nicht einbezogen weil…]]="",Tabelle1[[#This Row],[Nicht einbezogen weil…]]="nicht-natürlich"),IF(Tabelle1[[#This Row],[Formfaktor]]=2, 1,IF(Tabelle1[[#This Row],[Formfaktor]]=4,2,IF(Tabelle1[[#This Row],[Formfaktor]]=6,3,""))),"")</f>
        <v/>
      </c>
      <c r="AH34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4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42" s="71">
        <v>1</v>
      </c>
      <c r="AK34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42" s="3" t="s">
        <v>141</v>
      </c>
      <c r="AM342" s="3" t="s">
        <v>962</v>
      </c>
      <c r="AO342" s="3" t="s">
        <v>200</v>
      </c>
      <c r="AP342" s="3" t="s">
        <v>200</v>
      </c>
      <c r="AT342" s="10" t="s">
        <v>223</v>
      </c>
      <c r="AU342" s="13" t="s">
        <v>200</v>
      </c>
      <c r="AW342" s="10" t="s">
        <v>813</v>
      </c>
    </row>
    <row r="343" spans="1:49" ht="17.25" customHeight="1">
      <c r="A343" s="40" t="s">
        <v>223</v>
      </c>
      <c r="B343" s="109" t="s">
        <v>1077</v>
      </c>
      <c r="C343" s="12" t="s">
        <v>1188</v>
      </c>
      <c r="D343" s="12" t="s">
        <v>223</v>
      </c>
      <c r="E343" s="12"/>
      <c r="F343" s="12" t="s">
        <v>198</v>
      </c>
      <c r="G343" s="12">
        <v>2.5000000000000001E-2</v>
      </c>
      <c r="J343" s="12" t="s">
        <v>1189</v>
      </c>
      <c r="K343" s="208" t="s">
        <v>229</v>
      </c>
      <c r="L343" s="12" t="s">
        <v>223</v>
      </c>
      <c r="M343" s="12" t="s">
        <v>301</v>
      </c>
      <c r="N343" s="12" t="s">
        <v>1193</v>
      </c>
      <c r="O343" s="12" t="s">
        <v>358</v>
      </c>
      <c r="P343" s="364"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43" s="366" t="s">
        <v>1190</v>
      </c>
      <c r="R343" s="366" t="s">
        <v>1191</v>
      </c>
      <c r="S343" s="365"/>
      <c r="T343" s="366" t="s">
        <v>123</v>
      </c>
      <c r="U343" s="365"/>
      <c r="V343" s="365" t="s">
        <v>734</v>
      </c>
      <c r="W343" s="12" t="s">
        <v>190</v>
      </c>
      <c r="X343" s="12"/>
      <c r="Y343" s="4">
        <v>90.47</v>
      </c>
      <c r="Z343" s="4">
        <v>210</v>
      </c>
      <c r="AA343" s="5">
        <f t="shared" si="22"/>
        <v>0.43080952380952381</v>
      </c>
      <c r="AB343" s="5"/>
      <c r="AC34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43" s="5">
        <f>IF(Tabelle1[[#This Row],[Nicht einbezogen weil…]]="",IFERROR(1000*Tabelle1[[#This Row],[Formfaktor]]/Tabelle1[[#This Row],[Thickness '[mm']]],""),"")</f>
        <v>80000</v>
      </c>
      <c r="AE343" s="5" t="str">
        <f>IF(Tabelle1[[#This Row],[Nicht einbezogen weil…]]="",IFERROR(Tabelle1[[#This Row],[specific surface '[m^2/m^3']]]/Tabelle1[[#This Row],[Density 
'[g/cm3']]]/1000000,""),"")</f>
        <v/>
      </c>
      <c r="AF343" s="5">
        <f>IF(Tabelle1[[#This Row],[Nicht einbezogen weil…]]="",IFERROR(365*10*Tabelle1[[#This Row],[Abbaurate '[%/d']]]*Tabelle1[[#This Row],[Thickness '[mm']]]/Tabelle1[[#This Row],[Formfaktor]],""),"")</f>
        <v>19.655684523809526</v>
      </c>
      <c r="AG343" s="328">
        <f>IF(OR(Tabelle1[[#This Row],[Nicht einbezogen weil…]]="",Tabelle1[[#This Row],[Nicht einbezogen weil…]]="nicht-natürlich"),IF(Tabelle1[[#This Row],[Formfaktor]]=2, 1,IF(Tabelle1[[#This Row],[Formfaktor]]=4,2,IF(Tabelle1[[#This Row],[Formfaktor]]=6,3,""))),"")</f>
        <v>1</v>
      </c>
      <c r="AH343" s="5">
        <f>IF(OR(Tabelle1[[#This Row],[Nicht einbezogen weil…]]="",Tabelle1[[#This Row],[Nicht einbezogen weil…]]="nicht-natürlich"),IFERROR(Tabelle1[[#This Row],[Thickness '[mm']]]/Tabelle1[[#This Row],[Dauer des Abbaus
'[Tage']]]*1000*0.5*365*(1-(1-Tabelle1[[#This Row],[Abbaurate '[%/d']]]/100*Tabelle1[[#This Row],[Dauer des Abbaus
'[Tage']]])^(1/Tabelle1[[#This Row],[Exponent]])),""),"")</f>
        <v>19.655684523809523</v>
      </c>
      <c r="AI34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PBSeT_Boden/Kompost_natürlich</v>
      </c>
      <c r="AJ343" s="6">
        <v>1</v>
      </c>
      <c r="AK34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43" s="12" t="s">
        <v>1183</v>
      </c>
      <c r="AU343" s="13"/>
    </row>
    <row r="344" spans="1:49" ht="17.25" customHeight="1">
      <c r="A344" s="10" t="s">
        <v>223</v>
      </c>
      <c r="B344" s="109" t="s">
        <v>1077</v>
      </c>
      <c r="C344" s="3" t="s">
        <v>1188</v>
      </c>
      <c r="D344" s="3" t="s">
        <v>223</v>
      </c>
      <c r="F344" s="3" t="s">
        <v>996</v>
      </c>
      <c r="G344" s="3">
        <v>2.5000000000000001E-2</v>
      </c>
      <c r="J344" s="3" t="s">
        <v>1189</v>
      </c>
      <c r="K344" s="8" t="s">
        <v>1377</v>
      </c>
      <c r="N344" s="3" t="s">
        <v>1385</v>
      </c>
      <c r="O344" s="3" t="s">
        <v>23</v>
      </c>
      <c r="P34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44" s="4" t="s">
        <v>1373</v>
      </c>
      <c r="R344" s="4" t="s">
        <v>1372</v>
      </c>
      <c r="V344" s="4" t="s">
        <v>734</v>
      </c>
      <c r="W344" s="12" t="s">
        <v>190</v>
      </c>
      <c r="Y344" s="4">
        <v>78.2</v>
      </c>
      <c r="Z344" s="4">
        <v>120</v>
      </c>
      <c r="AA344" s="5">
        <f t="shared" si="22"/>
        <v>0.65166666666666673</v>
      </c>
      <c r="AB344" s="5"/>
      <c r="AC34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44" s="5">
        <f>IF(Tabelle1[[#This Row],[Nicht einbezogen weil…]]="",IFERROR(1000*Tabelle1[[#This Row],[Formfaktor]]/Tabelle1[[#This Row],[Thickness '[mm']]],""),"")</f>
        <v>80000</v>
      </c>
      <c r="AE344" s="5" t="str">
        <f>IF(Tabelle1[[#This Row],[Nicht einbezogen weil…]]="",IFERROR(Tabelle1[[#This Row],[specific surface '[m^2/m^3']]]/Tabelle1[[#This Row],[Density 
'[g/cm3']]]/1000000,""),"")</f>
        <v/>
      </c>
      <c r="AF344" s="5">
        <f>IF(Tabelle1[[#This Row],[Nicht einbezogen weil…]]="",IFERROR(365*10*Tabelle1[[#This Row],[Abbaurate '[%/d']]]*Tabelle1[[#This Row],[Thickness '[mm']]]/Tabelle1[[#This Row],[Formfaktor]],""),"")</f>
        <v>29.732291666666669</v>
      </c>
      <c r="AG344" s="328">
        <f>IF(OR(Tabelle1[[#This Row],[Nicht einbezogen weil…]]="",Tabelle1[[#This Row],[Nicht einbezogen weil…]]="nicht-natürlich"),IF(Tabelle1[[#This Row],[Formfaktor]]=2, 1,IF(Tabelle1[[#This Row],[Formfaktor]]=4,2,IF(Tabelle1[[#This Row],[Formfaktor]]=6,3,""))),"")</f>
        <v>1</v>
      </c>
      <c r="AH344" s="5">
        <f>IF(OR(Tabelle1[[#This Row],[Nicht einbezogen weil…]]="",Tabelle1[[#This Row],[Nicht einbezogen weil…]]="nicht-natürlich"),IFERROR(Tabelle1[[#This Row],[Thickness '[mm']]]/Tabelle1[[#This Row],[Dauer des Abbaus
'[Tage']]]*1000*0.5*365*(1-(1-Tabelle1[[#This Row],[Abbaurate '[%/d']]]/100*Tabelle1[[#This Row],[Dauer des Abbaus
'[Tage']]])^(1/Tabelle1[[#This Row],[Exponent]])),""),"")</f>
        <v>29.732291666666669</v>
      </c>
      <c r="AI34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PBSeT_Meerwasser_nicht natürlich</v>
      </c>
      <c r="AJ344" s="6">
        <v>1</v>
      </c>
      <c r="AK34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44" s="3" t="s">
        <v>1366</v>
      </c>
      <c r="AU344" s="13"/>
    </row>
    <row r="345" spans="1:49" ht="17.25" customHeight="1">
      <c r="B345" s="7" t="s">
        <v>2</v>
      </c>
      <c r="C345" s="3" t="s">
        <v>2</v>
      </c>
      <c r="D345" s="3" t="s">
        <v>223</v>
      </c>
      <c r="E345" s="10"/>
      <c r="F345" s="3" t="s">
        <v>288</v>
      </c>
      <c r="G345" s="3">
        <v>0.2</v>
      </c>
      <c r="H345" s="3">
        <f>0.03*0.03</f>
        <v>8.9999999999999998E-4</v>
      </c>
      <c r="I345" s="3" t="s">
        <v>341</v>
      </c>
      <c r="J345" s="3" t="s">
        <v>484</v>
      </c>
      <c r="K345" s="8" t="s">
        <v>479</v>
      </c>
      <c r="M345" s="3" t="s">
        <v>223</v>
      </c>
      <c r="N345" s="3" t="s">
        <v>4</v>
      </c>
      <c r="O345" s="3" t="s">
        <v>294</v>
      </c>
      <c r="P34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45" s="4">
        <v>58</v>
      </c>
      <c r="W345" s="3" t="s">
        <v>13</v>
      </c>
      <c r="Y345" s="4">
        <v>100</v>
      </c>
      <c r="Z345" s="4">
        <v>28</v>
      </c>
      <c r="AA345" s="5">
        <f t="shared" si="22"/>
        <v>3.5714285714285716</v>
      </c>
      <c r="AB345" s="5"/>
      <c r="AC34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45" s="97" t="str">
        <f>IF(Tabelle1[[#This Row],[Nicht einbezogen weil…]]="",IFERROR(1000*Tabelle1[[#This Row],[Formfaktor]]/Tabelle1[[#This Row],[Thickness '[mm']]],""),"")</f>
        <v/>
      </c>
      <c r="AE345" s="98" t="str">
        <f>IF(Tabelle1[[#This Row],[Nicht einbezogen weil…]]="",IFERROR(Tabelle1[[#This Row],[specific surface '[m^2/m^3']]]/Tabelle1[[#This Row],[Density 
'[g/cm3']]]/1000000,""),"")</f>
        <v/>
      </c>
      <c r="AF345" s="97" t="str">
        <f>IF(Tabelle1[[#This Row],[Nicht einbezogen weil…]]="",IFERROR(365*10*Tabelle1[[#This Row],[Abbaurate '[%/d']]]*Tabelle1[[#This Row],[Thickness '[mm']]]/Tabelle1[[#This Row],[Formfaktor]],""),"")</f>
        <v/>
      </c>
      <c r="AG345" s="99" t="str">
        <f>IF(OR(Tabelle1[[#This Row],[Nicht einbezogen weil…]]="",Tabelle1[[#This Row],[Nicht einbezogen weil…]]="nicht-natürlich"),IF(Tabelle1[[#This Row],[Formfaktor]]=2, 1,IF(Tabelle1[[#This Row],[Formfaktor]]=4,2,IF(Tabelle1[[#This Row],[Formfaktor]]=6,3,""))),"")</f>
        <v/>
      </c>
      <c r="AH34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4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45" s="71">
        <v>1</v>
      </c>
      <c r="AK34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345" s="3" t="s">
        <v>136</v>
      </c>
      <c r="AM345" s="3" t="s">
        <v>196</v>
      </c>
      <c r="AN345" s="3" t="s">
        <v>538</v>
      </c>
      <c r="AO345" s="3" t="s">
        <v>200</v>
      </c>
      <c r="AP345" s="3" t="s">
        <v>200</v>
      </c>
      <c r="AT345" s="319" t="s">
        <v>223</v>
      </c>
      <c r="AU345" s="320" t="s">
        <v>200</v>
      </c>
      <c r="AV345" s="319"/>
    </row>
    <row r="346" spans="1:49" ht="17.25" customHeight="1">
      <c r="B346" s="7" t="s">
        <v>2</v>
      </c>
      <c r="C346" s="3" t="s">
        <v>2</v>
      </c>
      <c r="D346" s="3" t="s">
        <v>223</v>
      </c>
      <c r="E346" s="10"/>
      <c r="F346" s="3" t="s">
        <v>288</v>
      </c>
      <c r="G346" s="3">
        <v>3</v>
      </c>
      <c r="H346" s="3">
        <f>0.025*0.025</f>
        <v>6.2500000000000012E-4</v>
      </c>
      <c r="I346" s="3" t="s">
        <v>341</v>
      </c>
      <c r="K346" s="8" t="s">
        <v>560</v>
      </c>
      <c r="M346" s="3" t="s">
        <v>223</v>
      </c>
      <c r="N346" s="3" t="s">
        <v>4</v>
      </c>
      <c r="O346" s="3" t="s">
        <v>294</v>
      </c>
      <c r="P34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46" s="4">
        <v>58</v>
      </c>
      <c r="U346" s="4" t="s">
        <v>12</v>
      </c>
      <c r="W346" s="3" t="s">
        <v>13</v>
      </c>
      <c r="Y346" s="4">
        <v>63.6</v>
      </c>
      <c r="Z346" s="4">
        <v>90</v>
      </c>
      <c r="AA346" s="5">
        <f t="shared" si="22"/>
        <v>0.70666666666666667</v>
      </c>
      <c r="AB346" s="5"/>
      <c r="AC34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46" s="97" t="str">
        <f>IF(Tabelle1[[#This Row],[Nicht einbezogen weil…]]="",IFERROR(1000*Tabelle1[[#This Row],[Formfaktor]]/Tabelle1[[#This Row],[Thickness '[mm']]],""),"")</f>
        <v/>
      </c>
      <c r="AE346" s="98" t="str">
        <f>IF(Tabelle1[[#This Row],[Nicht einbezogen weil…]]="",IFERROR(Tabelle1[[#This Row],[specific surface '[m^2/m^3']]]/Tabelle1[[#This Row],[Density 
'[g/cm3']]]/1000000,""),"")</f>
        <v/>
      </c>
      <c r="AF346" s="97" t="str">
        <f>IF(Tabelle1[[#This Row],[Nicht einbezogen weil…]]="",IFERROR(365*10*Tabelle1[[#This Row],[Abbaurate '[%/d']]]*Tabelle1[[#This Row],[Thickness '[mm']]]/Tabelle1[[#This Row],[Formfaktor]],""),"")</f>
        <v/>
      </c>
      <c r="AG346" s="99" t="str">
        <f>IF(OR(Tabelle1[[#This Row],[Nicht einbezogen weil…]]="",Tabelle1[[#This Row],[Nicht einbezogen weil…]]="nicht-natürlich"),IF(Tabelle1[[#This Row],[Formfaktor]]=2, 1,IF(Tabelle1[[#This Row],[Formfaktor]]=4,2,IF(Tabelle1[[#This Row],[Formfaktor]]=6,3,""))),"")</f>
        <v/>
      </c>
      <c r="AH34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4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46" s="71">
        <v>1</v>
      </c>
      <c r="AK34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346" s="3" t="s">
        <v>135</v>
      </c>
      <c r="AM346" s="3" t="s">
        <v>196</v>
      </c>
      <c r="AO346" s="3" t="s">
        <v>200</v>
      </c>
      <c r="AP346" s="3" t="s">
        <v>200</v>
      </c>
      <c r="AT346" s="319" t="s">
        <v>223</v>
      </c>
      <c r="AU346" s="320" t="s">
        <v>200</v>
      </c>
      <c r="AV346" s="319"/>
    </row>
    <row r="347" spans="1:49" ht="17.25" customHeight="1">
      <c r="B347" s="7" t="s">
        <v>2</v>
      </c>
      <c r="C347" s="3" t="s">
        <v>2</v>
      </c>
      <c r="D347" s="3" t="s">
        <v>200</v>
      </c>
      <c r="E347" s="10" t="s">
        <v>205</v>
      </c>
      <c r="F347" s="3" t="s">
        <v>288</v>
      </c>
      <c r="G347" s="3">
        <v>0.02</v>
      </c>
      <c r="H347" s="3">
        <f>0.02*0.02</f>
        <v>4.0000000000000002E-4</v>
      </c>
      <c r="I347" s="3" t="s">
        <v>341</v>
      </c>
      <c r="J347" s="3" t="s">
        <v>510</v>
      </c>
      <c r="L347" s="3" t="s">
        <v>199</v>
      </c>
      <c r="M347" s="3" t="s">
        <v>223</v>
      </c>
      <c r="N347" s="3" t="s">
        <v>515</v>
      </c>
      <c r="O347" s="3" t="s">
        <v>294</v>
      </c>
      <c r="P34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47" s="4">
        <v>30</v>
      </c>
      <c r="U347" s="4" t="s">
        <v>12</v>
      </c>
      <c r="W347" s="3" t="s">
        <v>13</v>
      </c>
      <c r="Y347" s="4">
        <v>39</v>
      </c>
      <c r="Z347" s="4">
        <v>28</v>
      </c>
      <c r="AA347" s="5">
        <f t="shared" si="22"/>
        <v>1.3928571428571428</v>
      </c>
      <c r="AB347" s="5"/>
      <c r="AC34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47" s="97" t="str">
        <f>IF(Tabelle1[[#This Row],[Nicht einbezogen weil…]]="",IFERROR(1000*Tabelle1[[#This Row],[Formfaktor]]/Tabelle1[[#This Row],[Thickness '[mm']]],""),"")</f>
        <v/>
      </c>
      <c r="AE347" s="98" t="str">
        <f>IF(Tabelle1[[#This Row],[Nicht einbezogen weil…]]="",IFERROR(Tabelle1[[#This Row],[specific surface '[m^2/m^3']]]/Tabelle1[[#This Row],[Density 
'[g/cm3']]]/1000000,""),"")</f>
        <v/>
      </c>
      <c r="AF347" s="97" t="str">
        <f>IF(Tabelle1[[#This Row],[Nicht einbezogen weil…]]="",IFERROR(365*10*Tabelle1[[#This Row],[Abbaurate '[%/d']]]*Tabelle1[[#This Row],[Thickness '[mm']]]/Tabelle1[[#This Row],[Formfaktor]],""),"")</f>
        <v/>
      </c>
      <c r="AG347" s="99" t="str">
        <f>IF(OR(Tabelle1[[#This Row],[Nicht einbezogen weil…]]="",Tabelle1[[#This Row],[Nicht einbezogen weil…]]="nicht-natürlich"),IF(Tabelle1[[#This Row],[Formfaktor]]=2, 1,IF(Tabelle1[[#This Row],[Formfaktor]]=4,2,IF(Tabelle1[[#This Row],[Formfaktor]]=6,3,""))),"")</f>
        <v/>
      </c>
      <c r="AH34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4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47" s="71">
        <v>1</v>
      </c>
      <c r="AK34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47" s="3" t="s">
        <v>138</v>
      </c>
      <c r="AM347" s="3" t="s">
        <v>196</v>
      </c>
      <c r="AO347" s="3" t="s">
        <v>235</v>
      </c>
      <c r="AP347" s="3" t="s">
        <v>235</v>
      </c>
      <c r="AT347" s="319" t="s">
        <v>223</v>
      </c>
      <c r="AU347" s="320" t="s">
        <v>200</v>
      </c>
      <c r="AV347" s="319"/>
    </row>
    <row r="348" spans="1:49" ht="17.25" customHeight="1">
      <c r="B348" s="7" t="s">
        <v>798</v>
      </c>
      <c r="C348" s="3" t="s">
        <v>122</v>
      </c>
      <c r="D348" s="3" t="s">
        <v>200</v>
      </c>
      <c r="E348" s="10" t="s">
        <v>1127</v>
      </c>
      <c r="F348" s="3" t="s">
        <v>198</v>
      </c>
      <c r="G348" s="3">
        <v>0.1</v>
      </c>
      <c r="H348" s="3" t="s">
        <v>341</v>
      </c>
      <c r="I348" s="77">
        <v>1.26</v>
      </c>
      <c r="M348" s="3" t="s">
        <v>301</v>
      </c>
      <c r="N348" s="3" t="s">
        <v>118</v>
      </c>
      <c r="O348" s="3" t="s">
        <v>1081</v>
      </c>
      <c r="P34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48" s="4">
        <v>25</v>
      </c>
      <c r="U348" s="4" t="s">
        <v>12</v>
      </c>
      <c r="W348" s="3" t="s">
        <v>13</v>
      </c>
      <c r="Y348" s="4">
        <v>100</v>
      </c>
      <c r="Z348" s="4">
        <v>28</v>
      </c>
      <c r="AA348" s="5">
        <f>Tabelle1[[#This Row],[biologische
Abbaubarkeit '[%']]]/Z348</f>
        <v>3.5714285714285716</v>
      </c>
      <c r="AB348" s="5"/>
      <c r="AC34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48" s="97" t="str">
        <f>IF(Tabelle1[[#This Row],[Nicht einbezogen weil…]]="",IFERROR(1000*Tabelle1[[#This Row],[Formfaktor]]/Tabelle1[[#This Row],[Thickness '[mm']]],""),"")</f>
        <v/>
      </c>
      <c r="AE348" s="98" t="str">
        <f>IF(Tabelle1[[#This Row],[Nicht einbezogen weil…]]="",IFERROR(Tabelle1[[#This Row],[specific surface '[m^2/m^3']]]/Tabelle1[[#This Row],[Density 
'[g/cm3']]]/1000000,""),"")</f>
        <v/>
      </c>
      <c r="AF348" s="97" t="str">
        <f>IF(Tabelle1[[#This Row],[Nicht einbezogen weil…]]="",IFERROR(365*10*Tabelle1[[#This Row],[Abbaurate '[%/d']]]*Tabelle1[[#This Row],[Thickness '[mm']]]/Tabelle1[[#This Row],[Formfaktor]],""),"")</f>
        <v/>
      </c>
      <c r="AG348" s="99" t="str">
        <f>IF(OR(Tabelle1[[#This Row],[Nicht einbezogen weil…]]="",Tabelle1[[#This Row],[Nicht einbezogen weil…]]="nicht-natürlich"),IF(Tabelle1[[#This Row],[Formfaktor]]=2, 1,IF(Tabelle1[[#This Row],[Formfaktor]]=4,2,IF(Tabelle1[[#This Row],[Formfaktor]]=6,3,""))),"")</f>
        <v/>
      </c>
      <c r="AH34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4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48" s="71">
        <v>1</v>
      </c>
      <c r="AK34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48" s="3" t="s">
        <v>699</v>
      </c>
      <c r="AM348" s="8" t="s">
        <v>385</v>
      </c>
      <c r="AO348" s="3" t="s">
        <v>235</v>
      </c>
      <c r="AP348" s="3" t="s">
        <v>235</v>
      </c>
      <c r="AR348" s="2" t="s">
        <v>300</v>
      </c>
      <c r="AT348" s="10" t="s">
        <v>223</v>
      </c>
      <c r="AU348" s="13" t="s">
        <v>200</v>
      </c>
      <c r="AW348" s="10" t="s">
        <v>814</v>
      </c>
    </row>
    <row r="349" spans="1:49" ht="17.25" customHeight="1">
      <c r="B349" s="7" t="s">
        <v>798</v>
      </c>
      <c r="C349" s="3" t="s">
        <v>122</v>
      </c>
      <c r="D349" s="3" t="s">
        <v>200</v>
      </c>
      <c r="E349" s="10" t="s">
        <v>1127</v>
      </c>
      <c r="F349" s="3" t="s">
        <v>198</v>
      </c>
      <c r="G349" s="3">
        <v>0.1</v>
      </c>
      <c r="H349" s="3" t="s">
        <v>341</v>
      </c>
      <c r="I349" s="77">
        <v>1.26</v>
      </c>
      <c r="M349" s="3" t="s">
        <v>301</v>
      </c>
      <c r="N349" s="3" t="s">
        <v>118</v>
      </c>
      <c r="O349" s="3" t="s">
        <v>1081</v>
      </c>
      <c r="P34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49" s="4">
        <v>25</v>
      </c>
      <c r="U349" s="4" t="s">
        <v>12</v>
      </c>
      <c r="W349" s="3" t="s">
        <v>506</v>
      </c>
      <c r="Y349" s="4">
        <v>90</v>
      </c>
      <c r="Z349" s="4">
        <v>28</v>
      </c>
      <c r="AA349" s="5">
        <f>Tabelle1[[#This Row],[biologische
Abbaubarkeit '[%']]]/Z349</f>
        <v>3.2142857142857144</v>
      </c>
      <c r="AB349" s="5"/>
      <c r="AC34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49" s="97" t="str">
        <f>IF(Tabelle1[[#This Row],[Nicht einbezogen weil…]]="",IFERROR(1000*Tabelle1[[#This Row],[Formfaktor]]/Tabelle1[[#This Row],[Thickness '[mm']]],""),"")</f>
        <v/>
      </c>
      <c r="AE349" s="98" t="str">
        <f>IF(Tabelle1[[#This Row],[Nicht einbezogen weil…]]="",IFERROR(Tabelle1[[#This Row],[specific surface '[m^2/m^3']]]/Tabelle1[[#This Row],[Density 
'[g/cm3']]]/1000000,""),"")</f>
        <v/>
      </c>
      <c r="AF349" s="97" t="str">
        <f>IF(Tabelle1[[#This Row],[Nicht einbezogen weil…]]="",IFERROR(365*10*Tabelle1[[#This Row],[Abbaurate '[%/d']]]*Tabelle1[[#This Row],[Thickness '[mm']]]/Tabelle1[[#This Row],[Formfaktor]],""),"")</f>
        <v/>
      </c>
      <c r="AG349" s="99" t="str">
        <f>IF(OR(Tabelle1[[#This Row],[Nicht einbezogen weil…]]="",Tabelle1[[#This Row],[Nicht einbezogen weil…]]="nicht-natürlich"),IF(Tabelle1[[#This Row],[Formfaktor]]=2, 1,IF(Tabelle1[[#This Row],[Formfaktor]]=4,2,IF(Tabelle1[[#This Row],[Formfaktor]]=6,3,""))),"")</f>
        <v/>
      </c>
      <c r="AH34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4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49" s="71">
        <v>1</v>
      </c>
      <c r="AK34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49" s="3" t="s">
        <v>699</v>
      </c>
      <c r="AM349" s="8" t="s">
        <v>385</v>
      </c>
      <c r="AO349" s="3" t="s">
        <v>235</v>
      </c>
      <c r="AP349" s="3" t="s">
        <v>235</v>
      </c>
      <c r="AR349" s="2" t="s">
        <v>300</v>
      </c>
      <c r="AT349" s="10" t="s">
        <v>223</v>
      </c>
      <c r="AU349" s="13" t="s">
        <v>200</v>
      </c>
      <c r="AW349" s="10" t="s">
        <v>814</v>
      </c>
    </row>
    <row r="350" spans="1:49" ht="17.25" customHeight="1">
      <c r="B350" s="7" t="s">
        <v>798</v>
      </c>
      <c r="C350" s="3" t="s">
        <v>122</v>
      </c>
      <c r="D350" s="3" t="s">
        <v>200</v>
      </c>
      <c r="E350" s="10" t="s">
        <v>1127</v>
      </c>
      <c r="F350" s="3" t="s">
        <v>198</v>
      </c>
      <c r="G350" s="3">
        <v>0.1</v>
      </c>
      <c r="H350" s="3" t="s">
        <v>341</v>
      </c>
      <c r="I350" s="77">
        <v>1.26</v>
      </c>
      <c r="M350" s="3" t="s">
        <v>301</v>
      </c>
      <c r="N350" s="3" t="s">
        <v>119</v>
      </c>
      <c r="O350" s="3" t="s">
        <v>1081</v>
      </c>
      <c r="P35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0" s="4">
        <v>25</v>
      </c>
      <c r="U350" s="4" t="s">
        <v>12</v>
      </c>
      <c r="W350" s="3" t="s">
        <v>13</v>
      </c>
      <c r="Y350" s="4">
        <v>74</v>
      </c>
      <c r="Z350" s="4">
        <v>28</v>
      </c>
      <c r="AA350" s="5">
        <f>Tabelle1[[#This Row],[biologische
Abbaubarkeit '[%']]]/Z350</f>
        <v>2.6428571428571428</v>
      </c>
      <c r="AB350" s="5"/>
      <c r="AC35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0" s="97" t="str">
        <f>IF(Tabelle1[[#This Row],[Nicht einbezogen weil…]]="",IFERROR(1000*Tabelle1[[#This Row],[Formfaktor]]/Tabelle1[[#This Row],[Thickness '[mm']]],""),"")</f>
        <v/>
      </c>
      <c r="AE350" s="98" t="str">
        <f>IF(Tabelle1[[#This Row],[Nicht einbezogen weil…]]="",IFERROR(Tabelle1[[#This Row],[specific surface '[m^2/m^3']]]/Tabelle1[[#This Row],[Density 
'[g/cm3']]]/1000000,""),"")</f>
        <v/>
      </c>
      <c r="AF350" s="97" t="str">
        <f>IF(Tabelle1[[#This Row],[Nicht einbezogen weil…]]="",IFERROR(365*10*Tabelle1[[#This Row],[Abbaurate '[%/d']]]*Tabelle1[[#This Row],[Thickness '[mm']]]/Tabelle1[[#This Row],[Formfaktor]],""),"")</f>
        <v/>
      </c>
      <c r="AG350" s="99" t="str">
        <f>IF(OR(Tabelle1[[#This Row],[Nicht einbezogen weil…]]="",Tabelle1[[#This Row],[Nicht einbezogen weil…]]="nicht-natürlich"),IF(Tabelle1[[#This Row],[Formfaktor]]=2, 1,IF(Tabelle1[[#This Row],[Formfaktor]]=4,2,IF(Tabelle1[[#This Row],[Formfaktor]]=6,3,""))),"")</f>
        <v/>
      </c>
      <c r="AH35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5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50" s="71">
        <v>1</v>
      </c>
      <c r="AK35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50" s="3" t="s">
        <v>699</v>
      </c>
      <c r="AM350" s="8" t="s">
        <v>385</v>
      </c>
      <c r="AO350" s="3" t="s">
        <v>235</v>
      </c>
      <c r="AP350" s="3" t="s">
        <v>235</v>
      </c>
      <c r="AR350" s="2" t="s">
        <v>300</v>
      </c>
      <c r="AT350" s="10" t="s">
        <v>223</v>
      </c>
      <c r="AU350" s="13" t="s">
        <v>200</v>
      </c>
      <c r="AW350" s="10" t="s">
        <v>814</v>
      </c>
    </row>
    <row r="351" spans="1:49" ht="17.25" customHeight="1">
      <c r="B351" s="7" t="s">
        <v>798</v>
      </c>
      <c r="C351" s="3" t="s">
        <v>122</v>
      </c>
      <c r="D351" s="3" t="s">
        <v>200</v>
      </c>
      <c r="E351" s="10" t="s">
        <v>1127</v>
      </c>
      <c r="F351" s="3" t="s">
        <v>198</v>
      </c>
      <c r="G351" s="3">
        <v>0.1</v>
      </c>
      <c r="H351" s="3" t="s">
        <v>341</v>
      </c>
      <c r="I351" s="77">
        <v>1.26</v>
      </c>
      <c r="M351" s="3" t="s">
        <v>301</v>
      </c>
      <c r="N351" s="3" t="s">
        <v>119</v>
      </c>
      <c r="O351" s="3" t="s">
        <v>1081</v>
      </c>
      <c r="P35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1" s="4">
        <v>25</v>
      </c>
      <c r="U351" s="4" t="s">
        <v>12</v>
      </c>
      <c r="W351" s="3" t="s">
        <v>506</v>
      </c>
      <c r="Y351" s="4">
        <v>55</v>
      </c>
      <c r="Z351" s="4">
        <v>28</v>
      </c>
      <c r="AA351" s="5">
        <f>Tabelle1[[#This Row],[biologische
Abbaubarkeit '[%']]]/Z351</f>
        <v>1.9642857142857142</v>
      </c>
      <c r="AB351" s="5"/>
      <c r="AC35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1" s="97" t="str">
        <f>IF(Tabelle1[[#This Row],[Nicht einbezogen weil…]]="",IFERROR(1000*Tabelle1[[#This Row],[Formfaktor]]/Tabelle1[[#This Row],[Thickness '[mm']]],""),"")</f>
        <v/>
      </c>
      <c r="AE351" s="98" t="str">
        <f>IF(Tabelle1[[#This Row],[Nicht einbezogen weil…]]="",IFERROR(Tabelle1[[#This Row],[specific surface '[m^2/m^3']]]/Tabelle1[[#This Row],[Density 
'[g/cm3']]]/1000000,""),"")</f>
        <v/>
      </c>
      <c r="AF351" s="97" t="str">
        <f>IF(Tabelle1[[#This Row],[Nicht einbezogen weil…]]="",IFERROR(365*10*Tabelle1[[#This Row],[Abbaurate '[%/d']]]*Tabelle1[[#This Row],[Thickness '[mm']]]/Tabelle1[[#This Row],[Formfaktor]],""),"")</f>
        <v/>
      </c>
      <c r="AG351" s="99" t="str">
        <f>IF(OR(Tabelle1[[#This Row],[Nicht einbezogen weil…]]="",Tabelle1[[#This Row],[Nicht einbezogen weil…]]="nicht-natürlich"),IF(Tabelle1[[#This Row],[Formfaktor]]=2, 1,IF(Tabelle1[[#This Row],[Formfaktor]]=4,2,IF(Tabelle1[[#This Row],[Formfaktor]]=6,3,""))),"")</f>
        <v/>
      </c>
      <c r="AH35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5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51" s="71">
        <v>1</v>
      </c>
      <c r="AK35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51" s="3" t="s">
        <v>699</v>
      </c>
      <c r="AM351" s="8" t="s">
        <v>385</v>
      </c>
      <c r="AO351" s="3" t="s">
        <v>235</v>
      </c>
      <c r="AP351" s="3" t="s">
        <v>235</v>
      </c>
      <c r="AR351" s="2" t="s">
        <v>300</v>
      </c>
      <c r="AT351" s="10" t="s">
        <v>223</v>
      </c>
      <c r="AU351" s="13" t="s">
        <v>200</v>
      </c>
      <c r="AW351" s="10" t="s">
        <v>814</v>
      </c>
    </row>
    <row r="352" spans="1:49" ht="17.25" customHeight="1">
      <c r="B352" s="7" t="s">
        <v>798</v>
      </c>
      <c r="C352" s="3" t="s">
        <v>122</v>
      </c>
      <c r="D352" s="3" t="s">
        <v>200</v>
      </c>
      <c r="E352" s="10" t="s">
        <v>1127</v>
      </c>
      <c r="F352" s="3" t="s">
        <v>198</v>
      </c>
      <c r="G352" s="3">
        <v>0.1</v>
      </c>
      <c r="H352" s="3" t="s">
        <v>341</v>
      </c>
      <c r="I352" s="77">
        <v>1.26</v>
      </c>
      <c r="M352" s="3" t="s">
        <v>301</v>
      </c>
      <c r="N352" s="3" t="s">
        <v>120</v>
      </c>
      <c r="O352" s="3" t="s">
        <v>23</v>
      </c>
      <c r="P35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2" s="4">
        <v>25</v>
      </c>
      <c r="U352" s="4" t="s">
        <v>12</v>
      </c>
      <c r="W352" s="3" t="s">
        <v>13</v>
      </c>
      <c r="Y352" s="4">
        <v>70</v>
      </c>
      <c r="Z352" s="4">
        <v>28</v>
      </c>
      <c r="AA352" s="5">
        <f>Tabelle1[[#This Row],[biologische
Abbaubarkeit '[%']]]/Z352</f>
        <v>2.5</v>
      </c>
      <c r="AB352" s="5"/>
      <c r="AC35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2" s="97" t="str">
        <f>IF(Tabelle1[[#This Row],[Nicht einbezogen weil…]]="",IFERROR(1000*Tabelle1[[#This Row],[Formfaktor]]/Tabelle1[[#This Row],[Thickness '[mm']]],""),"")</f>
        <v/>
      </c>
      <c r="AE352" s="98" t="str">
        <f>IF(Tabelle1[[#This Row],[Nicht einbezogen weil…]]="",IFERROR(Tabelle1[[#This Row],[specific surface '[m^2/m^3']]]/Tabelle1[[#This Row],[Density 
'[g/cm3']]]/1000000,""),"")</f>
        <v/>
      </c>
      <c r="AF352" s="97" t="str">
        <f>IF(Tabelle1[[#This Row],[Nicht einbezogen weil…]]="",IFERROR(365*10*Tabelle1[[#This Row],[Abbaurate '[%/d']]]*Tabelle1[[#This Row],[Thickness '[mm']]]/Tabelle1[[#This Row],[Formfaktor]],""),"")</f>
        <v/>
      </c>
      <c r="AG352" s="99" t="str">
        <f>IF(OR(Tabelle1[[#This Row],[Nicht einbezogen weil…]]="",Tabelle1[[#This Row],[Nicht einbezogen weil…]]="nicht-natürlich"),IF(Tabelle1[[#This Row],[Formfaktor]]=2, 1,IF(Tabelle1[[#This Row],[Formfaktor]]=4,2,IF(Tabelle1[[#This Row],[Formfaktor]]=6,3,""))),"")</f>
        <v/>
      </c>
      <c r="AH35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5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52" s="71">
        <v>1</v>
      </c>
      <c r="AK35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52" s="3" t="s">
        <v>699</v>
      </c>
      <c r="AM352" s="8" t="s">
        <v>385</v>
      </c>
      <c r="AO352" s="3" t="s">
        <v>235</v>
      </c>
      <c r="AP352" s="3" t="s">
        <v>235</v>
      </c>
      <c r="AR352" s="2" t="s">
        <v>300</v>
      </c>
      <c r="AT352" s="10" t="s">
        <v>223</v>
      </c>
      <c r="AU352" s="13" t="s">
        <v>200</v>
      </c>
      <c r="AW352" s="10" t="s">
        <v>814</v>
      </c>
    </row>
    <row r="353" spans="1:49" ht="17.25" customHeight="1">
      <c r="B353" s="7" t="s">
        <v>798</v>
      </c>
      <c r="C353" s="3" t="s">
        <v>122</v>
      </c>
      <c r="D353" s="3" t="s">
        <v>200</v>
      </c>
      <c r="E353" s="10" t="s">
        <v>1127</v>
      </c>
      <c r="F353" s="3" t="s">
        <v>198</v>
      </c>
      <c r="G353" s="3">
        <v>0.1</v>
      </c>
      <c r="H353" s="3" t="s">
        <v>341</v>
      </c>
      <c r="I353" s="77">
        <v>1.26</v>
      </c>
      <c r="M353" s="3" t="s">
        <v>301</v>
      </c>
      <c r="N353" s="3" t="s">
        <v>120</v>
      </c>
      <c r="O353" s="3" t="s">
        <v>23</v>
      </c>
      <c r="P35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3" s="4">
        <v>25</v>
      </c>
      <c r="U353" s="4" t="s">
        <v>12</v>
      </c>
      <c r="W353" s="3" t="s">
        <v>506</v>
      </c>
      <c r="Y353" s="4">
        <v>51</v>
      </c>
      <c r="Z353" s="4">
        <v>28</v>
      </c>
      <c r="AA353" s="5">
        <f>Tabelle1[[#This Row],[biologische
Abbaubarkeit '[%']]]/Z353</f>
        <v>1.8214285714285714</v>
      </c>
      <c r="AB353" s="5"/>
      <c r="AC35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3" s="97" t="str">
        <f>IF(Tabelle1[[#This Row],[Nicht einbezogen weil…]]="",IFERROR(1000*Tabelle1[[#This Row],[Formfaktor]]/Tabelle1[[#This Row],[Thickness '[mm']]],""),"")</f>
        <v/>
      </c>
      <c r="AE353" s="98" t="str">
        <f>IF(Tabelle1[[#This Row],[Nicht einbezogen weil…]]="",IFERROR(Tabelle1[[#This Row],[specific surface '[m^2/m^3']]]/Tabelle1[[#This Row],[Density 
'[g/cm3']]]/1000000,""),"")</f>
        <v/>
      </c>
      <c r="AF353" s="97" t="str">
        <f>IF(Tabelle1[[#This Row],[Nicht einbezogen weil…]]="",IFERROR(365*10*Tabelle1[[#This Row],[Abbaurate '[%/d']]]*Tabelle1[[#This Row],[Thickness '[mm']]]/Tabelle1[[#This Row],[Formfaktor]],""),"")</f>
        <v/>
      </c>
      <c r="AG353" s="99" t="str">
        <f>IF(OR(Tabelle1[[#This Row],[Nicht einbezogen weil…]]="",Tabelle1[[#This Row],[Nicht einbezogen weil…]]="nicht-natürlich"),IF(Tabelle1[[#This Row],[Formfaktor]]=2, 1,IF(Tabelle1[[#This Row],[Formfaktor]]=4,2,IF(Tabelle1[[#This Row],[Formfaktor]]=6,3,""))),"")</f>
        <v/>
      </c>
      <c r="AH35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5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53" s="71">
        <v>1</v>
      </c>
      <c r="AK35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53" s="3" t="s">
        <v>699</v>
      </c>
      <c r="AM353" s="8" t="s">
        <v>385</v>
      </c>
      <c r="AO353" s="3" t="s">
        <v>235</v>
      </c>
      <c r="AP353" s="3" t="s">
        <v>235</v>
      </c>
      <c r="AR353" s="2" t="s">
        <v>300</v>
      </c>
      <c r="AT353" s="10" t="s">
        <v>223</v>
      </c>
      <c r="AU353" s="13" t="s">
        <v>200</v>
      </c>
      <c r="AW353" s="10" t="s">
        <v>814</v>
      </c>
    </row>
    <row r="354" spans="1:49" ht="17.25" customHeight="1">
      <c r="B354" s="7" t="s">
        <v>798</v>
      </c>
      <c r="C354" s="3" t="s">
        <v>122</v>
      </c>
      <c r="D354" s="3" t="s">
        <v>200</v>
      </c>
      <c r="E354" s="10" t="s">
        <v>1127</v>
      </c>
      <c r="F354" s="3" t="s">
        <v>198</v>
      </c>
      <c r="G354" s="3">
        <v>0.1</v>
      </c>
      <c r="H354" s="3" t="s">
        <v>341</v>
      </c>
      <c r="I354" s="77">
        <v>1.26</v>
      </c>
      <c r="M354" s="3" t="s">
        <v>301</v>
      </c>
      <c r="N354" s="3" t="s">
        <v>121</v>
      </c>
      <c r="O354" s="3" t="s">
        <v>23</v>
      </c>
      <c r="P35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4" s="4">
        <v>25</v>
      </c>
      <c r="U354" s="4" t="s">
        <v>12</v>
      </c>
      <c r="W354" s="3" t="s">
        <v>13</v>
      </c>
      <c r="Y354" s="4">
        <v>59</v>
      </c>
      <c r="Z354" s="4">
        <v>28</v>
      </c>
      <c r="AA354" s="5">
        <f>Tabelle1[[#This Row],[biologische
Abbaubarkeit '[%']]]/Z354</f>
        <v>2.1071428571428572</v>
      </c>
      <c r="AB354" s="5"/>
      <c r="AC35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4" s="97" t="str">
        <f>IF(Tabelle1[[#This Row],[Nicht einbezogen weil…]]="",IFERROR(1000*Tabelle1[[#This Row],[Formfaktor]]/Tabelle1[[#This Row],[Thickness '[mm']]],""),"")</f>
        <v/>
      </c>
      <c r="AE354" s="98" t="str">
        <f>IF(Tabelle1[[#This Row],[Nicht einbezogen weil…]]="",IFERROR(Tabelle1[[#This Row],[specific surface '[m^2/m^3']]]/Tabelle1[[#This Row],[Density 
'[g/cm3']]]/1000000,""),"")</f>
        <v/>
      </c>
      <c r="AF354" s="97" t="str">
        <f>IF(Tabelle1[[#This Row],[Nicht einbezogen weil…]]="",IFERROR(365*10*Tabelle1[[#This Row],[Abbaurate '[%/d']]]*Tabelle1[[#This Row],[Thickness '[mm']]]/Tabelle1[[#This Row],[Formfaktor]],""),"")</f>
        <v/>
      </c>
      <c r="AG354" s="99" t="str">
        <f>IF(OR(Tabelle1[[#This Row],[Nicht einbezogen weil…]]="",Tabelle1[[#This Row],[Nicht einbezogen weil…]]="nicht-natürlich"),IF(Tabelle1[[#This Row],[Formfaktor]]=2, 1,IF(Tabelle1[[#This Row],[Formfaktor]]=4,2,IF(Tabelle1[[#This Row],[Formfaktor]]=6,3,""))),"")</f>
        <v/>
      </c>
      <c r="AH35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5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54" s="71">
        <v>1</v>
      </c>
      <c r="AK35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54" s="3" t="s">
        <v>699</v>
      </c>
      <c r="AM354" s="8" t="s">
        <v>385</v>
      </c>
      <c r="AO354" s="3" t="s">
        <v>235</v>
      </c>
      <c r="AP354" s="3" t="s">
        <v>235</v>
      </c>
      <c r="AR354" s="2" t="s">
        <v>300</v>
      </c>
      <c r="AT354" s="10" t="s">
        <v>223</v>
      </c>
      <c r="AU354" s="13" t="s">
        <v>200</v>
      </c>
      <c r="AW354" s="10" t="s">
        <v>814</v>
      </c>
    </row>
    <row r="355" spans="1:49" ht="17.25" customHeight="1">
      <c r="B355" s="7" t="s">
        <v>798</v>
      </c>
      <c r="C355" s="3" t="s">
        <v>122</v>
      </c>
      <c r="D355" s="3" t="s">
        <v>200</v>
      </c>
      <c r="E355" s="10" t="s">
        <v>1127</v>
      </c>
      <c r="F355" s="3" t="s">
        <v>198</v>
      </c>
      <c r="G355" s="3">
        <v>0.1</v>
      </c>
      <c r="H355" s="3" t="s">
        <v>341</v>
      </c>
      <c r="I355" s="77">
        <v>1.26</v>
      </c>
      <c r="M355" s="3" t="s">
        <v>301</v>
      </c>
      <c r="N355" s="3" t="s">
        <v>121</v>
      </c>
      <c r="O355" s="3" t="s">
        <v>23</v>
      </c>
      <c r="P35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5" s="4">
        <v>25</v>
      </c>
      <c r="U355" s="4" t="s">
        <v>12</v>
      </c>
      <c r="W355" s="3" t="s">
        <v>506</v>
      </c>
      <c r="Y355" s="4">
        <v>43</v>
      </c>
      <c r="Z355" s="4">
        <v>28</v>
      </c>
      <c r="AA355" s="5">
        <f>Tabelle1[[#This Row],[biologische
Abbaubarkeit '[%']]]/Z355</f>
        <v>1.5357142857142858</v>
      </c>
      <c r="AB355" s="5"/>
      <c r="AC35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5" s="97" t="str">
        <f>IF(Tabelle1[[#This Row],[Nicht einbezogen weil…]]="",IFERROR(1000*Tabelle1[[#This Row],[Formfaktor]]/Tabelle1[[#This Row],[Thickness '[mm']]],""),"")</f>
        <v/>
      </c>
      <c r="AE355" s="98" t="str">
        <f>IF(Tabelle1[[#This Row],[Nicht einbezogen weil…]]="",IFERROR(Tabelle1[[#This Row],[specific surface '[m^2/m^3']]]/Tabelle1[[#This Row],[Density 
'[g/cm3']]]/1000000,""),"")</f>
        <v/>
      </c>
      <c r="AF355" s="97" t="str">
        <f>IF(Tabelle1[[#This Row],[Nicht einbezogen weil…]]="",IFERROR(365*10*Tabelle1[[#This Row],[Abbaurate '[%/d']]]*Tabelle1[[#This Row],[Thickness '[mm']]]/Tabelle1[[#This Row],[Formfaktor]],""),"")</f>
        <v/>
      </c>
      <c r="AG355" s="99" t="str">
        <f>IF(OR(Tabelle1[[#This Row],[Nicht einbezogen weil…]]="",Tabelle1[[#This Row],[Nicht einbezogen weil…]]="nicht-natürlich"),IF(Tabelle1[[#This Row],[Formfaktor]]=2, 1,IF(Tabelle1[[#This Row],[Formfaktor]]=4,2,IF(Tabelle1[[#This Row],[Formfaktor]]=6,3,""))),"")</f>
        <v/>
      </c>
      <c r="AH35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5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55" s="71">
        <v>1</v>
      </c>
      <c r="AK35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55" s="3" t="s">
        <v>699</v>
      </c>
      <c r="AM355" s="8" t="s">
        <v>385</v>
      </c>
      <c r="AO355" s="3" t="s">
        <v>235</v>
      </c>
      <c r="AP355" s="3" t="s">
        <v>235</v>
      </c>
      <c r="AR355" s="2" t="s">
        <v>300</v>
      </c>
      <c r="AT355" s="10" t="s">
        <v>223</v>
      </c>
      <c r="AU355" s="13" t="s">
        <v>200</v>
      </c>
      <c r="AW355" s="10" t="s">
        <v>814</v>
      </c>
    </row>
    <row r="356" spans="1:49" ht="17.25" customHeight="1">
      <c r="B356" s="7" t="s">
        <v>798</v>
      </c>
      <c r="C356" s="3" t="s">
        <v>114</v>
      </c>
      <c r="D356" s="3" t="s">
        <v>200</v>
      </c>
      <c r="E356" s="10" t="s">
        <v>1127</v>
      </c>
      <c r="F356" s="3" t="s">
        <v>198</v>
      </c>
      <c r="G356" s="3">
        <v>0.1</v>
      </c>
      <c r="H356" s="3" t="s">
        <v>341</v>
      </c>
      <c r="I356" s="77">
        <v>1.26</v>
      </c>
      <c r="M356" s="3" t="s">
        <v>301</v>
      </c>
      <c r="N356" s="3" t="s">
        <v>118</v>
      </c>
      <c r="O356" s="3" t="s">
        <v>1081</v>
      </c>
      <c r="P35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6" s="4">
        <v>25</v>
      </c>
      <c r="U356" s="4" t="s">
        <v>12</v>
      </c>
      <c r="W356" s="3" t="s">
        <v>13</v>
      </c>
      <c r="Y356" s="4">
        <v>100</v>
      </c>
      <c r="Z356" s="4">
        <v>28</v>
      </c>
      <c r="AA356" s="5">
        <f>Tabelle1[[#This Row],[biologische
Abbaubarkeit '[%']]]/Z356</f>
        <v>3.5714285714285716</v>
      </c>
      <c r="AB356" s="5"/>
      <c r="AC35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6" s="97" t="str">
        <f>IF(Tabelle1[[#This Row],[Nicht einbezogen weil…]]="",IFERROR(1000*Tabelle1[[#This Row],[Formfaktor]]/Tabelle1[[#This Row],[Thickness '[mm']]],""),"")</f>
        <v/>
      </c>
      <c r="AE356" s="98" t="str">
        <f>IF(Tabelle1[[#This Row],[Nicht einbezogen weil…]]="",IFERROR(Tabelle1[[#This Row],[specific surface '[m^2/m^3']]]/Tabelle1[[#This Row],[Density 
'[g/cm3']]]/1000000,""),"")</f>
        <v/>
      </c>
      <c r="AF356" s="97" t="str">
        <f>IF(Tabelle1[[#This Row],[Nicht einbezogen weil…]]="",IFERROR(365*10*Tabelle1[[#This Row],[Abbaurate '[%/d']]]*Tabelle1[[#This Row],[Thickness '[mm']]]/Tabelle1[[#This Row],[Formfaktor]],""),"")</f>
        <v/>
      </c>
      <c r="AG356" s="99" t="str">
        <f>IF(OR(Tabelle1[[#This Row],[Nicht einbezogen weil…]]="",Tabelle1[[#This Row],[Nicht einbezogen weil…]]="nicht-natürlich"),IF(Tabelle1[[#This Row],[Formfaktor]]=2, 1,IF(Tabelle1[[#This Row],[Formfaktor]]=4,2,IF(Tabelle1[[#This Row],[Formfaktor]]=6,3,""))),"")</f>
        <v/>
      </c>
      <c r="AH35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5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56" s="71">
        <v>1</v>
      </c>
      <c r="AK35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56" s="3" t="s">
        <v>699</v>
      </c>
      <c r="AM356" s="8" t="s">
        <v>385</v>
      </c>
      <c r="AO356" s="3" t="s">
        <v>235</v>
      </c>
      <c r="AP356" s="3" t="s">
        <v>235</v>
      </c>
      <c r="AR356" s="2" t="s">
        <v>300</v>
      </c>
      <c r="AT356" s="10" t="s">
        <v>223</v>
      </c>
      <c r="AU356" s="13" t="s">
        <v>200</v>
      </c>
      <c r="AW356" s="10" t="s">
        <v>814</v>
      </c>
    </row>
    <row r="357" spans="1:49" ht="17.25" customHeight="1">
      <c r="B357" s="7" t="s">
        <v>798</v>
      </c>
      <c r="C357" s="3" t="s">
        <v>114</v>
      </c>
      <c r="D357" s="3" t="s">
        <v>200</v>
      </c>
      <c r="E357" s="10" t="s">
        <v>1127</v>
      </c>
      <c r="F357" s="3" t="s">
        <v>198</v>
      </c>
      <c r="G357" s="3">
        <v>0.1</v>
      </c>
      <c r="H357" s="3" t="s">
        <v>341</v>
      </c>
      <c r="I357" s="77">
        <v>1.26</v>
      </c>
      <c r="M357" s="3" t="s">
        <v>301</v>
      </c>
      <c r="N357" s="3" t="s">
        <v>118</v>
      </c>
      <c r="O357" s="3" t="s">
        <v>1081</v>
      </c>
      <c r="P35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7" s="4">
        <v>25</v>
      </c>
      <c r="U357" s="4" t="s">
        <v>12</v>
      </c>
      <c r="W357" s="3" t="s">
        <v>506</v>
      </c>
      <c r="Y357" s="4">
        <v>76</v>
      </c>
      <c r="Z357" s="4">
        <v>28</v>
      </c>
      <c r="AA357" s="5">
        <f>Tabelle1[[#This Row],[biologische
Abbaubarkeit '[%']]]/Z357</f>
        <v>2.7142857142857144</v>
      </c>
      <c r="AB357" s="5"/>
      <c r="AC35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7" s="97" t="str">
        <f>IF(Tabelle1[[#This Row],[Nicht einbezogen weil…]]="",IFERROR(1000*Tabelle1[[#This Row],[Formfaktor]]/Tabelle1[[#This Row],[Thickness '[mm']]],""),"")</f>
        <v/>
      </c>
      <c r="AE357" s="98" t="str">
        <f>IF(Tabelle1[[#This Row],[Nicht einbezogen weil…]]="",IFERROR(Tabelle1[[#This Row],[specific surface '[m^2/m^3']]]/Tabelle1[[#This Row],[Density 
'[g/cm3']]]/1000000,""),"")</f>
        <v/>
      </c>
      <c r="AF357" s="97" t="str">
        <f>IF(Tabelle1[[#This Row],[Nicht einbezogen weil…]]="",IFERROR(365*10*Tabelle1[[#This Row],[Abbaurate '[%/d']]]*Tabelle1[[#This Row],[Thickness '[mm']]]/Tabelle1[[#This Row],[Formfaktor]],""),"")</f>
        <v/>
      </c>
      <c r="AG357" s="99" t="str">
        <f>IF(OR(Tabelle1[[#This Row],[Nicht einbezogen weil…]]="",Tabelle1[[#This Row],[Nicht einbezogen weil…]]="nicht-natürlich"),IF(Tabelle1[[#This Row],[Formfaktor]]=2, 1,IF(Tabelle1[[#This Row],[Formfaktor]]=4,2,IF(Tabelle1[[#This Row],[Formfaktor]]=6,3,""))),"")</f>
        <v/>
      </c>
      <c r="AH35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5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57" s="71">
        <v>1</v>
      </c>
      <c r="AK35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57" s="3" t="s">
        <v>699</v>
      </c>
      <c r="AM357" s="8" t="s">
        <v>385</v>
      </c>
      <c r="AO357" s="3" t="s">
        <v>235</v>
      </c>
      <c r="AP357" s="3" t="s">
        <v>235</v>
      </c>
      <c r="AR357" s="2" t="s">
        <v>300</v>
      </c>
      <c r="AT357" s="10" t="s">
        <v>223</v>
      </c>
      <c r="AU357" s="13" t="s">
        <v>200</v>
      </c>
      <c r="AW357" s="10" t="s">
        <v>814</v>
      </c>
    </row>
    <row r="358" spans="1:49" ht="17.25" customHeight="1">
      <c r="B358" s="7" t="s">
        <v>798</v>
      </c>
      <c r="C358" s="3" t="s">
        <v>114</v>
      </c>
      <c r="D358" s="3" t="s">
        <v>200</v>
      </c>
      <c r="E358" s="10" t="s">
        <v>1127</v>
      </c>
      <c r="F358" s="3" t="s">
        <v>198</v>
      </c>
      <c r="G358" s="3">
        <v>0.1</v>
      </c>
      <c r="H358" s="3" t="s">
        <v>341</v>
      </c>
      <c r="I358" s="77">
        <v>1.26</v>
      </c>
      <c r="M358" s="3" t="s">
        <v>301</v>
      </c>
      <c r="N358" s="3" t="s">
        <v>119</v>
      </c>
      <c r="O358" s="3" t="s">
        <v>1081</v>
      </c>
      <c r="P35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8" s="4">
        <v>25</v>
      </c>
      <c r="U358" s="4" t="s">
        <v>12</v>
      </c>
      <c r="W358" s="3" t="s">
        <v>13</v>
      </c>
      <c r="Y358" s="4">
        <v>100</v>
      </c>
      <c r="Z358" s="4">
        <v>28</v>
      </c>
      <c r="AA358" s="5">
        <f>Tabelle1[[#This Row],[biologische
Abbaubarkeit '[%']]]/Z358</f>
        <v>3.5714285714285716</v>
      </c>
      <c r="AB358" s="5"/>
      <c r="AC35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8" s="97" t="str">
        <f>IF(Tabelle1[[#This Row],[Nicht einbezogen weil…]]="",IFERROR(1000*Tabelle1[[#This Row],[Formfaktor]]/Tabelle1[[#This Row],[Thickness '[mm']]],""),"")</f>
        <v/>
      </c>
      <c r="AE358" s="98" t="str">
        <f>IF(Tabelle1[[#This Row],[Nicht einbezogen weil…]]="",IFERROR(Tabelle1[[#This Row],[specific surface '[m^2/m^3']]]/Tabelle1[[#This Row],[Density 
'[g/cm3']]]/1000000,""),"")</f>
        <v/>
      </c>
      <c r="AF358" s="97" t="str">
        <f>IF(Tabelle1[[#This Row],[Nicht einbezogen weil…]]="",IFERROR(365*10*Tabelle1[[#This Row],[Abbaurate '[%/d']]]*Tabelle1[[#This Row],[Thickness '[mm']]]/Tabelle1[[#This Row],[Formfaktor]],""),"")</f>
        <v/>
      </c>
      <c r="AG358" s="99" t="str">
        <f>IF(OR(Tabelle1[[#This Row],[Nicht einbezogen weil…]]="",Tabelle1[[#This Row],[Nicht einbezogen weil…]]="nicht-natürlich"),IF(Tabelle1[[#This Row],[Formfaktor]]=2, 1,IF(Tabelle1[[#This Row],[Formfaktor]]=4,2,IF(Tabelle1[[#This Row],[Formfaktor]]=6,3,""))),"")</f>
        <v/>
      </c>
      <c r="AH35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5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58" s="71">
        <v>1</v>
      </c>
      <c r="AK35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58" s="3" t="s">
        <v>699</v>
      </c>
      <c r="AM358" s="8" t="s">
        <v>385</v>
      </c>
      <c r="AO358" s="3" t="s">
        <v>235</v>
      </c>
      <c r="AP358" s="3" t="s">
        <v>235</v>
      </c>
      <c r="AR358" s="2" t="s">
        <v>300</v>
      </c>
      <c r="AT358" s="10" t="s">
        <v>223</v>
      </c>
      <c r="AU358" s="13" t="s">
        <v>200</v>
      </c>
      <c r="AW358" s="10" t="s">
        <v>814</v>
      </c>
    </row>
    <row r="359" spans="1:49" ht="17.25" customHeight="1">
      <c r="B359" s="7" t="s">
        <v>798</v>
      </c>
      <c r="C359" s="3" t="s">
        <v>114</v>
      </c>
      <c r="D359" s="3" t="s">
        <v>200</v>
      </c>
      <c r="E359" s="10" t="s">
        <v>1127</v>
      </c>
      <c r="F359" s="3" t="s">
        <v>198</v>
      </c>
      <c r="G359" s="3">
        <v>0.1</v>
      </c>
      <c r="H359" s="3" t="s">
        <v>341</v>
      </c>
      <c r="I359" s="77">
        <v>1.26</v>
      </c>
      <c r="M359" s="3" t="s">
        <v>301</v>
      </c>
      <c r="N359" s="3" t="s">
        <v>119</v>
      </c>
      <c r="O359" s="3" t="s">
        <v>1081</v>
      </c>
      <c r="P35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59" s="4">
        <v>25</v>
      </c>
      <c r="U359" s="4" t="s">
        <v>12</v>
      </c>
      <c r="W359" s="3" t="s">
        <v>506</v>
      </c>
      <c r="Y359" s="4">
        <v>71</v>
      </c>
      <c r="Z359" s="4">
        <v>28</v>
      </c>
      <c r="AA359" s="5">
        <f>Tabelle1[[#This Row],[biologische
Abbaubarkeit '[%']]]/Z359</f>
        <v>2.5357142857142856</v>
      </c>
      <c r="AB359" s="5"/>
      <c r="AC35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59" s="97" t="str">
        <f>IF(Tabelle1[[#This Row],[Nicht einbezogen weil…]]="",IFERROR(1000*Tabelle1[[#This Row],[Formfaktor]]/Tabelle1[[#This Row],[Thickness '[mm']]],""),"")</f>
        <v/>
      </c>
      <c r="AE359" s="98" t="str">
        <f>IF(Tabelle1[[#This Row],[Nicht einbezogen weil…]]="",IFERROR(Tabelle1[[#This Row],[specific surface '[m^2/m^3']]]/Tabelle1[[#This Row],[Density 
'[g/cm3']]]/1000000,""),"")</f>
        <v/>
      </c>
      <c r="AF359" s="97" t="str">
        <f>IF(Tabelle1[[#This Row],[Nicht einbezogen weil…]]="",IFERROR(365*10*Tabelle1[[#This Row],[Abbaurate '[%/d']]]*Tabelle1[[#This Row],[Thickness '[mm']]]/Tabelle1[[#This Row],[Formfaktor]],""),"")</f>
        <v/>
      </c>
      <c r="AG359" s="99" t="str">
        <f>IF(OR(Tabelle1[[#This Row],[Nicht einbezogen weil…]]="",Tabelle1[[#This Row],[Nicht einbezogen weil…]]="nicht-natürlich"),IF(Tabelle1[[#This Row],[Formfaktor]]=2, 1,IF(Tabelle1[[#This Row],[Formfaktor]]=4,2,IF(Tabelle1[[#This Row],[Formfaktor]]=6,3,""))),"")</f>
        <v/>
      </c>
      <c r="AH35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5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59" s="71">
        <v>1</v>
      </c>
      <c r="AK35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59" s="3" t="s">
        <v>699</v>
      </c>
      <c r="AM359" s="8" t="s">
        <v>385</v>
      </c>
      <c r="AO359" s="3" t="s">
        <v>235</v>
      </c>
      <c r="AP359" s="3" t="s">
        <v>235</v>
      </c>
      <c r="AR359" s="2" t="s">
        <v>300</v>
      </c>
      <c r="AT359" s="10" t="s">
        <v>223</v>
      </c>
      <c r="AU359" s="13" t="s">
        <v>200</v>
      </c>
      <c r="AW359" s="10" t="s">
        <v>814</v>
      </c>
    </row>
    <row r="360" spans="1:49" ht="17.25" customHeight="1">
      <c r="B360" s="7" t="s">
        <v>798</v>
      </c>
      <c r="C360" s="3" t="s">
        <v>114</v>
      </c>
      <c r="D360" s="3" t="s">
        <v>200</v>
      </c>
      <c r="E360" s="10" t="s">
        <v>1127</v>
      </c>
      <c r="F360" s="3" t="s">
        <v>198</v>
      </c>
      <c r="G360" s="3">
        <v>0.1</v>
      </c>
      <c r="H360" s="3" t="s">
        <v>341</v>
      </c>
      <c r="I360" s="77">
        <v>1.26</v>
      </c>
      <c r="M360" s="3" t="s">
        <v>301</v>
      </c>
      <c r="N360" s="3" t="s">
        <v>120</v>
      </c>
      <c r="O360" s="3" t="s">
        <v>23</v>
      </c>
      <c r="P36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60" s="4">
        <v>25</v>
      </c>
      <c r="U360" s="4" t="s">
        <v>12</v>
      </c>
      <c r="W360" s="3" t="s">
        <v>13</v>
      </c>
      <c r="Y360" s="4">
        <v>100</v>
      </c>
      <c r="Z360" s="4">
        <v>28</v>
      </c>
      <c r="AA360" s="5">
        <f>Tabelle1[[#This Row],[biologische
Abbaubarkeit '[%']]]/Z360</f>
        <v>3.5714285714285716</v>
      </c>
      <c r="AB360" s="5"/>
      <c r="AC36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60" s="97" t="str">
        <f>IF(Tabelle1[[#This Row],[Nicht einbezogen weil…]]="",IFERROR(1000*Tabelle1[[#This Row],[Formfaktor]]/Tabelle1[[#This Row],[Thickness '[mm']]],""),"")</f>
        <v/>
      </c>
      <c r="AE360" s="98" t="str">
        <f>IF(Tabelle1[[#This Row],[Nicht einbezogen weil…]]="",IFERROR(Tabelle1[[#This Row],[specific surface '[m^2/m^3']]]/Tabelle1[[#This Row],[Density 
'[g/cm3']]]/1000000,""),"")</f>
        <v/>
      </c>
      <c r="AF360" s="97" t="str">
        <f>IF(Tabelle1[[#This Row],[Nicht einbezogen weil…]]="",IFERROR(365*10*Tabelle1[[#This Row],[Abbaurate '[%/d']]]*Tabelle1[[#This Row],[Thickness '[mm']]]/Tabelle1[[#This Row],[Formfaktor]],""),"")</f>
        <v/>
      </c>
      <c r="AG360" s="99" t="str">
        <f>IF(OR(Tabelle1[[#This Row],[Nicht einbezogen weil…]]="",Tabelle1[[#This Row],[Nicht einbezogen weil…]]="nicht-natürlich"),IF(Tabelle1[[#This Row],[Formfaktor]]=2, 1,IF(Tabelle1[[#This Row],[Formfaktor]]=4,2,IF(Tabelle1[[#This Row],[Formfaktor]]=6,3,""))),"")</f>
        <v/>
      </c>
      <c r="AH36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6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60" s="71">
        <v>1</v>
      </c>
      <c r="AK36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60" s="3" t="s">
        <v>699</v>
      </c>
      <c r="AM360" s="8" t="s">
        <v>385</v>
      </c>
      <c r="AO360" s="3" t="s">
        <v>235</v>
      </c>
      <c r="AP360" s="3" t="s">
        <v>235</v>
      </c>
      <c r="AR360" s="2" t="s">
        <v>300</v>
      </c>
      <c r="AT360" s="10" t="s">
        <v>223</v>
      </c>
      <c r="AU360" s="13" t="s">
        <v>200</v>
      </c>
      <c r="AW360" s="10" t="s">
        <v>814</v>
      </c>
    </row>
    <row r="361" spans="1:49" ht="17.25" customHeight="1">
      <c r="B361" s="7" t="s">
        <v>798</v>
      </c>
      <c r="C361" s="3" t="s">
        <v>114</v>
      </c>
      <c r="D361" s="3" t="s">
        <v>200</v>
      </c>
      <c r="E361" s="10" t="s">
        <v>1127</v>
      </c>
      <c r="F361" s="3" t="s">
        <v>198</v>
      </c>
      <c r="G361" s="3">
        <v>0.1</v>
      </c>
      <c r="H361" s="3" t="s">
        <v>341</v>
      </c>
      <c r="I361" s="77">
        <v>1.26</v>
      </c>
      <c r="M361" s="3" t="s">
        <v>301</v>
      </c>
      <c r="N361" s="3" t="s">
        <v>120</v>
      </c>
      <c r="O361" s="3" t="s">
        <v>23</v>
      </c>
      <c r="P36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61" s="4">
        <v>25</v>
      </c>
      <c r="U361" s="4" t="s">
        <v>12</v>
      </c>
      <c r="W361" s="3" t="s">
        <v>506</v>
      </c>
      <c r="Y361" s="4">
        <v>84</v>
      </c>
      <c r="Z361" s="4">
        <v>28</v>
      </c>
      <c r="AA361" s="5">
        <f>Tabelle1[[#This Row],[biologische
Abbaubarkeit '[%']]]/Z361</f>
        <v>3</v>
      </c>
      <c r="AB361" s="5"/>
      <c r="AC36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61" s="97" t="str">
        <f>IF(Tabelle1[[#This Row],[Nicht einbezogen weil…]]="",IFERROR(1000*Tabelle1[[#This Row],[Formfaktor]]/Tabelle1[[#This Row],[Thickness '[mm']]],""),"")</f>
        <v/>
      </c>
      <c r="AE361" s="98" t="str">
        <f>IF(Tabelle1[[#This Row],[Nicht einbezogen weil…]]="",IFERROR(Tabelle1[[#This Row],[specific surface '[m^2/m^3']]]/Tabelle1[[#This Row],[Density 
'[g/cm3']]]/1000000,""),"")</f>
        <v/>
      </c>
      <c r="AF361" s="97" t="str">
        <f>IF(Tabelle1[[#This Row],[Nicht einbezogen weil…]]="",IFERROR(365*10*Tabelle1[[#This Row],[Abbaurate '[%/d']]]*Tabelle1[[#This Row],[Thickness '[mm']]]/Tabelle1[[#This Row],[Formfaktor]],""),"")</f>
        <v/>
      </c>
      <c r="AG361" s="99" t="str">
        <f>IF(OR(Tabelle1[[#This Row],[Nicht einbezogen weil…]]="",Tabelle1[[#This Row],[Nicht einbezogen weil…]]="nicht-natürlich"),IF(Tabelle1[[#This Row],[Formfaktor]]=2, 1,IF(Tabelle1[[#This Row],[Formfaktor]]=4,2,IF(Tabelle1[[#This Row],[Formfaktor]]=6,3,""))),"")</f>
        <v/>
      </c>
      <c r="AH36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6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61" s="71">
        <v>1</v>
      </c>
      <c r="AK36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61" s="3" t="s">
        <v>699</v>
      </c>
      <c r="AM361" s="8" t="s">
        <v>385</v>
      </c>
      <c r="AO361" s="3" t="s">
        <v>235</v>
      </c>
      <c r="AP361" s="3" t="s">
        <v>235</v>
      </c>
      <c r="AR361" s="2" t="s">
        <v>300</v>
      </c>
      <c r="AT361" s="10" t="s">
        <v>223</v>
      </c>
      <c r="AU361" s="13" t="s">
        <v>200</v>
      </c>
      <c r="AW361" s="10" t="s">
        <v>814</v>
      </c>
    </row>
    <row r="362" spans="1:49" ht="17.25" customHeight="1">
      <c r="B362" s="7" t="s">
        <v>798</v>
      </c>
      <c r="C362" s="3" t="s">
        <v>114</v>
      </c>
      <c r="D362" s="3" t="s">
        <v>200</v>
      </c>
      <c r="E362" s="10" t="s">
        <v>1127</v>
      </c>
      <c r="F362" s="3" t="s">
        <v>198</v>
      </c>
      <c r="G362" s="3">
        <v>0.1</v>
      </c>
      <c r="H362" s="3" t="s">
        <v>341</v>
      </c>
      <c r="I362" s="77">
        <v>1.26</v>
      </c>
      <c r="M362" s="3" t="s">
        <v>301</v>
      </c>
      <c r="N362" s="3" t="s">
        <v>121</v>
      </c>
      <c r="O362" s="3" t="s">
        <v>23</v>
      </c>
      <c r="P36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62" s="4">
        <v>25</v>
      </c>
      <c r="U362" s="4" t="s">
        <v>12</v>
      </c>
      <c r="W362" s="3" t="s">
        <v>13</v>
      </c>
      <c r="Y362" s="4">
        <v>100</v>
      </c>
      <c r="Z362" s="4">
        <v>28</v>
      </c>
      <c r="AA362" s="5">
        <f>Tabelle1[[#This Row],[biologische
Abbaubarkeit '[%']]]/Z362</f>
        <v>3.5714285714285716</v>
      </c>
      <c r="AB362" s="5"/>
      <c r="AC36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62" s="97" t="str">
        <f>IF(Tabelle1[[#This Row],[Nicht einbezogen weil…]]="",IFERROR(1000*Tabelle1[[#This Row],[Formfaktor]]/Tabelle1[[#This Row],[Thickness '[mm']]],""),"")</f>
        <v/>
      </c>
      <c r="AE362" s="98" t="str">
        <f>IF(Tabelle1[[#This Row],[Nicht einbezogen weil…]]="",IFERROR(Tabelle1[[#This Row],[specific surface '[m^2/m^3']]]/Tabelle1[[#This Row],[Density 
'[g/cm3']]]/1000000,""),"")</f>
        <v/>
      </c>
      <c r="AF362" s="97" t="str">
        <f>IF(Tabelle1[[#This Row],[Nicht einbezogen weil…]]="",IFERROR(365*10*Tabelle1[[#This Row],[Abbaurate '[%/d']]]*Tabelle1[[#This Row],[Thickness '[mm']]]/Tabelle1[[#This Row],[Formfaktor]],""),"")</f>
        <v/>
      </c>
      <c r="AG362" s="99" t="str">
        <f>IF(OR(Tabelle1[[#This Row],[Nicht einbezogen weil…]]="",Tabelle1[[#This Row],[Nicht einbezogen weil…]]="nicht-natürlich"),IF(Tabelle1[[#This Row],[Formfaktor]]=2, 1,IF(Tabelle1[[#This Row],[Formfaktor]]=4,2,IF(Tabelle1[[#This Row],[Formfaktor]]=6,3,""))),"")</f>
        <v/>
      </c>
      <c r="AH36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6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62" s="71">
        <v>1</v>
      </c>
      <c r="AK36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62" s="3" t="s">
        <v>699</v>
      </c>
      <c r="AM362" s="8" t="s">
        <v>385</v>
      </c>
      <c r="AO362" s="3" t="s">
        <v>235</v>
      </c>
      <c r="AP362" s="3" t="s">
        <v>235</v>
      </c>
      <c r="AR362" s="2" t="s">
        <v>300</v>
      </c>
      <c r="AT362" s="10" t="s">
        <v>223</v>
      </c>
      <c r="AU362" s="13" t="s">
        <v>200</v>
      </c>
      <c r="AW362" s="10" t="s">
        <v>814</v>
      </c>
    </row>
    <row r="363" spans="1:49" ht="17.25" customHeight="1">
      <c r="B363" s="7" t="s">
        <v>798</v>
      </c>
      <c r="C363" s="3" t="s">
        <v>114</v>
      </c>
      <c r="D363" s="3" t="s">
        <v>200</v>
      </c>
      <c r="E363" s="10" t="s">
        <v>1127</v>
      </c>
      <c r="F363" s="3" t="s">
        <v>198</v>
      </c>
      <c r="G363" s="3">
        <v>0.1</v>
      </c>
      <c r="H363" s="3" t="s">
        <v>341</v>
      </c>
      <c r="I363" s="77">
        <v>1.26</v>
      </c>
      <c r="M363" s="3" t="s">
        <v>301</v>
      </c>
      <c r="N363" s="3" t="s">
        <v>121</v>
      </c>
      <c r="O363" s="3" t="s">
        <v>23</v>
      </c>
      <c r="P36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63" s="4">
        <v>25</v>
      </c>
      <c r="U363" s="4" t="s">
        <v>12</v>
      </c>
      <c r="W363" s="3" t="s">
        <v>506</v>
      </c>
      <c r="Y363" s="4">
        <v>78</v>
      </c>
      <c r="Z363" s="4">
        <v>28</v>
      </c>
      <c r="AA363" s="5">
        <f>Tabelle1[[#This Row],[biologische
Abbaubarkeit '[%']]]/Z363</f>
        <v>2.7857142857142856</v>
      </c>
      <c r="AB363" s="5"/>
      <c r="AC36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63" s="97" t="str">
        <f>IF(Tabelle1[[#This Row],[Nicht einbezogen weil…]]="",IFERROR(1000*Tabelle1[[#This Row],[Formfaktor]]/Tabelle1[[#This Row],[Thickness '[mm']]],""),"")</f>
        <v/>
      </c>
      <c r="AE363" s="98" t="str">
        <f>IF(Tabelle1[[#This Row],[Nicht einbezogen weil…]]="",IFERROR(Tabelle1[[#This Row],[specific surface '[m^2/m^3']]]/Tabelle1[[#This Row],[Density 
'[g/cm3']]]/1000000,""),"")</f>
        <v/>
      </c>
      <c r="AF363" s="97" t="str">
        <f>IF(Tabelle1[[#This Row],[Nicht einbezogen weil…]]="",IFERROR(365*10*Tabelle1[[#This Row],[Abbaurate '[%/d']]]*Tabelle1[[#This Row],[Thickness '[mm']]]/Tabelle1[[#This Row],[Formfaktor]],""),"")</f>
        <v/>
      </c>
      <c r="AG363" s="99" t="str">
        <f>IF(OR(Tabelle1[[#This Row],[Nicht einbezogen weil…]]="",Tabelle1[[#This Row],[Nicht einbezogen weil…]]="nicht-natürlich"),IF(Tabelle1[[#This Row],[Formfaktor]]=2, 1,IF(Tabelle1[[#This Row],[Formfaktor]]=4,2,IF(Tabelle1[[#This Row],[Formfaktor]]=6,3,""))),"")</f>
        <v/>
      </c>
      <c r="AH36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6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63" s="71">
        <v>1</v>
      </c>
      <c r="AK36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63" s="3" t="s">
        <v>699</v>
      </c>
      <c r="AM363" s="8" t="s">
        <v>385</v>
      </c>
      <c r="AO363" s="3" t="s">
        <v>235</v>
      </c>
      <c r="AP363" s="3" t="s">
        <v>235</v>
      </c>
      <c r="AR363" s="2" t="s">
        <v>300</v>
      </c>
      <c r="AT363" s="10" t="s">
        <v>223</v>
      </c>
      <c r="AU363" s="13" t="s">
        <v>200</v>
      </c>
      <c r="AW363" s="10" t="s">
        <v>814</v>
      </c>
    </row>
    <row r="364" spans="1:49" ht="17.25" customHeight="1">
      <c r="B364" s="7" t="s">
        <v>798</v>
      </c>
      <c r="C364" s="3" t="s">
        <v>21</v>
      </c>
      <c r="D364" s="3" t="s">
        <v>200</v>
      </c>
      <c r="E364" s="10" t="s">
        <v>1127</v>
      </c>
      <c r="F364" s="3" t="s">
        <v>198</v>
      </c>
      <c r="G364" s="3" t="s">
        <v>341</v>
      </c>
      <c r="H364" s="3" t="s">
        <v>341</v>
      </c>
      <c r="I364" s="77">
        <v>1.26</v>
      </c>
      <c r="J364" s="3" t="s">
        <v>557</v>
      </c>
      <c r="L364" s="3" t="s">
        <v>555</v>
      </c>
      <c r="M364" s="3" t="s">
        <v>223</v>
      </c>
      <c r="N364" s="3" t="s">
        <v>162</v>
      </c>
      <c r="O364" s="3" t="s">
        <v>358</v>
      </c>
      <c r="P36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364" s="3" t="s">
        <v>13</v>
      </c>
      <c r="Y364" s="4">
        <v>31.5</v>
      </c>
      <c r="Z364" s="4">
        <v>180</v>
      </c>
      <c r="AA364" s="5">
        <f t="shared" ref="AA364:AA386" si="23">Y364/Z364</f>
        <v>0.17499999999999999</v>
      </c>
      <c r="AB364" s="5"/>
      <c r="AC36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64" s="97" t="str">
        <f>IF(Tabelle1[[#This Row],[Nicht einbezogen weil…]]="",IFERROR(1000*Tabelle1[[#This Row],[Formfaktor]]/Tabelle1[[#This Row],[Thickness '[mm']]],""),"")</f>
        <v/>
      </c>
      <c r="AE364" s="98" t="str">
        <f>IF(Tabelle1[[#This Row],[Nicht einbezogen weil…]]="",IFERROR(Tabelle1[[#This Row],[specific surface '[m^2/m^3']]]/Tabelle1[[#This Row],[Density 
'[g/cm3']]]/1000000,""),"")</f>
        <v/>
      </c>
      <c r="AF364" s="97" t="str">
        <f>IF(Tabelle1[[#This Row],[Nicht einbezogen weil…]]="",IFERROR(365*10*Tabelle1[[#This Row],[Abbaurate '[%/d']]]*Tabelle1[[#This Row],[Thickness '[mm']]]/Tabelle1[[#This Row],[Formfaktor]],""),"")</f>
        <v/>
      </c>
      <c r="AG364" s="99" t="str">
        <f>IF(OR(Tabelle1[[#This Row],[Nicht einbezogen weil…]]="",Tabelle1[[#This Row],[Nicht einbezogen weil…]]="nicht-natürlich"),IF(Tabelle1[[#This Row],[Formfaktor]]=2, 1,IF(Tabelle1[[#This Row],[Formfaktor]]=4,2,IF(Tabelle1[[#This Row],[Formfaktor]]=6,3,""))),"")</f>
        <v/>
      </c>
      <c r="AH36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6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64" s="71">
        <v>1</v>
      </c>
      <c r="AK36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64" s="3" t="s">
        <v>141</v>
      </c>
      <c r="AM364" s="3" t="s">
        <v>962</v>
      </c>
      <c r="AO364" s="3" t="s">
        <v>200</v>
      </c>
      <c r="AP364" s="3" t="s">
        <v>200</v>
      </c>
      <c r="AT364" s="10" t="s">
        <v>223</v>
      </c>
      <c r="AU364" s="13" t="s">
        <v>200</v>
      </c>
      <c r="AW364" s="10" t="s">
        <v>814</v>
      </c>
    </row>
    <row r="365" spans="1:49" ht="17.25" customHeight="1">
      <c r="B365" s="7" t="s">
        <v>2</v>
      </c>
      <c r="C365" s="3" t="s">
        <v>2</v>
      </c>
      <c r="D365" s="3" t="s">
        <v>200</v>
      </c>
      <c r="E365" s="10" t="s">
        <v>205</v>
      </c>
      <c r="F365" s="3" t="s">
        <v>288</v>
      </c>
      <c r="G365" s="3">
        <v>0.02</v>
      </c>
      <c r="H365" s="3">
        <f>0.02*0.02</f>
        <v>4.0000000000000002E-4</v>
      </c>
      <c r="I365" s="3" t="s">
        <v>341</v>
      </c>
      <c r="J365" s="3" t="s">
        <v>510</v>
      </c>
      <c r="L365" s="3" t="s">
        <v>199</v>
      </c>
      <c r="M365" s="3" t="s">
        <v>223</v>
      </c>
      <c r="N365" s="3" t="s">
        <v>515</v>
      </c>
      <c r="O365" s="3" t="s">
        <v>294</v>
      </c>
      <c r="P36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65" s="4">
        <v>30</v>
      </c>
      <c r="U365" s="4" t="s">
        <v>12</v>
      </c>
      <c r="W365" s="3" t="s">
        <v>506</v>
      </c>
      <c r="Y365" s="4">
        <v>3.7</v>
      </c>
      <c r="Z365" s="4">
        <v>28</v>
      </c>
      <c r="AA365" s="5">
        <f t="shared" si="23"/>
        <v>0.13214285714285715</v>
      </c>
      <c r="AB365" s="5"/>
      <c r="AC36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65" s="97" t="str">
        <f>IF(Tabelle1[[#This Row],[Nicht einbezogen weil…]]="",IFERROR(1000*Tabelle1[[#This Row],[Formfaktor]]/Tabelle1[[#This Row],[Thickness '[mm']]],""),"")</f>
        <v/>
      </c>
      <c r="AE365" s="98" t="str">
        <f>IF(Tabelle1[[#This Row],[Nicht einbezogen weil…]]="",IFERROR(Tabelle1[[#This Row],[specific surface '[m^2/m^3']]]/Tabelle1[[#This Row],[Density 
'[g/cm3']]]/1000000,""),"")</f>
        <v/>
      </c>
      <c r="AF365" s="97" t="str">
        <f>IF(Tabelle1[[#This Row],[Nicht einbezogen weil…]]="",IFERROR(365*10*Tabelle1[[#This Row],[Abbaurate '[%/d']]]*Tabelle1[[#This Row],[Thickness '[mm']]]/Tabelle1[[#This Row],[Formfaktor]],""),"")</f>
        <v/>
      </c>
      <c r="AG365" s="99" t="str">
        <f>IF(OR(Tabelle1[[#This Row],[Nicht einbezogen weil…]]="",Tabelle1[[#This Row],[Nicht einbezogen weil…]]="nicht-natürlich"),IF(Tabelle1[[#This Row],[Formfaktor]]=2, 1,IF(Tabelle1[[#This Row],[Formfaktor]]=4,2,IF(Tabelle1[[#This Row],[Formfaktor]]=6,3,""))),"")</f>
        <v/>
      </c>
      <c r="AH36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6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65" s="71">
        <v>1</v>
      </c>
      <c r="AK36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65" s="3" t="s">
        <v>138</v>
      </c>
      <c r="AM365" s="3" t="s">
        <v>196</v>
      </c>
      <c r="AO365" s="3" t="s">
        <v>235</v>
      </c>
      <c r="AP365" s="3" t="s">
        <v>235</v>
      </c>
      <c r="AT365" s="319" t="s">
        <v>223</v>
      </c>
      <c r="AU365" s="320" t="s">
        <v>200</v>
      </c>
      <c r="AV365" s="319"/>
    </row>
    <row r="366" spans="1:49" ht="17.25" customHeight="1">
      <c r="A366" s="10" t="s">
        <v>223</v>
      </c>
      <c r="B366" s="109" t="s">
        <v>1077</v>
      </c>
      <c r="C366" s="3" t="s">
        <v>1188</v>
      </c>
      <c r="D366" s="3" t="s">
        <v>223</v>
      </c>
      <c r="F366" s="3" t="s">
        <v>996</v>
      </c>
      <c r="G366" s="3">
        <v>2.5000000000000001E-2</v>
      </c>
      <c r="J366" s="3" t="s">
        <v>1189</v>
      </c>
      <c r="K366" s="8" t="s">
        <v>1379</v>
      </c>
      <c r="N366" s="3" t="s">
        <v>1385</v>
      </c>
      <c r="O366" s="3" t="s">
        <v>23</v>
      </c>
      <c r="P36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66" s="4" t="s">
        <v>1373</v>
      </c>
      <c r="R366" s="4" t="s">
        <v>1372</v>
      </c>
      <c r="V366" s="4" t="s">
        <v>734</v>
      </c>
      <c r="W366" s="12" t="s">
        <v>190</v>
      </c>
      <c r="Y366" s="4">
        <v>18</v>
      </c>
      <c r="Z366" s="4">
        <v>180</v>
      </c>
      <c r="AA366" s="5">
        <f t="shared" si="23"/>
        <v>0.1</v>
      </c>
      <c r="AB366" s="5"/>
      <c r="AC36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66" s="5">
        <f>IF(Tabelle1[[#This Row],[Nicht einbezogen weil…]]="",IFERROR(1000*Tabelle1[[#This Row],[Formfaktor]]/Tabelle1[[#This Row],[Thickness '[mm']]],""),"")</f>
        <v>80000</v>
      </c>
      <c r="AE366" s="5" t="str">
        <f>IF(Tabelle1[[#This Row],[Nicht einbezogen weil…]]="",IFERROR(Tabelle1[[#This Row],[specific surface '[m^2/m^3']]]/Tabelle1[[#This Row],[Density 
'[g/cm3']]]/1000000,""),"")</f>
        <v/>
      </c>
      <c r="AF366" s="5">
        <f>IF(Tabelle1[[#This Row],[Nicht einbezogen weil…]]="",IFERROR(365*10*Tabelle1[[#This Row],[Abbaurate '[%/d']]]*Tabelle1[[#This Row],[Thickness '[mm']]]/Tabelle1[[#This Row],[Formfaktor]],""),"")</f>
        <v>4.5625</v>
      </c>
      <c r="AG366" s="328">
        <f>IF(OR(Tabelle1[[#This Row],[Nicht einbezogen weil…]]="",Tabelle1[[#This Row],[Nicht einbezogen weil…]]="nicht-natürlich"),IF(Tabelle1[[#This Row],[Formfaktor]]=2, 1,IF(Tabelle1[[#This Row],[Formfaktor]]=4,2,IF(Tabelle1[[#This Row],[Formfaktor]]=6,3,""))),"")</f>
        <v>1</v>
      </c>
      <c r="AH366" s="5">
        <f>IF(OR(Tabelle1[[#This Row],[Nicht einbezogen weil…]]="",Tabelle1[[#This Row],[Nicht einbezogen weil…]]="nicht-natürlich"),IFERROR(Tabelle1[[#This Row],[Thickness '[mm']]]/Tabelle1[[#This Row],[Dauer des Abbaus
'[Tage']]]*1000*0.5*365*(1-(1-Tabelle1[[#This Row],[Abbaurate '[%/d']]]/100*Tabelle1[[#This Row],[Dauer des Abbaus
'[Tage']]])^(1/Tabelle1[[#This Row],[Exponent]])),""),"")</f>
        <v>4.5624999999999991</v>
      </c>
      <c r="AI36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PBSeT_Meerwasser_nicht natürlich</v>
      </c>
      <c r="AJ366" s="6">
        <v>1</v>
      </c>
      <c r="AK36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66" s="3" t="s">
        <v>1366</v>
      </c>
      <c r="AU366" s="13"/>
    </row>
    <row r="367" spans="1:49" ht="17.25" customHeight="1">
      <c r="B367" s="11" t="s">
        <v>19</v>
      </c>
      <c r="C367" s="3" t="s">
        <v>642</v>
      </c>
      <c r="D367" s="3" t="s">
        <v>223</v>
      </c>
      <c r="E367" s="10"/>
      <c r="F367" s="74" t="s">
        <v>341</v>
      </c>
      <c r="G367" s="74" t="s">
        <v>341</v>
      </c>
      <c r="H367" s="74" t="s">
        <v>341</v>
      </c>
      <c r="I367" s="24">
        <v>1.24</v>
      </c>
      <c r="M367" s="3" t="s">
        <v>223</v>
      </c>
      <c r="N367" s="3" t="s">
        <v>655</v>
      </c>
      <c r="O367" s="3" t="s">
        <v>358</v>
      </c>
      <c r="P36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67" s="4">
        <v>30</v>
      </c>
      <c r="U367" s="4" t="s">
        <v>12</v>
      </c>
      <c r="W367" s="3" t="s">
        <v>190</v>
      </c>
      <c r="Y367" s="4">
        <v>53.47</v>
      </c>
      <c r="Z367" s="4">
        <v>14</v>
      </c>
      <c r="AA367" s="5">
        <f t="shared" si="23"/>
        <v>3.8192857142857144</v>
      </c>
      <c r="AB367" s="5"/>
      <c r="AC367"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367" s="97" t="str">
        <f>IF(Tabelle1[[#This Row],[Nicht einbezogen weil…]]="",IFERROR(1000*Tabelle1[[#This Row],[Formfaktor]]/Tabelle1[[#This Row],[Thickness '[mm']]],""),"")</f>
        <v/>
      </c>
      <c r="AE367" s="98" t="str">
        <f>IF(Tabelle1[[#This Row],[Nicht einbezogen weil…]]="",IFERROR(Tabelle1[[#This Row],[specific surface '[m^2/m^3']]]/Tabelle1[[#This Row],[Density 
'[g/cm3']]]/1000000,""),"")</f>
        <v/>
      </c>
      <c r="AF367" s="97" t="str">
        <f>IF(Tabelle1[[#This Row],[Nicht einbezogen weil…]]="",IFERROR(365*10*Tabelle1[[#This Row],[Abbaurate '[%/d']]]*Tabelle1[[#This Row],[Thickness '[mm']]]/Tabelle1[[#This Row],[Formfaktor]],""),"")</f>
        <v/>
      </c>
      <c r="AG367" s="99" t="str">
        <f>IF(OR(Tabelle1[[#This Row],[Nicht einbezogen weil…]]="",Tabelle1[[#This Row],[Nicht einbezogen weil…]]="nicht-natürlich"),IF(Tabelle1[[#This Row],[Formfaktor]]=2, 1,IF(Tabelle1[[#This Row],[Formfaktor]]=4,2,IF(Tabelle1[[#This Row],[Formfaktor]]=6,3,""))),"")</f>
        <v/>
      </c>
      <c r="AH36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6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67" s="71">
        <v>1</v>
      </c>
      <c r="AK36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367" s="3" t="s">
        <v>386</v>
      </c>
      <c r="AM367" s="3" t="s">
        <v>962</v>
      </c>
      <c r="AN367" s="3" t="s">
        <v>538</v>
      </c>
      <c r="AO367" s="3" t="s">
        <v>200</v>
      </c>
      <c r="AP367" s="3" t="s">
        <v>200</v>
      </c>
      <c r="AT367" s="10" t="s">
        <v>223</v>
      </c>
      <c r="AU367" s="13" t="s">
        <v>200</v>
      </c>
      <c r="AW367" s="10" t="s">
        <v>813</v>
      </c>
    </row>
    <row r="368" spans="1:49" ht="17.25" customHeight="1">
      <c r="B368" s="7" t="s">
        <v>19</v>
      </c>
      <c r="C368" s="3" t="s">
        <v>19</v>
      </c>
      <c r="D368" s="3" t="s">
        <v>223</v>
      </c>
      <c r="E368" s="10"/>
      <c r="F368" s="3" t="s">
        <v>198</v>
      </c>
      <c r="G368" s="3" t="s">
        <v>341</v>
      </c>
      <c r="H368" s="3" t="s">
        <v>341</v>
      </c>
      <c r="I368" s="24">
        <v>1.24</v>
      </c>
      <c r="M368" s="3" t="s">
        <v>200</v>
      </c>
      <c r="N368" s="3" t="s">
        <v>95</v>
      </c>
      <c r="O368" s="3" t="s">
        <v>256</v>
      </c>
      <c r="P36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68" s="4" t="s">
        <v>81</v>
      </c>
      <c r="R368" s="4">
        <v>8.1999999999999993</v>
      </c>
      <c r="U368" s="4" t="s">
        <v>12</v>
      </c>
      <c r="W368" s="3" t="s">
        <v>13</v>
      </c>
      <c r="Y368" s="4">
        <v>60</v>
      </c>
      <c r="Z368" s="4">
        <v>42</v>
      </c>
      <c r="AA368" s="5">
        <f t="shared" si="23"/>
        <v>1.4285714285714286</v>
      </c>
      <c r="AB368" s="5"/>
      <c r="AC36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68" s="97" t="str">
        <f>IF(Tabelle1[[#This Row],[Nicht einbezogen weil…]]="",IFERROR(1000*Tabelle1[[#This Row],[Formfaktor]]/Tabelle1[[#This Row],[Thickness '[mm']]],""),"")</f>
        <v/>
      </c>
      <c r="AE368" s="98" t="str">
        <f>IF(Tabelle1[[#This Row],[Nicht einbezogen weil…]]="",IFERROR(Tabelle1[[#This Row],[specific surface '[m^2/m^3']]]/Tabelle1[[#This Row],[Density 
'[g/cm3']]]/1000000,""),"")</f>
        <v/>
      </c>
      <c r="AF368" s="97" t="str">
        <f>IF(Tabelle1[[#This Row],[Nicht einbezogen weil…]]="",IFERROR(365*10*Tabelle1[[#This Row],[Abbaurate '[%/d']]]*Tabelle1[[#This Row],[Thickness '[mm']]]/Tabelle1[[#This Row],[Formfaktor]],""),"")</f>
        <v/>
      </c>
      <c r="AG368" s="99" t="str">
        <f>IF(OR(Tabelle1[[#This Row],[Nicht einbezogen weil…]]="",Tabelle1[[#This Row],[Nicht einbezogen weil…]]="nicht-natürlich"),IF(Tabelle1[[#This Row],[Formfaktor]]=2, 1,IF(Tabelle1[[#This Row],[Formfaktor]]=4,2,IF(Tabelle1[[#This Row],[Formfaktor]]=6,3,""))),"")</f>
        <v/>
      </c>
      <c r="AH36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6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68" s="71">
        <v>1</v>
      </c>
      <c r="AK36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68" s="3" t="s">
        <v>85</v>
      </c>
      <c r="AO368" s="3" t="s">
        <v>200</v>
      </c>
      <c r="AP368" s="3" t="s">
        <v>200</v>
      </c>
      <c r="AT368" s="10" t="s">
        <v>223</v>
      </c>
      <c r="AU368" s="13" t="s">
        <v>200</v>
      </c>
      <c r="AW368" s="10" t="s">
        <v>813</v>
      </c>
    </row>
    <row r="369" spans="1:49" ht="17.25" customHeight="1">
      <c r="B369" s="7" t="s">
        <v>19</v>
      </c>
      <c r="C369" s="3" t="s">
        <v>711</v>
      </c>
      <c r="D369" s="3" t="s">
        <v>223</v>
      </c>
      <c r="E369" s="10"/>
      <c r="F369" s="3" t="s">
        <v>198</v>
      </c>
      <c r="G369" s="17">
        <f>AVERAGE(0.001,0.08)</f>
        <v>4.0500000000000001E-2</v>
      </c>
      <c r="H369" s="3" t="s">
        <v>341</v>
      </c>
      <c r="I369" s="3">
        <v>1.24</v>
      </c>
      <c r="K369" s="8" t="s">
        <v>229</v>
      </c>
      <c r="M369" s="3" t="s">
        <v>223</v>
      </c>
      <c r="N369" s="3" t="s">
        <v>3</v>
      </c>
      <c r="O369" s="3" t="s">
        <v>358</v>
      </c>
      <c r="P36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69" s="4">
        <v>58</v>
      </c>
      <c r="R369" s="21">
        <v>8.1999999999999993</v>
      </c>
      <c r="S369" s="21"/>
      <c r="T369" s="21"/>
      <c r="U369" s="21" t="s">
        <v>12</v>
      </c>
      <c r="W369" s="3" t="s">
        <v>90</v>
      </c>
      <c r="Y369" s="4">
        <v>89.3</v>
      </c>
      <c r="Z369" s="4">
        <v>110</v>
      </c>
      <c r="AA369" s="5">
        <f t="shared" si="23"/>
        <v>0.81181818181818177</v>
      </c>
      <c r="AB369" s="5"/>
      <c r="AC36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69" s="97" t="str">
        <f>IF(Tabelle1[[#This Row],[Nicht einbezogen weil…]]="",IFERROR(1000*Tabelle1[[#This Row],[Formfaktor]]/Tabelle1[[#This Row],[Thickness '[mm']]],""),"")</f>
        <v/>
      </c>
      <c r="AE369" s="98" t="str">
        <f>IF(Tabelle1[[#This Row],[Nicht einbezogen weil…]]="",IFERROR(Tabelle1[[#This Row],[specific surface '[m^2/m^3']]]/Tabelle1[[#This Row],[Density 
'[g/cm3']]]/1000000,""),"")</f>
        <v/>
      </c>
      <c r="AF369" s="97" t="str">
        <f>IF(Tabelle1[[#This Row],[Nicht einbezogen weil…]]="",IFERROR(365*10*Tabelle1[[#This Row],[Abbaurate '[%/d']]]*Tabelle1[[#This Row],[Thickness '[mm']]]/Tabelle1[[#This Row],[Formfaktor]],""),"")</f>
        <v/>
      </c>
      <c r="AG369" s="99">
        <f>IF(OR(Tabelle1[[#This Row],[Nicht einbezogen weil…]]="",Tabelle1[[#This Row],[Nicht einbezogen weil…]]="nicht-natürlich"),IF(Tabelle1[[#This Row],[Formfaktor]]=2, 1,IF(Tabelle1[[#This Row],[Formfaktor]]=4,2,IF(Tabelle1[[#This Row],[Formfaktor]]=6,3,""))),"")</f>
        <v>1</v>
      </c>
      <c r="AH369" s="97">
        <f>IF(OR(Tabelle1[[#This Row],[Nicht einbezogen weil…]]="",Tabelle1[[#This Row],[Nicht einbezogen weil…]]="nicht-natürlich"),IFERROR(Tabelle1[[#This Row],[Thickness '[mm']]]/Tabelle1[[#This Row],[Dauer des Abbaus
'[Tage']]]*1000*0.5*365*(1-(1-Tabelle1[[#This Row],[Abbaurate '[%/d']]]/100*Tabelle1[[#This Row],[Dauer des Abbaus
'[Tage']]])^(1/Tabelle1[[#This Row],[Exponent]])),""),"")</f>
        <v>60.003511363636356</v>
      </c>
      <c r="AI36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PHBV_Boden/Kompost_nicht natürlich</v>
      </c>
      <c r="AJ369" s="71">
        <v>1</v>
      </c>
      <c r="AK36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69" s="3" t="s">
        <v>597</v>
      </c>
      <c r="AM369" s="3" t="s">
        <v>196</v>
      </c>
      <c r="AN369" s="3" t="s">
        <v>538</v>
      </c>
      <c r="AO369" s="3" t="s">
        <v>235</v>
      </c>
      <c r="AP369" s="3" t="s">
        <v>200</v>
      </c>
      <c r="AT369" s="10" t="s">
        <v>223</v>
      </c>
      <c r="AU369" s="13" t="s">
        <v>200</v>
      </c>
      <c r="AV369" s="14"/>
      <c r="AW369" s="10" t="s">
        <v>818</v>
      </c>
    </row>
    <row r="370" spans="1:49" ht="17.25" customHeight="1">
      <c r="B370" s="7" t="s">
        <v>19</v>
      </c>
      <c r="C370" s="3" t="s">
        <v>712</v>
      </c>
      <c r="D370" s="3" t="s">
        <v>223</v>
      </c>
      <c r="E370" s="10"/>
      <c r="F370" s="3" t="s">
        <v>198</v>
      </c>
      <c r="G370" s="17">
        <f>AVERAGE(0.001,0.08)</f>
        <v>4.0500000000000001E-2</v>
      </c>
      <c r="H370" s="3" t="s">
        <v>341</v>
      </c>
      <c r="I370" s="3">
        <v>1.24</v>
      </c>
      <c r="K370" s="8" t="s">
        <v>229</v>
      </c>
      <c r="M370" s="3" t="s">
        <v>223</v>
      </c>
      <c r="N370" s="3" t="s">
        <v>3</v>
      </c>
      <c r="O370" s="3" t="s">
        <v>358</v>
      </c>
      <c r="P37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0" s="4">
        <v>58</v>
      </c>
      <c r="R370" s="21">
        <v>8.1999999999999993</v>
      </c>
      <c r="S370" s="21"/>
      <c r="T370" s="21"/>
      <c r="U370" s="21" t="s">
        <v>12</v>
      </c>
      <c r="W370" s="3" t="s">
        <v>90</v>
      </c>
      <c r="Y370" s="4">
        <v>90.5</v>
      </c>
      <c r="Z370" s="4">
        <v>110</v>
      </c>
      <c r="AA370" s="5">
        <f t="shared" si="23"/>
        <v>0.82272727272727275</v>
      </c>
      <c r="AB370" s="5"/>
      <c r="AC37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70" s="97" t="str">
        <f>IF(Tabelle1[[#This Row],[Nicht einbezogen weil…]]="",IFERROR(1000*Tabelle1[[#This Row],[Formfaktor]]/Tabelle1[[#This Row],[Thickness '[mm']]],""),"")</f>
        <v/>
      </c>
      <c r="AE370" s="98" t="str">
        <f>IF(Tabelle1[[#This Row],[Nicht einbezogen weil…]]="",IFERROR(Tabelle1[[#This Row],[specific surface '[m^2/m^3']]]/Tabelle1[[#This Row],[Density 
'[g/cm3']]]/1000000,""),"")</f>
        <v/>
      </c>
      <c r="AF370" s="97" t="str">
        <f>IF(Tabelle1[[#This Row],[Nicht einbezogen weil…]]="",IFERROR(365*10*Tabelle1[[#This Row],[Abbaurate '[%/d']]]*Tabelle1[[#This Row],[Thickness '[mm']]]/Tabelle1[[#This Row],[Formfaktor]],""),"")</f>
        <v/>
      </c>
      <c r="AG370" s="99">
        <f>IF(OR(Tabelle1[[#This Row],[Nicht einbezogen weil…]]="",Tabelle1[[#This Row],[Nicht einbezogen weil…]]="nicht-natürlich"),IF(Tabelle1[[#This Row],[Formfaktor]]=2, 1,IF(Tabelle1[[#This Row],[Formfaktor]]=4,2,IF(Tabelle1[[#This Row],[Formfaktor]]=6,3,""))),"")</f>
        <v>1</v>
      </c>
      <c r="AH370" s="97">
        <f>IF(OR(Tabelle1[[#This Row],[Nicht einbezogen weil…]]="",Tabelle1[[#This Row],[Nicht einbezogen weil…]]="nicht-natürlich"),IFERROR(Tabelle1[[#This Row],[Thickness '[mm']]]/Tabelle1[[#This Row],[Dauer des Abbaus
'[Tage']]]*1000*0.5*365*(1-(1-Tabelle1[[#This Row],[Abbaurate '[%/d']]]/100*Tabelle1[[#This Row],[Dauer des Abbaus
'[Tage']]])^(1/Tabelle1[[#This Row],[Exponent]])),""),"")</f>
        <v>60.809829545454541</v>
      </c>
      <c r="AI37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PHBV_Boden/Kompost_nicht natürlich</v>
      </c>
      <c r="AJ370" s="71">
        <v>1</v>
      </c>
      <c r="AK37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70" s="3" t="s">
        <v>597</v>
      </c>
      <c r="AM370" s="3" t="s">
        <v>196</v>
      </c>
      <c r="AN370" s="3" t="s">
        <v>538</v>
      </c>
      <c r="AO370" s="3" t="s">
        <v>235</v>
      </c>
      <c r="AP370" s="3" t="s">
        <v>200</v>
      </c>
      <c r="AT370" s="10" t="s">
        <v>223</v>
      </c>
      <c r="AU370" s="13" t="s">
        <v>200</v>
      </c>
      <c r="AV370" s="14"/>
      <c r="AW370" s="10" t="s">
        <v>818</v>
      </c>
    </row>
    <row r="371" spans="1:49" ht="17.25" customHeight="1">
      <c r="B371" s="7" t="s">
        <v>19</v>
      </c>
      <c r="C371" s="3" t="s">
        <v>19</v>
      </c>
      <c r="D371" s="3" t="s">
        <v>223</v>
      </c>
      <c r="E371" s="10"/>
      <c r="F371" s="3" t="s">
        <v>331</v>
      </c>
      <c r="G371" s="3" t="s">
        <v>341</v>
      </c>
      <c r="H371" s="3" t="s">
        <v>341</v>
      </c>
      <c r="I371" s="24">
        <v>1.24</v>
      </c>
      <c r="J371" s="3" t="s">
        <v>495</v>
      </c>
      <c r="K371" s="8" t="s">
        <v>494</v>
      </c>
      <c r="M371" s="3" t="s">
        <v>200</v>
      </c>
      <c r="N371" s="3" t="s">
        <v>109</v>
      </c>
      <c r="O371" s="3" t="s">
        <v>23</v>
      </c>
      <c r="P37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1" s="4" t="s">
        <v>107</v>
      </c>
      <c r="R371" s="4" t="s">
        <v>108</v>
      </c>
      <c r="U371" s="4" t="s">
        <v>12</v>
      </c>
      <c r="W371" s="3" t="s">
        <v>13</v>
      </c>
      <c r="Y371" s="4">
        <v>8</v>
      </c>
      <c r="Z371" s="4">
        <v>365</v>
      </c>
      <c r="AA371" s="5">
        <f t="shared" si="23"/>
        <v>2.1917808219178082E-2</v>
      </c>
      <c r="AB371" s="5"/>
      <c r="AC37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371" s="97" t="str">
        <f>IF(Tabelle1[[#This Row],[Nicht einbezogen weil…]]="",IFERROR(1000*Tabelle1[[#This Row],[Formfaktor]]/Tabelle1[[#This Row],[Thickness '[mm']]],""),"")</f>
        <v/>
      </c>
      <c r="AE371" s="98" t="str">
        <f>IF(Tabelle1[[#This Row],[Nicht einbezogen weil…]]="",IFERROR(Tabelle1[[#This Row],[specific surface '[m^2/m^3']]]/Tabelle1[[#This Row],[Density 
'[g/cm3']]]/1000000,""),"")</f>
        <v/>
      </c>
      <c r="AF371" s="97" t="str">
        <f>IF(Tabelle1[[#This Row],[Nicht einbezogen weil…]]="",IFERROR(365*10*Tabelle1[[#This Row],[Abbaurate '[%/d']]]*Tabelle1[[#This Row],[Thickness '[mm']]]/Tabelle1[[#This Row],[Formfaktor]],""),"")</f>
        <v/>
      </c>
      <c r="AG371" s="99" t="str">
        <f>IF(OR(Tabelle1[[#This Row],[Nicht einbezogen weil…]]="",Tabelle1[[#This Row],[Nicht einbezogen weil…]]="nicht-natürlich"),IF(Tabelle1[[#This Row],[Formfaktor]]=2, 1,IF(Tabelle1[[#This Row],[Formfaktor]]=4,2,IF(Tabelle1[[#This Row],[Formfaktor]]=6,3,""))),"")</f>
        <v/>
      </c>
      <c r="AH37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7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71" s="71">
        <v>1</v>
      </c>
      <c r="AK37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71" s="3" t="s">
        <v>111</v>
      </c>
      <c r="AO371" s="3" t="s">
        <v>235</v>
      </c>
      <c r="AP371" s="3" t="s">
        <v>235</v>
      </c>
      <c r="AT371" s="10" t="s">
        <v>223</v>
      </c>
      <c r="AU371" s="13" t="s">
        <v>200</v>
      </c>
      <c r="AW371" s="10" t="s">
        <v>813</v>
      </c>
    </row>
    <row r="372" spans="1:49" ht="17.25" customHeight="1">
      <c r="B372" s="7" t="s">
        <v>19</v>
      </c>
      <c r="C372" s="3" t="s">
        <v>19</v>
      </c>
      <c r="D372" s="3" t="s">
        <v>223</v>
      </c>
      <c r="E372" s="10"/>
      <c r="F372" s="3" t="s">
        <v>331</v>
      </c>
      <c r="G372" s="3" t="s">
        <v>341</v>
      </c>
      <c r="H372" s="3" t="s">
        <v>341</v>
      </c>
      <c r="I372" s="24">
        <v>1.24</v>
      </c>
      <c r="J372" s="3" t="s">
        <v>495</v>
      </c>
      <c r="K372" s="8" t="s">
        <v>494</v>
      </c>
      <c r="M372" s="3" t="s">
        <v>200</v>
      </c>
      <c r="N372" s="3" t="s">
        <v>110</v>
      </c>
      <c r="O372" s="3" t="s">
        <v>23</v>
      </c>
      <c r="P37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2" s="4">
        <v>4</v>
      </c>
      <c r="R372" s="4" t="s">
        <v>108</v>
      </c>
      <c r="U372" s="4" t="s">
        <v>12</v>
      </c>
      <c r="W372" s="3" t="s">
        <v>13</v>
      </c>
      <c r="Y372" s="4">
        <v>0</v>
      </c>
      <c r="Z372" s="4">
        <v>365</v>
      </c>
      <c r="AA372" s="5">
        <f t="shared" si="23"/>
        <v>0</v>
      </c>
      <c r="AB372" s="5"/>
      <c r="AC37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372" s="97" t="str">
        <f>IF(Tabelle1[[#This Row],[Nicht einbezogen weil…]]="",IFERROR(1000*Tabelle1[[#This Row],[Formfaktor]]/Tabelle1[[#This Row],[Thickness '[mm']]],""),"")</f>
        <v/>
      </c>
      <c r="AE372" s="98" t="str">
        <f>IF(Tabelle1[[#This Row],[Nicht einbezogen weil…]]="",IFERROR(Tabelle1[[#This Row],[specific surface '[m^2/m^3']]]/Tabelle1[[#This Row],[Density 
'[g/cm3']]]/1000000,""),"")</f>
        <v/>
      </c>
      <c r="AF372" s="97" t="str">
        <f>IF(Tabelle1[[#This Row],[Nicht einbezogen weil…]]="",IFERROR(365*10*Tabelle1[[#This Row],[Abbaurate '[%/d']]]*Tabelle1[[#This Row],[Thickness '[mm']]]/Tabelle1[[#This Row],[Formfaktor]],""),"")</f>
        <v/>
      </c>
      <c r="AG372" s="99" t="str">
        <f>IF(OR(Tabelle1[[#This Row],[Nicht einbezogen weil…]]="",Tabelle1[[#This Row],[Nicht einbezogen weil…]]="nicht-natürlich"),IF(Tabelle1[[#This Row],[Formfaktor]]=2, 1,IF(Tabelle1[[#This Row],[Formfaktor]]=4,2,IF(Tabelle1[[#This Row],[Formfaktor]]=6,3,""))),"")</f>
        <v/>
      </c>
      <c r="AH37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7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72" s="71">
        <v>1</v>
      </c>
      <c r="AK37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72" s="3" t="s">
        <v>111</v>
      </c>
      <c r="AO372" s="3" t="s">
        <v>235</v>
      </c>
      <c r="AP372" s="3" t="s">
        <v>235</v>
      </c>
      <c r="AT372" s="10" t="s">
        <v>223</v>
      </c>
      <c r="AU372" s="13" t="s">
        <v>200</v>
      </c>
      <c r="AW372" s="10" t="s">
        <v>813</v>
      </c>
    </row>
    <row r="373" spans="1:49" ht="17.25" customHeight="1">
      <c r="B373" s="7" t="s">
        <v>19</v>
      </c>
      <c r="C373" s="3" t="s">
        <v>19</v>
      </c>
      <c r="D373" s="3" t="s">
        <v>223</v>
      </c>
      <c r="E373" s="10"/>
      <c r="F373" s="3" t="s">
        <v>331</v>
      </c>
      <c r="G373" s="3" t="s">
        <v>341</v>
      </c>
      <c r="H373" s="3" t="s">
        <v>341</v>
      </c>
      <c r="I373" s="24">
        <v>1.24</v>
      </c>
      <c r="J373" s="3" t="s">
        <v>495</v>
      </c>
      <c r="K373" s="8" t="s">
        <v>494</v>
      </c>
      <c r="M373" s="3" t="s">
        <v>200</v>
      </c>
      <c r="N373" s="3" t="s">
        <v>110</v>
      </c>
      <c r="O373" s="3" t="s">
        <v>23</v>
      </c>
      <c r="P37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3" s="4">
        <v>25</v>
      </c>
      <c r="R373" s="4" t="s">
        <v>108</v>
      </c>
      <c r="U373" s="4" t="s">
        <v>12</v>
      </c>
      <c r="W373" s="3" t="s">
        <v>13</v>
      </c>
      <c r="Y373" s="4">
        <v>1</v>
      </c>
      <c r="Z373" s="4">
        <v>365</v>
      </c>
      <c r="AA373" s="5">
        <f t="shared" si="23"/>
        <v>2.7397260273972603E-3</v>
      </c>
      <c r="AB373" s="5"/>
      <c r="AC37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373" s="97" t="str">
        <f>IF(Tabelle1[[#This Row],[Nicht einbezogen weil…]]="",IFERROR(1000*Tabelle1[[#This Row],[Formfaktor]]/Tabelle1[[#This Row],[Thickness '[mm']]],""),"")</f>
        <v/>
      </c>
      <c r="AE373" s="98" t="str">
        <f>IF(Tabelle1[[#This Row],[Nicht einbezogen weil…]]="",IFERROR(Tabelle1[[#This Row],[specific surface '[m^2/m^3']]]/Tabelle1[[#This Row],[Density 
'[g/cm3']]]/1000000,""),"")</f>
        <v/>
      </c>
      <c r="AF373" s="97" t="str">
        <f>IF(Tabelle1[[#This Row],[Nicht einbezogen weil…]]="",IFERROR(365*10*Tabelle1[[#This Row],[Abbaurate '[%/d']]]*Tabelle1[[#This Row],[Thickness '[mm']]]/Tabelle1[[#This Row],[Formfaktor]],""),"")</f>
        <v/>
      </c>
      <c r="AG373" s="99" t="str">
        <f>IF(OR(Tabelle1[[#This Row],[Nicht einbezogen weil…]]="",Tabelle1[[#This Row],[Nicht einbezogen weil…]]="nicht-natürlich"),IF(Tabelle1[[#This Row],[Formfaktor]]=2, 1,IF(Tabelle1[[#This Row],[Formfaktor]]=4,2,IF(Tabelle1[[#This Row],[Formfaktor]]=6,3,""))),"")</f>
        <v/>
      </c>
      <c r="AH37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7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73" s="71">
        <v>1</v>
      </c>
      <c r="AK37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73" s="3" t="s">
        <v>111</v>
      </c>
      <c r="AO373" s="3" t="s">
        <v>235</v>
      </c>
      <c r="AP373" s="3" t="s">
        <v>235</v>
      </c>
      <c r="AT373" s="10" t="s">
        <v>223</v>
      </c>
      <c r="AU373" s="13" t="s">
        <v>200</v>
      </c>
      <c r="AW373" s="10" t="s">
        <v>813</v>
      </c>
    </row>
    <row r="374" spans="1:49" ht="17.25" customHeight="1">
      <c r="B374" s="7" t="s">
        <v>19</v>
      </c>
      <c r="C374" s="3" t="s">
        <v>19</v>
      </c>
      <c r="D374" s="3" t="s">
        <v>223</v>
      </c>
      <c r="E374" s="10"/>
      <c r="F374" s="3" t="s">
        <v>331</v>
      </c>
      <c r="G374" s="3" t="s">
        <v>341</v>
      </c>
      <c r="H374" s="3" t="s">
        <v>341</v>
      </c>
      <c r="I374" s="24">
        <v>1.24</v>
      </c>
      <c r="J374" s="3" t="s">
        <v>495</v>
      </c>
      <c r="K374" s="8" t="s">
        <v>494</v>
      </c>
      <c r="M374" s="3" t="s">
        <v>200</v>
      </c>
      <c r="N374" s="3" t="s">
        <v>110</v>
      </c>
      <c r="O374" s="3" t="s">
        <v>23</v>
      </c>
      <c r="P37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4" s="4">
        <v>40</v>
      </c>
      <c r="R374" s="4" t="s">
        <v>108</v>
      </c>
      <c r="U374" s="4" t="s">
        <v>12</v>
      </c>
      <c r="W374" s="3" t="s">
        <v>13</v>
      </c>
      <c r="Y374" s="4">
        <v>2</v>
      </c>
      <c r="Z374" s="4">
        <v>365</v>
      </c>
      <c r="AA374" s="5">
        <f t="shared" si="23"/>
        <v>5.4794520547945206E-3</v>
      </c>
      <c r="AB374" s="5"/>
      <c r="AC37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374" s="97" t="str">
        <f>IF(Tabelle1[[#This Row],[Nicht einbezogen weil…]]="",IFERROR(1000*Tabelle1[[#This Row],[Formfaktor]]/Tabelle1[[#This Row],[Thickness '[mm']]],""),"")</f>
        <v/>
      </c>
      <c r="AE374" s="98" t="str">
        <f>IF(Tabelle1[[#This Row],[Nicht einbezogen weil…]]="",IFERROR(Tabelle1[[#This Row],[specific surface '[m^2/m^3']]]/Tabelle1[[#This Row],[Density 
'[g/cm3']]]/1000000,""),"")</f>
        <v/>
      </c>
      <c r="AF374" s="97" t="str">
        <f>IF(Tabelle1[[#This Row],[Nicht einbezogen weil…]]="",IFERROR(365*10*Tabelle1[[#This Row],[Abbaurate '[%/d']]]*Tabelle1[[#This Row],[Thickness '[mm']]]/Tabelle1[[#This Row],[Formfaktor]],""),"")</f>
        <v/>
      </c>
      <c r="AG374" s="99" t="str">
        <f>IF(OR(Tabelle1[[#This Row],[Nicht einbezogen weil…]]="",Tabelle1[[#This Row],[Nicht einbezogen weil…]]="nicht-natürlich"),IF(Tabelle1[[#This Row],[Formfaktor]]=2, 1,IF(Tabelle1[[#This Row],[Formfaktor]]=4,2,IF(Tabelle1[[#This Row],[Formfaktor]]=6,3,""))),"")</f>
        <v/>
      </c>
      <c r="AH37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7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74" s="71">
        <v>1</v>
      </c>
      <c r="AK37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74" s="3" t="s">
        <v>111</v>
      </c>
      <c r="AO374" s="3" t="s">
        <v>235</v>
      </c>
      <c r="AP374" s="3" t="s">
        <v>235</v>
      </c>
      <c r="AT374" s="10" t="s">
        <v>223</v>
      </c>
      <c r="AU374" s="13" t="s">
        <v>200</v>
      </c>
      <c r="AW374" s="10" t="s">
        <v>813</v>
      </c>
    </row>
    <row r="375" spans="1:49" ht="17.25" customHeight="1">
      <c r="B375" s="7" t="s">
        <v>19</v>
      </c>
      <c r="C375" s="3" t="s">
        <v>710</v>
      </c>
      <c r="D375" s="3" t="s">
        <v>223</v>
      </c>
      <c r="E375" s="10"/>
      <c r="F375" s="3" t="s">
        <v>198</v>
      </c>
      <c r="G375" s="17">
        <f>AVERAGE(0.001,0.08)</f>
        <v>4.0500000000000001E-2</v>
      </c>
      <c r="H375" s="3" t="s">
        <v>341</v>
      </c>
      <c r="I375" s="3">
        <v>1.24</v>
      </c>
      <c r="K375" s="8" t="s">
        <v>229</v>
      </c>
      <c r="M375" s="3" t="s">
        <v>223</v>
      </c>
      <c r="N375" s="3" t="s">
        <v>3</v>
      </c>
      <c r="O375" s="3" t="s">
        <v>358</v>
      </c>
      <c r="P37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5" s="4">
        <v>58</v>
      </c>
      <c r="R375" s="4">
        <v>8.1999999999999993</v>
      </c>
      <c r="U375" s="4" t="s">
        <v>12</v>
      </c>
      <c r="W375" s="3" t="s">
        <v>90</v>
      </c>
      <c r="Y375" s="4">
        <v>80.2</v>
      </c>
      <c r="Z375" s="4">
        <v>110</v>
      </c>
      <c r="AA375" s="5">
        <f t="shared" si="23"/>
        <v>0.72909090909090912</v>
      </c>
      <c r="AB375" s="5"/>
      <c r="AC37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75" s="97" t="str">
        <f>IF(Tabelle1[[#This Row],[Nicht einbezogen weil…]]="",IFERROR(1000*Tabelle1[[#This Row],[Formfaktor]]/Tabelle1[[#This Row],[Thickness '[mm']]],""),"")</f>
        <v/>
      </c>
      <c r="AE375" s="98" t="str">
        <f>IF(Tabelle1[[#This Row],[Nicht einbezogen weil…]]="",IFERROR(Tabelle1[[#This Row],[specific surface '[m^2/m^3']]]/Tabelle1[[#This Row],[Density 
'[g/cm3']]]/1000000,""),"")</f>
        <v/>
      </c>
      <c r="AF375" s="97" t="str">
        <f>IF(Tabelle1[[#This Row],[Nicht einbezogen weil…]]="",IFERROR(365*10*Tabelle1[[#This Row],[Abbaurate '[%/d']]]*Tabelle1[[#This Row],[Thickness '[mm']]]/Tabelle1[[#This Row],[Formfaktor]],""),"")</f>
        <v/>
      </c>
      <c r="AG375" s="99">
        <f>IF(OR(Tabelle1[[#This Row],[Nicht einbezogen weil…]]="",Tabelle1[[#This Row],[Nicht einbezogen weil…]]="nicht-natürlich"),IF(Tabelle1[[#This Row],[Formfaktor]]=2, 1,IF(Tabelle1[[#This Row],[Formfaktor]]=4,2,IF(Tabelle1[[#This Row],[Formfaktor]]=6,3,""))),"")</f>
        <v>1</v>
      </c>
      <c r="AH375" s="97">
        <f>IF(OR(Tabelle1[[#This Row],[Nicht einbezogen weil…]]="",Tabelle1[[#This Row],[Nicht einbezogen weil…]]="nicht-natürlich"),IFERROR(Tabelle1[[#This Row],[Thickness '[mm']]]/Tabelle1[[#This Row],[Dauer des Abbaus
'[Tage']]]*1000*0.5*365*(1-(1-Tabelle1[[#This Row],[Abbaurate '[%/d']]]/100*Tabelle1[[#This Row],[Dauer des Abbaus
'[Tage']]])^(1/Tabelle1[[#This Row],[Exponent]])),""),"")</f>
        <v>53.888931818181817</v>
      </c>
      <c r="AI37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PHBV_Boden/Kompost_nicht natürlich</v>
      </c>
      <c r="AJ375" s="71">
        <v>1</v>
      </c>
      <c r="AK37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75" s="3" t="s">
        <v>597</v>
      </c>
      <c r="AM375" s="3" t="s">
        <v>196</v>
      </c>
      <c r="AN375" s="3" t="s">
        <v>538</v>
      </c>
      <c r="AO375" s="3" t="s">
        <v>235</v>
      </c>
      <c r="AP375" s="3" t="s">
        <v>200</v>
      </c>
      <c r="AT375" s="10" t="s">
        <v>223</v>
      </c>
      <c r="AU375" s="13" t="s">
        <v>200</v>
      </c>
      <c r="AV375" s="14"/>
      <c r="AW375" s="10" t="s">
        <v>819</v>
      </c>
    </row>
    <row r="376" spans="1:49" ht="17.25" customHeight="1">
      <c r="A376" s="10" t="s">
        <v>223</v>
      </c>
      <c r="B376" s="109" t="s">
        <v>18</v>
      </c>
      <c r="C376" s="3" t="s">
        <v>1185</v>
      </c>
      <c r="D376" s="3" t="s">
        <v>200</v>
      </c>
      <c r="E376" s="3" t="s">
        <v>1127</v>
      </c>
      <c r="F376" s="3" t="s">
        <v>996</v>
      </c>
      <c r="G376" s="545" t="s">
        <v>1369</v>
      </c>
      <c r="J376" s="3" t="s">
        <v>1368</v>
      </c>
      <c r="K376" s="8" t="s">
        <v>1375</v>
      </c>
      <c r="L376" s="3" t="s">
        <v>223</v>
      </c>
      <c r="M376" s="12" t="s">
        <v>301</v>
      </c>
      <c r="N376" s="3" t="s">
        <v>1385</v>
      </c>
      <c r="O376" s="3" t="s">
        <v>23</v>
      </c>
      <c r="P37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6" s="4" t="s">
        <v>1373</v>
      </c>
      <c r="R376" s="4" t="s">
        <v>1372</v>
      </c>
      <c r="V376" s="4" t="s">
        <v>734</v>
      </c>
      <c r="W376" s="12" t="s">
        <v>190</v>
      </c>
      <c r="Y376" s="4">
        <v>74.7</v>
      </c>
      <c r="Z376" s="4">
        <v>180</v>
      </c>
      <c r="AA376" s="5">
        <f t="shared" si="23"/>
        <v>0.41500000000000004</v>
      </c>
      <c r="AB376" s="5"/>
      <c r="AC37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76" s="5" t="str">
        <f>IF(Tabelle1[[#This Row],[Nicht einbezogen weil…]]="",IFERROR(1000*Tabelle1[[#This Row],[Formfaktor]]/Tabelle1[[#This Row],[Thickness '[mm']]],""),"")</f>
        <v/>
      </c>
      <c r="AE376" s="5" t="str">
        <f>IF(Tabelle1[[#This Row],[Nicht einbezogen weil…]]="",IFERROR(Tabelle1[[#This Row],[specific surface '[m^2/m^3']]]/Tabelle1[[#This Row],[Density 
'[g/cm3']]]/1000000,""),"")</f>
        <v/>
      </c>
      <c r="AF376" s="5" t="str">
        <f>IF(Tabelle1[[#This Row],[Nicht einbezogen weil…]]="",IFERROR(365*10*Tabelle1[[#This Row],[Abbaurate '[%/d']]]*Tabelle1[[#This Row],[Thickness '[mm']]]/Tabelle1[[#This Row],[Formfaktor]],""),"")</f>
        <v/>
      </c>
      <c r="AG376" s="328" t="str">
        <f>IF(OR(Tabelle1[[#This Row],[Nicht einbezogen weil…]]="",Tabelle1[[#This Row],[Nicht einbezogen weil…]]="nicht-natürlich"),IF(Tabelle1[[#This Row],[Formfaktor]]=2, 1,IF(Tabelle1[[#This Row],[Formfaktor]]=4,2,IF(Tabelle1[[#This Row],[Formfaktor]]=6,3,""))),"")</f>
        <v/>
      </c>
      <c r="AH376"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7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76" s="6">
        <v>1</v>
      </c>
      <c r="AK37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76" s="3" t="s">
        <v>1366</v>
      </c>
      <c r="AU376" s="13"/>
    </row>
    <row r="377" spans="1:49" ht="17.25" customHeight="1">
      <c r="A377" s="10" t="s">
        <v>223</v>
      </c>
      <c r="B377" s="7" t="s">
        <v>18</v>
      </c>
      <c r="C377" s="3" t="s">
        <v>1185</v>
      </c>
      <c r="D377" s="3" t="s">
        <v>200</v>
      </c>
      <c r="E377" s="3" t="s">
        <v>1127</v>
      </c>
      <c r="F377" s="3" t="s">
        <v>996</v>
      </c>
      <c r="G377" s="17" t="s">
        <v>1369</v>
      </c>
      <c r="J377" s="3" t="s">
        <v>1368</v>
      </c>
      <c r="K377" s="8" t="s">
        <v>1377</v>
      </c>
      <c r="N377" s="3" t="s">
        <v>1385</v>
      </c>
      <c r="O377" s="3" t="s">
        <v>23</v>
      </c>
      <c r="P37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7" s="4" t="s">
        <v>1373</v>
      </c>
      <c r="R377" s="4" t="s">
        <v>1372</v>
      </c>
      <c r="V377" s="4" t="s">
        <v>734</v>
      </c>
      <c r="W377" s="12" t="s">
        <v>190</v>
      </c>
      <c r="Y377" s="4">
        <v>97.2</v>
      </c>
      <c r="Z377" s="4">
        <v>120</v>
      </c>
      <c r="AA377" s="5">
        <f t="shared" si="23"/>
        <v>0.81</v>
      </c>
      <c r="AB377" s="5"/>
      <c r="AC37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77" s="5" t="str">
        <f>IF(Tabelle1[[#This Row],[Nicht einbezogen weil…]]="",IFERROR(1000*Tabelle1[[#This Row],[Formfaktor]]/Tabelle1[[#This Row],[Thickness '[mm']]],""),"")</f>
        <v/>
      </c>
      <c r="AE377" s="5" t="str">
        <f>IF(Tabelle1[[#This Row],[Nicht einbezogen weil…]]="",IFERROR(Tabelle1[[#This Row],[specific surface '[m^2/m^3']]]/Tabelle1[[#This Row],[Density 
'[g/cm3']]]/1000000,""),"")</f>
        <v/>
      </c>
      <c r="AF377" s="5" t="str">
        <f>IF(Tabelle1[[#This Row],[Nicht einbezogen weil…]]="",IFERROR(365*10*Tabelle1[[#This Row],[Abbaurate '[%/d']]]*Tabelle1[[#This Row],[Thickness '[mm']]]/Tabelle1[[#This Row],[Formfaktor]],""),"")</f>
        <v/>
      </c>
      <c r="AG377" s="328" t="str">
        <f>IF(OR(Tabelle1[[#This Row],[Nicht einbezogen weil…]]="",Tabelle1[[#This Row],[Nicht einbezogen weil…]]="nicht-natürlich"),IF(Tabelle1[[#This Row],[Formfaktor]]=2, 1,IF(Tabelle1[[#This Row],[Formfaktor]]=4,2,IF(Tabelle1[[#This Row],[Formfaktor]]=6,3,""))),"")</f>
        <v/>
      </c>
      <c r="AH377"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7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77" s="6">
        <v>1</v>
      </c>
      <c r="AK37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77" s="3" t="s">
        <v>1366</v>
      </c>
      <c r="AU377" s="13"/>
    </row>
    <row r="378" spans="1:49" ht="18" customHeight="1">
      <c r="B378" s="7" t="s">
        <v>19</v>
      </c>
      <c r="C378" s="3" t="s">
        <v>19</v>
      </c>
      <c r="D378" s="3" t="s">
        <v>223</v>
      </c>
      <c r="E378" s="10"/>
      <c r="F378" s="3" t="s">
        <v>288</v>
      </c>
      <c r="G378" s="17">
        <f>AVERAGE(0.152,0.19)</f>
        <v>0.17099999999999999</v>
      </c>
      <c r="H378" s="3">
        <f>0.127*0.0127</f>
        <v>1.6129E-3</v>
      </c>
      <c r="I378" s="24">
        <v>1.24</v>
      </c>
      <c r="J378" s="3" t="s">
        <v>543</v>
      </c>
      <c r="K378" s="8" t="s">
        <v>540</v>
      </c>
      <c r="L378" s="3" t="s">
        <v>229</v>
      </c>
      <c r="M378" s="3" t="s">
        <v>223</v>
      </c>
      <c r="N378" s="3" t="s">
        <v>23</v>
      </c>
      <c r="O378" s="3" t="s">
        <v>23</v>
      </c>
      <c r="P37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8" s="4">
        <v>21</v>
      </c>
      <c r="V378" s="4" t="s">
        <v>27</v>
      </c>
      <c r="W378" s="3" t="s">
        <v>13</v>
      </c>
      <c r="Y378" s="4">
        <v>99</v>
      </c>
      <c r="Z378" s="4">
        <v>49</v>
      </c>
      <c r="AA378" s="5">
        <f t="shared" si="23"/>
        <v>2.0204081632653059</v>
      </c>
      <c r="AB378" s="5"/>
      <c r="AC37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78" s="97" t="str">
        <f>IF(Tabelle1[[#This Row],[Nicht einbezogen weil…]]="",IFERROR(1000*Tabelle1[[#This Row],[Formfaktor]]/Tabelle1[[#This Row],[Thickness '[mm']]],""),"")</f>
        <v/>
      </c>
      <c r="AE378" s="98" t="str">
        <f>IF(Tabelle1[[#This Row],[Nicht einbezogen weil…]]="",IFERROR(Tabelle1[[#This Row],[specific surface '[m^2/m^3']]]/Tabelle1[[#This Row],[Density 
'[g/cm3']]]/1000000,""),"")</f>
        <v/>
      </c>
      <c r="AF378" s="97" t="str">
        <f>IF(Tabelle1[[#This Row],[Nicht einbezogen weil…]]="",IFERROR(365*10*Tabelle1[[#This Row],[Abbaurate '[%/d']]]*Tabelle1[[#This Row],[Thickness '[mm']]]/Tabelle1[[#This Row],[Formfaktor]],""),"")</f>
        <v/>
      </c>
      <c r="AG378" s="99">
        <f>IF(OR(Tabelle1[[#This Row],[Nicht einbezogen weil…]]="",Tabelle1[[#This Row],[Nicht einbezogen weil…]]="nicht-natürlich"),IF(Tabelle1[[#This Row],[Formfaktor]]=2, 1,IF(Tabelle1[[#This Row],[Formfaktor]]=4,2,IF(Tabelle1[[#This Row],[Formfaktor]]=6,3,""))),"")</f>
        <v>1</v>
      </c>
      <c r="AH378" s="97">
        <f>IF(OR(Tabelle1[[#This Row],[Nicht einbezogen weil…]]="",Tabelle1[[#This Row],[Nicht einbezogen weil…]]="nicht-natürlich"),IFERROR(Tabelle1[[#This Row],[Thickness '[mm']]]/Tabelle1[[#This Row],[Dauer des Abbaus
'[Tage']]]*1000*0.5*365*(1-(1-Tabelle1[[#This Row],[Abbaurate '[%/d']]]/100*Tabelle1[[#This Row],[Dauer des Abbaus
'[Tage']]])^(1/Tabelle1[[#This Row],[Exponent]])),""),"")</f>
        <v>630.5188775510203</v>
      </c>
      <c r="AI37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PHBV_Meerwasser_nicht natürlich</v>
      </c>
      <c r="AJ378" s="71">
        <v>1</v>
      </c>
      <c r="AK37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78" s="3" t="s">
        <v>146</v>
      </c>
      <c r="AM378" s="8" t="s">
        <v>978</v>
      </c>
      <c r="AO378" s="3" t="s">
        <v>200</v>
      </c>
      <c r="AP378" s="3" t="s">
        <v>200</v>
      </c>
      <c r="AT378" s="10" t="s">
        <v>223</v>
      </c>
      <c r="AU378" s="13" t="s">
        <v>200</v>
      </c>
      <c r="AW378" s="10" t="s">
        <v>817</v>
      </c>
    </row>
    <row r="379" spans="1:49" ht="17.25" customHeight="1">
      <c r="B379" s="7" t="s">
        <v>19</v>
      </c>
      <c r="C379" s="3" t="s">
        <v>19</v>
      </c>
      <c r="D379" s="3" t="s">
        <v>223</v>
      </c>
      <c r="E379" s="10"/>
      <c r="F379" s="3" t="s">
        <v>198</v>
      </c>
      <c r="G379" s="17">
        <f>AVERAGE(0.152,0.19)</f>
        <v>0.17099999999999999</v>
      </c>
      <c r="H379" s="3" t="s">
        <v>341</v>
      </c>
      <c r="I379" s="24">
        <v>1.24</v>
      </c>
      <c r="J379" s="3" t="s">
        <v>542</v>
      </c>
      <c r="K379" s="8" t="s">
        <v>540</v>
      </c>
      <c r="L379" s="3" t="s">
        <v>229</v>
      </c>
      <c r="M379" s="3" t="s">
        <v>223</v>
      </c>
      <c r="N379" s="3" t="s">
        <v>23</v>
      </c>
      <c r="O379" s="3" t="s">
        <v>23</v>
      </c>
      <c r="P37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79" s="337" t="s">
        <v>30</v>
      </c>
      <c r="R379" s="4" t="s">
        <v>28</v>
      </c>
      <c r="V379" s="4" t="s">
        <v>29</v>
      </c>
      <c r="W379" s="3" t="s">
        <v>13</v>
      </c>
      <c r="Y379" s="4">
        <v>30</v>
      </c>
      <c r="Z379" s="4">
        <v>90</v>
      </c>
      <c r="AA379" s="5">
        <f t="shared" si="23"/>
        <v>0.33333333333333331</v>
      </c>
      <c r="AB379" s="5"/>
      <c r="AC37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79" s="97" t="str">
        <f>IF(Tabelle1[[#This Row],[Nicht einbezogen weil…]]="",IFERROR(1000*Tabelle1[[#This Row],[Formfaktor]]/Tabelle1[[#This Row],[Thickness '[mm']]],""),"")</f>
        <v/>
      </c>
      <c r="AE379" s="98" t="str">
        <f>IF(Tabelle1[[#This Row],[Nicht einbezogen weil…]]="",IFERROR(Tabelle1[[#This Row],[specific surface '[m^2/m^3']]]/Tabelle1[[#This Row],[Density 
'[g/cm3']]]/1000000,""),"")</f>
        <v/>
      </c>
      <c r="AF379" s="97" t="str">
        <f>IF(Tabelle1[[#This Row],[Nicht einbezogen weil…]]="",IFERROR(365*10*Tabelle1[[#This Row],[Abbaurate '[%/d']]]*Tabelle1[[#This Row],[Thickness '[mm']]]/Tabelle1[[#This Row],[Formfaktor]],""),"")</f>
        <v/>
      </c>
      <c r="AG379" s="99">
        <f>IF(OR(Tabelle1[[#This Row],[Nicht einbezogen weil…]]="",Tabelle1[[#This Row],[Nicht einbezogen weil…]]="nicht-natürlich"),IF(Tabelle1[[#This Row],[Formfaktor]]=2, 1,IF(Tabelle1[[#This Row],[Formfaktor]]=4,2,IF(Tabelle1[[#This Row],[Formfaktor]]=6,3,""))),"")</f>
        <v>1</v>
      </c>
      <c r="AH379" s="97">
        <f>IF(OR(Tabelle1[[#This Row],[Nicht einbezogen weil…]]="",Tabelle1[[#This Row],[Nicht einbezogen weil…]]="nicht-natürlich"),IFERROR(Tabelle1[[#This Row],[Thickness '[mm']]]/Tabelle1[[#This Row],[Dauer des Abbaus
'[Tage']]]*1000*0.5*365*(1-(1-Tabelle1[[#This Row],[Abbaurate '[%/d']]]/100*Tabelle1[[#This Row],[Dauer des Abbaus
'[Tage']]])^(1/Tabelle1[[#This Row],[Exponent]])),""),"")</f>
        <v>104.02499999999999</v>
      </c>
      <c r="AI37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PHBV_Meerwasser_nicht natürlich</v>
      </c>
      <c r="AJ379" s="71">
        <v>1</v>
      </c>
      <c r="AK37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79" s="3" t="s">
        <v>146</v>
      </c>
      <c r="AM379" s="8" t="s">
        <v>978</v>
      </c>
      <c r="AO379" s="3" t="s">
        <v>200</v>
      </c>
      <c r="AP379" s="3" t="s">
        <v>200</v>
      </c>
      <c r="AT379" s="10" t="s">
        <v>223</v>
      </c>
      <c r="AU379" s="13" t="s">
        <v>200</v>
      </c>
      <c r="AW379" s="10" t="s">
        <v>817</v>
      </c>
    </row>
    <row r="380" spans="1:49" ht="17.25" customHeight="1">
      <c r="B380" s="11" t="s">
        <v>19</v>
      </c>
      <c r="C380" s="3" t="s">
        <v>19</v>
      </c>
      <c r="D380" s="3" t="s">
        <v>200</v>
      </c>
      <c r="E380" s="10" t="s">
        <v>205</v>
      </c>
      <c r="F380" s="3" t="s">
        <v>198</v>
      </c>
      <c r="G380" s="17">
        <f>AVERAGE(0.152,0.19)</f>
        <v>0.17099999999999999</v>
      </c>
      <c r="H380" s="3" t="s">
        <v>341</v>
      </c>
      <c r="I380" s="24">
        <v>1.24</v>
      </c>
      <c r="J380" s="3" t="s">
        <v>543</v>
      </c>
      <c r="L380" s="3" t="s">
        <v>544</v>
      </c>
      <c r="M380" s="3" t="s">
        <v>223</v>
      </c>
      <c r="N380" s="3" t="s">
        <v>94</v>
      </c>
      <c r="O380" s="3" t="s">
        <v>23</v>
      </c>
      <c r="P38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80" s="4">
        <v>30</v>
      </c>
      <c r="W380" s="3" t="s">
        <v>190</v>
      </c>
      <c r="Y380" s="4">
        <v>95</v>
      </c>
      <c r="Z380" s="4">
        <v>100</v>
      </c>
      <c r="AA380" s="5">
        <f t="shared" si="23"/>
        <v>0.95</v>
      </c>
      <c r="AB380" s="5"/>
      <c r="AC38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0" s="97" t="str">
        <f>IF(Tabelle1[[#This Row],[Nicht einbezogen weil…]]="",IFERROR(1000*Tabelle1[[#This Row],[Formfaktor]]/Tabelle1[[#This Row],[Thickness '[mm']]],""),"")</f>
        <v/>
      </c>
      <c r="AE380" s="98" t="str">
        <f>IF(Tabelle1[[#This Row],[Nicht einbezogen weil…]]="",IFERROR(Tabelle1[[#This Row],[specific surface '[m^2/m^3']]]/Tabelle1[[#This Row],[Density 
'[g/cm3']]]/1000000,""),"")</f>
        <v/>
      </c>
      <c r="AF380" s="97" t="str">
        <f>IF(Tabelle1[[#This Row],[Nicht einbezogen weil…]]="",IFERROR(365*10*Tabelle1[[#This Row],[Abbaurate '[%/d']]]*Tabelle1[[#This Row],[Thickness '[mm']]]/Tabelle1[[#This Row],[Formfaktor]],""),"")</f>
        <v/>
      </c>
      <c r="AG380" s="99" t="str">
        <f>IF(OR(Tabelle1[[#This Row],[Nicht einbezogen weil…]]="",Tabelle1[[#This Row],[Nicht einbezogen weil…]]="nicht-natürlich"),IF(Tabelle1[[#This Row],[Formfaktor]]=2, 1,IF(Tabelle1[[#This Row],[Formfaktor]]=4,2,IF(Tabelle1[[#This Row],[Formfaktor]]=6,3,""))),"")</f>
        <v/>
      </c>
      <c r="AH38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8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80" s="71">
        <v>1</v>
      </c>
      <c r="AK38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80" s="3" t="s">
        <v>146</v>
      </c>
      <c r="AM380" s="8" t="s">
        <v>978</v>
      </c>
      <c r="AN380" s="3" t="s">
        <v>538</v>
      </c>
      <c r="AO380" s="3" t="s">
        <v>200</v>
      </c>
      <c r="AP380" s="3" t="s">
        <v>200</v>
      </c>
      <c r="AT380" s="3" t="s">
        <v>223</v>
      </c>
      <c r="AU380" s="13" t="s">
        <v>200</v>
      </c>
      <c r="AW380" s="10" t="s">
        <v>817</v>
      </c>
    </row>
    <row r="381" spans="1:49" ht="17.25" customHeight="1">
      <c r="B381" s="11" t="s">
        <v>19</v>
      </c>
      <c r="C381" s="3" t="s">
        <v>19</v>
      </c>
      <c r="D381" s="3" t="s">
        <v>200</v>
      </c>
      <c r="E381" s="10" t="s">
        <v>205</v>
      </c>
      <c r="F381" s="3" t="s">
        <v>198</v>
      </c>
      <c r="G381" s="17">
        <f>AVERAGE(0.152,0.19)</f>
        <v>0.17099999999999999</v>
      </c>
      <c r="H381" s="3" t="s">
        <v>341</v>
      </c>
      <c r="I381" s="24">
        <v>1.24</v>
      </c>
      <c r="J381" s="3" t="s">
        <v>542</v>
      </c>
      <c r="L381" s="3" t="s">
        <v>544</v>
      </c>
      <c r="M381" s="3" t="s">
        <v>223</v>
      </c>
      <c r="N381" s="3" t="s">
        <v>94</v>
      </c>
      <c r="O381" s="3" t="s">
        <v>23</v>
      </c>
      <c r="P38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81" s="4">
        <v>30</v>
      </c>
      <c r="W381" s="3" t="s">
        <v>190</v>
      </c>
      <c r="Y381" s="4">
        <v>98</v>
      </c>
      <c r="Z381" s="4">
        <v>100</v>
      </c>
      <c r="AA381" s="5">
        <f t="shared" si="23"/>
        <v>0.98</v>
      </c>
      <c r="AB381" s="5"/>
      <c r="AC38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1" s="97" t="str">
        <f>IF(Tabelle1[[#This Row],[Nicht einbezogen weil…]]="",IFERROR(1000*Tabelle1[[#This Row],[Formfaktor]]/Tabelle1[[#This Row],[Thickness '[mm']]],""),"")</f>
        <v/>
      </c>
      <c r="AE381" s="98" t="str">
        <f>IF(Tabelle1[[#This Row],[Nicht einbezogen weil…]]="",IFERROR(Tabelle1[[#This Row],[specific surface '[m^2/m^3']]]/Tabelle1[[#This Row],[Density 
'[g/cm3']]]/1000000,""),"")</f>
        <v/>
      </c>
      <c r="AF381" s="97" t="str">
        <f>IF(Tabelle1[[#This Row],[Nicht einbezogen weil…]]="",IFERROR(365*10*Tabelle1[[#This Row],[Abbaurate '[%/d']]]*Tabelle1[[#This Row],[Thickness '[mm']]]/Tabelle1[[#This Row],[Formfaktor]],""),"")</f>
        <v/>
      </c>
      <c r="AG381" s="99" t="str">
        <f>IF(OR(Tabelle1[[#This Row],[Nicht einbezogen weil…]]="",Tabelle1[[#This Row],[Nicht einbezogen weil…]]="nicht-natürlich"),IF(Tabelle1[[#This Row],[Formfaktor]]=2, 1,IF(Tabelle1[[#This Row],[Formfaktor]]=4,2,IF(Tabelle1[[#This Row],[Formfaktor]]=6,3,""))),"")</f>
        <v/>
      </c>
      <c r="AH38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8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81" s="71">
        <v>1</v>
      </c>
      <c r="AK38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81" s="3" t="s">
        <v>146</v>
      </c>
      <c r="AM381" s="8" t="s">
        <v>978</v>
      </c>
      <c r="AN381" s="3" t="s">
        <v>538</v>
      </c>
      <c r="AO381" s="3" t="s">
        <v>200</v>
      </c>
      <c r="AP381" s="3" t="s">
        <v>200</v>
      </c>
      <c r="AT381" s="3" t="s">
        <v>223</v>
      </c>
      <c r="AU381" s="13" t="s">
        <v>200</v>
      </c>
      <c r="AW381" s="10" t="s">
        <v>817</v>
      </c>
    </row>
    <row r="382" spans="1:49" ht="17.25" customHeight="1">
      <c r="B382" s="11" t="s">
        <v>19</v>
      </c>
      <c r="C382" s="3" t="s">
        <v>19</v>
      </c>
      <c r="D382" s="3" t="s">
        <v>200</v>
      </c>
      <c r="E382" s="10" t="s">
        <v>205</v>
      </c>
      <c r="F382" s="3" t="s">
        <v>198</v>
      </c>
      <c r="G382" s="17">
        <f>AVERAGE(0.152,0.19)</f>
        <v>0.17099999999999999</v>
      </c>
      <c r="H382" s="3" t="s">
        <v>341</v>
      </c>
      <c r="I382" s="24">
        <v>1.24</v>
      </c>
      <c r="J382" s="3" t="s">
        <v>541</v>
      </c>
      <c r="L382" s="3" t="s">
        <v>544</v>
      </c>
      <c r="M382" s="3" t="s">
        <v>223</v>
      </c>
      <c r="N382" s="3" t="s">
        <v>94</v>
      </c>
      <c r="O382" s="3" t="s">
        <v>23</v>
      </c>
      <c r="P38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82" s="4">
        <v>30</v>
      </c>
      <c r="W382" s="3" t="s">
        <v>190</v>
      </c>
      <c r="Y382" s="4">
        <v>85</v>
      </c>
      <c r="Z382" s="4">
        <v>100</v>
      </c>
      <c r="AA382" s="5">
        <f t="shared" si="23"/>
        <v>0.85</v>
      </c>
      <c r="AB382" s="5"/>
      <c r="AC38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2" s="97" t="str">
        <f>IF(Tabelle1[[#This Row],[Nicht einbezogen weil…]]="",IFERROR(1000*Tabelle1[[#This Row],[Formfaktor]]/Tabelle1[[#This Row],[Thickness '[mm']]],""),"")</f>
        <v/>
      </c>
      <c r="AE382" s="98" t="str">
        <f>IF(Tabelle1[[#This Row],[Nicht einbezogen weil…]]="",IFERROR(Tabelle1[[#This Row],[specific surface '[m^2/m^3']]]/Tabelle1[[#This Row],[Density 
'[g/cm3']]]/1000000,""),"")</f>
        <v/>
      </c>
      <c r="AF382" s="97" t="str">
        <f>IF(Tabelle1[[#This Row],[Nicht einbezogen weil…]]="",IFERROR(365*10*Tabelle1[[#This Row],[Abbaurate '[%/d']]]*Tabelle1[[#This Row],[Thickness '[mm']]]/Tabelle1[[#This Row],[Formfaktor]],""),"")</f>
        <v/>
      </c>
      <c r="AG382" s="99" t="str">
        <f>IF(OR(Tabelle1[[#This Row],[Nicht einbezogen weil…]]="",Tabelle1[[#This Row],[Nicht einbezogen weil…]]="nicht-natürlich"),IF(Tabelle1[[#This Row],[Formfaktor]]=2, 1,IF(Tabelle1[[#This Row],[Formfaktor]]=4,2,IF(Tabelle1[[#This Row],[Formfaktor]]=6,3,""))),"")</f>
        <v/>
      </c>
      <c r="AH38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8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82" s="71">
        <v>1</v>
      </c>
      <c r="AK38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82" s="3" t="s">
        <v>146</v>
      </c>
      <c r="AM382" s="8" t="s">
        <v>978</v>
      </c>
      <c r="AN382" s="3" t="s">
        <v>538</v>
      </c>
      <c r="AO382" s="3" t="s">
        <v>200</v>
      </c>
      <c r="AP382" s="3" t="s">
        <v>200</v>
      </c>
      <c r="AT382" s="3" t="s">
        <v>223</v>
      </c>
      <c r="AU382" s="13" t="s">
        <v>200</v>
      </c>
      <c r="AW382" s="10" t="s">
        <v>817</v>
      </c>
    </row>
    <row r="383" spans="1:49" ht="17.25" customHeight="1">
      <c r="B383" s="7" t="s">
        <v>2</v>
      </c>
      <c r="C383" s="3" t="s">
        <v>2</v>
      </c>
      <c r="D383" s="3" t="s">
        <v>200</v>
      </c>
      <c r="E383" s="10" t="s">
        <v>205</v>
      </c>
      <c r="F383" s="3" t="s">
        <v>288</v>
      </c>
      <c r="G383" s="3">
        <v>0.02</v>
      </c>
      <c r="H383" s="3">
        <f>0.02*0.02</f>
        <v>4.0000000000000002E-4</v>
      </c>
      <c r="I383" s="3" t="s">
        <v>341</v>
      </c>
      <c r="J383" s="3" t="s">
        <v>510</v>
      </c>
      <c r="L383" s="3" t="s">
        <v>199</v>
      </c>
      <c r="M383" s="3" t="s">
        <v>223</v>
      </c>
      <c r="N383" s="3" t="s">
        <v>515</v>
      </c>
      <c r="O383" s="3" t="s">
        <v>294</v>
      </c>
      <c r="P38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83" s="4">
        <v>30</v>
      </c>
      <c r="U383" s="4" t="s">
        <v>89</v>
      </c>
      <c r="W383" s="3" t="s">
        <v>13</v>
      </c>
      <c r="Y383" s="4">
        <v>0</v>
      </c>
      <c r="Z383" s="4">
        <v>28</v>
      </c>
      <c r="AA383" s="5">
        <f t="shared" si="23"/>
        <v>0</v>
      </c>
      <c r="AB383" s="5"/>
      <c r="AC38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3" s="97" t="str">
        <f>IF(Tabelle1[[#This Row],[Nicht einbezogen weil…]]="",IFERROR(1000*Tabelle1[[#This Row],[Formfaktor]]/Tabelle1[[#This Row],[Thickness '[mm']]],""),"")</f>
        <v/>
      </c>
      <c r="AE383" s="98" t="str">
        <f>IF(Tabelle1[[#This Row],[Nicht einbezogen weil…]]="",IFERROR(Tabelle1[[#This Row],[specific surface '[m^2/m^3']]]/Tabelle1[[#This Row],[Density 
'[g/cm3']]]/1000000,""),"")</f>
        <v/>
      </c>
      <c r="AF383" s="97" t="str">
        <f>IF(Tabelle1[[#This Row],[Nicht einbezogen weil…]]="",IFERROR(365*10*Tabelle1[[#This Row],[Abbaurate '[%/d']]]*Tabelle1[[#This Row],[Thickness '[mm']]]/Tabelle1[[#This Row],[Formfaktor]],""),"")</f>
        <v/>
      </c>
      <c r="AG383" s="99" t="str">
        <f>IF(OR(Tabelle1[[#This Row],[Nicht einbezogen weil…]]="",Tabelle1[[#This Row],[Nicht einbezogen weil…]]="nicht-natürlich"),IF(Tabelle1[[#This Row],[Formfaktor]]=2, 1,IF(Tabelle1[[#This Row],[Formfaktor]]=4,2,IF(Tabelle1[[#This Row],[Formfaktor]]=6,3,""))),"")</f>
        <v/>
      </c>
      <c r="AH38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8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83" s="71">
        <v>1</v>
      </c>
      <c r="AK38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83" s="3" t="s">
        <v>138</v>
      </c>
      <c r="AM383" s="3" t="s">
        <v>196</v>
      </c>
      <c r="AN383" s="3" t="s">
        <v>538</v>
      </c>
      <c r="AO383" s="3" t="s">
        <v>235</v>
      </c>
      <c r="AP383" s="3" t="s">
        <v>235</v>
      </c>
      <c r="AT383" s="10" t="s">
        <v>223</v>
      </c>
      <c r="AU383" s="13" t="s">
        <v>200</v>
      </c>
    </row>
    <row r="384" spans="1:49" ht="17.25" customHeight="1">
      <c r="A384" s="10" t="s">
        <v>223</v>
      </c>
      <c r="B384" s="7" t="s">
        <v>18</v>
      </c>
      <c r="C384" s="3" t="s">
        <v>1185</v>
      </c>
      <c r="D384" s="3" t="s">
        <v>200</v>
      </c>
      <c r="E384" s="3" t="s">
        <v>1127</v>
      </c>
      <c r="F384" s="3" t="s">
        <v>996</v>
      </c>
      <c r="G384" s="17" t="s">
        <v>1369</v>
      </c>
      <c r="J384" s="3" t="s">
        <v>1368</v>
      </c>
      <c r="K384" s="8" t="s">
        <v>1379</v>
      </c>
      <c r="N384" s="3" t="s">
        <v>1385</v>
      </c>
      <c r="O384" s="3" t="s">
        <v>23</v>
      </c>
      <c r="P38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84" s="4" t="s">
        <v>1373</v>
      </c>
      <c r="R384" s="4" t="s">
        <v>1372</v>
      </c>
      <c r="V384" s="4" t="s">
        <v>734</v>
      </c>
      <c r="W384" s="12" t="s">
        <v>190</v>
      </c>
      <c r="Y384" s="4">
        <v>68.7</v>
      </c>
      <c r="Z384" s="4">
        <v>180</v>
      </c>
      <c r="AA384" s="5">
        <f t="shared" si="23"/>
        <v>0.38166666666666671</v>
      </c>
      <c r="AB384" s="5"/>
      <c r="AC38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4" s="5" t="str">
        <f>IF(Tabelle1[[#This Row],[Nicht einbezogen weil…]]="",IFERROR(1000*Tabelle1[[#This Row],[Formfaktor]]/Tabelle1[[#This Row],[Thickness '[mm']]],""),"")</f>
        <v/>
      </c>
      <c r="AE384" s="5" t="str">
        <f>IF(Tabelle1[[#This Row],[Nicht einbezogen weil…]]="",IFERROR(Tabelle1[[#This Row],[specific surface '[m^2/m^3']]]/Tabelle1[[#This Row],[Density 
'[g/cm3']]]/1000000,""),"")</f>
        <v/>
      </c>
      <c r="AF384" s="5" t="str">
        <f>IF(Tabelle1[[#This Row],[Nicht einbezogen weil…]]="",IFERROR(365*10*Tabelle1[[#This Row],[Abbaurate '[%/d']]]*Tabelle1[[#This Row],[Thickness '[mm']]]/Tabelle1[[#This Row],[Formfaktor]],""),"")</f>
        <v/>
      </c>
      <c r="AG384" s="328" t="str">
        <f>IF(OR(Tabelle1[[#This Row],[Nicht einbezogen weil…]]="",Tabelle1[[#This Row],[Nicht einbezogen weil…]]="nicht-natürlich"),IF(Tabelle1[[#This Row],[Formfaktor]]=2, 1,IF(Tabelle1[[#This Row],[Formfaktor]]=4,2,IF(Tabelle1[[#This Row],[Formfaktor]]=6,3,""))),"")</f>
        <v/>
      </c>
      <c r="AH384"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8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84" s="6">
        <v>1</v>
      </c>
      <c r="AK38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84" s="3" t="s">
        <v>1366</v>
      </c>
      <c r="AU384" s="13"/>
    </row>
    <row r="385" spans="1:49" ht="17.25" customHeight="1">
      <c r="A385" s="10" t="s">
        <v>223</v>
      </c>
      <c r="B385" s="109" t="s">
        <v>1078</v>
      </c>
      <c r="C385" s="3" t="s">
        <v>1187</v>
      </c>
      <c r="D385" s="3" t="s">
        <v>223</v>
      </c>
      <c r="F385" s="3" t="s">
        <v>996</v>
      </c>
      <c r="G385" s="3">
        <v>2.5000000000000001E-2</v>
      </c>
      <c r="J385" s="3" t="s">
        <v>1367</v>
      </c>
      <c r="K385" s="8" t="s">
        <v>1375</v>
      </c>
      <c r="L385" s="3" t="s">
        <v>223</v>
      </c>
      <c r="M385" s="12" t="s">
        <v>301</v>
      </c>
      <c r="N385" s="3" t="s">
        <v>1380</v>
      </c>
      <c r="O385" s="3" t="s">
        <v>1104</v>
      </c>
      <c r="P38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85" s="4" t="s">
        <v>1373</v>
      </c>
      <c r="R385" s="4" t="s">
        <v>1371</v>
      </c>
      <c r="T385" s="4" t="s">
        <v>1370</v>
      </c>
      <c r="V385" s="4" t="s">
        <v>734</v>
      </c>
      <c r="W385" s="12" t="s">
        <v>190</v>
      </c>
      <c r="Y385" s="4">
        <v>54.4</v>
      </c>
      <c r="Z385" s="4">
        <v>313</v>
      </c>
      <c r="AA385" s="5">
        <f t="shared" si="23"/>
        <v>0.17380191693290734</v>
      </c>
      <c r="AB385" s="5"/>
      <c r="AC38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5" s="5">
        <f>IF(Tabelle1[[#This Row],[Nicht einbezogen weil…]]="",IFERROR(1000*Tabelle1[[#This Row],[Formfaktor]]/Tabelle1[[#This Row],[Thickness '[mm']]],""),"")</f>
        <v>80000</v>
      </c>
      <c r="AE385" s="5" t="str">
        <f>IF(Tabelle1[[#This Row],[Nicht einbezogen weil…]]="",IFERROR(Tabelle1[[#This Row],[specific surface '[m^2/m^3']]]/Tabelle1[[#This Row],[Density 
'[g/cm3']]]/1000000,""),"")</f>
        <v/>
      </c>
      <c r="AF385" s="5">
        <f>IF(Tabelle1[[#This Row],[Nicht einbezogen weil…]]="",IFERROR(365*10*Tabelle1[[#This Row],[Abbaurate '[%/d']]]*Tabelle1[[#This Row],[Thickness '[mm']]]/Tabelle1[[#This Row],[Formfaktor]],""),"")</f>
        <v>7.9297124600638966</v>
      </c>
      <c r="AG385" s="328">
        <f>IF(OR(Tabelle1[[#This Row],[Nicht einbezogen weil…]]="",Tabelle1[[#This Row],[Nicht einbezogen weil…]]="nicht-natürlich"),IF(Tabelle1[[#This Row],[Formfaktor]]=2, 1,IF(Tabelle1[[#This Row],[Formfaktor]]=4,2,IF(Tabelle1[[#This Row],[Formfaktor]]=6,3,""))),"")</f>
        <v>1</v>
      </c>
      <c r="AH385" s="5">
        <f>IF(OR(Tabelle1[[#This Row],[Nicht einbezogen weil…]]="",Tabelle1[[#This Row],[Nicht einbezogen weil…]]="nicht-natürlich"),IFERROR(Tabelle1[[#This Row],[Thickness '[mm']]]/Tabelle1[[#This Row],[Dauer des Abbaus
'[Tage']]]*1000*0.5*365*(1-(1-Tabelle1[[#This Row],[Abbaurate '[%/d']]]/100*Tabelle1[[#This Row],[Dauer des Abbaus
'[Tage']]])^(1/Tabelle1[[#This Row],[Exponent]])),""),"")</f>
        <v>7.9297124600638966</v>
      </c>
      <c r="AI38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PBSe_Benthic_natürlich</v>
      </c>
      <c r="AJ385" s="6">
        <v>1</v>
      </c>
      <c r="AK38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385" s="3" t="s">
        <v>1366</v>
      </c>
      <c r="AU385" s="13"/>
    </row>
    <row r="386" spans="1:49" ht="17.25" customHeight="1">
      <c r="B386" s="329" t="s">
        <v>19</v>
      </c>
      <c r="C386" s="3" t="s">
        <v>19</v>
      </c>
      <c r="D386" s="3" t="s">
        <v>200</v>
      </c>
      <c r="E386" s="10" t="s">
        <v>205</v>
      </c>
      <c r="F386" s="3" t="s">
        <v>288</v>
      </c>
      <c r="G386" s="3">
        <v>0.1</v>
      </c>
      <c r="H386" s="3">
        <f>0.01*0.09</f>
        <v>8.9999999999999998E-4</v>
      </c>
      <c r="I386" s="24">
        <v>1.24</v>
      </c>
      <c r="K386" s="8" t="s">
        <v>1008</v>
      </c>
      <c r="L386" s="3" t="s">
        <v>1009</v>
      </c>
      <c r="M386" s="3" t="s">
        <v>223</v>
      </c>
      <c r="N386" s="3" t="s">
        <v>1010</v>
      </c>
      <c r="O386" s="3" t="s">
        <v>358</v>
      </c>
      <c r="P38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86" s="4">
        <v>37</v>
      </c>
      <c r="R386" s="4">
        <v>7</v>
      </c>
      <c r="U386" s="4" t="s">
        <v>89</v>
      </c>
      <c r="W386" s="3" t="s">
        <v>13</v>
      </c>
      <c r="Y386" s="4">
        <v>22.5</v>
      </c>
      <c r="Z386" s="4">
        <f>10*7</f>
        <v>70</v>
      </c>
      <c r="AA386" s="5">
        <f t="shared" si="23"/>
        <v>0.32142857142857145</v>
      </c>
      <c r="AB386" s="5"/>
      <c r="AC38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6" s="5" t="str">
        <f>IF(Tabelle1[[#This Row],[Nicht einbezogen weil…]]="",IFERROR(1000*Tabelle1[[#This Row],[Formfaktor]]/Tabelle1[[#This Row],[Thickness '[mm']]],""),"")</f>
        <v/>
      </c>
      <c r="AE386" s="5" t="str">
        <f>IF(Tabelle1[[#This Row],[Nicht einbezogen weil…]]="",IFERROR(Tabelle1[[#This Row],[specific surface '[m^2/m^3']]]/Tabelle1[[#This Row],[Density 
'[g/cm3']]]/1000000,""),"")</f>
        <v/>
      </c>
      <c r="AF386" s="5" t="str">
        <f>IF(Tabelle1[[#This Row],[Nicht einbezogen weil…]]="",IFERROR(365*10*Tabelle1[[#This Row],[Abbaurate '[%/d']]]*Tabelle1[[#This Row],[Thickness '[mm']]]/Tabelle1[[#This Row],[Formfaktor]],""),"")</f>
        <v/>
      </c>
      <c r="AG386" s="327" t="str">
        <f>IF(OR(Tabelle1[[#This Row],[Nicht einbezogen weil…]]="",Tabelle1[[#This Row],[Nicht einbezogen weil…]]="nicht-natürlich"),IF(Tabelle1[[#This Row],[Formfaktor]]=2, 1,IF(Tabelle1[[#This Row],[Formfaktor]]=4,2,IF(Tabelle1[[#This Row],[Formfaktor]]=6,3,""))),"")</f>
        <v/>
      </c>
      <c r="AH386"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8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86" s="6">
        <v>1</v>
      </c>
      <c r="AK38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86" s="3" t="s">
        <v>975</v>
      </c>
      <c r="AM386" s="3" t="s">
        <v>967</v>
      </c>
      <c r="AN386" s="3" t="s">
        <v>824</v>
      </c>
      <c r="AT386" s="10" t="s">
        <v>200</v>
      </c>
      <c r="AU386" s="13" t="s">
        <v>200</v>
      </c>
      <c r="AW386" s="10" t="s">
        <v>813</v>
      </c>
    </row>
    <row r="387" spans="1:49" ht="17.25" customHeight="1">
      <c r="B387" s="7" t="s">
        <v>2</v>
      </c>
      <c r="C387" s="3" t="s">
        <v>320</v>
      </c>
      <c r="D387" s="3" t="s">
        <v>223</v>
      </c>
      <c r="E387" s="10"/>
      <c r="F387" s="3" t="s">
        <v>476</v>
      </c>
      <c r="G387" s="3">
        <v>0.2</v>
      </c>
      <c r="H387" s="106">
        <f t="shared" ref="H387:H392" si="24">4*PI()*((G387/2)^2)</f>
        <v>0.12566370614359174</v>
      </c>
      <c r="I387" s="3" t="s">
        <v>341</v>
      </c>
      <c r="J387" s="3" t="s">
        <v>321</v>
      </c>
      <c r="K387" s="8" t="s">
        <v>322</v>
      </c>
      <c r="L387" s="3" t="s">
        <v>325</v>
      </c>
      <c r="M387" s="3" t="s">
        <v>223</v>
      </c>
      <c r="N387" s="3" t="s">
        <v>326</v>
      </c>
      <c r="O387" s="3" t="s">
        <v>358</v>
      </c>
      <c r="P38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87" s="4">
        <v>45</v>
      </c>
      <c r="R387" s="4">
        <v>7.1</v>
      </c>
      <c r="W387" s="3" t="s">
        <v>13</v>
      </c>
      <c r="Y387" s="4">
        <v>50</v>
      </c>
      <c r="Z387" s="4">
        <f>9*7</f>
        <v>63</v>
      </c>
      <c r="AA387" s="5">
        <f>+Y387/Z387</f>
        <v>0.79365079365079361</v>
      </c>
      <c r="AB387" s="5"/>
      <c r="AC38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7" s="97" t="str">
        <f>IF(Tabelle1[[#This Row],[Nicht einbezogen weil…]]="",IFERROR(1000*Tabelle1[[#This Row],[Formfaktor]]/Tabelle1[[#This Row],[Thickness '[mm']]],""),"")</f>
        <v/>
      </c>
      <c r="AE387" s="98" t="str">
        <f>IF(Tabelle1[[#This Row],[Nicht einbezogen weil…]]="",IFERROR(Tabelle1[[#This Row],[specific surface '[m^2/m^3']]]/Tabelle1[[#This Row],[Density 
'[g/cm3']]]/1000000,""),"")</f>
        <v/>
      </c>
      <c r="AF387" s="97" t="str">
        <f>IF(Tabelle1[[#This Row],[Nicht einbezogen weil…]]="",IFERROR(365*10*Tabelle1[[#This Row],[Abbaurate '[%/d']]]*Tabelle1[[#This Row],[Thickness '[mm']]]/Tabelle1[[#This Row],[Formfaktor]],""),"")</f>
        <v/>
      </c>
      <c r="AG387" s="99">
        <f>IF(OR(Tabelle1[[#This Row],[Nicht einbezogen weil…]]="",Tabelle1[[#This Row],[Nicht einbezogen weil…]]="nicht-natürlich"),IF(Tabelle1[[#This Row],[Formfaktor]]=2, 1,IF(Tabelle1[[#This Row],[Formfaktor]]=4,2,IF(Tabelle1[[#This Row],[Formfaktor]]=6,3,""))),"")</f>
        <v>1</v>
      </c>
      <c r="AH387" s="97">
        <f>IF(OR(Tabelle1[[#This Row],[Nicht einbezogen weil…]]="",Tabelle1[[#This Row],[Nicht einbezogen weil…]]="nicht-natürlich"),IFERROR(Tabelle1[[#This Row],[Thickness '[mm']]]/Tabelle1[[#This Row],[Dauer des Abbaus
'[Tage']]]*1000*0.5*365*(1-(1-Tabelle1[[#This Row],[Abbaurate '[%/d']]]/100*Tabelle1[[#This Row],[Dauer des Abbaus
'[Tage']]])^(1/Tabelle1[[#This Row],[Exponent]])),""),"")</f>
        <v>289.68253968253964</v>
      </c>
      <c r="AI38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PLA_Boden/Kompost_nicht natürlich</v>
      </c>
      <c r="AJ387" s="71">
        <v>1</v>
      </c>
      <c r="AK38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87" s="3" t="s">
        <v>327</v>
      </c>
      <c r="AM387" s="3" t="s">
        <v>967</v>
      </c>
      <c r="AN387" s="3" t="s">
        <v>328</v>
      </c>
      <c r="AO387" s="3" t="s">
        <v>200</v>
      </c>
      <c r="AP387" s="3" t="s">
        <v>200</v>
      </c>
      <c r="AT387" s="10" t="s">
        <v>200</v>
      </c>
      <c r="AU387" s="13" t="s">
        <v>200</v>
      </c>
    </row>
    <row r="388" spans="1:49" ht="17.25" customHeight="1">
      <c r="B388" s="7" t="s">
        <v>2</v>
      </c>
      <c r="C388" s="3" t="s">
        <v>320</v>
      </c>
      <c r="D388" s="3" t="s">
        <v>223</v>
      </c>
      <c r="E388" s="10"/>
      <c r="F388" s="3" t="s">
        <v>476</v>
      </c>
      <c r="G388" s="3">
        <v>0.2</v>
      </c>
      <c r="H388" s="106">
        <f t="shared" si="24"/>
        <v>0.12566370614359174</v>
      </c>
      <c r="I388" s="3" t="s">
        <v>341</v>
      </c>
      <c r="J388" s="3" t="s">
        <v>321</v>
      </c>
      <c r="K388" s="8" t="s">
        <v>322</v>
      </c>
      <c r="L388" s="3" t="s">
        <v>325</v>
      </c>
      <c r="M388" s="3" t="s">
        <v>223</v>
      </c>
      <c r="N388" s="3" t="s">
        <v>326</v>
      </c>
      <c r="O388" s="3" t="s">
        <v>358</v>
      </c>
      <c r="P38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88" s="4">
        <v>50</v>
      </c>
      <c r="R388" s="4">
        <v>7.1</v>
      </c>
      <c r="W388" s="3" t="s">
        <v>13</v>
      </c>
      <c r="Y388" s="4">
        <v>3</v>
      </c>
      <c r="Z388" s="4">
        <v>30</v>
      </c>
      <c r="AA388" s="5">
        <f>+Y388/Z388</f>
        <v>0.1</v>
      </c>
      <c r="AB388" s="5"/>
      <c r="AC38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8" s="97" t="str">
        <f>IF(Tabelle1[[#This Row],[Nicht einbezogen weil…]]="",IFERROR(1000*Tabelle1[[#This Row],[Formfaktor]]/Tabelle1[[#This Row],[Thickness '[mm']]],""),"")</f>
        <v/>
      </c>
      <c r="AE388" s="98" t="str">
        <f>IF(Tabelle1[[#This Row],[Nicht einbezogen weil…]]="",IFERROR(Tabelle1[[#This Row],[specific surface '[m^2/m^3']]]/Tabelle1[[#This Row],[Density 
'[g/cm3']]]/1000000,""),"")</f>
        <v/>
      </c>
      <c r="AF388" s="97" t="str">
        <f>IF(Tabelle1[[#This Row],[Nicht einbezogen weil…]]="",IFERROR(365*10*Tabelle1[[#This Row],[Abbaurate '[%/d']]]*Tabelle1[[#This Row],[Thickness '[mm']]]/Tabelle1[[#This Row],[Formfaktor]],""),"")</f>
        <v/>
      </c>
      <c r="AG388" s="99">
        <f>IF(OR(Tabelle1[[#This Row],[Nicht einbezogen weil…]]="",Tabelle1[[#This Row],[Nicht einbezogen weil…]]="nicht-natürlich"),IF(Tabelle1[[#This Row],[Formfaktor]]=2, 1,IF(Tabelle1[[#This Row],[Formfaktor]]=4,2,IF(Tabelle1[[#This Row],[Formfaktor]]=6,3,""))),"")</f>
        <v>1</v>
      </c>
      <c r="AH388" s="97">
        <f>IF(OR(Tabelle1[[#This Row],[Nicht einbezogen weil…]]="",Tabelle1[[#This Row],[Nicht einbezogen weil…]]="nicht-natürlich"),IFERROR(Tabelle1[[#This Row],[Thickness '[mm']]]/Tabelle1[[#This Row],[Dauer des Abbaus
'[Tage']]]*1000*0.5*365*(1-(1-Tabelle1[[#This Row],[Abbaurate '[%/d']]]/100*Tabelle1[[#This Row],[Dauer des Abbaus
'[Tage']]])^(1/Tabelle1[[#This Row],[Exponent]])),""),"")</f>
        <v>36.500000000000036</v>
      </c>
      <c r="AI38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PLA_Boden/Kompost_nicht natürlich</v>
      </c>
      <c r="AJ388" s="71">
        <v>1</v>
      </c>
      <c r="AK38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88" s="3" t="s">
        <v>327</v>
      </c>
      <c r="AM388" s="3" t="s">
        <v>967</v>
      </c>
      <c r="AN388" s="3" t="s">
        <v>328</v>
      </c>
      <c r="AO388" s="3" t="s">
        <v>200</v>
      </c>
      <c r="AP388" s="3" t="s">
        <v>200</v>
      </c>
      <c r="AT388" s="10" t="s">
        <v>200</v>
      </c>
      <c r="AU388" s="13" t="s">
        <v>200</v>
      </c>
    </row>
    <row r="389" spans="1:49" ht="17.25" customHeight="1">
      <c r="B389" s="7" t="s">
        <v>2</v>
      </c>
      <c r="C389" s="3" t="s">
        <v>320</v>
      </c>
      <c r="D389" s="3" t="s">
        <v>223</v>
      </c>
      <c r="E389" s="10"/>
      <c r="F389" s="3" t="s">
        <v>476</v>
      </c>
      <c r="G389" s="3">
        <v>0.2</v>
      </c>
      <c r="H389" s="106">
        <f t="shared" si="24"/>
        <v>0.12566370614359174</v>
      </c>
      <c r="I389" s="3" t="s">
        <v>341</v>
      </c>
      <c r="J389" s="3" t="s">
        <v>321</v>
      </c>
      <c r="K389" s="8" t="s">
        <v>322</v>
      </c>
      <c r="L389" s="3" t="s">
        <v>323</v>
      </c>
      <c r="M389" s="3" t="s">
        <v>223</v>
      </c>
      <c r="N389" s="3" t="s">
        <v>324</v>
      </c>
      <c r="O389" s="3" t="s">
        <v>358</v>
      </c>
      <c r="P38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89" s="4">
        <v>37</v>
      </c>
      <c r="R389" s="4">
        <v>7.2</v>
      </c>
      <c r="W389" s="3" t="s">
        <v>13</v>
      </c>
      <c r="Y389" s="4">
        <v>20</v>
      </c>
      <c r="Z389" s="4">
        <v>365</v>
      </c>
      <c r="AA389" s="5">
        <f>Y389/Z389</f>
        <v>5.4794520547945202E-2</v>
      </c>
      <c r="AB389" s="5"/>
      <c r="AC38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89" s="97" t="str">
        <f>IF(Tabelle1[[#This Row],[Nicht einbezogen weil…]]="",IFERROR(1000*Tabelle1[[#This Row],[Formfaktor]]/Tabelle1[[#This Row],[Thickness '[mm']]],""),"")</f>
        <v/>
      </c>
      <c r="AE389" s="98" t="str">
        <f>IF(Tabelle1[[#This Row],[Nicht einbezogen weil…]]="",IFERROR(Tabelle1[[#This Row],[specific surface '[m^2/m^3']]]/Tabelle1[[#This Row],[Density 
'[g/cm3']]]/1000000,""),"")</f>
        <v/>
      </c>
      <c r="AF389" s="97" t="str">
        <f>IF(Tabelle1[[#This Row],[Nicht einbezogen weil…]]="",IFERROR(365*10*Tabelle1[[#This Row],[Abbaurate '[%/d']]]*Tabelle1[[#This Row],[Thickness '[mm']]]/Tabelle1[[#This Row],[Formfaktor]],""),"")</f>
        <v/>
      </c>
      <c r="AG389" s="99">
        <f>IF(OR(Tabelle1[[#This Row],[Nicht einbezogen weil…]]="",Tabelle1[[#This Row],[Nicht einbezogen weil…]]="nicht-natürlich"),IF(Tabelle1[[#This Row],[Formfaktor]]=2, 1,IF(Tabelle1[[#This Row],[Formfaktor]]=4,2,IF(Tabelle1[[#This Row],[Formfaktor]]=6,3,""))),"")</f>
        <v>1</v>
      </c>
      <c r="AH389" s="97">
        <f>IF(OR(Tabelle1[[#This Row],[Nicht einbezogen weil…]]="",Tabelle1[[#This Row],[Nicht einbezogen weil…]]="nicht-natürlich"),IFERROR(Tabelle1[[#This Row],[Thickness '[mm']]]/Tabelle1[[#This Row],[Dauer des Abbaus
'[Tage']]]*1000*0.5*365*(1-(1-Tabelle1[[#This Row],[Abbaurate '[%/d']]]/100*Tabelle1[[#This Row],[Dauer des Abbaus
'[Tage']]])^(1/Tabelle1[[#This Row],[Exponent]])),""),"")</f>
        <v>20</v>
      </c>
      <c r="AI38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PLA_Boden/Kompost_nicht natürlich</v>
      </c>
      <c r="AJ389" s="71">
        <v>1</v>
      </c>
      <c r="AK38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89" s="3" t="s">
        <v>327</v>
      </c>
      <c r="AM389" s="3" t="s">
        <v>967</v>
      </c>
      <c r="AN389" s="3" t="s">
        <v>328</v>
      </c>
      <c r="AO389" s="3" t="s">
        <v>200</v>
      </c>
      <c r="AP389" s="3" t="s">
        <v>200</v>
      </c>
      <c r="AT389" s="10" t="s">
        <v>200</v>
      </c>
      <c r="AU389" s="13" t="s">
        <v>200</v>
      </c>
    </row>
    <row r="390" spans="1:49" ht="17.25" customHeight="1">
      <c r="B390" s="7" t="s">
        <v>2</v>
      </c>
      <c r="C390" s="3" t="s">
        <v>320</v>
      </c>
      <c r="D390" s="3" t="s">
        <v>223</v>
      </c>
      <c r="E390" s="10"/>
      <c r="F390" s="3" t="s">
        <v>476</v>
      </c>
      <c r="G390" s="3">
        <v>0.2</v>
      </c>
      <c r="H390" s="106">
        <f t="shared" si="24"/>
        <v>0.12566370614359174</v>
      </c>
      <c r="I390" s="3" t="s">
        <v>341</v>
      </c>
      <c r="J390" s="3" t="s">
        <v>321</v>
      </c>
      <c r="K390" s="8" t="s">
        <v>322</v>
      </c>
      <c r="L390" s="3" t="s">
        <v>323</v>
      </c>
      <c r="M390" s="3" t="s">
        <v>223</v>
      </c>
      <c r="N390" s="3" t="s">
        <v>324</v>
      </c>
      <c r="O390" s="3" t="s">
        <v>358</v>
      </c>
      <c r="P39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90" s="4">
        <v>45</v>
      </c>
      <c r="R390" s="4">
        <v>7.2</v>
      </c>
      <c r="W390" s="3" t="s">
        <v>13</v>
      </c>
      <c r="Y390" s="4">
        <v>57</v>
      </c>
      <c r="Z390" s="4">
        <f>9*7</f>
        <v>63</v>
      </c>
      <c r="AA390" s="5">
        <f>+Y390/Z390</f>
        <v>0.90476190476190477</v>
      </c>
      <c r="AB390" s="5"/>
      <c r="AC39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90" s="97" t="str">
        <f>IF(Tabelle1[[#This Row],[Nicht einbezogen weil…]]="",IFERROR(1000*Tabelle1[[#This Row],[Formfaktor]]/Tabelle1[[#This Row],[Thickness '[mm']]],""),"")</f>
        <v/>
      </c>
      <c r="AE390" s="98" t="str">
        <f>IF(Tabelle1[[#This Row],[Nicht einbezogen weil…]]="",IFERROR(Tabelle1[[#This Row],[specific surface '[m^2/m^3']]]/Tabelle1[[#This Row],[Density 
'[g/cm3']]]/1000000,""),"")</f>
        <v/>
      </c>
      <c r="AF390" s="97" t="str">
        <f>IF(Tabelle1[[#This Row],[Nicht einbezogen weil…]]="",IFERROR(365*10*Tabelle1[[#This Row],[Abbaurate '[%/d']]]*Tabelle1[[#This Row],[Thickness '[mm']]]/Tabelle1[[#This Row],[Formfaktor]],""),"")</f>
        <v/>
      </c>
      <c r="AG390" s="99">
        <f>IF(OR(Tabelle1[[#This Row],[Nicht einbezogen weil…]]="",Tabelle1[[#This Row],[Nicht einbezogen weil…]]="nicht-natürlich"),IF(Tabelle1[[#This Row],[Formfaktor]]=2, 1,IF(Tabelle1[[#This Row],[Formfaktor]]=4,2,IF(Tabelle1[[#This Row],[Formfaktor]]=6,3,""))),"")</f>
        <v>1</v>
      </c>
      <c r="AH390" s="97">
        <f>IF(OR(Tabelle1[[#This Row],[Nicht einbezogen weil…]]="",Tabelle1[[#This Row],[Nicht einbezogen weil…]]="nicht-natürlich"),IFERROR(Tabelle1[[#This Row],[Thickness '[mm']]]/Tabelle1[[#This Row],[Dauer des Abbaus
'[Tage']]]*1000*0.5*365*(1-(1-Tabelle1[[#This Row],[Abbaurate '[%/d']]]/100*Tabelle1[[#This Row],[Dauer des Abbaus
'[Tage']]])^(1/Tabelle1[[#This Row],[Exponent]])),""),"")</f>
        <v>330.23809523809518</v>
      </c>
      <c r="AI39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PLA_Boden/Kompost_nicht natürlich</v>
      </c>
      <c r="AJ390" s="71">
        <v>1</v>
      </c>
      <c r="AK39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90" s="3" t="s">
        <v>327</v>
      </c>
      <c r="AM390" s="3" t="s">
        <v>967</v>
      </c>
      <c r="AN390" s="3" t="s">
        <v>328</v>
      </c>
      <c r="AO390" s="3" t="s">
        <v>200</v>
      </c>
      <c r="AP390" s="3" t="s">
        <v>200</v>
      </c>
      <c r="AT390" s="10" t="s">
        <v>200</v>
      </c>
      <c r="AU390" s="13" t="s">
        <v>200</v>
      </c>
    </row>
    <row r="391" spans="1:49" ht="17.25" customHeight="1">
      <c r="B391" s="7" t="s">
        <v>2</v>
      </c>
      <c r="C391" s="3" t="s">
        <v>320</v>
      </c>
      <c r="D391" s="3" t="s">
        <v>223</v>
      </c>
      <c r="E391" s="10"/>
      <c r="F391" s="3" t="s">
        <v>476</v>
      </c>
      <c r="G391" s="3">
        <v>0.2</v>
      </c>
      <c r="H391" s="106">
        <f t="shared" si="24"/>
        <v>0.12566370614359174</v>
      </c>
      <c r="I391" s="3" t="s">
        <v>341</v>
      </c>
      <c r="J391" s="3" t="s">
        <v>321</v>
      </c>
      <c r="K391" s="8" t="s">
        <v>322</v>
      </c>
      <c r="L391" s="3" t="s">
        <v>323</v>
      </c>
      <c r="M391" s="3" t="s">
        <v>223</v>
      </c>
      <c r="N391" s="3" t="s">
        <v>324</v>
      </c>
      <c r="O391" s="3" t="s">
        <v>358</v>
      </c>
      <c r="P39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91" s="4">
        <v>50</v>
      </c>
      <c r="R391" s="4">
        <v>7.2</v>
      </c>
      <c r="W391" s="3" t="s">
        <v>13</v>
      </c>
      <c r="Y391" s="4">
        <v>44</v>
      </c>
      <c r="Z391" s="4">
        <f>5*7</f>
        <v>35</v>
      </c>
      <c r="AA391" s="5">
        <f>+Y391/Z391</f>
        <v>1.2571428571428571</v>
      </c>
      <c r="AB391" s="5"/>
      <c r="AC39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91" s="97" t="str">
        <f>IF(Tabelle1[[#This Row],[Nicht einbezogen weil…]]="",IFERROR(1000*Tabelle1[[#This Row],[Formfaktor]]/Tabelle1[[#This Row],[Thickness '[mm']]],""),"")</f>
        <v/>
      </c>
      <c r="AE391" s="98" t="str">
        <f>IF(Tabelle1[[#This Row],[Nicht einbezogen weil…]]="",IFERROR(Tabelle1[[#This Row],[specific surface '[m^2/m^3']]]/Tabelle1[[#This Row],[Density 
'[g/cm3']]]/1000000,""),"")</f>
        <v/>
      </c>
      <c r="AF391" s="97" t="str">
        <f>IF(Tabelle1[[#This Row],[Nicht einbezogen weil…]]="",IFERROR(365*10*Tabelle1[[#This Row],[Abbaurate '[%/d']]]*Tabelle1[[#This Row],[Thickness '[mm']]]/Tabelle1[[#This Row],[Formfaktor]],""),"")</f>
        <v/>
      </c>
      <c r="AG391" s="99">
        <f>IF(OR(Tabelle1[[#This Row],[Nicht einbezogen weil…]]="",Tabelle1[[#This Row],[Nicht einbezogen weil…]]="nicht-natürlich"),IF(Tabelle1[[#This Row],[Formfaktor]]=2, 1,IF(Tabelle1[[#This Row],[Formfaktor]]=4,2,IF(Tabelle1[[#This Row],[Formfaktor]]=6,3,""))),"")</f>
        <v>1</v>
      </c>
      <c r="AH391" s="97">
        <f>IF(OR(Tabelle1[[#This Row],[Nicht einbezogen weil…]]="",Tabelle1[[#This Row],[Nicht einbezogen weil…]]="nicht-natürlich"),IFERROR(Tabelle1[[#This Row],[Thickness '[mm']]]/Tabelle1[[#This Row],[Dauer des Abbaus
'[Tage']]]*1000*0.5*365*(1-(1-Tabelle1[[#This Row],[Abbaurate '[%/d']]]/100*Tabelle1[[#This Row],[Dauer des Abbaus
'[Tage']]])^(1/Tabelle1[[#This Row],[Exponent]])),""),"")</f>
        <v>458.85714285714283</v>
      </c>
      <c r="AI39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PLA_Boden/Kompost_nicht natürlich</v>
      </c>
      <c r="AJ391" s="71">
        <v>1</v>
      </c>
      <c r="AK39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91" s="3" t="s">
        <v>327</v>
      </c>
      <c r="AM391" s="3" t="s">
        <v>967</v>
      </c>
      <c r="AN391" s="3" t="s">
        <v>328</v>
      </c>
      <c r="AO391" s="3" t="s">
        <v>200</v>
      </c>
      <c r="AP391" s="3" t="s">
        <v>200</v>
      </c>
      <c r="AT391" s="10" t="s">
        <v>200</v>
      </c>
      <c r="AU391" s="13" t="s">
        <v>200</v>
      </c>
    </row>
    <row r="392" spans="1:49" ht="17.25" customHeight="1">
      <c r="B392" s="7" t="s">
        <v>2</v>
      </c>
      <c r="C392" s="3" t="s">
        <v>320</v>
      </c>
      <c r="D392" s="3" t="s">
        <v>223</v>
      </c>
      <c r="E392" s="10"/>
      <c r="F392" s="3" t="s">
        <v>476</v>
      </c>
      <c r="G392" s="3">
        <v>0.2</v>
      </c>
      <c r="H392" s="106">
        <f t="shared" si="24"/>
        <v>0.12566370614359174</v>
      </c>
      <c r="I392" s="3" t="s">
        <v>341</v>
      </c>
      <c r="J392" s="3" t="s">
        <v>321</v>
      </c>
      <c r="K392" s="8" t="s">
        <v>322</v>
      </c>
      <c r="L392" s="3" t="s">
        <v>325</v>
      </c>
      <c r="M392" s="3" t="s">
        <v>223</v>
      </c>
      <c r="N392" s="3" t="s">
        <v>326</v>
      </c>
      <c r="O392" s="3" t="s">
        <v>358</v>
      </c>
      <c r="P39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92" s="4">
        <v>37</v>
      </c>
      <c r="R392" s="4">
        <v>7.1</v>
      </c>
      <c r="W392" s="3" t="s">
        <v>13</v>
      </c>
      <c r="Y392" s="4">
        <v>0</v>
      </c>
      <c r="Z392" s="4">
        <v>365</v>
      </c>
      <c r="AA392" s="5">
        <f t="shared" ref="AA392:AA397" si="25">Y392/Z392</f>
        <v>0</v>
      </c>
      <c r="AB392" s="5"/>
      <c r="AC39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92" s="97" t="str">
        <f>IF(Tabelle1[[#This Row],[Nicht einbezogen weil…]]="",IFERROR(1000*Tabelle1[[#This Row],[Formfaktor]]/Tabelle1[[#This Row],[Thickness '[mm']]],""),"")</f>
        <v/>
      </c>
      <c r="AE392" s="98" t="str">
        <f>IF(Tabelle1[[#This Row],[Nicht einbezogen weil…]]="",IFERROR(Tabelle1[[#This Row],[specific surface '[m^2/m^3']]]/Tabelle1[[#This Row],[Density 
'[g/cm3']]]/1000000,""),"")</f>
        <v/>
      </c>
      <c r="AF392" s="97" t="str">
        <f>IF(Tabelle1[[#This Row],[Nicht einbezogen weil…]]="",IFERROR(365*10*Tabelle1[[#This Row],[Abbaurate '[%/d']]]*Tabelle1[[#This Row],[Thickness '[mm']]]/Tabelle1[[#This Row],[Formfaktor]],""),"")</f>
        <v/>
      </c>
      <c r="AG392" s="99">
        <f>IF(OR(Tabelle1[[#This Row],[Nicht einbezogen weil…]]="",Tabelle1[[#This Row],[Nicht einbezogen weil…]]="nicht-natürlich"),IF(Tabelle1[[#This Row],[Formfaktor]]=2, 1,IF(Tabelle1[[#This Row],[Formfaktor]]=4,2,IF(Tabelle1[[#This Row],[Formfaktor]]=6,3,""))),"")</f>
        <v>1</v>
      </c>
      <c r="AH392" s="97">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39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PLA_Boden/Kompost_nicht natürlich</v>
      </c>
      <c r="AJ392" s="71">
        <v>1</v>
      </c>
      <c r="AK39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92" s="3" t="s">
        <v>327</v>
      </c>
      <c r="AM392" s="3" t="s">
        <v>967</v>
      </c>
      <c r="AN392" s="3" t="s">
        <v>328</v>
      </c>
      <c r="AO392" s="3" t="s">
        <v>200</v>
      </c>
      <c r="AP392" s="3" t="s">
        <v>200</v>
      </c>
      <c r="AT392" s="10" t="s">
        <v>200</v>
      </c>
      <c r="AU392" s="13" t="s">
        <v>200</v>
      </c>
    </row>
    <row r="393" spans="1:49" ht="17.25" customHeight="1">
      <c r="B393" s="7" t="s">
        <v>789</v>
      </c>
      <c r="C393" s="3" t="s">
        <v>483</v>
      </c>
      <c r="D393" s="3" t="s">
        <v>200</v>
      </c>
      <c r="E393" s="10" t="s">
        <v>1127</v>
      </c>
      <c r="F393" s="3" t="s">
        <v>288</v>
      </c>
      <c r="G393" s="3">
        <v>0.2</v>
      </c>
      <c r="H393" s="3">
        <f>0.03*0.03</f>
        <v>8.9999999999999998E-4</v>
      </c>
      <c r="I393" s="3" t="s">
        <v>341</v>
      </c>
      <c r="J393" s="3" t="s">
        <v>484</v>
      </c>
      <c r="K393" s="8" t="s">
        <v>480</v>
      </c>
      <c r="M393" s="3" t="s">
        <v>223</v>
      </c>
      <c r="N393" s="3" t="s">
        <v>4</v>
      </c>
      <c r="O393" s="3" t="s">
        <v>294</v>
      </c>
      <c r="P39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93" s="4">
        <v>58</v>
      </c>
      <c r="W393" s="3" t="s">
        <v>13</v>
      </c>
      <c r="Y393" s="4">
        <v>100</v>
      </c>
      <c r="Z393" s="4">
        <v>28</v>
      </c>
      <c r="AA393" s="5">
        <f t="shared" si="25"/>
        <v>3.5714285714285716</v>
      </c>
      <c r="AB393" s="5"/>
      <c r="AC39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93" s="97" t="str">
        <f>IF(Tabelle1[[#This Row],[Nicht einbezogen weil…]]="",IFERROR(1000*Tabelle1[[#This Row],[Formfaktor]]/Tabelle1[[#This Row],[Thickness '[mm']]],""),"")</f>
        <v/>
      </c>
      <c r="AE393" s="98" t="str">
        <f>IF(Tabelle1[[#This Row],[Nicht einbezogen weil…]]="",IFERROR(Tabelle1[[#This Row],[specific surface '[m^2/m^3']]]/Tabelle1[[#This Row],[Density 
'[g/cm3']]]/1000000,""),"")</f>
        <v/>
      </c>
      <c r="AF393" s="97" t="str">
        <f>IF(Tabelle1[[#This Row],[Nicht einbezogen weil…]]="",IFERROR(365*10*Tabelle1[[#This Row],[Abbaurate '[%/d']]]*Tabelle1[[#This Row],[Thickness '[mm']]]/Tabelle1[[#This Row],[Formfaktor]],""),"")</f>
        <v/>
      </c>
      <c r="AG393" s="99" t="str">
        <f>IF(OR(Tabelle1[[#This Row],[Nicht einbezogen weil…]]="",Tabelle1[[#This Row],[Nicht einbezogen weil…]]="nicht-natürlich"),IF(Tabelle1[[#This Row],[Formfaktor]]=2, 1,IF(Tabelle1[[#This Row],[Formfaktor]]=4,2,IF(Tabelle1[[#This Row],[Formfaktor]]=6,3,""))),"")</f>
        <v/>
      </c>
      <c r="AH39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9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93" s="71">
        <v>1</v>
      </c>
      <c r="AK39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93" s="3" t="s">
        <v>136</v>
      </c>
      <c r="AM393" s="3" t="s">
        <v>196</v>
      </c>
      <c r="AO393" s="3" t="s">
        <v>200</v>
      </c>
      <c r="AP393" s="3" t="s">
        <v>200</v>
      </c>
      <c r="AT393" s="319" t="s">
        <v>223</v>
      </c>
      <c r="AU393" s="320" t="s">
        <v>200</v>
      </c>
      <c r="AV393" s="319"/>
    </row>
    <row r="394" spans="1:49" ht="17.25" customHeight="1">
      <c r="B394" s="11" t="s">
        <v>2</v>
      </c>
      <c r="C394" s="3" t="s">
        <v>652</v>
      </c>
      <c r="D394" s="3" t="s">
        <v>223</v>
      </c>
      <c r="E394" s="10"/>
      <c r="F394" s="74" t="s">
        <v>341</v>
      </c>
      <c r="G394" s="74" t="s">
        <v>341</v>
      </c>
      <c r="H394" s="74" t="s">
        <v>341</v>
      </c>
      <c r="I394" s="74" t="s">
        <v>341</v>
      </c>
      <c r="M394" s="3" t="s">
        <v>223</v>
      </c>
      <c r="N394" s="3" t="s">
        <v>655</v>
      </c>
      <c r="O394" s="3" t="s">
        <v>294</v>
      </c>
      <c r="P39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94" s="4">
        <v>30</v>
      </c>
      <c r="U394" s="4" t="s">
        <v>12</v>
      </c>
      <c r="W394" s="3" t="s">
        <v>190</v>
      </c>
      <c r="Y394" s="4">
        <v>0.97</v>
      </c>
      <c r="Z394" s="4">
        <v>14</v>
      </c>
      <c r="AA394" s="5">
        <f t="shared" si="25"/>
        <v>6.9285714285714284E-2</v>
      </c>
      <c r="AB394" s="5"/>
      <c r="AC394"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394" s="97" t="str">
        <f>IF(Tabelle1[[#This Row],[Nicht einbezogen weil…]]="",IFERROR(1000*Tabelle1[[#This Row],[Formfaktor]]/Tabelle1[[#This Row],[Thickness '[mm']]],""),"")</f>
        <v/>
      </c>
      <c r="AE394" s="98" t="str">
        <f>IF(Tabelle1[[#This Row],[Nicht einbezogen weil…]]="",IFERROR(Tabelle1[[#This Row],[specific surface '[m^2/m^3']]]/Tabelle1[[#This Row],[Density 
'[g/cm3']]]/1000000,""),"")</f>
        <v/>
      </c>
      <c r="AF394" s="97" t="str">
        <f>IF(Tabelle1[[#This Row],[Nicht einbezogen weil…]]="",IFERROR(365*10*Tabelle1[[#This Row],[Abbaurate '[%/d']]]*Tabelle1[[#This Row],[Thickness '[mm']]]/Tabelle1[[#This Row],[Formfaktor]],""),"")</f>
        <v/>
      </c>
      <c r="AG394" s="99" t="str">
        <f>IF(OR(Tabelle1[[#This Row],[Nicht einbezogen weil…]]="",Tabelle1[[#This Row],[Nicht einbezogen weil…]]="nicht-natürlich"),IF(Tabelle1[[#This Row],[Formfaktor]]=2, 1,IF(Tabelle1[[#This Row],[Formfaktor]]=4,2,IF(Tabelle1[[#This Row],[Formfaktor]]=6,3,""))),"")</f>
        <v/>
      </c>
      <c r="AH39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9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94" s="71">
        <v>1</v>
      </c>
      <c r="AK39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394" s="3" t="s">
        <v>386</v>
      </c>
      <c r="AM394" s="3" t="s">
        <v>962</v>
      </c>
      <c r="AN394" s="3" t="s">
        <v>538</v>
      </c>
      <c r="AO394" s="3" t="s">
        <v>200</v>
      </c>
      <c r="AP394" s="3" t="s">
        <v>200</v>
      </c>
      <c r="AT394" s="10" t="s">
        <v>223</v>
      </c>
      <c r="AU394" s="13" t="s">
        <v>200</v>
      </c>
    </row>
    <row r="395" spans="1:49" ht="17.25" customHeight="1">
      <c r="B395" s="7" t="s">
        <v>2</v>
      </c>
      <c r="C395" s="3" t="s">
        <v>2</v>
      </c>
      <c r="D395" s="3" t="s">
        <v>223</v>
      </c>
      <c r="E395" s="10"/>
      <c r="F395" s="3" t="s">
        <v>428</v>
      </c>
      <c r="G395" s="3" t="s">
        <v>341</v>
      </c>
      <c r="H395" s="3">
        <f>0.005*0.005</f>
        <v>2.5000000000000001E-5</v>
      </c>
      <c r="I395" s="3">
        <v>1.25</v>
      </c>
      <c r="J395" s="3" t="s">
        <v>457</v>
      </c>
      <c r="K395" s="8" t="s">
        <v>458</v>
      </c>
      <c r="L395" s="3" t="s">
        <v>229</v>
      </c>
      <c r="M395" s="3" t="s">
        <v>223</v>
      </c>
      <c r="N395" s="3" t="s">
        <v>461</v>
      </c>
      <c r="O395" s="3" t="s">
        <v>358</v>
      </c>
      <c r="P39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95" s="4">
        <v>58</v>
      </c>
      <c r="W395" s="3" t="s">
        <v>90</v>
      </c>
      <c r="Y395" s="4">
        <v>13</v>
      </c>
      <c r="Z395" s="4">
        <v>60</v>
      </c>
      <c r="AA395" s="5">
        <f t="shared" si="25"/>
        <v>0.21666666666666667</v>
      </c>
      <c r="AB395" s="5"/>
      <c r="AC39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95" s="97" t="str">
        <f>IF(Tabelle1[[#This Row],[Nicht einbezogen weil…]]="",IFERROR(1000*Tabelle1[[#This Row],[Formfaktor]]/Tabelle1[[#This Row],[Thickness '[mm']]],""),"")</f>
        <v/>
      </c>
      <c r="AE395" s="98" t="str">
        <f>IF(Tabelle1[[#This Row],[Nicht einbezogen weil…]]="",IFERROR(Tabelle1[[#This Row],[specific surface '[m^2/m^3']]]/Tabelle1[[#This Row],[Density 
'[g/cm3']]]/1000000,""),"")</f>
        <v/>
      </c>
      <c r="AF395" s="97" t="str">
        <f>IF(Tabelle1[[#This Row],[Nicht einbezogen weil…]]="",IFERROR(365*10*Tabelle1[[#This Row],[Abbaurate '[%/d']]]*Tabelle1[[#This Row],[Thickness '[mm']]]/Tabelle1[[#This Row],[Formfaktor]],""),"")</f>
        <v/>
      </c>
      <c r="AG395" s="99" t="str">
        <f>IF(OR(Tabelle1[[#This Row],[Nicht einbezogen weil…]]="",Tabelle1[[#This Row],[Nicht einbezogen weil…]]="nicht-natürlich"),IF(Tabelle1[[#This Row],[Formfaktor]]=2, 1,IF(Tabelle1[[#This Row],[Formfaktor]]=4,2,IF(Tabelle1[[#This Row],[Formfaktor]]=6,3,""))),"")</f>
        <v/>
      </c>
      <c r="AH39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9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95" s="71">
        <v>1</v>
      </c>
      <c r="AK39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395" s="3" t="s">
        <v>131</v>
      </c>
      <c r="AM395" s="3" t="s">
        <v>196</v>
      </c>
      <c r="AO395" s="3" t="s">
        <v>235</v>
      </c>
      <c r="AT395" s="319" t="s">
        <v>223</v>
      </c>
      <c r="AU395" s="320" t="s">
        <v>200</v>
      </c>
      <c r="AV395" s="319"/>
    </row>
    <row r="396" spans="1:49" ht="17.25" customHeight="1">
      <c r="B396" s="7" t="s">
        <v>789</v>
      </c>
      <c r="C396" s="3" t="s">
        <v>482</v>
      </c>
      <c r="D396" s="3" t="s">
        <v>200</v>
      </c>
      <c r="E396" s="10" t="s">
        <v>1127</v>
      </c>
      <c r="F396" s="3" t="s">
        <v>288</v>
      </c>
      <c r="G396" s="3">
        <v>0.2</v>
      </c>
      <c r="H396" s="3">
        <f>0.03*0.03</f>
        <v>8.9999999999999998E-4</v>
      </c>
      <c r="I396" s="3" t="s">
        <v>341</v>
      </c>
      <c r="J396" s="3" t="s">
        <v>484</v>
      </c>
      <c r="K396" s="8" t="s">
        <v>480</v>
      </c>
      <c r="M396" s="3" t="s">
        <v>223</v>
      </c>
      <c r="N396" s="3" t="s">
        <v>4</v>
      </c>
      <c r="O396" s="3" t="s">
        <v>294</v>
      </c>
      <c r="P39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96" s="4">
        <v>58</v>
      </c>
      <c r="W396" s="3" t="s">
        <v>13</v>
      </c>
      <c r="Y396" s="4">
        <v>100</v>
      </c>
      <c r="Z396" s="4">
        <v>35</v>
      </c>
      <c r="AA396" s="5">
        <f t="shared" si="25"/>
        <v>2.8571428571428572</v>
      </c>
      <c r="AB396" s="5"/>
      <c r="AC39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96" s="97" t="str">
        <f>IF(Tabelle1[[#This Row],[Nicht einbezogen weil…]]="",IFERROR(1000*Tabelle1[[#This Row],[Formfaktor]]/Tabelle1[[#This Row],[Thickness '[mm']]],""),"")</f>
        <v/>
      </c>
      <c r="AE396" s="98" t="str">
        <f>IF(Tabelle1[[#This Row],[Nicht einbezogen weil…]]="",IFERROR(Tabelle1[[#This Row],[specific surface '[m^2/m^3']]]/Tabelle1[[#This Row],[Density 
'[g/cm3']]]/1000000,""),"")</f>
        <v/>
      </c>
      <c r="AF396" s="97" t="str">
        <f>IF(Tabelle1[[#This Row],[Nicht einbezogen weil…]]="",IFERROR(365*10*Tabelle1[[#This Row],[Abbaurate '[%/d']]]*Tabelle1[[#This Row],[Thickness '[mm']]]/Tabelle1[[#This Row],[Formfaktor]],""),"")</f>
        <v/>
      </c>
      <c r="AG396" s="99" t="str">
        <f>IF(OR(Tabelle1[[#This Row],[Nicht einbezogen weil…]]="",Tabelle1[[#This Row],[Nicht einbezogen weil…]]="nicht-natürlich"),IF(Tabelle1[[#This Row],[Formfaktor]]=2, 1,IF(Tabelle1[[#This Row],[Formfaktor]]=4,2,IF(Tabelle1[[#This Row],[Formfaktor]]=6,3,""))),"")</f>
        <v/>
      </c>
      <c r="AH39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9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96" s="71">
        <v>1</v>
      </c>
      <c r="AK39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96" s="3" t="s">
        <v>136</v>
      </c>
      <c r="AM396" s="3" t="s">
        <v>196</v>
      </c>
      <c r="AN396" s="3" t="s">
        <v>538</v>
      </c>
      <c r="AO396" s="3" t="s">
        <v>200</v>
      </c>
      <c r="AP396" s="3" t="s">
        <v>200</v>
      </c>
      <c r="AT396" s="319" t="s">
        <v>223</v>
      </c>
      <c r="AU396" s="320" t="s">
        <v>200</v>
      </c>
      <c r="AV396" s="319"/>
    </row>
    <row r="397" spans="1:49" ht="17.25" customHeight="1">
      <c r="B397" s="7" t="s">
        <v>2</v>
      </c>
      <c r="C397" s="3" t="s">
        <v>2</v>
      </c>
      <c r="D397" s="3" t="s">
        <v>223</v>
      </c>
      <c r="E397" s="10"/>
      <c r="F397" s="3" t="s">
        <v>288</v>
      </c>
      <c r="G397" s="3">
        <v>0.03</v>
      </c>
      <c r="H397" s="3">
        <f>0.03*0.04</f>
        <v>1.1999999999999999E-3</v>
      </c>
      <c r="I397" s="3" t="s">
        <v>341</v>
      </c>
      <c r="J397" s="3" t="s">
        <v>516</v>
      </c>
      <c r="K397" s="3" t="s">
        <v>684</v>
      </c>
      <c r="M397" s="3" t="s">
        <v>223</v>
      </c>
      <c r="N397" s="3" t="s">
        <v>3</v>
      </c>
      <c r="O397" s="3" t="s">
        <v>358</v>
      </c>
      <c r="P39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97" s="4">
        <v>58</v>
      </c>
      <c r="S397" s="4">
        <v>60</v>
      </c>
      <c r="U397" s="4" t="s">
        <v>12</v>
      </c>
      <c r="W397" s="3" t="s">
        <v>13</v>
      </c>
      <c r="Y397" s="4">
        <v>60</v>
      </c>
      <c r="Z397" s="4">
        <v>30</v>
      </c>
      <c r="AA397" s="5">
        <f t="shared" si="25"/>
        <v>2</v>
      </c>
      <c r="AB397" s="5"/>
      <c r="AC39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97" s="97" t="str">
        <f>IF(Tabelle1[[#This Row],[Nicht einbezogen weil…]]="",IFERROR(1000*Tabelle1[[#This Row],[Formfaktor]]/Tabelle1[[#This Row],[Thickness '[mm']]],""),"")</f>
        <v/>
      </c>
      <c r="AE397" s="98" t="str">
        <f>IF(Tabelle1[[#This Row],[Nicht einbezogen weil…]]="",IFERROR(Tabelle1[[#This Row],[specific surface '[m^2/m^3']]]/Tabelle1[[#This Row],[Density 
'[g/cm3']]]/1000000,""),"")</f>
        <v/>
      </c>
      <c r="AF397" s="97" t="str">
        <f>IF(Tabelle1[[#This Row],[Nicht einbezogen weil…]]="",IFERROR(365*10*Tabelle1[[#This Row],[Abbaurate '[%/d']]]*Tabelle1[[#This Row],[Thickness '[mm']]]/Tabelle1[[#This Row],[Formfaktor]],""),"")</f>
        <v/>
      </c>
      <c r="AG397" s="99">
        <f>IF(OR(Tabelle1[[#This Row],[Nicht einbezogen weil…]]="",Tabelle1[[#This Row],[Nicht einbezogen weil…]]="nicht-natürlich"),IF(Tabelle1[[#This Row],[Formfaktor]]=2, 1,IF(Tabelle1[[#This Row],[Formfaktor]]=4,2,IF(Tabelle1[[#This Row],[Formfaktor]]=6,3,""))),"")</f>
        <v>1</v>
      </c>
      <c r="AH397" s="97">
        <f>IF(OR(Tabelle1[[#This Row],[Nicht einbezogen weil…]]="",Tabelle1[[#This Row],[Nicht einbezogen weil…]]="nicht-natürlich"),IFERROR(Tabelle1[[#This Row],[Thickness '[mm']]]/Tabelle1[[#This Row],[Dauer des Abbaus
'[Tage']]]*1000*0.5*365*(1-(1-Tabelle1[[#This Row],[Abbaurate '[%/d']]]/100*Tabelle1[[#This Row],[Dauer des Abbaus
'[Tage']]])^(1/Tabelle1[[#This Row],[Exponent]])),""),"")</f>
        <v>109.5</v>
      </c>
      <c r="AI39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PLA_Boden/Kompost_nicht natürlich</v>
      </c>
      <c r="AJ397" s="71">
        <v>1</v>
      </c>
      <c r="AK39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97" s="3" t="s">
        <v>134</v>
      </c>
      <c r="AM397" s="3" t="s">
        <v>196</v>
      </c>
      <c r="AO397" s="3" t="s">
        <v>200</v>
      </c>
      <c r="AP397" s="3" t="s">
        <v>200</v>
      </c>
      <c r="AT397" s="319" t="s">
        <v>223</v>
      </c>
      <c r="AU397" s="320" t="s">
        <v>200</v>
      </c>
      <c r="AV397" s="319"/>
    </row>
    <row r="398" spans="1:49" ht="17.25" customHeight="1">
      <c r="B398" s="7" t="s">
        <v>2</v>
      </c>
      <c r="C398" s="3" t="s">
        <v>2</v>
      </c>
      <c r="D398" s="3" t="s">
        <v>223</v>
      </c>
      <c r="E398" s="10"/>
      <c r="F398" s="3" t="s">
        <v>288</v>
      </c>
      <c r="G398" s="3">
        <v>1</v>
      </c>
      <c r="H398" s="3">
        <f>0.2*0.1</f>
        <v>2.0000000000000004E-2</v>
      </c>
      <c r="I398" s="3" t="s">
        <v>341</v>
      </c>
      <c r="K398" s="8" t="s">
        <v>335</v>
      </c>
      <c r="M398" s="3" t="s">
        <v>223</v>
      </c>
      <c r="N398" s="3" t="s">
        <v>338</v>
      </c>
      <c r="O398" s="3" t="s">
        <v>23</v>
      </c>
      <c r="P39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398" s="4" t="s">
        <v>336</v>
      </c>
      <c r="R398" s="4" t="s">
        <v>337</v>
      </c>
      <c r="W398" s="3" t="s">
        <v>13</v>
      </c>
      <c r="Y398" s="4">
        <v>2.5</v>
      </c>
      <c r="Z398" s="4">
        <v>540</v>
      </c>
      <c r="AA398" s="5">
        <f>+Y398/Z398</f>
        <v>4.6296296296296294E-3</v>
      </c>
      <c r="AB398" s="5"/>
      <c r="AC39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98" s="97" t="str">
        <f>IF(Tabelle1[[#This Row],[Nicht einbezogen weil…]]="",IFERROR(1000*Tabelle1[[#This Row],[Formfaktor]]/Tabelle1[[#This Row],[Thickness '[mm']]],""),"")</f>
        <v/>
      </c>
      <c r="AE398" s="98" t="str">
        <f>IF(Tabelle1[[#This Row],[Nicht einbezogen weil…]]="",IFERROR(Tabelle1[[#This Row],[specific surface '[m^2/m^3']]]/Tabelle1[[#This Row],[Density 
'[g/cm3']]]/1000000,""),"")</f>
        <v/>
      </c>
      <c r="AF398" s="97" t="str">
        <f>IF(Tabelle1[[#This Row],[Nicht einbezogen weil…]]="",IFERROR(365*10*Tabelle1[[#This Row],[Abbaurate '[%/d']]]*Tabelle1[[#This Row],[Thickness '[mm']]]/Tabelle1[[#This Row],[Formfaktor]],""),"")</f>
        <v/>
      </c>
      <c r="AG398" s="99">
        <f>IF(OR(Tabelle1[[#This Row],[Nicht einbezogen weil…]]="",Tabelle1[[#This Row],[Nicht einbezogen weil…]]="nicht-natürlich"),IF(Tabelle1[[#This Row],[Formfaktor]]=2, 1,IF(Tabelle1[[#This Row],[Formfaktor]]=4,2,IF(Tabelle1[[#This Row],[Formfaktor]]=6,3,""))),"")</f>
        <v>1</v>
      </c>
      <c r="AH398" s="97">
        <f>IF(OR(Tabelle1[[#This Row],[Nicht einbezogen weil…]]="",Tabelle1[[#This Row],[Nicht einbezogen weil…]]="nicht-natürlich"),IFERROR(Tabelle1[[#This Row],[Thickness '[mm']]]/Tabelle1[[#This Row],[Dauer des Abbaus
'[Tage']]]*1000*0.5*365*(1-(1-Tabelle1[[#This Row],[Abbaurate '[%/d']]]/100*Tabelle1[[#This Row],[Dauer des Abbaus
'[Tage']]])^(1/Tabelle1[[#This Row],[Exponent]])),""),"")</f>
        <v>8.4490740740740815</v>
      </c>
      <c r="AI39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PLA_Meerwasser_nicht natürlich</v>
      </c>
      <c r="AJ398" s="71">
        <v>1</v>
      </c>
      <c r="AK39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398" s="3" t="s">
        <v>339</v>
      </c>
      <c r="AM398" s="3" t="s">
        <v>967</v>
      </c>
      <c r="AN398" s="3" t="s">
        <v>328</v>
      </c>
      <c r="AO398" s="3" t="s">
        <v>200</v>
      </c>
      <c r="AP398" s="3" t="s">
        <v>200</v>
      </c>
      <c r="AT398" s="10" t="s">
        <v>200</v>
      </c>
      <c r="AU398" s="13" t="s">
        <v>200</v>
      </c>
    </row>
    <row r="399" spans="1:49" ht="17.25" customHeight="1">
      <c r="B399" s="7" t="s">
        <v>789</v>
      </c>
      <c r="C399" s="3" t="s">
        <v>485</v>
      </c>
      <c r="D399" s="3" t="s">
        <v>200</v>
      </c>
      <c r="E399" s="10" t="s">
        <v>1127</v>
      </c>
      <c r="F399" s="3" t="s">
        <v>288</v>
      </c>
      <c r="G399" s="3">
        <v>0.2</v>
      </c>
      <c r="H399" s="3">
        <f>0.03*0.03</f>
        <v>8.9999999999999998E-4</v>
      </c>
      <c r="I399" s="3" t="s">
        <v>341</v>
      </c>
      <c r="J399" s="3" t="s">
        <v>484</v>
      </c>
      <c r="K399" s="8" t="s">
        <v>480</v>
      </c>
      <c r="M399" s="3" t="s">
        <v>223</v>
      </c>
      <c r="N399" s="3" t="s">
        <v>4</v>
      </c>
      <c r="O399" s="3" t="s">
        <v>294</v>
      </c>
      <c r="P39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399" s="4">
        <v>58</v>
      </c>
      <c r="W399" s="3" t="s">
        <v>13</v>
      </c>
      <c r="Y399" s="4">
        <v>100</v>
      </c>
      <c r="Z399" s="4">
        <v>28</v>
      </c>
      <c r="AA399" s="5">
        <f t="shared" ref="AA399:AA404" si="26">Y399/Z399</f>
        <v>3.5714285714285716</v>
      </c>
      <c r="AB399" s="5"/>
      <c r="AC39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399" s="97" t="str">
        <f>IF(Tabelle1[[#This Row],[Nicht einbezogen weil…]]="",IFERROR(1000*Tabelle1[[#This Row],[Formfaktor]]/Tabelle1[[#This Row],[Thickness '[mm']]],""),"")</f>
        <v/>
      </c>
      <c r="AE399" s="98" t="str">
        <f>IF(Tabelle1[[#This Row],[Nicht einbezogen weil…]]="",IFERROR(Tabelle1[[#This Row],[specific surface '[m^2/m^3']]]/Tabelle1[[#This Row],[Density 
'[g/cm3']]]/1000000,""),"")</f>
        <v/>
      </c>
      <c r="AF399" s="97" t="str">
        <f>IF(Tabelle1[[#This Row],[Nicht einbezogen weil…]]="",IFERROR(365*10*Tabelle1[[#This Row],[Abbaurate '[%/d']]]*Tabelle1[[#This Row],[Thickness '[mm']]]/Tabelle1[[#This Row],[Formfaktor]],""),"")</f>
        <v/>
      </c>
      <c r="AG399" s="99" t="str">
        <f>IF(OR(Tabelle1[[#This Row],[Nicht einbezogen weil…]]="",Tabelle1[[#This Row],[Nicht einbezogen weil…]]="nicht-natürlich"),IF(Tabelle1[[#This Row],[Formfaktor]]=2, 1,IF(Tabelle1[[#This Row],[Formfaktor]]=4,2,IF(Tabelle1[[#This Row],[Formfaktor]]=6,3,""))),"")</f>
        <v/>
      </c>
      <c r="AH39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39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399" s="71">
        <v>1</v>
      </c>
      <c r="AK39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399" s="3" t="s">
        <v>136</v>
      </c>
      <c r="AM399" s="3" t="s">
        <v>196</v>
      </c>
      <c r="AN399" s="3" t="s">
        <v>538</v>
      </c>
      <c r="AO399" s="3" t="s">
        <v>200</v>
      </c>
      <c r="AP399" s="3" t="s">
        <v>200</v>
      </c>
      <c r="AT399" s="319" t="s">
        <v>223</v>
      </c>
      <c r="AU399" s="320" t="s">
        <v>200</v>
      </c>
      <c r="AV399" s="319"/>
    </row>
    <row r="400" spans="1:49" ht="17.25" customHeight="1">
      <c r="B400" s="7" t="s">
        <v>789</v>
      </c>
      <c r="C400" s="3" t="s">
        <v>481</v>
      </c>
      <c r="D400" s="3" t="s">
        <v>200</v>
      </c>
      <c r="E400" s="10" t="s">
        <v>1127</v>
      </c>
      <c r="F400" s="3" t="s">
        <v>288</v>
      </c>
      <c r="G400" s="3">
        <v>0.2</v>
      </c>
      <c r="H400" s="3">
        <f>0.03*0.03</f>
        <v>8.9999999999999998E-4</v>
      </c>
      <c r="I400" s="3" t="s">
        <v>341</v>
      </c>
      <c r="J400" s="3" t="s">
        <v>484</v>
      </c>
      <c r="K400" s="8" t="s">
        <v>480</v>
      </c>
      <c r="M400" s="3" t="s">
        <v>223</v>
      </c>
      <c r="N400" s="3" t="s">
        <v>4</v>
      </c>
      <c r="O400" s="3" t="s">
        <v>294</v>
      </c>
      <c r="P40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00" s="4">
        <v>58</v>
      </c>
      <c r="W400" s="3" t="s">
        <v>13</v>
      </c>
      <c r="Y400" s="4">
        <v>100</v>
      </c>
      <c r="Z400" s="4">
        <v>28</v>
      </c>
      <c r="AA400" s="5">
        <f t="shared" si="26"/>
        <v>3.5714285714285716</v>
      </c>
      <c r="AB400" s="5"/>
      <c r="AC40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00" s="97" t="str">
        <f>IF(Tabelle1[[#This Row],[Nicht einbezogen weil…]]="",IFERROR(1000*Tabelle1[[#This Row],[Formfaktor]]/Tabelle1[[#This Row],[Thickness '[mm']]],""),"")</f>
        <v/>
      </c>
      <c r="AE400" s="98" t="str">
        <f>IF(Tabelle1[[#This Row],[Nicht einbezogen weil…]]="",IFERROR(Tabelle1[[#This Row],[specific surface '[m^2/m^3']]]/Tabelle1[[#This Row],[Density 
'[g/cm3']]]/1000000,""),"")</f>
        <v/>
      </c>
      <c r="AF400" s="97" t="str">
        <f>IF(Tabelle1[[#This Row],[Nicht einbezogen weil…]]="",IFERROR(365*10*Tabelle1[[#This Row],[Abbaurate '[%/d']]]*Tabelle1[[#This Row],[Thickness '[mm']]]/Tabelle1[[#This Row],[Formfaktor]],""),"")</f>
        <v/>
      </c>
      <c r="AG400" s="99" t="str">
        <f>IF(OR(Tabelle1[[#This Row],[Nicht einbezogen weil…]]="",Tabelle1[[#This Row],[Nicht einbezogen weil…]]="nicht-natürlich"),IF(Tabelle1[[#This Row],[Formfaktor]]=2, 1,IF(Tabelle1[[#This Row],[Formfaktor]]=4,2,IF(Tabelle1[[#This Row],[Formfaktor]]=6,3,""))),"")</f>
        <v/>
      </c>
      <c r="AH40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0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00" s="71">
        <v>1</v>
      </c>
      <c r="AK40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00" s="3" t="s">
        <v>136</v>
      </c>
      <c r="AM400" s="3" t="s">
        <v>196</v>
      </c>
      <c r="AN400" s="3" t="s">
        <v>538</v>
      </c>
      <c r="AO400" s="3" t="s">
        <v>200</v>
      </c>
      <c r="AP400" s="3" t="s">
        <v>200</v>
      </c>
      <c r="AT400" s="319" t="s">
        <v>223</v>
      </c>
      <c r="AU400" s="320" t="s">
        <v>200</v>
      </c>
      <c r="AV400" s="319"/>
    </row>
    <row r="401" spans="1:49" ht="17.25" customHeight="1">
      <c r="B401" s="7" t="s">
        <v>165</v>
      </c>
      <c r="C401" s="3" t="s">
        <v>312</v>
      </c>
      <c r="D401" s="3" t="s">
        <v>200</v>
      </c>
      <c r="E401" s="10" t="s">
        <v>203</v>
      </c>
      <c r="F401" s="3" t="s">
        <v>288</v>
      </c>
      <c r="G401" s="3">
        <v>0.05</v>
      </c>
      <c r="H401" s="3">
        <f>0.08*0.025</f>
        <v>2E-3</v>
      </c>
      <c r="I401" s="24">
        <v>0.90300000000000002</v>
      </c>
      <c r="J401" s="3" t="s">
        <v>313</v>
      </c>
      <c r="K401" s="8" t="s">
        <v>315</v>
      </c>
      <c r="L401" s="3" t="s">
        <v>316</v>
      </c>
      <c r="M401" s="3" t="s">
        <v>223</v>
      </c>
      <c r="N401" s="3" t="s">
        <v>318</v>
      </c>
      <c r="O401" s="3" t="s">
        <v>294</v>
      </c>
      <c r="P40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01" s="4" t="s">
        <v>317</v>
      </c>
      <c r="R401" s="4">
        <v>7</v>
      </c>
      <c r="U401" s="4" t="s">
        <v>12</v>
      </c>
      <c r="W401" s="3" t="s">
        <v>13</v>
      </c>
      <c r="Y401" s="4">
        <v>10.7</v>
      </c>
      <c r="Z401" s="4">
        <v>365</v>
      </c>
      <c r="AA401" s="5">
        <f t="shared" si="26"/>
        <v>2.9315068493150683E-2</v>
      </c>
      <c r="AB401" s="5"/>
      <c r="AC40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01" s="97" t="str">
        <f>IF(Tabelle1[[#This Row],[Nicht einbezogen weil…]]="",IFERROR(1000*Tabelle1[[#This Row],[Formfaktor]]/Tabelle1[[#This Row],[Thickness '[mm']]],""),"")</f>
        <v/>
      </c>
      <c r="AE401" s="98" t="str">
        <f>IF(Tabelle1[[#This Row],[Nicht einbezogen weil…]]="",IFERROR(Tabelle1[[#This Row],[specific surface '[m^2/m^3']]]/Tabelle1[[#This Row],[Density 
'[g/cm3']]]/1000000,""),"")</f>
        <v/>
      </c>
      <c r="AF401" s="97" t="str">
        <f>IF(Tabelle1[[#This Row],[Nicht einbezogen weil…]]="",IFERROR(365*10*Tabelle1[[#This Row],[Abbaurate '[%/d']]]*Tabelle1[[#This Row],[Thickness '[mm']]]/Tabelle1[[#This Row],[Formfaktor]],""),"")</f>
        <v/>
      </c>
      <c r="AG401" s="99" t="str">
        <f>IF(OR(Tabelle1[[#This Row],[Nicht einbezogen weil…]]="",Tabelle1[[#This Row],[Nicht einbezogen weil…]]="nicht-natürlich"),IF(Tabelle1[[#This Row],[Formfaktor]]=2, 1,IF(Tabelle1[[#This Row],[Formfaktor]]=4,2,IF(Tabelle1[[#This Row],[Formfaktor]]=6,3,""))),"")</f>
        <v/>
      </c>
      <c r="AH40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0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01" s="71">
        <v>1</v>
      </c>
      <c r="AK40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01" s="3" t="s">
        <v>319</v>
      </c>
      <c r="AM401" s="3" t="s">
        <v>971</v>
      </c>
      <c r="AN401" s="3" t="s">
        <v>307</v>
      </c>
      <c r="AO401" s="3" t="s">
        <v>200</v>
      </c>
      <c r="AP401" s="3" t="s">
        <v>200</v>
      </c>
      <c r="AT401" s="10" t="s">
        <v>200</v>
      </c>
      <c r="AU401" s="13" t="s">
        <v>200</v>
      </c>
      <c r="AW401" s="10" t="s">
        <v>775</v>
      </c>
    </row>
    <row r="402" spans="1:49" ht="17.25" customHeight="1">
      <c r="B402" s="7" t="s">
        <v>165</v>
      </c>
      <c r="C402" s="3" t="s">
        <v>311</v>
      </c>
      <c r="D402" s="3" t="s">
        <v>223</v>
      </c>
      <c r="E402" s="10"/>
      <c r="F402" s="3" t="s">
        <v>288</v>
      </c>
      <c r="G402" s="3">
        <v>0.05</v>
      </c>
      <c r="H402" s="3">
        <f>0.08*0.025</f>
        <v>2E-3</v>
      </c>
      <c r="I402" s="24">
        <v>0.90300000000000002</v>
      </c>
      <c r="J402" s="3" t="s">
        <v>313</v>
      </c>
      <c r="K402" s="8" t="s">
        <v>314</v>
      </c>
      <c r="L402" s="3" t="s">
        <v>316</v>
      </c>
      <c r="M402" s="3" t="s">
        <v>223</v>
      </c>
      <c r="N402" s="3" t="s">
        <v>318</v>
      </c>
      <c r="O402" s="3" t="s">
        <v>294</v>
      </c>
      <c r="P40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02" s="4" t="s">
        <v>317</v>
      </c>
      <c r="R402" s="4">
        <v>7</v>
      </c>
      <c r="U402" s="4" t="s">
        <v>12</v>
      </c>
      <c r="W402" s="3" t="s">
        <v>13</v>
      </c>
      <c r="Y402" s="4">
        <v>0.43</v>
      </c>
      <c r="Z402" s="4">
        <v>365</v>
      </c>
      <c r="AA402" s="5">
        <f t="shared" si="26"/>
        <v>1.1780821917808219E-3</v>
      </c>
      <c r="AB402" s="5"/>
      <c r="AC40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02" s="97" t="str">
        <f>IF(Tabelle1[[#This Row],[Nicht einbezogen weil…]]="",IFERROR(1000*Tabelle1[[#This Row],[Formfaktor]]/Tabelle1[[#This Row],[Thickness '[mm']]],""),"")</f>
        <v/>
      </c>
      <c r="AE402" s="98" t="str">
        <f>IF(Tabelle1[[#This Row],[Nicht einbezogen weil…]]="",IFERROR(Tabelle1[[#This Row],[specific surface '[m^2/m^3']]]/Tabelle1[[#This Row],[Density 
'[g/cm3']]]/1000000,""),"")</f>
        <v/>
      </c>
      <c r="AF402" s="97" t="str">
        <f>IF(Tabelle1[[#This Row],[Nicht einbezogen weil…]]="",IFERROR(365*10*Tabelle1[[#This Row],[Abbaurate '[%/d']]]*Tabelle1[[#This Row],[Thickness '[mm']]]/Tabelle1[[#This Row],[Formfaktor]],""),"")</f>
        <v/>
      </c>
      <c r="AG402" s="99" t="str">
        <f>IF(OR(Tabelle1[[#This Row],[Nicht einbezogen weil…]]="",Tabelle1[[#This Row],[Nicht einbezogen weil…]]="nicht-natürlich"),IF(Tabelle1[[#This Row],[Formfaktor]]=2, 1,IF(Tabelle1[[#This Row],[Formfaktor]]=4,2,IF(Tabelle1[[#This Row],[Formfaktor]]=6,3,""))),"")</f>
        <v/>
      </c>
      <c r="AH40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0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02" s="71">
        <v>1</v>
      </c>
      <c r="AK40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402" s="3" t="s">
        <v>319</v>
      </c>
      <c r="AM402" s="3" t="s">
        <v>971</v>
      </c>
      <c r="AN402" s="3" t="s">
        <v>307</v>
      </c>
      <c r="AO402" s="3" t="s">
        <v>200</v>
      </c>
      <c r="AP402" s="3" t="s">
        <v>200</v>
      </c>
      <c r="AT402" s="10" t="s">
        <v>200</v>
      </c>
      <c r="AU402" s="13" t="s">
        <v>200</v>
      </c>
      <c r="AW402" s="10" t="s">
        <v>775</v>
      </c>
    </row>
    <row r="403" spans="1:49" ht="17.25" customHeight="1">
      <c r="B403" s="7" t="s">
        <v>2</v>
      </c>
      <c r="C403" s="3" t="s">
        <v>2</v>
      </c>
      <c r="D403" s="3" t="s">
        <v>223</v>
      </c>
      <c r="E403" s="10"/>
      <c r="F403" s="3" t="s">
        <v>428</v>
      </c>
      <c r="G403" s="3" t="s">
        <v>341</v>
      </c>
      <c r="H403" s="3">
        <f>0.01*0.01</f>
        <v>1E-4</v>
      </c>
      <c r="I403" s="3" t="s">
        <v>341</v>
      </c>
      <c r="J403" s="3" t="s">
        <v>563</v>
      </c>
      <c r="M403" s="3" t="s">
        <v>223</v>
      </c>
      <c r="N403" s="3" t="s">
        <v>3</v>
      </c>
      <c r="O403" s="3" t="s">
        <v>358</v>
      </c>
      <c r="P40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03" s="4">
        <v>58</v>
      </c>
      <c r="R403" s="4">
        <v>8.5</v>
      </c>
      <c r="S403" s="4">
        <v>63</v>
      </c>
      <c r="W403" s="3" t="s">
        <v>90</v>
      </c>
      <c r="Y403" s="4">
        <v>84</v>
      </c>
      <c r="Z403" s="4">
        <v>58</v>
      </c>
      <c r="AA403" s="5">
        <f t="shared" si="26"/>
        <v>1.4482758620689655</v>
      </c>
      <c r="AB403" s="5"/>
      <c r="AC40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03" s="97" t="str">
        <f>IF(Tabelle1[[#This Row],[Nicht einbezogen weil…]]="",IFERROR(1000*Tabelle1[[#This Row],[Formfaktor]]/Tabelle1[[#This Row],[Thickness '[mm']]],""),"")</f>
        <v/>
      </c>
      <c r="AE403" s="98" t="str">
        <f>IF(Tabelle1[[#This Row],[Nicht einbezogen weil…]]="",IFERROR(Tabelle1[[#This Row],[specific surface '[m^2/m^3']]]/Tabelle1[[#This Row],[Density 
'[g/cm3']]]/1000000,""),"")</f>
        <v/>
      </c>
      <c r="AF403" s="97" t="str">
        <f>IF(Tabelle1[[#This Row],[Nicht einbezogen weil…]]="",IFERROR(365*10*Tabelle1[[#This Row],[Abbaurate '[%/d']]]*Tabelle1[[#This Row],[Thickness '[mm']]]/Tabelle1[[#This Row],[Formfaktor]],""),"")</f>
        <v/>
      </c>
      <c r="AG403" s="99" t="str">
        <f>IF(OR(Tabelle1[[#This Row],[Nicht einbezogen weil…]]="",Tabelle1[[#This Row],[Nicht einbezogen weil…]]="nicht-natürlich"),IF(Tabelle1[[#This Row],[Formfaktor]]=2, 1,IF(Tabelle1[[#This Row],[Formfaktor]]=4,2,IF(Tabelle1[[#This Row],[Formfaktor]]=6,3,""))),"")</f>
        <v/>
      </c>
      <c r="AH40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0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03" s="71">
        <v>1</v>
      </c>
      <c r="AK40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03" s="3" t="s">
        <v>132</v>
      </c>
      <c r="AM403" s="3" t="s">
        <v>196</v>
      </c>
      <c r="AO403" s="3" t="s">
        <v>235</v>
      </c>
      <c r="AP403" s="3" t="s">
        <v>235</v>
      </c>
      <c r="AT403" s="319" t="s">
        <v>223</v>
      </c>
      <c r="AU403" s="320" t="s">
        <v>200</v>
      </c>
      <c r="AV403" s="319"/>
    </row>
    <row r="404" spans="1:49" ht="17.25" customHeight="1">
      <c r="B404" s="7" t="s">
        <v>2</v>
      </c>
      <c r="C404" s="3" t="s">
        <v>2</v>
      </c>
      <c r="D404" s="3" t="s">
        <v>223</v>
      </c>
      <c r="E404" s="10"/>
      <c r="F404" s="3" t="s">
        <v>288</v>
      </c>
      <c r="G404" s="3">
        <v>3.5000000000000003E-2</v>
      </c>
      <c r="H404" s="3">
        <f>0.05*0.05</f>
        <v>2.5000000000000005E-3</v>
      </c>
      <c r="I404" s="3" t="s">
        <v>341</v>
      </c>
      <c r="J404" s="3" t="s">
        <v>600</v>
      </c>
      <c r="M404" s="3" t="s">
        <v>223</v>
      </c>
      <c r="N404" s="3" t="s">
        <v>3</v>
      </c>
      <c r="O404" s="3" t="s">
        <v>358</v>
      </c>
      <c r="P40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04" s="4">
        <v>55</v>
      </c>
      <c r="T404" s="4">
        <v>70</v>
      </c>
      <c r="W404" s="3" t="s">
        <v>90</v>
      </c>
      <c r="Y404" s="4">
        <v>70</v>
      </c>
      <c r="Z404" s="4">
        <v>28</v>
      </c>
      <c r="AA404" s="5">
        <f t="shared" si="26"/>
        <v>2.5</v>
      </c>
      <c r="AB404" s="5"/>
      <c r="AC40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04" s="97" t="str">
        <f>IF(Tabelle1[[#This Row],[Nicht einbezogen weil…]]="",IFERROR(1000*Tabelle1[[#This Row],[Formfaktor]]/Tabelle1[[#This Row],[Thickness '[mm']]],""),"")</f>
        <v/>
      </c>
      <c r="AE404" s="98" t="str">
        <f>IF(Tabelle1[[#This Row],[Nicht einbezogen weil…]]="",IFERROR(Tabelle1[[#This Row],[specific surface '[m^2/m^3']]]/Tabelle1[[#This Row],[Density 
'[g/cm3']]]/1000000,""),"")</f>
        <v/>
      </c>
      <c r="AF404" s="97" t="str">
        <f>IF(Tabelle1[[#This Row],[Nicht einbezogen weil…]]="",IFERROR(365*10*Tabelle1[[#This Row],[Abbaurate '[%/d']]]*Tabelle1[[#This Row],[Thickness '[mm']]]/Tabelle1[[#This Row],[Formfaktor]],""),"")</f>
        <v/>
      </c>
      <c r="AG404" s="99">
        <f>IF(OR(Tabelle1[[#This Row],[Nicht einbezogen weil…]]="",Tabelle1[[#This Row],[Nicht einbezogen weil…]]="nicht-natürlich"),IF(Tabelle1[[#This Row],[Formfaktor]]=2, 1,IF(Tabelle1[[#This Row],[Formfaktor]]=4,2,IF(Tabelle1[[#This Row],[Formfaktor]]=6,3,""))),"")</f>
        <v>1</v>
      </c>
      <c r="AH404" s="97">
        <f>IF(OR(Tabelle1[[#This Row],[Nicht einbezogen weil…]]="",Tabelle1[[#This Row],[Nicht einbezogen weil…]]="nicht-natürlich"),IFERROR(Tabelle1[[#This Row],[Thickness '[mm']]]/Tabelle1[[#This Row],[Dauer des Abbaus
'[Tage']]]*1000*0.5*365*(1-(1-Tabelle1[[#This Row],[Abbaurate '[%/d']]]/100*Tabelle1[[#This Row],[Dauer des Abbaus
'[Tage']]])^(1/Tabelle1[[#This Row],[Exponent]])),""),"")</f>
        <v>159.68750000000003</v>
      </c>
      <c r="AI40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PLA_Boden/Kompost_nicht natürlich</v>
      </c>
      <c r="AJ404" s="71">
        <v>1</v>
      </c>
      <c r="AK40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404" s="3" t="s">
        <v>133</v>
      </c>
      <c r="AM404" s="3" t="s">
        <v>196</v>
      </c>
      <c r="AO404" s="3" t="s">
        <v>235</v>
      </c>
      <c r="AP404" s="3" t="s">
        <v>235</v>
      </c>
      <c r="AT404" s="319" t="s">
        <v>223</v>
      </c>
      <c r="AU404" s="320" t="s">
        <v>200</v>
      </c>
      <c r="AV404" s="319"/>
    </row>
    <row r="405" spans="1:49" ht="17.25" customHeight="1">
      <c r="B405" s="7" t="s">
        <v>2</v>
      </c>
      <c r="C405" s="3" t="s">
        <v>2</v>
      </c>
      <c r="D405" s="3" t="s">
        <v>223</v>
      </c>
      <c r="E405" s="10"/>
      <c r="F405" s="3" t="s">
        <v>241</v>
      </c>
      <c r="G405" s="3" t="s">
        <v>341</v>
      </c>
      <c r="H405" s="3" t="s">
        <v>341</v>
      </c>
      <c r="I405" s="3" t="s">
        <v>341</v>
      </c>
      <c r="J405" s="3" t="s">
        <v>498</v>
      </c>
      <c r="M405" s="3" t="s">
        <v>301</v>
      </c>
      <c r="N405" s="3" t="s">
        <v>94</v>
      </c>
      <c r="O405" s="3" t="s">
        <v>23</v>
      </c>
      <c r="P40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405" s="3" t="s">
        <v>90</v>
      </c>
      <c r="Y405" s="9" t="s">
        <v>501</v>
      </c>
      <c r="Z405" s="4">
        <v>180</v>
      </c>
      <c r="AA405" s="5">
        <f>4.45/Z405</f>
        <v>2.4722222222222222E-2</v>
      </c>
      <c r="AB405" s="5"/>
      <c r="AC40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05" s="97" t="str">
        <f>IF(Tabelle1[[#This Row],[Nicht einbezogen weil…]]="",IFERROR(1000*Tabelle1[[#This Row],[Formfaktor]]/Tabelle1[[#This Row],[Thickness '[mm']]],""),"")</f>
        <v/>
      </c>
      <c r="AE405" s="98" t="str">
        <f>IF(Tabelle1[[#This Row],[Nicht einbezogen weil…]]="",IFERROR(Tabelle1[[#This Row],[specific surface '[m^2/m^3']]]/Tabelle1[[#This Row],[Density 
'[g/cm3']]]/1000000,""),"")</f>
        <v/>
      </c>
      <c r="AF405" s="97" t="str">
        <f>IF(Tabelle1[[#This Row],[Nicht einbezogen weil…]]="",IFERROR(365*10*Tabelle1[[#This Row],[Abbaurate '[%/d']]]*Tabelle1[[#This Row],[Thickness '[mm']]]/Tabelle1[[#This Row],[Formfaktor]],""),"")</f>
        <v/>
      </c>
      <c r="AG405" s="99" t="str">
        <f>IF(OR(Tabelle1[[#This Row],[Nicht einbezogen weil…]]="",Tabelle1[[#This Row],[Nicht einbezogen weil…]]="nicht-natürlich"),IF(Tabelle1[[#This Row],[Formfaktor]]=2, 1,IF(Tabelle1[[#This Row],[Formfaktor]]=4,2,IF(Tabelle1[[#This Row],[Formfaktor]]=6,3,""))),"")</f>
        <v/>
      </c>
      <c r="AH40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0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05" s="71">
        <v>1</v>
      </c>
      <c r="AK40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05" s="3" t="s">
        <v>76</v>
      </c>
      <c r="AM405" s="3" t="s">
        <v>196</v>
      </c>
      <c r="AO405" s="3" t="s">
        <v>235</v>
      </c>
      <c r="AP405" s="3" t="s">
        <v>235</v>
      </c>
      <c r="AT405" s="10" t="s">
        <v>223</v>
      </c>
      <c r="AU405" s="13" t="s">
        <v>200</v>
      </c>
    </row>
    <row r="406" spans="1:49" ht="17.25" customHeight="1">
      <c r="B406" s="11" t="s">
        <v>2</v>
      </c>
      <c r="C406" s="3" t="s">
        <v>2</v>
      </c>
      <c r="D406" s="3" t="s">
        <v>223</v>
      </c>
      <c r="E406" s="10"/>
      <c r="F406" s="3" t="s">
        <v>371</v>
      </c>
      <c r="G406" s="3" t="s">
        <v>341</v>
      </c>
      <c r="H406" s="3" t="s">
        <v>341</v>
      </c>
      <c r="I406" s="3" t="s">
        <v>341</v>
      </c>
      <c r="J406" s="3" t="s">
        <v>608</v>
      </c>
      <c r="K406" s="8" t="s">
        <v>687</v>
      </c>
      <c r="M406" s="3" t="s">
        <v>301</v>
      </c>
      <c r="N406" s="3" t="s">
        <v>94</v>
      </c>
      <c r="O406" s="3" t="s">
        <v>23</v>
      </c>
      <c r="P40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406" s="3" t="s">
        <v>190</v>
      </c>
      <c r="Y406" s="4">
        <v>3.11</v>
      </c>
      <c r="Z406" s="4">
        <v>180</v>
      </c>
      <c r="AA406" s="5">
        <f t="shared" ref="AA406:AA418" si="27">Y406/Z406</f>
        <v>1.7277777777777777E-2</v>
      </c>
      <c r="AB406" s="5"/>
      <c r="AC40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06" s="97" t="str">
        <f>IF(Tabelle1[[#This Row],[Nicht einbezogen weil…]]="",IFERROR(1000*Tabelle1[[#This Row],[Formfaktor]]/Tabelle1[[#This Row],[Thickness '[mm']]],""),"")</f>
        <v/>
      </c>
      <c r="AE406" s="98" t="str">
        <f>IF(Tabelle1[[#This Row],[Nicht einbezogen weil…]]="",IFERROR(Tabelle1[[#This Row],[specific surface '[m^2/m^3']]]/Tabelle1[[#This Row],[Density 
'[g/cm3']]]/1000000,""),"")</f>
        <v/>
      </c>
      <c r="AF406" s="97" t="str">
        <f>IF(Tabelle1[[#This Row],[Nicht einbezogen weil…]]="",IFERROR(365*10*Tabelle1[[#This Row],[Abbaurate '[%/d']]]*Tabelle1[[#This Row],[Thickness '[mm']]]/Tabelle1[[#This Row],[Formfaktor]],""),"")</f>
        <v/>
      </c>
      <c r="AG406" s="99" t="str">
        <f>IF(OR(Tabelle1[[#This Row],[Nicht einbezogen weil…]]="",Tabelle1[[#This Row],[Nicht einbezogen weil…]]="nicht-natürlich"),IF(Tabelle1[[#This Row],[Formfaktor]]=2, 1,IF(Tabelle1[[#This Row],[Formfaktor]]=4,2,IF(Tabelle1[[#This Row],[Formfaktor]]=6,3,""))),"")</f>
        <v/>
      </c>
      <c r="AH40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0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06" s="71">
        <v>1</v>
      </c>
      <c r="AK40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06" s="3" t="s">
        <v>76</v>
      </c>
      <c r="AM406" s="17" t="s">
        <v>596</v>
      </c>
      <c r="AN406" s="3" t="s">
        <v>538</v>
      </c>
      <c r="AO406" s="3" t="s">
        <v>235</v>
      </c>
      <c r="AP406" s="3" t="s">
        <v>235</v>
      </c>
      <c r="AT406" s="10" t="s">
        <v>223</v>
      </c>
      <c r="AU406" s="13" t="s">
        <v>200</v>
      </c>
    </row>
    <row r="407" spans="1:49" ht="17.25" customHeight="1">
      <c r="B407" s="11" t="s">
        <v>2</v>
      </c>
      <c r="C407" s="3" t="s">
        <v>2</v>
      </c>
      <c r="D407" s="3" t="s">
        <v>223</v>
      </c>
      <c r="E407" s="10"/>
      <c r="F407" s="3" t="s">
        <v>371</v>
      </c>
      <c r="G407" s="3" t="s">
        <v>341</v>
      </c>
      <c r="H407" s="3" t="s">
        <v>341</v>
      </c>
      <c r="I407" s="3" t="s">
        <v>341</v>
      </c>
      <c r="J407" s="3" t="s">
        <v>609</v>
      </c>
      <c r="K407" s="8" t="s">
        <v>687</v>
      </c>
      <c r="M407" s="3" t="s">
        <v>301</v>
      </c>
      <c r="N407" s="3" t="s">
        <v>94</v>
      </c>
      <c r="O407" s="3" t="s">
        <v>23</v>
      </c>
      <c r="P40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407" s="3" t="s">
        <v>190</v>
      </c>
      <c r="Y407" s="4">
        <v>4.45</v>
      </c>
      <c r="Z407" s="4">
        <v>180</v>
      </c>
      <c r="AA407" s="5">
        <f t="shared" si="27"/>
        <v>2.4722222222222222E-2</v>
      </c>
      <c r="AB407" s="5"/>
      <c r="AC40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07" s="97" t="str">
        <f>IF(Tabelle1[[#This Row],[Nicht einbezogen weil…]]="",IFERROR(1000*Tabelle1[[#This Row],[Formfaktor]]/Tabelle1[[#This Row],[Thickness '[mm']]],""),"")</f>
        <v/>
      </c>
      <c r="AE407" s="98" t="str">
        <f>IF(Tabelle1[[#This Row],[Nicht einbezogen weil…]]="",IFERROR(Tabelle1[[#This Row],[specific surface '[m^2/m^3']]]/Tabelle1[[#This Row],[Density 
'[g/cm3']]]/1000000,""),"")</f>
        <v/>
      </c>
      <c r="AF407" s="97" t="str">
        <f>IF(Tabelle1[[#This Row],[Nicht einbezogen weil…]]="",IFERROR(365*10*Tabelle1[[#This Row],[Abbaurate '[%/d']]]*Tabelle1[[#This Row],[Thickness '[mm']]]/Tabelle1[[#This Row],[Formfaktor]],""),"")</f>
        <v/>
      </c>
      <c r="AG407" s="99" t="str">
        <f>IF(OR(Tabelle1[[#This Row],[Nicht einbezogen weil…]]="",Tabelle1[[#This Row],[Nicht einbezogen weil…]]="nicht-natürlich"),IF(Tabelle1[[#This Row],[Formfaktor]]=2, 1,IF(Tabelle1[[#This Row],[Formfaktor]]=4,2,IF(Tabelle1[[#This Row],[Formfaktor]]=6,3,""))),"")</f>
        <v/>
      </c>
      <c r="AH40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0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07" s="71">
        <v>1</v>
      </c>
      <c r="AK40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07" s="3" t="s">
        <v>76</v>
      </c>
      <c r="AM407" s="17" t="s">
        <v>596</v>
      </c>
      <c r="AN407" s="3" t="s">
        <v>538</v>
      </c>
      <c r="AO407" s="3" t="s">
        <v>235</v>
      </c>
      <c r="AP407" s="3" t="s">
        <v>235</v>
      </c>
      <c r="AT407" s="10" t="s">
        <v>223</v>
      </c>
      <c r="AU407" s="13" t="s">
        <v>200</v>
      </c>
    </row>
    <row r="408" spans="1:49" ht="17.25" customHeight="1">
      <c r="B408" s="7" t="s">
        <v>789</v>
      </c>
      <c r="C408" s="3" t="s">
        <v>459</v>
      </c>
      <c r="D408" s="3" t="s">
        <v>200</v>
      </c>
      <c r="E408" s="10" t="s">
        <v>1127</v>
      </c>
      <c r="F408" s="3" t="s">
        <v>428</v>
      </c>
      <c r="G408" s="3" t="s">
        <v>341</v>
      </c>
      <c r="H408" s="3">
        <f>0.005*0.005</f>
        <v>2.5000000000000001E-5</v>
      </c>
      <c r="I408" s="3" t="s">
        <v>341</v>
      </c>
      <c r="J408" s="3" t="s">
        <v>457</v>
      </c>
      <c r="K408" s="8" t="s">
        <v>458</v>
      </c>
      <c r="L408" s="3" t="s">
        <v>229</v>
      </c>
      <c r="M408" s="3" t="s">
        <v>223</v>
      </c>
      <c r="N408" s="3" t="s">
        <v>461</v>
      </c>
      <c r="O408" s="3" t="s">
        <v>358</v>
      </c>
      <c r="P40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08" s="4">
        <v>58</v>
      </c>
      <c r="W408" s="3" t="s">
        <v>90</v>
      </c>
      <c r="Y408" s="4">
        <v>53</v>
      </c>
      <c r="Z408" s="4">
        <v>60</v>
      </c>
      <c r="AA408" s="5">
        <f t="shared" si="27"/>
        <v>0.8833333333333333</v>
      </c>
      <c r="AB408" s="5"/>
      <c r="AC40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08" s="97" t="str">
        <f>IF(Tabelle1[[#This Row],[Nicht einbezogen weil…]]="",IFERROR(1000*Tabelle1[[#This Row],[Formfaktor]]/Tabelle1[[#This Row],[Thickness '[mm']]],""),"")</f>
        <v/>
      </c>
      <c r="AE408" s="98" t="str">
        <f>IF(Tabelle1[[#This Row],[Nicht einbezogen weil…]]="",IFERROR(Tabelle1[[#This Row],[specific surface '[m^2/m^3']]]/Tabelle1[[#This Row],[Density 
'[g/cm3']]]/1000000,""),"")</f>
        <v/>
      </c>
      <c r="AF408" s="97" t="str">
        <f>IF(Tabelle1[[#This Row],[Nicht einbezogen weil…]]="",IFERROR(365*10*Tabelle1[[#This Row],[Abbaurate '[%/d']]]*Tabelle1[[#This Row],[Thickness '[mm']]]/Tabelle1[[#This Row],[Formfaktor]],""),"")</f>
        <v/>
      </c>
      <c r="AG408" s="99" t="str">
        <f>IF(OR(Tabelle1[[#This Row],[Nicht einbezogen weil…]]="",Tabelle1[[#This Row],[Nicht einbezogen weil…]]="nicht-natürlich"),IF(Tabelle1[[#This Row],[Formfaktor]]=2, 1,IF(Tabelle1[[#This Row],[Formfaktor]]=4,2,IF(Tabelle1[[#This Row],[Formfaktor]]=6,3,""))),"")</f>
        <v/>
      </c>
      <c r="AH40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0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08" s="71">
        <v>1</v>
      </c>
      <c r="AK40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08" s="3" t="s">
        <v>131</v>
      </c>
      <c r="AM408" s="3" t="s">
        <v>196</v>
      </c>
      <c r="AO408" s="3" t="s">
        <v>235</v>
      </c>
      <c r="AT408" s="319" t="s">
        <v>223</v>
      </c>
      <c r="AU408" s="320" t="s">
        <v>200</v>
      </c>
      <c r="AV408" s="319"/>
    </row>
    <row r="409" spans="1:49" ht="17.25" customHeight="1">
      <c r="A409" s="10" t="s">
        <v>223</v>
      </c>
      <c r="B409" s="109" t="s">
        <v>1078</v>
      </c>
      <c r="C409" s="3" t="s">
        <v>1187</v>
      </c>
      <c r="D409" s="3" t="s">
        <v>223</v>
      </c>
      <c r="F409" s="3" t="s">
        <v>996</v>
      </c>
      <c r="G409" s="3">
        <v>2.5000000000000001E-2</v>
      </c>
      <c r="J409" s="3" t="s">
        <v>1367</v>
      </c>
      <c r="K409" s="8" t="s">
        <v>1382</v>
      </c>
      <c r="L409" s="3" t="s">
        <v>223</v>
      </c>
      <c r="M409" s="12" t="s">
        <v>301</v>
      </c>
      <c r="N409" s="3" t="s">
        <v>1380</v>
      </c>
      <c r="O409" s="3" t="s">
        <v>1104</v>
      </c>
      <c r="P40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09" s="4" t="s">
        <v>1373</v>
      </c>
      <c r="R409" s="4" t="s">
        <v>1371</v>
      </c>
      <c r="T409" s="4" t="s">
        <v>1370</v>
      </c>
      <c r="V409" s="4" t="s">
        <v>734</v>
      </c>
      <c r="W409" s="12" t="s">
        <v>190</v>
      </c>
      <c r="Y409" s="4">
        <v>37.4</v>
      </c>
      <c r="Z409" s="4">
        <v>248</v>
      </c>
      <c r="AA409" s="5">
        <f t="shared" si="27"/>
        <v>0.15080645161290321</v>
      </c>
      <c r="AB409" s="5"/>
      <c r="AC40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09" s="5">
        <f>IF(Tabelle1[[#This Row],[Nicht einbezogen weil…]]="",IFERROR(1000*Tabelle1[[#This Row],[Formfaktor]]/Tabelle1[[#This Row],[Thickness '[mm']]],""),"")</f>
        <v>80000</v>
      </c>
      <c r="AE409" s="5" t="str">
        <f>IF(Tabelle1[[#This Row],[Nicht einbezogen weil…]]="",IFERROR(Tabelle1[[#This Row],[specific surface '[m^2/m^3']]]/Tabelle1[[#This Row],[Density 
'[g/cm3']]]/1000000,""),"")</f>
        <v/>
      </c>
      <c r="AF409" s="5">
        <f>IF(Tabelle1[[#This Row],[Nicht einbezogen weil…]]="",IFERROR(365*10*Tabelle1[[#This Row],[Abbaurate '[%/d']]]*Tabelle1[[#This Row],[Thickness '[mm']]]/Tabelle1[[#This Row],[Formfaktor]],""),"")</f>
        <v>6.8805443548387091</v>
      </c>
      <c r="AG409" s="328">
        <f>IF(OR(Tabelle1[[#This Row],[Nicht einbezogen weil…]]="",Tabelle1[[#This Row],[Nicht einbezogen weil…]]="nicht-natürlich"),IF(Tabelle1[[#This Row],[Formfaktor]]=2, 1,IF(Tabelle1[[#This Row],[Formfaktor]]=4,2,IF(Tabelle1[[#This Row],[Formfaktor]]=6,3,""))),"")</f>
        <v>1</v>
      </c>
      <c r="AH409" s="5">
        <f>IF(OR(Tabelle1[[#This Row],[Nicht einbezogen weil…]]="",Tabelle1[[#This Row],[Nicht einbezogen weil…]]="nicht-natürlich"),IFERROR(Tabelle1[[#This Row],[Thickness '[mm']]]/Tabelle1[[#This Row],[Dauer des Abbaus
'[Tage']]]*1000*0.5*365*(1-(1-Tabelle1[[#This Row],[Abbaurate '[%/d']]]/100*Tabelle1[[#This Row],[Dauer des Abbaus
'[Tage']]])^(1/Tabelle1[[#This Row],[Exponent]])),""),"")</f>
        <v>6.8805443548387064</v>
      </c>
      <c r="AI40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PBSe_Benthic_natürlich</v>
      </c>
      <c r="AJ409" s="6">
        <v>1</v>
      </c>
      <c r="AK40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09" s="3" t="s">
        <v>1366</v>
      </c>
      <c r="AU409" s="13"/>
    </row>
    <row r="410" spans="1:49" ht="17.25" customHeight="1">
      <c r="A410" s="10" t="s">
        <v>223</v>
      </c>
      <c r="B410" s="109" t="s">
        <v>1078</v>
      </c>
      <c r="C410" s="3" t="s">
        <v>1187</v>
      </c>
      <c r="D410" s="3" t="s">
        <v>223</v>
      </c>
      <c r="F410" s="3" t="s">
        <v>996</v>
      </c>
      <c r="G410" s="3">
        <v>2.5000000000000001E-2</v>
      </c>
      <c r="J410" s="3" t="s">
        <v>1367</v>
      </c>
      <c r="K410" s="8" t="s">
        <v>1374</v>
      </c>
      <c r="L410" s="3" t="s">
        <v>223</v>
      </c>
      <c r="M410" s="12" t="s">
        <v>301</v>
      </c>
      <c r="N410" s="3" t="s">
        <v>1380</v>
      </c>
      <c r="O410" s="3" t="s">
        <v>1104</v>
      </c>
      <c r="P41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10" s="4" t="s">
        <v>1373</v>
      </c>
      <c r="R410" s="4" t="s">
        <v>1371</v>
      </c>
      <c r="T410" s="4" t="s">
        <v>1370</v>
      </c>
      <c r="V410" s="4" t="s">
        <v>734</v>
      </c>
      <c r="W410" s="12" t="s">
        <v>190</v>
      </c>
      <c r="Y410" s="4">
        <v>64.8</v>
      </c>
      <c r="Z410" s="4">
        <v>210</v>
      </c>
      <c r="AA410" s="5">
        <f t="shared" si="27"/>
        <v>0.30857142857142855</v>
      </c>
      <c r="AB410" s="5"/>
      <c r="AC41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10" s="5">
        <f>IF(Tabelle1[[#This Row],[Nicht einbezogen weil…]]="",IFERROR(1000*Tabelle1[[#This Row],[Formfaktor]]/Tabelle1[[#This Row],[Thickness '[mm']]],""),"")</f>
        <v>80000</v>
      </c>
      <c r="AE410" s="5" t="str">
        <f>IF(Tabelle1[[#This Row],[Nicht einbezogen weil…]]="",IFERROR(Tabelle1[[#This Row],[specific surface '[m^2/m^3']]]/Tabelle1[[#This Row],[Density 
'[g/cm3']]]/1000000,""),"")</f>
        <v/>
      </c>
      <c r="AF410" s="5">
        <f>IF(Tabelle1[[#This Row],[Nicht einbezogen weil…]]="",IFERROR(365*10*Tabelle1[[#This Row],[Abbaurate '[%/d']]]*Tabelle1[[#This Row],[Thickness '[mm']]]/Tabelle1[[#This Row],[Formfaktor]],""),"")</f>
        <v>14.078571428571429</v>
      </c>
      <c r="AG410" s="328">
        <f>IF(OR(Tabelle1[[#This Row],[Nicht einbezogen weil…]]="",Tabelle1[[#This Row],[Nicht einbezogen weil…]]="nicht-natürlich"),IF(Tabelle1[[#This Row],[Formfaktor]]=2, 1,IF(Tabelle1[[#This Row],[Formfaktor]]=4,2,IF(Tabelle1[[#This Row],[Formfaktor]]=6,3,""))),"")</f>
        <v>1</v>
      </c>
      <c r="AH410" s="5">
        <f>IF(OR(Tabelle1[[#This Row],[Nicht einbezogen weil…]]="",Tabelle1[[#This Row],[Nicht einbezogen weil…]]="nicht-natürlich"),IFERROR(Tabelle1[[#This Row],[Thickness '[mm']]]/Tabelle1[[#This Row],[Dauer des Abbaus
'[Tage']]]*1000*0.5*365*(1-(1-Tabelle1[[#This Row],[Abbaurate '[%/d']]]/100*Tabelle1[[#This Row],[Dauer des Abbaus
'[Tage']]])^(1/Tabelle1[[#This Row],[Exponent]])),""),"")</f>
        <v>14.078571428571426</v>
      </c>
      <c r="AI41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PBSe_Benthic_natürlich</v>
      </c>
      <c r="AJ410" s="6">
        <v>1</v>
      </c>
      <c r="AK41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10" s="3" t="s">
        <v>1366</v>
      </c>
      <c r="AU410" s="13"/>
    </row>
    <row r="411" spans="1:49" ht="17.25" customHeight="1">
      <c r="A411" s="10" t="s">
        <v>223</v>
      </c>
      <c r="B411" s="109" t="s">
        <v>1077</v>
      </c>
      <c r="C411" s="3" t="s">
        <v>1188</v>
      </c>
      <c r="D411" s="3" t="s">
        <v>223</v>
      </c>
      <c r="F411" s="3" t="s">
        <v>996</v>
      </c>
      <c r="G411" s="3">
        <v>2.5000000000000001E-2</v>
      </c>
      <c r="J411" s="3" t="s">
        <v>1189</v>
      </c>
      <c r="K411" s="8" t="s">
        <v>1375</v>
      </c>
      <c r="L411" s="3" t="s">
        <v>223</v>
      </c>
      <c r="M411" s="12" t="s">
        <v>301</v>
      </c>
      <c r="N411" s="3" t="s">
        <v>1380</v>
      </c>
      <c r="O411" s="3" t="s">
        <v>1104</v>
      </c>
      <c r="P41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11" s="4" t="s">
        <v>1373</v>
      </c>
      <c r="R411" s="4" t="s">
        <v>1371</v>
      </c>
      <c r="T411" s="4" t="s">
        <v>1370</v>
      </c>
      <c r="V411" s="4" t="s">
        <v>734</v>
      </c>
      <c r="W411" s="12" t="s">
        <v>190</v>
      </c>
      <c r="Y411" s="4">
        <v>51.8</v>
      </c>
      <c r="Z411" s="4">
        <v>313</v>
      </c>
      <c r="AA411" s="5">
        <f t="shared" si="27"/>
        <v>0.16549520766773163</v>
      </c>
      <c r="AB411" s="5"/>
      <c r="AC41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11" s="5">
        <f>IF(Tabelle1[[#This Row],[Nicht einbezogen weil…]]="",IFERROR(1000*Tabelle1[[#This Row],[Formfaktor]]/Tabelle1[[#This Row],[Thickness '[mm']]],""),"")</f>
        <v>80000</v>
      </c>
      <c r="AE411" s="5" t="str">
        <f>IF(Tabelle1[[#This Row],[Nicht einbezogen weil…]]="",IFERROR(Tabelle1[[#This Row],[specific surface '[m^2/m^3']]]/Tabelle1[[#This Row],[Density 
'[g/cm3']]]/1000000,""),"")</f>
        <v/>
      </c>
      <c r="AF411" s="5">
        <f>IF(Tabelle1[[#This Row],[Nicht einbezogen weil…]]="",IFERROR(365*10*Tabelle1[[#This Row],[Abbaurate '[%/d']]]*Tabelle1[[#This Row],[Thickness '[mm']]]/Tabelle1[[#This Row],[Formfaktor]],""),"")</f>
        <v>7.5507188498402558</v>
      </c>
      <c r="AG411" s="328">
        <f>IF(OR(Tabelle1[[#This Row],[Nicht einbezogen weil…]]="",Tabelle1[[#This Row],[Nicht einbezogen weil…]]="nicht-natürlich"),IF(Tabelle1[[#This Row],[Formfaktor]]=2, 1,IF(Tabelle1[[#This Row],[Formfaktor]]=4,2,IF(Tabelle1[[#This Row],[Formfaktor]]=6,3,""))),"")</f>
        <v>1</v>
      </c>
      <c r="AH411" s="5">
        <f>IF(OR(Tabelle1[[#This Row],[Nicht einbezogen weil…]]="",Tabelle1[[#This Row],[Nicht einbezogen weil…]]="nicht-natürlich"),IFERROR(Tabelle1[[#This Row],[Thickness '[mm']]]/Tabelle1[[#This Row],[Dauer des Abbaus
'[Tage']]]*1000*0.5*365*(1-(1-Tabelle1[[#This Row],[Abbaurate '[%/d']]]/100*Tabelle1[[#This Row],[Dauer des Abbaus
'[Tage']]])^(1/Tabelle1[[#This Row],[Exponent]])),""),"")</f>
        <v>7.5507188498402558</v>
      </c>
      <c r="AI41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PBSeT_Benthic_natürlich</v>
      </c>
      <c r="AJ411" s="6">
        <v>1</v>
      </c>
      <c r="AK41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11" s="3" t="s">
        <v>1366</v>
      </c>
      <c r="AU411" s="13"/>
    </row>
    <row r="412" spans="1:49" ht="17.25" customHeight="1">
      <c r="A412" s="10" t="s">
        <v>223</v>
      </c>
      <c r="B412" s="109" t="s">
        <v>1077</v>
      </c>
      <c r="C412" s="3" t="s">
        <v>1188</v>
      </c>
      <c r="D412" s="3" t="s">
        <v>223</v>
      </c>
      <c r="F412" s="3" t="s">
        <v>996</v>
      </c>
      <c r="G412" s="3">
        <v>2.5000000000000001E-2</v>
      </c>
      <c r="J412" s="3" t="s">
        <v>1189</v>
      </c>
      <c r="K412" s="8" t="s">
        <v>1382</v>
      </c>
      <c r="L412" s="3" t="s">
        <v>223</v>
      </c>
      <c r="M412" s="12" t="s">
        <v>301</v>
      </c>
      <c r="N412" s="3" t="s">
        <v>1380</v>
      </c>
      <c r="O412" s="3" t="s">
        <v>1104</v>
      </c>
      <c r="P41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12" s="4" t="s">
        <v>1373</v>
      </c>
      <c r="R412" s="4" t="s">
        <v>1371</v>
      </c>
      <c r="T412" s="4" t="s">
        <v>1370</v>
      </c>
      <c r="V412" s="4" t="s">
        <v>734</v>
      </c>
      <c r="W412" s="12" t="s">
        <v>190</v>
      </c>
      <c r="Y412" s="4">
        <v>54.8</v>
      </c>
      <c r="Z412" s="4">
        <v>248</v>
      </c>
      <c r="AA412" s="5">
        <f t="shared" si="27"/>
        <v>0.22096774193548385</v>
      </c>
      <c r="AB412" s="5"/>
      <c r="AC41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12" s="5">
        <f>IF(Tabelle1[[#This Row],[Nicht einbezogen weil…]]="",IFERROR(1000*Tabelle1[[#This Row],[Formfaktor]]/Tabelle1[[#This Row],[Thickness '[mm']]],""),"")</f>
        <v>80000</v>
      </c>
      <c r="AE412" s="5" t="str">
        <f>IF(Tabelle1[[#This Row],[Nicht einbezogen weil…]]="",IFERROR(Tabelle1[[#This Row],[specific surface '[m^2/m^3']]]/Tabelle1[[#This Row],[Density 
'[g/cm3']]]/1000000,""),"")</f>
        <v/>
      </c>
      <c r="AF412" s="5">
        <f>IF(Tabelle1[[#This Row],[Nicht einbezogen weil…]]="",IFERROR(365*10*Tabelle1[[#This Row],[Abbaurate '[%/d']]]*Tabelle1[[#This Row],[Thickness '[mm']]]/Tabelle1[[#This Row],[Formfaktor]],""),"")</f>
        <v>10.081653225806452</v>
      </c>
      <c r="AG412" s="328">
        <f>IF(OR(Tabelle1[[#This Row],[Nicht einbezogen weil…]]="",Tabelle1[[#This Row],[Nicht einbezogen weil…]]="nicht-natürlich"),IF(Tabelle1[[#This Row],[Formfaktor]]=2, 1,IF(Tabelle1[[#This Row],[Formfaktor]]=4,2,IF(Tabelle1[[#This Row],[Formfaktor]]=6,3,""))),"")</f>
        <v>1</v>
      </c>
      <c r="AH412" s="5">
        <f>IF(OR(Tabelle1[[#This Row],[Nicht einbezogen weil…]]="",Tabelle1[[#This Row],[Nicht einbezogen weil…]]="nicht-natürlich"),IFERROR(Tabelle1[[#This Row],[Thickness '[mm']]]/Tabelle1[[#This Row],[Dauer des Abbaus
'[Tage']]]*1000*0.5*365*(1-(1-Tabelle1[[#This Row],[Abbaurate '[%/d']]]/100*Tabelle1[[#This Row],[Dauer des Abbaus
'[Tage']]])^(1/Tabelle1[[#This Row],[Exponent]])),""),"")</f>
        <v>10.081653225806448</v>
      </c>
      <c r="AI41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PBSeT_Benthic_natürlich</v>
      </c>
      <c r="AJ412" s="6">
        <v>1</v>
      </c>
      <c r="AK41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12" s="3" t="s">
        <v>1366</v>
      </c>
      <c r="AU412" s="13"/>
    </row>
    <row r="413" spans="1:49" ht="17.25" customHeight="1">
      <c r="B413" s="7" t="s">
        <v>2</v>
      </c>
      <c r="C413" s="3" t="s">
        <v>184</v>
      </c>
      <c r="E413" s="10"/>
      <c r="F413" s="3" t="s">
        <v>241</v>
      </c>
      <c r="G413" s="3" t="s">
        <v>341</v>
      </c>
      <c r="I413" s="17" t="s">
        <v>596</v>
      </c>
      <c r="M413" s="3" t="s">
        <v>223</v>
      </c>
      <c r="N413" s="3" t="s">
        <v>3</v>
      </c>
      <c r="O413" s="3" t="s">
        <v>358</v>
      </c>
      <c r="P41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13" s="4">
        <v>58</v>
      </c>
      <c r="T413" s="4">
        <v>65</v>
      </c>
      <c r="W413" s="3" t="s">
        <v>90</v>
      </c>
      <c r="Y413" s="4">
        <v>52</v>
      </c>
      <c r="Z413" s="4">
        <v>45</v>
      </c>
      <c r="AA413" s="5">
        <f t="shared" si="27"/>
        <v>1.1555555555555554</v>
      </c>
      <c r="AB413" s="5"/>
      <c r="AC41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13" s="97" t="str">
        <f>IF(Tabelle1[[#This Row],[Nicht einbezogen weil…]]="",IFERROR(1000*Tabelle1[[#This Row],[Formfaktor]]/Tabelle1[[#This Row],[Thickness '[mm']]],""),"")</f>
        <v/>
      </c>
      <c r="AE413" s="98" t="str">
        <f>IF(Tabelle1[[#This Row],[Nicht einbezogen weil…]]="",IFERROR(Tabelle1[[#This Row],[specific surface '[m^2/m^3']]]/Tabelle1[[#This Row],[Density 
'[g/cm3']]]/1000000,""),"")</f>
        <v/>
      </c>
      <c r="AF413" s="97" t="str">
        <f>IF(Tabelle1[[#This Row],[Nicht einbezogen weil…]]="",IFERROR(365*10*Tabelle1[[#This Row],[Abbaurate '[%/d']]]*Tabelle1[[#This Row],[Thickness '[mm']]]/Tabelle1[[#This Row],[Formfaktor]],""),"")</f>
        <v/>
      </c>
      <c r="AG413" s="99" t="str">
        <f>IF(OR(Tabelle1[[#This Row],[Nicht einbezogen weil…]]="",Tabelle1[[#This Row],[Nicht einbezogen weil…]]="nicht-natürlich"),IF(Tabelle1[[#This Row],[Formfaktor]]=2, 1,IF(Tabelle1[[#This Row],[Formfaktor]]=4,2,IF(Tabelle1[[#This Row],[Formfaktor]]=6,3,""))),"")</f>
        <v/>
      </c>
      <c r="AH41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1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13" s="6">
        <v>0</v>
      </c>
      <c r="AK41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13" s="3" t="s">
        <v>181</v>
      </c>
      <c r="AO413" s="3" t="s">
        <v>223</v>
      </c>
      <c r="AP413" s="3" t="s">
        <v>223</v>
      </c>
      <c r="AT413" s="10" t="s">
        <v>223</v>
      </c>
      <c r="AU413" s="76" t="s">
        <v>695</v>
      </c>
      <c r="AV413" s="10" t="s">
        <v>589</v>
      </c>
    </row>
    <row r="414" spans="1:49" ht="17.25" customHeight="1">
      <c r="A414" s="10" t="s">
        <v>223</v>
      </c>
      <c r="B414" s="109" t="s">
        <v>1077</v>
      </c>
      <c r="C414" s="3" t="s">
        <v>1188</v>
      </c>
      <c r="D414" s="3" t="s">
        <v>223</v>
      </c>
      <c r="F414" s="3" t="s">
        <v>996</v>
      </c>
      <c r="G414" s="3">
        <v>2.5000000000000001E-2</v>
      </c>
      <c r="J414" s="3" t="s">
        <v>1189</v>
      </c>
      <c r="K414" s="8" t="s">
        <v>1374</v>
      </c>
      <c r="L414" s="3" t="s">
        <v>223</v>
      </c>
      <c r="M414" s="12" t="s">
        <v>301</v>
      </c>
      <c r="N414" s="3" t="s">
        <v>1380</v>
      </c>
      <c r="O414" s="3" t="s">
        <v>1104</v>
      </c>
      <c r="P41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14" s="4" t="s">
        <v>1373</v>
      </c>
      <c r="R414" s="4" t="s">
        <v>1371</v>
      </c>
      <c r="T414" s="4" t="s">
        <v>1370</v>
      </c>
      <c r="V414" s="4" t="s">
        <v>734</v>
      </c>
      <c r="W414" s="12" t="s">
        <v>190</v>
      </c>
      <c r="Y414" s="4">
        <v>44.2</v>
      </c>
      <c r="Z414" s="4">
        <v>210</v>
      </c>
      <c r="AA414" s="5">
        <f t="shared" si="27"/>
        <v>0.21047619047619048</v>
      </c>
      <c r="AB414" s="5"/>
      <c r="AC41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14" s="5">
        <f>IF(Tabelle1[[#This Row],[Nicht einbezogen weil…]]="",IFERROR(1000*Tabelle1[[#This Row],[Formfaktor]]/Tabelle1[[#This Row],[Thickness '[mm']]],""),"")</f>
        <v>80000</v>
      </c>
      <c r="AE414" s="5" t="str">
        <f>IF(Tabelle1[[#This Row],[Nicht einbezogen weil…]]="",IFERROR(Tabelle1[[#This Row],[specific surface '[m^2/m^3']]]/Tabelle1[[#This Row],[Density 
'[g/cm3']]]/1000000,""),"")</f>
        <v/>
      </c>
      <c r="AF414" s="5">
        <f>IF(Tabelle1[[#This Row],[Nicht einbezogen weil…]]="",IFERROR(365*10*Tabelle1[[#This Row],[Abbaurate '[%/d']]]*Tabelle1[[#This Row],[Thickness '[mm']]]/Tabelle1[[#This Row],[Formfaktor]],""),"")</f>
        <v>9.6029761904761912</v>
      </c>
      <c r="AG414" s="328">
        <f>IF(OR(Tabelle1[[#This Row],[Nicht einbezogen weil…]]="",Tabelle1[[#This Row],[Nicht einbezogen weil…]]="nicht-natürlich"),IF(Tabelle1[[#This Row],[Formfaktor]]=2, 1,IF(Tabelle1[[#This Row],[Formfaktor]]=4,2,IF(Tabelle1[[#This Row],[Formfaktor]]=6,3,""))),"")</f>
        <v>1</v>
      </c>
      <c r="AH414" s="5">
        <f>IF(OR(Tabelle1[[#This Row],[Nicht einbezogen weil…]]="",Tabelle1[[#This Row],[Nicht einbezogen weil…]]="nicht-natürlich"),IFERROR(Tabelle1[[#This Row],[Thickness '[mm']]]/Tabelle1[[#This Row],[Dauer des Abbaus
'[Tage']]]*1000*0.5*365*(1-(1-Tabelle1[[#This Row],[Abbaurate '[%/d']]]/100*Tabelle1[[#This Row],[Dauer des Abbaus
'[Tage']]])^(1/Tabelle1[[#This Row],[Exponent]])),""),"")</f>
        <v>9.6029761904761894</v>
      </c>
      <c r="AI41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PBSeT_Benthic_natürlich</v>
      </c>
      <c r="AJ414" s="6">
        <v>1</v>
      </c>
      <c r="AK41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14" s="3" t="s">
        <v>1366</v>
      </c>
      <c r="AU414" s="13"/>
    </row>
    <row r="415" spans="1:49" ht="17.25" customHeight="1">
      <c r="A415" s="10" t="s">
        <v>223</v>
      </c>
      <c r="B415" s="109" t="s">
        <v>18</v>
      </c>
      <c r="C415" s="3" t="s">
        <v>1185</v>
      </c>
      <c r="D415" s="3" t="s">
        <v>200</v>
      </c>
      <c r="E415" s="3" t="s">
        <v>1127</v>
      </c>
      <c r="F415" s="3" t="s">
        <v>996</v>
      </c>
      <c r="G415" s="545" t="s">
        <v>1369</v>
      </c>
      <c r="J415" s="3" t="s">
        <v>1368</v>
      </c>
      <c r="K415" s="8" t="s">
        <v>1375</v>
      </c>
      <c r="L415" s="3" t="s">
        <v>223</v>
      </c>
      <c r="M415" s="12" t="s">
        <v>301</v>
      </c>
      <c r="N415" s="3" t="s">
        <v>1380</v>
      </c>
      <c r="O415" s="3" t="s">
        <v>1104</v>
      </c>
      <c r="P41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15" s="4" t="s">
        <v>1373</v>
      </c>
      <c r="R415" s="4" t="s">
        <v>1371</v>
      </c>
      <c r="T415" s="4" t="s">
        <v>1370</v>
      </c>
      <c r="V415" s="4" t="s">
        <v>734</v>
      </c>
      <c r="W415" s="12" t="s">
        <v>190</v>
      </c>
      <c r="Y415" s="4">
        <v>84.8</v>
      </c>
      <c r="Z415" s="4">
        <v>313</v>
      </c>
      <c r="AA415" s="5">
        <f t="shared" si="27"/>
        <v>0.27092651757188496</v>
      </c>
      <c r="AB415" s="5"/>
      <c r="AC41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15" s="5" t="str">
        <f>IF(Tabelle1[[#This Row],[Nicht einbezogen weil…]]="",IFERROR(1000*Tabelle1[[#This Row],[Formfaktor]]/Tabelle1[[#This Row],[Thickness '[mm']]],""),"")</f>
        <v/>
      </c>
      <c r="AE415" s="5" t="str">
        <f>IF(Tabelle1[[#This Row],[Nicht einbezogen weil…]]="",IFERROR(Tabelle1[[#This Row],[specific surface '[m^2/m^3']]]/Tabelle1[[#This Row],[Density 
'[g/cm3']]]/1000000,""),"")</f>
        <v/>
      </c>
      <c r="AF415" s="5" t="str">
        <f>IF(Tabelle1[[#This Row],[Nicht einbezogen weil…]]="",IFERROR(365*10*Tabelle1[[#This Row],[Abbaurate '[%/d']]]*Tabelle1[[#This Row],[Thickness '[mm']]]/Tabelle1[[#This Row],[Formfaktor]],""),"")</f>
        <v/>
      </c>
      <c r="AG415" s="328" t="str">
        <f>IF(OR(Tabelle1[[#This Row],[Nicht einbezogen weil…]]="",Tabelle1[[#This Row],[Nicht einbezogen weil…]]="nicht-natürlich"),IF(Tabelle1[[#This Row],[Formfaktor]]=2, 1,IF(Tabelle1[[#This Row],[Formfaktor]]=4,2,IF(Tabelle1[[#This Row],[Formfaktor]]=6,3,""))),"")</f>
        <v/>
      </c>
      <c r="AH41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1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15" s="6">
        <v>1</v>
      </c>
      <c r="AK41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15" s="3" t="s">
        <v>1366</v>
      </c>
      <c r="AU415" s="13"/>
    </row>
    <row r="416" spans="1:49" ht="17.25" customHeight="1">
      <c r="B416" s="7" t="s">
        <v>2</v>
      </c>
      <c r="C416" s="3" t="s">
        <v>103</v>
      </c>
      <c r="E416" s="10"/>
      <c r="F416" s="3" t="s">
        <v>341</v>
      </c>
      <c r="G416" s="74" t="s">
        <v>341</v>
      </c>
      <c r="M416" s="3" t="s">
        <v>301</v>
      </c>
      <c r="N416" s="3" t="s">
        <v>105</v>
      </c>
      <c r="O416" s="3" t="s">
        <v>23</v>
      </c>
      <c r="P41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16" s="4">
        <v>25</v>
      </c>
      <c r="U416" s="4" t="s">
        <v>12</v>
      </c>
      <c r="W416" s="3" t="s">
        <v>13</v>
      </c>
      <c r="Y416" s="4">
        <v>0</v>
      </c>
      <c r="Z416" s="4">
        <v>70</v>
      </c>
      <c r="AA416" s="5">
        <f t="shared" si="27"/>
        <v>0</v>
      </c>
      <c r="AB416" s="5"/>
      <c r="AC416"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16" s="97" t="str">
        <f>IF(Tabelle1[[#This Row],[Nicht einbezogen weil…]]="",IFERROR(1000*Tabelle1[[#This Row],[Formfaktor]]/Tabelle1[[#This Row],[Thickness '[mm']]],""),"")</f>
        <v/>
      </c>
      <c r="AE416" s="98" t="str">
        <f>IF(Tabelle1[[#This Row],[Nicht einbezogen weil…]]="",IFERROR(Tabelle1[[#This Row],[specific surface '[m^2/m^3']]]/Tabelle1[[#This Row],[Density 
'[g/cm3']]]/1000000,""),"")</f>
        <v/>
      </c>
      <c r="AF416" s="97" t="str">
        <f>IF(Tabelle1[[#This Row],[Nicht einbezogen weil…]]="",IFERROR(365*10*Tabelle1[[#This Row],[Abbaurate '[%/d']]]*Tabelle1[[#This Row],[Thickness '[mm']]]/Tabelle1[[#This Row],[Formfaktor]],""),"")</f>
        <v/>
      </c>
      <c r="AG416" s="99" t="str">
        <f>IF(OR(Tabelle1[[#This Row],[Nicht einbezogen weil…]]="",Tabelle1[[#This Row],[Nicht einbezogen weil…]]="nicht-natürlich"),IF(Tabelle1[[#This Row],[Formfaktor]]=2, 1,IF(Tabelle1[[#This Row],[Formfaktor]]=4,2,IF(Tabelle1[[#This Row],[Formfaktor]]=6,3,""))),"")</f>
        <v/>
      </c>
      <c r="AH41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1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16" s="6">
        <v>0</v>
      </c>
      <c r="AK41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16" s="3" t="s">
        <v>106</v>
      </c>
      <c r="AM416" s="3" t="s">
        <v>196</v>
      </c>
      <c r="AO416" s="3" t="s">
        <v>223</v>
      </c>
      <c r="AP416" s="3" t="s">
        <v>223</v>
      </c>
      <c r="AT416" s="10" t="s">
        <v>223</v>
      </c>
      <c r="AU416" s="76" t="s">
        <v>695</v>
      </c>
      <c r="AV416" s="10" t="s">
        <v>589</v>
      </c>
    </row>
    <row r="417" spans="1:49" ht="17.25" customHeight="1">
      <c r="B417" s="7" t="s">
        <v>2</v>
      </c>
      <c r="C417" s="3" t="s">
        <v>104</v>
      </c>
      <c r="E417" s="10"/>
      <c r="F417" s="3" t="s">
        <v>341</v>
      </c>
      <c r="G417" s="74" t="s">
        <v>341</v>
      </c>
      <c r="M417" s="3" t="s">
        <v>301</v>
      </c>
      <c r="N417" s="3" t="s">
        <v>105</v>
      </c>
      <c r="O417" s="3" t="s">
        <v>23</v>
      </c>
      <c r="P41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17" s="4">
        <v>25</v>
      </c>
      <c r="U417" s="4" t="s">
        <v>12</v>
      </c>
      <c r="W417" s="3" t="s">
        <v>13</v>
      </c>
      <c r="Y417" s="4">
        <v>0</v>
      </c>
      <c r="Z417" s="4">
        <v>70</v>
      </c>
      <c r="AA417" s="5">
        <f t="shared" si="27"/>
        <v>0</v>
      </c>
      <c r="AB417" s="5"/>
      <c r="AC417"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17" s="97" t="str">
        <f>IF(Tabelle1[[#This Row],[Nicht einbezogen weil…]]="",IFERROR(1000*Tabelle1[[#This Row],[Formfaktor]]/Tabelle1[[#This Row],[Thickness '[mm']]],""),"")</f>
        <v/>
      </c>
      <c r="AE417" s="98" t="str">
        <f>IF(Tabelle1[[#This Row],[Nicht einbezogen weil…]]="",IFERROR(Tabelle1[[#This Row],[specific surface '[m^2/m^3']]]/Tabelle1[[#This Row],[Density 
'[g/cm3']]]/1000000,""),"")</f>
        <v/>
      </c>
      <c r="AF417" s="97" t="str">
        <f>IF(Tabelle1[[#This Row],[Nicht einbezogen weil…]]="",IFERROR(365*10*Tabelle1[[#This Row],[Abbaurate '[%/d']]]*Tabelle1[[#This Row],[Thickness '[mm']]]/Tabelle1[[#This Row],[Formfaktor]],""),"")</f>
        <v/>
      </c>
      <c r="AG417" s="99" t="str">
        <f>IF(OR(Tabelle1[[#This Row],[Nicht einbezogen weil…]]="",Tabelle1[[#This Row],[Nicht einbezogen weil…]]="nicht-natürlich"),IF(Tabelle1[[#This Row],[Formfaktor]]=2, 1,IF(Tabelle1[[#This Row],[Formfaktor]]=4,2,IF(Tabelle1[[#This Row],[Formfaktor]]=6,3,""))),"")</f>
        <v/>
      </c>
      <c r="AH41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1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17" s="6">
        <v>0</v>
      </c>
      <c r="AK41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17" s="3" t="s">
        <v>106</v>
      </c>
      <c r="AM417" s="3" t="s">
        <v>196</v>
      </c>
      <c r="AO417" s="3" t="s">
        <v>223</v>
      </c>
      <c r="AP417" s="3" t="s">
        <v>223</v>
      </c>
      <c r="AT417" s="10" t="s">
        <v>223</v>
      </c>
      <c r="AU417" s="76" t="s">
        <v>695</v>
      </c>
      <c r="AV417" s="10" t="s">
        <v>589</v>
      </c>
    </row>
    <row r="418" spans="1:49" ht="17.25" customHeight="1">
      <c r="A418" s="10" t="s">
        <v>223</v>
      </c>
      <c r="B418" s="109" t="s">
        <v>18</v>
      </c>
      <c r="C418" s="3" t="s">
        <v>1185</v>
      </c>
      <c r="D418" s="3" t="s">
        <v>200</v>
      </c>
      <c r="E418" s="3" t="s">
        <v>1127</v>
      </c>
      <c r="F418" s="3" t="s">
        <v>996</v>
      </c>
      <c r="G418" s="545" t="s">
        <v>1369</v>
      </c>
      <c r="J418" s="3" t="s">
        <v>1368</v>
      </c>
      <c r="K418" s="8" t="s">
        <v>1382</v>
      </c>
      <c r="L418" s="3" t="s">
        <v>223</v>
      </c>
      <c r="M418" s="12" t="s">
        <v>301</v>
      </c>
      <c r="N418" s="3" t="s">
        <v>1380</v>
      </c>
      <c r="O418" s="3" t="s">
        <v>1104</v>
      </c>
      <c r="P418"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18" s="4" t="s">
        <v>1373</v>
      </c>
      <c r="R418" s="4" t="s">
        <v>1371</v>
      </c>
      <c r="T418" s="4" t="s">
        <v>1370</v>
      </c>
      <c r="V418" s="4" t="s">
        <v>734</v>
      </c>
      <c r="W418" s="12" t="s">
        <v>190</v>
      </c>
      <c r="Y418" s="4">
        <v>77.7</v>
      </c>
      <c r="Z418" s="4">
        <v>248</v>
      </c>
      <c r="AA418" s="5">
        <f t="shared" si="27"/>
        <v>0.31330645161290321</v>
      </c>
      <c r="AB418" s="5"/>
      <c r="AC418"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18" s="5" t="str">
        <f>IF(Tabelle1[[#This Row],[Nicht einbezogen weil…]]="",IFERROR(1000*Tabelle1[[#This Row],[Formfaktor]]/Tabelle1[[#This Row],[Thickness '[mm']]],""),"")</f>
        <v/>
      </c>
      <c r="AE418" s="5" t="str">
        <f>IF(Tabelle1[[#This Row],[Nicht einbezogen weil…]]="",IFERROR(Tabelle1[[#This Row],[specific surface '[m^2/m^3']]]/Tabelle1[[#This Row],[Density 
'[g/cm3']]]/1000000,""),"")</f>
        <v/>
      </c>
      <c r="AF418" s="5" t="str">
        <f>IF(Tabelle1[[#This Row],[Nicht einbezogen weil…]]="",IFERROR(365*10*Tabelle1[[#This Row],[Abbaurate '[%/d']]]*Tabelle1[[#This Row],[Thickness '[mm']]]/Tabelle1[[#This Row],[Formfaktor]],""),"")</f>
        <v/>
      </c>
      <c r="AG418" s="328" t="str">
        <f>IF(OR(Tabelle1[[#This Row],[Nicht einbezogen weil…]]="",Tabelle1[[#This Row],[Nicht einbezogen weil…]]="nicht-natürlich"),IF(Tabelle1[[#This Row],[Formfaktor]]=2, 1,IF(Tabelle1[[#This Row],[Formfaktor]]=4,2,IF(Tabelle1[[#This Row],[Formfaktor]]=6,3,""))),"")</f>
        <v/>
      </c>
      <c r="AH418"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18"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18" s="6">
        <v>1</v>
      </c>
      <c r="AK41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18" s="3" t="s">
        <v>1366</v>
      </c>
      <c r="AU418" s="13"/>
    </row>
    <row r="419" spans="1:49" ht="17.25" customHeight="1">
      <c r="B419" s="7" t="s">
        <v>789</v>
      </c>
      <c r="C419" s="3" t="s">
        <v>519</v>
      </c>
      <c r="D419" s="3" t="s">
        <v>200</v>
      </c>
      <c r="E419" s="10" t="s">
        <v>1127</v>
      </c>
      <c r="F419" s="3" t="s">
        <v>288</v>
      </c>
      <c r="G419" s="3">
        <v>1</v>
      </c>
      <c r="H419" s="3">
        <f>0.2*0.1</f>
        <v>2.0000000000000004E-2</v>
      </c>
      <c r="I419" s="3" t="s">
        <v>341</v>
      </c>
      <c r="J419" s="3" t="s">
        <v>332</v>
      </c>
      <c r="K419" s="8" t="s">
        <v>335</v>
      </c>
      <c r="M419" s="3" t="s">
        <v>223</v>
      </c>
      <c r="N419" s="3" t="s">
        <v>338</v>
      </c>
      <c r="O419" s="3" t="s">
        <v>23</v>
      </c>
      <c r="P41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19" s="4" t="s">
        <v>336</v>
      </c>
      <c r="R419" s="4" t="s">
        <v>337</v>
      </c>
      <c r="W419" s="3" t="s">
        <v>13</v>
      </c>
      <c r="Y419" s="4">
        <v>10</v>
      </c>
      <c r="Z419" s="4">
        <v>100</v>
      </c>
      <c r="AA419" s="5">
        <f>+Y419/Z419</f>
        <v>0.1</v>
      </c>
      <c r="AB419" s="5"/>
      <c r="AC41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19" s="97" t="str">
        <f>IF(Tabelle1[[#This Row],[Nicht einbezogen weil…]]="",IFERROR(1000*Tabelle1[[#This Row],[Formfaktor]]/Tabelle1[[#This Row],[Thickness '[mm']]],""),"")</f>
        <v/>
      </c>
      <c r="AE419" s="98" t="str">
        <f>IF(Tabelle1[[#This Row],[Nicht einbezogen weil…]]="",IFERROR(Tabelle1[[#This Row],[specific surface '[m^2/m^3']]]/Tabelle1[[#This Row],[Density 
'[g/cm3']]]/1000000,""),"")</f>
        <v/>
      </c>
      <c r="AF419" s="97" t="str">
        <f>IF(Tabelle1[[#This Row],[Nicht einbezogen weil…]]="",IFERROR(365*10*Tabelle1[[#This Row],[Abbaurate '[%/d']]]*Tabelle1[[#This Row],[Thickness '[mm']]]/Tabelle1[[#This Row],[Formfaktor]],""),"")</f>
        <v/>
      </c>
      <c r="AG419" s="99" t="str">
        <f>IF(OR(Tabelle1[[#This Row],[Nicht einbezogen weil…]]="",Tabelle1[[#This Row],[Nicht einbezogen weil…]]="nicht-natürlich"),IF(Tabelle1[[#This Row],[Formfaktor]]=2, 1,IF(Tabelle1[[#This Row],[Formfaktor]]=4,2,IF(Tabelle1[[#This Row],[Formfaktor]]=6,3,""))),"")</f>
        <v/>
      </c>
      <c r="AH41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1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19" s="71">
        <v>1</v>
      </c>
      <c r="AK41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19" s="3" t="s">
        <v>339</v>
      </c>
      <c r="AM419" s="3" t="s">
        <v>967</v>
      </c>
      <c r="AN419" s="3" t="s">
        <v>328</v>
      </c>
      <c r="AO419" s="3" t="s">
        <v>200</v>
      </c>
      <c r="AP419" s="3" t="s">
        <v>200</v>
      </c>
      <c r="AT419" s="10" t="s">
        <v>200</v>
      </c>
      <c r="AU419" s="13" t="s">
        <v>200</v>
      </c>
    </row>
    <row r="420" spans="1:49" ht="17.25" customHeight="1">
      <c r="B420" s="7" t="s">
        <v>789</v>
      </c>
      <c r="C420" s="3" t="s">
        <v>521</v>
      </c>
      <c r="D420" s="3" t="s">
        <v>200</v>
      </c>
      <c r="E420" s="10" t="s">
        <v>1127</v>
      </c>
      <c r="F420" s="3" t="s">
        <v>288</v>
      </c>
      <c r="G420" s="3">
        <v>1</v>
      </c>
      <c r="H420" s="3">
        <f>0.2*0.1</f>
        <v>2.0000000000000004E-2</v>
      </c>
      <c r="I420" s="3" t="s">
        <v>341</v>
      </c>
      <c r="J420" s="3" t="s">
        <v>334</v>
      </c>
      <c r="K420" s="8" t="s">
        <v>335</v>
      </c>
      <c r="M420" s="3" t="s">
        <v>223</v>
      </c>
      <c r="N420" s="3" t="s">
        <v>338</v>
      </c>
      <c r="O420" s="3" t="s">
        <v>23</v>
      </c>
      <c r="P42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20" s="4" t="s">
        <v>336</v>
      </c>
      <c r="R420" s="4" t="s">
        <v>337</v>
      </c>
      <c r="W420" s="3" t="s">
        <v>13</v>
      </c>
      <c r="Y420" s="4">
        <v>12</v>
      </c>
      <c r="Z420" s="4">
        <v>100</v>
      </c>
      <c r="AA420" s="5">
        <f>+Y420/Z420</f>
        <v>0.12</v>
      </c>
      <c r="AB420" s="5"/>
      <c r="AC42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0" s="97" t="str">
        <f>IF(Tabelle1[[#This Row],[Nicht einbezogen weil…]]="",IFERROR(1000*Tabelle1[[#This Row],[Formfaktor]]/Tabelle1[[#This Row],[Thickness '[mm']]],""),"")</f>
        <v/>
      </c>
      <c r="AE420" s="98" t="str">
        <f>IF(Tabelle1[[#This Row],[Nicht einbezogen weil…]]="",IFERROR(Tabelle1[[#This Row],[specific surface '[m^2/m^3']]]/Tabelle1[[#This Row],[Density 
'[g/cm3']]]/1000000,""),"")</f>
        <v/>
      </c>
      <c r="AF420" s="97" t="str">
        <f>IF(Tabelle1[[#This Row],[Nicht einbezogen weil…]]="",IFERROR(365*10*Tabelle1[[#This Row],[Abbaurate '[%/d']]]*Tabelle1[[#This Row],[Thickness '[mm']]]/Tabelle1[[#This Row],[Formfaktor]],""),"")</f>
        <v/>
      </c>
      <c r="AG420" s="99" t="str">
        <f>IF(OR(Tabelle1[[#This Row],[Nicht einbezogen weil…]]="",Tabelle1[[#This Row],[Nicht einbezogen weil…]]="nicht-natürlich"),IF(Tabelle1[[#This Row],[Formfaktor]]=2, 1,IF(Tabelle1[[#This Row],[Formfaktor]]=4,2,IF(Tabelle1[[#This Row],[Formfaktor]]=6,3,""))),"")</f>
        <v/>
      </c>
      <c r="AH42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0" s="71">
        <v>1</v>
      </c>
      <c r="AK42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20" s="3" t="s">
        <v>339</v>
      </c>
      <c r="AM420" s="3" t="s">
        <v>967</v>
      </c>
      <c r="AN420" s="3" t="s">
        <v>328</v>
      </c>
      <c r="AO420" s="3" t="s">
        <v>200</v>
      </c>
      <c r="AP420" s="3" t="s">
        <v>200</v>
      </c>
      <c r="AT420" s="10" t="s">
        <v>200</v>
      </c>
      <c r="AU420" s="13" t="s">
        <v>200</v>
      </c>
    </row>
    <row r="421" spans="1:49" ht="17.25" customHeight="1">
      <c r="B421" s="7" t="s">
        <v>789</v>
      </c>
      <c r="C421" s="18" t="s">
        <v>520</v>
      </c>
      <c r="D421" s="3" t="s">
        <v>200</v>
      </c>
      <c r="E421" s="10" t="s">
        <v>1127</v>
      </c>
      <c r="F421" s="3" t="s">
        <v>288</v>
      </c>
      <c r="G421" s="3">
        <v>1</v>
      </c>
      <c r="H421" s="3">
        <f>0.2*0.1</f>
        <v>2.0000000000000004E-2</v>
      </c>
      <c r="I421" s="3" t="s">
        <v>341</v>
      </c>
      <c r="J421" s="18" t="s">
        <v>333</v>
      </c>
      <c r="K421" s="8" t="s">
        <v>335</v>
      </c>
      <c r="M421" s="3" t="s">
        <v>223</v>
      </c>
      <c r="N421" s="3" t="s">
        <v>338</v>
      </c>
      <c r="O421" s="3" t="s">
        <v>23</v>
      </c>
      <c r="P42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21" s="4" t="s">
        <v>336</v>
      </c>
      <c r="R421" s="4" t="s">
        <v>337</v>
      </c>
      <c r="W421" s="3" t="s">
        <v>13</v>
      </c>
      <c r="Y421" s="4">
        <v>1.5</v>
      </c>
      <c r="Z421" s="4">
        <v>500</v>
      </c>
      <c r="AA421" s="5">
        <f>+Y421/Z421</f>
        <v>3.0000000000000001E-3</v>
      </c>
      <c r="AB421" s="5"/>
      <c r="AC42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1" s="97" t="str">
        <f>IF(Tabelle1[[#This Row],[Nicht einbezogen weil…]]="",IFERROR(1000*Tabelle1[[#This Row],[Formfaktor]]/Tabelle1[[#This Row],[Thickness '[mm']]],""),"")</f>
        <v/>
      </c>
      <c r="AE421" s="98" t="str">
        <f>IF(Tabelle1[[#This Row],[Nicht einbezogen weil…]]="",IFERROR(Tabelle1[[#This Row],[specific surface '[m^2/m^3']]]/Tabelle1[[#This Row],[Density 
'[g/cm3']]]/1000000,""),"")</f>
        <v/>
      </c>
      <c r="AF421" s="97" t="str">
        <f>IF(Tabelle1[[#This Row],[Nicht einbezogen weil…]]="",IFERROR(365*10*Tabelle1[[#This Row],[Abbaurate '[%/d']]]*Tabelle1[[#This Row],[Thickness '[mm']]]/Tabelle1[[#This Row],[Formfaktor]],""),"")</f>
        <v/>
      </c>
      <c r="AG421" s="99" t="str">
        <f>IF(OR(Tabelle1[[#This Row],[Nicht einbezogen weil…]]="",Tabelle1[[#This Row],[Nicht einbezogen weil…]]="nicht-natürlich"),IF(Tabelle1[[#This Row],[Formfaktor]]=2, 1,IF(Tabelle1[[#This Row],[Formfaktor]]=4,2,IF(Tabelle1[[#This Row],[Formfaktor]]=6,3,""))),"")</f>
        <v/>
      </c>
      <c r="AH42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1" s="71">
        <v>1</v>
      </c>
      <c r="AK42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21" s="3" t="s">
        <v>339</v>
      </c>
      <c r="AM421" s="3" t="s">
        <v>967</v>
      </c>
      <c r="AN421" s="3" t="s">
        <v>328</v>
      </c>
      <c r="AO421" s="3" t="s">
        <v>200</v>
      </c>
      <c r="AP421" s="3" t="s">
        <v>200</v>
      </c>
      <c r="AT421" s="10" t="s">
        <v>200</v>
      </c>
      <c r="AU421" s="13" t="s">
        <v>200</v>
      </c>
    </row>
    <row r="422" spans="1:49" ht="17.25" customHeight="1">
      <c r="B422" s="7" t="s">
        <v>165</v>
      </c>
      <c r="C422" s="75" t="s">
        <v>728</v>
      </c>
      <c r="D422" s="3" t="s">
        <v>200</v>
      </c>
      <c r="E422" s="10" t="s">
        <v>205</v>
      </c>
      <c r="F422" s="3" t="s">
        <v>288</v>
      </c>
      <c r="G422" s="3">
        <v>0.05</v>
      </c>
      <c r="H422" s="3">
        <f>0.08*0.025</f>
        <v>2E-3</v>
      </c>
      <c r="I422" s="284">
        <v>0.90300000000000002</v>
      </c>
      <c r="J422" s="18"/>
      <c r="K422" s="8" t="s">
        <v>229</v>
      </c>
      <c r="L422" s="3" t="s">
        <v>733</v>
      </c>
      <c r="M422" s="3" t="s">
        <v>223</v>
      </c>
      <c r="N422" s="3" t="s">
        <v>735</v>
      </c>
      <c r="O422" s="3" t="s">
        <v>294</v>
      </c>
      <c r="P42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22" s="4">
        <v>30</v>
      </c>
      <c r="V422" s="4" t="s">
        <v>734</v>
      </c>
      <c r="W422" s="3" t="s">
        <v>13</v>
      </c>
      <c r="Y422" s="9" t="s">
        <v>742</v>
      </c>
      <c r="Z422" s="4">
        <v>365</v>
      </c>
      <c r="AA422" s="5">
        <f>5/Z422</f>
        <v>1.3698630136986301E-2</v>
      </c>
      <c r="AB422" s="5"/>
      <c r="AC42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2" s="97" t="str">
        <f>IF(Tabelle1[[#This Row],[Nicht einbezogen weil…]]="",IFERROR(1000*Tabelle1[[#This Row],[Formfaktor]]/Tabelle1[[#This Row],[Thickness '[mm']]],""),"")</f>
        <v/>
      </c>
      <c r="AE422" s="98" t="str">
        <f>IF(Tabelle1[[#This Row],[Nicht einbezogen weil…]]="",IFERROR(Tabelle1[[#This Row],[specific surface '[m^2/m^3']]]/Tabelle1[[#This Row],[Density 
'[g/cm3']]]/1000000,""),"")</f>
        <v/>
      </c>
      <c r="AF422" s="97" t="str">
        <f>IF(Tabelle1[[#This Row],[Nicht einbezogen weil…]]="",IFERROR(365*10*Tabelle1[[#This Row],[Abbaurate '[%/d']]]*Tabelle1[[#This Row],[Thickness '[mm']]]/Tabelle1[[#This Row],[Formfaktor]],""),"")</f>
        <v/>
      </c>
      <c r="AG422" s="99" t="str">
        <f>IF(OR(Tabelle1[[#This Row],[Nicht einbezogen weil…]]="",Tabelle1[[#This Row],[Nicht einbezogen weil…]]="nicht-natürlich"),IF(Tabelle1[[#This Row],[Formfaktor]]=2, 1,IF(Tabelle1[[#This Row],[Formfaktor]]=4,2,IF(Tabelle1[[#This Row],[Formfaktor]]=6,3,""))),"")</f>
        <v/>
      </c>
      <c r="AH42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2" s="71">
        <v>1</v>
      </c>
      <c r="AK42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22" s="3" t="s">
        <v>388</v>
      </c>
      <c r="AM422" s="3" t="s">
        <v>962</v>
      </c>
      <c r="AN422" s="3" t="s">
        <v>538</v>
      </c>
      <c r="AO422" s="3" t="s">
        <v>200</v>
      </c>
      <c r="AP422" s="12" t="s">
        <v>200</v>
      </c>
      <c r="AT422" s="10" t="s">
        <v>223</v>
      </c>
      <c r="AU422" s="13" t="s">
        <v>200</v>
      </c>
      <c r="AV422" s="14"/>
      <c r="AW422" s="10" t="s">
        <v>775</v>
      </c>
    </row>
    <row r="423" spans="1:49" ht="17.25" customHeight="1">
      <c r="B423" s="11" t="s">
        <v>165</v>
      </c>
      <c r="C423" s="19" t="s">
        <v>728</v>
      </c>
      <c r="D423" s="19" t="s">
        <v>200</v>
      </c>
      <c r="E423" s="10" t="s">
        <v>205</v>
      </c>
      <c r="F423" s="19" t="s">
        <v>288</v>
      </c>
      <c r="G423" s="19">
        <v>0.05</v>
      </c>
      <c r="H423" s="103">
        <f>0.08*0.025</f>
        <v>2E-3</v>
      </c>
      <c r="I423" s="284">
        <v>0.90300000000000002</v>
      </c>
      <c r="J423" s="18"/>
      <c r="K423" s="8" t="s">
        <v>732</v>
      </c>
      <c r="L423" s="19" t="s">
        <v>733</v>
      </c>
      <c r="M423" s="3" t="s">
        <v>223</v>
      </c>
      <c r="N423" s="19" t="s">
        <v>735</v>
      </c>
      <c r="O423" s="19" t="s">
        <v>294</v>
      </c>
      <c r="P423"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23" s="21">
        <v>30</v>
      </c>
      <c r="R423" s="21"/>
      <c r="S423" s="21"/>
      <c r="T423" s="21"/>
      <c r="U423" s="21"/>
      <c r="V423" s="21" t="s">
        <v>734</v>
      </c>
      <c r="W423" s="19" t="s">
        <v>13</v>
      </c>
      <c r="Y423" s="9" t="s">
        <v>744</v>
      </c>
      <c r="Z423" s="4">
        <v>365</v>
      </c>
      <c r="AA423" s="5">
        <f>11/Z423</f>
        <v>3.0136986301369864E-2</v>
      </c>
      <c r="AB423" s="5"/>
      <c r="AC42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3" s="97" t="str">
        <f>IF(Tabelle1[[#This Row],[Nicht einbezogen weil…]]="",IFERROR(1000*Tabelle1[[#This Row],[Formfaktor]]/Tabelle1[[#This Row],[Thickness '[mm']]],""),"")</f>
        <v/>
      </c>
      <c r="AE423" s="98" t="str">
        <f>IF(Tabelle1[[#This Row],[Nicht einbezogen weil…]]="",IFERROR(Tabelle1[[#This Row],[specific surface '[m^2/m^3']]]/Tabelle1[[#This Row],[Density 
'[g/cm3']]]/1000000,""),"")</f>
        <v/>
      </c>
      <c r="AF423" s="97" t="str">
        <f>IF(Tabelle1[[#This Row],[Nicht einbezogen weil…]]="",IFERROR(365*10*Tabelle1[[#This Row],[Abbaurate '[%/d']]]*Tabelle1[[#This Row],[Thickness '[mm']]]/Tabelle1[[#This Row],[Formfaktor]],""),"")</f>
        <v/>
      </c>
      <c r="AG423" s="99" t="str">
        <f>IF(OR(Tabelle1[[#This Row],[Nicht einbezogen weil…]]="",Tabelle1[[#This Row],[Nicht einbezogen weil…]]="nicht-natürlich"),IF(Tabelle1[[#This Row],[Formfaktor]]=2, 1,IF(Tabelle1[[#This Row],[Formfaktor]]=4,2,IF(Tabelle1[[#This Row],[Formfaktor]]=6,3,""))),"")</f>
        <v/>
      </c>
      <c r="AH42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3" s="71">
        <v>1</v>
      </c>
      <c r="AK42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23" s="3" t="s">
        <v>388</v>
      </c>
      <c r="AM423" s="3" t="s">
        <v>962</v>
      </c>
      <c r="AN423" s="3" t="s">
        <v>538</v>
      </c>
      <c r="AO423" s="3" t="s">
        <v>200</v>
      </c>
      <c r="AP423" s="12" t="s">
        <v>200</v>
      </c>
      <c r="AT423" s="10" t="s">
        <v>223</v>
      </c>
      <c r="AU423" s="13" t="s">
        <v>200</v>
      </c>
      <c r="AW423" s="10" t="s">
        <v>775</v>
      </c>
    </row>
    <row r="424" spans="1:49" ht="17.25" customHeight="1">
      <c r="B424" s="7" t="s">
        <v>789</v>
      </c>
      <c r="C424" s="3" t="s">
        <v>9</v>
      </c>
      <c r="D424" s="3" t="s">
        <v>200</v>
      </c>
      <c r="E424" s="10" t="s">
        <v>1127</v>
      </c>
      <c r="F424" s="3" t="s">
        <v>288</v>
      </c>
      <c r="G424" s="3">
        <v>0.03</v>
      </c>
      <c r="H424" s="3">
        <f>0.03*0.04</f>
        <v>1.1999999999999999E-3</v>
      </c>
      <c r="I424" s="18" t="s">
        <v>341</v>
      </c>
      <c r="J424" s="3" t="s">
        <v>517</v>
      </c>
      <c r="K424" s="3" t="s">
        <v>518</v>
      </c>
      <c r="M424" s="3" t="s">
        <v>223</v>
      </c>
      <c r="N424" s="3" t="s">
        <v>3</v>
      </c>
      <c r="O424" s="3" t="s">
        <v>358</v>
      </c>
      <c r="P42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24" s="4">
        <v>58</v>
      </c>
      <c r="S424" s="4">
        <v>60</v>
      </c>
      <c r="U424" s="4" t="s">
        <v>12</v>
      </c>
      <c r="W424" s="3" t="s">
        <v>13</v>
      </c>
      <c r="Y424" s="4">
        <v>40</v>
      </c>
      <c r="Z424" s="4">
        <v>30</v>
      </c>
      <c r="AA424" s="5">
        <f>Y424/Z424</f>
        <v>1.3333333333333333</v>
      </c>
      <c r="AB424" s="5"/>
      <c r="AC42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4" s="97" t="str">
        <f>IF(Tabelle1[[#This Row],[Nicht einbezogen weil…]]="",IFERROR(1000*Tabelle1[[#This Row],[Formfaktor]]/Tabelle1[[#This Row],[Thickness '[mm']]],""),"")</f>
        <v/>
      </c>
      <c r="AE424" s="98" t="str">
        <f>IF(Tabelle1[[#This Row],[Nicht einbezogen weil…]]="",IFERROR(Tabelle1[[#This Row],[specific surface '[m^2/m^3']]]/Tabelle1[[#This Row],[Density 
'[g/cm3']]]/1000000,""),"")</f>
        <v/>
      </c>
      <c r="AF424" s="97" t="str">
        <f>IF(Tabelle1[[#This Row],[Nicht einbezogen weil…]]="",IFERROR(365*10*Tabelle1[[#This Row],[Abbaurate '[%/d']]]*Tabelle1[[#This Row],[Thickness '[mm']]]/Tabelle1[[#This Row],[Formfaktor]],""),"")</f>
        <v/>
      </c>
      <c r="AG424" s="99" t="str">
        <f>IF(OR(Tabelle1[[#This Row],[Nicht einbezogen weil…]]="",Tabelle1[[#This Row],[Nicht einbezogen weil…]]="nicht-natürlich"),IF(Tabelle1[[#This Row],[Formfaktor]]=2, 1,IF(Tabelle1[[#This Row],[Formfaktor]]=4,2,IF(Tabelle1[[#This Row],[Formfaktor]]=6,3,""))),"")</f>
        <v/>
      </c>
      <c r="AH42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4" s="71">
        <v>1</v>
      </c>
      <c r="AK42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24" s="3" t="s">
        <v>134</v>
      </c>
      <c r="AM424" s="3" t="s">
        <v>196</v>
      </c>
      <c r="AO424" s="3" t="s">
        <v>200</v>
      </c>
      <c r="AP424" s="3" t="s">
        <v>200</v>
      </c>
      <c r="AT424" s="319" t="s">
        <v>223</v>
      </c>
      <c r="AU424" s="320" t="s">
        <v>200</v>
      </c>
      <c r="AV424" s="319"/>
    </row>
    <row r="425" spans="1:49" ht="17.25" customHeight="1">
      <c r="B425" s="11" t="s">
        <v>165</v>
      </c>
      <c r="C425" s="3" t="s">
        <v>728</v>
      </c>
      <c r="D425" s="3" t="s">
        <v>200</v>
      </c>
      <c r="E425" s="10" t="s">
        <v>205</v>
      </c>
      <c r="F425" s="3" t="s">
        <v>288</v>
      </c>
      <c r="G425" s="3">
        <v>0.05</v>
      </c>
      <c r="H425" s="18">
        <f>0.08*0.025</f>
        <v>2E-3</v>
      </c>
      <c r="I425" s="284">
        <v>0.90300000000000002</v>
      </c>
      <c r="J425" s="18"/>
      <c r="K425" s="8" t="s">
        <v>731</v>
      </c>
      <c r="L425" s="3" t="s">
        <v>733</v>
      </c>
      <c r="M425" s="3" t="s">
        <v>223</v>
      </c>
      <c r="N425" s="3" t="s">
        <v>735</v>
      </c>
      <c r="O425" s="3" t="s">
        <v>294</v>
      </c>
      <c r="P42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25" s="4">
        <v>30</v>
      </c>
      <c r="V425" s="4" t="s">
        <v>734</v>
      </c>
      <c r="W425" s="3" t="s">
        <v>13</v>
      </c>
      <c r="Y425" s="9" t="s">
        <v>743</v>
      </c>
      <c r="Z425" s="4">
        <v>365</v>
      </c>
      <c r="AA425" s="5">
        <f>5.5/Z425</f>
        <v>1.5068493150684932E-2</v>
      </c>
      <c r="AB425" s="5"/>
      <c r="AC42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5" s="97" t="str">
        <f>IF(Tabelle1[[#This Row],[Nicht einbezogen weil…]]="",IFERROR(1000*Tabelle1[[#This Row],[Formfaktor]]/Tabelle1[[#This Row],[Thickness '[mm']]],""),"")</f>
        <v/>
      </c>
      <c r="AE425" s="98" t="str">
        <f>IF(Tabelle1[[#This Row],[Nicht einbezogen weil…]]="",IFERROR(Tabelle1[[#This Row],[specific surface '[m^2/m^3']]]/Tabelle1[[#This Row],[Density 
'[g/cm3']]]/1000000,""),"")</f>
        <v/>
      </c>
      <c r="AF425" s="97" t="str">
        <f>IF(Tabelle1[[#This Row],[Nicht einbezogen weil…]]="",IFERROR(365*10*Tabelle1[[#This Row],[Abbaurate '[%/d']]]*Tabelle1[[#This Row],[Thickness '[mm']]]/Tabelle1[[#This Row],[Formfaktor]],""),"")</f>
        <v/>
      </c>
      <c r="AG425" s="99" t="str">
        <f>IF(OR(Tabelle1[[#This Row],[Nicht einbezogen weil…]]="",Tabelle1[[#This Row],[Nicht einbezogen weil…]]="nicht-natürlich"),IF(Tabelle1[[#This Row],[Formfaktor]]=2, 1,IF(Tabelle1[[#This Row],[Formfaktor]]=4,2,IF(Tabelle1[[#This Row],[Formfaktor]]=6,3,""))),"")</f>
        <v/>
      </c>
      <c r="AH42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5" s="71">
        <v>1</v>
      </c>
      <c r="AK42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25" s="3" t="s">
        <v>388</v>
      </c>
      <c r="AM425" s="3" t="s">
        <v>962</v>
      </c>
      <c r="AN425" s="3" t="s">
        <v>538</v>
      </c>
      <c r="AO425" s="3" t="s">
        <v>200</v>
      </c>
      <c r="AP425" s="12" t="s">
        <v>200</v>
      </c>
      <c r="AT425" s="10" t="s">
        <v>223</v>
      </c>
      <c r="AU425" s="13" t="s">
        <v>200</v>
      </c>
      <c r="AV425" s="14"/>
      <c r="AW425" s="10" t="s">
        <v>775</v>
      </c>
    </row>
    <row r="426" spans="1:49" ht="17.25" customHeight="1">
      <c r="B426" s="7" t="s">
        <v>165</v>
      </c>
      <c r="C426" s="3" t="s">
        <v>762</v>
      </c>
      <c r="D426" s="3" t="s">
        <v>200</v>
      </c>
      <c r="E426" s="10" t="s">
        <v>205</v>
      </c>
      <c r="F426" s="3" t="s">
        <v>288</v>
      </c>
      <c r="G426" s="3">
        <v>0.05</v>
      </c>
      <c r="H426" s="3">
        <f>0.015*0.015</f>
        <v>2.2499999999999999E-4</v>
      </c>
      <c r="I426" s="284">
        <v>0.90300000000000002</v>
      </c>
      <c r="J426" s="3" t="s">
        <v>758</v>
      </c>
      <c r="K426" s="8" t="s">
        <v>760</v>
      </c>
      <c r="L426" s="3" t="s">
        <v>759</v>
      </c>
      <c r="M426" s="19" t="s">
        <v>223</v>
      </c>
      <c r="N426" s="19" t="s">
        <v>735</v>
      </c>
      <c r="O426" s="19" t="s">
        <v>294</v>
      </c>
      <c r="P426"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26" s="286" t="s">
        <v>764</v>
      </c>
      <c r="R426" s="21">
        <v>7</v>
      </c>
      <c r="S426" s="21"/>
      <c r="T426" s="21"/>
      <c r="U426" s="21" t="s">
        <v>12</v>
      </c>
      <c r="V426" s="21" t="s">
        <v>765</v>
      </c>
      <c r="W426" s="19" t="s">
        <v>13</v>
      </c>
      <c r="Y426" s="9" t="s">
        <v>767</v>
      </c>
      <c r="Z426" s="21">
        <v>365</v>
      </c>
      <c r="AA426" s="5">
        <f>2.7/Z426</f>
        <v>7.3972602739726034E-3</v>
      </c>
      <c r="AB426" s="5"/>
      <c r="AC42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6" s="97" t="str">
        <f>IF(Tabelle1[[#This Row],[Nicht einbezogen weil…]]="",IFERROR(1000*Tabelle1[[#This Row],[Formfaktor]]/Tabelle1[[#This Row],[Thickness '[mm']]],""),"")</f>
        <v/>
      </c>
      <c r="AE426" s="98" t="str">
        <f>IF(Tabelle1[[#This Row],[Nicht einbezogen weil…]]="",IFERROR(Tabelle1[[#This Row],[specific surface '[m^2/m^3']]]/Tabelle1[[#This Row],[Density 
'[g/cm3']]]/1000000,""),"")</f>
        <v/>
      </c>
      <c r="AF426" s="97" t="str">
        <f>IF(Tabelle1[[#This Row],[Nicht einbezogen weil…]]="",IFERROR(365*10*Tabelle1[[#This Row],[Abbaurate '[%/d']]]*Tabelle1[[#This Row],[Thickness '[mm']]]/Tabelle1[[#This Row],[Formfaktor]],""),"")</f>
        <v/>
      </c>
      <c r="AG426" s="99" t="str">
        <f>IF(OR(Tabelle1[[#This Row],[Nicht einbezogen weil…]]="",Tabelle1[[#This Row],[Nicht einbezogen weil…]]="nicht-natürlich"),IF(Tabelle1[[#This Row],[Formfaktor]]=2, 1,IF(Tabelle1[[#This Row],[Formfaktor]]=4,2,IF(Tabelle1[[#This Row],[Formfaktor]]=6,3,""))),"")</f>
        <v/>
      </c>
      <c r="AH42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6" s="71">
        <v>1</v>
      </c>
      <c r="AK42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26" s="3" t="s">
        <v>383</v>
      </c>
      <c r="AM426" s="3" t="s">
        <v>962</v>
      </c>
      <c r="AN426" s="3" t="s">
        <v>538</v>
      </c>
      <c r="AO426" s="3" t="s">
        <v>200</v>
      </c>
      <c r="AP426" s="12" t="s">
        <v>200</v>
      </c>
      <c r="AT426" s="10" t="s">
        <v>223</v>
      </c>
      <c r="AU426" s="13" t="s">
        <v>200</v>
      </c>
      <c r="AW426" s="10" t="s">
        <v>775</v>
      </c>
    </row>
    <row r="427" spans="1:49" ht="17.25" customHeight="1">
      <c r="B427" s="7" t="s">
        <v>789</v>
      </c>
      <c r="C427" s="3" t="s">
        <v>503</v>
      </c>
      <c r="D427" s="3" t="s">
        <v>200</v>
      </c>
      <c r="E427" s="10" t="s">
        <v>1127</v>
      </c>
      <c r="F427" s="3" t="s">
        <v>198</v>
      </c>
      <c r="G427" s="3" t="s">
        <v>341</v>
      </c>
      <c r="H427" s="3" t="s">
        <v>341</v>
      </c>
      <c r="I427" s="18" t="s">
        <v>341</v>
      </c>
      <c r="M427" s="3" t="s">
        <v>200</v>
      </c>
      <c r="N427" s="3" t="s">
        <v>5</v>
      </c>
      <c r="O427" s="3" t="s">
        <v>358</v>
      </c>
      <c r="P42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27" s="4">
        <v>30</v>
      </c>
      <c r="R427" s="22"/>
      <c r="S427" s="22">
        <v>80</v>
      </c>
      <c r="T427" s="22"/>
      <c r="U427" s="22"/>
      <c r="W427" s="3" t="s">
        <v>13</v>
      </c>
      <c r="Y427" s="4">
        <v>37.4</v>
      </c>
      <c r="Z427" s="4">
        <v>56</v>
      </c>
      <c r="AA427" s="5">
        <f>Y427/Z427</f>
        <v>0.66785714285714282</v>
      </c>
      <c r="AB427" s="5"/>
      <c r="AC42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7" s="97" t="str">
        <f>IF(Tabelle1[[#This Row],[Nicht einbezogen weil…]]="",IFERROR(1000*Tabelle1[[#This Row],[Formfaktor]]/Tabelle1[[#This Row],[Thickness '[mm']]],""),"")</f>
        <v/>
      </c>
      <c r="AE427" s="98" t="str">
        <f>IF(Tabelle1[[#This Row],[Nicht einbezogen weil…]]="",IFERROR(Tabelle1[[#This Row],[specific surface '[m^2/m^3']]]/Tabelle1[[#This Row],[Density 
'[g/cm3']]]/1000000,""),"")</f>
        <v/>
      </c>
      <c r="AF427" s="97" t="str">
        <f>IF(Tabelle1[[#This Row],[Nicht einbezogen weil…]]="",IFERROR(365*10*Tabelle1[[#This Row],[Abbaurate '[%/d']]]*Tabelle1[[#This Row],[Thickness '[mm']]]/Tabelle1[[#This Row],[Formfaktor]],""),"")</f>
        <v/>
      </c>
      <c r="AG427" s="99" t="str">
        <f>IF(OR(Tabelle1[[#This Row],[Nicht einbezogen weil…]]="",Tabelle1[[#This Row],[Nicht einbezogen weil…]]="nicht-natürlich"),IF(Tabelle1[[#This Row],[Formfaktor]]=2, 1,IF(Tabelle1[[#This Row],[Formfaktor]]=4,2,IF(Tabelle1[[#This Row],[Formfaktor]]=6,3,""))),"")</f>
        <v/>
      </c>
      <c r="AH42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7" s="71">
        <v>1</v>
      </c>
      <c r="AK42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27" s="3" t="s">
        <v>140</v>
      </c>
      <c r="AM427" s="3" t="s">
        <v>196</v>
      </c>
      <c r="AO427" s="3" t="s">
        <v>200</v>
      </c>
      <c r="AP427" s="3" t="s">
        <v>200</v>
      </c>
      <c r="AT427" s="319" t="s">
        <v>223</v>
      </c>
      <c r="AU427" s="320" t="s">
        <v>200</v>
      </c>
      <c r="AV427" s="319"/>
    </row>
    <row r="428" spans="1:49" ht="17.25" customHeight="1">
      <c r="B428" s="7" t="s">
        <v>789</v>
      </c>
      <c r="C428" s="3" t="s">
        <v>8</v>
      </c>
      <c r="D428" s="3" t="s">
        <v>200</v>
      </c>
      <c r="E428" s="10" t="s">
        <v>1127</v>
      </c>
      <c r="F428" s="3" t="s">
        <v>198</v>
      </c>
      <c r="G428" s="3" t="s">
        <v>341</v>
      </c>
      <c r="H428" s="3" t="s">
        <v>341</v>
      </c>
      <c r="I428" s="18" t="s">
        <v>341</v>
      </c>
      <c r="M428" s="3" t="s">
        <v>200</v>
      </c>
      <c r="N428" s="3" t="s">
        <v>5</v>
      </c>
      <c r="O428" s="3" t="s">
        <v>358</v>
      </c>
      <c r="P42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28" s="4">
        <v>30</v>
      </c>
      <c r="R428" s="22"/>
      <c r="S428" s="22">
        <v>80</v>
      </c>
      <c r="T428" s="22"/>
      <c r="U428" s="22"/>
      <c r="W428" s="3" t="s">
        <v>13</v>
      </c>
      <c r="Y428" s="4">
        <v>43</v>
      </c>
      <c r="Z428" s="4">
        <v>56</v>
      </c>
      <c r="AA428" s="5">
        <f>Y428/Z428</f>
        <v>0.7678571428571429</v>
      </c>
      <c r="AB428" s="5"/>
      <c r="AC42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8" s="97" t="str">
        <f>IF(Tabelle1[[#This Row],[Nicht einbezogen weil…]]="",IFERROR(1000*Tabelle1[[#This Row],[Formfaktor]]/Tabelle1[[#This Row],[Thickness '[mm']]],""),"")</f>
        <v/>
      </c>
      <c r="AE428" s="98" t="str">
        <f>IF(Tabelle1[[#This Row],[Nicht einbezogen weil…]]="",IFERROR(Tabelle1[[#This Row],[specific surface '[m^2/m^3']]]/Tabelle1[[#This Row],[Density 
'[g/cm3']]]/1000000,""),"")</f>
        <v/>
      </c>
      <c r="AF428" s="97" t="str">
        <f>IF(Tabelle1[[#This Row],[Nicht einbezogen weil…]]="",IFERROR(365*10*Tabelle1[[#This Row],[Abbaurate '[%/d']]]*Tabelle1[[#This Row],[Thickness '[mm']]]/Tabelle1[[#This Row],[Formfaktor]],""),"")</f>
        <v/>
      </c>
      <c r="AG428" s="99" t="str">
        <f>IF(OR(Tabelle1[[#This Row],[Nicht einbezogen weil…]]="",Tabelle1[[#This Row],[Nicht einbezogen weil…]]="nicht-natürlich"),IF(Tabelle1[[#This Row],[Formfaktor]]=2, 1,IF(Tabelle1[[#This Row],[Formfaktor]]=4,2,IF(Tabelle1[[#This Row],[Formfaktor]]=6,3,""))),"")</f>
        <v/>
      </c>
      <c r="AH42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8" s="71">
        <v>1</v>
      </c>
      <c r="AK42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28" s="3" t="s">
        <v>140</v>
      </c>
      <c r="AM428" s="3" t="s">
        <v>196</v>
      </c>
      <c r="AO428" s="3" t="s">
        <v>200</v>
      </c>
      <c r="AP428" s="3" t="s">
        <v>200</v>
      </c>
      <c r="AT428" s="319" t="s">
        <v>223</v>
      </c>
      <c r="AU428" s="320" t="s">
        <v>200</v>
      </c>
      <c r="AV428" s="319"/>
    </row>
    <row r="429" spans="1:49" ht="17.25" customHeight="1">
      <c r="B429" s="7" t="s">
        <v>789</v>
      </c>
      <c r="C429" s="3" t="s">
        <v>505</v>
      </c>
      <c r="D429" s="3" t="s">
        <v>200</v>
      </c>
      <c r="E429" s="10" t="s">
        <v>1127</v>
      </c>
      <c r="F429" s="3" t="s">
        <v>198</v>
      </c>
      <c r="G429" s="3" t="s">
        <v>341</v>
      </c>
      <c r="H429" s="3" t="s">
        <v>341</v>
      </c>
      <c r="I429" s="3" t="s">
        <v>341</v>
      </c>
      <c r="M429" s="3" t="s">
        <v>200</v>
      </c>
      <c r="N429" s="3" t="s">
        <v>5</v>
      </c>
      <c r="O429" s="3" t="s">
        <v>358</v>
      </c>
      <c r="P42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29" s="4">
        <v>30</v>
      </c>
      <c r="R429" s="22"/>
      <c r="S429" s="22">
        <v>80</v>
      </c>
      <c r="T429" s="22"/>
      <c r="U429" s="22"/>
      <c r="W429" s="3" t="s">
        <v>13</v>
      </c>
      <c r="Y429" s="4">
        <v>43</v>
      </c>
      <c r="Z429" s="4">
        <v>56</v>
      </c>
      <c r="AA429" s="5">
        <f>Y429/Z429</f>
        <v>0.7678571428571429</v>
      </c>
      <c r="AB429" s="5"/>
      <c r="AC42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29" s="97" t="str">
        <f>IF(Tabelle1[[#This Row],[Nicht einbezogen weil…]]="",IFERROR(1000*Tabelle1[[#This Row],[Formfaktor]]/Tabelle1[[#This Row],[Thickness '[mm']]],""),"")</f>
        <v/>
      </c>
      <c r="AE429" s="98" t="str">
        <f>IF(Tabelle1[[#This Row],[Nicht einbezogen weil…]]="",IFERROR(Tabelle1[[#This Row],[specific surface '[m^2/m^3']]]/Tabelle1[[#This Row],[Density 
'[g/cm3']]]/1000000,""),"")</f>
        <v/>
      </c>
      <c r="AF429" s="97" t="str">
        <f>IF(Tabelle1[[#This Row],[Nicht einbezogen weil…]]="",IFERROR(365*10*Tabelle1[[#This Row],[Abbaurate '[%/d']]]*Tabelle1[[#This Row],[Thickness '[mm']]]/Tabelle1[[#This Row],[Formfaktor]],""),"")</f>
        <v/>
      </c>
      <c r="AG429" s="99" t="str">
        <f>IF(OR(Tabelle1[[#This Row],[Nicht einbezogen weil…]]="",Tabelle1[[#This Row],[Nicht einbezogen weil…]]="nicht-natürlich"),IF(Tabelle1[[#This Row],[Formfaktor]]=2, 1,IF(Tabelle1[[#This Row],[Formfaktor]]=4,2,IF(Tabelle1[[#This Row],[Formfaktor]]=6,3,""))),"")</f>
        <v/>
      </c>
      <c r="AH42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2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29" s="71">
        <v>1</v>
      </c>
      <c r="AK42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29" s="3" t="s">
        <v>140</v>
      </c>
      <c r="AM429" s="3" t="s">
        <v>196</v>
      </c>
      <c r="AN429" s="3" t="s">
        <v>538</v>
      </c>
      <c r="AO429" s="3" t="s">
        <v>200</v>
      </c>
      <c r="AP429" s="3" t="s">
        <v>200</v>
      </c>
      <c r="AT429" s="319" t="s">
        <v>223</v>
      </c>
      <c r="AU429" s="320" t="s">
        <v>200</v>
      </c>
      <c r="AV429" s="319"/>
    </row>
    <row r="430" spans="1:49" ht="17.25" customHeight="1">
      <c r="B430" s="7" t="s">
        <v>789</v>
      </c>
      <c r="C430" s="3" t="s">
        <v>504</v>
      </c>
      <c r="D430" s="3" t="s">
        <v>200</v>
      </c>
      <c r="E430" s="10" t="s">
        <v>1127</v>
      </c>
      <c r="F430" s="3" t="s">
        <v>198</v>
      </c>
      <c r="G430" s="3" t="s">
        <v>341</v>
      </c>
      <c r="H430" s="3" t="s">
        <v>341</v>
      </c>
      <c r="I430" s="3" t="s">
        <v>341</v>
      </c>
      <c r="M430" s="3" t="s">
        <v>200</v>
      </c>
      <c r="N430" s="3" t="s">
        <v>5</v>
      </c>
      <c r="O430" s="3" t="s">
        <v>358</v>
      </c>
      <c r="P43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30" s="4">
        <v>30</v>
      </c>
      <c r="R430" s="95"/>
      <c r="S430" s="95">
        <v>80</v>
      </c>
      <c r="T430" s="95"/>
      <c r="U430" s="95"/>
      <c r="W430" s="3" t="s">
        <v>13</v>
      </c>
      <c r="Y430" s="4">
        <v>38.5</v>
      </c>
      <c r="Z430" s="4">
        <v>56</v>
      </c>
      <c r="AA430" s="5">
        <f>Y430/Z430</f>
        <v>0.6875</v>
      </c>
      <c r="AB430" s="5"/>
      <c r="AC43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30" s="97" t="str">
        <f>IF(Tabelle1[[#This Row],[Nicht einbezogen weil…]]="",IFERROR(1000*Tabelle1[[#This Row],[Formfaktor]]/Tabelle1[[#This Row],[Thickness '[mm']]],""),"")</f>
        <v/>
      </c>
      <c r="AE430" s="98" t="str">
        <f>IF(Tabelle1[[#This Row],[Nicht einbezogen weil…]]="",IFERROR(Tabelle1[[#This Row],[specific surface '[m^2/m^3']]]/Tabelle1[[#This Row],[Density 
'[g/cm3']]]/1000000,""),"")</f>
        <v/>
      </c>
      <c r="AF430" s="97" t="str">
        <f>IF(Tabelle1[[#This Row],[Nicht einbezogen weil…]]="",IFERROR(365*10*Tabelle1[[#This Row],[Abbaurate '[%/d']]]*Tabelle1[[#This Row],[Thickness '[mm']]]/Tabelle1[[#This Row],[Formfaktor]],""),"")</f>
        <v/>
      </c>
      <c r="AG430" s="99" t="str">
        <f>IF(OR(Tabelle1[[#This Row],[Nicht einbezogen weil…]]="",Tabelle1[[#This Row],[Nicht einbezogen weil…]]="nicht-natürlich"),IF(Tabelle1[[#This Row],[Formfaktor]]=2, 1,IF(Tabelle1[[#This Row],[Formfaktor]]=4,2,IF(Tabelle1[[#This Row],[Formfaktor]]=6,3,""))),"")</f>
        <v/>
      </c>
      <c r="AH43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0" s="71">
        <v>1</v>
      </c>
      <c r="AK43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30" s="3" t="s">
        <v>140</v>
      </c>
      <c r="AM430" s="3" t="s">
        <v>196</v>
      </c>
      <c r="AN430" s="3" t="s">
        <v>538</v>
      </c>
      <c r="AO430" s="3" t="s">
        <v>200</v>
      </c>
      <c r="AP430" s="3" t="s">
        <v>200</v>
      </c>
      <c r="AT430" s="319" t="s">
        <v>223</v>
      </c>
      <c r="AU430" s="320" t="s">
        <v>200</v>
      </c>
      <c r="AV430" s="319"/>
    </row>
    <row r="431" spans="1:49" ht="17.25" customHeight="1">
      <c r="B431" s="7" t="s">
        <v>789</v>
      </c>
      <c r="C431" s="3" t="s">
        <v>10</v>
      </c>
      <c r="D431" s="3" t="s">
        <v>200</v>
      </c>
      <c r="E431" s="10" t="s">
        <v>1127</v>
      </c>
      <c r="F431" s="3" t="s">
        <v>561</v>
      </c>
      <c r="G431" s="17">
        <f>AVERAGE(3,12)</f>
        <v>7.5</v>
      </c>
      <c r="H431" s="3" t="s">
        <v>631</v>
      </c>
      <c r="I431" s="3" t="s">
        <v>341</v>
      </c>
      <c r="J431" s="3" t="s">
        <v>562</v>
      </c>
      <c r="K431" s="343" t="s">
        <v>560</v>
      </c>
      <c r="M431" s="3" t="s">
        <v>223</v>
      </c>
      <c r="N431" s="3" t="s">
        <v>4</v>
      </c>
      <c r="O431" s="3" t="s">
        <v>294</v>
      </c>
      <c r="P43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31" s="4">
        <v>58</v>
      </c>
      <c r="U431" s="4" t="s">
        <v>12</v>
      </c>
      <c r="W431" s="75" t="s">
        <v>13</v>
      </c>
      <c r="Y431" s="4">
        <v>79.7</v>
      </c>
      <c r="Z431" s="95">
        <v>90</v>
      </c>
      <c r="AA431" s="5">
        <f>Y431/Z431</f>
        <v>0.88555555555555554</v>
      </c>
      <c r="AB431" s="5"/>
      <c r="AC431"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31" s="97" t="str">
        <f>IF(Tabelle1[[#This Row],[Nicht einbezogen weil…]]="",IFERROR(1000*Tabelle1[[#This Row],[Formfaktor]]/Tabelle1[[#This Row],[Thickness '[mm']]],""),"")</f>
        <v/>
      </c>
      <c r="AE431" s="98" t="str">
        <f>IF(Tabelle1[[#This Row],[Nicht einbezogen weil…]]="",IFERROR(Tabelle1[[#This Row],[specific surface '[m^2/m^3']]]/Tabelle1[[#This Row],[Density 
'[g/cm3']]]/1000000,""),"")</f>
        <v/>
      </c>
      <c r="AF431" s="97" t="str">
        <f>IF(Tabelle1[[#This Row],[Nicht einbezogen weil…]]="",IFERROR(365*10*Tabelle1[[#This Row],[Abbaurate '[%/d']]]*Tabelle1[[#This Row],[Thickness '[mm']]]/Tabelle1[[#This Row],[Formfaktor]],""),"")</f>
        <v/>
      </c>
      <c r="AG431" s="99" t="str">
        <f>IF(OR(Tabelle1[[#This Row],[Nicht einbezogen weil…]]="",Tabelle1[[#This Row],[Nicht einbezogen weil…]]="nicht-natürlich"),IF(Tabelle1[[#This Row],[Formfaktor]]=2, 1,IF(Tabelle1[[#This Row],[Formfaktor]]=4,2,IF(Tabelle1[[#This Row],[Formfaktor]]=6,3,""))),"")</f>
        <v/>
      </c>
      <c r="AH43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1" s="71">
        <v>1</v>
      </c>
      <c r="AK43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431" s="3" t="s">
        <v>135</v>
      </c>
      <c r="AM431" s="3" t="s">
        <v>196</v>
      </c>
      <c r="AO431" s="3" t="s">
        <v>200</v>
      </c>
      <c r="AP431" s="3" t="s">
        <v>200</v>
      </c>
      <c r="AT431" s="319" t="s">
        <v>223</v>
      </c>
      <c r="AU431" s="320" t="s">
        <v>200</v>
      </c>
      <c r="AV431" s="319"/>
      <c r="AW431" s="10" t="s">
        <v>788</v>
      </c>
    </row>
    <row r="432" spans="1:49" ht="17.25" customHeight="1">
      <c r="B432" s="7" t="s">
        <v>789</v>
      </c>
      <c r="C432" s="18" t="s">
        <v>11</v>
      </c>
      <c r="D432" s="3" t="s">
        <v>200</v>
      </c>
      <c r="E432" s="10" t="s">
        <v>1127</v>
      </c>
      <c r="F432" s="3" t="s">
        <v>288</v>
      </c>
      <c r="G432" s="18">
        <v>1</v>
      </c>
      <c r="H432" s="18">
        <f>0.03*0.03</f>
        <v>8.9999999999999998E-4</v>
      </c>
      <c r="I432" s="3" t="s">
        <v>341</v>
      </c>
      <c r="J432" s="18"/>
      <c r="K432" s="107"/>
      <c r="M432" s="3" t="s">
        <v>200</v>
      </c>
      <c r="N432" s="18" t="s">
        <v>618</v>
      </c>
      <c r="O432" s="18" t="s">
        <v>358</v>
      </c>
      <c r="P43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432" s="4">
        <v>30</v>
      </c>
      <c r="W432" s="18" t="s">
        <v>13</v>
      </c>
      <c r="Y432" s="4" t="s">
        <v>14</v>
      </c>
      <c r="Z432" s="4">
        <f>14*7</f>
        <v>98</v>
      </c>
      <c r="AA432" s="5">
        <f>60/Z432</f>
        <v>0.61224489795918369</v>
      </c>
      <c r="AB432" s="5"/>
      <c r="AC43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32" s="97" t="str">
        <f>IF(Tabelle1[[#This Row],[Nicht einbezogen weil…]]="",IFERROR(1000*Tabelle1[[#This Row],[Formfaktor]]/Tabelle1[[#This Row],[Thickness '[mm']]],""),"")</f>
        <v/>
      </c>
      <c r="AE432" s="98" t="str">
        <f>IF(Tabelle1[[#This Row],[Nicht einbezogen weil…]]="",IFERROR(Tabelle1[[#This Row],[specific surface '[m^2/m^3']]]/Tabelle1[[#This Row],[Density 
'[g/cm3']]]/1000000,""),"")</f>
        <v/>
      </c>
      <c r="AF432" s="97" t="str">
        <f>IF(Tabelle1[[#This Row],[Nicht einbezogen weil…]]="",IFERROR(365*10*Tabelle1[[#This Row],[Abbaurate '[%/d']]]*Tabelle1[[#This Row],[Thickness '[mm']]]/Tabelle1[[#This Row],[Formfaktor]],""),"")</f>
        <v/>
      </c>
      <c r="AG432" s="99" t="str">
        <f>IF(OR(Tabelle1[[#This Row],[Nicht einbezogen weil…]]="",Tabelle1[[#This Row],[Nicht einbezogen weil…]]="nicht-natürlich"),IF(Tabelle1[[#This Row],[Formfaktor]]=2, 1,IF(Tabelle1[[#This Row],[Formfaktor]]=4,2,IF(Tabelle1[[#This Row],[Formfaktor]]=6,3,""))),"")</f>
        <v/>
      </c>
      <c r="AH43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2" s="71">
        <v>1</v>
      </c>
      <c r="AK43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32" s="3" t="s">
        <v>137</v>
      </c>
      <c r="AM432" s="3" t="s">
        <v>963</v>
      </c>
      <c r="AO432" s="3" t="s">
        <v>235</v>
      </c>
      <c r="AP432" s="3" t="s">
        <v>235</v>
      </c>
      <c r="AT432" s="319" t="s">
        <v>223</v>
      </c>
      <c r="AU432" s="320" t="s">
        <v>200</v>
      </c>
      <c r="AV432" s="319"/>
    </row>
    <row r="433" spans="2:49" ht="17.25" customHeight="1">
      <c r="B433" s="7" t="s">
        <v>165</v>
      </c>
      <c r="C433" s="3" t="s">
        <v>763</v>
      </c>
      <c r="D433" s="3" t="s">
        <v>200</v>
      </c>
      <c r="E433" s="10" t="s">
        <v>205</v>
      </c>
      <c r="F433" s="3" t="s">
        <v>288</v>
      </c>
      <c r="G433" s="3">
        <v>0.05</v>
      </c>
      <c r="H433" s="18">
        <f>0.015*0.015</f>
        <v>2.2499999999999999E-4</v>
      </c>
      <c r="I433" s="24">
        <v>0.90300000000000002</v>
      </c>
      <c r="J433" s="18" t="s">
        <v>758</v>
      </c>
      <c r="K433" s="107" t="s">
        <v>761</v>
      </c>
      <c r="L433" s="3" t="s">
        <v>759</v>
      </c>
      <c r="M433" s="19" t="s">
        <v>223</v>
      </c>
      <c r="N433" s="103" t="s">
        <v>735</v>
      </c>
      <c r="O433" s="103" t="s">
        <v>294</v>
      </c>
      <c r="P433"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33" s="286" t="s">
        <v>764</v>
      </c>
      <c r="R433" s="21">
        <v>7</v>
      </c>
      <c r="S433" s="21"/>
      <c r="T433" s="21"/>
      <c r="U433" s="21" t="s">
        <v>12</v>
      </c>
      <c r="V433" s="21" t="s">
        <v>765</v>
      </c>
      <c r="W433" s="103" t="s">
        <v>13</v>
      </c>
      <c r="Y433" s="9" t="s">
        <v>766</v>
      </c>
      <c r="Z433" s="21">
        <v>365</v>
      </c>
      <c r="AA433" s="5">
        <f>0.8/Z433</f>
        <v>2.1917808219178085E-3</v>
      </c>
      <c r="AB433" s="5"/>
      <c r="AC43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33" s="97" t="str">
        <f>IF(Tabelle1[[#This Row],[Nicht einbezogen weil…]]="",IFERROR(1000*Tabelle1[[#This Row],[Formfaktor]]/Tabelle1[[#This Row],[Thickness '[mm']]],""),"")</f>
        <v/>
      </c>
      <c r="AE433" s="98" t="str">
        <f>IF(Tabelle1[[#This Row],[Nicht einbezogen weil…]]="",IFERROR(Tabelle1[[#This Row],[specific surface '[m^2/m^3']]]/Tabelle1[[#This Row],[Density 
'[g/cm3']]]/1000000,""),"")</f>
        <v/>
      </c>
      <c r="AF433" s="97" t="str">
        <f>IF(Tabelle1[[#This Row],[Nicht einbezogen weil…]]="",IFERROR(365*10*Tabelle1[[#This Row],[Abbaurate '[%/d']]]*Tabelle1[[#This Row],[Thickness '[mm']]]/Tabelle1[[#This Row],[Formfaktor]],""),"")</f>
        <v/>
      </c>
      <c r="AG433" s="99" t="str">
        <f>IF(OR(Tabelle1[[#This Row],[Nicht einbezogen weil…]]="",Tabelle1[[#This Row],[Nicht einbezogen weil…]]="nicht-natürlich"),IF(Tabelle1[[#This Row],[Formfaktor]]=2, 1,IF(Tabelle1[[#This Row],[Formfaktor]]=4,2,IF(Tabelle1[[#This Row],[Formfaktor]]=6,3,""))),"")</f>
        <v/>
      </c>
      <c r="AH43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3" s="71">
        <v>1</v>
      </c>
      <c r="AK43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33" s="3" t="s">
        <v>383</v>
      </c>
      <c r="AM433" s="3" t="s">
        <v>962</v>
      </c>
      <c r="AN433" s="3" t="s">
        <v>538</v>
      </c>
      <c r="AO433" s="3" t="s">
        <v>200</v>
      </c>
      <c r="AP433" s="12" t="s">
        <v>200</v>
      </c>
      <c r="AT433" s="10" t="s">
        <v>223</v>
      </c>
      <c r="AU433" s="13" t="s">
        <v>200</v>
      </c>
      <c r="AW433" s="10" t="s">
        <v>775</v>
      </c>
    </row>
    <row r="434" spans="2:49" ht="17.25" customHeight="1">
      <c r="B434" s="11" t="s">
        <v>165</v>
      </c>
      <c r="C434" s="18" t="s">
        <v>754</v>
      </c>
      <c r="D434" s="3" t="s">
        <v>200</v>
      </c>
      <c r="E434" s="10" t="s">
        <v>205</v>
      </c>
      <c r="F434" s="12" t="s">
        <v>747</v>
      </c>
      <c r="G434" s="3">
        <v>0.24</v>
      </c>
      <c r="H434" s="106">
        <f>4*PI()*((G434/2)^2)</f>
        <v>0.18095573684677208</v>
      </c>
      <c r="I434" s="3">
        <v>0.9</v>
      </c>
      <c r="K434" s="8" t="s">
        <v>751</v>
      </c>
      <c r="L434" s="3" t="s">
        <v>752</v>
      </c>
      <c r="M434" s="3" t="s">
        <v>223</v>
      </c>
      <c r="N434" s="3" t="s">
        <v>735</v>
      </c>
      <c r="O434" s="3" t="s">
        <v>294</v>
      </c>
      <c r="P43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434" s="18" t="s">
        <v>13</v>
      </c>
      <c r="Y434" s="4">
        <v>3.6</v>
      </c>
      <c r="Z434" s="4">
        <v>40</v>
      </c>
      <c r="AA434" s="5">
        <f>Y434/Z434</f>
        <v>0.09</v>
      </c>
      <c r="AB434" s="5"/>
      <c r="AC43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34" s="97" t="str">
        <f>IF(Tabelle1[[#This Row],[Nicht einbezogen weil…]]="",IFERROR(1000*Tabelle1[[#This Row],[Formfaktor]]/Tabelle1[[#This Row],[Thickness '[mm']]],""),"")</f>
        <v/>
      </c>
      <c r="AE434" s="98" t="str">
        <f>IF(Tabelle1[[#This Row],[Nicht einbezogen weil…]]="",IFERROR(Tabelle1[[#This Row],[specific surface '[m^2/m^3']]]/Tabelle1[[#This Row],[Density 
'[g/cm3']]]/1000000,""),"")</f>
        <v/>
      </c>
      <c r="AF434" s="97" t="str">
        <f>IF(Tabelle1[[#This Row],[Nicht einbezogen weil…]]="",IFERROR(365*10*Tabelle1[[#This Row],[Abbaurate '[%/d']]]*Tabelle1[[#This Row],[Thickness '[mm']]]/Tabelle1[[#This Row],[Formfaktor]],""),"")</f>
        <v/>
      </c>
      <c r="AG434" s="99" t="str">
        <f>IF(OR(Tabelle1[[#This Row],[Nicht einbezogen weil…]]="",Tabelle1[[#This Row],[Nicht einbezogen weil…]]="nicht-natürlich"),IF(Tabelle1[[#This Row],[Formfaktor]]=2, 1,IF(Tabelle1[[#This Row],[Formfaktor]]=4,2,IF(Tabelle1[[#This Row],[Formfaktor]]=6,3,""))),"")</f>
        <v/>
      </c>
      <c r="AH43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4" s="71">
        <v>1</v>
      </c>
      <c r="AK43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34" s="3" t="s">
        <v>387</v>
      </c>
      <c r="AM434" s="3" t="s">
        <v>962</v>
      </c>
      <c r="AN434" s="3" t="s">
        <v>538</v>
      </c>
      <c r="AO434" s="3" t="s">
        <v>200</v>
      </c>
      <c r="AP434" s="3" t="s">
        <v>200</v>
      </c>
      <c r="AT434" s="10" t="s">
        <v>223</v>
      </c>
      <c r="AU434" s="13" t="s">
        <v>200</v>
      </c>
      <c r="AW434" s="3" t="s">
        <v>785</v>
      </c>
    </row>
    <row r="435" spans="2:49" ht="17.25" customHeight="1">
      <c r="B435" s="7" t="s">
        <v>165</v>
      </c>
      <c r="C435" s="18" t="s">
        <v>165</v>
      </c>
      <c r="D435" s="3" t="s">
        <v>223</v>
      </c>
      <c r="E435" s="10"/>
      <c r="F435" s="3" t="s">
        <v>288</v>
      </c>
      <c r="G435" s="344">
        <v>2.9999999999999997E-4</v>
      </c>
      <c r="H435" s="3">
        <f>0.05*0.005</f>
        <v>2.5000000000000001E-4</v>
      </c>
      <c r="I435" s="17" t="s">
        <v>596</v>
      </c>
      <c r="J435" s="18"/>
      <c r="K435" s="107" t="s">
        <v>229</v>
      </c>
      <c r="L435" s="3" t="s">
        <v>950</v>
      </c>
      <c r="M435" s="3" t="s">
        <v>223</v>
      </c>
      <c r="N435" s="3" t="s">
        <v>951</v>
      </c>
      <c r="O435" s="18" t="s">
        <v>294</v>
      </c>
      <c r="P43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35" s="4">
        <v>30</v>
      </c>
      <c r="W435" s="18" t="s">
        <v>13</v>
      </c>
      <c r="AA435" s="5" t="e">
        <f>Y435/Z435</f>
        <v>#DIV/0!</v>
      </c>
      <c r="AB435" s="5"/>
      <c r="AC43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35" s="97" t="str">
        <f>IF(Tabelle1[[#This Row],[Nicht einbezogen weil…]]="",IFERROR(1000*Tabelle1[[#This Row],[Formfaktor]]/Tabelle1[[#This Row],[Thickness '[mm']]],""),"")</f>
        <v/>
      </c>
      <c r="AE435" s="98" t="str">
        <f>IF(Tabelle1[[#This Row],[Nicht einbezogen weil…]]="",IFERROR(Tabelle1[[#This Row],[specific surface '[m^2/m^3']]]/Tabelle1[[#This Row],[Density 
'[g/cm3']]]/1000000,""),"")</f>
        <v/>
      </c>
      <c r="AF435" s="97" t="str">
        <f>IF(Tabelle1[[#This Row],[Nicht einbezogen weil…]]="",IFERROR(365*10*Tabelle1[[#This Row],[Abbaurate '[%/d']]]*Tabelle1[[#This Row],[Thickness '[mm']]]/Tabelle1[[#This Row],[Formfaktor]],""),"")</f>
        <v/>
      </c>
      <c r="AG435" s="99" t="str">
        <f>IF(OR(Tabelle1[[#This Row],[Nicht einbezogen weil…]]="",Tabelle1[[#This Row],[Nicht einbezogen weil…]]="nicht-natürlich"),IF(Tabelle1[[#This Row],[Formfaktor]]=2, 1,IF(Tabelle1[[#This Row],[Formfaktor]]=4,2,IF(Tabelle1[[#This Row],[Formfaktor]]=6,3,""))),"")</f>
        <v/>
      </c>
      <c r="AH43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5" s="6">
        <v>0</v>
      </c>
      <c r="AK43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35" s="323" t="s">
        <v>825</v>
      </c>
      <c r="AM435" s="3" t="s">
        <v>855</v>
      </c>
      <c r="AN435" s="3" t="s">
        <v>824</v>
      </c>
      <c r="AO435" s="3" t="s">
        <v>200</v>
      </c>
      <c r="AP435" s="3" t="s">
        <v>200</v>
      </c>
      <c r="AU435" s="13" t="s">
        <v>200</v>
      </c>
      <c r="AW435" s="10" t="s">
        <v>952</v>
      </c>
    </row>
    <row r="436" spans="2:49" ht="17.25" customHeight="1">
      <c r="B436" s="329" t="s">
        <v>165</v>
      </c>
      <c r="C436" s="3" t="s">
        <v>165</v>
      </c>
      <c r="D436" s="3" t="s">
        <v>200</v>
      </c>
      <c r="E436" s="10" t="s">
        <v>205</v>
      </c>
      <c r="F436" s="3" t="s">
        <v>288</v>
      </c>
      <c r="G436" s="3">
        <v>0.15</v>
      </c>
      <c r="H436" s="3">
        <f>0.05*0.01</f>
        <v>5.0000000000000001E-4</v>
      </c>
      <c r="I436" s="24">
        <v>0.90300000000000002</v>
      </c>
      <c r="J436" s="75" t="s">
        <v>906</v>
      </c>
      <c r="K436" s="343" t="s">
        <v>229</v>
      </c>
      <c r="L436" s="3" t="s">
        <v>902</v>
      </c>
      <c r="M436" s="3" t="s">
        <v>223</v>
      </c>
      <c r="N436" s="3" t="s">
        <v>908</v>
      </c>
      <c r="O436" s="75" t="s">
        <v>294</v>
      </c>
      <c r="P43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36" s="4">
        <v>50</v>
      </c>
      <c r="W436" s="75" t="s">
        <v>13</v>
      </c>
      <c r="Y436" s="4">
        <v>56.3</v>
      </c>
      <c r="Z436" s="4">
        <v>140</v>
      </c>
      <c r="AA436" s="5">
        <f>Y436/Z436</f>
        <v>0.40214285714285714</v>
      </c>
      <c r="AB436" s="5"/>
      <c r="AC43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36" s="97" t="str">
        <f>IF(Tabelle1[[#This Row],[Nicht einbezogen weil…]]="",IFERROR(1000*Tabelle1[[#This Row],[Formfaktor]]/Tabelle1[[#This Row],[Thickness '[mm']]],""),"")</f>
        <v/>
      </c>
      <c r="AE436" s="98" t="str">
        <f>IF(Tabelle1[[#This Row],[Nicht einbezogen weil…]]="",IFERROR(Tabelle1[[#This Row],[specific surface '[m^2/m^3']]]/Tabelle1[[#This Row],[Density 
'[g/cm3']]]/1000000,""),"")</f>
        <v/>
      </c>
      <c r="AF436" s="97" t="str">
        <f>IF(Tabelle1[[#This Row],[Nicht einbezogen weil…]]="",IFERROR(365*10*Tabelle1[[#This Row],[Abbaurate '[%/d']]]*Tabelle1[[#This Row],[Thickness '[mm']]]/Tabelle1[[#This Row],[Formfaktor]],""),"")</f>
        <v/>
      </c>
      <c r="AG436" s="99" t="str">
        <f>IF(OR(Tabelle1[[#This Row],[Nicht einbezogen weil…]]="",Tabelle1[[#This Row],[Nicht einbezogen weil…]]="nicht-natürlich"),IF(Tabelle1[[#This Row],[Formfaktor]]=2, 1,IF(Tabelle1[[#This Row],[Formfaktor]]=4,2,IF(Tabelle1[[#This Row],[Formfaktor]]=6,3,""))),"")</f>
        <v/>
      </c>
      <c r="AH43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6" s="6">
        <v>1</v>
      </c>
      <c r="AK43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36" s="73" t="s">
        <v>835</v>
      </c>
      <c r="AM436" s="3" t="s">
        <v>855</v>
      </c>
      <c r="AN436" s="3" t="s">
        <v>824</v>
      </c>
      <c r="AO436" s="3" t="s">
        <v>200</v>
      </c>
      <c r="AP436" s="3" t="s">
        <v>200</v>
      </c>
      <c r="AQ436" s="322"/>
      <c r="AT436" s="73"/>
      <c r="AU436" s="13" t="s">
        <v>200</v>
      </c>
      <c r="AV436" s="325"/>
      <c r="AW436" s="10" t="s">
        <v>775</v>
      </c>
    </row>
    <row r="437" spans="2:49" ht="17.25" customHeight="1">
      <c r="B437" s="329" t="s">
        <v>165</v>
      </c>
      <c r="C437" s="3" t="s">
        <v>165</v>
      </c>
      <c r="D437" s="3" t="s">
        <v>200</v>
      </c>
      <c r="E437" s="10" t="s">
        <v>205</v>
      </c>
      <c r="F437" s="3" t="s">
        <v>331</v>
      </c>
      <c r="G437" s="3">
        <v>2.5</v>
      </c>
      <c r="H437" s="3" t="s">
        <v>900</v>
      </c>
      <c r="I437" s="24">
        <v>0.90300000000000002</v>
      </c>
      <c r="J437" s="75" t="s">
        <v>907</v>
      </c>
      <c r="K437" s="8" t="s">
        <v>229</v>
      </c>
      <c r="L437" s="3" t="s">
        <v>902</v>
      </c>
      <c r="M437" s="3" t="s">
        <v>223</v>
      </c>
      <c r="N437" s="3" t="s">
        <v>908</v>
      </c>
      <c r="O437" s="3" t="s">
        <v>294</v>
      </c>
      <c r="P43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37" s="4">
        <v>50</v>
      </c>
      <c r="W437" s="3" t="s">
        <v>13</v>
      </c>
      <c r="Y437" s="4">
        <v>44.2</v>
      </c>
      <c r="Z437" s="4">
        <v>140</v>
      </c>
      <c r="AA437" s="5">
        <f>Y437/Z437</f>
        <v>0.31571428571428573</v>
      </c>
      <c r="AB437" s="5"/>
      <c r="AC43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37" s="97" t="str">
        <f>IF(Tabelle1[[#This Row],[Nicht einbezogen weil…]]="",IFERROR(1000*Tabelle1[[#This Row],[Formfaktor]]/Tabelle1[[#This Row],[Thickness '[mm']]],""),"")</f>
        <v/>
      </c>
      <c r="AE437" s="98" t="str">
        <f>IF(Tabelle1[[#This Row],[Nicht einbezogen weil…]]="",IFERROR(Tabelle1[[#This Row],[specific surface '[m^2/m^3']]]/Tabelle1[[#This Row],[Density 
'[g/cm3']]]/1000000,""),"")</f>
        <v/>
      </c>
      <c r="AF437" s="97" t="str">
        <f>IF(Tabelle1[[#This Row],[Nicht einbezogen weil…]]="",IFERROR(365*10*Tabelle1[[#This Row],[Abbaurate '[%/d']]]*Tabelle1[[#This Row],[Thickness '[mm']]]/Tabelle1[[#This Row],[Formfaktor]],""),"")</f>
        <v/>
      </c>
      <c r="AG437" s="99" t="str">
        <f>IF(OR(Tabelle1[[#This Row],[Nicht einbezogen weil…]]="",Tabelle1[[#This Row],[Nicht einbezogen weil…]]="nicht-natürlich"),IF(Tabelle1[[#This Row],[Formfaktor]]=2, 1,IF(Tabelle1[[#This Row],[Formfaktor]]=4,2,IF(Tabelle1[[#This Row],[Formfaktor]]=6,3,""))),"")</f>
        <v/>
      </c>
      <c r="AH43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7" s="6">
        <v>1</v>
      </c>
      <c r="AK43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37" s="323" t="s">
        <v>835</v>
      </c>
      <c r="AM437" s="3" t="s">
        <v>855</v>
      </c>
      <c r="AN437" s="3" t="s">
        <v>824</v>
      </c>
      <c r="AO437" s="3" t="s">
        <v>200</v>
      </c>
      <c r="AP437" s="3" t="s">
        <v>200</v>
      </c>
      <c r="AQ437" s="322"/>
      <c r="AT437" s="73"/>
      <c r="AU437" s="13" t="s">
        <v>200</v>
      </c>
      <c r="AV437" s="325"/>
      <c r="AW437" s="10" t="s">
        <v>775</v>
      </c>
    </row>
    <row r="438" spans="2:49" ht="17.25" customHeight="1">
      <c r="B438" s="7" t="s">
        <v>792</v>
      </c>
      <c r="C438" s="3" t="s">
        <v>730</v>
      </c>
      <c r="D438" s="3" t="s">
        <v>200</v>
      </c>
      <c r="E438" s="10" t="s">
        <v>1127</v>
      </c>
      <c r="F438" s="103" t="s">
        <v>288</v>
      </c>
      <c r="G438" s="103">
        <v>0.05</v>
      </c>
      <c r="H438" s="103">
        <f>0.08*0.025</f>
        <v>2E-3</v>
      </c>
      <c r="I438" s="24">
        <v>0.90300000000000002</v>
      </c>
      <c r="K438" s="285" t="s">
        <v>229</v>
      </c>
      <c r="L438" s="103" t="s">
        <v>733</v>
      </c>
      <c r="M438" s="3" t="s">
        <v>223</v>
      </c>
      <c r="N438" s="103" t="s">
        <v>735</v>
      </c>
      <c r="O438" s="103" t="s">
        <v>294</v>
      </c>
      <c r="P438" s="10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38" s="104">
        <v>30</v>
      </c>
      <c r="R438" s="104"/>
      <c r="S438" s="104"/>
      <c r="T438" s="104"/>
      <c r="U438" s="104"/>
      <c r="V438" s="104" t="s">
        <v>734</v>
      </c>
      <c r="W438" s="103" t="s">
        <v>13</v>
      </c>
      <c r="Y438" s="9" t="s">
        <v>737</v>
      </c>
      <c r="Z438" s="4">
        <v>365</v>
      </c>
      <c r="AA438" s="5">
        <f>6/Z438</f>
        <v>1.643835616438356E-2</v>
      </c>
      <c r="AB438" s="5"/>
      <c r="AC43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38" s="97" t="str">
        <f>IF(Tabelle1[[#This Row],[Nicht einbezogen weil…]]="",IFERROR(1000*Tabelle1[[#This Row],[Formfaktor]]/Tabelle1[[#This Row],[Thickness '[mm']]],""),"")</f>
        <v/>
      </c>
      <c r="AE438" s="98" t="str">
        <f>IF(Tabelle1[[#This Row],[Nicht einbezogen weil…]]="",IFERROR(Tabelle1[[#This Row],[specific surface '[m^2/m^3']]]/Tabelle1[[#This Row],[Density 
'[g/cm3']]]/1000000,""),"")</f>
        <v/>
      </c>
      <c r="AF438" s="97" t="str">
        <f>IF(Tabelle1[[#This Row],[Nicht einbezogen weil…]]="",IFERROR(365*10*Tabelle1[[#This Row],[Abbaurate '[%/d']]]*Tabelle1[[#This Row],[Thickness '[mm']]]/Tabelle1[[#This Row],[Formfaktor]],""),"")</f>
        <v/>
      </c>
      <c r="AG438" s="99" t="str">
        <f>IF(OR(Tabelle1[[#This Row],[Nicht einbezogen weil…]]="",Tabelle1[[#This Row],[Nicht einbezogen weil…]]="nicht-natürlich"),IF(Tabelle1[[#This Row],[Formfaktor]]=2, 1,IF(Tabelle1[[#This Row],[Formfaktor]]=4,2,IF(Tabelle1[[#This Row],[Formfaktor]]=6,3,""))),"")</f>
        <v/>
      </c>
      <c r="AH43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8" s="71">
        <v>1</v>
      </c>
      <c r="AK43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38" s="3" t="s">
        <v>388</v>
      </c>
      <c r="AM438" s="3" t="s">
        <v>962</v>
      </c>
      <c r="AN438" s="3" t="s">
        <v>538</v>
      </c>
      <c r="AO438" s="3" t="s">
        <v>200</v>
      </c>
      <c r="AP438" s="12" t="s">
        <v>200</v>
      </c>
      <c r="AT438" s="10" t="s">
        <v>223</v>
      </c>
      <c r="AU438" s="13" t="s">
        <v>200</v>
      </c>
      <c r="AV438" s="14"/>
      <c r="AW438" s="10" t="s">
        <v>775</v>
      </c>
    </row>
    <row r="439" spans="2:49" ht="17.25" customHeight="1">
      <c r="B439" s="7" t="s">
        <v>792</v>
      </c>
      <c r="C439" s="3" t="s">
        <v>730</v>
      </c>
      <c r="D439" s="3" t="s">
        <v>200</v>
      </c>
      <c r="E439" s="10" t="s">
        <v>1127</v>
      </c>
      <c r="F439" s="103" t="s">
        <v>288</v>
      </c>
      <c r="G439" s="103">
        <v>0.05</v>
      </c>
      <c r="H439" s="103">
        <f>0.08*0.025</f>
        <v>2E-3</v>
      </c>
      <c r="I439" s="24">
        <v>0.90300000000000002</v>
      </c>
      <c r="K439" s="107" t="s">
        <v>732</v>
      </c>
      <c r="L439" s="103" t="s">
        <v>733</v>
      </c>
      <c r="M439" s="3" t="s">
        <v>223</v>
      </c>
      <c r="N439" s="103" t="s">
        <v>735</v>
      </c>
      <c r="O439" s="103" t="s">
        <v>294</v>
      </c>
      <c r="P439" s="10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39" s="104">
        <v>30</v>
      </c>
      <c r="R439" s="104"/>
      <c r="S439" s="104"/>
      <c r="T439" s="104"/>
      <c r="U439" s="104"/>
      <c r="V439" s="104" t="s">
        <v>734</v>
      </c>
      <c r="W439" s="103" t="s">
        <v>13</v>
      </c>
      <c r="Y439" s="9" t="s">
        <v>736</v>
      </c>
      <c r="Z439" s="4">
        <v>365</v>
      </c>
      <c r="AA439" s="5">
        <f>18.8/Z439</f>
        <v>5.1506849315068493E-2</v>
      </c>
      <c r="AB439" s="5"/>
      <c r="AC43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39" s="97" t="str">
        <f>IF(Tabelle1[[#This Row],[Nicht einbezogen weil…]]="",IFERROR(1000*Tabelle1[[#This Row],[Formfaktor]]/Tabelle1[[#This Row],[Thickness '[mm']]],""),"")</f>
        <v/>
      </c>
      <c r="AE439" s="98" t="str">
        <f>IF(Tabelle1[[#This Row],[Nicht einbezogen weil…]]="",IFERROR(Tabelle1[[#This Row],[specific surface '[m^2/m^3']]]/Tabelle1[[#This Row],[Density 
'[g/cm3']]]/1000000,""),"")</f>
        <v/>
      </c>
      <c r="AF439" s="97" t="str">
        <f>IF(Tabelle1[[#This Row],[Nicht einbezogen weil…]]="",IFERROR(365*10*Tabelle1[[#This Row],[Abbaurate '[%/d']]]*Tabelle1[[#This Row],[Thickness '[mm']]]/Tabelle1[[#This Row],[Formfaktor]],""),"")</f>
        <v/>
      </c>
      <c r="AG439" s="99" t="str">
        <f>IF(OR(Tabelle1[[#This Row],[Nicht einbezogen weil…]]="",Tabelle1[[#This Row],[Nicht einbezogen weil…]]="nicht-natürlich"),IF(Tabelle1[[#This Row],[Formfaktor]]=2, 1,IF(Tabelle1[[#This Row],[Formfaktor]]=4,2,IF(Tabelle1[[#This Row],[Formfaktor]]=6,3,""))),"")</f>
        <v/>
      </c>
      <c r="AH43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3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39" s="71">
        <v>1</v>
      </c>
      <c r="AK43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39" s="3" t="s">
        <v>388</v>
      </c>
      <c r="AM439" s="3" t="s">
        <v>962</v>
      </c>
      <c r="AN439" s="3" t="s">
        <v>538</v>
      </c>
      <c r="AO439" s="3" t="s">
        <v>200</v>
      </c>
      <c r="AP439" s="12" t="s">
        <v>200</v>
      </c>
      <c r="AT439" s="10" t="s">
        <v>223</v>
      </c>
      <c r="AU439" s="13" t="s">
        <v>200</v>
      </c>
      <c r="AW439" s="10" t="s">
        <v>775</v>
      </c>
    </row>
    <row r="440" spans="2:49" ht="17.25" customHeight="1">
      <c r="B440" s="105" t="s">
        <v>792</v>
      </c>
      <c r="C440" s="18" t="s">
        <v>730</v>
      </c>
      <c r="D440" s="18" t="s">
        <v>200</v>
      </c>
      <c r="E440" s="10" t="s">
        <v>1127</v>
      </c>
      <c r="F440" s="103" t="s">
        <v>288</v>
      </c>
      <c r="G440" s="103">
        <v>0.05</v>
      </c>
      <c r="H440" s="103">
        <f>0.08*0.025</f>
        <v>2E-3</v>
      </c>
      <c r="I440" s="24">
        <v>0.90300000000000002</v>
      </c>
      <c r="K440" s="20" t="s">
        <v>731</v>
      </c>
      <c r="L440" s="103" t="s">
        <v>733</v>
      </c>
      <c r="M440" s="3" t="s">
        <v>223</v>
      </c>
      <c r="N440" s="103" t="s">
        <v>735</v>
      </c>
      <c r="O440" s="103" t="s">
        <v>294</v>
      </c>
      <c r="P440" s="10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40" s="104">
        <v>30</v>
      </c>
      <c r="R440" s="104"/>
      <c r="S440" s="104"/>
      <c r="T440" s="104"/>
      <c r="U440" s="104"/>
      <c r="V440" s="104" t="s">
        <v>734</v>
      </c>
      <c r="W440" s="103" t="s">
        <v>13</v>
      </c>
      <c r="Y440" s="9" t="s">
        <v>738</v>
      </c>
      <c r="Z440" s="4">
        <v>365</v>
      </c>
      <c r="AA440" s="5">
        <f>8/Z440</f>
        <v>2.1917808219178082E-2</v>
      </c>
      <c r="AB440" s="5"/>
      <c r="AC44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40" s="97" t="str">
        <f>IF(Tabelle1[[#This Row],[Nicht einbezogen weil…]]="",IFERROR(1000*Tabelle1[[#This Row],[Formfaktor]]/Tabelle1[[#This Row],[Thickness '[mm']]],""),"")</f>
        <v/>
      </c>
      <c r="AE440" s="98" t="str">
        <f>IF(Tabelle1[[#This Row],[Nicht einbezogen weil…]]="",IFERROR(Tabelle1[[#This Row],[specific surface '[m^2/m^3']]]/Tabelle1[[#This Row],[Density 
'[g/cm3']]]/1000000,""),"")</f>
        <v/>
      </c>
      <c r="AF440" s="97" t="str">
        <f>IF(Tabelle1[[#This Row],[Nicht einbezogen weil…]]="",IFERROR(365*10*Tabelle1[[#This Row],[Abbaurate '[%/d']]]*Tabelle1[[#This Row],[Thickness '[mm']]]/Tabelle1[[#This Row],[Formfaktor]],""),"")</f>
        <v/>
      </c>
      <c r="AG440" s="99" t="str">
        <f>IF(OR(Tabelle1[[#This Row],[Nicht einbezogen weil…]]="",Tabelle1[[#This Row],[Nicht einbezogen weil…]]="nicht-natürlich"),IF(Tabelle1[[#This Row],[Formfaktor]]=2, 1,IF(Tabelle1[[#This Row],[Formfaktor]]=4,2,IF(Tabelle1[[#This Row],[Formfaktor]]=6,3,""))),"")</f>
        <v/>
      </c>
      <c r="AH44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4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40" s="71">
        <v>1</v>
      </c>
      <c r="AK44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40" s="3" t="s">
        <v>388</v>
      </c>
      <c r="AM440" s="3" t="s">
        <v>962</v>
      </c>
      <c r="AN440" s="3" t="s">
        <v>538</v>
      </c>
      <c r="AO440" s="3" t="s">
        <v>200</v>
      </c>
      <c r="AP440" s="12" t="s">
        <v>200</v>
      </c>
      <c r="AT440" s="10" t="s">
        <v>223</v>
      </c>
      <c r="AU440" s="13" t="s">
        <v>200</v>
      </c>
      <c r="AV440" s="14"/>
      <c r="AW440" s="10" t="s">
        <v>775</v>
      </c>
    </row>
    <row r="441" spans="2:49" ht="17.25" customHeight="1">
      <c r="B441" s="7" t="s">
        <v>792</v>
      </c>
      <c r="C441" s="3" t="s">
        <v>729</v>
      </c>
      <c r="D441" s="3" t="s">
        <v>200</v>
      </c>
      <c r="E441" s="10" t="s">
        <v>1127</v>
      </c>
      <c r="F441" s="103" t="s">
        <v>288</v>
      </c>
      <c r="G441" s="103">
        <v>0.05</v>
      </c>
      <c r="H441" s="103">
        <f>0.08*0.025</f>
        <v>2E-3</v>
      </c>
      <c r="I441" s="24">
        <v>0.90300000000000002</v>
      </c>
      <c r="K441" s="20" t="s">
        <v>229</v>
      </c>
      <c r="L441" s="103" t="s">
        <v>733</v>
      </c>
      <c r="M441" s="3" t="s">
        <v>223</v>
      </c>
      <c r="N441" s="103" t="s">
        <v>735</v>
      </c>
      <c r="O441" s="103" t="s">
        <v>294</v>
      </c>
      <c r="P441" s="10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41" s="104">
        <v>30</v>
      </c>
      <c r="R441" s="104"/>
      <c r="S441" s="104"/>
      <c r="T441" s="104"/>
      <c r="U441" s="104"/>
      <c r="V441" s="104" t="s">
        <v>734</v>
      </c>
      <c r="W441" s="103" t="s">
        <v>13</v>
      </c>
      <c r="Y441" s="9" t="s">
        <v>739</v>
      </c>
      <c r="Z441" s="4">
        <v>365</v>
      </c>
      <c r="AA441" s="5">
        <f>9/Z441</f>
        <v>2.4657534246575342E-2</v>
      </c>
      <c r="AB441" s="5"/>
      <c r="AC44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41" s="97" t="str">
        <f>IF(Tabelle1[[#This Row],[Nicht einbezogen weil…]]="",IFERROR(1000*Tabelle1[[#This Row],[Formfaktor]]/Tabelle1[[#This Row],[Thickness '[mm']]],""),"")</f>
        <v/>
      </c>
      <c r="AE441" s="98" t="str">
        <f>IF(Tabelle1[[#This Row],[Nicht einbezogen weil…]]="",IFERROR(Tabelle1[[#This Row],[specific surface '[m^2/m^3']]]/Tabelle1[[#This Row],[Density 
'[g/cm3']]]/1000000,""),"")</f>
        <v/>
      </c>
      <c r="AF441" s="97" t="str">
        <f>IF(Tabelle1[[#This Row],[Nicht einbezogen weil…]]="",IFERROR(365*10*Tabelle1[[#This Row],[Abbaurate '[%/d']]]*Tabelle1[[#This Row],[Thickness '[mm']]]/Tabelle1[[#This Row],[Formfaktor]],""),"")</f>
        <v/>
      </c>
      <c r="AG441" s="99" t="str">
        <f>IF(OR(Tabelle1[[#This Row],[Nicht einbezogen weil…]]="",Tabelle1[[#This Row],[Nicht einbezogen weil…]]="nicht-natürlich"),IF(Tabelle1[[#This Row],[Formfaktor]]=2, 1,IF(Tabelle1[[#This Row],[Formfaktor]]=4,2,IF(Tabelle1[[#This Row],[Formfaktor]]=6,3,""))),"")</f>
        <v/>
      </c>
      <c r="AH44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4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41" s="71">
        <v>1</v>
      </c>
      <c r="AK44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41" s="3" t="s">
        <v>388</v>
      </c>
      <c r="AM441" s="3" t="s">
        <v>962</v>
      </c>
      <c r="AN441" s="3" t="s">
        <v>538</v>
      </c>
      <c r="AO441" s="3" t="s">
        <v>200</v>
      </c>
      <c r="AP441" s="12" t="s">
        <v>200</v>
      </c>
      <c r="AT441" s="10" t="s">
        <v>223</v>
      </c>
      <c r="AU441" s="13" t="s">
        <v>200</v>
      </c>
      <c r="AV441" s="14"/>
      <c r="AW441" s="10" t="s">
        <v>775</v>
      </c>
    </row>
    <row r="442" spans="2:49" ht="17.25" customHeight="1">
      <c r="B442" s="109" t="s">
        <v>773</v>
      </c>
      <c r="C442" s="3" t="s">
        <v>1063</v>
      </c>
      <c r="D442" s="3" t="s">
        <v>223</v>
      </c>
      <c r="E442" s="10"/>
      <c r="F442" s="75" t="s">
        <v>476</v>
      </c>
      <c r="G442" s="75">
        <v>1.5</v>
      </c>
      <c r="H442" s="75">
        <f>0.15*0.1</f>
        <v>1.4999999999999999E-2</v>
      </c>
      <c r="I442" s="3" t="s">
        <v>341</v>
      </c>
      <c r="K442" s="8" t="s">
        <v>229</v>
      </c>
      <c r="L442" s="75"/>
      <c r="M442" s="3" t="s">
        <v>200</v>
      </c>
      <c r="N442" s="3" t="s">
        <v>1064</v>
      </c>
      <c r="O442" s="75" t="s">
        <v>23</v>
      </c>
      <c r="P442" s="546"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42" s="95"/>
      <c r="R442" s="95"/>
      <c r="S442" s="95"/>
      <c r="T442" s="95"/>
      <c r="U442" s="95"/>
      <c r="V442" s="95"/>
      <c r="W442" s="75" t="s">
        <v>13</v>
      </c>
      <c r="Y442" s="4">
        <v>0.69</v>
      </c>
      <c r="Z442" s="4">
        <v>365</v>
      </c>
      <c r="AA442" s="5">
        <f>Y442/Z442</f>
        <v>1.8904109589041095E-3</v>
      </c>
      <c r="AB442" s="5"/>
      <c r="AC44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42" s="5">
        <f>IF(Tabelle1[[#This Row],[Nicht einbezogen weil…]]="",IFERROR(1000*Tabelle1[[#This Row],[Formfaktor]]/Tabelle1[[#This Row],[Thickness '[mm']]],""),"")</f>
        <v>1333.3333333333333</v>
      </c>
      <c r="AE442" s="5" t="str">
        <f>IF(Tabelle1[[#This Row],[Nicht einbezogen weil…]]="",IFERROR(Tabelle1[[#This Row],[specific surface '[m^2/m^3']]]/Tabelle1[[#This Row],[Density 
'[g/cm3']]]/1000000,""),"")</f>
        <v/>
      </c>
      <c r="AF442" s="5">
        <f>IF(Tabelle1[[#This Row],[Nicht einbezogen weil…]]="",IFERROR(365*10*Tabelle1[[#This Row],[Abbaurate '[%/d']]]*Tabelle1[[#This Row],[Thickness '[mm']]]/Tabelle1[[#This Row],[Formfaktor]],""),"")</f>
        <v>5.1749999999999998</v>
      </c>
      <c r="AG442" s="328">
        <f>IF(OR(Tabelle1[[#This Row],[Nicht einbezogen weil…]]="",Tabelle1[[#This Row],[Nicht einbezogen weil…]]="nicht-natürlich"),IF(Tabelle1[[#This Row],[Formfaktor]]=2, 1,IF(Tabelle1[[#This Row],[Formfaktor]]=4,2,IF(Tabelle1[[#This Row],[Formfaktor]]=6,3,""))),"")</f>
        <v>1</v>
      </c>
      <c r="AH442" s="5">
        <f>IF(OR(Tabelle1[[#This Row],[Nicht einbezogen weil…]]="",Tabelle1[[#This Row],[Nicht einbezogen weil…]]="nicht-natürlich"),IFERROR(Tabelle1[[#This Row],[Thickness '[mm']]]/Tabelle1[[#This Row],[Dauer des Abbaus
'[Tage']]]*1000*0.5*365*(1-(1-Tabelle1[[#This Row],[Abbaurate '[%/d']]]/100*Tabelle1[[#This Row],[Dauer des Abbaus
'[Tage']]])^(1/Tabelle1[[#This Row],[Exponent]])),""),"")</f>
        <v>5.1750000000000123</v>
      </c>
      <c r="AI44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PC_Meerwasser_natürlich</v>
      </c>
      <c r="AJ442" s="6">
        <v>1</v>
      </c>
      <c r="AK44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42" s="3" t="s">
        <v>1062</v>
      </c>
      <c r="AN442" s="3" t="s">
        <v>1065</v>
      </c>
      <c r="AO442" s="3" t="s">
        <v>200</v>
      </c>
      <c r="AP442" s="3" t="s">
        <v>200</v>
      </c>
      <c r="AT442" s="10" t="s">
        <v>223</v>
      </c>
      <c r="AU442" s="13" t="s">
        <v>200</v>
      </c>
    </row>
    <row r="443" spans="2:49" ht="17.25" customHeight="1">
      <c r="B443" s="11" t="s">
        <v>165</v>
      </c>
      <c r="C443" s="3" t="s">
        <v>165</v>
      </c>
      <c r="D443" s="3" t="s">
        <v>223</v>
      </c>
      <c r="E443" s="10"/>
      <c r="F443" s="12" t="s">
        <v>747</v>
      </c>
      <c r="G443" s="3">
        <v>2.4</v>
      </c>
      <c r="H443" s="106">
        <f>4*PI()*((G443/2)^2)</f>
        <v>18.095573684677209</v>
      </c>
      <c r="I443" s="3">
        <v>0.9</v>
      </c>
      <c r="J443" s="3" t="s">
        <v>745</v>
      </c>
      <c r="K443" s="8" t="s">
        <v>746</v>
      </c>
      <c r="M443" s="3" t="s">
        <v>223</v>
      </c>
      <c r="N443" s="3" t="s">
        <v>850</v>
      </c>
      <c r="O443" s="3" t="s">
        <v>850</v>
      </c>
      <c r="P44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443" s="3" t="s">
        <v>13</v>
      </c>
      <c r="Y443" s="9" t="s">
        <v>748</v>
      </c>
      <c r="Z443" s="4">
        <v>40</v>
      </c>
      <c r="AA443" s="5">
        <f>6.4/Z443</f>
        <v>0.16</v>
      </c>
      <c r="AB443" s="5"/>
      <c r="AC44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43" s="97" t="str">
        <f>IF(Tabelle1[[#This Row],[Nicht einbezogen weil…]]="",IFERROR(1000*Tabelle1[[#This Row],[Formfaktor]]/Tabelle1[[#This Row],[Thickness '[mm']]],""),"")</f>
        <v/>
      </c>
      <c r="AE443" s="98" t="str">
        <f>IF(Tabelle1[[#This Row],[Nicht einbezogen weil…]]="",IFERROR(Tabelle1[[#This Row],[specific surface '[m^2/m^3']]]/Tabelle1[[#This Row],[Density 
'[g/cm3']]]/1000000,""),"")</f>
        <v/>
      </c>
      <c r="AF443" s="97" t="str">
        <f>IF(Tabelle1[[#This Row],[Nicht einbezogen weil…]]="",IFERROR(365*10*Tabelle1[[#This Row],[Abbaurate '[%/d']]]*Tabelle1[[#This Row],[Thickness '[mm']]]/Tabelle1[[#This Row],[Formfaktor]],""),"")</f>
        <v/>
      </c>
      <c r="AG443" s="99" t="str">
        <f>IF(OR(Tabelle1[[#This Row],[Nicht einbezogen weil…]]="",Tabelle1[[#This Row],[Nicht einbezogen weil…]]="nicht-natürlich"),IF(Tabelle1[[#This Row],[Formfaktor]]=2, 1,IF(Tabelle1[[#This Row],[Formfaktor]]=4,2,IF(Tabelle1[[#This Row],[Formfaktor]]=6,3,""))),"")</f>
        <v/>
      </c>
      <c r="AH44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4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43" s="71">
        <v>1</v>
      </c>
      <c r="AK44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443" s="3" t="s">
        <v>548</v>
      </c>
      <c r="AM443" s="3" t="s">
        <v>962</v>
      </c>
      <c r="AN443" s="3" t="s">
        <v>538</v>
      </c>
      <c r="AO443" s="12" t="s">
        <v>200</v>
      </c>
      <c r="AP443" s="12" t="s">
        <v>200</v>
      </c>
      <c r="AT443" s="10" t="s">
        <v>223</v>
      </c>
      <c r="AU443" s="13" t="s">
        <v>200</v>
      </c>
      <c r="AV443" s="14"/>
    </row>
    <row r="444" spans="2:49" ht="17.25" customHeight="1">
      <c r="B444" s="7" t="s">
        <v>792</v>
      </c>
      <c r="C444" s="3" t="s">
        <v>729</v>
      </c>
      <c r="D444" s="3" t="s">
        <v>200</v>
      </c>
      <c r="E444" s="10" t="s">
        <v>1127</v>
      </c>
      <c r="F444" s="103" t="s">
        <v>288</v>
      </c>
      <c r="G444" s="103">
        <v>0.05</v>
      </c>
      <c r="H444" s="103">
        <f>0.08*0.025</f>
        <v>2E-3</v>
      </c>
      <c r="I444" s="24">
        <v>0.90300000000000002</v>
      </c>
      <c r="K444" s="107" t="s">
        <v>732</v>
      </c>
      <c r="L444" s="103" t="s">
        <v>733</v>
      </c>
      <c r="M444" s="3" t="s">
        <v>223</v>
      </c>
      <c r="N444" s="103" t="s">
        <v>735</v>
      </c>
      <c r="O444" s="103" t="s">
        <v>294</v>
      </c>
      <c r="P444" s="10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44" s="104">
        <v>30</v>
      </c>
      <c r="R444" s="104"/>
      <c r="S444" s="104"/>
      <c r="T444" s="104"/>
      <c r="U444" s="104"/>
      <c r="V444" s="104" t="s">
        <v>734</v>
      </c>
      <c r="W444" s="103" t="s">
        <v>13</v>
      </c>
      <c r="Y444" s="9" t="s">
        <v>741</v>
      </c>
      <c r="Z444" s="4">
        <v>365</v>
      </c>
      <c r="AA444" s="5">
        <f>9/Z444</f>
        <v>2.4657534246575342E-2</v>
      </c>
      <c r="AB444" s="5"/>
      <c r="AC44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44" s="97" t="str">
        <f>IF(Tabelle1[[#This Row],[Nicht einbezogen weil…]]="",IFERROR(1000*Tabelle1[[#This Row],[Formfaktor]]/Tabelle1[[#This Row],[Thickness '[mm']]],""),"")</f>
        <v/>
      </c>
      <c r="AE444" s="98" t="str">
        <f>IF(Tabelle1[[#This Row],[Nicht einbezogen weil…]]="",IFERROR(Tabelle1[[#This Row],[specific surface '[m^2/m^3']]]/Tabelle1[[#This Row],[Density 
'[g/cm3']]]/1000000,""),"")</f>
        <v/>
      </c>
      <c r="AF444" s="97" t="str">
        <f>IF(Tabelle1[[#This Row],[Nicht einbezogen weil…]]="",IFERROR(365*10*Tabelle1[[#This Row],[Abbaurate '[%/d']]]*Tabelle1[[#This Row],[Thickness '[mm']]]/Tabelle1[[#This Row],[Formfaktor]],""),"")</f>
        <v/>
      </c>
      <c r="AG444" s="99" t="str">
        <f>IF(OR(Tabelle1[[#This Row],[Nicht einbezogen weil…]]="",Tabelle1[[#This Row],[Nicht einbezogen weil…]]="nicht-natürlich"),IF(Tabelle1[[#This Row],[Formfaktor]]=2, 1,IF(Tabelle1[[#This Row],[Formfaktor]]=4,2,IF(Tabelle1[[#This Row],[Formfaktor]]=6,3,""))),"")</f>
        <v/>
      </c>
      <c r="AH44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4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44" s="71">
        <v>1</v>
      </c>
      <c r="AK44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44" s="3" t="s">
        <v>388</v>
      </c>
      <c r="AM444" s="3" t="s">
        <v>962</v>
      </c>
      <c r="AN444" s="3" t="s">
        <v>538</v>
      </c>
      <c r="AO444" s="3" t="s">
        <v>200</v>
      </c>
      <c r="AP444" s="12" t="s">
        <v>200</v>
      </c>
      <c r="AT444" s="10" t="s">
        <v>223</v>
      </c>
      <c r="AU444" s="13" t="s">
        <v>200</v>
      </c>
      <c r="AW444" s="10" t="s">
        <v>775</v>
      </c>
    </row>
    <row r="445" spans="2:49" ht="17.25" customHeight="1">
      <c r="B445" s="7" t="s">
        <v>165</v>
      </c>
      <c r="C445" s="3" t="s">
        <v>182</v>
      </c>
      <c r="E445" s="10"/>
      <c r="F445" s="75" t="s">
        <v>241</v>
      </c>
      <c r="G445" s="75" t="s">
        <v>341</v>
      </c>
      <c r="H445" s="75"/>
      <c r="I445" s="17" t="s">
        <v>596</v>
      </c>
      <c r="K445" s="343"/>
      <c r="L445" s="75"/>
      <c r="M445" s="3" t="s">
        <v>223</v>
      </c>
      <c r="N445" s="75" t="s">
        <v>3</v>
      </c>
      <c r="O445" s="75" t="s">
        <v>358</v>
      </c>
      <c r="P445" s="75"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45" s="95">
        <v>58</v>
      </c>
      <c r="R445" s="95"/>
      <c r="S445" s="95"/>
      <c r="T445" s="95">
        <v>65</v>
      </c>
      <c r="U445" s="95"/>
      <c r="V445" s="95"/>
      <c r="W445" s="75" t="s">
        <v>90</v>
      </c>
      <c r="Y445" s="4">
        <v>2</v>
      </c>
      <c r="Z445" s="4">
        <v>45</v>
      </c>
      <c r="AA445" s="5">
        <f>Y445/Z445</f>
        <v>4.4444444444444446E-2</v>
      </c>
      <c r="AB445" s="5"/>
      <c r="AC44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45" s="97" t="str">
        <f>IF(Tabelle1[[#This Row],[Nicht einbezogen weil…]]="",IFERROR(1000*Tabelle1[[#This Row],[Formfaktor]]/Tabelle1[[#This Row],[Thickness '[mm']]],""),"")</f>
        <v/>
      </c>
      <c r="AE445" s="98" t="str">
        <f>IF(Tabelle1[[#This Row],[Nicht einbezogen weil…]]="",IFERROR(Tabelle1[[#This Row],[specific surface '[m^2/m^3']]]/Tabelle1[[#This Row],[Density 
'[g/cm3']]]/1000000,""),"")</f>
        <v/>
      </c>
      <c r="AF445" s="97" t="str">
        <f>IF(Tabelle1[[#This Row],[Nicht einbezogen weil…]]="",IFERROR(365*10*Tabelle1[[#This Row],[Abbaurate '[%/d']]]*Tabelle1[[#This Row],[Thickness '[mm']]]/Tabelle1[[#This Row],[Formfaktor]],""),"")</f>
        <v/>
      </c>
      <c r="AG445" s="99" t="str">
        <f>IF(OR(Tabelle1[[#This Row],[Nicht einbezogen weil…]]="",Tabelle1[[#This Row],[Nicht einbezogen weil…]]="nicht-natürlich"),IF(Tabelle1[[#This Row],[Formfaktor]]=2, 1,IF(Tabelle1[[#This Row],[Formfaktor]]=4,2,IF(Tabelle1[[#This Row],[Formfaktor]]=6,3,""))),"")</f>
        <v/>
      </c>
      <c r="AH44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4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45" s="6">
        <v>0</v>
      </c>
      <c r="AK44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45" s="3" t="s">
        <v>181</v>
      </c>
      <c r="AO445" s="3" t="s">
        <v>223</v>
      </c>
      <c r="AP445" s="3" t="s">
        <v>223</v>
      </c>
      <c r="AT445" s="10" t="s">
        <v>223</v>
      </c>
      <c r="AU445" s="76" t="s">
        <v>695</v>
      </c>
      <c r="AV445" s="10" t="s">
        <v>589</v>
      </c>
    </row>
    <row r="446" spans="2:49" ht="17.25" customHeight="1">
      <c r="B446" s="7" t="s">
        <v>165</v>
      </c>
      <c r="C446" s="3" t="s">
        <v>861</v>
      </c>
      <c r="D446" s="3" t="s">
        <v>200</v>
      </c>
      <c r="E446" s="10" t="s">
        <v>1127</v>
      </c>
      <c r="F446" s="3" t="s">
        <v>198</v>
      </c>
      <c r="G446" s="17">
        <v>6.3E-2</v>
      </c>
      <c r="H446" s="3" t="s">
        <v>341</v>
      </c>
      <c r="I446" s="24">
        <v>0.90300000000000002</v>
      </c>
      <c r="K446" s="8" t="s">
        <v>857</v>
      </c>
      <c r="L446" s="3" t="s">
        <v>858</v>
      </c>
      <c r="M446" s="3" t="s">
        <v>223</v>
      </c>
      <c r="N446" s="3" t="s">
        <v>859</v>
      </c>
      <c r="O446" s="3" t="s">
        <v>294</v>
      </c>
      <c r="P44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46" s="4">
        <v>27</v>
      </c>
      <c r="U446" s="4" t="s">
        <v>12</v>
      </c>
      <c r="V446" s="4" t="s">
        <v>734</v>
      </c>
      <c r="W446" s="3" t="s">
        <v>478</v>
      </c>
      <c r="X446" s="3" t="s">
        <v>860</v>
      </c>
      <c r="Y446" s="345" t="s">
        <v>863</v>
      </c>
      <c r="Z446" s="4">
        <v>120</v>
      </c>
      <c r="AA446" s="5" t="e">
        <f>Y446/Z446</f>
        <v>#VALUE!</v>
      </c>
      <c r="AB446" s="5"/>
      <c r="AC44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46" s="97" t="str">
        <f>IF(Tabelle1[[#This Row],[Nicht einbezogen weil…]]="",IFERROR(1000*Tabelle1[[#This Row],[Formfaktor]]/Tabelle1[[#This Row],[Thickness '[mm']]],""),"")</f>
        <v/>
      </c>
      <c r="AE446" s="98" t="str">
        <f>IF(Tabelle1[[#This Row],[Nicht einbezogen weil…]]="",IFERROR(Tabelle1[[#This Row],[specific surface '[m^2/m^3']]]/Tabelle1[[#This Row],[Density 
'[g/cm3']]]/1000000,""),"")</f>
        <v/>
      </c>
      <c r="AF446" s="97" t="str">
        <f>IF(Tabelle1[[#This Row],[Nicht einbezogen weil…]]="",IFERROR(365*10*Tabelle1[[#This Row],[Abbaurate '[%/d']]]*Tabelle1[[#This Row],[Thickness '[mm']]]/Tabelle1[[#This Row],[Formfaktor]],""),"")</f>
        <v/>
      </c>
      <c r="AG446" s="99" t="str">
        <f>IF(OR(Tabelle1[[#This Row],[Nicht einbezogen weil…]]="",Tabelle1[[#This Row],[Nicht einbezogen weil…]]="nicht-natürlich"),IF(Tabelle1[[#This Row],[Formfaktor]]=2, 1,IF(Tabelle1[[#This Row],[Formfaktor]]=4,2,IF(Tabelle1[[#This Row],[Formfaktor]]=6,3,""))),"")</f>
        <v/>
      </c>
      <c r="AH44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4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46" s="6">
        <v>1</v>
      </c>
      <c r="AK44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46" s="207" t="s">
        <v>827</v>
      </c>
      <c r="AM446" s="3" t="s">
        <v>965</v>
      </c>
      <c r="AN446" s="3" t="s">
        <v>824</v>
      </c>
      <c r="AO446" s="3" t="s">
        <v>200</v>
      </c>
      <c r="AP446" s="3" t="s">
        <v>200</v>
      </c>
      <c r="AT446" s="10" t="s">
        <v>223</v>
      </c>
      <c r="AU446" s="13" t="s">
        <v>200</v>
      </c>
      <c r="AV446" s="14"/>
      <c r="AW446" s="10" t="s">
        <v>1016</v>
      </c>
    </row>
    <row r="447" spans="2:49" ht="17.25" customHeight="1">
      <c r="B447" s="7" t="s">
        <v>165</v>
      </c>
      <c r="C447" s="3" t="s">
        <v>165</v>
      </c>
      <c r="D447" s="3" t="s">
        <v>200</v>
      </c>
      <c r="E447" s="10" t="s">
        <v>205</v>
      </c>
      <c r="F447" s="3" t="s">
        <v>198</v>
      </c>
      <c r="G447" s="17">
        <v>6.3E-2</v>
      </c>
      <c r="H447" s="3" t="s">
        <v>341</v>
      </c>
      <c r="I447" s="24">
        <v>0.90300000000000002</v>
      </c>
      <c r="K447" s="8" t="s">
        <v>857</v>
      </c>
      <c r="L447" s="3" t="s">
        <v>858</v>
      </c>
      <c r="M447" s="3" t="s">
        <v>223</v>
      </c>
      <c r="N447" s="3" t="s">
        <v>859</v>
      </c>
      <c r="O447" s="3" t="s">
        <v>294</v>
      </c>
      <c r="P44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47" s="4">
        <v>27</v>
      </c>
      <c r="U447" s="4" t="s">
        <v>12</v>
      </c>
      <c r="V447" s="4" t="s">
        <v>734</v>
      </c>
      <c r="W447" s="3" t="s">
        <v>478</v>
      </c>
      <c r="X447" s="3" t="s">
        <v>860</v>
      </c>
      <c r="Y447" s="345" t="s">
        <v>862</v>
      </c>
      <c r="Z447" s="4">
        <v>120</v>
      </c>
      <c r="AA447" s="5" t="e">
        <f>Y447/Z447</f>
        <v>#VALUE!</v>
      </c>
      <c r="AB447" s="5"/>
      <c r="AC44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47" s="97" t="str">
        <f>IF(Tabelle1[[#This Row],[Nicht einbezogen weil…]]="",IFERROR(1000*Tabelle1[[#This Row],[Formfaktor]]/Tabelle1[[#This Row],[Thickness '[mm']]],""),"")</f>
        <v/>
      </c>
      <c r="AE447" s="98" t="str">
        <f>IF(Tabelle1[[#This Row],[Nicht einbezogen weil…]]="",IFERROR(Tabelle1[[#This Row],[specific surface '[m^2/m^3']]]/Tabelle1[[#This Row],[Density 
'[g/cm3']]]/1000000,""),"")</f>
        <v/>
      </c>
      <c r="AF447" s="97" t="str">
        <f>IF(Tabelle1[[#This Row],[Nicht einbezogen weil…]]="",IFERROR(365*10*Tabelle1[[#This Row],[Abbaurate '[%/d']]]*Tabelle1[[#This Row],[Thickness '[mm']]]/Tabelle1[[#This Row],[Formfaktor]],""),"")</f>
        <v/>
      </c>
      <c r="AG447" s="99" t="str">
        <f>IF(OR(Tabelle1[[#This Row],[Nicht einbezogen weil…]]="",Tabelle1[[#This Row],[Nicht einbezogen weil…]]="nicht-natürlich"),IF(Tabelle1[[#This Row],[Formfaktor]]=2, 1,IF(Tabelle1[[#This Row],[Formfaktor]]=4,2,IF(Tabelle1[[#This Row],[Formfaktor]]=6,3,""))),"")</f>
        <v/>
      </c>
      <c r="AH44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4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47" s="6">
        <v>1</v>
      </c>
      <c r="AK44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47" s="207" t="s">
        <v>827</v>
      </c>
      <c r="AM447" s="3" t="s">
        <v>965</v>
      </c>
      <c r="AN447" s="3" t="s">
        <v>824</v>
      </c>
      <c r="AO447" s="3" t="s">
        <v>200</v>
      </c>
      <c r="AP447" s="3" t="s">
        <v>200</v>
      </c>
      <c r="AT447" s="10" t="s">
        <v>223</v>
      </c>
      <c r="AU447" s="13" t="s">
        <v>200</v>
      </c>
      <c r="AV447" s="14"/>
      <c r="AW447" s="10" t="s">
        <v>1016</v>
      </c>
    </row>
    <row r="448" spans="2:49" ht="17.25" customHeight="1">
      <c r="B448" s="109" t="s">
        <v>48</v>
      </c>
      <c r="C448" s="3" t="s">
        <v>48</v>
      </c>
      <c r="D448" s="3" t="s">
        <v>223</v>
      </c>
      <c r="E448" s="10"/>
      <c r="F448" s="3" t="s">
        <v>198</v>
      </c>
      <c r="G448" s="3">
        <v>0.1</v>
      </c>
      <c r="H448" s="3" t="s">
        <v>341</v>
      </c>
      <c r="I448" s="77">
        <v>1.1100000000000001</v>
      </c>
      <c r="M448" s="3" t="s">
        <v>301</v>
      </c>
      <c r="N448" s="3" t="s">
        <v>118</v>
      </c>
      <c r="O448" s="3" t="s">
        <v>1081</v>
      </c>
      <c r="P44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48" s="4">
        <v>25</v>
      </c>
      <c r="U448" s="4" t="s">
        <v>12</v>
      </c>
      <c r="W448" s="3" t="s">
        <v>13</v>
      </c>
      <c r="Y448" s="4">
        <v>100</v>
      </c>
      <c r="Z448" s="4">
        <v>28</v>
      </c>
      <c r="AA448" s="5">
        <f>Tabelle1[[#This Row],[biologische
Abbaubarkeit '[%']]]/Z448</f>
        <v>3.5714285714285716</v>
      </c>
      <c r="AB448" s="5"/>
      <c r="AC44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48" s="97">
        <f>IF(Tabelle1[[#This Row],[Nicht einbezogen weil…]]="",IFERROR(1000*Tabelle1[[#This Row],[Formfaktor]]/Tabelle1[[#This Row],[Thickness '[mm']]],""),"")</f>
        <v>20000</v>
      </c>
      <c r="AE448" s="98">
        <f>IF(Tabelle1[[#This Row],[Nicht einbezogen weil…]]="",IFERROR(Tabelle1[[#This Row],[specific surface '[m^2/m^3']]]/Tabelle1[[#This Row],[Density 
'[g/cm3']]]/1000000,""),"")</f>
        <v>1.8018018018018018E-2</v>
      </c>
      <c r="AF448" s="97">
        <f>IF(Tabelle1[[#This Row],[Nicht einbezogen weil…]]="",IFERROR(365*10*Tabelle1[[#This Row],[Abbaurate '[%/d']]]*Tabelle1[[#This Row],[Thickness '[mm']]]/Tabelle1[[#This Row],[Formfaktor]],""),"")</f>
        <v>651.78571428571433</v>
      </c>
      <c r="AG448" s="99">
        <f>IF(OR(Tabelle1[[#This Row],[Nicht einbezogen weil…]]="",Tabelle1[[#This Row],[Nicht einbezogen weil…]]="nicht-natürlich"),IF(Tabelle1[[#This Row],[Formfaktor]]=2, 1,IF(Tabelle1[[#This Row],[Formfaktor]]=4,2,IF(Tabelle1[[#This Row],[Formfaktor]]=6,3,""))),"")</f>
        <v>1</v>
      </c>
      <c r="AH448"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651.78571428571445</v>
      </c>
      <c r="AI44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PCL_Süßwasser_natürlich</v>
      </c>
      <c r="AJ448" s="71">
        <v>1</v>
      </c>
      <c r="AK44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48" s="3" t="s">
        <v>699</v>
      </c>
      <c r="AM448" s="8" t="s">
        <v>385</v>
      </c>
      <c r="AO448" s="3" t="s">
        <v>235</v>
      </c>
      <c r="AP448" s="3" t="s">
        <v>235</v>
      </c>
      <c r="AQ448" s="3" t="s">
        <v>235</v>
      </c>
      <c r="AR448" s="2" t="s">
        <v>300</v>
      </c>
      <c r="AT448" s="10" t="s">
        <v>223</v>
      </c>
      <c r="AU448" s="13" t="s">
        <v>200</v>
      </c>
      <c r="AW448" s="10" t="s">
        <v>813</v>
      </c>
    </row>
    <row r="449" spans="2:49" ht="17.25" customHeight="1">
      <c r="B449" s="109" t="s">
        <v>48</v>
      </c>
      <c r="C449" s="3" t="s">
        <v>48</v>
      </c>
      <c r="D449" s="3" t="s">
        <v>223</v>
      </c>
      <c r="E449" s="10"/>
      <c r="F449" s="3" t="s">
        <v>198</v>
      </c>
      <c r="G449" s="3">
        <v>0.1</v>
      </c>
      <c r="H449" s="3" t="s">
        <v>341</v>
      </c>
      <c r="I449" s="77">
        <v>1.1100000000000001</v>
      </c>
      <c r="M449" s="18" t="s">
        <v>301</v>
      </c>
      <c r="N449" s="18" t="s">
        <v>118</v>
      </c>
      <c r="O449" s="18" t="s">
        <v>1081</v>
      </c>
      <c r="P449" s="18"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49" s="22">
        <v>25</v>
      </c>
      <c r="R449" s="22"/>
      <c r="S449" s="22"/>
      <c r="T449" s="22"/>
      <c r="U449" s="22" t="s">
        <v>12</v>
      </c>
      <c r="V449" s="22"/>
      <c r="W449" s="18" t="s">
        <v>506</v>
      </c>
      <c r="Y449" s="4">
        <v>75</v>
      </c>
      <c r="Z449" s="22">
        <v>28</v>
      </c>
      <c r="AA449" s="5">
        <f>Tabelle1[[#This Row],[biologische
Abbaubarkeit '[%']]]/Z449</f>
        <v>2.6785714285714284</v>
      </c>
      <c r="AB449" s="5"/>
      <c r="AC44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49" s="97">
        <f>IF(Tabelle1[[#This Row],[Nicht einbezogen weil…]]="",IFERROR(1000*Tabelle1[[#This Row],[Formfaktor]]/Tabelle1[[#This Row],[Thickness '[mm']]],""),"")</f>
        <v>20000</v>
      </c>
      <c r="AE449" s="98">
        <f>IF(Tabelle1[[#This Row],[Nicht einbezogen weil…]]="",IFERROR(Tabelle1[[#This Row],[specific surface '[m^2/m^3']]]/Tabelle1[[#This Row],[Density 
'[g/cm3']]]/1000000,""),"")</f>
        <v>1.8018018018018018E-2</v>
      </c>
      <c r="AF449" s="97">
        <f>IF(Tabelle1[[#This Row],[Nicht einbezogen weil…]]="",IFERROR(365*10*Tabelle1[[#This Row],[Abbaurate '[%/d']]]*Tabelle1[[#This Row],[Thickness '[mm']]]/Tabelle1[[#This Row],[Formfaktor]],""),"")</f>
        <v>488.83928571428572</v>
      </c>
      <c r="AG449" s="99">
        <f>IF(OR(Tabelle1[[#This Row],[Nicht einbezogen weil…]]="",Tabelle1[[#This Row],[Nicht einbezogen weil…]]="nicht-natürlich"),IF(Tabelle1[[#This Row],[Formfaktor]]=2, 1,IF(Tabelle1[[#This Row],[Formfaktor]]=4,2,IF(Tabelle1[[#This Row],[Formfaktor]]=6,3,""))),"")</f>
        <v>1</v>
      </c>
      <c r="AH449" s="97">
        <f>IF(OR(Tabelle1[[#This Row],[Nicht einbezogen weil…]]="",Tabelle1[[#This Row],[Nicht einbezogen weil…]]="nicht-natürlich"),IFERROR(Tabelle1[[#This Row],[Thickness '[mm']]]/Tabelle1[[#This Row],[Dauer des Abbaus
'[Tage']]]*1000*0.5*365*(1-(1-Tabelle1[[#This Row],[Abbaurate '[%/d']]]/100*Tabelle1[[#This Row],[Dauer des Abbaus
'[Tage']]])^(1/Tabelle1[[#This Row],[Exponent]])),""),"")</f>
        <v>488.83928571428578</v>
      </c>
      <c r="AI44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PCL_Süßwasser_natürlich</v>
      </c>
      <c r="AJ449" s="71">
        <v>1</v>
      </c>
      <c r="AK44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49" s="3" t="s">
        <v>699</v>
      </c>
      <c r="AM449" s="8" t="s">
        <v>385</v>
      </c>
      <c r="AO449" s="3" t="s">
        <v>235</v>
      </c>
      <c r="AP449" s="3" t="s">
        <v>235</v>
      </c>
      <c r="AQ449" s="3" t="s">
        <v>235</v>
      </c>
      <c r="AR449" s="2" t="s">
        <v>300</v>
      </c>
      <c r="AT449" s="10" t="s">
        <v>223</v>
      </c>
      <c r="AU449" s="13" t="s">
        <v>200</v>
      </c>
      <c r="AW449" s="10" t="s">
        <v>813</v>
      </c>
    </row>
    <row r="450" spans="2:49" ht="17.25" customHeight="1">
      <c r="B450" s="7" t="s">
        <v>165</v>
      </c>
      <c r="C450" s="3" t="s">
        <v>165</v>
      </c>
      <c r="D450" s="3" t="s">
        <v>200</v>
      </c>
      <c r="E450" s="10" t="s">
        <v>205</v>
      </c>
      <c r="F450" s="3" t="s">
        <v>341</v>
      </c>
      <c r="G450" s="322" t="s">
        <v>341</v>
      </c>
      <c r="I450" s="17" t="s">
        <v>596</v>
      </c>
      <c r="L450" s="3" t="s">
        <v>888</v>
      </c>
      <c r="M450" s="75"/>
      <c r="N450" s="75"/>
      <c r="O450" s="75"/>
      <c r="P450" s="75"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50" s="95"/>
      <c r="R450" s="95"/>
      <c r="S450" s="95"/>
      <c r="T450" s="95"/>
      <c r="U450" s="95"/>
      <c r="V450" s="95"/>
      <c r="W450" s="75" t="s">
        <v>13</v>
      </c>
      <c r="Z450" s="95"/>
      <c r="AA450" s="5" t="e">
        <f>Y450/Z450</f>
        <v>#DIV/0!</v>
      </c>
      <c r="AB450" s="5"/>
      <c r="AC450"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50" s="97" t="str">
        <f>IF(Tabelle1[[#This Row],[Nicht einbezogen weil…]]="",IFERROR(1000*Tabelle1[[#This Row],[Formfaktor]]/Tabelle1[[#This Row],[Thickness '[mm']]],""),"")</f>
        <v/>
      </c>
      <c r="AE450" s="98" t="str">
        <f>IF(Tabelle1[[#This Row],[Nicht einbezogen weil…]]="",IFERROR(Tabelle1[[#This Row],[specific surface '[m^2/m^3']]]/Tabelle1[[#This Row],[Density 
'[g/cm3']]]/1000000,""),"")</f>
        <v/>
      </c>
      <c r="AF450" s="97" t="str">
        <f>IF(Tabelle1[[#This Row],[Nicht einbezogen weil…]]="",IFERROR(365*10*Tabelle1[[#This Row],[Abbaurate '[%/d']]]*Tabelle1[[#This Row],[Thickness '[mm']]]/Tabelle1[[#This Row],[Formfaktor]],""),"")</f>
        <v/>
      </c>
      <c r="AG450" s="99" t="str">
        <f>IF(OR(Tabelle1[[#This Row],[Nicht einbezogen weil…]]="",Tabelle1[[#This Row],[Nicht einbezogen weil…]]="nicht-natürlich"),IF(Tabelle1[[#This Row],[Formfaktor]]=2, 1,IF(Tabelle1[[#This Row],[Formfaktor]]=4,2,IF(Tabelle1[[#This Row],[Formfaktor]]=6,3,""))),"")</f>
        <v/>
      </c>
      <c r="AH45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5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50" s="6">
        <v>0</v>
      </c>
      <c r="AK45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50" s="207" t="s">
        <v>823</v>
      </c>
      <c r="AM450" s="3" t="s">
        <v>855</v>
      </c>
      <c r="AN450" s="3" t="s">
        <v>824</v>
      </c>
      <c r="AO450" s="3" t="s">
        <v>200</v>
      </c>
      <c r="AP450" s="3" t="s">
        <v>223</v>
      </c>
      <c r="AU450" s="324" t="s">
        <v>701</v>
      </c>
      <c r="AV450" s="14" t="s">
        <v>851</v>
      </c>
      <c r="AW450" s="73" t="s">
        <v>933</v>
      </c>
    </row>
    <row r="451" spans="2:49" ht="17.25" customHeight="1">
      <c r="B451" s="7" t="s">
        <v>792</v>
      </c>
      <c r="C451" s="3" t="s">
        <v>729</v>
      </c>
      <c r="D451" s="3" t="s">
        <v>200</v>
      </c>
      <c r="E451" s="10" t="s">
        <v>1127</v>
      </c>
      <c r="F451" s="19" t="s">
        <v>288</v>
      </c>
      <c r="G451" s="19">
        <v>0.05</v>
      </c>
      <c r="H451" s="19">
        <f>0.08*0.025</f>
        <v>2E-3</v>
      </c>
      <c r="I451" s="24">
        <v>0.90300000000000002</v>
      </c>
      <c r="K451" s="20" t="s">
        <v>731</v>
      </c>
      <c r="L451" s="19" t="s">
        <v>733</v>
      </c>
      <c r="M451" s="3" t="s">
        <v>223</v>
      </c>
      <c r="N451" s="19" t="s">
        <v>735</v>
      </c>
      <c r="O451" s="19" t="s">
        <v>294</v>
      </c>
      <c r="P451" s="19"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51" s="21">
        <v>30</v>
      </c>
      <c r="R451" s="21"/>
      <c r="S451" s="21"/>
      <c r="T451" s="21"/>
      <c r="U451" s="21"/>
      <c r="V451" s="21" t="s">
        <v>734</v>
      </c>
      <c r="W451" s="19" t="s">
        <v>13</v>
      </c>
      <c r="Y451" s="9" t="s">
        <v>740</v>
      </c>
      <c r="Z451" s="4">
        <v>365</v>
      </c>
      <c r="AA451" s="5">
        <f>9.5/Z451</f>
        <v>2.6027397260273973E-2</v>
      </c>
      <c r="AB451" s="5"/>
      <c r="AC45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51" s="97" t="str">
        <f>IF(Tabelle1[[#This Row],[Nicht einbezogen weil…]]="",IFERROR(1000*Tabelle1[[#This Row],[Formfaktor]]/Tabelle1[[#This Row],[Thickness '[mm']]],""),"")</f>
        <v/>
      </c>
      <c r="AE451" s="98" t="str">
        <f>IF(Tabelle1[[#This Row],[Nicht einbezogen weil…]]="",IFERROR(Tabelle1[[#This Row],[specific surface '[m^2/m^3']]]/Tabelle1[[#This Row],[Density 
'[g/cm3']]]/1000000,""),"")</f>
        <v/>
      </c>
      <c r="AF451" s="97" t="str">
        <f>IF(Tabelle1[[#This Row],[Nicht einbezogen weil…]]="",IFERROR(365*10*Tabelle1[[#This Row],[Abbaurate '[%/d']]]*Tabelle1[[#This Row],[Thickness '[mm']]]/Tabelle1[[#This Row],[Formfaktor]],""),"")</f>
        <v/>
      </c>
      <c r="AG451" s="99" t="str">
        <f>IF(OR(Tabelle1[[#This Row],[Nicht einbezogen weil…]]="",Tabelle1[[#This Row],[Nicht einbezogen weil…]]="nicht-natürlich"),IF(Tabelle1[[#This Row],[Formfaktor]]=2, 1,IF(Tabelle1[[#This Row],[Formfaktor]]=4,2,IF(Tabelle1[[#This Row],[Formfaktor]]=6,3,""))),"")</f>
        <v/>
      </c>
      <c r="AH45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5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51" s="71">
        <v>1</v>
      </c>
      <c r="AK45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51" s="18" t="s">
        <v>388</v>
      </c>
      <c r="AM451" s="3" t="s">
        <v>962</v>
      </c>
      <c r="AN451" s="3" t="s">
        <v>538</v>
      </c>
      <c r="AO451" s="3" t="s">
        <v>200</v>
      </c>
      <c r="AP451" s="12" t="s">
        <v>200</v>
      </c>
      <c r="AT451" s="10" t="s">
        <v>223</v>
      </c>
      <c r="AU451" s="13" t="s">
        <v>200</v>
      </c>
      <c r="AV451" s="14"/>
      <c r="AW451" s="10" t="s">
        <v>775</v>
      </c>
    </row>
    <row r="452" spans="2:49" ht="17.25" customHeight="1">
      <c r="B452" s="7" t="s">
        <v>240</v>
      </c>
      <c r="C452" s="3" t="s">
        <v>571</v>
      </c>
      <c r="D452" s="3" t="s">
        <v>200</v>
      </c>
      <c r="E452" s="10" t="s">
        <v>205</v>
      </c>
      <c r="F452" s="3" t="s">
        <v>578</v>
      </c>
      <c r="G452" s="12">
        <v>0.05</v>
      </c>
      <c r="H452" s="3" t="s">
        <v>341</v>
      </c>
      <c r="I452" s="24">
        <v>1.05</v>
      </c>
      <c r="J452" s="3" t="s">
        <v>435</v>
      </c>
      <c r="K452" s="8" t="s">
        <v>570</v>
      </c>
      <c r="L452" s="3" t="s">
        <v>436</v>
      </c>
      <c r="M452" s="3" t="s">
        <v>223</v>
      </c>
      <c r="N452" s="3" t="s">
        <v>294</v>
      </c>
      <c r="O452" s="3" t="s">
        <v>294</v>
      </c>
      <c r="P45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52" s="4">
        <v>35</v>
      </c>
      <c r="R452" s="4">
        <v>7</v>
      </c>
      <c r="W452" s="3" t="s">
        <v>13</v>
      </c>
      <c r="Y452" s="4">
        <v>0.8</v>
      </c>
      <c r="Z452" s="4">
        <f>8*7</f>
        <v>56</v>
      </c>
      <c r="AA452" s="5">
        <f>Y452/Z452</f>
        <v>1.4285714285714287E-2</v>
      </c>
      <c r="AB452" s="5"/>
      <c r="AC45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52" s="97" t="str">
        <f>IF(Tabelle1[[#This Row],[Nicht einbezogen weil…]]="",IFERROR(1000*Tabelle1[[#This Row],[Formfaktor]]/Tabelle1[[#This Row],[Thickness '[mm']]],""),"")</f>
        <v/>
      </c>
      <c r="AE452" s="98" t="str">
        <f>IF(Tabelle1[[#This Row],[Nicht einbezogen weil…]]="",IFERROR(Tabelle1[[#This Row],[specific surface '[m^2/m^3']]]/Tabelle1[[#This Row],[Density 
'[g/cm3']]]/1000000,""),"")</f>
        <v/>
      </c>
      <c r="AF452" s="97" t="str">
        <f>IF(Tabelle1[[#This Row],[Nicht einbezogen weil…]]="",IFERROR(365*10*Tabelle1[[#This Row],[Abbaurate '[%/d']]]*Tabelle1[[#This Row],[Thickness '[mm']]]/Tabelle1[[#This Row],[Formfaktor]],""),"")</f>
        <v/>
      </c>
      <c r="AG452" s="99" t="str">
        <f>IF(OR(Tabelle1[[#This Row],[Nicht einbezogen weil…]]="",Tabelle1[[#This Row],[Nicht einbezogen weil…]]="nicht-natürlich"),IF(Tabelle1[[#This Row],[Formfaktor]]=2, 1,IF(Tabelle1[[#This Row],[Formfaktor]]=4,2,IF(Tabelle1[[#This Row],[Formfaktor]]=6,3,""))),"")</f>
        <v/>
      </c>
      <c r="AH45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5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52" s="71">
        <v>1</v>
      </c>
      <c r="AK45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52" s="3" t="s">
        <v>389</v>
      </c>
      <c r="AM452" s="3" t="s">
        <v>962</v>
      </c>
      <c r="AN452" s="3" t="s">
        <v>538</v>
      </c>
      <c r="AO452" s="3" t="s">
        <v>200</v>
      </c>
      <c r="AP452" s="3" t="s">
        <v>200</v>
      </c>
      <c r="AT452" s="10" t="s">
        <v>223</v>
      </c>
      <c r="AU452" s="13" t="s">
        <v>200</v>
      </c>
      <c r="AW452" s="10" t="s">
        <v>775</v>
      </c>
    </row>
    <row r="453" spans="2:49" ht="17.25" customHeight="1">
      <c r="B453" s="7" t="s">
        <v>165</v>
      </c>
      <c r="C453" s="3" t="s">
        <v>891</v>
      </c>
      <c r="D453" s="3" t="s">
        <v>200</v>
      </c>
      <c r="E453" s="10" t="s">
        <v>205</v>
      </c>
      <c r="F453" s="3" t="s">
        <v>341</v>
      </c>
      <c r="G453" s="3" t="s">
        <v>341</v>
      </c>
      <c r="I453" s="17" t="s">
        <v>596</v>
      </c>
      <c r="L453" s="3" t="s">
        <v>909</v>
      </c>
      <c r="N453" s="3" t="s">
        <v>892</v>
      </c>
      <c r="O453" s="3" t="s">
        <v>358</v>
      </c>
      <c r="P45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AA453" s="5" t="e">
        <f>Y453/Z453</f>
        <v>#DIV/0!</v>
      </c>
      <c r="AB453" s="5"/>
      <c r="AC453"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53" s="97" t="str">
        <f>IF(Tabelle1[[#This Row],[Nicht einbezogen weil…]]="",IFERROR(1000*Tabelle1[[#This Row],[Formfaktor]]/Tabelle1[[#This Row],[Thickness '[mm']]],""),"")</f>
        <v/>
      </c>
      <c r="AE453" s="98" t="str">
        <f>IF(Tabelle1[[#This Row],[Nicht einbezogen weil…]]="",IFERROR(Tabelle1[[#This Row],[specific surface '[m^2/m^3']]]/Tabelle1[[#This Row],[Density 
'[g/cm3']]]/1000000,""),"")</f>
        <v/>
      </c>
      <c r="AF453" s="97" t="str">
        <f>IF(Tabelle1[[#This Row],[Nicht einbezogen weil…]]="",IFERROR(365*10*Tabelle1[[#This Row],[Abbaurate '[%/d']]]*Tabelle1[[#This Row],[Thickness '[mm']]]/Tabelle1[[#This Row],[Formfaktor]],""),"")</f>
        <v/>
      </c>
      <c r="AG453" s="99" t="str">
        <f>IF(OR(Tabelle1[[#This Row],[Nicht einbezogen weil…]]="",Tabelle1[[#This Row],[Nicht einbezogen weil…]]="nicht-natürlich"),IF(Tabelle1[[#This Row],[Formfaktor]]=2, 1,IF(Tabelle1[[#This Row],[Formfaktor]]=4,2,IF(Tabelle1[[#This Row],[Formfaktor]]=6,3,""))),"")</f>
        <v/>
      </c>
      <c r="AH45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5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53" s="6">
        <v>0</v>
      </c>
      <c r="AK45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53" s="323" t="s">
        <v>829</v>
      </c>
      <c r="AM453" s="3" t="s">
        <v>855</v>
      </c>
      <c r="AN453" s="3" t="s">
        <v>824</v>
      </c>
      <c r="AO453" s="3" t="s">
        <v>200</v>
      </c>
      <c r="AP453" s="3" t="s">
        <v>223</v>
      </c>
      <c r="AU453" s="324" t="s">
        <v>701</v>
      </c>
      <c r="AV453" s="14" t="s">
        <v>866</v>
      </c>
      <c r="AW453" s="73" t="s">
        <v>933</v>
      </c>
    </row>
    <row r="454" spans="2:49" ht="17.25" customHeight="1">
      <c r="B454" s="109" t="s">
        <v>48</v>
      </c>
      <c r="C454" s="3" t="s">
        <v>48</v>
      </c>
      <c r="D454" s="3" t="s">
        <v>223</v>
      </c>
      <c r="E454" s="10"/>
      <c r="F454" s="3" t="s">
        <v>198</v>
      </c>
      <c r="G454" s="3">
        <v>0.1</v>
      </c>
      <c r="H454" s="3" t="s">
        <v>341</v>
      </c>
      <c r="I454" s="77">
        <v>1.1100000000000001</v>
      </c>
      <c r="M454" s="3" t="s">
        <v>301</v>
      </c>
      <c r="N454" s="3" t="s">
        <v>119</v>
      </c>
      <c r="O454" s="3" t="s">
        <v>1081</v>
      </c>
      <c r="P45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54" s="4">
        <v>25</v>
      </c>
      <c r="U454" s="4" t="s">
        <v>12</v>
      </c>
      <c r="W454" s="3" t="s">
        <v>13</v>
      </c>
      <c r="Y454" s="4">
        <v>100</v>
      </c>
      <c r="Z454" s="4">
        <v>28</v>
      </c>
      <c r="AA454" s="5">
        <f>Tabelle1[[#This Row],[biologische
Abbaubarkeit '[%']]]/Z454</f>
        <v>3.5714285714285716</v>
      </c>
      <c r="AB454" s="5"/>
      <c r="AC45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54" s="97">
        <f>IF(Tabelle1[[#This Row],[Nicht einbezogen weil…]]="",IFERROR(1000*Tabelle1[[#This Row],[Formfaktor]]/Tabelle1[[#This Row],[Thickness '[mm']]],""),"")</f>
        <v>20000</v>
      </c>
      <c r="AE454" s="98">
        <f>IF(Tabelle1[[#This Row],[Nicht einbezogen weil…]]="",IFERROR(Tabelle1[[#This Row],[specific surface '[m^2/m^3']]]/Tabelle1[[#This Row],[Density 
'[g/cm3']]]/1000000,""),"")</f>
        <v>1.8018018018018018E-2</v>
      </c>
      <c r="AF454" s="97">
        <f>IF(Tabelle1[[#This Row],[Nicht einbezogen weil…]]="",IFERROR(365*10*Tabelle1[[#This Row],[Abbaurate '[%/d']]]*Tabelle1[[#This Row],[Thickness '[mm']]]/Tabelle1[[#This Row],[Formfaktor]],""),"")</f>
        <v>651.78571428571433</v>
      </c>
      <c r="AG454" s="99">
        <f>IF(OR(Tabelle1[[#This Row],[Nicht einbezogen weil…]]="",Tabelle1[[#This Row],[Nicht einbezogen weil…]]="nicht-natürlich"),IF(Tabelle1[[#This Row],[Formfaktor]]=2, 1,IF(Tabelle1[[#This Row],[Formfaktor]]=4,2,IF(Tabelle1[[#This Row],[Formfaktor]]=6,3,""))),"")</f>
        <v>1</v>
      </c>
      <c r="AH454"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651.78571428571445</v>
      </c>
      <c r="AI45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PCL_Süßwasser_natürlich</v>
      </c>
      <c r="AJ454" s="71">
        <v>1</v>
      </c>
      <c r="AK45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54" s="3" t="s">
        <v>699</v>
      </c>
      <c r="AM454" s="8" t="s">
        <v>385</v>
      </c>
      <c r="AO454" s="3" t="s">
        <v>235</v>
      </c>
      <c r="AP454" s="3" t="s">
        <v>235</v>
      </c>
      <c r="AQ454" s="3" t="s">
        <v>235</v>
      </c>
      <c r="AR454" s="2" t="s">
        <v>300</v>
      </c>
      <c r="AT454" s="10" t="s">
        <v>223</v>
      </c>
      <c r="AU454" s="13" t="s">
        <v>200</v>
      </c>
      <c r="AW454" s="10" t="s">
        <v>813</v>
      </c>
    </row>
    <row r="455" spans="2:49" ht="17.25" customHeight="1">
      <c r="B455" s="7" t="s">
        <v>240</v>
      </c>
      <c r="C455" s="3" t="s">
        <v>753</v>
      </c>
      <c r="D455" s="3" t="s">
        <v>200</v>
      </c>
      <c r="E455" s="10" t="s">
        <v>205</v>
      </c>
      <c r="F455" s="12" t="s">
        <v>747</v>
      </c>
      <c r="G455" s="3">
        <v>0.24</v>
      </c>
      <c r="H455" s="106">
        <f>4*PI()*((G455/2)^2)</f>
        <v>0.18095573684677208</v>
      </c>
      <c r="I455" s="24">
        <v>1.05</v>
      </c>
      <c r="K455" s="8" t="s">
        <v>751</v>
      </c>
      <c r="L455" s="3" t="s">
        <v>752</v>
      </c>
      <c r="M455" s="3" t="s">
        <v>223</v>
      </c>
      <c r="N455" s="3" t="s">
        <v>735</v>
      </c>
      <c r="O455" s="3" t="s">
        <v>294</v>
      </c>
      <c r="P45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455" s="3" t="s">
        <v>13</v>
      </c>
      <c r="Y455" s="9" t="s">
        <v>757</v>
      </c>
      <c r="Z455" s="4">
        <v>40</v>
      </c>
      <c r="AA455" s="5">
        <f>7.4/Z455</f>
        <v>0.185</v>
      </c>
      <c r="AB455" s="5"/>
      <c r="AC45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455" s="97" t="str">
        <f>IF(Tabelle1[[#This Row],[Nicht einbezogen weil…]]="",IFERROR(1000*Tabelle1[[#This Row],[Formfaktor]]/Tabelle1[[#This Row],[Thickness '[mm']]],""),"")</f>
        <v/>
      </c>
      <c r="AE455" s="98" t="str">
        <f>IF(Tabelle1[[#This Row],[Nicht einbezogen weil…]]="",IFERROR(Tabelle1[[#This Row],[specific surface '[m^2/m^3']]]/Tabelle1[[#This Row],[Density 
'[g/cm3']]]/1000000,""),"")</f>
        <v/>
      </c>
      <c r="AF455" s="97" t="str">
        <f>IF(Tabelle1[[#This Row],[Nicht einbezogen weil…]]="",IFERROR(365*10*Tabelle1[[#This Row],[Abbaurate '[%/d']]]*Tabelle1[[#This Row],[Thickness '[mm']]]/Tabelle1[[#This Row],[Formfaktor]],""),"")</f>
        <v/>
      </c>
      <c r="AG455" s="99" t="str">
        <f>IF(OR(Tabelle1[[#This Row],[Nicht einbezogen weil…]]="",Tabelle1[[#This Row],[Nicht einbezogen weil…]]="nicht-natürlich"),IF(Tabelle1[[#This Row],[Formfaktor]]=2, 1,IF(Tabelle1[[#This Row],[Formfaktor]]=4,2,IF(Tabelle1[[#This Row],[Formfaktor]]=6,3,""))),"")</f>
        <v/>
      </c>
      <c r="AH45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5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55" s="71">
        <v>1</v>
      </c>
      <c r="AK45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55" s="3" t="s">
        <v>387</v>
      </c>
      <c r="AM455" s="3" t="s">
        <v>962</v>
      </c>
      <c r="AN455" s="3" t="s">
        <v>538</v>
      </c>
      <c r="AO455" s="3" t="s">
        <v>200</v>
      </c>
      <c r="AP455" s="3" t="s">
        <v>200</v>
      </c>
      <c r="AT455" s="10" t="s">
        <v>223</v>
      </c>
      <c r="AU455" s="13" t="s">
        <v>200</v>
      </c>
      <c r="AW455" s="3" t="s">
        <v>948</v>
      </c>
    </row>
    <row r="456" spans="2:49" ht="17.25" customHeight="1">
      <c r="B456" s="7" t="s">
        <v>792</v>
      </c>
      <c r="C456" s="3" t="s">
        <v>526</v>
      </c>
      <c r="D456" s="3" t="s">
        <v>200</v>
      </c>
      <c r="E456" s="10" t="s">
        <v>1127</v>
      </c>
      <c r="F456" s="3" t="s">
        <v>288</v>
      </c>
      <c r="G456" s="3">
        <v>0.05</v>
      </c>
      <c r="H456" s="3">
        <f>0.15*0.02</f>
        <v>3.0000000000000001E-3</v>
      </c>
      <c r="I456" s="24">
        <v>0.90300000000000002</v>
      </c>
      <c r="J456" s="3" t="s">
        <v>528</v>
      </c>
      <c r="M456" s="3" t="s">
        <v>200</v>
      </c>
      <c r="N456" s="3" t="s">
        <v>5</v>
      </c>
      <c r="O456" s="3" t="s">
        <v>358</v>
      </c>
      <c r="P45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456" s="4" t="s">
        <v>12</v>
      </c>
      <c r="W456" s="3" t="s">
        <v>13</v>
      </c>
      <c r="Y456" s="4">
        <v>0.84</v>
      </c>
      <c r="Z456" s="4">
        <v>150</v>
      </c>
      <c r="AA456" s="5">
        <f>Y456/Z456</f>
        <v>5.5999999999999999E-3</v>
      </c>
      <c r="AB456" s="5"/>
      <c r="AC45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56" s="97" t="str">
        <f>IF(Tabelle1[[#This Row],[Nicht einbezogen weil…]]="",IFERROR(1000*Tabelle1[[#This Row],[Formfaktor]]/Tabelle1[[#This Row],[Thickness '[mm']]],""),"")</f>
        <v/>
      </c>
      <c r="AE456" s="98" t="str">
        <f>IF(Tabelle1[[#This Row],[Nicht einbezogen weil…]]="",IFERROR(Tabelle1[[#This Row],[specific surface '[m^2/m^3']]]/Tabelle1[[#This Row],[Density 
'[g/cm3']]]/1000000,""),"")</f>
        <v/>
      </c>
      <c r="AF456" s="97" t="str">
        <f>IF(Tabelle1[[#This Row],[Nicht einbezogen weil…]]="",IFERROR(365*10*Tabelle1[[#This Row],[Abbaurate '[%/d']]]*Tabelle1[[#This Row],[Thickness '[mm']]]/Tabelle1[[#This Row],[Formfaktor]],""),"")</f>
        <v/>
      </c>
      <c r="AG456" s="99" t="str">
        <f>IF(OR(Tabelle1[[#This Row],[Nicht einbezogen weil…]]="",Tabelle1[[#This Row],[Nicht einbezogen weil…]]="nicht-natürlich"),IF(Tabelle1[[#This Row],[Formfaktor]]=2, 1,IF(Tabelle1[[#This Row],[Formfaktor]]=4,2,IF(Tabelle1[[#This Row],[Formfaktor]]=6,3,""))),"")</f>
        <v/>
      </c>
      <c r="AH45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5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56" s="71">
        <v>1</v>
      </c>
      <c r="AK45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56" s="3" t="s">
        <v>261</v>
      </c>
      <c r="AM456" s="3" t="s">
        <v>967</v>
      </c>
      <c r="AO456" s="3" t="s">
        <v>200</v>
      </c>
      <c r="AP456" s="3" t="s">
        <v>200</v>
      </c>
      <c r="AQ456" s="3" t="s">
        <v>200</v>
      </c>
      <c r="AR456" s="2" t="s">
        <v>262</v>
      </c>
      <c r="AS456" s="2" t="s">
        <v>262</v>
      </c>
      <c r="AT456" s="10" t="s">
        <v>200</v>
      </c>
      <c r="AU456" s="13" t="s">
        <v>200</v>
      </c>
      <c r="AW456" s="10" t="s">
        <v>775</v>
      </c>
    </row>
    <row r="457" spans="2:49" s="73" customFormat="1" ht="17.25" customHeight="1">
      <c r="B457" s="7" t="s">
        <v>792</v>
      </c>
      <c r="C457" s="3" t="s">
        <v>526</v>
      </c>
      <c r="D457" s="3" t="s">
        <v>200</v>
      </c>
      <c r="E457" s="73" t="s">
        <v>1127</v>
      </c>
      <c r="F457" s="3" t="s">
        <v>288</v>
      </c>
      <c r="G457" s="3">
        <v>0.05</v>
      </c>
      <c r="H457" s="3">
        <f>0.15*0.02</f>
        <v>3.0000000000000001E-3</v>
      </c>
      <c r="I457" s="24">
        <v>0.90300000000000002</v>
      </c>
      <c r="J457" s="3" t="s">
        <v>528</v>
      </c>
      <c r="K457" s="8"/>
      <c r="L457" s="3"/>
      <c r="M457" s="3" t="s">
        <v>200</v>
      </c>
      <c r="N457" s="3" t="s">
        <v>23</v>
      </c>
      <c r="O457" s="3" t="s">
        <v>23</v>
      </c>
      <c r="P45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57" s="4"/>
      <c r="R457" s="4"/>
      <c r="S457" s="4"/>
      <c r="T457" s="4"/>
      <c r="U457" s="4" t="s">
        <v>12</v>
      </c>
      <c r="V457" s="4"/>
      <c r="W457" s="3" t="s">
        <v>13</v>
      </c>
      <c r="X457" s="3"/>
      <c r="Y457" s="4">
        <v>7.59</v>
      </c>
      <c r="Z457" s="4">
        <v>150</v>
      </c>
      <c r="AA457" s="5">
        <f>Y457/Z457</f>
        <v>5.0599999999999999E-2</v>
      </c>
      <c r="AB457" s="5"/>
      <c r="AC45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57" s="97" t="str">
        <f>IF(Tabelle1[[#This Row],[Nicht einbezogen weil…]]="",IFERROR(1000*Tabelle1[[#This Row],[Formfaktor]]/Tabelle1[[#This Row],[Thickness '[mm']]],""),"")</f>
        <v/>
      </c>
      <c r="AE457" s="98" t="str">
        <f>IF(Tabelle1[[#This Row],[Nicht einbezogen weil…]]="",IFERROR(Tabelle1[[#This Row],[specific surface '[m^2/m^3']]]/Tabelle1[[#This Row],[Density 
'[g/cm3']]]/1000000,""),"")</f>
        <v/>
      </c>
      <c r="AF457" s="97" t="str">
        <f>IF(Tabelle1[[#This Row],[Nicht einbezogen weil…]]="",IFERROR(365*10*Tabelle1[[#This Row],[Abbaurate '[%/d']]]*Tabelle1[[#This Row],[Thickness '[mm']]]/Tabelle1[[#This Row],[Formfaktor]],""),"")</f>
        <v/>
      </c>
      <c r="AG457" s="99" t="str">
        <f>IF(OR(Tabelle1[[#This Row],[Nicht einbezogen weil…]]="",Tabelle1[[#This Row],[Nicht einbezogen weil…]]="nicht-natürlich"),IF(Tabelle1[[#This Row],[Formfaktor]]=2, 1,IF(Tabelle1[[#This Row],[Formfaktor]]=4,2,IF(Tabelle1[[#This Row],[Formfaktor]]=6,3,""))),"")</f>
        <v/>
      </c>
      <c r="AH45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5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57" s="71">
        <v>1</v>
      </c>
      <c r="AK45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57" s="3" t="s">
        <v>261</v>
      </c>
      <c r="AM457" s="3" t="s">
        <v>967</v>
      </c>
      <c r="AN457" s="3"/>
      <c r="AO457" s="3" t="s">
        <v>200</v>
      </c>
      <c r="AP457" s="3" t="s">
        <v>200</v>
      </c>
      <c r="AQ457" s="3" t="s">
        <v>200</v>
      </c>
      <c r="AR457" s="2" t="s">
        <v>262</v>
      </c>
      <c r="AS457" s="2" t="s">
        <v>262</v>
      </c>
      <c r="AT457" s="10" t="s">
        <v>200</v>
      </c>
      <c r="AU457" s="13" t="s">
        <v>200</v>
      </c>
      <c r="AV457" s="10"/>
      <c r="AW457" s="10" t="s">
        <v>775</v>
      </c>
    </row>
    <row r="458" spans="2:49" ht="17.25" customHeight="1">
      <c r="B458" s="7" t="s">
        <v>86</v>
      </c>
      <c r="C458" s="3" t="s">
        <v>626</v>
      </c>
      <c r="D458" s="3" t="s">
        <v>200</v>
      </c>
      <c r="E458" s="10" t="s">
        <v>205</v>
      </c>
      <c r="F458" s="3" t="s">
        <v>288</v>
      </c>
      <c r="G458" s="3">
        <v>0.5</v>
      </c>
      <c r="H458" s="3">
        <f>0.042*0.025</f>
        <v>1.0500000000000002E-3</v>
      </c>
      <c r="I458" s="24">
        <f>AVERAGE(1.35,1.465)</f>
        <v>1.4075000000000002</v>
      </c>
      <c r="K458" s="8" t="s">
        <v>628</v>
      </c>
      <c r="L458" s="3" t="s">
        <v>627</v>
      </c>
      <c r="M458" s="3" t="s">
        <v>223</v>
      </c>
      <c r="N458" s="3" t="s">
        <v>630</v>
      </c>
      <c r="O458" s="3" t="s">
        <v>294</v>
      </c>
      <c r="P45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458" s="3" t="s">
        <v>13</v>
      </c>
      <c r="Y458" s="9" t="s">
        <v>629</v>
      </c>
      <c r="Z458" s="4">
        <f>6*7</f>
        <v>42</v>
      </c>
      <c r="AA458" s="5">
        <f>6.8/Z458</f>
        <v>0.16190476190476191</v>
      </c>
      <c r="AB458" s="5"/>
      <c r="AC45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58" s="97" t="str">
        <f>IF(Tabelle1[[#This Row],[Nicht einbezogen weil…]]="",IFERROR(1000*Tabelle1[[#This Row],[Formfaktor]]/Tabelle1[[#This Row],[Thickness '[mm']]],""),"")</f>
        <v/>
      </c>
      <c r="AE458" s="98" t="str">
        <f>IF(Tabelle1[[#This Row],[Nicht einbezogen weil…]]="",IFERROR(Tabelle1[[#This Row],[specific surface '[m^2/m^3']]]/Tabelle1[[#This Row],[Density 
'[g/cm3']]]/1000000,""),"")</f>
        <v/>
      </c>
      <c r="AF458" s="97" t="str">
        <f>IF(Tabelle1[[#This Row],[Nicht einbezogen weil…]]="",IFERROR(365*10*Tabelle1[[#This Row],[Abbaurate '[%/d']]]*Tabelle1[[#This Row],[Thickness '[mm']]]/Tabelle1[[#This Row],[Formfaktor]],""),"")</f>
        <v/>
      </c>
      <c r="AG458" s="99" t="str">
        <f>IF(OR(Tabelle1[[#This Row],[Nicht einbezogen weil…]]="",Tabelle1[[#This Row],[Nicht einbezogen weil…]]="nicht-natürlich"),IF(Tabelle1[[#This Row],[Formfaktor]]=2, 1,IF(Tabelle1[[#This Row],[Formfaktor]]=4,2,IF(Tabelle1[[#This Row],[Formfaktor]]=6,3,""))),"")</f>
        <v/>
      </c>
      <c r="AH45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5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58" s="71">
        <v>1</v>
      </c>
      <c r="AK45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58" s="3" t="s">
        <v>396</v>
      </c>
      <c r="AM458" s="3" t="s">
        <v>977</v>
      </c>
      <c r="AN458" s="3" t="s">
        <v>538</v>
      </c>
      <c r="AO458" s="3" t="s">
        <v>200</v>
      </c>
      <c r="AP458" s="3" t="s">
        <v>200</v>
      </c>
      <c r="AT458" s="10" t="s">
        <v>223</v>
      </c>
      <c r="AU458" s="13" t="s">
        <v>200</v>
      </c>
      <c r="AW458" s="10" t="s">
        <v>775</v>
      </c>
    </row>
    <row r="459" spans="2:49" ht="17.25" customHeight="1">
      <c r="B459" s="7" t="s">
        <v>1059</v>
      </c>
      <c r="C459" s="3" t="s">
        <v>186</v>
      </c>
      <c r="D459" s="3" t="s">
        <v>223</v>
      </c>
      <c r="E459" s="10"/>
      <c r="F459" s="3" t="s">
        <v>428</v>
      </c>
      <c r="G459" s="3">
        <v>6.0000000000000001E-3</v>
      </c>
      <c r="H459" s="3">
        <f>0.025*0.025</f>
        <v>6.2500000000000012E-4</v>
      </c>
      <c r="I459" s="3" t="s">
        <v>341</v>
      </c>
      <c r="J459" s="3" t="s">
        <v>559</v>
      </c>
      <c r="K459" s="3" t="s">
        <v>558</v>
      </c>
      <c r="M459" s="3" t="s">
        <v>223</v>
      </c>
      <c r="N459" s="3" t="s">
        <v>4</v>
      </c>
      <c r="O459" s="3" t="s">
        <v>294</v>
      </c>
      <c r="P45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59" s="4">
        <v>58</v>
      </c>
      <c r="U459" s="4" t="s">
        <v>12</v>
      </c>
      <c r="W459" s="3" t="s">
        <v>13</v>
      </c>
      <c r="Y459" s="4">
        <v>89.04</v>
      </c>
      <c r="Z459" s="4">
        <v>90</v>
      </c>
      <c r="AA459" s="5">
        <f t="shared" ref="AA459:AA465" si="28">Y459/Z459</f>
        <v>0.9893333333333334</v>
      </c>
      <c r="AB459" s="5"/>
      <c r="AC45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59" s="97" t="str">
        <f>IF(Tabelle1[[#This Row],[Nicht einbezogen weil…]]="",IFERROR(1000*Tabelle1[[#This Row],[Formfaktor]]/Tabelle1[[#This Row],[Thickness '[mm']]],""),"")</f>
        <v/>
      </c>
      <c r="AE459" s="98" t="str">
        <f>IF(Tabelle1[[#This Row],[Nicht einbezogen weil…]]="",IFERROR(Tabelle1[[#This Row],[specific surface '[m^2/m^3']]]/Tabelle1[[#This Row],[Density 
'[g/cm3']]]/1000000,""),"")</f>
        <v/>
      </c>
      <c r="AF459" s="97" t="str">
        <f>IF(Tabelle1[[#This Row],[Nicht einbezogen weil…]]="",IFERROR(365*10*Tabelle1[[#This Row],[Abbaurate '[%/d']]]*Tabelle1[[#This Row],[Thickness '[mm']]]/Tabelle1[[#This Row],[Formfaktor]],""),"")</f>
        <v/>
      </c>
      <c r="AG459" s="99" t="str">
        <f>IF(OR(Tabelle1[[#This Row],[Nicht einbezogen weil…]]="",Tabelle1[[#This Row],[Nicht einbezogen weil…]]="nicht-natürlich"),IF(Tabelle1[[#This Row],[Formfaktor]]=2, 1,IF(Tabelle1[[#This Row],[Formfaktor]]=4,2,IF(Tabelle1[[#This Row],[Formfaktor]]=6,3,""))),"")</f>
        <v/>
      </c>
      <c r="AH45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5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59" s="71">
        <v>1</v>
      </c>
      <c r="AK45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459" s="3" t="s">
        <v>148</v>
      </c>
      <c r="AO459" s="3" t="s">
        <v>200</v>
      </c>
      <c r="AP459" s="3" t="s">
        <v>200</v>
      </c>
      <c r="AT459" s="10" t="s">
        <v>223</v>
      </c>
      <c r="AU459" s="13" t="s">
        <v>200</v>
      </c>
    </row>
    <row r="460" spans="2:49" ht="17.25" customHeight="1">
      <c r="B460" s="7" t="s">
        <v>165</v>
      </c>
      <c r="C460" s="3" t="s">
        <v>165</v>
      </c>
      <c r="D460" s="3" t="s">
        <v>223</v>
      </c>
      <c r="E460" s="10"/>
      <c r="F460" s="3" t="s">
        <v>288</v>
      </c>
      <c r="G460" s="3">
        <v>2</v>
      </c>
      <c r="H460" s="3">
        <f>0.018*0.059</f>
        <v>1.0619999999999998E-3</v>
      </c>
      <c r="I460" s="24">
        <v>0.90300000000000002</v>
      </c>
      <c r="J460" s="3" t="s">
        <v>714</v>
      </c>
      <c r="K460" s="8" t="s">
        <v>715</v>
      </c>
      <c r="M460" s="3" t="s">
        <v>223</v>
      </c>
      <c r="N460" s="3" t="s">
        <v>716</v>
      </c>
      <c r="O460" s="3" t="s">
        <v>569</v>
      </c>
      <c r="P46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60" s="4">
        <v>30</v>
      </c>
      <c r="S460" s="4">
        <v>60</v>
      </c>
      <c r="W460" s="3" t="s">
        <v>13</v>
      </c>
      <c r="Y460" s="4">
        <f>0.000107692/1.027253846</f>
        <v>1.0483484721847417E-4</v>
      </c>
      <c r="Z460" s="4">
        <f>500/24</f>
        <v>20.833333333333332</v>
      </c>
      <c r="AA460" s="5">
        <f t="shared" si="28"/>
        <v>5.0320726664867604E-6</v>
      </c>
      <c r="AB460" s="5"/>
      <c r="AC46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60" s="97" t="str">
        <f>IF(Tabelle1[[#This Row],[Nicht einbezogen weil…]]="",IFERROR(1000*Tabelle1[[#This Row],[Formfaktor]]/Tabelle1[[#This Row],[Thickness '[mm']]],""),"")</f>
        <v/>
      </c>
      <c r="AE460" s="98" t="str">
        <f>IF(Tabelle1[[#This Row],[Nicht einbezogen weil…]]="",IFERROR(Tabelle1[[#This Row],[specific surface '[m^2/m^3']]]/Tabelle1[[#This Row],[Density 
'[g/cm3']]]/1000000,""),"")</f>
        <v/>
      </c>
      <c r="AF460" s="97" t="str">
        <f>IF(Tabelle1[[#This Row],[Nicht einbezogen weil…]]="",IFERROR(365*10*Tabelle1[[#This Row],[Abbaurate '[%/d']]]*Tabelle1[[#This Row],[Thickness '[mm']]]/Tabelle1[[#This Row],[Formfaktor]],""),"")</f>
        <v/>
      </c>
      <c r="AG460" s="99" t="str">
        <f>IF(OR(Tabelle1[[#This Row],[Nicht einbezogen weil…]]="",Tabelle1[[#This Row],[Nicht einbezogen weil…]]="nicht-natürlich"),IF(Tabelle1[[#This Row],[Formfaktor]]=2, 1,IF(Tabelle1[[#This Row],[Formfaktor]]=4,2,IF(Tabelle1[[#This Row],[Formfaktor]]=6,3,""))),"")</f>
        <v/>
      </c>
      <c r="AH46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0" s="71">
        <v>1</v>
      </c>
      <c r="AK46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460" s="3" t="s">
        <v>391</v>
      </c>
      <c r="AM460" s="3" t="s">
        <v>977</v>
      </c>
      <c r="AN460" s="3" t="s">
        <v>538</v>
      </c>
      <c r="AO460" s="3" t="s">
        <v>200</v>
      </c>
      <c r="AP460" s="12" t="s">
        <v>223</v>
      </c>
      <c r="AT460" s="10" t="s">
        <v>223</v>
      </c>
      <c r="AU460" s="13" t="s">
        <v>200</v>
      </c>
      <c r="AV460" s="14"/>
      <c r="AW460" s="10" t="s">
        <v>775</v>
      </c>
    </row>
    <row r="461" spans="2:49" ht="17.25" customHeight="1">
      <c r="B461" s="7" t="s">
        <v>18</v>
      </c>
      <c r="C461" s="3" t="s">
        <v>625</v>
      </c>
      <c r="D461" s="3" t="s">
        <v>200</v>
      </c>
      <c r="E461" s="10" t="s">
        <v>205</v>
      </c>
      <c r="F461" s="3" t="s">
        <v>198</v>
      </c>
      <c r="G461" s="3">
        <v>0.1</v>
      </c>
      <c r="H461" s="3" t="s">
        <v>341</v>
      </c>
      <c r="I461" s="77">
        <v>1.26</v>
      </c>
      <c r="L461" s="3" t="s">
        <v>200</v>
      </c>
      <c r="M461" s="3" t="s">
        <v>223</v>
      </c>
      <c r="N461" s="3" t="s">
        <v>623</v>
      </c>
      <c r="O461" s="3" t="s">
        <v>622</v>
      </c>
      <c r="P46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61" s="4" t="s">
        <v>39</v>
      </c>
      <c r="W461" s="3" t="s">
        <v>13</v>
      </c>
      <c r="Y461" s="4">
        <v>5</v>
      </c>
      <c r="Z461" s="4">
        <v>18</v>
      </c>
      <c r="AA461" s="5">
        <f t="shared" si="28"/>
        <v>0.27777777777777779</v>
      </c>
      <c r="AB461" s="5"/>
      <c r="AC46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61" s="97" t="str">
        <f>IF(Tabelle1[[#This Row],[Nicht einbezogen weil…]]="",IFERROR(1000*Tabelle1[[#This Row],[Formfaktor]]/Tabelle1[[#This Row],[Thickness '[mm']]],""),"")</f>
        <v/>
      </c>
      <c r="AE461" s="98" t="str">
        <f>IF(Tabelle1[[#This Row],[Nicht einbezogen weil…]]="",IFERROR(Tabelle1[[#This Row],[specific surface '[m^2/m^3']]]/Tabelle1[[#This Row],[Density 
'[g/cm3']]]/1000000,""),"")</f>
        <v/>
      </c>
      <c r="AF461" s="97" t="str">
        <f>IF(Tabelle1[[#This Row],[Nicht einbezogen weil…]]="",IFERROR(365*10*Tabelle1[[#This Row],[Abbaurate '[%/d']]]*Tabelle1[[#This Row],[Thickness '[mm']]]/Tabelle1[[#This Row],[Formfaktor]],""),"")</f>
        <v/>
      </c>
      <c r="AG461" s="99" t="str">
        <f>IF(OR(Tabelle1[[#This Row],[Nicht einbezogen weil…]]="",Tabelle1[[#This Row],[Nicht einbezogen weil…]]="nicht-natürlich"),IF(Tabelle1[[#This Row],[Formfaktor]]=2, 1,IF(Tabelle1[[#This Row],[Formfaktor]]=4,2,IF(Tabelle1[[#This Row],[Formfaktor]]=6,3,""))),"")</f>
        <v/>
      </c>
      <c r="AH46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1" s="71">
        <v>1</v>
      </c>
      <c r="AK46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61" s="3" t="s">
        <v>395</v>
      </c>
      <c r="AN461" s="3" t="s">
        <v>538</v>
      </c>
      <c r="AO461" s="3" t="s">
        <v>200</v>
      </c>
      <c r="AP461" s="3" t="s">
        <v>200</v>
      </c>
      <c r="AU461" s="13" t="s">
        <v>200</v>
      </c>
      <c r="AW461" s="10" t="s">
        <v>813</v>
      </c>
    </row>
    <row r="462" spans="2:49" ht="17.25" customHeight="1">
      <c r="B462" s="7" t="s">
        <v>18</v>
      </c>
      <c r="C462" s="3" t="s">
        <v>18</v>
      </c>
      <c r="D462" s="3" t="s">
        <v>200</v>
      </c>
      <c r="E462" s="10" t="s">
        <v>205</v>
      </c>
      <c r="F462" s="3" t="s">
        <v>198</v>
      </c>
      <c r="G462" s="3">
        <v>0.1</v>
      </c>
      <c r="H462" s="3" t="s">
        <v>341</v>
      </c>
      <c r="I462" s="77">
        <v>1.26</v>
      </c>
      <c r="L462" s="3" t="s">
        <v>200</v>
      </c>
      <c r="M462" s="3" t="s">
        <v>223</v>
      </c>
      <c r="N462" s="3" t="s">
        <v>623</v>
      </c>
      <c r="O462" s="3" t="s">
        <v>622</v>
      </c>
      <c r="P46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62" s="4" t="s">
        <v>39</v>
      </c>
      <c r="W462" s="3" t="s">
        <v>13</v>
      </c>
      <c r="Y462" s="4">
        <v>20</v>
      </c>
      <c r="Z462" s="4">
        <v>18</v>
      </c>
      <c r="AA462" s="5">
        <f t="shared" si="28"/>
        <v>1.1111111111111112</v>
      </c>
      <c r="AB462" s="5"/>
      <c r="AC46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62" s="97" t="str">
        <f>IF(Tabelle1[[#This Row],[Nicht einbezogen weil…]]="",IFERROR(1000*Tabelle1[[#This Row],[Formfaktor]]/Tabelle1[[#This Row],[Thickness '[mm']]],""),"")</f>
        <v/>
      </c>
      <c r="AE462" s="98" t="str">
        <f>IF(Tabelle1[[#This Row],[Nicht einbezogen weil…]]="",IFERROR(Tabelle1[[#This Row],[specific surface '[m^2/m^3']]]/Tabelle1[[#This Row],[Density 
'[g/cm3']]]/1000000,""),"")</f>
        <v/>
      </c>
      <c r="AF462" s="97" t="str">
        <f>IF(Tabelle1[[#This Row],[Nicht einbezogen weil…]]="",IFERROR(365*10*Tabelle1[[#This Row],[Abbaurate '[%/d']]]*Tabelle1[[#This Row],[Thickness '[mm']]]/Tabelle1[[#This Row],[Formfaktor]],""),"")</f>
        <v/>
      </c>
      <c r="AG462" s="99" t="str">
        <f>IF(OR(Tabelle1[[#This Row],[Nicht einbezogen weil…]]="",Tabelle1[[#This Row],[Nicht einbezogen weil…]]="nicht-natürlich"),IF(Tabelle1[[#This Row],[Formfaktor]]=2, 1,IF(Tabelle1[[#This Row],[Formfaktor]]=4,2,IF(Tabelle1[[#This Row],[Formfaktor]]=6,3,""))),"")</f>
        <v/>
      </c>
      <c r="AH46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2" s="71">
        <v>1</v>
      </c>
      <c r="AK46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62" s="3" t="s">
        <v>395</v>
      </c>
      <c r="AN462" s="3" t="s">
        <v>538</v>
      </c>
      <c r="AO462" s="3" t="s">
        <v>200</v>
      </c>
      <c r="AP462" s="3" t="s">
        <v>200</v>
      </c>
      <c r="AU462" s="13" t="s">
        <v>200</v>
      </c>
      <c r="AW462" s="10" t="s">
        <v>813</v>
      </c>
    </row>
    <row r="463" spans="2:49" ht="17.25" customHeight="1">
      <c r="B463" s="7" t="s">
        <v>798</v>
      </c>
      <c r="C463" s="3" t="s">
        <v>624</v>
      </c>
      <c r="D463" s="3" t="s">
        <v>200</v>
      </c>
      <c r="E463" s="10" t="s">
        <v>1127</v>
      </c>
      <c r="F463" s="3" t="s">
        <v>198</v>
      </c>
      <c r="G463" s="3">
        <v>0.1</v>
      </c>
      <c r="H463" s="3" t="s">
        <v>341</v>
      </c>
      <c r="I463" s="77">
        <v>1.26</v>
      </c>
      <c r="L463" s="3" t="s">
        <v>200</v>
      </c>
      <c r="M463" s="3" t="s">
        <v>223</v>
      </c>
      <c r="N463" s="3" t="s">
        <v>623</v>
      </c>
      <c r="O463" s="3" t="s">
        <v>622</v>
      </c>
      <c r="P46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63" s="4" t="s">
        <v>39</v>
      </c>
      <c r="W463" s="3" t="s">
        <v>13</v>
      </c>
      <c r="Y463" s="4">
        <v>40</v>
      </c>
      <c r="Z463" s="4">
        <v>18</v>
      </c>
      <c r="AA463" s="5">
        <f t="shared" si="28"/>
        <v>2.2222222222222223</v>
      </c>
      <c r="AB463" s="5"/>
      <c r="AC46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63" s="97" t="str">
        <f>IF(Tabelle1[[#This Row],[Nicht einbezogen weil…]]="",IFERROR(1000*Tabelle1[[#This Row],[Formfaktor]]/Tabelle1[[#This Row],[Thickness '[mm']]],""),"")</f>
        <v/>
      </c>
      <c r="AE463" s="98" t="str">
        <f>IF(Tabelle1[[#This Row],[Nicht einbezogen weil…]]="",IFERROR(Tabelle1[[#This Row],[specific surface '[m^2/m^3']]]/Tabelle1[[#This Row],[Density 
'[g/cm3']]]/1000000,""),"")</f>
        <v/>
      </c>
      <c r="AF463" s="97" t="str">
        <f>IF(Tabelle1[[#This Row],[Nicht einbezogen weil…]]="",IFERROR(365*10*Tabelle1[[#This Row],[Abbaurate '[%/d']]]*Tabelle1[[#This Row],[Thickness '[mm']]]/Tabelle1[[#This Row],[Formfaktor]],""),"")</f>
        <v/>
      </c>
      <c r="AG463" s="99" t="str">
        <f>IF(OR(Tabelle1[[#This Row],[Nicht einbezogen weil…]]="",Tabelle1[[#This Row],[Nicht einbezogen weil…]]="nicht-natürlich"),IF(Tabelle1[[#This Row],[Formfaktor]]=2, 1,IF(Tabelle1[[#This Row],[Formfaktor]]=4,2,IF(Tabelle1[[#This Row],[Formfaktor]]=6,3,""))),"")</f>
        <v/>
      </c>
      <c r="AH46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3" s="71">
        <v>1</v>
      </c>
      <c r="AK46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63" s="3" t="s">
        <v>395</v>
      </c>
      <c r="AN463" s="3" t="s">
        <v>538</v>
      </c>
      <c r="AO463" s="3" t="s">
        <v>200</v>
      </c>
      <c r="AP463" s="3" t="s">
        <v>200</v>
      </c>
      <c r="AU463" s="13" t="s">
        <v>200</v>
      </c>
      <c r="AW463" s="10" t="s">
        <v>814</v>
      </c>
    </row>
    <row r="464" spans="2:49" ht="17.25" customHeight="1">
      <c r="B464" s="7" t="s">
        <v>792</v>
      </c>
      <c r="C464" s="3" t="s">
        <v>410</v>
      </c>
      <c r="D464" s="3" t="s">
        <v>200</v>
      </c>
      <c r="E464" s="10" t="s">
        <v>1127</v>
      </c>
      <c r="F464" s="3" t="s">
        <v>288</v>
      </c>
      <c r="G464" s="3">
        <v>0.37</v>
      </c>
      <c r="H464" s="3">
        <f>0.01*0.01</f>
        <v>1E-4</v>
      </c>
      <c r="I464" s="24">
        <v>0.90300000000000002</v>
      </c>
      <c r="J464" s="3" t="s">
        <v>412</v>
      </c>
      <c r="K464" s="8" t="s">
        <v>421</v>
      </c>
      <c r="M464" s="3" t="s">
        <v>223</v>
      </c>
      <c r="N464" s="3" t="s">
        <v>325</v>
      </c>
      <c r="O464" s="3" t="s">
        <v>358</v>
      </c>
      <c r="P46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464" s="4">
        <v>7.43</v>
      </c>
      <c r="U464" s="4" t="s">
        <v>12</v>
      </c>
      <c r="W464" s="3" t="s">
        <v>90</v>
      </c>
      <c r="Y464" s="346">
        <v>1</v>
      </c>
      <c r="Z464" s="4">
        <v>660</v>
      </c>
      <c r="AA464" s="5">
        <f t="shared" si="28"/>
        <v>1.5151515151515152E-3</v>
      </c>
      <c r="AB464" s="5"/>
      <c r="AC46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64" s="97" t="str">
        <f>IF(Tabelle1[[#This Row],[Nicht einbezogen weil…]]="",IFERROR(1000*Tabelle1[[#This Row],[Formfaktor]]/Tabelle1[[#This Row],[Thickness '[mm']]],""),"")</f>
        <v/>
      </c>
      <c r="AE464" s="98" t="str">
        <f>IF(Tabelle1[[#This Row],[Nicht einbezogen weil…]]="",IFERROR(Tabelle1[[#This Row],[specific surface '[m^2/m^3']]]/Tabelle1[[#This Row],[Density 
'[g/cm3']]]/1000000,""),"")</f>
        <v/>
      </c>
      <c r="AF464" s="97" t="str">
        <f>IF(Tabelle1[[#This Row],[Nicht einbezogen weil…]]="",IFERROR(365*10*Tabelle1[[#This Row],[Abbaurate '[%/d']]]*Tabelle1[[#This Row],[Thickness '[mm']]]/Tabelle1[[#This Row],[Formfaktor]],""),"")</f>
        <v/>
      </c>
      <c r="AG464" s="99" t="str">
        <f>IF(OR(Tabelle1[[#This Row],[Nicht einbezogen weil…]]="",Tabelle1[[#This Row],[Nicht einbezogen weil…]]="nicht-natürlich"),IF(Tabelle1[[#This Row],[Formfaktor]]=2, 1,IF(Tabelle1[[#This Row],[Formfaktor]]=4,2,IF(Tabelle1[[#This Row],[Formfaktor]]=6,3,""))),"")</f>
        <v/>
      </c>
      <c r="AH46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4" s="71">
        <v>1</v>
      </c>
      <c r="AK46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64" s="3" t="s">
        <v>145</v>
      </c>
      <c r="AM464" s="3" t="s">
        <v>962</v>
      </c>
      <c r="AN464" s="3" t="s">
        <v>538</v>
      </c>
      <c r="AO464" s="3" t="s">
        <v>200</v>
      </c>
      <c r="AP464" s="3" t="s">
        <v>200</v>
      </c>
      <c r="AT464" s="10" t="s">
        <v>223</v>
      </c>
      <c r="AU464" s="13" t="s">
        <v>200</v>
      </c>
      <c r="AW464" s="10" t="s">
        <v>775</v>
      </c>
    </row>
    <row r="465" spans="2:49" ht="17.25" customHeight="1">
      <c r="B465" s="7" t="s">
        <v>792</v>
      </c>
      <c r="C465" s="3" t="s">
        <v>410</v>
      </c>
      <c r="D465" s="3" t="s">
        <v>200</v>
      </c>
      <c r="E465" s="10" t="s">
        <v>1127</v>
      </c>
      <c r="F465" s="3" t="s">
        <v>288</v>
      </c>
      <c r="G465" s="3">
        <v>0.37</v>
      </c>
      <c r="H465" s="3">
        <f>0.01*0.01</f>
        <v>1E-4</v>
      </c>
      <c r="I465" s="24">
        <v>0.90300000000000002</v>
      </c>
      <c r="J465" s="3" t="s">
        <v>412</v>
      </c>
      <c r="M465" s="3" t="s">
        <v>223</v>
      </c>
      <c r="N465" s="3" t="s">
        <v>423</v>
      </c>
      <c r="O465" s="3" t="s">
        <v>358</v>
      </c>
      <c r="P46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65" s="4">
        <v>37</v>
      </c>
      <c r="R465" s="4">
        <v>8.3000000000000007</v>
      </c>
      <c r="U465" s="4" t="s">
        <v>89</v>
      </c>
      <c r="W465" s="3" t="s">
        <v>90</v>
      </c>
      <c r="Y465" s="4">
        <v>3.1</v>
      </c>
      <c r="Z465" s="4">
        <v>50</v>
      </c>
      <c r="AA465" s="5">
        <f t="shared" si="28"/>
        <v>6.2E-2</v>
      </c>
      <c r="AB465" s="5"/>
      <c r="AC46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65" s="97" t="str">
        <f>IF(Tabelle1[[#This Row],[Nicht einbezogen weil…]]="",IFERROR(1000*Tabelle1[[#This Row],[Formfaktor]]/Tabelle1[[#This Row],[Thickness '[mm']]],""),"")</f>
        <v/>
      </c>
      <c r="AE465" s="98" t="str">
        <f>IF(Tabelle1[[#This Row],[Nicht einbezogen weil…]]="",IFERROR(Tabelle1[[#This Row],[specific surface '[m^2/m^3']]]/Tabelle1[[#This Row],[Density 
'[g/cm3']]]/1000000,""),"")</f>
        <v/>
      </c>
      <c r="AF465" s="97" t="str">
        <f>IF(Tabelle1[[#This Row],[Nicht einbezogen weil…]]="",IFERROR(365*10*Tabelle1[[#This Row],[Abbaurate '[%/d']]]*Tabelle1[[#This Row],[Thickness '[mm']]]/Tabelle1[[#This Row],[Formfaktor]],""),"")</f>
        <v/>
      </c>
      <c r="AG465" s="99" t="str">
        <f>IF(OR(Tabelle1[[#This Row],[Nicht einbezogen weil…]]="",Tabelle1[[#This Row],[Nicht einbezogen weil…]]="nicht-natürlich"),IF(Tabelle1[[#This Row],[Formfaktor]]=2, 1,IF(Tabelle1[[#This Row],[Formfaktor]]=4,2,IF(Tabelle1[[#This Row],[Formfaktor]]=6,3,""))),"")</f>
        <v/>
      </c>
      <c r="AH46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5" s="71">
        <v>1</v>
      </c>
      <c r="AK46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65" s="3" t="s">
        <v>145</v>
      </c>
      <c r="AM465" s="3" t="s">
        <v>962</v>
      </c>
      <c r="AN465" s="3" t="s">
        <v>538</v>
      </c>
      <c r="AO465" s="3" t="s">
        <v>200</v>
      </c>
      <c r="AP465" s="3" t="s">
        <v>200</v>
      </c>
      <c r="AT465" s="10" t="s">
        <v>223</v>
      </c>
      <c r="AU465" s="13" t="s">
        <v>200</v>
      </c>
      <c r="AW465" s="10" t="s">
        <v>775</v>
      </c>
    </row>
    <row r="466" spans="2:49" ht="17.25" customHeight="1">
      <c r="B466" s="7" t="s">
        <v>792</v>
      </c>
      <c r="C466" s="3" t="s">
        <v>417</v>
      </c>
      <c r="D466" s="3" t="s">
        <v>200</v>
      </c>
      <c r="E466" s="10" t="s">
        <v>1127</v>
      </c>
      <c r="F466" s="3" t="s">
        <v>288</v>
      </c>
      <c r="G466" s="3">
        <v>0.48</v>
      </c>
      <c r="H466" s="3">
        <f>0.01*0.01</f>
        <v>1E-4</v>
      </c>
      <c r="I466" s="24">
        <v>0.90300000000000002</v>
      </c>
      <c r="J466" s="3" t="s">
        <v>416</v>
      </c>
      <c r="K466" s="8" t="s">
        <v>421</v>
      </c>
      <c r="M466" s="3" t="s">
        <v>223</v>
      </c>
      <c r="N466" s="3" t="s">
        <v>325</v>
      </c>
      <c r="O466" s="3" t="s">
        <v>358</v>
      </c>
      <c r="P46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466" s="4">
        <v>7.43</v>
      </c>
      <c r="U466" s="4" t="s">
        <v>12</v>
      </c>
      <c r="W466" s="3" t="s">
        <v>90</v>
      </c>
      <c r="Y466" s="4">
        <v>31.3</v>
      </c>
      <c r="Z466" s="4">
        <v>660</v>
      </c>
      <c r="AA466" s="5">
        <v>0</v>
      </c>
      <c r="AB466" s="5"/>
      <c r="AC46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66" s="97" t="str">
        <f>IF(Tabelle1[[#This Row],[Nicht einbezogen weil…]]="",IFERROR(1000*Tabelle1[[#This Row],[Formfaktor]]/Tabelle1[[#This Row],[Thickness '[mm']]],""),"")</f>
        <v/>
      </c>
      <c r="AE466" s="98" t="str">
        <f>IF(Tabelle1[[#This Row],[Nicht einbezogen weil…]]="",IFERROR(Tabelle1[[#This Row],[specific surface '[m^2/m^3']]]/Tabelle1[[#This Row],[Density 
'[g/cm3']]]/1000000,""),"")</f>
        <v/>
      </c>
      <c r="AF466" s="97" t="str">
        <f>IF(Tabelle1[[#This Row],[Nicht einbezogen weil…]]="",IFERROR(365*10*Tabelle1[[#This Row],[Abbaurate '[%/d']]]*Tabelle1[[#This Row],[Thickness '[mm']]]/Tabelle1[[#This Row],[Formfaktor]],""),"")</f>
        <v/>
      </c>
      <c r="AG466" s="99" t="str">
        <f>IF(OR(Tabelle1[[#This Row],[Nicht einbezogen weil…]]="",Tabelle1[[#This Row],[Nicht einbezogen weil…]]="nicht-natürlich"),IF(Tabelle1[[#This Row],[Formfaktor]]=2, 1,IF(Tabelle1[[#This Row],[Formfaktor]]=4,2,IF(Tabelle1[[#This Row],[Formfaktor]]=6,3,""))),"")</f>
        <v/>
      </c>
      <c r="AH46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6" s="71">
        <v>1</v>
      </c>
      <c r="AK46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66" s="3" t="s">
        <v>145</v>
      </c>
      <c r="AM466" s="3" t="s">
        <v>962</v>
      </c>
      <c r="AN466" s="3" t="s">
        <v>538</v>
      </c>
      <c r="AO466" s="3" t="s">
        <v>200</v>
      </c>
      <c r="AP466" s="3" t="s">
        <v>200</v>
      </c>
      <c r="AT466" s="10" t="s">
        <v>223</v>
      </c>
      <c r="AU466" s="13" t="s">
        <v>200</v>
      </c>
      <c r="AW466" s="10" t="s">
        <v>775</v>
      </c>
    </row>
    <row r="467" spans="2:49" ht="17.25" customHeight="1">
      <c r="B467" s="7" t="s">
        <v>792</v>
      </c>
      <c r="C467" s="3" t="s">
        <v>417</v>
      </c>
      <c r="D467" s="3" t="s">
        <v>200</v>
      </c>
      <c r="E467" s="10" t="s">
        <v>1127</v>
      </c>
      <c r="F467" s="3" t="s">
        <v>288</v>
      </c>
      <c r="G467" s="3">
        <v>0.48</v>
      </c>
      <c r="H467" s="3">
        <f>0.01*0.01</f>
        <v>1E-4</v>
      </c>
      <c r="I467" s="24">
        <v>0.90300000000000002</v>
      </c>
      <c r="J467" s="3" t="s">
        <v>416</v>
      </c>
      <c r="K467" s="8" t="s">
        <v>422</v>
      </c>
      <c r="M467" s="3" t="s">
        <v>223</v>
      </c>
      <c r="N467" s="3" t="s">
        <v>323</v>
      </c>
      <c r="O467" s="3" t="s">
        <v>358</v>
      </c>
      <c r="P46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67" s="4">
        <v>55</v>
      </c>
      <c r="R467" s="4">
        <v>7.95</v>
      </c>
      <c r="T467" s="4">
        <v>60</v>
      </c>
      <c r="U467" s="4" t="s">
        <v>12</v>
      </c>
      <c r="V467" s="4" t="s">
        <v>424</v>
      </c>
      <c r="W467" s="3" t="s">
        <v>90</v>
      </c>
      <c r="Y467" s="4">
        <v>51.3</v>
      </c>
      <c r="Z467" s="4">
        <v>115</v>
      </c>
      <c r="AA467" s="5">
        <v>0</v>
      </c>
      <c r="AB467" s="5"/>
      <c r="AC46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67" s="97" t="str">
        <f>IF(Tabelle1[[#This Row],[Nicht einbezogen weil…]]="",IFERROR(1000*Tabelle1[[#This Row],[Formfaktor]]/Tabelle1[[#This Row],[Thickness '[mm']]],""),"")</f>
        <v/>
      </c>
      <c r="AE467" s="98" t="str">
        <f>IF(Tabelle1[[#This Row],[Nicht einbezogen weil…]]="",IFERROR(Tabelle1[[#This Row],[specific surface '[m^2/m^3']]]/Tabelle1[[#This Row],[Density 
'[g/cm3']]]/1000000,""),"")</f>
        <v/>
      </c>
      <c r="AF467" s="97" t="str">
        <f>IF(Tabelle1[[#This Row],[Nicht einbezogen weil…]]="",IFERROR(365*10*Tabelle1[[#This Row],[Abbaurate '[%/d']]]*Tabelle1[[#This Row],[Thickness '[mm']]]/Tabelle1[[#This Row],[Formfaktor]],""),"")</f>
        <v/>
      </c>
      <c r="AG467" s="99" t="str">
        <f>IF(OR(Tabelle1[[#This Row],[Nicht einbezogen weil…]]="",Tabelle1[[#This Row],[Nicht einbezogen weil…]]="nicht-natürlich"),IF(Tabelle1[[#This Row],[Formfaktor]]=2, 1,IF(Tabelle1[[#This Row],[Formfaktor]]=4,2,IF(Tabelle1[[#This Row],[Formfaktor]]=6,3,""))),"")</f>
        <v/>
      </c>
      <c r="AH46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7" s="71">
        <v>1</v>
      </c>
      <c r="AK46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67" s="3" t="s">
        <v>145</v>
      </c>
      <c r="AM467" s="3" t="s">
        <v>962</v>
      </c>
      <c r="AN467" s="3" t="s">
        <v>538</v>
      </c>
      <c r="AO467" s="3" t="s">
        <v>200</v>
      </c>
      <c r="AP467" s="3" t="s">
        <v>200</v>
      </c>
      <c r="AT467" s="10" t="s">
        <v>223</v>
      </c>
      <c r="AU467" s="13" t="s">
        <v>200</v>
      </c>
      <c r="AW467" s="10" t="s">
        <v>775</v>
      </c>
    </row>
    <row r="468" spans="2:49" ht="17.25" customHeight="1">
      <c r="B468" s="7" t="s">
        <v>792</v>
      </c>
      <c r="C468" s="3" t="s">
        <v>417</v>
      </c>
      <c r="D468" s="3" t="s">
        <v>200</v>
      </c>
      <c r="E468" s="10" t="s">
        <v>1127</v>
      </c>
      <c r="F468" s="3" t="s">
        <v>288</v>
      </c>
      <c r="G468" s="3">
        <v>0.48</v>
      </c>
      <c r="H468" s="3">
        <f>0.01*0.01</f>
        <v>1E-4</v>
      </c>
      <c r="I468" s="24">
        <v>0.90300000000000002</v>
      </c>
      <c r="J468" s="3" t="s">
        <v>416</v>
      </c>
      <c r="M468" s="3" t="s">
        <v>223</v>
      </c>
      <c r="N468" s="3" t="s">
        <v>423</v>
      </c>
      <c r="O468" s="3" t="s">
        <v>358</v>
      </c>
      <c r="P46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68" s="4">
        <v>37</v>
      </c>
      <c r="R468" s="4">
        <v>8.3000000000000007</v>
      </c>
      <c r="U468" s="4" t="s">
        <v>89</v>
      </c>
      <c r="W468" s="3" t="s">
        <v>90</v>
      </c>
      <c r="Y468" s="4">
        <v>26.4</v>
      </c>
      <c r="Z468" s="4">
        <v>50</v>
      </c>
      <c r="AA468" s="5">
        <v>0</v>
      </c>
      <c r="AB468" s="5"/>
      <c r="AC46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68" s="97" t="str">
        <f>IF(Tabelle1[[#This Row],[Nicht einbezogen weil…]]="",IFERROR(1000*Tabelle1[[#This Row],[Formfaktor]]/Tabelle1[[#This Row],[Thickness '[mm']]],""),"")</f>
        <v/>
      </c>
      <c r="AE468" s="98" t="str">
        <f>IF(Tabelle1[[#This Row],[Nicht einbezogen weil…]]="",IFERROR(Tabelle1[[#This Row],[specific surface '[m^2/m^3']]]/Tabelle1[[#This Row],[Density 
'[g/cm3']]]/1000000,""),"")</f>
        <v/>
      </c>
      <c r="AF468" s="97" t="str">
        <f>IF(Tabelle1[[#This Row],[Nicht einbezogen weil…]]="",IFERROR(365*10*Tabelle1[[#This Row],[Abbaurate '[%/d']]]*Tabelle1[[#This Row],[Thickness '[mm']]]/Tabelle1[[#This Row],[Formfaktor]],""),"")</f>
        <v/>
      </c>
      <c r="AG468" s="99" t="str">
        <f>IF(OR(Tabelle1[[#This Row],[Nicht einbezogen weil…]]="",Tabelle1[[#This Row],[Nicht einbezogen weil…]]="nicht-natürlich"),IF(Tabelle1[[#This Row],[Formfaktor]]=2, 1,IF(Tabelle1[[#This Row],[Formfaktor]]=4,2,IF(Tabelle1[[#This Row],[Formfaktor]]=6,3,""))),"")</f>
        <v/>
      </c>
      <c r="AH46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8" s="71">
        <v>1</v>
      </c>
      <c r="AK46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68" s="3" t="s">
        <v>145</v>
      </c>
      <c r="AM468" s="3" t="s">
        <v>962</v>
      </c>
      <c r="AN468" s="3" t="s">
        <v>538</v>
      </c>
      <c r="AO468" s="3" t="s">
        <v>200</v>
      </c>
      <c r="AP468" s="3" t="s">
        <v>200</v>
      </c>
      <c r="AT468" s="10" t="s">
        <v>223</v>
      </c>
      <c r="AU468" s="13" t="s">
        <v>200</v>
      </c>
      <c r="AW468" s="10" t="s">
        <v>775</v>
      </c>
    </row>
    <row r="469" spans="2:49" ht="17.25" customHeight="1">
      <c r="B469" s="11" t="s">
        <v>653</v>
      </c>
      <c r="C469" s="3" t="s">
        <v>651</v>
      </c>
      <c r="D469" s="3" t="s">
        <v>223</v>
      </c>
      <c r="E469" s="10"/>
      <c r="F469" s="74" t="s">
        <v>341</v>
      </c>
      <c r="G469" s="74" t="s">
        <v>341</v>
      </c>
      <c r="H469" s="74" t="s">
        <v>341</v>
      </c>
      <c r="I469" s="24">
        <v>0.90300000000000002</v>
      </c>
      <c r="M469" s="3" t="s">
        <v>223</v>
      </c>
      <c r="N469" s="3" t="s">
        <v>655</v>
      </c>
      <c r="O469" s="3" t="s">
        <v>294</v>
      </c>
      <c r="P46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69" s="4">
        <v>30</v>
      </c>
      <c r="U469" s="4" t="s">
        <v>12</v>
      </c>
      <c r="W469" s="3" t="s">
        <v>190</v>
      </c>
      <c r="Y469" s="4">
        <v>3.38</v>
      </c>
      <c r="Z469" s="4">
        <v>14</v>
      </c>
      <c r="AA469" s="5">
        <f t="shared" ref="AA469:AA483" si="29">Y469/Z469</f>
        <v>0.24142857142857141</v>
      </c>
      <c r="AB469" s="5"/>
      <c r="AC469"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69" s="97" t="str">
        <f>IF(Tabelle1[[#This Row],[Nicht einbezogen weil…]]="",IFERROR(1000*Tabelle1[[#This Row],[Formfaktor]]/Tabelle1[[#This Row],[Thickness '[mm']]],""),"")</f>
        <v/>
      </c>
      <c r="AE469" s="98" t="str">
        <f>IF(Tabelle1[[#This Row],[Nicht einbezogen weil…]]="",IFERROR(Tabelle1[[#This Row],[specific surface '[m^2/m^3']]]/Tabelle1[[#This Row],[Density 
'[g/cm3']]]/1000000,""),"")</f>
        <v/>
      </c>
      <c r="AF469" s="97" t="str">
        <f>IF(Tabelle1[[#This Row],[Nicht einbezogen weil…]]="",IFERROR(365*10*Tabelle1[[#This Row],[Abbaurate '[%/d']]]*Tabelle1[[#This Row],[Thickness '[mm']]]/Tabelle1[[#This Row],[Formfaktor]],""),"")</f>
        <v/>
      </c>
      <c r="AG469" s="99" t="str">
        <f>IF(OR(Tabelle1[[#This Row],[Nicht einbezogen weil…]]="",Tabelle1[[#This Row],[Nicht einbezogen weil…]]="nicht-natürlich"),IF(Tabelle1[[#This Row],[Formfaktor]]=2, 1,IF(Tabelle1[[#This Row],[Formfaktor]]=4,2,IF(Tabelle1[[#This Row],[Formfaktor]]=6,3,""))),"")</f>
        <v/>
      </c>
      <c r="AH46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6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69" s="71">
        <v>1</v>
      </c>
      <c r="AK46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469" s="3" t="s">
        <v>386</v>
      </c>
      <c r="AM469" s="3" t="s">
        <v>962</v>
      </c>
      <c r="AN469" s="3" t="s">
        <v>538</v>
      </c>
      <c r="AO469" s="3" t="s">
        <v>200</v>
      </c>
      <c r="AP469" s="3" t="s">
        <v>200</v>
      </c>
      <c r="AT469" s="10" t="s">
        <v>223</v>
      </c>
      <c r="AU469" s="13" t="s">
        <v>200</v>
      </c>
      <c r="AW469" s="10" t="s">
        <v>775</v>
      </c>
    </row>
    <row r="470" spans="2:49" ht="17.25" customHeight="1">
      <c r="B470" s="7" t="s">
        <v>781</v>
      </c>
      <c r="C470" s="3" t="s">
        <v>524</v>
      </c>
      <c r="D470" s="3" t="s">
        <v>200</v>
      </c>
      <c r="E470" s="10" t="s">
        <v>1127</v>
      </c>
      <c r="F470" s="12" t="s">
        <v>288</v>
      </c>
      <c r="G470" s="12">
        <v>0.05</v>
      </c>
      <c r="H470" s="12">
        <f>0.15*0.02</f>
        <v>3.0000000000000001E-3</v>
      </c>
      <c r="I470" s="24">
        <v>0.94950000000000001</v>
      </c>
      <c r="J470" s="3" t="s">
        <v>522</v>
      </c>
      <c r="M470" s="3" t="s">
        <v>200</v>
      </c>
      <c r="N470" s="3" t="s">
        <v>263</v>
      </c>
      <c r="O470" s="3" t="s">
        <v>263</v>
      </c>
      <c r="P47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470" s="4" t="s">
        <v>12</v>
      </c>
      <c r="W470" s="3" t="s">
        <v>13</v>
      </c>
      <c r="Y470" s="4">
        <v>22.7</v>
      </c>
      <c r="Z470" s="4">
        <v>150</v>
      </c>
      <c r="AA470" s="5">
        <f t="shared" si="29"/>
        <v>0.15133333333333332</v>
      </c>
      <c r="AB470" s="5"/>
      <c r="AC47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70" s="97" t="str">
        <f>IF(Tabelle1[[#This Row],[Nicht einbezogen weil…]]="",IFERROR(1000*Tabelle1[[#This Row],[Formfaktor]]/Tabelle1[[#This Row],[Thickness '[mm']]],""),"")</f>
        <v/>
      </c>
      <c r="AE470" s="98" t="str">
        <f>IF(Tabelle1[[#This Row],[Nicht einbezogen weil…]]="",IFERROR(Tabelle1[[#This Row],[specific surface '[m^2/m^3']]]/Tabelle1[[#This Row],[Density 
'[g/cm3']]]/1000000,""),"")</f>
        <v/>
      </c>
      <c r="AF470" s="97" t="str">
        <f>IF(Tabelle1[[#This Row],[Nicht einbezogen weil…]]="",IFERROR(365*10*Tabelle1[[#This Row],[Abbaurate '[%/d']]]*Tabelle1[[#This Row],[Thickness '[mm']]]/Tabelle1[[#This Row],[Formfaktor]],""),"")</f>
        <v/>
      </c>
      <c r="AG470" s="99" t="str">
        <f>IF(OR(Tabelle1[[#This Row],[Nicht einbezogen weil…]]="",Tabelle1[[#This Row],[Nicht einbezogen weil…]]="nicht-natürlich"),IF(Tabelle1[[#This Row],[Formfaktor]]=2, 1,IF(Tabelle1[[#This Row],[Formfaktor]]=4,2,IF(Tabelle1[[#This Row],[Formfaktor]]=6,3,""))),"")</f>
        <v/>
      </c>
      <c r="AH47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0" s="71">
        <v>1</v>
      </c>
      <c r="AK47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70" s="3" t="s">
        <v>261</v>
      </c>
      <c r="AM470" s="3" t="s">
        <v>967</v>
      </c>
      <c r="AO470" s="3" t="s">
        <v>200</v>
      </c>
      <c r="AP470" s="3" t="s">
        <v>200</v>
      </c>
      <c r="AQ470" s="3" t="s">
        <v>200</v>
      </c>
      <c r="AR470" s="2" t="s">
        <v>262</v>
      </c>
      <c r="AS470" s="2" t="s">
        <v>262</v>
      </c>
      <c r="AT470" s="10" t="s">
        <v>200</v>
      </c>
      <c r="AU470" s="13" t="s">
        <v>200</v>
      </c>
      <c r="AW470" s="10" t="s">
        <v>796</v>
      </c>
    </row>
    <row r="471" spans="2:49" ht="17.25" customHeight="1">
      <c r="B471" s="7" t="s">
        <v>240</v>
      </c>
      <c r="C471" s="3" t="s">
        <v>240</v>
      </c>
      <c r="D471" s="3" t="s">
        <v>200</v>
      </c>
      <c r="E471" s="10" t="s">
        <v>205</v>
      </c>
      <c r="F471" s="12" t="s">
        <v>250</v>
      </c>
      <c r="G471" s="74">
        <v>0.05</v>
      </c>
      <c r="H471" s="3">
        <f>0.01*0.01</f>
        <v>1E-4</v>
      </c>
      <c r="I471" s="24">
        <v>1.05</v>
      </c>
      <c r="J471" s="3" t="s">
        <v>666</v>
      </c>
      <c r="K471" s="8" t="s">
        <v>665</v>
      </c>
      <c r="L471" s="3" t="s">
        <v>664</v>
      </c>
      <c r="M471" s="3" t="s">
        <v>223</v>
      </c>
      <c r="N471" s="3" t="s">
        <v>663</v>
      </c>
      <c r="O471" s="3" t="s">
        <v>23</v>
      </c>
      <c r="P47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471" s="3" t="s">
        <v>13</v>
      </c>
      <c r="Y471" s="4">
        <v>2.2999999999999998</v>
      </c>
      <c r="Z471" s="4">
        <f>6*30</f>
        <v>180</v>
      </c>
      <c r="AA471" s="5">
        <f t="shared" si="29"/>
        <v>1.2777777777777777E-2</v>
      </c>
      <c r="AB471" s="5"/>
      <c r="AC47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71" s="97" t="str">
        <f>IF(Tabelle1[[#This Row],[Nicht einbezogen weil…]]="",IFERROR(1000*Tabelle1[[#This Row],[Formfaktor]]/Tabelle1[[#This Row],[Thickness '[mm']]],""),"")</f>
        <v/>
      </c>
      <c r="AE471" s="98" t="str">
        <f>IF(Tabelle1[[#This Row],[Nicht einbezogen weil…]]="",IFERROR(Tabelle1[[#This Row],[specific surface '[m^2/m^3']]]/Tabelle1[[#This Row],[Density 
'[g/cm3']]]/1000000,""),"")</f>
        <v/>
      </c>
      <c r="AF471" s="97" t="str">
        <f>IF(Tabelle1[[#This Row],[Nicht einbezogen weil…]]="",IFERROR(365*10*Tabelle1[[#This Row],[Abbaurate '[%/d']]]*Tabelle1[[#This Row],[Thickness '[mm']]]/Tabelle1[[#This Row],[Formfaktor]],""),"")</f>
        <v/>
      </c>
      <c r="AG471" s="99" t="str">
        <f>IF(OR(Tabelle1[[#This Row],[Nicht einbezogen weil…]]="",Tabelle1[[#This Row],[Nicht einbezogen weil…]]="nicht-natürlich"),IF(Tabelle1[[#This Row],[Formfaktor]]=2, 1,IF(Tabelle1[[#This Row],[Formfaktor]]=4,2,IF(Tabelle1[[#This Row],[Formfaktor]]=6,3,""))),"")</f>
        <v/>
      </c>
      <c r="AH47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1" s="71">
        <v>1</v>
      </c>
      <c r="AK47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71" s="3" t="s">
        <v>253</v>
      </c>
      <c r="AM471" s="3" t="s">
        <v>977</v>
      </c>
      <c r="AN471" s="3" t="s">
        <v>538</v>
      </c>
      <c r="AO471" s="3" t="s">
        <v>235</v>
      </c>
      <c r="AP471" s="3" t="s">
        <v>235</v>
      </c>
      <c r="AQ471" s="2"/>
      <c r="AT471" s="10" t="s">
        <v>223</v>
      </c>
      <c r="AU471" s="13" t="s">
        <v>200</v>
      </c>
      <c r="AW471" s="10" t="s">
        <v>775</v>
      </c>
    </row>
    <row r="472" spans="2:49" ht="17.25" customHeight="1">
      <c r="B472" s="11" t="s">
        <v>240</v>
      </c>
      <c r="C472" s="3" t="s">
        <v>240</v>
      </c>
      <c r="D472" s="3" t="s">
        <v>200</v>
      </c>
      <c r="E472" s="10" t="s">
        <v>205</v>
      </c>
      <c r="F472" s="12" t="s">
        <v>250</v>
      </c>
      <c r="G472" s="74">
        <v>0.05</v>
      </c>
      <c r="H472" s="3">
        <f>0.01*0.01</f>
        <v>1E-4</v>
      </c>
      <c r="I472" s="24">
        <v>1.05</v>
      </c>
      <c r="J472" s="3" t="s">
        <v>666</v>
      </c>
      <c r="K472" s="8" t="s">
        <v>251</v>
      </c>
      <c r="L472" s="3" t="s">
        <v>662</v>
      </c>
      <c r="M472" s="3" t="s">
        <v>223</v>
      </c>
      <c r="N472" s="3" t="s">
        <v>663</v>
      </c>
      <c r="O472" s="3" t="s">
        <v>23</v>
      </c>
      <c r="P47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472" s="4" t="s">
        <v>12</v>
      </c>
      <c r="W472" s="3" t="s">
        <v>13</v>
      </c>
      <c r="Y472" s="4">
        <v>4.7</v>
      </c>
      <c r="Z472" s="4">
        <f>6*30</f>
        <v>180</v>
      </c>
      <c r="AA472" s="5">
        <f t="shared" si="29"/>
        <v>2.6111111111111113E-2</v>
      </c>
      <c r="AB472" s="5"/>
      <c r="AC47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72" s="97" t="str">
        <f>IF(Tabelle1[[#This Row],[Nicht einbezogen weil…]]="",IFERROR(1000*Tabelle1[[#This Row],[Formfaktor]]/Tabelle1[[#This Row],[Thickness '[mm']]],""),"")</f>
        <v/>
      </c>
      <c r="AE472" s="98" t="str">
        <f>IF(Tabelle1[[#This Row],[Nicht einbezogen weil…]]="",IFERROR(Tabelle1[[#This Row],[specific surface '[m^2/m^3']]]/Tabelle1[[#This Row],[Density 
'[g/cm3']]]/1000000,""),"")</f>
        <v/>
      </c>
      <c r="AF472" s="97" t="str">
        <f>IF(Tabelle1[[#This Row],[Nicht einbezogen weil…]]="",IFERROR(365*10*Tabelle1[[#This Row],[Abbaurate '[%/d']]]*Tabelle1[[#This Row],[Thickness '[mm']]]/Tabelle1[[#This Row],[Formfaktor]],""),"")</f>
        <v/>
      </c>
      <c r="AG472" s="99" t="str">
        <f>IF(OR(Tabelle1[[#This Row],[Nicht einbezogen weil…]]="",Tabelle1[[#This Row],[Nicht einbezogen weil…]]="nicht-natürlich"),IF(Tabelle1[[#This Row],[Formfaktor]]=2, 1,IF(Tabelle1[[#This Row],[Formfaktor]]=4,2,IF(Tabelle1[[#This Row],[Formfaktor]]=6,3,""))),"")</f>
        <v/>
      </c>
      <c r="AH47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2" s="71">
        <v>1</v>
      </c>
      <c r="AK47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72" s="3" t="s">
        <v>253</v>
      </c>
      <c r="AM472" s="3" t="s">
        <v>977</v>
      </c>
      <c r="AN472" s="3" t="s">
        <v>538</v>
      </c>
      <c r="AO472" s="3" t="s">
        <v>235</v>
      </c>
      <c r="AP472" s="3" t="s">
        <v>235</v>
      </c>
      <c r="AQ472" s="2"/>
      <c r="AT472" s="10" t="s">
        <v>223</v>
      </c>
      <c r="AU472" s="13" t="s">
        <v>200</v>
      </c>
      <c r="AW472" s="10" t="s">
        <v>775</v>
      </c>
    </row>
    <row r="473" spans="2:49" ht="17.25" customHeight="1">
      <c r="B473" s="11" t="s">
        <v>240</v>
      </c>
      <c r="C473" s="3" t="s">
        <v>240</v>
      </c>
      <c r="D473" s="3" t="s">
        <v>200</v>
      </c>
      <c r="E473" s="10" t="s">
        <v>205</v>
      </c>
      <c r="F473" s="12" t="s">
        <v>250</v>
      </c>
      <c r="G473" s="74">
        <v>0.05</v>
      </c>
      <c r="H473" s="3">
        <f>0.01*0.01</f>
        <v>1E-4</v>
      </c>
      <c r="I473" s="24">
        <v>1.05</v>
      </c>
      <c r="J473" s="3" t="s">
        <v>666</v>
      </c>
      <c r="K473" s="8" t="s">
        <v>665</v>
      </c>
      <c r="L473" s="3" t="s">
        <v>662</v>
      </c>
      <c r="M473" s="3" t="s">
        <v>223</v>
      </c>
      <c r="N473" s="3" t="s">
        <v>663</v>
      </c>
      <c r="O473" s="3" t="s">
        <v>23</v>
      </c>
      <c r="P47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473" s="3" t="s">
        <v>13</v>
      </c>
      <c r="Y473" s="4">
        <v>4.7</v>
      </c>
      <c r="Z473" s="4">
        <f>6*30</f>
        <v>180</v>
      </c>
      <c r="AA473" s="5">
        <f t="shared" si="29"/>
        <v>2.6111111111111113E-2</v>
      </c>
      <c r="AB473" s="5"/>
      <c r="AC47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73" s="97" t="str">
        <f>IF(Tabelle1[[#This Row],[Nicht einbezogen weil…]]="",IFERROR(1000*Tabelle1[[#This Row],[Formfaktor]]/Tabelle1[[#This Row],[Thickness '[mm']]],""),"")</f>
        <v/>
      </c>
      <c r="AE473" s="98" t="str">
        <f>IF(Tabelle1[[#This Row],[Nicht einbezogen weil…]]="",IFERROR(Tabelle1[[#This Row],[specific surface '[m^2/m^3']]]/Tabelle1[[#This Row],[Density 
'[g/cm3']]]/1000000,""),"")</f>
        <v/>
      </c>
      <c r="AF473" s="97" t="str">
        <f>IF(Tabelle1[[#This Row],[Nicht einbezogen weil…]]="",IFERROR(365*10*Tabelle1[[#This Row],[Abbaurate '[%/d']]]*Tabelle1[[#This Row],[Thickness '[mm']]]/Tabelle1[[#This Row],[Formfaktor]],""),"")</f>
        <v/>
      </c>
      <c r="AG473" s="99" t="str">
        <f>IF(OR(Tabelle1[[#This Row],[Nicht einbezogen weil…]]="",Tabelle1[[#This Row],[Nicht einbezogen weil…]]="nicht-natürlich"),IF(Tabelle1[[#This Row],[Formfaktor]]=2, 1,IF(Tabelle1[[#This Row],[Formfaktor]]=4,2,IF(Tabelle1[[#This Row],[Formfaktor]]=6,3,""))),"")</f>
        <v/>
      </c>
      <c r="AH47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3" s="71">
        <v>1</v>
      </c>
      <c r="AK47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73" s="3" t="s">
        <v>253</v>
      </c>
      <c r="AM473" s="3" t="s">
        <v>977</v>
      </c>
      <c r="AN473" s="3" t="s">
        <v>538</v>
      </c>
      <c r="AO473" s="3" t="s">
        <v>235</v>
      </c>
      <c r="AP473" s="3" t="s">
        <v>235</v>
      </c>
      <c r="AQ473" s="2"/>
      <c r="AT473" s="10" t="s">
        <v>223</v>
      </c>
      <c r="AU473" s="13" t="s">
        <v>200</v>
      </c>
      <c r="AW473" s="10" t="s">
        <v>775</v>
      </c>
    </row>
    <row r="474" spans="2:49" ht="17.25" customHeight="1">
      <c r="B474" s="7" t="s">
        <v>240</v>
      </c>
      <c r="C474" s="3" t="s">
        <v>240</v>
      </c>
      <c r="D474" s="3" t="s">
        <v>200</v>
      </c>
      <c r="E474" s="10" t="s">
        <v>205</v>
      </c>
      <c r="F474" s="12" t="s">
        <v>250</v>
      </c>
      <c r="G474" s="74">
        <v>0.05</v>
      </c>
      <c r="H474" s="3">
        <f>0.01*0.01</f>
        <v>1E-4</v>
      </c>
      <c r="I474" s="24">
        <v>1.05</v>
      </c>
      <c r="J474" s="3" t="s">
        <v>666</v>
      </c>
      <c r="K474" s="8" t="s">
        <v>251</v>
      </c>
      <c r="L474" s="3" t="s">
        <v>664</v>
      </c>
      <c r="M474" s="3" t="s">
        <v>223</v>
      </c>
      <c r="N474" s="3" t="s">
        <v>663</v>
      </c>
      <c r="O474" s="3" t="s">
        <v>23</v>
      </c>
      <c r="P47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474" s="4" t="s">
        <v>12</v>
      </c>
      <c r="W474" s="3" t="s">
        <v>13</v>
      </c>
      <c r="Y474" s="4">
        <v>0.19</v>
      </c>
      <c r="Z474" s="4">
        <f>6*30</f>
        <v>180</v>
      </c>
      <c r="AA474" s="347">
        <f t="shared" si="29"/>
        <v>1.0555555555555557E-3</v>
      </c>
      <c r="AB474" s="347"/>
      <c r="AC47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74" s="97" t="str">
        <f>IF(Tabelle1[[#This Row],[Nicht einbezogen weil…]]="",IFERROR(1000*Tabelle1[[#This Row],[Formfaktor]]/Tabelle1[[#This Row],[Thickness '[mm']]],""),"")</f>
        <v/>
      </c>
      <c r="AE474" s="98" t="str">
        <f>IF(Tabelle1[[#This Row],[Nicht einbezogen weil…]]="",IFERROR(Tabelle1[[#This Row],[specific surface '[m^2/m^3']]]/Tabelle1[[#This Row],[Density 
'[g/cm3']]]/1000000,""),"")</f>
        <v/>
      </c>
      <c r="AF474" s="97" t="str">
        <f>IF(Tabelle1[[#This Row],[Nicht einbezogen weil…]]="",IFERROR(365*10*Tabelle1[[#This Row],[Abbaurate '[%/d']]]*Tabelle1[[#This Row],[Thickness '[mm']]]/Tabelle1[[#This Row],[Formfaktor]],""),"")</f>
        <v/>
      </c>
      <c r="AG474" s="99" t="str">
        <f>IF(OR(Tabelle1[[#This Row],[Nicht einbezogen weil…]]="",Tabelle1[[#This Row],[Nicht einbezogen weil…]]="nicht-natürlich"),IF(Tabelle1[[#This Row],[Formfaktor]]=2, 1,IF(Tabelle1[[#This Row],[Formfaktor]]=4,2,IF(Tabelle1[[#This Row],[Formfaktor]]=6,3,""))),"")</f>
        <v/>
      </c>
      <c r="AH47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4" s="71">
        <v>1</v>
      </c>
      <c r="AK47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74" s="3" t="s">
        <v>253</v>
      </c>
      <c r="AM474" s="3" t="s">
        <v>977</v>
      </c>
      <c r="AN474" s="3" t="s">
        <v>538</v>
      </c>
      <c r="AO474" s="3" t="s">
        <v>235</v>
      </c>
      <c r="AP474" s="3" t="s">
        <v>235</v>
      </c>
      <c r="AQ474" s="2"/>
      <c r="AT474" s="10" t="s">
        <v>223</v>
      </c>
      <c r="AU474" s="13" t="s">
        <v>200</v>
      </c>
      <c r="AW474" s="10" t="s">
        <v>775</v>
      </c>
    </row>
    <row r="475" spans="2:49" ht="17.25" customHeight="1">
      <c r="B475" s="7" t="s">
        <v>781</v>
      </c>
      <c r="C475" s="3" t="s">
        <v>527</v>
      </c>
      <c r="D475" s="3" t="s">
        <v>200</v>
      </c>
      <c r="E475" s="10" t="s">
        <v>1127</v>
      </c>
      <c r="F475" s="12" t="s">
        <v>288</v>
      </c>
      <c r="G475" s="12">
        <v>0.27</v>
      </c>
      <c r="H475" s="12">
        <f>0.15*0.02</f>
        <v>3.0000000000000001E-3</v>
      </c>
      <c r="I475" s="24">
        <v>0.94950000000000001</v>
      </c>
      <c r="J475" s="3" t="s">
        <v>528</v>
      </c>
      <c r="M475" s="3" t="s">
        <v>200</v>
      </c>
      <c r="N475" s="3" t="s">
        <v>263</v>
      </c>
      <c r="O475" s="3" t="s">
        <v>263</v>
      </c>
      <c r="P47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475" s="4" t="s">
        <v>12</v>
      </c>
      <c r="W475" s="3" t="s">
        <v>13</v>
      </c>
      <c r="Y475" s="4">
        <v>11.3</v>
      </c>
      <c r="Z475" s="4">
        <v>150</v>
      </c>
      <c r="AA475" s="5">
        <f t="shared" si="29"/>
        <v>7.5333333333333335E-2</v>
      </c>
      <c r="AB475" s="5"/>
      <c r="AC47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75" s="97" t="str">
        <f>IF(Tabelle1[[#This Row],[Nicht einbezogen weil…]]="",IFERROR(1000*Tabelle1[[#This Row],[Formfaktor]]/Tabelle1[[#This Row],[Thickness '[mm']]],""),"")</f>
        <v/>
      </c>
      <c r="AE475" s="98" t="str">
        <f>IF(Tabelle1[[#This Row],[Nicht einbezogen weil…]]="",IFERROR(Tabelle1[[#This Row],[specific surface '[m^2/m^3']]]/Tabelle1[[#This Row],[Density 
'[g/cm3']]]/1000000,""),"")</f>
        <v/>
      </c>
      <c r="AF475" s="97" t="str">
        <f>IF(Tabelle1[[#This Row],[Nicht einbezogen weil…]]="",IFERROR(365*10*Tabelle1[[#This Row],[Abbaurate '[%/d']]]*Tabelle1[[#This Row],[Thickness '[mm']]]/Tabelle1[[#This Row],[Formfaktor]],""),"")</f>
        <v/>
      </c>
      <c r="AG475" s="99" t="str">
        <f>IF(OR(Tabelle1[[#This Row],[Nicht einbezogen weil…]]="",Tabelle1[[#This Row],[Nicht einbezogen weil…]]="nicht-natürlich"),IF(Tabelle1[[#This Row],[Formfaktor]]=2, 1,IF(Tabelle1[[#This Row],[Formfaktor]]=4,2,IF(Tabelle1[[#This Row],[Formfaktor]]=6,3,""))),"")</f>
        <v/>
      </c>
      <c r="AH47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5" s="71">
        <v>1</v>
      </c>
      <c r="AK47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75" s="3" t="s">
        <v>261</v>
      </c>
      <c r="AM475" s="3" t="s">
        <v>967</v>
      </c>
      <c r="AO475" s="3" t="s">
        <v>200</v>
      </c>
      <c r="AP475" s="3" t="s">
        <v>200</v>
      </c>
      <c r="AQ475" s="3" t="s">
        <v>200</v>
      </c>
      <c r="AR475" s="2" t="s">
        <v>262</v>
      </c>
      <c r="AS475" s="2" t="s">
        <v>262</v>
      </c>
      <c r="AT475" s="10" t="s">
        <v>200</v>
      </c>
      <c r="AU475" s="13" t="s">
        <v>200</v>
      </c>
      <c r="AW475" s="10" t="s">
        <v>796</v>
      </c>
    </row>
    <row r="476" spans="2:49" s="73" customFormat="1" ht="17.25" customHeight="1">
      <c r="B476" s="7" t="s">
        <v>782</v>
      </c>
      <c r="C476" s="3" t="s">
        <v>525</v>
      </c>
      <c r="D476" s="3" t="s">
        <v>200</v>
      </c>
      <c r="E476" s="73" t="s">
        <v>1127</v>
      </c>
      <c r="F476" s="12" t="s">
        <v>288</v>
      </c>
      <c r="G476" s="12">
        <v>0.13</v>
      </c>
      <c r="H476" s="12">
        <f>0.15*0.02</f>
        <v>3.0000000000000001E-3</v>
      </c>
      <c r="I476" s="24">
        <v>0.92649999999999999</v>
      </c>
      <c r="J476" s="3" t="s">
        <v>523</v>
      </c>
      <c r="K476" s="8"/>
      <c r="L476" s="3"/>
      <c r="M476" s="3" t="s">
        <v>200</v>
      </c>
      <c r="N476" s="3" t="s">
        <v>263</v>
      </c>
      <c r="O476" s="3" t="s">
        <v>263</v>
      </c>
      <c r="P47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76" s="4"/>
      <c r="R476" s="4"/>
      <c r="S476" s="4"/>
      <c r="T476" s="4"/>
      <c r="U476" s="4" t="s">
        <v>12</v>
      </c>
      <c r="V476" s="4"/>
      <c r="W476" s="3" t="s">
        <v>13</v>
      </c>
      <c r="X476" s="3"/>
      <c r="Y476" s="4">
        <v>5.4</v>
      </c>
      <c r="Z476" s="4">
        <v>150</v>
      </c>
      <c r="AA476" s="5">
        <f t="shared" si="29"/>
        <v>3.6000000000000004E-2</v>
      </c>
      <c r="AB476" s="5"/>
      <c r="AC47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76" s="97" t="str">
        <f>IF(Tabelle1[[#This Row],[Nicht einbezogen weil…]]="",IFERROR(1000*Tabelle1[[#This Row],[Formfaktor]]/Tabelle1[[#This Row],[Thickness '[mm']]],""),"")</f>
        <v/>
      </c>
      <c r="AE476" s="98" t="str">
        <f>IF(Tabelle1[[#This Row],[Nicht einbezogen weil…]]="",IFERROR(Tabelle1[[#This Row],[specific surface '[m^2/m^3']]]/Tabelle1[[#This Row],[Density 
'[g/cm3']]]/1000000,""),"")</f>
        <v/>
      </c>
      <c r="AF476" s="97" t="str">
        <f>IF(Tabelle1[[#This Row],[Nicht einbezogen weil…]]="",IFERROR(365*10*Tabelle1[[#This Row],[Abbaurate '[%/d']]]*Tabelle1[[#This Row],[Thickness '[mm']]]/Tabelle1[[#This Row],[Formfaktor]],""),"")</f>
        <v/>
      </c>
      <c r="AG476" s="99" t="str">
        <f>IF(OR(Tabelle1[[#This Row],[Nicht einbezogen weil…]]="",Tabelle1[[#This Row],[Nicht einbezogen weil…]]="nicht-natürlich"),IF(Tabelle1[[#This Row],[Formfaktor]]=2, 1,IF(Tabelle1[[#This Row],[Formfaktor]]=4,2,IF(Tabelle1[[#This Row],[Formfaktor]]=6,3,""))),"")</f>
        <v/>
      </c>
      <c r="AH47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6" s="71">
        <v>1</v>
      </c>
      <c r="AK47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76" s="3" t="s">
        <v>261</v>
      </c>
      <c r="AM476" s="3" t="s">
        <v>967</v>
      </c>
      <c r="AN476" s="3"/>
      <c r="AO476" s="3" t="s">
        <v>200</v>
      </c>
      <c r="AP476" s="3" t="s">
        <v>200</v>
      </c>
      <c r="AQ476" s="3" t="s">
        <v>200</v>
      </c>
      <c r="AR476" s="2" t="s">
        <v>262</v>
      </c>
      <c r="AS476" s="2" t="s">
        <v>262</v>
      </c>
      <c r="AT476" s="10" t="s">
        <v>200</v>
      </c>
      <c r="AU476" s="13" t="s">
        <v>200</v>
      </c>
      <c r="AV476" s="10"/>
      <c r="AW476" s="10" t="s">
        <v>796</v>
      </c>
    </row>
    <row r="477" spans="2:49" ht="17.25" customHeight="1">
      <c r="B477" s="7" t="s">
        <v>240</v>
      </c>
      <c r="C477" s="3" t="s">
        <v>240</v>
      </c>
      <c r="D477" s="3" t="s">
        <v>200</v>
      </c>
      <c r="E477" s="10" t="s">
        <v>205</v>
      </c>
      <c r="F477" s="3" t="s">
        <v>341</v>
      </c>
      <c r="G477" s="3" t="s">
        <v>341</v>
      </c>
      <c r="I477" s="17" t="s">
        <v>596</v>
      </c>
      <c r="K477" s="8" t="s">
        <v>894</v>
      </c>
      <c r="L477" s="3" t="s">
        <v>895</v>
      </c>
      <c r="M477" s="3" t="s">
        <v>223</v>
      </c>
      <c r="N477" s="3" t="s">
        <v>896</v>
      </c>
      <c r="O477" s="3" t="s">
        <v>294</v>
      </c>
      <c r="P47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477" s="3" t="s">
        <v>190</v>
      </c>
      <c r="AA477" s="5" t="e">
        <f t="shared" si="29"/>
        <v>#DIV/0!</v>
      </c>
      <c r="AB477" s="5"/>
      <c r="AC477"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77" s="97" t="str">
        <f>IF(Tabelle1[[#This Row],[Nicht einbezogen weil…]]="",IFERROR(1000*Tabelle1[[#This Row],[Formfaktor]]/Tabelle1[[#This Row],[Thickness '[mm']]],""),"")</f>
        <v/>
      </c>
      <c r="AE477" s="98" t="str">
        <f>IF(Tabelle1[[#This Row],[Nicht einbezogen weil…]]="",IFERROR(Tabelle1[[#This Row],[specific surface '[m^2/m^3']]]/Tabelle1[[#This Row],[Density 
'[g/cm3']]]/1000000,""),"")</f>
        <v/>
      </c>
      <c r="AF477" s="97" t="str">
        <f>IF(Tabelle1[[#This Row],[Nicht einbezogen weil…]]="",IFERROR(365*10*Tabelle1[[#This Row],[Abbaurate '[%/d']]]*Tabelle1[[#This Row],[Thickness '[mm']]]/Tabelle1[[#This Row],[Formfaktor]],""),"")</f>
        <v/>
      </c>
      <c r="AG477" s="99" t="str">
        <f>IF(OR(Tabelle1[[#This Row],[Nicht einbezogen weil…]]="",Tabelle1[[#This Row],[Nicht einbezogen weil…]]="nicht-natürlich"),IF(Tabelle1[[#This Row],[Formfaktor]]=2, 1,IF(Tabelle1[[#This Row],[Formfaktor]]=4,2,IF(Tabelle1[[#This Row],[Formfaktor]]=6,3,""))),"")</f>
        <v/>
      </c>
      <c r="AH47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7" s="6">
        <v>0</v>
      </c>
      <c r="AK47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77" s="323" t="s">
        <v>836</v>
      </c>
      <c r="AM477" s="3" t="s">
        <v>855</v>
      </c>
      <c r="AN477" s="3" t="s">
        <v>824</v>
      </c>
      <c r="AO477" s="3" t="s">
        <v>200</v>
      </c>
      <c r="AP477" s="3" t="s">
        <v>223</v>
      </c>
      <c r="AU477" s="324" t="s">
        <v>701</v>
      </c>
      <c r="AV477" s="14" t="s">
        <v>868</v>
      </c>
      <c r="AW477" s="73" t="s">
        <v>933</v>
      </c>
    </row>
    <row r="478" spans="2:49" s="73" customFormat="1" ht="17.25" customHeight="1">
      <c r="B478" s="7" t="s">
        <v>240</v>
      </c>
      <c r="C478" s="3" t="s">
        <v>240</v>
      </c>
      <c r="D478" s="3" t="s">
        <v>200</v>
      </c>
      <c r="E478" s="73" t="s">
        <v>205</v>
      </c>
      <c r="F478" s="3" t="s">
        <v>341</v>
      </c>
      <c r="G478" s="3" t="s">
        <v>341</v>
      </c>
      <c r="H478" s="3"/>
      <c r="I478" s="17" t="s">
        <v>596</v>
      </c>
      <c r="J478" s="3"/>
      <c r="K478" s="8"/>
      <c r="L478" s="3" t="s">
        <v>897</v>
      </c>
      <c r="M478" s="3"/>
      <c r="N478" s="3"/>
      <c r="O478" s="3"/>
      <c r="P47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78" s="4"/>
      <c r="R478" s="4"/>
      <c r="S478" s="4"/>
      <c r="T478" s="4"/>
      <c r="U478" s="4"/>
      <c r="V478" s="4"/>
      <c r="W478" s="3"/>
      <c r="X478" s="3"/>
      <c r="Y478" s="4"/>
      <c r="Z478" s="4"/>
      <c r="AA478" s="5" t="e">
        <f t="shared" si="29"/>
        <v>#DIV/0!</v>
      </c>
      <c r="AB478" s="5"/>
      <c r="AC478"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78" s="97" t="str">
        <f>IF(Tabelle1[[#This Row],[Nicht einbezogen weil…]]="",IFERROR(1000*Tabelle1[[#This Row],[Formfaktor]]/Tabelle1[[#This Row],[Thickness '[mm']]],""),"")</f>
        <v/>
      </c>
      <c r="AE478" s="98" t="str">
        <f>IF(Tabelle1[[#This Row],[Nicht einbezogen weil…]]="",IFERROR(Tabelle1[[#This Row],[specific surface '[m^2/m^3']]]/Tabelle1[[#This Row],[Density 
'[g/cm3']]]/1000000,""),"")</f>
        <v/>
      </c>
      <c r="AF478" s="97" t="str">
        <f>IF(Tabelle1[[#This Row],[Nicht einbezogen weil…]]="",IFERROR(365*10*Tabelle1[[#This Row],[Abbaurate '[%/d']]]*Tabelle1[[#This Row],[Thickness '[mm']]]/Tabelle1[[#This Row],[Formfaktor]],""),"")</f>
        <v/>
      </c>
      <c r="AG478" s="99" t="str">
        <f>IF(OR(Tabelle1[[#This Row],[Nicht einbezogen weil…]]="",Tabelle1[[#This Row],[Nicht einbezogen weil…]]="nicht-natürlich"),IF(Tabelle1[[#This Row],[Formfaktor]]=2, 1,IF(Tabelle1[[#This Row],[Formfaktor]]=4,2,IF(Tabelle1[[#This Row],[Formfaktor]]=6,3,""))),"")</f>
        <v/>
      </c>
      <c r="AH47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8" s="6">
        <v>0</v>
      </c>
      <c r="AK47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78" s="323" t="s">
        <v>838</v>
      </c>
      <c r="AM478" s="3" t="s">
        <v>855</v>
      </c>
      <c r="AN478" s="3" t="s">
        <v>824</v>
      </c>
      <c r="AO478" s="3" t="s">
        <v>200</v>
      </c>
      <c r="AP478" s="3" t="s">
        <v>223</v>
      </c>
      <c r="AQ478" s="3"/>
      <c r="AR478" s="2"/>
      <c r="AS478" s="2"/>
      <c r="AT478" s="10"/>
      <c r="AU478" s="324" t="s">
        <v>701</v>
      </c>
      <c r="AV478" s="14" t="s">
        <v>869</v>
      </c>
      <c r="AW478" s="73" t="s">
        <v>933</v>
      </c>
    </row>
    <row r="479" spans="2:49" s="73" customFormat="1" ht="17.25" customHeight="1">
      <c r="B479" s="329" t="s">
        <v>240</v>
      </c>
      <c r="C479" s="3" t="s">
        <v>916</v>
      </c>
      <c r="D479" s="3" t="s">
        <v>223</v>
      </c>
      <c r="F479" s="12" t="s">
        <v>250</v>
      </c>
      <c r="G479" s="3" t="s">
        <v>341</v>
      </c>
      <c r="H479" s="3">
        <f>0.01*0.01</f>
        <v>1E-4</v>
      </c>
      <c r="I479" s="24">
        <v>1.05</v>
      </c>
      <c r="J479" s="3" t="s">
        <v>912</v>
      </c>
      <c r="K479" s="8" t="s">
        <v>913</v>
      </c>
      <c r="L479" s="3" t="s">
        <v>924</v>
      </c>
      <c r="M479" s="3" t="s">
        <v>301</v>
      </c>
      <c r="N479" s="3" t="s">
        <v>914</v>
      </c>
      <c r="O479" s="3" t="s">
        <v>23</v>
      </c>
      <c r="P47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79" s="4"/>
      <c r="R479" s="4"/>
      <c r="S479" s="4"/>
      <c r="T479" s="4"/>
      <c r="U479" s="4"/>
      <c r="V479" s="4"/>
      <c r="W479" s="3" t="s">
        <v>13</v>
      </c>
      <c r="X479" s="3"/>
      <c r="Y479" s="4">
        <v>0.19</v>
      </c>
      <c r="Z479" s="4">
        <v>180</v>
      </c>
      <c r="AA479" s="5">
        <f t="shared" si="29"/>
        <v>1.0555555555555557E-3</v>
      </c>
      <c r="AB479" s="5"/>
      <c r="AC47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79" s="97" t="str">
        <f>IF(Tabelle1[[#This Row],[Nicht einbezogen weil…]]="",IFERROR(1000*Tabelle1[[#This Row],[Formfaktor]]/Tabelle1[[#This Row],[Thickness '[mm']]],""),"")</f>
        <v/>
      </c>
      <c r="AE479" s="98" t="str">
        <f>IF(Tabelle1[[#This Row],[Nicht einbezogen weil…]]="",IFERROR(Tabelle1[[#This Row],[specific surface '[m^2/m^3']]]/Tabelle1[[#This Row],[Density 
'[g/cm3']]]/1000000,""),"")</f>
        <v/>
      </c>
      <c r="AF479" s="97" t="str">
        <f>IF(Tabelle1[[#This Row],[Nicht einbezogen weil…]]="",IFERROR(365*10*Tabelle1[[#This Row],[Abbaurate '[%/d']]]*Tabelle1[[#This Row],[Thickness '[mm']]]/Tabelle1[[#This Row],[Formfaktor]],""),"")</f>
        <v/>
      </c>
      <c r="AG479" s="99" t="str">
        <f>IF(OR(Tabelle1[[#This Row],[Nicht einbezogen weil…]]="",Tabelle1[[#This Row],[Nicht einbezogen weil…]]="nicht-natürlich"),IF(Tabelle1[[#This Row],[Formfaktor]]=2, 1,IF(Tabelle1[[#This Row],[Formfaktor]]=4,2,IF(Tabelle1[[#This Row],[Formfaktor]]=6,3,""))),"")</f>
        <v/>
      </c>
      <c r="AH47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7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79" s="6">
        <v>1</v>
      </c>
      <c r="AK47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79" s="326" t="s">
        <v>911</v>
      </c>
      <c r="AM479" s="3" t="s">
        <v>972</v>
      </c>
      <c r="AN479" s="3" t="s">
        <v>824</v>
      </c>
      <c r="AO479" s="3" t="s">
        <v>200</v>
      </c>
      <c r="AP479" s="3" t="s">
        <v>200</v>
      </c>
      <c r="AQ479" s="3"/>
      <c r="AR479" s="2"/>
      <c r="AS479" s="2"/>
      <c r="AT479" s="10" t="s">
        <v>200</v>
      </c>
      <c r="AU479" s="13" t="s">
        <v>200</v>
      </c>
      <c r="AV479" s="10"/>
      <c r="AW479" s="10" t="s">
        <v>775</v>
      </c>
    </row>
    <row r="480" spans="2:49" s="73" customFormat="1" ht="17.25" customHeight="1">
      <c r="B480" s="329" t="s">
        <v>240</v>
      </c>
      <c r="C480" s="322" t="s">
        <v>917</v>
      </c>
      <c r="D480" s="3" t="s">
        <v>223</v>
      </c>
      <c r="F480" s="3" t="s">
        <v>250</v>
      </c>
      <c r="G480" s="3" t="s">
        <v>341</v>
      </c>
      <c r="H480" s="3">
        <f>0.01*0.01</f>
        <v>1E-4</v>
      </c>
      <c r="I480" s="24">
        <v>1.05</v>
      </c>
      <c r="J480" s="3" t="s">
        <v>912</v>
      </c>
      <c r="K480" s="8" t="s">
        <v>913</v>
      </c>
      <c r="L480" s="3" t="s">
        <v>915</v>
      </c>
      <c r="M480" s="3" t="s">
        <v>301</v>
      </c>
      <c r="N480" s="3" t="s">
        <v>914</v>
      </c>
      <c r="O480" s="3" t="s">
        <v>23</v>
      </c>
      <c r="P48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80" s="4"/>
      <c r="R480" s="4"/>
      <c r="S480" s="4"/>
      <c r="T480" s="4"/>
      <c r="U480" s="4"/>
      <c r="V480" s="4"/>
      <c r="W480" s="3" t="s">
        <v>13</v>
      </c>
      <c r="X480" s="3"/>
      <c r="Y480" s="4">
        <v>4.7</v>
      </c>
      <c r="Z480" s="4">
        <v>180</v>
      </c>
      <c r="AA480" s="5">
        <f t="shared" si="29"/>
        <v>2.6111111111111113E-2</v>
      </c>
      <c r="AB480" s="5"/>
      <c r="AC48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80" s="97" t="str">
        <f>IF(Tabelle1[[#This Row],[Nicht einbezogen weil…]]="",IFERROR(1000*Tabelle1[[#This Row],[Formfaktor]]/Tabelle1[[#This Row],[Thickness '[mm']]],""),"")</f>
        <v/>
      </c>
      <c r="AE480" s="98" t="str">
        <f>IF(Tabelle1[[#This Row],[Nicht einbezogen weil…]]="",IFERROR(Tabelle1[[#This Row],[specific surface '[m^2/m^3']]]/Tabelle1[[#This Row],[Density 
'[g/cm3']]]/1000000,""),"")</f>
        <v/>
      </c>
      <c r="AF480" s="97" t="str">
        <f>IF(Tabelle1[[#This Row],[Nicht einbezogen weil…]]="",IFERROR(365*10*Tabelle1[[#This Row],[Abbaurate '[%/d']]]*Tabelle1[[#This Row],[Thickness '[mm']]]/Tabelle1[[#This Row],[Formfaktor]],""),"")</f>
        <v/>
      </c>
      <c r="AG480" s="99" t="str">
        <f>IF(OR(Tabelle1[[#This Row],[Nicht einbezogen weil…]]="",Tabelle1[[#This Row],[Nicht einbezogen weil…]]="nicht-natürlich"),IF(Tabelle1[[#This Row],[Formfaktor]]=2, 1,IF(Tabelle1[[#This Row],[Formfaktor]]=4,2,IF(Tabelle1[[#This Row],[Formfaktor]]=6,3,""))),"")</f>
        <v/>
      </c>
      <c r="AH48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8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80" s="6">
        <v>1</v>
      </c>
      <c r="AK48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80" s="322" t="s">
        <v>911</v>
      </c>
      <c r="AM480" s="3" t="s">
        <v>972</v>
      </c>
      <c r="AN480" s="3" t="s">
        <v>824</v>
      </c>
      <c r="AO480" s="3" t="s">
        <v>200</v>
      </c>
      <c r="AP480" s="3" t="s">
        <v>200</v>
      </c>
      <c r="AQ480" s="3"/>
      <c r="AR480" s="2"/>
      <c r="AS480" s="2"/>
      <c r="AT480" s="10" t="s">
        <v>200</v>
      </c>
      <c r="AU480" s="13" t="s">
        <v>200</v>
      </c>
      <c r="AV480" s="10"/>
      <c r="AW480" s="10" t="s">
        <v>775</v>
      </c>
    </row>
    <row r="481" spans="2:49" s="73" customFormat="1" ht="17.25" customHeight="1">
      <c r="B481" s="329" t="s">
        <v>240</v>
      </c>
      <c r="C481" s="322" t="s">
        <v>916</v>
      </c>
      <c r="D481" s="3" t="s">
        <v>223</v>
      </c>
      <c r="F481" s="3" t="s">
        <v>250</v>
      </c>
      <c r="G481" s="3" t="s">
        <v>341</v>
      </c>
      <c r="H481" s="3">
        <f>0.01*0.01</f>
        <v>1E-4</v>
      </c>
      <c r="I481" s="24">
        <v>1.05</v>
      </c>
      <c r="J481" s="3" t="s">
        <v>912</v>
      </c>
      <c r="K481" s="8" t="s">
        <v>913</v>
      </c>
      <c r="L481" s="3" t="s">
        <v>925</v>
      </c>
      <c r="M481" s="3" t="s">
        <v>301</v>
      </c>
      <c r="N481" s="3" t="s">
        <v>914</v>
      </c>
      <c r="O481" s="3" t="s">
        <v>23</v>
      </c>
      <c r="P48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81" s="4"/>
      <c r="R481" s="4"/>
      <c r="S481" s="4"/>
      <c r="T481" s="4"/>
      <c r="U481" s="4"/>
      <c r="V481" s="4"/>
      <c r="W481" s="3" t="s">
        <v>13</v>
      </c>
      <c r="X481" s="3"/>
      <c r="Y481" s="4">
        <v>2.2999999999999998</v>
      </c>
      <c r="Z481" s="4">
        <v>180</v>
      </c>
      <c r="AA481" s="5">
        <f t="shared" si="29"/>
        <v>1.2777777777777777E-2</v>
      </c>
      <c r="AB481" s="5"/>
      <c r="AC48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81" s="97" t="str">
        <f>IF(Tabelle1[[#This Row],[Nicht einbezogen weil…]]="",IFERROR(1000*Tabelle1[[#This Row],[Formfaktor]]/Tabelle1[[#This Row],[Thickness '[mm']]],""),"")</f>
        <v/>
      </c>
      <c r="AE481" s="98" t="str">
        <f>IF(Tabelle1[[#This Row],[Nicht einbezogen weil…]]="",IFERROR(Tabelle1[[#This Row],[specific surface '[m^2/m^3']]]/Tabelle1[[#This Row],[Density 
'[g/cm3']]]/1000000,""),"")</f>
        <v/>
      </c>
      <c r="AF481" s="97" t="str">
        <f>IF(Tabelle1[[#This Row],[Nicht einbezogen weil…]]="",IFERROR(365*10*Tabelle1[[#This Row],[Abbaurate '[%/d']]]*Tabelle1[[#This Row],[Thickness '[mm']]]/Tabelle1[[#This Row],[Formfaktor]],""),"")</f>
        <v/>
      </c>
      <c r="AG481" s="99" t="str">
        <f>IF(OR(Tabelle1[[#This Row],[Nicht einbezogen weil…]]="",Tabelle1[[#This Row],[Nicht einbezogen weil…]]="nicht-natürlich"),IF(Tabelle1[[#This Row],[Formfaktor]]=2, 1,IF(Tabelle1[[#This Row],[Formfaktor]]=4,2,IF(Tabelle1[[#This Row],[Formfaktor]]=6,3,""))),"")</f>
        <v/>
      </c>
      <c r="AH48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8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81" s="6">
        <v>1</v>
      </c>
      <c r="AK48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81" s="326" t="s">
        <v>911</v>
      </c>
      <c r="AM481" s="3" t="s">
        <v>972</v>
      </c>
      <c r="AN481" s="3" t="s">
        <v>824</v>
      </c>
      <c r="AO481" s="3" t="s">
        <v>200</v>
      </c>
      <c r="AP481" s="3" t="s">
        <v>200</v>
      </c>
      <c r="AQ481" s="3"/>
      <c r="AR481" s="2"/>
      <c r="AS481" s="2"/>
      <c r="AT481" s="10" t="s">
        <v>200</v>
      </c>
      <c r="AU481" s="13" t="s">
        <v>200</v>
      </c>
      <c r="AV481" s="10"/>
      <c r="AW481" s="10" t="s">
        <v>775</v>
      </c>
    </row>
    <row r="482" spans="2:49" ht="17.25" customHeight="1">
      <c r="B482" s="329" t="s">
        <v>240</v>
      </c>
      <c r="C482" s="322" t="s">
        <v>917</v>
      </c>
      <c r="D482" s="3" t="s">
        <v>223</v>
      </c>
      <c r="E482" s="10"/>
      <c r="F482" s="3" t="s">
        <v>250</v>
      </c>
      <c r="G482" s="3" t="s">
        <v>341</v>
      </c>
      <c r="H482" s="3">
        <f>0.01*0.01</f>
        <v>1E-4</v>
      </c>
      <c r="I482" s="24">
        <v>1.05</v>
      </c>
      <c r="J482" s="3" t="s">
        <v>912</v>
      </c>
      <c r="K482" s="8" t="s">
        <v>913</v>
      </c>
      <c r="L482" s="3" t="s">
        <v>918</v>
      </c>
      <c r="M482" s="3" t="s">
        <v>301</v>
      </c>
      <c r="N482" s="3" t="s">
        <v>914</v>
      </c>
      <c r="O482" s="3" t="s">
        <v>23</v>
      </c>
      <c r="P48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482" s="3" t="s">
        <v>13</v>
      </c>
      <c r="Y482" s="4">
        <v>4.7</v>
      </c>
      <c r="Z482" s="4">
        <v>180</v>
      </c>
      <c r="AA482" s="5">
        <f t="shared" si="29"/>
        <v>2.6111111111111113E-2</v>
      </c>
      <c r="AB482" s="5"/>
      <c r="AC48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82" s="97" t="str">
        <f>IF(Tabelle1[[#This Row],[Nicht einbezogen weil…]]="",IFERROR(1000*Tabelle1[[#This Row],[Formfaktor]]/Tabelle1[[#This Row],[Thickness '[mm']]],""),"")</f>
        <v/>
      </c>
      <c r="AE482" s="98" t="str">
        <f>IF(Tabelle1[[#This Row],[Nicht einbezogen weil…]]="",IFERROR(Tabelle1[[#This Row],[specific surface '[m^2/m^3']]]/Tabelle1[[#This Row],[Density 
'[g/cm3']]]/1000000,""),"")</f>
        <v/>
      </c>
      <c r="AF482" s="97" t="str">
        <f>IF(Tabelle1[[#This Row],[Nicht einbezogen weil…]]="",IFERROR(365*10*Tabelle1[[#This Row],[Abbaurate '[%/d']]]*Tabelle1[[#This Row],[Thickness '[mm']]]/Tabelle1[[#This Row],[Formfaktor]],""),"")</f>
        <v/>
      </c>
      <c r="AG482" s="99" t="str">
        <f>IF(OR(Tabelle1[[#This Row],[Nicht einbezogen weil…]]="",Tabelle1[[#This Row],[Nicht einbezogen weil…]]="nicht-natürlich"),IF(Tabelle1[[#This Row],[Formfaktor]]=2, 1,IF(Tabelle1[[#This Row],[Formfaktor]]=4,2,IF(Tabelle1[[#This Row],[Formfaktor]]=6,3,""))),"")</f>
        <v/>
      </c>
      <c r="AH48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8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82" s="6">
        <v>1</v>
      </c>
      <c r="AK48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82" s="326" t="s">
        <v>911</v>
      </c>
      <c r="AM482" s="3" t="s">
        <v>972</v>
      </c>
      <c r="AN482" s="3" t="s">
        <v>824</v>
      </c>
      <c r="AO482" s="3" t="s">
        <v>200</v>
      </c>
      <c r="AP482" s="3" t="s">
        <v>200</v>
      </c>
      <c r="AT482" s="10" t="s">
        <v>200</v>
      </c>
      <c r="AU482" s="13" t="s">
        <v>200</v>
      </c>
      <c r="AW482" s="10" t="s">
        <v>775</v>
      </c>
    </row>
    <row r="483" spans="2:49" ht="17.25" customHeight="1">
      <c r="B483" s="7" t="s">
        <v>240</v>
      </c>
      <c r="C483" s="3" t="s">
        <v>987</v>
      </c>
      <c r="E483" s="10"/>
      <c r="F483" s="3" t="s">
        <v>250</v>
      </c>
      <c r="G483" s="3" t="s">
        <v>341</v>
      </c>
      <c r="H483" s="3" t="s">
        <v>341</v>
      </c>
      <c r="I483" s="24">
        <v>1.05</v>
      </c>
      <c r="J483" s="3" t="s">
        <v>994</v>
      </c>
      <c r="K483" s="8" t="s">
        <v>989</v>
      </c>
      <c r="L483" s="3" t="s">
        <v>997</v>
      </c>
      <c r="M483" s="3" t="s">
        <v>200</v>
      </c>
      <c r="N483" s="3" t="s">
        <v>998</v>
      </c>
      <c r="O483" s="3" t="s">
        <v>358</v>
      </c>
      <c r="P48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483" s="3" t="s">
        <v>478</v>
      </c>
      <c r="X483" s="3" t="s">
        <v>1131</v>
      </c>
      <c r="AA483" s="5" t="e">
        <f t="shared" si="29"/>
        <v>#DIV/0!</v>
      </c>
      <c r="AB483" s="5"/>
      <c r="AC48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83" s="5" t="str">
        <f>IF(Tabelle1[[#This Row],[Nicht einbezogen weil…]]="",IFERROR(1000*Tabelle1[[#This Row],[Formfaktor]]/Tabelle1[[#This Row],[Thickness '[mm']]],""),"")</f>
        <v/>
      </c>
      <c r="AE483" s="5" t="str">
        <f>IF(Tabelle1[[#This Row],[Nicht einbezogen weil…]]="",IFERROR(Tabelle1[[#This Row],[specific surface '[m^2/m^3']]]/Tabelle1[[#This Row],[Density 
'[g/cm3']]]/1000000,""),"")</f>
        <v/>
      </c>
      <c r="AF483" s="5" t="str">
        <f>IF(Tabelle1[[#This Row],[Nicht einbezogen weil…]]="",IFERROR(365*10*Tabelle1[[#This Row],[Abbaurate '[%/d']]]*Tabelle1[[#This Row],[Thickness '[mm']]]/Tabelle1[[#This Row],[Formfaktor]],""),"")</f>
        <v/>
      </c>
      <c r="AG483" s="328" t="str">
        <f>IF(OR(Tabelle1[[#This Row],[Nicht einbezogen weil…]]="",Tabelle1[[#This Row],[Nicht einbezogen weil…]]="nicht-natürlich"),IF(Tabelle1[[#This Row],[Formfaktor]]=2, 1,IF(Tabelle1[[#This Row],[Formfaktor]]=4,2,IF(Tabelle1[[#This Row],[Formfaktor]]=6,3,""))),"")</f>
        <v/>
      </c>
      <c r="AH483"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8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83" s="6">
        <v>1</v>
      </c>
      <c r="AK48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83" s="3" t="s">
        <v>979</v>
      </c>
      <c r="AM483" s="3" t="s">
        <v>967</v>
      </c>
      <c r="AN483" s="3" t="s">
        <v>824</v>
      </c>
      <c r="AT483" s="10" t="s">
        <v>200</v>
      </c>
      <c r="AU483" s="13" t="s">
        <v>200</v>
      </c>
      <c r="AW483" s="10" t="s">
        <v>775</v>
      </c>
    </row>
    <row r="484" spans="2:49" ht="17.25" customHeight="1">
      <c r="B484" s="7" t="s">
        <v>793</v>
      </c>
      <c r="C484" s="3" t="s">
        <v>411</v>
      </c>
      <c r="D484" s="3" t="s">
        <v>200</v>
      </c>
      <c r="E484" s="10" t="s">
        <v>1127</v>
      </c>
      <c r="F484" s="3" t="s">
        <v>288</v>
      </c>
      <c r="G484" s="3">
        <v>0.23</v>
      </c>
      <c r="H484" s="3">
        <f>0.01*0.01</f>
        <v>1E-4</v>
      </c>
      <c r="I484" s="24">
        <v>1.05</v>
      </c>
      <c r="J484" s="3" t="s">
        <v>413</v>
      </c>
      <c r="K484" s="8" t="s">
        <v>421</v>
      </c>
      <c r="M484" s="3" t="s">
        <v>223</v>
      </c>
      <c r="N484" s="3" t="s">
        <v>325</v>
      </c>
      <c r="O484" s="3" t="s">
        <v>358</v>
      </c>
      <c r="P48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484" s="4">
        <v>7.43</v>
      </c>
      <c r="U484" s="4" t="s">
        <v>12</v>
      </c>
      <c r="W484" s="3" t="s">
        <v>90</v>
      </c>
      <c r="Y484" s="9" t="s">
        <v>426</v>
      </c>
      <c r="Z484" s="4">
        <v>660</v>
      </c>
      <c r="AA484" s="5">
        <v>0</v>
      </c>
      <c r="AB484" s="5"/>
      <c r="AC48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84" s="97" t="str">
        <f>IF(Tabelle1[[#This Row],[Nicht einbezogen weil…]]="",IFERROR(1000*Tabelle1[[#This Row],[Formfaktor]]/Tabelle1[[#This Row],[Thickness '[mm']]],""),"")</f>
        <v/>
      </c>
      <c r="AE484" s="98" t="str">
        <f>IF(Tabelle1[[#This Row],[Nicht einbezogen weil…]]="",IFERROR(Tabelle1[[#This Row],[specific surface '[m^2/m^3']]]/Tabelle1[[#This Row],[Density 
'[g/cm3']]]/1000000,""),"")</f>
        <v/>
      </c>
      <c r="AF484" s="97" t="str">
        <f>IF(Tabelle1[[#This Row],[Nicht einbezogen weil…]]="",IFERROR(365*10*Tabelle1[[#This Row],[Abbaurate '[%/d']]]*Tabelle1[[#This Row],[Thickness '[mm']]]/Tabelle1[[#This Row],[Formfaktor]],""),"")</f>
        <v/>
      </c>
      <c r="AG484" s="99" t="str">
        <f>IF(OR(Tabelle1[[#This Row],[Nicht einbezogen weil…]]="",Tabelle1[[#This Row],[Nicht einbezogen weil…]]="nicht-natürlich"),IF(Tabelle1[[#This Row],[Formfaktor]]=2, 1,IF(Tabelle1[[#This Row],[Formfaktor]]=4,2,IF(Tabelle1[[#This Row],[Formfaktor]]=6,3,""))),"")</f>
        <v/>
      </c>
      <c r="AH48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8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84" s="71">
        <v>1</v>
      </c>
      <c r="AK48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484" s="3" t="s">
        <v>145</v>
      </c>
      <c r="AM484" s="3" t="s">
        <v>962</v>
      </c>
      <c r="AN484" s="3" t="s">
        <v>538</v>
      </c>
      <c r="AO484" s="3" t="s">
        <v>200</v>
      </c>
      <c r="AP484" s="3" t="s">
        <v>200</v>
      </c>
      <c r="AT484" s="10" t="s">
        <v>223</v>
      </c>
      <c r="AU484" s="13" t="s">
        <v>200</v>
      </c>
      <c r="AW484" s="10" t="s">
        <v>775</v>
      </c>
    </row>
    <row r="485" spans="2:49" ht="17.25" customHeight="1">
      <c r="B485" s="109" t="s">
        <v>48</v>
      </c>
      <c r="C485" s="3" t="s">
        <v>48</v>
      </c>
      <c r="D485" s="3" t="s">
        <v>223</v>
      </c>
      <c r="E485" s="10"/>
      <c r="F485" s="3" t="s">
        <v>198</v>
      </c>
      <c r="G485" s="3">
        <v>0.1</v>
      </c>
      <c r="H485" s="3" t="s">
        <v>341</v>
      </c>
      <c r="I485" s="77">
        <v>1.1100000000000001</v>
      </c>
      <c r="M485" s="3" t="s">
        <v>301</v>
      </c>
      <c r="N485" s="3" t="s">
        <v>119</v>
      </c>
      <c r="O485" s="3" t="s">
        <v>1081</v>
      </c>
      <c r="P48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85" s="4">
        <v>25</v>
      </c>
      <c r="U485" s="4" t="s">
        <v>12</v>
      </c>
      <c r="W485" s="3" t="s">
        <v>506</v>
      </c>
      <c r="Y485" s="4">
        <v>77</v>
      </c>
      <c r="Z485" s="4">
        <v>28</v>
      </c>
      <c r="AA485" s="5">
        <f>Tabelle1[[#This Row],[biologische
Abbaubarkeit '[%']]]/Z485</f>
        <v>2.75</v>
      </c>
      <c r="AB485" s="5"/>
      <c r="AC48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85" s="97">
        <f>IF(Tabelle1[[#This Row],[Nicht einbezogen weil…]]="",IFERROR(1000*Tabelle1[[#This Row],[Formfaktor]]/Tabelle1[[#This Row],[Thickness '[mm']]],""),"")</f>
        <v>20000</v>
      </c>
      <c r="AE485" s="98">
        <f>IF(Tabelle1[[#This Row],[Nicht einbezogen weil…]]="",IFERROR(Tabelle1[[#This Row],[specific surface '[m^2/m^3']]]/Tabelle1[[#This Row],[Density 
'[g/cm3']]]/1000000,""),"")</f>
        <v>1.8018018018018018E-2</v>
      </c>
      <c r="AF485" s="97">
        <f>IF(Tabelle1[[#This Row],[Nicht einbezogen weil…]]="",IFERROR(365*10*Tabelle1[[#This Row],[Abbaurate '[%/d']]]*Tabelle1[[#This Row],[Thickness '[mm']]]/Tabelle1[[#This Row],[Formfaktor]],""),"")</f>
        <v>501.875</v>
      </c>
      <c r="AG485" s="99">
        <f>IF(OR(Tabelle1[[#This Row],[Nicht einbezogen weil…]]="",Tabelle1[[#This Row],[Nicht einbezogen weil…]]="nicht-natürlich"),IF(Tabelle1[[#This Row],[Formfaktor]]=2, 1,IF(Tabelle1[[#This Row],[Formfaktor]]=4,2,IF(Tabelle1[[#This Row],[Formfaktor]]=6,3,""))),"")</f>
        <v>1</v>
      </c>
      <c r="AH485" s="97">
        <f>IF(OR(Tabelle1[[#This Row],[Nicht einbezogen weil…]]="",Tabelle1[[#This Row],[Nicht einbezogen weil…]]="nicht-natürlich"),IFERROR(Tabelle1[[#This Row],[Thickness '[mm']]]/Tabelle1[[#This Row],[Dauer des Abbaus
'[Tage']]]*1000*0.5*365*(1-(1-Tabelle1[[#This Row],[Abbaurate '[%/d']]]/100*Tabelle1[[#This Row],[Dauer des Abbaus
'[Tage']]])^(1/Tabelle1[[#This Row],[Exponent]])),""),"")</f>
        <v>501.87500000000006</v>
      </c>
      <c r="AI48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PCL_Süßwasser_natürlich</v>
      </c>
      <c r="AJ485" s="71">
        <v>1</v>
      </c>
      <c r="AK48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85" s="3" t="s">
        <v>699</v>
      </c>
      <c r="AM485" s="8" t="s">
        <v>385</v>
      </c>
      <c r="AO485" s="3" t="s">
        <v>235</v>
      </c>
      <c r="AP485" s="3" t="s">
        <v>235</v>
      </c>
      <c r="AQ485" s="3" t="s">
        <v>235</v>
      </c>
      <c r="AR485" s="2" t="s">
        <v>300</v>
      </c>
      <c r="AT485" s="10" t="s">
        <v>223</v>
      </c>
      <c r="AU485" s="13" t="s">
        <v>200</v>
      </c>
      <c r="AW485" s="10" t="s">
        <v>813</v>
      </c>
    </row>
    <row r="486" spans="2:49" ht="17.25" customHeight="1">
      <c r="B486" s="7" t="s">
        <v>187</v>
      </c>
      <c r="C486" s="3" t="s">
        <v>126</v>
      </c>
      <c r="D486" s="3" t="s">
        <v>223</v>
      </c>
      <c r="E486" s="10"/>
      <c r="F486" s="3" t="s">
        <v>288</v>
      </c>
      <c r="G486" s="3">
        <v>2</v>
      </c>
      <c r="H486" s="3" t="s">
        <v>341</v>
      </c>
      <c r="I486" s="24">
        <v>1.2</v>
      </c>
      <c r="J486" s="3" t="s">
        <v>530</v>
      </c>
      <c r="L486" s="3" t="s">
        <v>229</v>
      </c>
      <c r="M486" s="3" t="s">
        <v>223</v>
      </c>
      <c r="N486" s="3" t="s">
        <v>94</v>
      </c>
      <c r="O486" s="3" t="s">
        <v>23</v>
      </c>
      <c r="P48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86" s="4" t="s">
        <v>129</v>
      </c>
      <c r="R486" s="4" t="s">
        <v>130</v>
      </c>
      <c r="U486" s="4" t="s">
        <v>12</v>
      </c>
      <c r="W486" s="3" t="s">
        <v>13</v>
      </c>
      <c r="Y486" s="4">
        <v>0</v>
      </c>
      <c r="Z486" s="4">
        <v>365</v>
      </c>
      <c r="AA486" s="5">
        <f>Y486/Z486</f>
        <v>0</v>
      </c>
      <c r="AB486" s="5"/>
      <c r="AC48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86" s="97" t="str">
        <f>IF(Tabelle1[[#This Row],[Nicht einbezogen weil…]]="",IFERROR(1000*Tabelle1[[#This Row],[Formfaktor]]/Tabelle1[[#This Row],[Thickness '[mm']]],""),"")</f>
        <v/>
      </c>
      <c r="AE486" s="98" t="str">
        <f>IF(Tabelle1[[#This Row],[Nicht einbezogen weil…]]="",IFERROR(Tabelle1[[#This Row],[specific surface '[m^2/m^3']]]/Tabelle1[[#This Row],[Density 
'[g/cm3']]]/1000000,""),"")</f>
        <v/>
      </c>
      <c r="AF486" s="97" t="str">
        <f>IF(Tabelle1[[#This Row],[Nicht einbezogen weil…]]="",IFERROR(365*10*Tabelle1[[#This Row],[Abbaurate '[%/d']]]*Tabelle1[[#This Row],[Thickness '[mm']]]/Tabelle1[[#This Row],[Formfaktor]],""),"")</f>
        <v/>
      </c>
      <c r="AG486" s="99">
        <f>IF(OR(Tabelle1[[#This Row],[Nicht einbezogen weil…]]="",Tabelle1[[#This Row],[Nicht einbezogen weil…]]="nicht-natürlich"),IF(Tabelle1[[#This Row],[Formfaktor]]=2, 1,IF(Tabelle1[[#This Row],[Formfaktor]]=4,2,IF(Tabelle1[[#This Row],[Formfaktor]]=6,3,""))),"")</f>
        <v>1</v>
      </c>
      <c r="AH486" s="97">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48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PU_Meerwasser_nicht natürlich</v>
      </c>
      <c r="AJ486" s="71">
        <v>1</v>
      </c>
      <c r="AK48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486" s="3" t="s">
        <v>101</v>
      </c>
      <c r="AO486" s="3" t="s">
        <v>235</v>
      </c>
      <c r="AP486" s="3" t="s">
        <v>235</v>
      </c>
      <c r="AT486" s="10" t="s">
        <v>223</v>
      </c>
      <c r="AU486" s="13" t="s">
        <v>200</v>
      </c>
      <c r="AW486" s="10" t="s">
        <v>775</v>
      </c>
    </row>
    <row r="487" spans="2:49" ht="17.25" customHeight="1">
      <c r="B487" s="7" t="s">
        <v>187</v>
      </c>
      <c r="C487" s="3" t="s">
        <v>124</v>
      </c>
      <c r="D487" s="3" t="s">
        <v>223</v>
      </c>
      <c r="E487" s="10"/>
      <c r="F487" s="3" t="s">
        <v>288</v>
      </c>
      <c r="G487" s="3">
        <v>2</v>
      </c>
      <c r="H487" s="3" t="s">
        <v>341</v>
      </c>
      <c r="I487" s="24">
        <v>1.2</v>
      </c>
      <c r="J487" s="3" t="s">
        <v>530</v>
      </c>
      <c r="L487" s="3" t="s">
        <v>229</v>
      </c>
      <c r="M487" s="3" t="s">
        <v>223</v>
      </c>
      <c r="N487" s="3" t="s">
        <v>94</v>
      </c>
      <c r="O487" s="3" t="s">
        <v>23</v>
      </c>
      <c r="P48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87" s="4" t="s">
        <v>129</v>
      </c>
      <c r="R487" s="4" t="s">
        <v>130</v>
      </c>
      <c r="U487" s="4" t="s">
        <v>12</v>
      </c>
      <c r="W487" s="3" t="s">
        <v>13</v>
      </c>
      <c r="Y487" s="4">
        <v>0</v>
      </c>
      <c r="Z487" s="4">
        <v>365</v>
      </c>
      <c r="AA487" s="5">
        <f>Y487/Z487</f>
        <v>0</v>
      </c>
      <c r="AB487" s="5"/>
      <c r="AC48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87" s="97" t="str">
        <f>IF(Tabelle1[[#This Row],[Nicht einbezogen weil…]]="",IFERROR(1000*Tabelle1[[#This Row],[Formfaktor]]/Tabelle1[[#This Row],[Thickness '[mm']]],""),"")</f>
        <v/>
      </c>
      <c r="AE487" s="98" t="str">
        <f>IF(Tabelle1[[#This Row],[Nicht einbezogen weil…]]="",IFERROR(Tabelle1[[#This Row],[specific surface '[m^2/m^3']]]/Tabelle1[[#This Row],[Density 
'[g/cm3']]]/1000000,""),"")</f>
        <v/>
      </c>
      <c r="AF487" s="97" t="str">
        <f>IF(Tabelle1[[#This Row],[Nicht einbezogen weil…]]="",IFERROR(365*10*Tabelle1[[#This Row],[Abbaurate '[%/d']]]*Tabelle1[[#This Row],[Thickness '[mm']]]/Tabelle1[[#This Row],[Formfaktor]],""),"")</f>
        <v/>
      </c>
      <c r="AG487" s="99">
        <f>IF(OR(Tabelle1[[#This Row],[Nicht einbezogen weil…]]="",Tabelle1[[#This Row],[Nicht einbezogen weil…]]="nicht-natürlich"),IF(Tabelle1[[#This Row],[Formfaktor]]=2, 1,IF(Tabelle1[[#This Row],[Formfaktor]]=4,2,IF(Tabelle1[[#This Row],[Formfaktor]]=6,3,""))),"")</f>
        <v>1</v>
      </c>
      <c r="AH487" s="97">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48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PU_Meerwasser_nicht natürlich</v>
      </c>
      <c r="AJ487" s="71">
        <v>1</v>
      </c>
      <c r="AK48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487" s="3" t="s">
        <v>101</v>
      </c>
      <c r="AO487" s="3" t="s">
        <v>235</v>
      </c>
      <c r="AP487" s="3" t="s">
        <v>235</v>
      </c>
      <c r="AT487" s="10" t="s">
        <v>223</v>
      </c>
      <c r="AU487" s="13" t="s">
        <v>200</v>
      </c>
      <c r="AW487" s="10" t="s">
        <v>775</v>
      </c>
    </row>
    <row r="488" spans="2:49" ht="17.25" customHeight="1">
      <c r="B488" s="7" t="s">
        <v>187</v>
      </c>
      <c r="C488" s="3" t="s">
        <v>125</v>
      </c>
      <c r="D488" s="3" t="s">
        <v>223</v>
      </c>
      <c r="E488" s="10"/>
      <c r="F488" s="3" t="s">
        <v>288</v>
      </c>
      <c r="G488" s="3">
        <v>2</v>
      </c>
      <c r="H488" s="3" t="s">
        <v>341</v>
      </c>
      <c r="I488" s="24">
        <v>1.2</v>
      </c>
      <c r="J488" s="3" t="s">
        <v>530</v>
      </c>
      <c r="L488" s="3" t="s">
        <v>229</v>
      </c>
      <c r="M488" s="3" t="s">
        <v>223</v>
      </c>
      <c r="N488" s="3" t="s">
        <v>94</v>
      </c>
      <c r="O488" s="3" t="s">
        <v>23</v>
      </c>
      <c r="P48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88" s="4" t="s">
        <v>129</v>
      </c>
      <c r="R488" s="4" t="s">
        <v>130</v>
      </c>
      <c r="U488" s="4" t="s">
        <v>12</v>
      </c>
      <c r="W488" s="3" t="s">
        <v>13</v>
      </c>
      <c r="Y488" s="4">
        <v>0</v>
      </c>
      <c r="Z488" s="4">
        <v>365</v>
      </c>
      <c r="AA488" s="5">
        <f>Y488/Z488</f>
        <v>0</v>
      </c>
      <c r="AB488" s="5"/>
      <c r="AC48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88" s="97" t="str">
        <f>IF(Tabelle1[[#This Row],[Nicht einbezogen weil…]]="",IFERROR(1000*Tabelle1[[#This Row],[Formfaktor]]/Tabelle1[[#This Row],[Thickness '[mm']]],""),"")</f>
        <v/>
      </c>
      <c r="AE488" s="98" t="str">
        <f>IF(Tabelle1[[#This Row],[Nicht einbezogen weil…]]="",IFERROR(Tabelle1[[#This Row],[specific surface '[m^2/m^3']]]/Tabelle1[[#This Row],[Density 
'[g/cm3']]]/1000000,""),"")</f>
        <v/>
      </c>
      <c r="AF488" s="97" t="str">
        <f>IF(Tabelle1[[#This Row],[Nicht einbezogen weil…]]="",IFERROR(365*10*Tabelle1[[#This Row],[Abbaurate '[%/d']]]*Tabelle1[[#This Row],[Thickness '[mm']]]/Tabelle1[[#This Row],[Formfaktor]],""),"")</f>
        <v/>
      </c>
      <c r="AG488" s="99">
        <f>IF(OR(Tabelle1[[#This Row],[Nicht einbezogen weil…]]="",Tabelle1[[#This Row],[Nicht einbezogen weil…]]="nicht-natürlich"),IF(Tabelle1[[#This Row],[Formfaktor]]=2, 1,IF(Tabelle1[[#This Row],[Formfaktor]]=4,2,IF(Tabelle1[[#This Row],[Formfaktor]]=6,3,""))),"")</f>
        <v>1</v>
      </c>
      <c r="AH488" s="97">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48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PU_Meerwasser_nicht natürlich</v>
      </c>
      <c r="AJ488" s="71">
        <v>1</v>
      </c>
      <c r="AK48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488" s="3" t="s">
        <v>101</v>
      </c>
      <c r="AO488" s="3" t="s">
        <v>235</v>
      </c>
      <c r="AP488" s="3" t="s">
        <v>235</v>
      </c>
      <c r="AT488" s="10" t="s">
        <v>223</v>
      </c>
      <c r="AU488" s="13" t="s">
        <v>200</v>
      </c>
      <c r="AW488" s="10" t="s">
        <v>775</v>
      </c>
    </row>
    <row r="489" spans="2:49" ht="17.25" customHeight="1">
      <c r="B489" s="109" t="s">
        <v>48</v>
      </c>
      <c r="C489" s="3" t="s">
        <v>48</v>
      </c>
      <c r="D489" s="3" t="s">
        <v>223</v>
      </c>
      <c r="E489" s="10"/>
      <c r="F489" s="3" t="s">
        <v>198</v>
      </c>
      <c r="G489" s="3">
        <v>0.1</v>
      </c>
      <c r="H489" s="3" t="s">
        <v>341</v>
      </c>
      <c r="I489" s="77">
        <v>1.1100000000000001</v>
      </c>
      <c r="M489" s="3" t="s">
        <v>301</v>
      </c>
      <c r="N489" s="3" t="s">
        <v>120</v>
      </c>
      <c r="O489" s="3" t="s">
        <v>23</v>
      </c>
      <c r="P48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89" s="4">
        <v>25</v>
      </c>
      <c r="U489" s="4" t="s">
        <v>12</v>
      </c>
      <c r="W489" s="3" t="s">
        <v>13</v>
      </c>
      <c r="Y489" s="4">
        <v>100</v>
      </c>
      <c r="Z489" s="4">
        <v>28</v>
      </c>
      <c r="AA489" s="5">
        <f>Tabelle1[[#This Row],[biologische
Abbaubarkeit '[%']]]/Z489</f>
        <v>3.5714285714285716</v>
      </c>
      <c r="AB489" s="5"/>
      <c r="AC48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89" s="97">
        <f>IF(Tabelle1[[#This Row],[Nicht einbezogen weil…]]="",IFERROR(1000*Tabelle1[[#This Row],[Formfaktor]]/Tabelle1[[#This Row],[Thickness '[mm']]],""),"")</f>
        <v>20000</v>
      </c>
      <c r="AE489" s="98">
        <f>IF(Tabelle1[[#This Row],[Nicht einbezogen weil…]]="",IFERROR(Tabelle1[[#This Row],[specific surface '[m^2/m^3']]]/Tabelle1[[#This Row],[Density 
'[g/cm3']]]/1000000,""),"")</f>
        <v>1.8018018018018018E-2</v>
      </c>
      <c r="AF489" s="97">
        <f>IF(Tabelle1[[#This Row],[Nicht einbezogen weil…]]="",IFERROR(365*10*Tabelle1[[#This Row],[Abbaurate '[%/d']]]*Tabelle1[[#This Row],[Thickness '[mm']]]/Tabelle1[[#This Row],[Formfaktor]],""),"")</f>
        <v>651.78571428571433</v>
      </c>
      <c r="AG489" s="99">
        <f>IF(OR(Tabelle1[[#This Row],[Nicht einbezogen weil…]]="",Tabelle1[[#This Row],[Nicht einbezogen weil…]]="nicht-natürlich"),IF(Tabelle1[[#This Row],[Formfaktor]]=2, 1,IF(Tabelle1[[#This Row],[Formfaktor]]=4,2,IF(Tabelle1[[#This Row],[Formfaktor]]=6,3,""))),"")</f>
        <v>1</v>
      </c>
      <c r="AH489"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651.78571428571445</v>
      </c>
      <c r="AI48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PCL_Meerwasser_natürlich</v>
      </c>
      <c r="AJ489" s="71">
        <v>1</v>
      </c>
      <c r="AK48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89" s="3" t="s">
        <v>699</v>
      </c>
      <c r="AM489" s="8" t="s">
        <v>385</v>
      </c>
      <c r="AO489" s="3" t="s">
        <v>235</v>
      </c>
      <c r="AP489" s="3" t="s">
        <v>235</v>
      </c>
      <c r="AQ489" s="3" t="s">
        <v>235</v>
      </c>
      <c r="AR489" s="2" t="s">
        <v>300</v>
      </c>
      <c r="AT489" s="10" t="s">
        <v>223</v>
      </c>
      <c r="AU489" s="13" t="s">
        <v>200</v>
      </c>
      <c r="AW489" s="10" t="s">
        <v>813</v>
      </c>
    </row>
    <row r="490" spans="2:49" ht="17.25" customHeight="1">
      <c r="B490" s="109" t="s">
        <v>48</v>
      </c>
      <c r="C490" s="3" t="s">
        <v>48</v>
      </c>
      <c r="D490" s="3" t="s">
        <v>223</v>
      </c>
      <c r="E490" s="10"/>
      <c r="F490" s="3" t="s">
        <v>198</v>
      </c>
      <c r="G490" s="3">
        <v>0.1</v>
      </c>
      <c r="H490" s="3" t="s">
        <v>341</v>
      </c>
      <c r="I490" s="77">
        <v>1.1100000000000001</v>
      </c>
      <c r="L490" s="18"/>
      <c r="M490" s="3" t="s">
        <v>301</v>
      </c>
      <c r="N490" s="3" t="s">
        <v>120</v>
      </c>
      <c r="O490" s="3" t="s">
        <v>23</v>
      </c>
      <c r="P49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90" s="4">
        <v>25</v>
      </c>
      <c r="U490" s="4" t="s">
        <v>12</v>
      </c>
      <c r="W490" s="3" t="s">
        <v>506</v>
      </c>
      <c r="Y490" s="4">
        <v>79</v>
      </c>
      <c r="Z490" s="4">
        <v>28</v>
      </c>
      <c r="AA490" s="5">
        <f>Tabelle1[[#This Row],[biologische
Abbaubarkeit '[%']]]/Z490</f>
        <v>2.8214285714285716</v>
      </c>
      <c r="AB490" s="5"/>
      <c r="AC49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90" s="97">
        <f>IF(Tabelle1[[#This Row],[Nicht einbezogen weil…]]="",IFERROR(1000*Tabelle1[[#This Row],[Formfaktor]]/Tabelle1[[#This Row],[Thickness '[mm']]],""),"")</f>
        <v>20000</v>
      </c>
      <c r="AE490" s="98">
        <f>IF(Tabelle1[[#This Row],[Nicht einbezogen weil…]]="",IFERROR(Tabelle1[[#This Row],[specific surface '[m^2/m^3']]]/Tabelle1[[#This Row],[Density 
'[g/cm3']]]/1000000,""),"")</f>
        <v>1.8018018018018018E-2</v>
      </c>
      <c r="AF490" s="97">
        <f>IF(Tabelle1[[#This Row],[Nicht einbezogen weil…]]="",IFERROR(365*10*Tabelle1[[#This Row],[Abbaurate '[%/d']]]*Tabelle1[[#This Row],[Thickness '[mm']]]/Tabelle1[[#This Row],[Formfaktor]],""),"")</f>
        <v>514.91071428571433</v>
      </c>
      <c r="AG490" s="99">
        <f>IF(OR(Tabelle1[[#This Row],[Nicht einbezogen weil…]]="",Tabelle1[[#This Row],[Nicht einbezogen weil…]]="nicht-natürlich"),IF(Tabelle1[[#This Row],[Formfaktor]]=2, 1,IF(Tabelle1[[#This Row],[Formfaktor]]=4,2,IF(Tabelle1[[#This Row],[Formfaktor]]=6,3,""))),"")</f>
        <v>1</v>
      </c>
      <c r="AH490" s="97">
        <f>IF(OR(Tabelle1[[#This Row],[Nicht einbezogen weil…]]="",Tabelle1[[#This Row],[Nicht einbezogen weil…]]="nicht-natürlich"),IFERROR(Tabelle1[[#This Row],[Thickness '[mm']]]/Tabelle1[[#This Row],[Dauer des Abbaus
'[Tage']]]*1000*0.5*365*(1-(1-Tabelle1[[#This Row],[Abbaurate '[%/d']]]/100*Tabelle1[[#This Row],[Dauer des Abbaus
'[Tage']]])^(1/Tabelle1[[#This Row],[Exponent]])),""),"")</f>
        <v>514.91071428571433</v>
      </c>
      <c r="AI49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PCL_Meerwasser_natürlich</v>
      </c>
      <c r="AJ490" s="71">
        <v>1</v>
      </c>
      <c r="AK49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90" s="3" t="s">
        <v>699</v>
      </c>
      <c r="AM490" s="8" t="s">
        <v>385</v>
      </c>
      <c r="AO490" s="3" t="s">
        <v>235</v>
      </c>
      <c r="AP490" s="3" t="s">
        <v>235</v>
      </c>
      <c r="AQ490" s="3" t="s">
        <v>235</v>
      </c>
      <c r="AR490" s="2" t="s">
        <v>300</v>
      </c>
      <c r="AT490" s="10" t="s">
        <v>223</v>
      </c>
      <c r="AU490" s="13" t="s">
        <v>200</v>
      </c>
      <c r="AW490" s="10" t="s">
        <v>813</v>
      </c>
    </row>
    <row r="491" spans="2:49" ht="17.25" customHeight="1">
      <c r="B491" s="109" t="s">
        <v>48</v>
      </c>
      <c r="C491" s="3" t="s">
        <v>48</v>
      </c>
      <c r="D491" s="3" t="s">
        <v>223</v>
      </c>
      <c r="E491" s="10"/>
      <c r="F491" s="3" t="s">
        <v>198</v>
      </c>
      <c r="G491" s="3">
        <v>0.1</v>
      </c>
      <c r="H491" s="3" t="s">
        <v>341</v>
      </c>
      <c r="I491" s="77">
        <v>1.1100000000000001</v>
      </c>
      <c r="L491" s="18"/>
      <c r="M491" s="3" t="s">
        <v>301</v>
      </c>
      <c r="N491" s="3" t="s">
        <v>121</v>
      </c>
      <c r="O491" s="3" t="s">
        <v>23</v>
      </c>
      <c r="P49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491" s="4">
        <v>25</v>
      </c>
      <c r="U491" s="4" t="s">
        <v>12</v>
      </c>
      <c r="W491" s="3" t="s">
        <v>13</v>
      </c>
      <c r="Y491" s="4">
        <v>67</v>
      </c>
      <c r="Z491" s="4">
        <v>28</v>
      </c>
      <c r="AA491" s="5">
        <f>Tabelle1[[#This Row],[biologische
Abbaubarkeit '[%']]]/Z491</f>
        <v>2.3928571428571428</v>
      </c>
      <c r="AB491" s="5"/>
      <c r="AC49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91" s="97">
        <f>IF(Tabelle1[[#This Row],[Nicht einbezogen weil…]]="",IFERROR(1000*Tabelle1[[#This Row],[Formfaktor]]/Tabelle1[[#This Row],[Thickness '[mm']]],""),"")</f>
        <v>20000</v>
      </c>
      <c r="AE491" s="98">
        <f>IF(Tabelle1[[#This Row],[Nicht einbezogen weil…]]="",IFERROR(Tabelle1[[#This Row],[specific surface '[m^2/m^3']]]/Tabelle1[[#This Row],[Density 
'[g/cm3']]]/1000000,""),"")</f>
        <v>1.8018018018018018E-2</v>
      </c>
      <c r="AF491" s="97">
        <f>IF(Tabelle1[[#This Row],[Nicht einbezogen weil…]]="",IFERROR(365*10*Tabelle1[[#This Row],[Abbaurate '[%/d']]]*Tabelle1[[#This Row],[Thickness '[mm']]]/Tabelle1[[#This Row],[Formfaktor]],""),"")</f>
        <v>436.69642857142856</v>
      </c>
      <c r="AG491" s="99">
        <f>IF(OR(Tabelle1[[#This Row],[Nicht einbezogen weil…]]="",Tabelle1[[#This Row],[Nicht einbezogen weil…]]="nicht-natürlich"),IF(Tabelle1[[#This Row],[Formfaktor]]=2, 1,IF(Tabelle1[[#This Row],[Formfaktor]]=4,2,IF(Tabelle1[[#This Row],[Formfaktor]]=6,3,""))),"")</f>
        <v>1</v>
      </c>
      <c r="AH491" s="97">
        <f>IF(OR(Tabelle1[[#This Row],[Nicht einbezogen weil…]]="",Tabelle1[[#This Row],[Nicht einbezogen weil…]]="nicht-natürlich"),IFERROR(Tabelle1[[#This Row],[Thickness '[mm']]]/Tabelle1[[#This Row],[Dauer des Abbaus
'[Tage']]]*1000*0.5*365*(1-(1-Tabelle1[[#This Row],[Abbaurate '[%/d']]]/100*Tabelle1[[#This Row],[Dauer des Abbaus
'[Tage']]])^(1/Tabelle1[[#This Row],[Exponent]])),""),"")</f>
        <v>436.69642857142856</v>
      </c>
      <c r="AI49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PCL_Meerwasser_natürlich</v>
      </c>
      <c r="AJ491" s="71">
        <v>1</v>
      </c>
      <c r="AK49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491" s="3" t="s">
        <v>699</v>
      </c>
      <c r="AM491" s="8" t="s">
        <v>385</v>
      </c>
      <c r="AO491" s="3" t="s">
        <v>235</v>
      </c>
      <c r="AP491" s="3" t="s">
        <v>235</v>
      </c>
      <c r="AQ491" s="3" t="s">
        <v>235</v>
      </c>
      <c r="AR491" s="2" t="s">
        <v>300</v>
      </c>
      <c r="AT491" s="10" t="s">
        <v>223</v>
      </c>
      <c r="AU491" s="13" t="s">
        <v>200</v>
      </c>
      <c r="AW491" s="10" t="s">
        <v>813</v>
      </c>
    </row>
    <row r="492" spans="2:49" ht="17.25" customHeight="1">
      <c r="B492" s="11" t="s">
        <v>644</v>
      </c>
      <c r="C492" s="3" t="s">
        <v>650</v>
      </c>
      <c r="D492" s="3" t="s">
        <v>223</v>
      </c>
      <c r="E492" s="10"/>
      <c r="F492" s="74" t="s">
        <v>341</v>
      </c>
      <c r="G492" s="74" t="s">
        <v>341</v>
      </c>
      <c r="H492" s="74" t="s">
        <v>341</v>
      </c>
      <c r="I492" s="24">
        <f t="shared" ref="I492:I497" si="30">AVERAGE(1.35,1.465)</f>
        <v>1.4075000000000002</v>
      </c>
      <c r="L492" s="75"/>
      <c r="M492" s="3" t="s">
        <v>223</v>
      </c>
      <c r="N492" s="3" t="s">
        <v>655</v>
      </c>
      <c r="O492" s="3" t="s">
        <v>294</v>
      </c>
      <c r="P49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92" s="4">
        <v>30</v>
      </c>
      <c r="U492" s="4" t="s">
        <v>12</v>
      </c>
      <c r="W492" s="3" t="s">
        <v>190</v>
      </c>
      <c r="Y492" s="4">
        <v>5.0199999999999996</v>
      </c>
      <c r="Z492" s="4">
        <v>14</v>
      </c>
      <c r="AA492" s="5">
        <f t="shared" ref="AA492:AA505" si="31">Y492/Z492</f>
        <v>0.35857142857142854</v>
      </c>
      <c r="AB492" s="5"/>
      <c r="AC492"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92" s="97" t="str">
        <f>IF(Tabelle1[[#This Row],[Nicht einbezogen weil…]]="",IFERROR(1000*Tabelle1[[#This Row],[Formfaktor]]/Tabelle1[[#This Row],[Thickness '[mm']]],""),"")</f>
        <v/>
      </c>
      <c r="AE492" s="98" t="str">
        <f>IF(Tabelle1[[#This Row],[Nicht einbezogen weil…]]="",IFERROR(Tabelle1[[#This Row],[specific surface '[m^2/m^3']]]/Tabelle1[[#This Row],[Density 
'[g/cm3']]]/1000000,""),"")</f>
        <v/>
      </c>
      <c r="AF492" s="97" t="str">
        <f>IF(Tabelle1[[#This Row],[Nicht einbezogen weil…]]="",IFERROR(365*10*Tabelle1[[#This Row],[Abbaurate '[%/d']]]*Tabelle1[[#This Row],[Thickness '[mm']]]/Tabelle1[[#This Row],[Formfaktor]],""),"")</f>
        <v/>
      </c>
      <c r="AG492" s="99" t="str">
        <f>IF(OR(Tabelle1[[#This Row],[Nicht einbezogen weil…]]="",Tabelle1[[#This Row],[Nicht einbezogen weil…]]="nicht-natürlich"),IF(Tabelle1[[#This Row],[Formfaktor]]=2, 1,IF(Tabelle1[[#This Row],[Formfaktor]]=4,2,IF(Tabelle1[[#This Row],[Formfaktor]]=6,3,""))),"")</f>
        <v/>
      </c>
      <c r="AH49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9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92" s="71">
        <v>1</v>
      </c>
      <c r="AK49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492" s="3" t="s">
        <v>386</v>
      </c>
      <c r="AM492" s="3" t="s">
        <v>962</v>
      </c>
      <c r="AN492" s="3" t="s">
        <v>538</v>
      </c>
      <c r="AO492" s="3" t="s">
        <v>200</v>
      </c>
      <c r="AP492" s="3" t="s">
        <v>200</v>
      </c>
      <c r="AT492" s="10" t="s">
        <v>223</v>
      </c>
      <c r="AU492" s="13" t="s">
        <v>200</v>
      </c>
      <c r="AW492" s="10" t="s">
        <v>775</v>
      </c>
    </row>
    <row r="493" spans="2:49" ht="17.25" customHeight="1">
      <c r="B493" s="7" t="s">
        <v>86</v>
      </c>
      <c r="C493" s="3" t="s">
        <v>986</v>
      </c>
      <c r="E493" s="10"/>
      <c r="F493" s="3" t="s">
        <v>250</v>
      </c>
      <c r="G493" s="3" t="s">
        <v>341</v>
      </c>
      <c r="H493" s="3" t="s">
        <v>341</v>
      </c>
      <c r="I493" s="24">
        <f t="shared" si="30"/>
        <v>1.4075000000000002</v>
      </c>
      <c r="J493" s="3" t="s">
        <v>992</v>
      </c>
      <c r="K493" s="8" t="s">
        <v>989</v>
      </c>
      <c r="L493" s="3" t="s">
        <v>997</v>
      </c>
      <c r="M493" s="3" t="s">
        <v>200</v>
      </c>
      <c r="N493" s="3" t="s">
        <v>998</v>
      </c>
      <c r="O493" s="3" t="s">
        <v>358</v>
      </c>
      <c r="P49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493" s="3" t="s">
        <v>478</v>
      </c>
      <c r="X493" s="3" t="s">
        <v>1131</v>
      </c>
      <c r="AA493" s="5" t="e">
        <f t="shared" si="31"/>
        <v>#DIV/0!</v>
      </c>
      <c r="AB493" s="5"/>
      <c r="AC49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93" s="5" t="str">
        <f>IF(Tabelle1[[#This Row],[Nicht einbezogen weil…]]="",IFERROR(1000*Tabelle1[[#This Row],[Formfaktor]]/Tabelle1[[#This Row],[Thickness '[mm']]],""),"")</f>
        <v/>
      </c>
      <c r="AE493" s="5" t="str">
        <f>IF(Tabelle1[[#This Row],[Nicht einbezogen weil…]]="",IFERROR(Tabelle1[[#This Row],[specific surface '[m^2/m^3']]]/Tabelle1[[#This Row],[Density 
'[g/cm3']]]/1000000,""),"")</f>
        <v/>
      </c>
      <c r="AF493" s="5" t="str">
        <f>IF(Tabelle1[[#This Row],[Nicht einbezogen weil…]]="",IFERROR(365*10*Tabelle1[[#This Row],[Abbaurate '[%/d']]]*Tabelle1[[#This Row],[Thickness '[mm']]]/Tabelle1[[#This Row],[Formfaktor]],""),"")</f>
        <v/>
      </c>
      <c r="AG493" s="328" t="str">
        <f>IF(OR(Tabelle1[[#This Row],[Nicht einbezogen weil…]]="",Tabelle1[[#This Row],[Nicht einbezogen weil…]]="nicht-natürlich"),IF(Tabelle1[[#This Row],[Formfaktor]]=2, 1,IF(Tabelle1[[#This Row],[Formfaktor]]=4,2,IF(Tabelle1[[#This Row],[Formfaktor]]=6,3,""))),"")</f>
        <v/>
      </c>
      <c r="AH493"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9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93" s="6">
        <v>1</v>
      </c>
      <c r="AK49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93" s="3" t="s">
        <v>979</v>
      </c>
      <c r="AM493" s="3" t="s">
        <v>967</v>
      </c>
      <c r="AN493" s="3" t="s">
        <v>824</v>
      </c>
      <c r="AT493" s="10" t="s">
        <v>200</v>
      </c>
      <c r="AU493" s="13" t="s">
        <v>200</v>
      </c>
      <c r="AW493" s="10" t="s">
        <v>775</v>
      </c>
    </row>
    <row r="494" spans="2:49" ht="17.25" customHeight="1">
      <c r="B494" s="7" t="s">
        <v>86</v>
      </c>
      <c r="C494" s="3" t="s">
        <v>86</v>
      </c>
      <c r="D494" s="12" t="s">
        <v>223</v>
      </c>
      <c r="E494" s="10"/>
      <c r="F494" s="12" t="s">
        <v>288</v>
      </c>
      <c r="G494" s="12" t="s">
        <v>341</v>
      </c>
      <c r="H494" s="12">
        <f>6*0.025</f>
        <v>0.15000000000000002</v>
      </c>
      <c r="I494" s="24">
        <f t="shared" si="30"/>
        <v>1.4075000000000002</v>
      </c>
      <c r="K494" s="8" t="s">
        <v>322</v>
      </c>
      <c r="L494" s="3" t="s">
        <v>852</v>
      </c>
      <c r="M494" s="3" t="s">
        <v>223</v>
      </c>
      <c r="N494" s="3" t="s">
        <v>853</v>
      </c>
      <c r="O494" s="3" t="s">
        <v>294</v>
      </c>
      <c r="P49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494" s="4">
        <v>30</v>
      </c>
      <c r="U494" s="4" t="s">
        <v>12</v>
      </c>
      <c r="V494" s="4" t="s">
        <v>734</v>
      </c>
      <c r="W494" s="3" t="s">
        <v>190</v>
      </c>
      <c r="Y494" s="345" t="s">
        <v>854</v>
      </c>
      <c r="Z494" s="4">
        <v>28</v>
      </c>
      <c r="AA494" s="5" t="e">
        <f t="shared" si="31"/>
        <v>#VALUE!</v>
      </c>
      <c r="AB494" s="5"/>
      <c r="AC49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94" s="97" t="str">
        <f>IF(Tabelle1[[#This Row],[Nicht einbezogen weil…]]="",IFERROR(1000*Tabelle1[[#This Row],[Formfaktor]]/Tabelle1[[#This Row],[Thickness '[mm']]],""),"")</f>
        <v/>
      </c>
      <c r="AE494" s="98" t="str">
        <f>IF(Tabelle1[[#This Row],[Nicht einbezogen weil…]]="",IFERROR(Tabelle1[[#This Row],[specific surface '[m^2/m^3']]]/Tabelle1[[#This Row],[Density 
'[g/cm3']]]/1000000,""),"")</f>
        <v/>
      </c>
      <c r="AF494" s="97" t="str">
        <f>IF(Tabelle1[[#This Row],[Nicht einbezogen weil…]]="",IFERROR(365*10*Tabelle1[[#This Row],[Abbaurate '[%/d']]]*Tabelle1[[#This Row],[Thickness '[mm']]]/Tabelle1[[#This Row],[Formfaktor]],""),"")</f>
        <v/>
      </c>
      <c r="AG494" s="99" t="str">
        <f>IF(OR(Tabelle1[[#This Row],[Nicht einbezogen weil…]]="",Tabelle1[[#This Row],[Nicht einbezogen weil…]]="nicht-natürlich"),IF(Tabelle1[[#This Row],[Formfaktor]]=2, 1,IF(Tabelle1[[#This Row],[Formfaktor]]=4,2,IF(Tabelle1[[#This Row],[Formfaktor]]=6,3,""))),"")</f>
        <v/>
      </c>
      <c r="AH49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9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94" s="6">
        <v>1</v>
      </c>
      <c r="AK49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94" s="10" t="s">
        <v>822</v>
      </c>
      <c r="AM494" s="3" t="s">
        <v>855</v>
      </c>
      <c r="AN494" s="3" t="s">
        <v>824</v>
      </c>
      <c r="AO494" s="3" t="s">
        <v>200</v>
      </c>
      <c r="AP494" s="3" t="s">
        <v>200</v>
      </c>
      <c r="AU494" s="13" t="s">
        <v>200</v>
      </c>
      <c r="AW494" s="10" t="s">
        <v>775</v>
      </c>
    </row>
    <row r="495" spans="2:49" ht="17.25" customHeight="1">
      <c r="B495" s="7" t="s">
        <v>86</v>
      </c>
      <c r="C495" s="3" t="s">
        <v>86</v>
      </c>
      <c r="D495" s="12" t="s">
        <v>223</v>
      </c>
      <c r="E495" s="10"/>
      <c r="F495" s="12" t="s">
        <v>996</v>
      </c>
      <c r="G495" s="12" t="s">
        <v>341</v>
      </c>
      <c r="H495" s="12" t="s">
        <v>341</v>
      </c>
      <c r="I495" s="24">
        <f t="shared" si="30"/>
        <v>1.4075000000000002</v>
      </c>
      <c r="L495" s="3" t="s">
        <v>1061</v>
      </c>
      <c r="M495" s="3" t="s">
        <v>223</v>
      </c>
      <c r="N495" s="3" t="s">
        <v>688</v>
      </c>
      <c r="O495" s="3" t="s">
        <v>294</v>
      </c>
      <c r="P49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495" s="4" t="s">
        <v>89</v>
      </c>
      <c r="W495" s="3" t="s">
        <v>190</v>
      </c>
      <c r="Y495" s="4">
        <v>3</v>
      </c>
      <c r="Z495" s="4">
        <f>1800/24</f>
        <v>75</v>
      </c>
      <c r="AA495" s="5">
        <f t="shared" si="31"/>
        <v>0.04</v>
      </c>
      <c r="AB495" s="5"/>
      <c r="AC49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95" s="97" t="str">
        <f>IF(Tabelle1[[#This Row],[Nicht einbezogen weil…]]="",IFERROR(1000*Tabelle1[[#This Row],[Formfaktor]]/Tabelle1[[#This Row],[Thickness '[mm']]],""),"")</f>
        <v/>
      </c>
      <c r="AE495" s="98" t="str">
        <f>IF(Tabelle1[[#This Row],[Nicht einbezogen weil…]]="",IFERROR(Tabelle1[[#This Row],[specific surface '[m^2/m^3']]]/Tabelle1[[#This Row],[Density 
'[g/cm3']]]/1000000,""),"")</f>
        <v/>
      </c>
      <c r="AF495" s="97" t="str">
        <f>IF(Tabelle1[[#This Row],[Nicht einbezogen weil…]]="",IFERROR(365*10*Tabelle1[[#This Row],[Abbaurate '[%/d']]]*Tabelle1[[#This Row],[Thickness '[mm']]]/Tabelle1[[#This Row],[Formfaktor]],""),"")</f>
        <v/>
      </c>
      <c r="AG495" s="99" t="str">
        <f>IF(OR(Tabelle1[[#This Row],[Nicht einbezogen weil…]]="",Tabelle1[[#This Row],[Nicht einbezogen weil…]]="nicht-natürlich"),IF(Tabelle1[[#This Row],[Formfaktor]]=2, 1,IF(Tabelle1[[#This Row],[Formfaktor]]=4,2,IF(Tabelle1[[#This Row],[Formfaktor]]=6,3,""))),"")</f>
        <v/>
      </c>
      <c r="AH495"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9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95" s="6">
        <v>1</v>
      </c>
      <c r="AK49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95" s="3" t="s">
        <v>1060</v>
      </c>
      <c r="AO495" s="3" t="s">
        <v>200</v>
      </c>
      <c r="AP495" s="3" t="s">
        <v>200</v>
      </c>
      <c r="AT495" s="10" t="s">
        <v>223</v>
      </c>
      <c r="AU495" s="13" t="s">
        <v>200</v>
      </c>
      <c r="AW495" s="10" t="s">
        <v>775</v>
      </c>
    </row>
    <row r="496" spans="2:49" ht="17.25" customHeight="1">
      <c r="B496" s="7" t="s">
        <v>795</v>
      </c>
      <c r="C496" s="3" t="s">
        <v>87</v>
      </c>
      <c r="D496" s="12" t="s">
        <v>223</v>
      </c>
      <c r="E496" s="10"/>
      <c r="F496" s="12" t="s">
        <v>198</v>
      </c>
      <c r="G496" s="12" t="s">
        <v>341</v>
      </c>
      <c r="H496" s="12" t="s">
        <v>341</v>
      </c>
      <c r="I496" s="24">
        <f t="shared" si="30"/>
        <v>1.4075000000000002</v>
      </c>
      <c r="L496" s="3" t="s">
        <v>1061</v>
      </c>
      <c r="M496" s="3" t="s">
        <v>223</v>
      </c>
      <c r="N496" s="3" t="s">
        <v>688</v>
      </c>
      <c r="O496" s="3" t="s">
        <v>294</v>
      </c>
      <c r="P49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496" s="4" t="s">
        <v>89</v>
      </c>
      <c r="W496" s="3" t="s">
        <v>190</v>
      </c>
      <c r="Y496" s="4">
        <v>7</v>
      </c>
      <c r="Z496" s="4">
        <f>1800/24</f>
        <v>75</v>
      </c>
      <c r="AA496" s="5">
        <f t="shared" si="31"/>
        <v>9.3333333333333338E-2</v>
      </c>
      <c r="AB496" s="5"/>
      <c r="AC49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96" s="97" t="str">
        <f>IF(Tabelle1[[#This Row],[Nicht einbezogen weil…]]="",IFERROR(1000*Tabelle1[[#This Row],[Formfaktor]]/Tabelle1[[#This Row],[Thickness '[mm']]],""),"")</f>
        <v/>
      </c>
      <c r="AE496" s="98" t="str">
        <f>IF(Tabelle1[[#This Row],[Nicht einbezogen weil…]]="",IFERROR(Tabelle1[[#This Row],[specific surface '[m^2/m^3']]]/Tabelle1[[#This Row],[Density 
'[g/cm3']]]/1000000,""),"")</f>
        <v/>
      </c>
      <c r="AF496" s="97" t="str">
        <f>IF(Tabelle1[[#This Row],[Nicht einbezogen weil…]]="",IFERROR(365*10*Tabelle1[[#This Row],[Abbaurate '[%/d']]]*Tabelle1[[#This Row],[Thickness '[mm']]]/Tabelle1[[#This Row],[Formfaktor]],""),"")</f>
        <v/>
      </c>
      <c r="AG496" s="99" t="str">
        <f>IF(OR(Tabelle1[[#This Row],[Nicht einbezogen weil…]]="",Tabelle1[[#This Row],[Nicht einbezogen weil…]]="nicht-natürlich"),IF(Tabelle1[[#This Row],[Formfaktor]]=2, 1,IF(Tabelle1[[#This Row],[Formfaktor]]=4,2,IF(Tabelle1[[#This Row],[Formfaktor]]=6,3,""))),"")</f>
        <v/>
      </c>
      <c r="AH496"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9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96" s="6">
        <v>1</v>
      </c>
      <c r="AK49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96" s="3" t="s">
        <v>1060</v>
      </c>
      <c r="AO496" s="3" t="s">
        <v>200</v>
      </c>
      <c r="AP496" s="3" t="s">
        <v>200</v>
      </c>
      <c r="AT496" s="10" t="s">
        <v>223</v>
      </c>
      <c r="AU496" s="13" t="s">
        <v>200</v>
      </c>
      <c r="AW496" s="10" t="s">
        <v>775</v>
      </c>
    </row>
    <row r="497" spans="2:49" ht="17.25" customHeight="1">
      <c r="B497" s="7" t="s">
        <v>795</v>
      </c>
      <c r="C497" s="3" t="s">
        <v>88</v>
      </c>
      <c r="D497" s="12" t="s">
        <v>223</v>
      </c>
      <c r="E497" s="10"/>
      <c r="F497" s="12" t="s">
        <v>198</v>
      </c>
      <c r="G497" s="12" t="s">
        <v>341</v>
      </c>
      <c r="H497" s="12" t="s">
        <v>341</v>
      </c>
      <c r="I497" s="24">
        <f t="shared" si="30"/>
        <v>1.4075000000000002</v>
      </c>
      <c r="L497" s="3" t="s">
        <v>1061</v>
      </c>
      <c r="M497" s="3" t="s">
        <v>223</v>
      </c>
      <c r="N497" s="3" t="s">
        <v>688</v>
      </c>
      <c r="O497" s="3" t="s">
        <v>294</v>
      </c>
      <c r="P49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497" s="4" t="s">
        <v>89</v>
      </c>
      <c r="W497" s="3" t="s">
        <v>190</v>
      </c>
      <c r="Y497" s="4">
        <v>5</v>
      </c>
      <c r="Z497" s="4">
        <f>1800/24</f>
        <v>75</v>
      </c>
      <c r="AA497" s="5">
        <f t="shared" si="31"/>
        <v>6.6666666666666666E-2</v>
      </c>
      <c r="AB497" s="5"/>
      <c r="AC49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497" s="97" t="str">
        <f>IF(Tabelle1[[#This Row],[Nicht einbezogen weil…]]="",IFERROR(1000*Tabelle1[[#This Row],[Formfaktor]]/Tabelle1[[#This Row],[Thickness '[mm']]],""),"")</f>
        <v/>
      </c>
      <c r="AE497" s="98" t="str">
        <f>IF(Tabelle1[[#This Row],[Nicht einbezogen weil…]]="",IFERROR(Tabelle1[[#This Row],[specific surface '[m^2/m^3']]]/Tabelle1[[#This Row],[Density 
'[g/cm3']]]/1000000,""),"")</f>
        <v/>
      </c>
      <c r="AF497" s="97" t="str">
        <f>IF(Tabelle1[[#This Row],[Nicht einbezogen weil…]]="",IFERROR(365*10*Tabelle1[[#This Row],[Abbaurate '[%/d']]]*Tabelle1[[#This Row],[Thickness '[mm']]]/Tabelle1[[#This Row],[Formfaktor]],""),"")</f>
        <v/>
      </c>
      <c r="AG497" s="99" t="str">
        <f>IF(OR(Tabelle1[[#This Row],[Nicht einbezogen weil…]]="",Tabelle1[[#This Row],[Nicht einbezogen weil…]]="nicht-natürlich"),IF(Tabelle1[[#This Row],[Formfaktor]]=2, 1,IF(Tabelle1[[#This Row],[Formfaktor]]=4,2,IF(Tabelle1[[#This Row],[Formfaktor]]=6,3,""))),"")</f>
        <v/>
      </c>
      <c r="AH49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9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97" s="6">
        <v>1</v>
      </c>
      <c r="AK49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497" s="3" t="s">
        <v>1060</v>
      </c>
      <c r="AO497" s="3" t="s">
        <v>200</v>
      </c>
      <c r="AP497" s="3" t="s">
        <v>200</v>
      </c>
      <c r="AT497" s="10" t="s">
        <v>223</v>
      </c>
      <c r="AU497" s="13" t="s">
        <v>200</v>
      </c>
      <c r="AW497" s="10" t="s">
        <v>775</v>
      </c>
    </row>
    <row r="498" spans="2:49" ht="17.25" customHeight="1">
      <c r="B498" s="109" t="s">
        <v>86</v>
      </c>
      <c r="C498" s="3" t="s">
        <v>86</v>
      </c>
      <c r="D498" s="3" t="s">
        <v>200</v>
      </c>
      <c r="E498" s="10" t="s">
        <v>205</v>
      </c>
      <c r="F498" s="3" t="s">
        <v>341</v>
      </c>
      <c r="G498" s="3" t="s">
        <v>341</v>
      </c>
      <c r="I498" s="17" t="s">
        <v>596</v>
      </c>
      <c r="L498" s="3" t="s">
        <v>883</v>
      </c>
      <c r="P49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AA498" s="5" t="e">
        <f t="shared" si="31"/>
        <v>#DIV/0!</v>
      </c>
      <c r="AB498" s="5"/>
      <c r="AC498"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98" s="97" t="str">
        <f>IF(Tabelle1[[#This Row],[Nicht einbezogen weil…]]="",IFERROR(1000*Tabelle1[[#This Row],[Formfaktor]]/Tabelle1[[#This Row],[Thickness '[mm']]],""),"")</f>
        <v/>
      </c>
      <c r="AE498" s="98" t="str">
        <f>IF(Tabelle1[[#This Row],[Nicht einbezogen weil…]]="",IFERROR(Tabelle1[[#This Row],[specific surface '[m^2/m^3']]]/Tabelle1[[#This Row],[Density 
'[g/cm3']]]/1000000,""),"")</f>
        <v/>
      </c>
      <c r="AF498" s="97" t="str">
        <f>IF(Tabelle1[[#This Row],[Nicht einbezogen weil…]]="",IFERROR(365*10*Tabelle1[[#This Row],[Abbaurate '[%/d']]]*Tabelle1[[#This Row],[Thickness '[mm']]]/Tabelle1[[#This Row],[Formfaktor]],""),"")</f>
        <v/>
      </c>
      <c r="AG498" s="99" t="str">
        <f>IF(OR(Tabelle1[[#This Row],[Nicht einbezogen weil…]]="",Tabelle1[[#This Row],[Nicht einbezogen weil…]]="nicht-natürlich"),IF(Tabelle1[[#This Row],[Formfaktor]]=2, 1,IF(Tabelle1[[#This Row],[Formfaktor]]=4,2,IF(Tabelle1[[#This Row],[Formfaktor]]=6,3,""))),"")</f>
        <v/>
      </c>
      <c r="AH49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9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98" s="6">
        <v>0</v>
      </c>
      <c r="AK49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98" s="207" t="s">
        <v>826</v>
      </c>
      <c r="AM498" s="3" t="s">
        <v>855</v>
      </c>
      <c r="AN498" s="3" t="s">
        <v>824</v>
      </c>
      <c r="AO498" s="3" t="s">
        <v>200</v>
      </c>
      <c r="AP498" s="3" t="s">
        <v>223</v>
      </c>
      <c r="AU498" s="324" t="s">
        <v>701</v>
      </c>
      <c r="AV498" s="14" t="s">
        <v>856</v>
      </c>
      <c r="AW498" s="73" t="s">
        <v>933</v>
      </c>
    </row>
    <row r="499" spans="2:49" ht="17.25" customHeight="1">
      <c r="B499" s="329" t="s">
        <v>86</v>
      </c>
      <c r="C499" s="3" t="s">
        <v>86</v>
      </c>
      <c r="D499" s="3" t="s">
        <v>200</v>
      </c>
      <c r="E499" s="10" t="s">
        <v>205</v>
      </c>
      <c r="F499" s="3" t="s">
        <v>341</v>
      </c>
      <c r="G499" s="3" t="s">
        <v>341</v>
      </c>
      <c r="I499" s="17" t="s">
        <v>596</v>
      </c>
      <c r="L499" s="3" t="s">
        <v>898</v>
      </c>
      <c r="P49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W499" s="3" t="s">
        <v>13</v>
      </c>
      <c r="AA499" s="5" t="e">
        <f t="shared" si="31"/>
        <v>#DIV/0!</v>
      </c>
      <c r="AB499" s="5"/>
      <c r="AC499"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499" s="97" t="str">
        <f>IF(Tabelle1[[#This Row],[Nicht einbezogen weil…]]="",IFERROR(1000*Tabelle1[[#This Row],[Formfaktor]]/Tabelle1[[#This Row],[Thickness '[mm']]],""),"")</f>
        <v/>
      </c>
      <c r="AE499" s="98" t="str">
        <f>IF(Tabelle1[[#This Row],[Nicht einbezogen weil…]]="",IFERROR(Tabelle1[[#This Row],[specific surface '[m^2/m^3']]]/Tabelle1[[#This Row],[Density 
'[g/cm3']]]/1000000,""),"")</f>
        <v/>
      </c>
      <c r="AF499" s="97" t="str">
        <f>IF(Tabelle1[[#This Row],[Nicht einbezogen weil…]]="",IFERROR(365*10*Tabelle1[[#This Row],[Abbaurate '[%/d']]]*Tabelle1[[#This Row],[Thickness '[mm']]]/Tabelle1[[#This Row],[Formfaktor]],""),"")</f>
        <v/>
      </c>
      <c r="AG499" s="99" t="str">
        <f>IF(OR(Tabelle1[[#This Row],[Nicht einbezogen weil…]]="",Tabelle1[[#This Row],[Nicht einbezogen weil…]]="nicht-natürlich"),IF(Tabelle1[[#This Row],[Formfaktor]]=2, 1,IF(Tabelle1[[#This Row],[Formfaktor]]=4,2,IF(Tabelle1[[#This Row],[Formfaktor]]=6,3,""))),"")</f>
        <v/>
      </c>
      <c r="AH49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49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499" s="6">
        <v>0</v>
      </c>
      <c r="AK49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Inhaltlich irrelevant</v>
      </c>
      <c r="AL499" s="333" t="s">
        <v>839</v>
      </c>
      <c r="AM499" s="3" t="s">
        <v>855</v>
      </c>
      <c r="AN499" s="3" t="s">
        <v>824</v>
      </c>
      <c r="AO499" s="3" t="s">
        <v>200</v>
      </c>
      <c r="AP499" s="3" t="s">
        <v>223</v>
      </c>
      <c r="AU499" s="324" t="s">
        <v>701</v>
      </c>
      <c r="AV499" s="14" t="s">
        <v>864</v>
      </c>
      <c r="AW499" s="73" t="s">
        <v>933</v>
      </c>
    </row>
    <row r="500" spans="2:49" ht="17.25" customHeight="1">
      <c r="B500" s="7" t="s">
        <v>792</v>
      </c>
      <c r="C500" s="3" t="s">
        <v>526</v>
      </c>
      <c r="D500" s="3" t="s">
        <v>200</v>
      </c>
      <c r="E500" s="10" t="s">
        <v>1127</v>
      </c>
      <c r="F500" s="3" t="s">
        <v>288</v>
      </c>
      <c r="G500" s="3">
        <v>0.05</v>
      </c>
      <c r="H500" s="3">
        <f>0.15*0.02</f>
        <v>3.0000000000000001E-3</v>
      </c>
      <c r="I500" s="24">
        <v>0.90300000000000002</v>
      </c>
      <c r="J500" s="3" t="s">
        <v>528</v>
      </c>
      <c r="M500" s="3" t="s">
        <v>200</v>
      </c>
      <c r="N500" s="3" t="s">
        <v>263</v>
      </c>
      <c r="O500" s="3" t="s">
        <v>263</v>
      </c>
      <c r="P50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U500" s="4" t="s">
        <v>12</v>
      </c>
      <c r="W500" s="3" t="s">
        <v>13</v>
      </c>
      <c r="Y500" s="4">
        <v>10.050000000000001</v>
      </c>
      <c r="Z500" s="4">
        <v>150</v>
      </c>
      <c r="AA500" s="5">
        <f t="shared" si="31"/>
        <v>6.7000000000000004E-2</v>
      </c>
      <c r="AB500" s="5"/>
      <c r="AC50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00" s="97" t="str">
        <f>IF(Tabelle1[[#This Row],[Nicht einbezogen weil…]]="",IFERROR(1000*Tabelle1[[#This Row],[Formfaktor]]/Tabelle1[[#This Row],[Thickness '[mm']]],""),"")</f>
        <v/>
      </c>
      <c r="AE500" s="98" t="str">
        <f>IF(Tabelle1[[#This Row],[Nicht einbezogen weil…]]="",IFERROR(Tabelle1[[#This Row],[specific surface '[m^2/m^3']]]/Tabelle1[[#This Row],[Density 
'[g/cm3']]]/1000000,""),"")</f>
        <v/>
      </c>
      <c r="AF500" s="97" t="str">
        <f>IF(Tabelle1[[#This Row],[Nicht einbezogen weil…]]="",IFERROR(365*10*Tabelle1[[#This Row],[Abbaurate '[%/d']]]*Tabelle1[[#This Row],[Thickness '[mm']]]/Tabelle1[[#This Row],[Formfaktor]],""),"")</f>
        <v/>
      </c>
      <c r="AG500" s="99" t="str">
        <f>IF(OR(Tabelle1[[#This Row],[Nicht einbezogen weil…]]="",Tabelle1[[#This Row],[Nicht einbezogen weil…]]="nicht-natürlich"),IF(Tabelle1[[#This Row],[Formfaktor]]=2, 1,IF(Tabelle1[[#This Row],[Formfaktor]]=4,2,IF(Tabelle1[[#This Row],[Formfaktor]]=6,3,""))),"")</f>
        <v/>
      </c>
      <c r="AH500"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0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00" s="71">
        <v>1</v>
      </c>
      <c r="AK50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00" s="3" t="s">
        <v>261</v>
      </c>
      <c r="AM500" s="3" t="s">
        <v>967</v>
      </c>
      <c r="AO500" s="3" t="s">
        <v>200</v>
      </c>
      <c r="AP500" s="3" t="s">
        <v>200</v>
      </c>
      <c r="AQ500" s="3" t="s">
        <v>200</v>
      </c>
      <c r="AR500" s="2" t="s">
        <v>262</v>
      </c>
      <c r="AS500" s="2" t="s">
        <v>262</v>
      </c>
      <c r="AT500" s="10" t="s">
        <v>200</v>
      </c>
      <c r="AU500" s="13" t="s">
        <v>200</v>
      </c>
      <c r="AW500" s="10" t="s">
        <v>775</v>
      </c>
    </row>
    <row r="501" spans="2:49" ht="17.25" customHeight="1">
      <c r="B501" s="7" t="s">
        <v>795</v>
      </c>
      <c r="C501" s="3" t="s">
        <v>166</v>
      </c>
      <c r="D501" s="3" t="s">
        <v>200</v>
      </c>
      <c r="E501" s="10" t="s">
        <v>1127</v>
      </c>
      <c r="F501" s="3" t="s">
        <v>578</v>
      </c>
      <c r="G501" s="3">
        <v>4.2999999999999997E-2</v>
      </c>
      <c r="H501" s="3">
        <f>0.0004*0.00015</f>
        <v>5.9999999999999995E-8</v>
      </c>
      <c r="I501" s="24">
        <f>AVERAGE(1.35,1.465)</f>
        <v>1.4075000000000002</v>
      </c>
      <c r="J501" s="3" t="s">
        <v>583</v>
      </c>
      <c r="M501" s="3" t="s">
        <v>301</v>
      </c>
      <c r="N501" s="3" t="s">
        <v>577</v>
      </c>
      <c r="O501" s="3" t="s">
        <v>358</v>
      </c>
      <c r="P50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501" s="9">
        <v>7.5</v>
      </c>
      <c r="W501" s="3" t="s">
        <v>13</v>
      </c>
      <c r="Y501" s="4">
        <v>13.1</v>
      </c>
      <c r="Z501" s="4">
        <v>84</v>
      </c>
      <c r="AA501" s="5">
        <f t="shared" si="31"/>
        <v>0.15595238095238095</v>
      </c>
      <c r="AB501" s="5"/>
      <c r="AC50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01" s="97" t="str">
        <f>IF(Tabelle1[[#This Row],[Nicht einbezogen weil…]]="",IFERROR(1000*Tabelle1[[#This Row],[Formfaktor]]/Tabelle1[[#This Row],[Thickness '[mm']]],""),"")</f>
        <v/>
      </c>
      <c r="AE501" s="98" t="str">
        <f>IF(Tabelle1[[#This Row],[Nicht einbezogen weil…]]="",IFERROR(Tabelle1[[#This Row],[specific surface '[m^2/m^3']]]/Tabelle1[[#This Row],[Density 
'[g/cm3']]]/1000000,""),"")</f>
        <v/>
      </c>
      <c r="AF501" s="97" t="str">
        <f>IF(Tabelle1[[#This Row],[Nicht einbezogen weil…]]="",IFERROR(365*10*Tabelle1[[#This Row],[Abbaurate '[%/d']]]*Tabelle1[[#This Row],[Thickness '[mm']]]/Tabelle1[[#This Row],[Formfaktor]],""),"")</f>
        <v/>
      </c>
      <c r="AG501" s="99" t="str">
        <f>IF(OR(Tabelle1[[#This Row],[Nicht einbezogen weil…]]="",Tabelle1[[#This Row],[Nicht einbezogen weil…]]="nicht-natürlich"),IF(Tabelle1[[#This Row],[Formfaktor]]=2, 1,IF(Tabelle1[[#This Row],[Formfaktor]]=4,2,IF(Tabelle1[[#This Row],[Formfaktor]]=6,3,""))),"")</f>
        <v/>
      </c>
      <c r="AH501"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0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01" s="71">
        <v>1</v>
      </c>
      <c r="AK50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01" s="3" t="s">
        <v>164</v>
      </c>
      <c r="AO501" s="3" t="s">
        <v>235</v>
      </c>
      <c r="AP501" s="3" t="s">
        <v>235</v>
      </c>
      <c r="AT501" s="10" t="s">
        <v>223</v>
      </c>
      <c r="AU501" s="13" t="s">
        <v>200</v>
      </c>
      <c r="AW501" s="10" t="s">
        <v>1013</v>
      </c>
    </row>
    <row r="502" spans="2:49" ht="17.25" customHeight="1">
      <c r="B502" s="7" t="s">
        <v>795</v>
      </c>
      <c r="C502" s="3" t="s">
        <v>166</v>
      </c>
      <c r="D502" s="3" t="s">
        <v>200</v>
      </c>
      <c r="E502" s="10" t="s">
        <v>1127</v>
      </c>
      <c r="F502" s="3" t="s">
        <v>578</v>
      </c>
      <c r="G502" s="3">
        <v>4.2999999999999997E-2</v>
      </c>
      <c r="H502" s="3">
        <v>5.9999999999999995E-8</v>
      </c>
      <c r="I502" s="24">
        <f>AVERAGE(1.35,1.465)</f>
        <v>1.4075000000000002</v>
      </c>
      <c r="J502" s="3" t="s">
        <v>583</v>
      </c>
      <c r="M502" s="3" t="s">
        <v>301</v>
      </c>
      <c r="N502" s="3" t="s">
        <v>577</v>
      </c>
      <c r="O502" s="3" t="s">
        <v>358</v>
      </c>
      <c r="P50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502" s="9">
        <v>7.5</v>
      </c>
      <c r="W502" s="3" t="s">
        <v>190</v>
      </c>
      <c r="Y502" s="4">
        <v>28.8</v>
      </c>
      <c r="Z502" s="4">
        <v>84</v>
      </c>
      <c r="AA502" s="5">
        <f t="shared" si="31"/>
        <v>0.34285714285714286</v>
      </c>
      <c r="AB502" s="5"/>
      <c r="AC50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02" s="97" t="str">
        <f>IF(Tabelle1[[#This Row],[Nicht einbezogen weil…]]="",IFERROR(1000*Tabelle1[[#This Row],[Formfaktor]]/Tabelle1[[#This Row],[Thickness '[mm']]],""),"")</f>
        <v/>
      </c>
      <c r="AE502" s="98" t="str">
        <f>IF(Tabelle1[[#This Row],[Nicht einbezogen weil…]]="",IFERROR(Tabelle1[[#This Row],[specific surface '[m^2/m^3']]]/Tabelle1[[#This Row],[Density 
'[g/cm3']]]/1000000,""),"")</f>
        <v/>
      </c>
      <c r="AF502" s="97" t="str">
        <f>IF(Tabelle1[[#This Row],[Nicht einbezogen weil…]]="",IFERROR(365*10*Tabelle1[[#This Row],[Abbaurate '[%/d']]]*Tabelle1[[#This Row],[Thickness '[mm']]]/Tabelle1[[#This Row],[Formfaktor]],""),"")</f>
        <v/>
      </c>
      <c r="AG502" s="99" t="str">
        <f>IF(OR(Tabelle1[[#This Row],[Nicht einbezogen weil…]]="",Tabelle1[[#This Row],[Nicht einbezogen weil…]]="nicht-natürlich"),IF(Tabelle1[[#This Row],[Formfaktor]]=2, 1,IF(Tabelle1[[#This Row],[Formfaktor]]=4,2,IF(Tabelle1[[#This Row],[Formfaktor]]=6,3,""))),"")</f>
        <v/>
      </c>
      <c r="AH502"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0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02" s="71">
        <v>1</v>
      </c>
      <c r="AK50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02" s="3" t="s">
        <v>164</v>
      </c>
      <c r="AN502" s="3" t="s">
        <v>538</v>
      </c>
      <c r="AO502" s="3" t="s">
        <v>235</v>
      </c>
      <c r="AP502" s="10" t="s">
        <v>235</v>
      </c>
      <c r="AQ502" s="10"/>
      <c r="AR502" s="10"/>
      <c r="AS502" s="10"/>
      <c r="AT502" s="10" t="s">
        <v>223</v>
      </c>
      <c r="AU502" s="13" t="s">
        <v>200</v>
      </c>
      <c r="AW502" s="10" t="s">
        <v>1013</v>
      </c>
    </row>
    <row r="503" spans="2:49" ht="17.25" customHeight="1">
      <c r="B503" s="7" t="s">
        <v>1059</v>
      </c>
      <c r="C503" s="3" t="s">
        <v>31</v>
      </c>
      <c r="D503" s="3" t="s">
        <v>223</v>
      </c>
      <c r="E503" s="10"/>
      <c r="F503" s="3" t="s">
        <v>288</v>
      </c>
      <c r="G503" s="3" t="s">
        <v>341</v>
      </c>
      <c r="H503" s="3">
        <f>0.07*0.01</f>
        <v>7.000000000000001E-4</v>
      </c>
      <c r="I503" s="3" t="s">
        <v>341</v>
      </c>
      <c r="J503" s="3" t="s">
        <v>403</v>
      </c>
      <c r="K503" s="343"/>
      <c r="L503" s="75"/>
      <c r="M503" s="3" t="s">
        <v>200</v>
      </c>
      <c r="N503" s="75" t="s">
        <v>406</v>
      </c>
      <c r="O503" s="75" t="s">
        <v>23</v>
      </c>
      <c r="P50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03" s="75" t="s">
        <v>478</v>
      </c>
      <c r="X503" s="3" t="s">
        <v>407</v>
      </c>
      <c r="Y503" s="4">
        <v>100</v>
      </c>
      <c r="Z503" s="4">
        <f>16*7</f>
        <v>112</v>
      </c>
      <c r="AA503" s="5">
        <f t="shared" si="31"/>
        <v>0.8928571428571429</v>
      </c>
      <c r="AB503" s="5"/>
      <c r="AC50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03" s="97" t="str">
        <f>IF(Tabelle1[[#This Row],[Nicht einbezogen weil…]]="",IFERROR(1000*Tabelle1[[#This Row],[Formfaktor]]/Tabelle1[[#This Row],[Thickness '[mm']]],""),"")</f>
        <v/>
      </c>
      <c r="AE503" s="98" t="str">
        <f>IF(Tabelle1[[#This Row],[Nicht einbezogen weil…]]="",IFERROR(Tabelle1[[#This Row],[specific surface '[m^2/m^3']]]/Tabelle1[[#This Row],[Density 
'[g/cm3']]]/1000000,""),"")</f>
        <v/>
      </c>
      <c r="AF503" s="97" t="str">
        <f>IF(Tabelle1[[#This Row],[Nicht einbezogen weil…]]="",IFERROR(365*10*Tabelle1[[#This Row],[Abbaurate '[%/d']]]*Tabelle1[[#This Row],[Thickness '[mm']]]/Tabelle1[[#This Row],[Formfaktor]],""),"")</f>
        <v/>
      </c>
      <c r="AG503" s="99" t="str">
        <f>IF(OR(Tabelle1[[#This Row],[Nicht einbezogen weil…]]="",Tabelle1[[#This Row],[Nicht einbezogen weil…]]="nicht-natürlich"),IF(Tabelle1[[#This Row],[Formfaktor]]=2, 1,IF(Tabelle1[[#This Row],[Formfaktor]]=4,2,IF(Tabelle1[[#This Row],[Formfaktor]]=6,3,""))),"")</f>
        <v/>
      </c>
      <c r="AH503"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0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03" s="71">
        <v>1</v>
      </c>
      <c r="AK50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03" s="3" t="s">
        <v>384</v>
      </c>
      <c r="AM503" s="3" t="s">
        <v>967</v>
      </c>
      <c r="AN503" s="3" t="s">
        <v>538</v>
      </c>
      <c r="AO503" s="3" t="s">
        <v>200</v>
      </c>
      <c r="AP503" s="3" t="s">
        <v>200</v>
      </c>
      <c r="AT503" s="10" t="s">
        <v>200</v>
      </c>
      <c r="AU503" s="13" t="s">
        <v>200</v>
      </c>
    </row>
    <row r="504" spans="2:49" ht="17.25" customHeight="1">
      <c r="B504" s="7" t="s">
        <v>1059</v>
      </c>
      <c r="C504" s="3" t="s">
        <v>31</v>
      </c>
      <c r="D504" s="3" t="s">
        <v>223</v>
      </c>
      <c r="E504" s="10"/>
      <c r="F504" s="3" t="s">
        <v>288</v>
      </c>
      <c r="G504" s="3" t="s">
        <v>341</v>
      </c>
      <c r="H504" s="3">
        <f>0.07*0.01</f>
        <v>7.000000000000001E-4</v>
      </c>
      <c r="I504" s="3" t="s">
        <v>341</v>
      </c>
      <c r="J504" s="3" t="s">
        <v>403</v>
      </c>
      <c r="K504" s="343"/>
      <c r="L504" s="75"/>
      <c r="M504" s="3" t="s">
        <v>200</v>
      </c>
      <c r="N504" s="75" t="s">
        <v>406</v>
      </c>
      <c r="O504" s="75" t="s">
        <v>23</v>
      </c>
      <c r="P50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04" s="75" t="s">
        <v>478</v>
      </c>
      <c r="X504" s="3" t="s">
        <v>408</v>
      </c>
      <c r="Y504" s="4">
        <v>100</v>
      </c>
      <c r="Z504" s="4">
        <f>16*7</f>
        <v>112</v>
      </c>
      <c r="AA504" s="5">
        <f t="shared" si="31"/>
        <v>0.8928571428571429</v>
      </c>
      <c r="AB504" s="5"/>
      <c r="AC50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04" s="97" t="str">
        <f>IF(Tabelle1[[#This Row],[Nicht einbezogen weil…]]="",IFERROR(1000*Tabelle1[[#This Row],[Formfaktor]]/Tabelle1[[#This Row],[Thickness '[mm']]],""),"")</f>
        <v/>
      </c>
      <c r="AE504" s="98" t="str">
        <f>IF(Tabelle1[[#This Row],[Nicht einbezogen weil…]]="",IFERROR(Tabelle1[[#This Row],[specific surface '[m^2/m^3']]]/Tabelle1[[#This Row],[Density 
'[g/cm3']]]/1000000,""),"")</f>
        <v/>
      </c>
      <c r="AF504" s="97" t="str">
        <f>IF(Tabelle1[[#This Row],[Nicht einbezogen weil…]]="",IFERROR(365*10*Tabelle1[[#This Row],[Abbaurate '[%/d']]]*Tabelle1[[#This Row],[Thickness '[mm']]]/Tabelle1[[#This Row],[Formfaktor]],""),"")</f>
        <v/>
      </c>
      <c r="AG504" s="99" t="str">
        <f>IF(OR(Tabelle1[[#This Row],[Nicht einbezogen weil…]]="",Tabelle1[[#This Row],[Nicht einbezogen weil…]]="nicht-natürlich"),IF(Tabelle1[[#This Row],[Formfaktor]]=2, 1,IF(Tabelle1[[#This Row],[Formfaktor]]=4,2,IF(Tabelle1[[#This Row],[Formfaktor]]=6,3,""))),"")</f>
        <v/>
      </c>
      <c r="AH504"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0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04" s="71">
        <v>1</v>
      </c>
      <c r="AK50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04" s="3" t="s">
        <v>384</v>
      </c>
      <c r="AM504" s="3" t="s">
        <v>967</v>
      </c>
      <c r="AN504" s="3" t="s">
        <v>538</v>
      </c>
      <c r="AO504" s="3" t="s">
        <v>200</v>
      </c>
      <c r="AP504" s="3" t="s">
        <v>200</v>
      </c>
      <c r="AT504" s="10" t="s">
        <v>200</v>
      </c>
      <c r="AU504" s="13" t="s">
        <v>200</v>
      </c>
    </row>
    <row r="505" spans="2:49" ht="17.25" customHeight="1">
      <c r="B505" s="7" t="s">
        <v>1059</v>
      </c>
      <c r="C505" s="3" t="s">
        <v>425</v>
      </c>
      <c r="D505" s="3" t="s">
        <v>223</v>
      </c>
      <c r="E505" s="10"/>
      <c r="F505" s="3" t="s">
        <v>288</v>
      </c>
      <c r="G505" s="3">
        <v>0.5</v>
      </c>
      <c r="H505" s="3">
        <f>0.01*0.01</f>
        <v>1E-4</v>
      </c>
      <c r="I505" s="3" t="s">
        <v>341</v>
      </c>
      <c r="J505" s="3" t="s">
        <v>419</v>
      </c>
      <c r="K505" s="343" t="s">
        <v>421</v>
      </c>
      <c r="L505" s="75"/>
      <c r="M505" s="3" t="s">
        <v>223</v>
      </c>
      <c r="N505" s="75" t="s">
        <v>325</v>
      </c>
      <c r="O505" s="75" t="s">
        <v>358</v>
      </c>
      <c r="P50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05" s="4">
        <v>20</v>
      </c>
      <c r="R505" s="4">
        <v>7.43</v>
      </c>
      <c r="T505" s="4">
        <v>60</v>
      </c>
      <c r="U505" s="4" t="s">
        <v>12</v>
      </c>
      <c r="W505" s="75" t="s">
        <v>90</v>
      </c>
      <c r="Y505" s="4">
        <v>19.7</v>
      </c>
      <c r="Z505" s="4">
        <v>660</v>
      </c>
      <c r="AA505" s="5">
        <f t="shared" si="31"/>
        <v>2.9848484848484846E-2</v>
      </c>
      <c r="AB505" s="5"/>
      <c r="AC50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05" s="97" t="str">
        <f>IF(Tabelle1[[#This Row],[Nicht einbezogen weil…]]="",IFERROR(1000*Tabelle1[[#This Row],[Formfaktor]]/Tabelle1[[#This Row],[Thickness '[mm']]],""),"")</f>
        <v/>
      </c>
      <c r="AE505" s="98" t="str">
        <f>IF(Tabelle1[[#This Row],[Nicht einbezogen weil…]]="",IFERROR(Tabelle1[[#This Row],[specific surface '[m^2/m^3']]]/Tabelle1[[#This Row],[Density 
'[g/cm3']]]/1000000,""),"")</f>
        <v/>
      </c>
      <c r="AF505" s="97" t="str">
        <f>IF(Tabelle1[[#This Row],[Nicht einbezogen weil…]]="",IFERROR(365*10*Tabelle1[[#This Row],[Abbaurate '[%/d']]]*Tabelle1[[#This Row],[Thickness '[mm']]]/Tabelle1[[#This Row],[Formfaktor]],""),"")</f>
        <v/>
      </c>
      <c r="AG505" s="99">
        <f>IF(OR(Tabelle1[[#This Row],[Nicht einbezogen weil…]]="",Tabelle1[[#This Row],[Nicht einbezogen weil…]]="nicht-natürlich"),IF(Tabelle1[[#This Row],[Formfaktor]]=2, 1,IF(Tabelle1[[#This Row],[Formfaktor]]=4,2,IF(Tabelle1[[#This Row],[Formfaktor]]=6,3,""))),"")</f>
        <v>1</v>
      </c>
      <c r="AH505" s="97">
        <f>IF(OR(Tabelle1[[#This Row],[Nicht einbezogen weil…]]="",Tabelle1[[#This Row],[Nicht einbezogen weil…]]="nicht-natürlich"),IFERROR(Tabelle1[[#This Row],[Thickness '[mm']]]/Tabelle1[[#This Row],[Dauer des Abbaus
'[Tage']]]*1000*0.5*365*(1-(1-Tabelle1[[#This Row],[Abbaurate '[%/d']]]/100*Tabelle1[[#This Row],[Dauer des Abbaus
'[Tage']]])^(1/Tabelle1[[#This Row],[Exponent]])),""),"")</f>
        <v>27.236742424242415</v>
      </c>
      <c r="AI50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Starch-blend_Boden/Kompost_nicht natürlich</v>
      </c>
      <c r="AJ505" s="71">
        <v>1</v>
      </c>
      <c r="AK50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505" s="3" t="s">
        <v>145</v>
      </c>
      <c r="AM505" s="3" t="s">
        <v>962</v>
      </c>
      <c r="AN505" s="3" t="s">
        <v>538</v>
      </c>
      <c r="AO505" s="3" t="s">
        <v>200</v>
      </c>
      <c r="AP505" s="3" t="s">
        <v>200</v>
      </c>
      <c r="AT505" s="10" t="s">
        <v>223</v>
      </c>
      <c r="AU505" s="13" t="s">
        <v>200</v>
      </c>
    </row>
    <row r="506" spans="2:49" ht="17.25" customHeight="1">
      <c r="B506" s="109" t="s">
        <v>48</v>
      </c>
      <c r="C506" s="3" t="s">
        <v>48</v>
      </c>
      <c r="D506" s="3" t="s">
        <v>223</v>
      </c>
      <c r="E506" s="10"/>
      <c r="F506" s="3" t="s">
        <v>198</v>
      </c>
      <c r="G506" s="3">
        <v>0.1</v>
      </c>
      <c r="H506" s="3" t="s">
        <v>341</v>
      </c>
      <c r="I506" s="77">
        <v>1.1100000000000001</v>
      </c>
      <c r="K506" s="343"/>
      <c r="L506" s="75"/>
      <c r="M506" s="3" t="s">
        <v>301</v>
      </c>
      <c r="N506" s="75" t="s">
        <v>121</v>
      </c>
      <c r="O506" s="75" t="s">
        <v>23</v>
      </c>
      <c r="P50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06" s="4">
        <v>25</v>
      </c>
      <c r="U506" s="4" t="s">
        <v>12</v>
      </c>
      <c r="W506" s="75" t="s">
        <v>506</v>
      </c>
      <c r="Y506" s="4">
        <v>56</v>
      </c>
      <c r="Z506" s="4">
        <v>28</v>
      </c>
      <c r="AA506" s="5">
        <f>Tabelle1[[#This Row],[biologische
Abbaubarkeit '[%']]]/Z506</f>
        <v>2</v>
      </c>
      <c r="AB506" s="5"/>
      <c r="AC50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06" s="97">
        <f>IF(Tabelle1[[#This Row],[Nicht einbezogen weil…]]="",IFERROR(1000*Tabelle1[[#This Row],[Formfaktor]]/Tabelle1[[#This Row],[Thickness '[mm']]],""),"")</f>
        <v>20000</v>
      </c>
      <c r="AE506" s="98">
        <f>IF(Tabelle1[[#This Row],[Nicht einbezogen weil…]]="",IFERROR(Tabelle1[[#This Row],[specific surface '[m^2/m^3']]]/Tabelle1[[#This Row],[Density 
'[g/cm3']]]/1000000,""),"")</f>
        <v>1.8018018018018018E-2</v>
      </c>
      <c r="AF506" s="97">
        <f>IF(Tabelle1[[#This Row],[Nicht einbezogen weil…]]="",IFERROR(365*10*Tabelle1[[#This Row],[Abbaurate '[%/d']]]*Tabelle1[[#This Row],[Thickness '[mm']]]/Tabelle1[[#This Row],[Formfaktor]],""),"")</f>
        <v>365</v>
      </c>
      <c r="AG506" s="99">
        <f>IF(OR(Tabelle1[[#This Row],[Nicht einbezogen weil…]]="",Tabelle1[[#This Row],[Nicht einbezogen weil…]]="nicht-natürlich"),IF(Tabelle1[[#This Row],[Formfaktor]]=2, 1,IF(Tabelle1[[#This Row],[Formfaktor]]=4,2,IF(Tabelle1[[#This Row],[Formfaktor]]=6,3,""))),"")</f>
        <v>1</v>
      </c>
      <c r="AH506" s="97">
        <f>IF(OR(Tabelle1[[#This Row],[Nicht einbezogen weil…]]="",Tabelle1[[#This Row],[Nicht einbezogen weil…]]="nicht-natürlich"),IFERROR(Tabelle1[[#This Row],[Thickness '[mm']]]/Tabelle1[[#This Row],[Dauer des Abbaus
'[Tage']]]*1000*0.5*365*(1-(1-Tabelle1[[#This Row],[Abbaurate '[%/d']]]/100*Tabelle1[[#This Row],[Dauer des Abbaus
'[Tage']]])^(1/Tabelle1[[#This Row],[Exponent]])),""),"")</f>
        <v>365.00000000000006</v>
      </c>
      <c r="AI50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PCL_Meerwasser_natürlich</v>
      </c>
      <c r="AJ506" s="71">
        <v>1</v>
      </c>
      <c r="AK50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06" s="3" t="s">
        <v>699</v>
      </c>
      <c r="AM506" s="8" t="s">
        <v>385</v>
      </c>
      <c r="AO506" s="3" t="s">
        <v>235</v>
      </c>
      <c r="AP506" s="3" t="s">
        <v>235</v>
      </c>
      <c r="AQ506" s="3" t="s">
        <v>235</v>
      </c>
      <c r="AR506" s="2" t="s">
        <v>300</v>
      </c>
      <c r="AT506" s="10" t="s">
        <v>223</v>
      </c>
      <c r="AU506" s="13" t="s">
        <v>200</v>
      </c>
      <c r="AW506" s="10" t="s">
        <v>813</v>
      </c>
    </row>
    <row r="507" spans="2:49" ht="17.25" customHeight="1">
      <c r="B507" s="7" t="s">
        <v>1059</v>
      </c>
      <c r="C507" s="3" t="s">
        <v>640</v>
      </c>
      <c r="D507" s="3" t="s">
        <v>223</v>
      </c>
      <c r="E507" s="10"/>
      <c r="F507" s="74" t="s">
        <v>341</v>
      </c>
      <c r="G507" s="74" t="s">
        <v>341</v>
      </c>
      <c r="H507" s="74" t="s">
        <v>341</v>
      </c>
      <c r="I507" s="74" t="s">
        <v>341</v>
      </c>
      <c r="K507" s="343"/>
      <c r="L507" s="75"/>
      <c r="M507" s="3" t="s">
        <v>223</v>
      </c>
      <c r="N507" s="75" t="s">
        <v>655</v>
      </c>
      <c r="O507" s="75" t="s">
        <v>294</v>
      </c>
      <c r="P50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507" s="4">
        <v>30</v>
      </c>
      <c r="U507" s="4" t="s">
        <v>12</v>
      </c>
      <c r="W507" s="75" t="s">
        <v>190</v>
      </c>
      <c r="Y507" s="4">
        <v>78.34</v>
      </c>
      <c r="Z507" s="4">
        <v>14</v>
      </c>
      <c r="AA507" s="5">
        <f t="shared" ref="AA507:AA522" si="32">Y507/Z507</f>
        <v>5.5957142857142861</v>
      </c>
      <c r="AB507" s="5"/>
      <c r="AC507" s="9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507" s="97" t="str">
        <f>IF(Tabelle1[[#This Row],[Nicht einbezogen weil…]]="",IFERROR(1000*Tabelle1[[#This Row],[Formfaktor]]/Tabelle1[[#This Row],[Thickness '[mm']]],""),"")</f>
        <v/>
      </c>
      <c r="AE507" s="98" t="str">
        <f>IF(Tabelle1[[#This Row],[Nicht einbezogen weil…]]="",IFERROR(Tabelle1[[#This Row],[specific surface '[m^2/m^3']]]/Tabelle1[[#This Row],[Density 
'[g/cm3']]]/1000000,""),"")</f>
        <v/>
      </c>
      <c r="AF507" s="97" t="str">
        <f>IF(Tabelle1[[#This Row],[Nicht einbezogen weil…]]="",IFERROR(365*10*Tabelle1[[#This Row],[Abbaurate '[%/d']]]*Tabelle1[[#This Row],[Thickness '[mm']]]/Tabelle1[[#This Row],[Formfaktor]],""),"")</f>
        <v/>
      </c>
      <c r="AG507" s="99" t="str">
        <f>IF(OR(Tabelle1[[#This Row],[Nicht einbezogen weil…]]="",Tabelle1[[#This Row],[Nicht einbezogen weil…]]="nicht-natürlich"),IF(Tabelle1[[#This Row],[Formfaktor]]=2, 1,IF(Tabelle1[[#This Row],[Formfaktor]]=4,2,IF(Tabelle1[[#This Row],[Formfaktor]]=6,3,""))),"")</f>
        <v/>
      </c>
      <c r="AH507"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0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07" s="71">
        <v>1</v>
      </c>
      <c r="AK50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507" s="3" t="s">
        <v>386</v>
      </c>
      <c r="AM507" s="3" t="s">
        <v>962</v>
      </c>
      <c r="AN507" s="3" t="s">
        <v>538</v>
      </c>
      <c r="AO507" s="3" t="s">
        <v>200</v>
      </c>
      <c r="AP507" s="3" t="s">
        <v>200</v>
      </c>
      <c r="AT507" s="10" t="s">
        <v>223</v>
      </c>
      <c r="AU507" s="13" t="s">
        <v>200</v>
      </c>
    </row>
    <row r="508" spans="2:49" ht="17.25" customHeight="1">
      <c r="B508" s="109" t="s">
        <v>1059</v>
      </c>
      <c r="C508" s="3" t="s">
        <v>657</v>
      </c>
      <c r="D508" s="3" t="s">
        <v>223</v>
      </c>
      <c r="E508" s="10"/>
      <c r="F508" s="3" t="s">
        <v>331</v>
      </c>
      <c r="G508" s="3" t="s">
        <v>341</v>
      </c>
      <c r="H508" s="3" t="s">
        <v>341</v>
      </c>
      <c r="I508" s="3">
        <v>1.28</v>
      </c>
      <c r="J508" s="3" t="s">
        <v>656</v>
      </c>
      <c r="M508" s="3" t="s">
        <v>223</v>
      </c>
      <c r="N508" s="3" t="s">
        <v>658</v>
      </c>
      <c r="O508" s="3" t="s">
        <v>358</v>
      </c>
      <c r="P50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08" s="4">
        <v>28</v>
      </c>
      <c r="R508" s="4">
        <v>7.9</v>
      </c>
      <c r="T508" s="4">
        <v>14.6</v>
      </c>
      <c r="W508" s="3" t="s">
        <v>190</v>
      </c>
      <c r="Y508" s="4">
        <v>50</v>
      </c>
      <c r="Z508" s="4">
        <v>250</v>
      </c>
      <c r="AA508" s="5">
        <f t="shared" si="32"/>
        <v>0.2</v>
      </c>
      <c r="AB508" s="5"/>
      <c r="AC50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08" s="97" t="str">
        <f>IF(Tabelle1[[#This Row],[Nicht einbezogen weil…]]="",IFERROR(1000*Tabelle1[[#This Row],[Formfaktor]]/Tabelle1[[#This Row],[Thickness '[mm']]],""),"")</f>
        <v/>
      </c>
      <c r="AE508" s="98" t="str">
        <f>IF(Tabelle1[[#This Row],[Nicht einbezogen weil…]]="",IFERROR(Tabelle1[[#This Row],[specific surface '[m^2/m^3']]]/Tabelle1[[#This Row],[Density 
'[g/cm3']]]/1000000,""),"")</f>
        <v/>
      </c>
      <c r="AF508" s="97" t="str">
        <f>IF(Tabelle1[[#This Row],[Nicht einbezogen weil…]]="",IFERROR(365*10*Tabelle1[[#This Row],[Abbaurate '[%/d']]]*Tabelle1[[#This Row],[Thickness '[mm']]]/Tabelle1[[#This Row],[Formfaktor]],""),"")</f>
        <v/>
      </c>
      <c r="AG508" s="99" t="str">
        <f>IF(OR(Tabelle1[[#This Row],[Nicht einbezogen weil…]]="",Tabelle1[[#This Row],[Nicht einbezogen weil…]]="nicht-natürlich"),IF(Tabelle1[[#This Row],[Formfaktor]]=2, 1,IF(Tabelle1[[#This Row],[Formfaktor]]=4,2,IF(Tabelle1[[#This Row],[Formfaktor]]=6,3,""))),"")</f>
        <v/>
      </c>
      <c r="AH508"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0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08" s="71">
        <v>1</v>
      </c>
      <c r="AK50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08" s="3" t="s">
        <v>392</v>
      </c>
      <c r="AM508" s="3" t="s">
        <v>977</v>
      </c>
      <c r="AN508" s="3" t="s">
        <v>538</v>
      </c>
      <c r="AO508" s="3" t="s">
        <v>200</v>
      </c>
      <c r="AP508" s="3" t="s">
        <v>200</v>
      </c>
      <c r="AT508" s="10" t="s">
        <v>223</v>
      </c>
      <c r="AU508" s="13" t="s">
        <v>200</v>
      </c>
    </row>
    <row r="509" spans="2:49" ht="17.25" customHeight="1">
      <c r="B509" s="7" t="s">
        <v>240</v>
      </c>
      <c r="C509" s="3" t="s">
        <v>246</v>
      </c>
      <c r="D509" s="3" t="s">
        <v>223</v>
      </c>
      <c r="E509" s="10"/>
      <c r="F509" s="3" t="s">
        <v>288</v>
      </c>
      <c r="G509" s="3">
        <f>192/1000</f>
        <v>0.192</v>
      </c>
      <c r="H509" s="3">
        <f>0.08*0.015</f>
        <v>1.1999999999999999E-3</v>
      </c>
      <c r="I509" s="24">
        <v>1.05</v>
      </c>
      <c r="K509" s="8" t="s">
        <v>223</v>
      </c>
      <c r="M509" s="3" t="s">
        <v>223</v>
      </c>
      <c r="N509" s="3" t="s">
        <v>248</v>
      </c>
      <c r="O509" s="3" t="s">
        <v>263</v>
      </c>
      <c r="P50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509" s="4" t="s">
        <v>249</v>
      </c>
      <c r="W509" s="3" t="s">
        <v>90</v>
      </c>
      <c r="Y509" s="4">
        <v>50</v>
      </c>
      <c r="Z509" s="4">
        <f>300*365</f>
        <v>109500</v>
      </c>
      <c r="AA509" s="347">
        <f t="shared" si="32"/>
        <v>4.5662100456621003E-4</v>
      </c>
      <c r="AB509" s="347"/>
      <c r="AC50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09" s="97" t="str">
        <f>IF(Tabelle1[[#This Row],[Nicht einbezogen weil…]]="",IFERROR(1000*Tabelle1[[#This Row],[Formfaktor]]/Tabelle1[[#This Row],[Thickness '[mm']]],""),"")</f>
        <v/>
      </c>
      <c r="AE509" s="98" t="str">
        <f>IF(Tabelle1[[#This Row],[Nicht einbezogen weil…]]="",IFERROR(Tabelle1[[#This Row],[specific surface '[m^2/m^3']]]/Tabelle1[[#This Row],[Density 
'[g/cm3']]]/1000000,""),"")</f>
        <v/>
      </c>
      <c r="AF509" s="97" t="str">
        <f>IF(Tabelle1[[#This Row],[Nicht einbezogen weil…]]="",IFERROR(365*10*Tabelle1[[#This Row],[Abbaurate '[%/d']]]*Tabelle1[[#This Row],[Thickness '[mm']]]/Tabelle1[[#This Row],[Formfaktor]],""),"")</f>
        <v/>
      </c>
      <c r="AG509" s="99" t="str">
        <f>IF(OR(Tabelle1[[#This Row],[Nicht einbezogen weil…]]="",Tabelle1[[#This Row],[Nicht einbezogen weil…]]="nicht-natürlich"),IF(Tabelle1[[#This Row],[Formfaktor]]=2, 1,IF(Tabelle1[[#This Row],[Formfaktor]]=4,2,IF(Tabelle1[[#This Row],[Formfaktor]]=6,3,""))),"")</f>
        <v/>
      </c>
      <c r="AH509" s="9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0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09" s="71">
        <v>1</v>
      </c>
      <c r="AK50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509" s="3" t="s">
        <v>247</v>
      </c>
      <c r="AO509" s="3" t="s">
        <v>235</v>
      </c>
      <c r="AP509" s="3" t="s">
        <v>235</v>
      </c>
      <c r="AQ509" s="2"/>
      <c r="AS509" s="2" t="s">
        <v>200</v>
      </c>
      <c r="AT509" s="10" t="s">
        <v>223</v>
      </c>
      <c r="AU509" s="13" t="s">
        <v>200</v>
      </c>
      <c r="AW509" s="10" t="s">
        <v>775</v>
      </c>
    </row>
    <row r="510" spans="2:49" ht="17.25" customHeight="1">
      <c r="B510" s="109" t="s">
        <v>1059</v>
      </c>
      <c r="C510" s="3" t="s">
        <v>657</v>
      </c>
      <c r="D510" s="3" t="s">
        <v>223</v>
      </c>
      <c r="E510" s="10"/>
      <c r="F510" s="3" t="s">
        <v>241</v>
      </c>
      <c r="G510" s="17">
        <f>AVERAGE(0.355,0.5)</f>
        <v>0.42749999999999999</v>
      </c>
      <c r="H510" s="106">
        <f>4*PI()*((G510/2)^2)</f>
        <v>0.57414569239761959</v>
      </c>
      <c r="I510" s="3">
        <v>1.28</v>
      </c>
      <c r="J510" s="3" t="s">
        <v>656</v>
      </c>
      <c r="M510" s="3" t="s">
        <v>223</v>
      </c>
      <c r="N510" s="3" t="s">
        <v>658</v>
      </c>
      <c r="O510" s="3" t="s">
        <v>358</v>
      </c>
      <c r="P51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10" s="4">
        <v>28</v>
      </c>
      <c r="R510" s="4">
        <v>7.9</v>
      </c>
      <c r="T510" s="4">
        <v>14.6</v>
      </c>
      <c r="W510" s="3" t="s">
        <v>190</v>
      </c>
      <c r="Y510" s="4">
        <v>55</v>
      </c>
      <c r="Z510" s="4">
        <v>180</v>
      </c>
      <c r="AA510" s="5">
        <f t="shared" si="32"/>
        <v>0.30555555555555558</v>
      </c>
      <c r="AB510" s="5"/>
      <c r="AC51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10" s="97" t="str">
        <f>IF(Tabelle1[[#This Row],[Nicht einbezogen weil…]]="",IFERROR(1000*Tabelle1[[#This Row],[Formfaktor]]/Tabelle1[[#This Row],[Thickness '[mm']]],""),"")</f>
        <v/>
      </c>
      <c r="AE510" s="98" t="str">
        <f>IF(Tabelle1[[#This Row],[Nicht einbezogen weil…]]="",IFERROR(Tabelle1[[#This Row],[specific surface '[m^2/m^3']]]/Tabelle1[[#This Row],[Density 
'[g/cm3']]]/1000000,""),"")</f>
        <v/>
      </c>
      <c r="AF510" s="97" t="str">
        <f>IF(Tabelle1[[#This Row],[Nicht einbezogen weil…]]="",IFERROR(365*10*Tabelle1[[#This Row],[Abbaurate '[%/d']]]*Tabelle1[[#This Row],[Thickness '[mm']]]/Tabelle1[[#This Row],[Formfaktor]],""),"")</f>
        <v/>
      </c>
      <c r="AG510" s="99">
        <f>IF(OR(Tabelle1[[#This Row],[Nicht einbezogen weil…]]="",Tabelle1[[#This Row],[Nicht einbezogen weil…]]="nicht-natürlich"),IF(Tabelle1[[#This Row],[Formfaktor]]=2, 1,IF(Tabelle1[[#This Row],[Formfaktor]]=4,2,IF(Tabelle1[[#This Row],[Formfaktor]]=6,3,""))),"")</f>
        <v>3</v>
      </c>
      <c r="AH510" s="97">
        <f>IF(OR(Tabelle1[[#This Row],[Nicht einbezogen weil…]]="",Tabelle1[[#This Row],[Nicht einbezogen weil…]]="nicht-natürlich"),IFERROR(Tabelle1[[#This Row],[Thickness '[mm']]]/Tabelle1[[#This Row],[Dauer des Abbaus
'[Tage']]]*1000*0.5*365*(1-(1-Tabelle1[[#This Row],[Abbaurate '[%/d']]]/100*Tabelle1[[#This Row],[Dauer des Abbaus
'[Tage']]])^(1/Tabelle1[[#This Row],[Exponent]])),""),"")</f>
        <v>101.29025539691933</v>
      </c>
      <c r="AI51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Starch-blend_Boden/Kompost_nicht natürlich</v>
      </c>
      <c r="AJ510" s="71">
        <v>1</v>
      </c>
      <c r="AK51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510" s="3" t="s">
        <v>392</v>
      </c>
      <c r="AM510" s="3" t="s">
        <v>977</v>
      </c>
      <c r="AN510" s="3" t="s">
        <v>538</v>
      </c>
      <c r="AO510" s="3" t="s">
        <v>200</v>
      </c>
      <c r="AP510" s="3" t="s">
        <v>200</v>
      </c>
      <c r="AT510" s="10" t="s">
        <v>223</v>
      </c>
      <c r="AU510" s="13" t="s">
        <v>200</v>
      </c>
      <c r="AW510" s="10" t="s">
        <v>786</v>
      </c>
    </row>
    <row r="511" spans="2:49" ht="17.25" customHeight="1">
      <c r="B511" s="109" t="s">
        <v>1059</v>
      </c>
      <c r="C511" s="3" t="s">
        <v>657</v>
      </c>
      <c r="D511" s="3" t="s">
        <v>223</v>
      </c>
      <c r="E511" s="10"/>
      <c r="F511" s="3" t="s">
        <v>241</v>
      </c>
      <c r="G511" s="17">
        <f>AVERAGE(0.18,0.21)</f>
        <v>0.19500000000000001</v>
      </c>
      <c r="H511" s="106">
        <f>4*PI()*((G511/2)^2)</f>
        <v>0.1194590606527519</v>
      </c>
      <c r="I511" s="3">
        <v>1.28</v>
      </c>
      <c r="J511" s="3" t="s">
        <v>656</v>
      </c>
      <c r="M511" s="3" t="s">
        <v>223</v>
      </c>
      <c r="N511" s="3" t="s">
        <v>658</v>
      </c>
      <c r="O511" s="3" t="s">
        <v>358</v>
      </c>
      <c r="P51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11" s="4">
        <v>28</v>
      </c>
      <c r="R511" s="4">
        <v>7.9</v>
      </c>
      <c r="T511" s="4">
        <v>14.6</v>
      </c>
      <c r="W511" s="3" t="s">
        <v>190</v>
      </c>
      <c r="Y511" s="4">
        <v>50</v>
      </c>
      <c r="Z511" s="4">
        <v>250</v>
      </c>
      <c r="AA511" s="5">
        <f t="shared" si="32"/>
        <v>0.2</v>
      </c>
      <c r="AB511" s="5"/>
      <c r="AC51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11" s="97" t="str">
        <f>IF(Tabelle1[[#This Row],[Nicht einbezogen weil…]]="",IFERROR(1000*Tabelle1[[#This Row],[Formfaktor]]/Tabelle1[[#This Row],[Thickness '[mm']]],""),"")</f>
        <v/>
      </c>
      <c r="AE511" s="98" t="str">
        <f>IF(Tabelle1[[#This Row],[Nicht einbezogen weil…]]="",IFERROR(Tabelle1[[#This Row],[specific surface '[m^2/m^3']]]/Tabelle1[[#This Row],[Density 
'[g/cm3']]]/1000000,""),"")</f>
        <v/>
      </c>
      <c r="AF511" s="97" t="str">
        <f>IF(Tabelle1[[#This Row],[Nicht einbezogen weil…]]="",IFERROR(365*10*Tabelle1[[#This Row],[Abbaurate '[%/d']]]*Tabelle1[[#This Row],[Thickness '[mm']]]/Tabelle1[[#This Row],[Formfaktor]],""),"")</f>
        <v/>
      </c>
      <c r="AG511" s="99">
        <f>IF(OR(Tabelle1[[#This Row],[Nicht einbezogen weil…]]="",Tabelle1[[#This Row],[Nicht einbezogen weil…]]="nicht-natürlich"),IF(Tabelle1[[#This Row],[Formfaktor]]=2, 1,IF(Tabelle1[[#This Row],[Formfaktor]]=4,2,IF(Tabelle1[[#This Row],[Formfaktor]]=6,3,""))),"")</f>
        <v>3</v>
      </c>
      <c r="AH511" s="97">
        <f>IF(OR(Tabelle1[[#This Row],[Nicht einbezogen weil…]]="",Tabelle1[[#This Row],[Nicht einbezogen weil…]]="nicht-natürlich"),IFERROR(Tabelle1[[#This Row],[Thickness '[mm']]]/Tabelle1[[#This Row],[Dauer des Abbaus
'[Tage']]]*1000*0.5*365*(1-(1-Tabelle1[[#This Row],[Abbaurate '[%/d']]]/100*Tabelle1[[#This Row],[Dauer des Abbaus
'[Tage']]])^(1/Tabelle1[[#This Row],[Exponent]])),""),"")</f>
        <v>29.366730126163393</v>
      </c>
      <c r="AI51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Starch-blend_Boden/Kompost_nicht natürlich</v>
      </c>
      <c r="AJ511" s="71">
        <v>1</v>
      </c>
      <c r="AK51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511" s="3" t="s">
        <v>392</v>
      </c>
      <c r="AM511" s="3" t="s">
        <v>977</v>
      </c>
      <c r="AN511" s="3" t="s">
        <v>538</v>
      </c>
      <c r="AO511" s="3" t="s">
        <v>200</v>
      </c>
      <c r="AP511" s="3" t="s">
        <v>200</v>
      </c>
      <c r="AT511" s="10" t="s">
        <v>223</v>
      </c>
      <c r="AU511" s="13" t="s">
        <v>200</v>
      </c>
      <c r="AW511" s="10" t="s">
        <v>787</v>
      </c>
    </row>
    <row r="512" spans="2:49" ht="17.25" customHeight="1">
      <c r="B512" s="109" t="s">
        <v>1059</v>
      </c>
      <c r="C512" s="3" t="s">
        <v>657</v>
      </c>
      <c r="D512" s="3" t="s">
        <v>223</v>
      </c>
      <c r="E512" s="10"/>
      <c r="F512" s="3" t="s">
        <v>241</v>
      </c>
      <c r="G512" s="17">
        <f>AVERAGE(0.075,0.125)</f>
        <v>0.1</v>
      </c>
      <c r="H512" s="23">
        <f>PI()*((G512/2)^2)</f>
        <v>7.8539816339744835E-3</v>
      </c>
      <c r="I512" s="3">
        <v>1.28</v>
      </c>
      <c r="J512" s="3" t="s">
        <v>656</v>
      </c>
      <c r="M512" s="3" t="s">
        <v>223</v>
      </c>
      <c r="N512" s="3" t="s">
        <v>658</v>
      </c>
      <c r="O512" s="3" t="s">
        <v>358</v>
      </c>
      <c r="P51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12" s="4">
        <v>28</v>
      </c>
      <c r="R512" s="4">
        <v>7.9</v>
      </c>
      <c r="T512" s="4">
        <v>14.6</v>
      </c>
      <c r="W512" s="3" t="s">
        <v>190</v>
      </c>
      <c r="Y512" s="4">
        <v>50</v>
      </c>
      <c r="Z512" s="4">
        <v>100</v>
      </c>
      <c r="AA512" s="5">
        <f t="shared" si="32"/>
        <v>0.5</v>
      </c>
      <c r="AB512" s="5"/>
      <c r="AC51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12" s="97" t="str">
        <f>IF(Tabelle1[[#This Row],[Nicht einbezogen weil…]]="",IFERROR(1000*Tabelle1[[#This Row],[Formfaktor]]/Tabelle1[[#This Row],[Thickness '[mm']]],""),"")</f>
        <v/>
      </c>
      <c r="AE512" s="98" t="str">
        <f>IF(Tabelle1[[#This Row],[Nicht einbezogen weil…]]="",IFERROR(Tabelle1[[#This Row],[specific surface '[m^2/m^3']]]/Tabelle1[[#This Row],[Density 
'[g/cm3']]]/1000000,""),"")</f>
        <v/>
      </c>
      <c r="AF512" s="97" t="str">
        <f>IF(Tabelle1[[#This Row],[Nicht einbezogen weil…]]="",IFERROR(365*10*Tabelle1[[#This Row],[Abbaurate '[%/d']]]*Tabelle1[[#This Row],[Thickness '[mm']]]/Tabelle1[[#This Row],[Formfaktor]],""),"")</f>
        <v/>
      </c>
      <c r="AG512" s="99">
        <f>IF(OR(Tabelle1[[#This Row],[Nicht einbezogen weil…]]="",Tabelle1[[#This Row],[Nicht einbezogen weil…]]="nicht-natürlich"),IF(Tabelle1[[#This Row],[Formfaktor]]=2, 1,IF(Tabelle1[[#This Row],[Formfaktor]]=4,2,IF(Tabelle1[[#This Row],[Formfaktor]]=6,3,""))),"")</f>
        <v>3</v>
      </c>
      <c r="AH512" s="97">
        <f>IF(OR(Tabelle1[[#This Row],[Nicht einbezogen weil…]]="",Tabelle1[[#This Row],[Nicht einbezogen weil…]]="nicht-natürlich"),IFERROR(Tabelle1[[#This Row],[Thickness '[mm']]]/Tabelle1[[#This Row],[Dauer des Abbaus
'[Tage']]]*1000*0.5*365*(1-(1-Tabelle1[[#This Row],[Abbaurate '[%/d']]]/100*Tabelle1[[#This Row],[Dauer des Abbaus
'[Tage']]])^(1/Tabelle1[[#This Row],[Exponent]])),""),"")</f>
        <v>37.649654007901788</v>
      </c>
      <c r="AI51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Starch-blend_Boden/Kompost_nicht natürlich</v>
      </c>
      <c r="AJ512" s="71">
        <v>1</v>
      </c>
      <c r="AK51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nicht-natürlich</v>
      </c>
      <c r="AL512" s="3" t="s">
        <v>392</v>
      </c>
      <c r="AM512" s="3" t="s">
        <v>977</v>
      </c>
      <c r="AN512" s="3" t="s">
        <v>538</v>
      </c>
      <c r="AO512" s="3" t="s">
        <v>200</v>
      </c>
      <c r="AP512" s="3" t="s">
        <v>200</v>
      </c>
      <c r="AT512" s="10" t="s">
        <v>223</v>
      </c>
      <c r="AU512" s="13" t="s">
        <v>200</v>
      </c>
      <c r="AW512" s="10" t="s">
        <v>797</v>
      </c>
    </row>
    <row r="513" spans="1:49" ht="17.25" customHeight="1">
      <c r="B513" s="109" t="s">
        <v>48</v>
      </c>
      <c r="C513" s="3" t="s">
        <v>48</v>
      </c>
      <c r="D513" s="3" t="s">
        <v>223</v>
      </c>
      <c r="E513" s="10"/>
      <c r="F513" s="3" t="s">
        <v>428</v>
      </c>
      <c r="G513" s="3">
        <v>0.06</v>
      </c>
      <c r="H513" s="3">
        <f>0.15*0.02</f>
        <v>3.0000000000000001E-3</v>
      </c>
      <c r="I513" s="77">
        <v>1.1100000000000001</v>
      </c>
      <c r="J513" s="3" t="s">
        <v>427</v>
      </c>
      <c r="M513" s="3" t="s">
        <v>200</v>
      </c>
      <c r="N513" s="3" t="s">
        <v>429</v>
      </c>
      <c r="O513" s="3" t="s">
        <v>23</v>
      </c>
      <c r="P51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13" s="9" t="s">
        <v>432</v>
      </c>
      <c r="R513" s="9" t="s">
        <v>51</v>
      </c>
      <c r="U513" s="4" t="s">
        <v>12</v>
      </c>
      <c r="W513" s="19" t="s">
        <v>13</v>
      </c>
      <c r="X513" s="19"/>
      <c r="Y513" s="4">
        <v>100</v>
      </c>
      <c r="Z513" s="4">
        <f>6*7</f>
        <v>42</v>
      </c>
      <c r="AA513" s="5">
        <f t="shared" si="32"/>
        <v>2.3809523809523809</v>
      </c>
      <c r="AB513" s="5"/>
      <c r="AC51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13" s="97">
        <f>IF(Tabelle1[[#This Row],[Nicht einbezogen weil…]]="",IFERROR(1000*Tabelle1[[#This Row],[Formfaktor]]/Tabelle1[[#This Row],[Thickness '[mm']]],""),"")</f>
        <v>33333.333333333336</v>
      </c>
      <c r="AE513" s="98">
        <f>IF(Tabelle1[[#This Row],[Nicht einbezogen weil…]]="",IFERROR(Tabelle1[[#This Row],[specific surface '[m^2/m^3']]]/Tabelle1[[#This Row],[Density 
'[g/cm3']]]/1000000,""),"")</f>
        <v>3.003003003003003E-2</v>
      </c>
      <c r="AF513" s="97">
        <f>IF(Tabelle1[[#This Row],[Nicht einbezogen weil…]]="",IFERROR(365*10*Tabelle1[[#This Row],[Abbaurate '[%/d']]]*Tabelle1[[#This Row],[Thickness '[mm']]]/Tabelle1[[#This Row],[Formfaktor]],""),"")</f>
        <v>260.71428571428572</v>
      </c>
      <c r="AG513" s="99">
        <f>IF(OR(Tabelle1[[#This Row],[Nicht einbezogen weil…]]="",Tabelle1[[#This Row],[Nicht einbezogen weil…]]="nicht-natürlich"),IF(Tabelle1[[#This Row],[Formfaktor]]=2, 1,IF(Tabelle1[[#This Row],[Formfaktor]]=4,2,IF(Tabelle1[[#This Row],[Formfaktor]]=6,3,""))),"")</f>
        <v>1</v>
      </c>
      <c r="AH513" s="97">
        <f>IF(OR(Tabelle1[[#This Row],[Nicht einbezogen weil…]]="",Tabelle1[[#This Row],[Nicht einbezogen weil…]]="nicht-natürlich"),IFERROR(Tabelle1[[#This Row],[Thickness '[mm']]]/Tabelle1[[#This Row],[Dauer des Abbaus
'[Tage']]]*1000*0.5*365*(1-(1-Tabelle1[[#This Row],[Abbaurate '[%/d']]]/100*Tabelle1[[#This Row],[Dauer des Abbaus
'[Tage']]])^(1/Tabelle1[[#This Row],[Exponent]])),""),"")</f>
        <v>260.71428571428572</v>
      </c>
      <c r="AI51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PCL_Meerwasser_natürlich</v>
      </c>
      <c r="AJ513" s="71">
        <v>1</v>
      </c>
      <c r="AK51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13" s="3" t="s">
        <v>434</v>
      </c>
      <c r="AM513" s="3" t="s">
        <v>962</v>
      </c>
      <c r="AN513" s="3" t="s">
        <v>538</v>
      </c>
      <c r="AO513" s="3" t="s">
        <v>200</v>
      </c>
      <c r="AP513" s="3" t="s">
        <v>200</v>
      </c>
      <c r="AT513" s="10" t="s">
        <v>223</v>
      </c>
      <c r="AU513" s="13" t="s">
        <v>200</v>
      </c>
      <c r="AW513" s="10" t="s">
        <v>813</v>
      </c>
    </row>
    <row r="514" spans="1:49" ht="17.25" customHeight="1">
      <c r="B514" s="7" t="s">
        <v>1059</v>
      </c>
      <c r="C514" s="3" t="s">
        <v>1006</v>
      </c>
      <c r="D514" s="3" t="s">
        <v>223</v>
      </c>
      <c r="E514" s="10"/>
      <c r="F514" s="3" t="s">
        <v>288</v>
      </c>
      <c r="G514" s="3" t="s">
        <v>341</v>
      </c>
      <c r="H514" s="3">
        <f>0.05*0.05</f>
        <v>2.5000000000000005E-3</v>
      </c>
      <c r="K514" s="8" t="s">
        <v>229</v>
      </c>
      <c r="M514" s="3" t="s">
        <v>301</v>
      </c>
      <c r="N514" s="3" t="s">
        <v>1004</v>
      </c>
      <c r="O514" s="3" t="s">
        <v>294</v>
      </c>
      <c r="P51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R514" s="9" t="s">
        <v>1007</v>
      </c>
      <c r="U514" s="4" t="s">
        <v>89</v>
      </c>
      <c r="W514" s="3" t="s">
        <v>13</v>
      </c>
      <c r="Y514" s="4">
        <v>50</v>
      </c>
      <c r="Z514" s="4">
        <v>120</v>
      </c>
      <c r="AA514" s="5">
        <f t="shared" si="32"/>
        <v>0.41666666666666669</v>
      </c>
      <c r="AB514" s="5"/>
      <c r="AC51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14" s="5" t="str">
        <f>IF(Tabelle1[[#This Row],[Nicht einbezogen weil…]]="",IFERROR(1000*Tabelle1[[#This Row],[Formfaktor]]/Tabelle1[[#This Row],[Thickness '[mm']]],""),"")</f>
        <v/>
      </c>
      <c r="AE514" s="5" t="str">
        <f>IF(Tabelle1[[#This Row],[Nicht einbezogen weil…]]="",IFERROR(Tabelle1[[#This Row],[specific surface '[m^2/m^3']]]/Tabelle1[[#This Row],[Density 
'[g/cm3']]]/1000000,""),"")</f>
        <v/>
      </c>
      <c r="AF514" s="5" t="str">
        <f>IF(Tabelle1[[#This Row],[Nicht einbezogen weil…]]="",IFERROR(365*10*Tabelle1[[#This Row],[Abbaurate '[%/d']]]*Tabelle1[[#This Row],[Thickness '[mm']]]/Tabelle1[[#This Row],[Formfaktor]],""),"")</f>
        <v/>
      </c>
      <c r="AG514" s="327" t="str">
        <f>IF(OR(Tabelle1[[#This Row],[Nicht einbezogen weil…]]="",Tabelle1[[#This Row],[Nicht einbezogen weil…]]="nicht-natürlich"),IF(Tabelle1[[#This Row],[Formfaktor]]=2, 1,IF(Tabelle1[[#This Row],[Formfaktor]]=4,2,IF(Tabelle1[[#This Row],[Formfaktor]]=6,3,""))),"")</f>
        <v/>
      </c>
      <c r="AH514"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1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14" s="6">
        <v>1</v>
      </c>
      <c r="AK51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14" s="3" t="s">
        <v>976</v>
      </c>
      <c r="AM514" s="3" t="s">
        <v>967</v>
      </c>
      <c r="AN514" s="3" t="s">
        <v>824</v>
      </c>
      <c r="AO514" s="3" t="s">
        <v>200</v>
      </c>
      <c r="AP514" s="3" t="s">
        <v>200</v>
      </c>
      <c r="AT514" s="10" t="s">
        <v>200</v>
      </c>
      <c r="AU514" s="13" t="s">
        <v>200</v>
      </c>
    </row>
    <row r="515" spans="1:49" ht="17.25" customHeight="1">
      <c r="B515" s="7" t="s">
        <v>1059</v>
      </c>
      <c r="C515" s="3" t="s">
        <v>1006</v>
      </c>
      <c r="D515" s="3" t="s">
        <v>223</v>
      </c>
      <c r="E515" s="10"/>
      <c r="F515" s="3" t="s">
        <v>288</v>
      </c>
      <c r="G515" s="3" t="s">
        <v>341</v>
      </c>
      <c r="H515" s="3">
        <f>0.05*0.05</f>
        <v>2.5000000000000005E-3</v>
      </c>
      <c r="K515" s="8" t="s">
        <v>229</v>
      </c>
      <c r="M515" s="3" t="s">
        <v>301</v>
      </c>
      <c r="N515" s="3" t="s">
        <v>1004</v>
      </c>
      <c r="O515" s="3" t="s">
        <v>294</v>
      </c>
      <c r="P51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R515" s="9" t="s">
        <v>51</v>
      </c>
      <c r="U515" s="4" t="s">
        <v>12</v>
      </c>
      <c r="W515" s="3" t="s">
        <v>13</v>
      </c>
      <c r="Y515" s="4">
        <v>50</v>
      </c>
      <c r="Z515" s="4">
        <v>120</v>
      </c>
      <c r="AA515" s="5">
        <f t="shared" si="32"/>
        <v>0.41666666666666669</v>
      </c>
      <c r="AB515" s="5"/>
      <c r="AC51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15" s="5" t="str">
        <f>IF(Tabelle1[[#This Row],[Nicht einbezogen weil…]]="",IFERROR(1000*Tabelle1[[#This Row],[Formfaktor]]/Tabelle1[[#This Row],[Thickness '[mm']]],""),"")</f>
        <v/>
      </c>
      <c r="AE515" s="5" t="str">
        <f>IF(Tabelle1[[#This Row],[Nicht einbezogen weil…]]="",IFERROR(Tabelle1[[#This Row],[specific surface '[m^2/m^3']]]/Tabelle1[[#This Row],[Density 
'[g/cm3']]]/1000000,""),"")</f>
        <v/>
      </c>
      <c r="AF515" s="5" t="str">
        <f>IF(Tabelle1[[#This Row],[Nicht einbezogen weil…]]="",IFERROR(365*10*Tabelle1[[#This Row],[Abbaurate '[%/d']]]*Tabelle1[[#This Row],[Thickness '[mm']]]/Tabelle1[[#This Row],[Formfaktor]],""),"")</f>
        <v/>
      </c>
      <c r="AG515" s="327" t="str">
        <f>IF(OR(Tabelle1[[#This Row],[Nicht einbezogen weil…]]="",Tabelle1[[#This Row],[Nicht einbezogen weil…]]="nicht-natürlich"),IF(Tabelle1[[#This Row],[Formfaktor]]=2, 1,IF(Tabelle1[[#This Row],[Formfaktor]]=4,2,IF(Tabelle1[[#This Row],[Formfaktor]]=6,3,""))),"")</f>
        <v/>
      </c>
      <c r="AH51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1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15" s="6">
        <v>1</v>
      </c>
      <c r="AK51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15" s="3" t="s">
        <v>976</v>
      </c>
      <c r="AM515" s="3" t="s">
        <v>967</v>
      </c>
      <c r="AN515" s="3" t="s">
        <v>824</v>
      </c>
      <c r="AO515" s="3" t="s">
        <v>200</v>
      </c>
      <c r="AP515" s="3" t="s">
        <v>200</v>
      </c>
      <c r="AT515" s="10" t="s">
        <v>200</v>
      </c>
      <c r="AU515" s="13" t="s">
        <v>200</v>
      </c>
    </row>
    <row r="516" spans="1:49" ht="17.25" customHeight="1">
      <c r="B516" s="109" t="s">
        <v>48</v>
      </c>
      <c r="C516" s="3" t="s">
        <v>48</v>
      </c>
      <c r="D516" s="3" t="s">
        <v>223</v>
      </c>
      <c r="E516" s="10"/>
      <c r="F516" s="3" t="s">
        <v>428</v>
      </c>
      <c r="G516" s="3">
        <v>0.06</v>
      </c>
      <c r="H516" s="3">
        <f>0.15*0.02</f>
        <v>3.0000000000000001E-3</v>
      </c>
      <c r="I516" s="77">
        <v>1.1100000000000001</v>
      </c>
      <c r="J516" s="3" t="s">
        <v>427</v>
      </c>
      <c r="M516" s="3" t="s">
        <v>200</v>
      </c>
      <c r="N516" s="3" t="s">
        <v>430</v>
      </c>
      <c r="O516" s="3" t="s">
        <v>1081</v>
      </c>
      <c r="P51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16" s="9" t="s">
        <v>432</v>
      </c>
      <c r="R516" s="9" t="s">
        <v>51</v>
      </c>
      <c r="U516" s="4" t="s">
        <v>12</v>
      </c>
      <c r="W516" s="19" t="s">
        <v>13</v>
      </c>
      <c r="X516" s="19"/>
      <c r="Y516" s="4">
        <v>39</v>
      </c>
      <c r="Z516" s="4">
        <f>42*7</f>
        <v>294</v>
      </c>
      <c r="AA516" s="5">
        <f t="shared" si="32"/>
        <v>0.1326530612244898</v>
      </c>
      <c r="AB516" s="5"/>
      <c r="AC51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16" s="97">
        <f>IF(Tabelle1[[#This Row],[Nicht einbezogen weil…]]="",IFERROR(1000*Tabelle1[[#This Row],[Formfaktor]]/Tabelle1[[#This Row],[Thickness '[mm']]],""),"")</f>
        <v>33333.333333333336</v>
      </c>
      <c r="AE516" s="98">
        <f>IF(Tabelle1[[#This Row],[Nicht einbezogen weil…]]="",IFERROR(Tabelle1[[#This Row],[specific surface '[m^2/m^3']]]/Tabelle1[[#This Row],[Density 
'[g/cm3']]]/1000000,""),"")</f>
        <v>3.003003003003003E-2</v>
      </c>
      <c r="AF516" s="97">
        <f>IF(Tabelle1[[#This Row],[Nicht einbezogen weil…]]="",IFERROR(365*10*Tabelle1[[#This Row],[Abbaurate '[%/d']]]*Tabelle1[[#This Row],[Thickness '[mm']]]/Tabelle1[[#This Row],[Formfaktor]],""),"")</f>
        <v>14.525510204081632</v>
      </c>
      <c r="AG516" s="99">
        <f>IF(OR(Tabelle1[[#This Row],[Nicht einbezogen weil…]]="",Tabelle1[[#This Row],[Nicht einbezogen weil…]]="nicht-natürlich"),IF(Tabelle1[[#This Row],[Formfaktor]]=2, 1,IF(Tabelle1[[#This Row],[Formfaktor]]=4,2,IF(Tabelle1[[#This Row],[Formfaktor]]=6,3,""))),"")</f>
        <v>1</v>
      </c>
      <c r="AH516" s="97">
        <f>IF(OR(Tabelle1[[#This Row],[Nicht einbezogen weil…]]="",Tabelle1[[#This Row],[Nicht einbezogen weil…]]="nicht-natürlich"),IFERROR(Tabelle1[[#This Row],[Thickness '[mm']]]/Tabelle1[[#This Row],[Dauer des Abbaus
'[Tage']]]*1000*0.5*365*(1-(1-Tabelle1[[#This Row],[Abbaurate '[%/d']]]/100*Tabelle1[[#This Row],[Dauer des Abbaus
'[Tage']]])^(1/Tabelle1[[#This Row],[Exponent]])),""),"")</f>
        <v>14.52551020408163</v>
      </c>
      <c r="AI51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PCL_Süßwasser_natürlich</v>
      </c>
      <c r="AJ516" s="71">
        <v>1</v>
      </c>
      <c r="AK51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16" s="3" t="s">
        <v>434</v>
      </c>
      <c r="AM516" s="3" t="s">
        <v>962</v>
      </c>
      <c r="AN516" s="3" t="s">
        <v>538</v>
      </c>
      <c r="AO516" s="3" t="s">
        <v>200</v>
      </c>
      <c r="AP516" s="3" t="s">
        <v>200</v>
      </c>
      <c r="AT516" s="10" t="s">
        <v>223</v>
      </c>
      <c r="AU516" s="13" t="s">
        <v>200</v>
      </c>
      <c r="AW516" s="10" t="s">
        <v>813</v>
      </c>
    </row>
    <row r="517" spans="1:49" ht="17.25" customHeight="1">
      <c r="A517" s="10" t="s">
        <v>200</v>
      </c>
      <c r="B517" s="109" t="s">
        <v>77</v>
      </c>
      <c r="C517" s="3" t="s">
        <v>77</v>
      </c>
      <c r="D517" s="3" t="s">
        <v>223</v>
      </c>
      <c r="E517" s="10"/>
      <c r="F517" s="3" t="s">
        <v>288</v>
      </c>
      <c r="G517" s="3">
        <v>0.1</v>
      </c>
      <c r="H517" s="3">
        <f>PI()*(0.015^2)</f>
        <v>7.0685834705770342E-4</v>
      </c>
      <c r="I517" s="24">
        <f>AVERAGE(0.9265,0.9495)</f>
        <v>0.93799999999999994</v>
      </c>
      <c r="J517" s="3" t="s">
        <v>708</v>
      </c>
      <c r="K517" s="8" t="s">
        <v>229</v>
      </c>
      <c r="M517" s="3" t="s">
        <v>200</v>
      </c>
      <c r="N517" s="3" t="s">
        <v>5</v>
      </c>
      <c r="O517" s="3" t="s">
        <v>358</v>
      </c>
      <c r="P51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17" s="4" t="s">
        <v>157</v>
      </c>
      <c r="W517" s="3" t="s">
        <v>13</v>
      </c>
      <c r="Y517" s="4">
        <v>0</v>
      </c>
      <c r="Z517" s="4">
        <v>300</v>
      </c>
      <c r="AA517" s="5">
        <f t="shared" si="32"/>
        <v>0</v>
      </c>
      <c r="AB517" s="5"/>
      <c r="AC51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17" s="97">
        <f>IF(Tabelle1[[#This Row],[Nicht einbezogen weil…]]="",IFERROR(1000*Tabelle1[[#This Row],[Formfaktor]]/Tabelle1[[#This Row],[Thickness '[mm']]],""),"")</f>
        <v>20000</v>
      </c>
      <c r="AE517" s="98">
        <f>IF(Tabelle1[[#This Row],[Nicht einbezogen weil…]]="",IFERROR(Tabelle1[[#This Row],[specific surface '[m^2/m^3']]]/Tabelle1[[#This Row],[Density 
'[g/cm3']]]/1000000,""),"")</f>
        <v>2.1321961620469083E-2</v>
      </c>
      <c r="AF517" s="97">
        <f>IF(Tabelle1[[#This Row],[Nicht einbezogen weil…]]="",IFERROR(365*10*Tabelle1[[#This Row],[Abbaurate '[%/d']]]*Tabelle1[[#This Row],[Thickness '[mm']]]/Tabelle1[[#This Row],[Formfaktor]],""),"")</f>
        <v>0</v>
      </c>
      <c r="AG517" s="99">
        <f>IF(OR(Tabelle1[[#This Row],[Nicht einbezogen weil…]]="",Tabelle1[[#This Row],[Nicht einbezogen weil…]]="nicht-natürlich"),IF(Tabelle1[[#This Row],[Formfaktor]]=2, 1,IF(Tabelle1[[#This Row],[Formfaktor]]=4,2,IF(Tabelle1[[#This Row],[Formfaktor]]=6,3,""))),"")</f>
        <v>1</v>
      </c>
      <c r="AH517" s="351">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51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PE_Boden/Kompost_natürlich</v>
      </c>
      <c r="AJ517" s="71">
        <v>1</v>
      </c>
      <c r="AK51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17" s="3" t="s">
        <v>143</v>
      </c>
      <c r="AM517" s="3" t="s">
        <v>962</v>
      </c>
      <c r="AN517" s="3" t="s">
        <v>538</v>
      </c>
      <c r="AO517" s="3" t="s">
        <v>200</v>
      </c>
      <c r="AP517" s="3" t="s">
        <v>200</v>
      </c>
      <c r="AT517" s="10" t="s">
        <v>223</v>
      </c>
      <c r="AU517" s="13" t="s">
        <v>200</v>
      </c>
      <c r="AW517" s="10" t="s">
        <v>775</v>
      </c>
    </row>
    <row r="518" spans="1:49" ht="17.25" customHeight="1">
      <c r="A518" s="10" t="s">
        <v>200</v>
      </c>
      <c r="B518" s="109" t="s">
        <v>77</v>
      </c>
      <c r="C518" s="3" t="s">
        <v>1136</v>
      </c>
      <c r="D518" s="3" t="s">
        <v>223</v>
      </c>
      <c r="E518" s="10"/>
      <c r="F518" s="3" t="s">
        <v>578</v>
      </c>
      <c r="G518" s="3">
        <v>3.5999999999999997E-2</v>
      </c>
      <c r="H518" s="3">
        <f>0.0004*0.00015</f>
        <v>5.9999999999999995E-8</v>
      </c>
      <c r="I518" s="24">
        <f>AVERAGE(0.9265,0.9495)</f>
        <v>0.93799999999999994</v>
      </c>
      <c r="J518" s="3" t="s">
        <v>579</v>
      </c>
      <c r="K518" s="3" t="s">
        <v>229</v>
      </c>
      <c r="L518" s="3" t="s">
        <v>229</v>
      </c>
      <c r="M518" s="3" t="s">
        <v>301</v>
      </c>
      <c r="N518" s="3" t="s">
        <v>1134</v>
      </c>
      <c r="O518" s="3" t="s">
        <v>358</v>
      </c>
      <c r="P51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518" s="9">
        <v>7.5</v>
      </c>
      <c r="W518" s="3" t="s">
        <v>13</v>
      </c>
      <c r="X518" s="3" t="s">
        <v>1135</v>
      </c>
      <c r="Y518" s="4">
        <v>1.2</v>
      </c>
      <c r="Z518" s="4">
        <v>84</v>
      </c>
      <c r="AA518" s="5">
        <f t="shared" si="32"/>
        <v>1.4285714285714285E-2</v>
      </c>
      <c r="AB518" s="5"/>
      <c r="AC51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18" s="97">
        <f>IF(Tabelle1[[#This Row],[Nicht einbezogen weil…]]="",IFERROR(1000*Tabelle1[[#This Row],[Formfaktor]]/Tabelle1[[#This Row],[Thickness '[mm']]],""),"")</f>
        <v>166666.66666666669</v>
      </c>
      <c r="AE518" s="98">
        <f>IF(Tabelle1[[#This Row],[Nicht einbezogen weil…]]="",IFERROR(Tabelle1[[#This Row],[specific surface '[m^2/m^3']]]/Tabelle1[[#This Row],[Density 
'[g/cm3']]]/1000000,""),"")</f>
        <v>0.17768301350390905</v>
      </c>
      <c r="AF518" s="97">
        <f>IF(Tabelle1[[#This Row],[Nicht einbezogen weil…]]="",IFERROR(365*10*Tabelle1[[#This Row],[Abbaurate '[%/d']]]*Tabelle1[[#This Row],[Thickness '[mm']]]/Tabelle1[[#This Row],[Formfaktor]],""),"")</f>
        <v>0.31285714285714278</v>
      </c>
      <c r="AG518" s="99">
        <f>IF(OR(Tabelle1[[#This Row],[Nicht einbezogen weil…]]="",Tabelle1[[#This Row],[Nicht einbezogen weil…]]="nicht-natürlich"),IF(Tabelle1[[#This Row],[Formfaktor]]=2, 1,IF(Tabelle1[[#This Row],[Formfaktor]]=4,2,IF(Tabelle1[[#This Row],[Formfaktor]]=6,3,""))),"")</f>
        <v>3</v>
      </c>
      <c r="AH518" s="351">
        <f>IF(OR(Tabelle1[[#This Row],[Nicht einbezogen weil…]]="",Tabelle1[[#This Row],[Nicht einbezogen weil…]]="nicht-natürlich"),IFERROR(Tabelle1[[#This Row],[Thickness '[mm']]]/Tabelle1[[#This Row],[Dauer des Abbaus
'[Tage']]]*1000*0.5*365*(1-(1-Tabelle1[[#This Row],[Abbaurate '[%/d']]]/100*Tabelle1[[#This Row],[Dauer des Abbaus
'[Tage']]])^(1/Tabelle1[[#This Row],[Exponent]])),""),"")</f>
        <v>0.31411698162144208</v>
      </c>
      <c r="AI51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PE_Boden/Kompost_natürlich</v>
      </c>
      <c r="AJ518" s="71">
        <v>1</v>
      </c>
      <c r="AK51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18" s="3" t="s">
        <v>164</v>
      </c>
      <c r="AN518" s="3" t="s">
        <v>538</v>
      </c>
      <c r="AO518" s="3" t="s">
        <v>235</v>
      </c>
      <c r="AP518" s="3" t="s">
        <v>235</v>
      </c>
      <c r="AT518" s="10" t="s">
        <v>223</v>
      </c>
      <c r="AU518" s="13" t="s">
        <v>200</v>
      </c>
      <c r="AW518" s="10" t="s">
        <v>775</v>
      </c>
    </row>
    <row r="519" spans="1:49" ht="17.25" customHeight="1">
      <c r="A519" s="10" t="s">
        <v>200</v>
      </c>
      <c r="B519" s="109" t="s">
        <v>77</v>
      </c>
      <c r="C519" s="3" t="s">
        <v>1138</v>
      </c>
      <c r="D519" s="3" t="s">
        <v>223</v>
      </c>
      <c r="E519" s="10"/>
      <c r="F519" s="3" t="s">
        <v>578</v>
      </c>
      <c r="G519" s="3">
        <v>3.5999999999999997E-2</v>
      </c>
      <c r="I519" s="24"/>
      <c r="J519" s="3" t="s">
        <v>579</v>
      </c>
      <c r="K519" s="8" t="s">
        <v>229</v>
      </c>
      <c r="L519" s="3" t="s">
        <v>229</v>
      </c>
      <c r="M519" s="3" t="s">
        <v>301</v>
      </c>
      <c r="N519" s="3" t="s">
        <v>1134</v>
      </c>
      <c r="O519" s="3" t="s">
        <v>358</v>
      </c>
      <c r="P51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519" s="9"/>
      <c r="W519" s="3" t="s">
        <v>190</v>
      </c>
      <c r="Y519" s="4">
        <v>3.2</v>
      </c>
      <c r="Z519" s="4">
        <v>160</v>
      </c>
      <c r="AA519" s="5">
        <f t="shared" si="32"/>
        <v>0.02</v>
      </c>
      <c r="AB519" s="5"/>
      <c r="AC51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19" s="5">
        <f>IF(Tabelle1[[#This Row],[Nicht einbezogen weil…]]="",IFERROR(1000*Tabelle1[[#This Row],[Formfaktor]]/Tabelle1[[#This Row],[Thickness '[mm']]],""),"")</f>
        <v>166666.66666666669</v>
      </c>
      <c r="AE519" s="350" t="str">
        <f>IF(Tabelle1[[#This Row],[Nicht einbezogen weil…]]="",IFERROR(Tabelle1[[#This Row],[specific surface '[m^2/m^3']]]/Tabelle1[[#This Row],[Density 
'[g/cm3']]]/1000000,""),"")</f>
        <v/>
      </c>
      <c r="AF519" s="5">
        <f>IF(Tabelle1[[#This Row],[Nicht einbezogen weil…]]="",IFERROR(365*10*Tabelle1[[#This Row],[Abbaurate '[%/d']]]*Tabelle1[[#This Row],[Thickness '[mm']]]/Tabelle1[[#This Row],[Formfaktor]],""),"")</f>
        <v>0.43799999999999994</v>
      </c>
      <c r="AG519" s="349">
        <f>IF(OR(Tabelle1[[#This Row],[Nicht einbezogen weil…]]="",Tabelle1[[#This Row],[Nicht einbezogen weil…]]="nicht-natürlich"),IF(Tabelle1[[#This Row],[Formfaktor]]=2, 1,IF(Tabelle1[[#This Row],[Formfaktor]]=4,2,IF(Tabelle1[[#This Row],[Formfaktor]]=6,3,""))),"")</f>
        <v>3</v>
      </c>
      <c r="AH519" s="352">
        <f>IF(OR(Tabelle1[[#This Row],[Nicht einbezogen weil…]]="",Tabelle1[[#This Row],[Nicht einbezogen weil…]]="nicht-natürlich"),IFERROR(Tabelle1[[#This Row],[Thickness '[mm']]]/Tabelle1[[#This Row],[Dauer des Abbaus
'[Tage']]]*1000*0.5*365*(1-(1-Tabelle1[[#This Row],[Abbaurate '[%/d']]]/100*Tabelle1[[#This Row],[Dauer des Abbaus
'[Tage']]])^(1/Tabelle1[[#This Row],[Exponent]])),""),"")</f>
        <v>0.44275687232004596</v>
      </c>
      <c r="AI51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PE_Boden/Kompost_natürlich</v>
      </c>
      <c r="AJ519" s="71">
        <v>1</v>
      </c>
      <c r="AK51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19" s="3" t="s">
        <v>164</v>
      </c>
      <c r="AU519" s="13"/>
      <c r="AW519" s="10" t="s">
        <v>775</v>
      </c>
    </row>
    <row r="520" spans="1:49" ht="17.25" customHeight="1">
      <c r="A520" s="10" t="s">
        <v>200</v>
      </c>
      <c r="B520" s="109" t="s">
        <v>77</v>
      </c>
      <c r="C520" s="3" t="s">
        <v>1137</v>
      </c>
      <c r="D520" s="3" t="s">
        <v>223</v>
      </c>
      <c r="E520" s="10"/>
      <c r="F520" s="3" t="s">
        <v>578</v>
      </c>
      <c r="G520" s="3">
        <v>3.5999999999999997E-2</v>
      </c>
      <c r="I520" s="24"/>
      <c r="J520" s="3" t="s">
        <v>579</v>
      </c>
      <c r="K520" s="8" t="s">
        <v>229</v>
      </c>
      <c r="L520" s="3" t="s">
        <v>229</v>
      </c>
      <c r="M520" s="3" t="s">
        <v>301</v>
      </c>
      <c r="N520" s="3" t="s">
        <v>1134</v>
      </c>
      <c r="O520" s="3" t="s">
        <v>358</v>
      </c>
      <c r="P52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520" s="9"/>
      <c r="W520" s="3" t="s">
        <v>13</v>
      </c>
      <c r="X520" s="3" t="s">
        <v>1135</v>
      </c>
      <c r="Y520" s="4">
        <v>1.5</v>
      </c>
      <c r="Z520" s="4">
        <v>84</v>
      </c>
      <c r="AA520" s="5">
        <f t="shared" si="32"/>
        <v>1.7857142857142856E-2</v>
      </c>
      <c r="AB520" s="5"/>
      <c r="AC52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20" s="5">
        <f>IF(Tabelle1[[#This Row],[Nicht einbezogen weil…]]="",IFERROR(1000*Tabelle1[[#This Row],[Formfaktor]]/Tabelle1[[#This Row],[Thickness '[mm']]],""),"")</f>
        <v>166666.66666666669</v>
      </c>
      <c r="AE520" s="350" t="str">
        <f>IF(Tabelle1[[#This Row],[Nicht einbezogen weil…]]="",IFERROR(Tabelle1[[#This Row],[specific surface '[m^2/m^3']]]/Tabelle1[[#This Row],[Density 
'[g/cm3']]]/1000000,""),"")</f>
        <v/>
      </c>
      <c r="AF520" s="5">
        <f>IF(Tabelle1[[#This Row],[Nicht einbezogen weil…]]="",IFERROR(365*10*Tabelle1[[#This Row],[Abbaurate '[%/d']]]*Tabelle1[[#This Row],[Thickness '[mm']]]/Tabelle1[[#This Row],[Formfaktor]],""),"")</f>
        <v>0.39107142857142857</v>
      </c>
      <c r="AG520" s="349">
        <f>IF(OR(Tabelle1[[#This Row],[Nicht einbezogen weil…]]="",Tabelle1[[#This Row],[Nicht einbezogen weil…]]="nicht-natürlich"),IF(Tabelle1[[#This Row],[Formfaktor]]=2, 1,IF(Tabelle1[[#This Row],[Formfaktor]]=4,2,IF(Tabelle1[[#This Row],[Formfaktor]]=6,3,""))),"")</f>
        <v>3</v>
      </c>
      <c r="AH520" s="352">
        <f>IF(OR(Tabelle1[[#This Row],[Nicht einbezogen weil…]]="",Tabelle1[[#This Row],[Nicht einbezogen weil…]]="nicht-natürlich"),IFERROR(Tabelle1[[#This Row],[Thickness '[mm']]]/Tabelle1[[#This Row],[Dauer des Abbaus
'[Tage']]]*1000*0.5*365*(1-(1-Tabelle1[[#This Row],[Abbaurate '[%/d']]]/100*Tabelle1[[#This Row],[Dauer des Abbaus
'[Tage']]])^(1/Tabelle1[[#This Row],[Exponent]])),""),"")</f>
        <v>0.39304324511714689</v>
      </c>
      <c r="AI52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PE_Boden/Kompost_natürlich</v>
      </c>
      <c r="AJ520" s="71">
        <v>1</v>
      </c>
      <c r="AK52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20" s="3" t="s">
        <v>164</v>
      </c>
      <c r="AU520" s="13"/>
      <c r="AW520" s="10" t="s">
        <v>775</v>
      </c>
    </row>
    <row r="521" spans="1:49" ht="17.25" customHeight="1">
      <c r="A521" s="10" t="s">
        <v>200</v>
      </c>
      <c r="B521" s="109" t="s">
        <v>77</v>
      </c>
      <c r="C521" s="3" t="s">
        <v>1138</v>
      </c>
      <c r="D521" s="3" t="s">
        <v>223</v>
      </c>
      <c r="E521" s="10"/>
      <c r="F521" s="3" t="s">
        <v>578</v>
      </c>
      <c r="G521" s="3">
        <v>3.5999999999999997E-2</v>
      </c>
      <c r="I521" s="24"/>
      <c r="J521" s="3" t="s">
        <v>579</v>
      </c>
      <c r="K521" s="8" t="s">
        <v>229</v>
      </c>
      <c r="L521" s="3" t="s">
        <v>229</v>
      </c>
      <c r="M521" s="3" t="s">
        <v>301</v>
      </c>
      <c r="N521" s="3" t="s">
        <v>1134</v>
      </c>
      <c r="O521" s="3" t="s">
        <v>358</v>
      </c>
      <c r="P52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521" s="9"/>
      <c r="W521" s="3" t="s">
        <v>190</v>
      </c>
      <c r="Y521" s="4">
        <v>4.5</v>
      </c>
      <c r="Z521" s="4">
        <v>160</v>
      </c>
      <c r="AA521" s="5">
        <f t="shared" si="32"/>
        <v>2.8125000000000001E-2</v>
      </c>
      <c r="AB521" s="5"/>
      <c r="AC52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21" s="5">
        <f>IF(Tabelle1[[#This Row],[Nicht einbezogen weil…]]="",IFERROR(1000*Tabelle1[[#This Row],[Formfaktor]]/Tabelle1[[#This Row],[Thickness '[mm']]],""),"")</f>
        <v>166666.66666666669</v>
      </c>
      <c r="AE521" s="350" t="str">
        <f>IF(Tabelle1[[#This Row],[Nicht einbezogen weil…]]="",IFERROR(Tabelle1[[#This Row],[specific surface '[m^2/m^3']]]/Tabelle1[[#This Row],[Density 
'[g/cm3']]]/1000000,""),"")</f>
        <v/>
      </c>
      <c r="AF521" s="5">
        <f>IF(Tabelle1[[#This Row],[Nicht einbezogen weil…]]="",IFERROR(365*10*Tabelle1[[#This Row],[Abbaurate '[%/d']]]*Tabelle1[[#This Row],[Thickness '[mm']]]/Tabelle1[[#This Row],[Formfaktor]],""),"")</f>
        <v>0.61593749999999992</v>
      </c>
      <c r="AG521" s="349">
        <f>IF(OR(Tabelle1[[#This Row],[Nicht einbezogen weil…]]="",Tabelle1[[#This Row],[Nicht einbezogen weil…]]="nicht-natürlich"),IF(Tabelle1[[#This Row],[Formfaktor]]=2, 1,IF(Tabelle1[[#This Row],[Formfaktor]]=4,2,IF(Tabelle1[[#This Row],[Formfaktor]]=6,3,""))),"")</f>
        <v>3</v>
      </c>
      <c r="AH521" s="352">
        <f>IF(OR(Tabelle1[[#This Row],[Nicht einbezogen weil…]]="",Tabelle1[[#This Row],[Nicht einbezogen weil…]]="nicht-natürlich"),IFERROR(Tabelle1[[#This Row],[Thickness '[mm']]]/Tabelle1[[#This Row],[Dauer des Abbaus
'[Tage']]]*1000*0.5*365*(1-(1-Tabelle1[[#This Row],[Abbaurate '[%/d']]]/100*Tabelle1[[#This Row],[Dauer des Abbaus
'[Tage']]])^(1/Tabelle1[[#This Row],[Exponent]])),""),"")</f>
        <v>0.62541470533243171</v>
      </c>
      <c r="AI52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PE_Boden/Kompost_natürlich</v>
      </c>
      <c r="AJ521" s="71">
        <v>1</v>
      </c>
      <c r="AK52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21" s="3" t="s">
        <v>164</v>
      </c>
      <c r="AU521" s="13"/>
      <c r="AW521" s="10" t="s">
        <v>775</v>
      </c>
    </row>
    <row r="522" spans="1:49" ht="17.25" customHeight="1">
      <c r="A522" s="10" t="s">
        <v>200</v>
      </c>
      <c r="B522" s="109" t="s">
        <v>77</v>
      </c>
      <c r="C522" s="3" t="s">
        <v>77</v>
      </c>
      <c r="D522" s="3" t="s">
        <v>223</v>
      </c>
      <c r="E522" s="10"/>
      <c r="F522" s="3" t="s">
        <v>288</v>
      </c>
      <c r="G522" s="3">
        <v>0.08</v>
      </c>
      <c r="H522" s="3">
        <f>0.15*0.02</f>
        <v>3.0000000000000001E-3</v>
      </c>
      <c r="I522" s="24">
        <f t="shared" ref="I522:I538" si="33">AVERAGE(0.9265,0.9495)</f>
        <v>0.93799999999999994</v>
      </c>
      <c r="M522" s="3" t="s">
        <v>200</v>
      </c>
      <c r="N522" s="3" t="s">
        <v>95</v>
      </c>
      <c r="O522" s="3" t="s">
        <v>23</v>
      </c>
      <c r="P52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22" s="4" t="s">
        <v>81</v>
      </c>
      <c r="R522" s="4" t="s">
        <v>99</v>
      </c>
      <c r="U522" s="4" t="s">
        <v>12</v>
      </c>
      <c r="W522" s="3" t="s">
        <v>13</v>
      </c>
      <c r="Y522" s="4">
        <v>0</v>
      </c>
      <c r="Z522" s="4">
        <v>608</v>
      </c>
      <c r="AA522" s="5">
        <f t="shared" si="32"/>
        <v>0</v>
      </c>
      <c r="AB522" s="5"/>
      <c r="AC52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22" s="97">
        <f>IF(Tabelle1[[#This Row],[Nicht einbezogen weil…]]="",IFERROR(1000*Tabelle1[[#This Row],[Formfaktor]]/Tabelle1[[#This Row],[Thickness '[mm']]],""),"")</f>
        <v>25000</v>
      </c>
      <c r="AE522" s="98">
        <f>IF(Tabelle1[[#This Row],[Nicht einbezogen weil…]]="",IFERROR(Tabelle1[[#This Row],[specific surface '[m^2/m^3']]]/Tabelle1[[#This Row],[Density 
'[g/cm3']]]/1000000,""),"")</f>
        <v>2.6652452025586356E-2</v>
      </c>
      <c r="AF522" s="97">
        <f>IF(Tabelle1[[#This Row],[Nicht einbezogen weil…]]="",IFERROR(365*10*Tabelle1[[#This Row],[Abbaurate '[%/d']]]*Tabelle1[[#This Row],[Thickness '[mm']]]/Tabelle1[[#This Row],[Formfaktor]],""),"")</f>
        <v>0</v>
      </c>
      <c r="AG522" s="99">
        <f>IF(OR(Tabelle1[[#This Row],[Nicht einbezogen weil…]]="",Tabelle1[[#This Row],[Nicht einbezogen weil…]]="nicht-natürlich"),IF(Tabelle1[[#This Row],[Formfaktor]]=2, 1,IF(Tabelle1[[#This Row],[Formfaktor]]=4,2,IF(Tabelle1[[#This Row],[Formfaktor]]=6,3,""))),"")</f>
        <v>1</v>
      </c>
      <c r="AH522" s="351">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52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PE_Meerwasser_natürlich</v>
      </c>
      <c r="AJ522" s="71">
        <v>1</v>
      </c>
      <c r="AK52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22" s="3" t="s">
        <v>969</v>
      </c>
      <c r="AM522" s="3" t="s">
        <v>967</v>
      </c>
      <c r="AO522" s="3" t="s">
        <v>200</v>
      </c>
      <c r="AP522" s="3" t="s">
        <v>200</v>
      </c>
      <c r="AQ522" s="3" t="s">
        <v>200</v>
      </c>
      <c r="AR522" s="2" t="s">
        <v>260</v>
      </c>
      <c r="AS522" s="2" t="s">
        <v>297</v>
      </c>
      <c r="AT522" s="10" t="s">
        <v>200</v>
      </c>
      <c r="AU522" s="13" t="s">
        <v>200</v>
      </c>
      <c r="AW522" s="10" t="s">
        <v>775</v>
      </c>
    </row>
    <row r="523" spans="1:49" ht="17.25" customHeight="1">
      <c r="B523" s="109" t="s">
        <v>647</v>
      </c>
      <c r="C523" s="12" t="s">
        <v>1101</v>
      </c>
      <c r="D523" s="3" t="s">
        <v>223</v>
      </c>
      <c r="E523" s="10"/>
      <c r="F523" s="3" t="s">
        <v>198</v>
      </c>
      <c r="G523" s="3">
        <v>0.1</v>
      </c>
      <c r="H523" s="3" t="s">
        <v>341</v>
      </c>
      <c r="I523" s="74">
        <f t="shared" si="33"/>
        <v>0.93799999999999994</v>
      </c>
      <c r="M523" s="3" t="s">
        <v>301</v>
      </c>
      <c r="N523" s="3" t="s">
        <v>118</v>
      </c>
      <c r="O523" s="3" t="s">
        <v>1081</v>
      </c>
      <c r="P52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23" s="4">
        <v>25</v>
      </c>
      <c r="U523" s="4" t="s">
        <v>12</v>
      </c>
      <c r="W523" s="3" t="s">
        <v>506</v>
      </c>
      <c r="Y523" s="4">
        <v>70</v>
      </c>
      <c r="Z523" s="4">
        <v>28</v>
      </c>
      <c r="AA523" s="5">
        <f>Tabelle1[[#This Row],[biologische
Abbaubarkeit '[%']]]/Z523</f>
        <v>2.5</v>
      </c>
      <c r="AB523" s="5"/>
      <c r="AC52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23" s="97">
        <f>IF(Tabelle1[[#This Row],[Nicht einbezogen weil…]]="",IFERROR(1000*Tabelle1[[#This Row],[Formfaktor]]/Tabelle1[[#This Row],[Thickness '[mm']]],""),"")</f>
        <v>20000</v>
      </c>
      <c r="AE523" s="98">
        <f>IF(Tabelle1[[#This Row],[Nicht einbezogen weil…]]="",IFERROR(Tabelle1[[#This Row],[specific surface '[m^2/m^3']]]/Tabelle1[[#This Row],[Density 
'[g/cm3']]]/1000000,""),"")</f>
        <v>2.1321961620469083E-2</v>
      </c>
      <c r="AF523" s="97">
        <f>IF(Tabelle1[[#This Row],[Nicht einbezogen weil…]]="",IFERROR(365*10*Tabelle1[[#This Row],[Abbaurate '[%/d']]]*Tabelle1[[#This Row],[Thickness '[mm']]]/Tabelle1[[#This Row],[Formfaktor]],""),"")</f>
        <v>456.25</v>
      </c>
      <c r="AG523" s="99">
        <f>IF(OR(Tabelle1[[#This Row],[Nicht einbezogen weil…]]="",Tabelle1[[#This Row],[Nicht einbezogen weil…]]="nicht-natürlich"),IF(Tabelle1[[#This Row],[Formfaktor]]=2, 1,IF(Tabelle1[[#This Row],[Formfaktor]]=4,2,IF(Tabelle1[[#This Row],[Formfaktor]]=6,3,""))),"")</f>
        <v>1</v>
      </c>
      <c r="AH523" s="97">
        <f>IF(OR(Tabelle1[[#This Row],[Nicht einbezogen weil…]]="",Tabelle1[[#This Row],[Nicht einbezogen weil…]]="nicht-natürlich"),IFERROR(Tabelle1[[#This Row],[Thickness '[mm']]]/Tabelle1[[#This Row],[Dauer des Abbaus
'[Tage']]]*1000*0.5*365*(1-(1-Tabelle1[[#This Row],[Abbaurate '[%/d']]]/100*Tabelle1[[#This Row],[Dauer des Abbaus
'[Tage']]])^(1/Tabelle1[[#This Row],[Exponent]])),""),"")</f>
        <v>456.25000000000006</v>
      </c>
      <c r="AI52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PEA_Süßwasser_natürlich</v>
      </c>
      <c r="AJ523" s="71">
        <v>1</v>
      </c>
      <c r="AK52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23" s="3" t="s">
        <v>699</v>
      </c>
      <c r="AO523" s="3" t="s">
        <v>200</v>
      </c>
      <c r="AP523" s="3" t="s">
        <v>200</v>
      </c>
      <c r="AQ523" s="3" t="s">
        <v>200</v>
      </c>
      <c r="AR523" s="2" t="s">
        <v>300</v>
      </c>
      <c r="AS523" s="2" t="s">
        <v>262</v>
      </c>
      <c r="AT523" s="10" t="s">
        <v>223</v>
      </c>
      <c r="AU523" s="13" t="s">
        <v>200</v>
      </c>
      <c r="AW523" s="10" t="s">
        <v>775</v>
      </c>
    </row>
    <row r="524" spans="1:49" ht="17.25" customHeight="1">
      <c r="B524" s="109" t="s">
        <v>647</v>
      </c>
      <c r="C524" s="12" t="s">
        <v>1101</v>
      </c>
      <c r="D524" s="3" t="s">
        <v>223</v>
      </c>
      <c r="E524" s="10"/>
      <c r="F524" s="3" t="s">
        <v>198</v>
      </c>
      <c r="G524" s="3">
        <v>0.1</v>
      </c>
      <c r="H524" s="3" t="s">
        <v>341</v>
      </c>
      <c r="I524" s="74">
        <f t="shared" si="33"/>
        <v>0.93799999999999994</v>
      </c>
      <c r="M524" s="3" t="s">
        <v>301</v>
      </c>
      <c r="N524" s="3" t="s">
        <v>119</v>
      </c>
      <c r="O524" s="3" t="s">
        <v>1081</v>
      </c>
      <c r="P52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24" s="4">
        <v>25</v>
      </c>
      <c r="U524" s="4" t="s">
        <v>12</v>
      </c>
      <c r="W524" s="3" t="s">
        <v>13</v>
      </c>
      <c r="Y524" s="4">
        <v>95</v>
      </c>
      <c r="Z524" s="4">
        <v>28</v>
      </c>
      <c r="AA524" s="5">
        <f>Tabelle1[[#This Row],[biologische
Abbaubarkeit '[%']]]/Z524</f>
        <v>3.3928571428571428</v>
      </c>
      <c r="AB524" s="5"/>
      <c r="AC52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24" s="97">
        <f>IF(Tabelle1[[#This Row],[Nicht einbezogen weil…]]="",IFERROR(1000*Tabelle1[[#This Row],[Formfaktor]]/Tabelle1[[#This Row],[Thickness '[mm']]],""),"")</f>
        <v>20000</v>
      </c>
      <c r="AE524" s="98">
        <f>IF(Tabelle1[[#This Row],[Nicht einbezogen weil…]]="",IFERROR(Tabelle1[[#This Row],[specific surface '[m^2/m^3']]]/Tabelle1[[#This Row],[Density 
'[g/cm3']]]/1000000,""),"")</f>
        <v>2.1321961620469083E-2</v>
      </c>
      <c r="AF524" s="97">
        <f>IF(Tabelle1[[#This Row],[Nicht einbezogen weil…]]="",IFERROR(365*10*Tabelle1[[#This Row],[Abbaurate '[%/d']]]*Tabelle1[[#This Row],[Thickness '[mm']]]/Tabelle1[[#This Row],[Formfaktor]],""),"")</f>
        <v>619.19642857142856</v>
      </c>
      <c r="AG524" s="99">
        <f>IF(OR(Tabelle1[[#This Row],[Nicht einbezogen weil…]]="",Tabelle1[[#This Row],[Nicht einbezogen weil…]]="nicht-natürlich"),IF(Tabelle1[[#This Row],[Formfaktor]]=2, 1,IF(Tabelle1[[#This Row],[Formfaktor]]=4,2,IF(Tabelle1[[#This Row],[Formfaktor]]=6,3,""))),"")</f>
        <v>1</v>
      </c>
      <c r="AH524" s="97">
        <f>IF(OR(Tabelle1[[#This Row],[Nicht einbezogen weil…]]="",Tabelle1[[#This Row],[Nicht einbezogen weil…]]="nicht-natürlich"),IFERROR(Tabelle1[[#This Row],[Thickness '[mm']]]/Tabelle1[[#This Row],[Dauer des Abbaus
'[Tage']]]*1000*0.5*365*(1-(1-Tabelle1[[#This Row],[Abbaurate '[%/d']]]/100*Tabelle1[[#This Row],[Dauer des Abbaus
'[Tage']]])^(1/Tabelle1[[#This Row],[Exponent]])),""),"")</f>
        <v>619.19642857142856</v>
      </c>
      <c r="AI52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PEA_Süßwasser_natürlich</v>
      </c>
      <c r="AJ524" s="71">
        <v>1</v>
      </c>
      <c r="AK52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24" s="3" t="s">
        <v>699</v>
      </c>
      <c r="AO524" s="3" t="s">
        <v>200</v>
      </c>
      <c r="AP524" s="3" t="s">
        <v>200</v>
      </c>
      <c r="AQ524" s="3" t="s">
        <v>200</v>
      </c>
      <c r="AR524" s="2" t="s">
        <v>300</v>
      </c>
      <c r="AS524" s="2" t="s">
        <v>262</v>
      </c>
      <c r="AT524" s="10" t="s">
        <v>223</v>
      </c>
      <c r="AU524" s="13" t="s">
        <v>200</v>
      </c>
      <c r="AW524" s="10" t="s">
        <v>775</v>
      </c>
    </row>
    <row r="525" spans="1:49" ht="17.25" customHeight="1">
      <c r="B525" s="109" t="s">
        <v>647</v>
      </c>
      <c r="C525" s="12" t="s">
        <v>1101</v>
      </c>
      <c r="D525" s="3" t="s">
        <v>223</v>
      </c>
      <c r="E525" s="10"/>
      <c r="F525" s="3" t="s">
        <v>198</v>
      </c>
      <c r="G525" s="3">
        <v>0.1</v>
      </c>
      <c r="H525" s="3" t="s">
        <v>341</v>
      </c>
      <c r="I525" s="74">
        <f t="shared" si="33"/>
        <v>0.93799999999999994</v>
      </c>
      <c r="M525" s="3" t="s">
        <v>301</v>
      </c>
      <c r="N525" s="3" t="s">
        <v>119</v>
      </c>
      <c r="O525" s="3" t="s">
        <v>1081</v>
      </c>
      <c r="P52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25" s="4">
        <v>25</v>
      </c>
      <c r="U525" s="4" t="s">
        <v>12</v>
      </c>
      <c r="W525" s="3" t="s">
        <v>506</v>
      </c>
      <c r="Y525" s="4">
        <v>68</v>
      </c>
      <c r="Z525" s="4">
        <v>28</v>
      </c>
      <c r="AA525" s="5">
        <f>Tabelle1[[#This Row],[biologische
Abbaubarkeit '[%']]]/Z525</f>
        <v>2.4285714285714284</v>
      </c>
      <c r="AB525" s="5"/>
      <c r="AC52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25" s="97">
        <f>IF(Tabelle1[[#This Row],[Nicht einbezogen weil…]]="",IFERROR(1000*Tabelle1[[#This Row],[Formfaktor]]/Tabelle1[[#This Row],[Thickness '[mm']]],""),"")</f>
        <v>20000</v>
      </c>
      <c r="AE525" s="98">
        <f>IF(Tabelle1[[#This Row],[Nicht einbezogen weil…]]="",IFERROR(Tabelle1[[#This Row],[specific surface '[m^2/m^3']]]/Tabelle1[[#This Row],[Density 
'[g/cm3']]]/1000000,""),"")</f>
        <v>2.1321961620469083E-2</v>
      </c>
      <c r="AF525" s="97">
        <f>IF(Tabelle1[[#This Row],[Nicht einbezogen weil…]]="",IFERROR(365*10*Tabelle1[[#This Row],[Abbaurate '[%/d']]]*Tabelle1[[#This Row],[Thickness '[mm']]]/Tabelle1[[#This Row],[Formfaktor]],""),"")</f>
        <v>443.21428571428572</v>
      </c>
      <c r="AG525" s="99">
        <f>IF(OR(Tabelle1[[#This Row],[Nicht einbezogen weil…]]="",Tabelle1[[#This Row],[Nicht einbezogen weil…]]="nicht-natürlich"),IF(Tabelle1[[#This Row],[Formfaktor]]=2, 1,IF(Tabelle1[[#This Row],[Formfaktor]]=4,2,IF(Tabelle1[[#This Row],[Formfaktor]]=6,3,""))),"")</f>
        <v>1</v>
      </c>
      <c r="AH525" s="97">
        <f>IF(OR(Tabelle1[[#This Row],[Nicht einbezogen weil…]]="",Tabelle1[[#This Row],[Nicht einbezogen weil…]]="nicht-natürlich"),IFERROR(Tabelle1[[#This Row],[Thickness '[mm']]]/Tabelle1[[#This Row],[Dauer des Abbaus
'[Tage']]]*1000*0.5*365*(1-(1-Tabelle1[[#This Row],[Abbaurate '[%/d']]]/100*Tabelle1[[#This Row],[Dauer des Abbaus
'[Tage']]])^(1/Tabelle1[[#This Row],[Exponent]])),""),"")</f>
        <v>443.21428571428572</v>
      </c>
      <c r="AI52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PEA_Süßwasser_natürlich</v>
      </c>
      <c r="AJ525" s="71">
        <v>1</v>
      </c>
      <c r="AK52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25" s="3" t="s">
        <v>699</v>
      </c>
      <c r="AO525" s="3" t="s">
        <v>200</v>
      </c>
      <c r="AP525" s="3" t="s">
        <v>200</v>
      </c>
      <c r="AQ525" s="3" t="s">
        <v>200</v>
      </c>
      <c r="AR525" s="2" t="s">
        <v>300</v>
      </c>
      <c r="AS525" s="2" t="s">
        <v>262</v>
      </c>
      <c r="AT525" s="10" t="s">
        <v>223</v>
      </c>
      <c r="AU525" s="13" t="s">
        <v>200</v>
      </c>
      <c r="AW525" s="10" t="s">
        <v>775</v>
      </c>
    </row>
    <row r="526" spans="1:49" ht="17.25" customHeight="1">
      <c r="B526" s="109" t="s">
        <v>647</v>
      </c>
      <c r="C526" s="12" t="s">
        <v>1101</v>
      </c>
      <c r="D526" s="3" t="s">
        <v>223</v>
      </c>
      <c r="E526" s="10"/>
      <c r="F526" s="3" t="s">
        <v>198</v>
      </c>
      <c r="G526" s="3">
        <v>0.1</v>
      </c>
      <c r="H526" s="3" t="s">
        <v>341</v>
      </c>
      <c r="I526" s="74">
        <f t="shared" si="33"/>
        <v>0.93799999999999994</v>
      </c>
      <c r="M526" s="3" t="s">
        <v>301</v>
      </c>
      <c r="N526" s="3" t="s">
        <v>120</v>
      </c>
      <c r="O526" s="3" t="s">
        <v>23</v>
      </c>
      <c r="P52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26" s="4">
        <v>25</v>
      </c>
      <c r="U526" s="4" t="s">
        <v>12</v>
      </c>
      <c r="W526" s="3" t="s">
        <v>13</v>
      </c>
      <c r="Y526" s="4">
        <v>100</v>
      </c>
      <c r="Z526" s="4">
        <v>28</v>
      </c>
      <c r="AA526" s="5">
        <f>Tabelle1[[#This Row],[biologische
Abbaubarkeit '[%']]]/Z526</f>
        <v>3.5714285714285716</v>
      </c>
      <c r="AB526" s="5"/>
      <c r="AC52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26" s="97">
        <f>IF(Tabelle1[[#This Row],[Nicht einbezogen weil…]]="",IFERROR(1000*Tabelle1[[#This Row],[Formfaktor]]/Tabelle1[[#This Row],[Thickness '[mm']]],""),"")</f>
        <v>20000</v>
      </c>
      <c r="AE526" s="98">
        <f>IF(Tabelle1[[#This Row],[Nicht einbezogen weil…]]="",IFERROR(Tabelle1[[#This Row],[specific surface '[m^2/m^3']]]/Tabelle1[[#This Row],[Density 
'[g/cm3']]]/1000000,""),"")</f>
        <v>2.1321961620469083E-2</v>
      </c>
      <c r="AF526" s="97">
        <f>IF(Tabelle1[[#This Row],[Nicht einbezogen weil…]]="",IFERROR(365*10*Tabelle1[[#This Row],[Abbaurate '[%/d']]]*Tabelle1[[#This Row],[Thickness '[mm']]]/Tabelle1[[#This Row],[Formfaktor]],""),"")</f>
        <v>651.78571428571433</v>
      </c>
      <c r="AG526" s="99">
        <f>IF(OR(Tabelle1[[#This Row],[Nicht einbezogen weil…]]="",Tabelle1[[#This Row],[Nicht einbezogen weil…]]="nicht-natürlich"),IF(Tabelle1[[#This Row],[Formfaktor]]=2, 1,IF(Tabelle1[[#This Row],[Formfaktor]]=4,2,IF(Tabelle1[[#This Row],[Formfaktor]]=6,3,""))),"")</f>
        <v>1</v>
      </c>
      <c r="AH526"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651.78571428571445</v>
      </c>
      <c r="AI52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PEA_Meerwasser_natürlich</v>
      </c>
      <c r="AJ526" s="71">
        <v>1</v>
      </c>
      <c r="AK52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26" s="3" t="s">
        <v>699</v>
      </c>
      <c r="AO526" s="3" t="s">
        <v>200</v>
      </c>
      <c r="AP526" s="3" t="s">
        <v>200</v>
      </c>
      <c r="AQ526" s="3" t="s">
        <v>200</v>
      </c>
      <c r="AR526" s="2" t="s">
        <v>300</v>
      </c>
      <c r="AS526" s="2" t="s">
        <v>262</v>
      </c>
      <c r="AT526" s="10" t="s">
        <v>223</v>
      </c>
      <c r="AU526" s="13" t="s">
        <v>200</v>
      </c>
      <c r="AW526" s="10" t="s">
        <v>775</v>
      </c>
    </row>
    <row r="527" spans="1:49" ht="17.25" customHeight="1">
      <c r="B527" s="109" t="s">
        <v>647</v>
      </c>
      <c r="C527" s="12" t="s">
        <v>1101</v>
      </c>
      <c r="D527" s="3" t="s">
        <v>223</v>
      </c>
      <c r="E527" s="10"/>
      <c r="F527" s="3" t="s">
        <v>198</v>
      </c>
      <c r="G527" s="3">
        <v>0.1</v>
      </c>
      <c r="H527" s="3" t="s">
        <v>341</v>
      </c>
      <c r="I527" s="74">
        <f t="shared" si="33"/>
        <v>0.93799999999999994</v>
      </c>
      <c r="M527" s="3" t="s">
        <v>301</v>
      </c>
      <c r="N527" s="3" t="s">
        <v>120</v>
      </c>
      <c r="O527" s="3" t="s">
        <v>23</v>
      </c>
      <c r="P52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27" s="4">
        <v>25</v>
      </c>
      <c r="U527" s="4" t="s">
        <v>12</v>
      </c>
      <c r="W527" s="3" t="s">
        <v>506</v>
      </c>
      <c r="Y527" s="4">
        <v>65</v>
      </c>
      <c r="Z527" s="4">
        <v>28</v>
      </c>
      <c r="AA527" s="5">
        <f>Tabelle1[[#This Row],[biologische
Abbaubarkeit '[%']]]/Z527</f>
        <v>2.3214285714285716</v>
      </c>
      <c r="AB527" s="5"/>
      <c r="AC52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27" s="97">
        <f>IF(Tabelle1[[#This Row],[Nicht einbezogen weil…]]="",IFERROR(1000*Tabelle1[[#This Row],[Formfaktor]]/Tabelle1[[#This Row],[Thickness '[mm']]],""),"")</f>
        <v>20000</v>
      </c>
      <c r="AE527" s="98">
        <f>IF(Tabelle1[[#This Row],[Nicht einbezogen weil…]]="",IFERROR(Tabelle1[[#This Row],[specific surface '[m^2/m^3']]]/Tabelle1[[#This Row],[Density 
'[g/cm3']]]/1000000,""),"")</f>
        <v>2.1321961620469083E-2</v>
      </c>
      <c r="AF527" s="97">
        <f>IF(Tabelle1[[#This Row],[Nicht einbezogen weil…]]="",IFERROR(365*10*Tabelle1[[#This Row],[Abbaurate '[%/d']]]*Tabelle1[[#This Row],[Thickness '[mm']]]/Tabelle1[[#This Row],[Formfaktor]],""),"")</f>
        <v>423.66071428571433</v>
      </c>
      <c r="AG527" s="99">
        <f>IF(OR(Tabelle1[[#This Row],[Nicht einbezogen weil…]]="",Tabelle1[[#This Row],[Nicht einbezogen weil…]]="nicht-natürlich"),IF(Tabelle1[[#This Row],[Formfaktor]]=2, 1,IF(Tabelle1[[#This Row],[Formfaktor]]=4,2,IF(Tabelle1[[#This Row],[Formfaktor]]=6,3,""))),"")</f>
        <v>1</v>
      </c>
      <c r="AH527" s="97">
        <f>IF(OR(Tabelle1[[#This Row],[Nicht einbezogen weil…]]="",Tabelle1[[#This Row],[Nicht einbezogen weil…]]="nicht-natürlich"),IFERROR(Tabelle1[[#This Row],[Thickness '[mm']]]/Tabelle1[[#This Row],[Dauer des Abbaus
'[Tage']]]*1000*0.5*365*(1-(1-Tabelle1[[#This Row],[Abbaurate '[%/d']]]/100*Tabelle1[[#This Row],[Dauer des Abbaus
'[Tage']]])^(1/Tabelle1[[#This Row],[Exponent]])),""),"")</f>
        <v>423.66071428571433</v>
      </c>
      <c r="AI52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PEA_Meerwasser_natürlich</v>
      </c>
      <c r="AJ527" s="71">
        <v>1</v>
      </c>
      <c r="AK52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27" s="3" t="s">
        <v>699</v>
      </c>
      <c r="AO527" s="3" t="s">
        <v>200</v>
      </c>
      <c r="AP527" s="3" t="s">
        <v>200</v>
      </c>
      <c r="AQ527" s="3" t="s">
        <v>200</v>
      </c>
      <c r="AR527" s="2" t="s">
        <v>300</v>
      </c>
      <c r="AS527" s="2" t="s">
        <v>262</v>
      </c>
      <c r="AT527" s="10" t="s">
        <v>223</v>
      </c>
      <c r="AU527" s="13" t="s">
        <v>200</v>
      </c>
      <c r="AW527" s="10" t="s">
        <v>775</v>
      </c>
    </row>
    <row r="528" spans="1:49" ht="17.25" customHeight="1">
      <c r="B528" s="109" t="s">
        <v>647</v>
      </c>
      <c r="C528" s="12" t="s">
        <v>1101</v>
      </c>
      <c r="D528" s="3" t="s">
        <v>223</v>
      </c>
      <c r="E528" s="10"/>
      <c r="F528" s="3" t="s">
        <v>198</v>
      </c>
      <c r="G528" s="3">
        <v>0.1</v>
      </c>
      <c r="H528" s="3" t="s">
        <v>341</v>
      </c>
      <c r="I528" s="74">
        <f t="shared" si="33"/>
        <v>0.93799999999999994</v>
      </c>
      <c r="M528" s="3" t="s">
        <v>301</v>
      </c>
      <c r="N528" s="3" t="s">
        <v>121</v>
      </c>
      <c r="O528" s="3" t="s">
        <v>23</v>
      </c>
      <c r="P52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28" s="4">
        <v>25</v>
      </c>
      <c r="U528" s="4" t="s">
        <v>12</v>
      </c>
      <c r="W528" s="3" t="s">
        <v>13</v>
      </c>
      <c r="Y528" s="4">
        <v>57</v>
      </c>
      <c r="Z528" s="4">
        <v>28</v>
      </c>
      <c r="AA528" s="5">
        <f>Tabelle1[[#This Row],[biologische
Abbaubarkeit '[%']]]/Z528</f>
        <v>2.0357142857142856</v>
      </c>
      <c r="AB528" s="5"/>
      <c r="AC52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28" s="97">
        <f>IF(Tabelle1[[#This Row],[Nicht einbezogen weil…]]="",IFERROR(1000*Tabelle1[[#This Row],[Formfaktor]]/Tabelle1[[#This Row],[Thickness '[mm']]],""),"")</f>
        <v>20000</v>
      </c>
      <c r="AE528" s="98">
        <f>IF(Tabelle1[[#This Row],[Nicht einbezogen weil…]]="",IFERROR(Tabelle1[[#This Row],[specific surface '[m^2/m^3']]]/Tabelle1[[#This Row],[Density 
'[g/cm3']]]/1000000,""),"")</f>
        <v>2.1321961620469083E-2</v>
      </c>
      <c r="AF528" s="97">
        <f>IF(Tabelle1[[#This Row],[Nicht einbezogen weil…]]="",IFERROR(365*10*Tabelle1[[#This Row],[Abbaurate '[%/d']]]*Tabelle1[[#This Row],[Thickness '[mm']]]/Tabelle1[[#This Row],[Formfaktor]],""),"")</f>
        <v>371.51785714285711</v>
      </c>
      <c r="AG528" s="99">
        <f>IF(OR(Tabelle1[[#This Row],[Nicht einbezogen weil…]]="",Tabelle1[[#This Row],[Nicht einbezogen weil…]]="nicht-natürlich"),IF(Tabelle1[[#This Row],[Formfaktor]]=2, 1,IF(Tabelle1[[#This Row],[Formfaktor]]=4,2,IF(Tabelle1[[#This Row],[Formfaktor]]=6,3,""))),"")</f>
        <v>1</v>
      </c>
      <c r="AH528" s="97">
        <f>IF(OR(Tabelle1[[#This Row],[Nicht einbezogen weil…]]="",Tabelle1[[#This Row],[Nicht einbezogen weil…]]="nicht-natürlich"),IFERROR(Tabelle1[[#This Row],[Thickness '[mm']]]/Tabelle1[[#This Row],[Dauer des Abbaus
'[Tage']]]*1000*0.5*365*(1-(1-Tabelle1[[#This Row],[Abbaurate '[%/d']]]/100*Tabelle1[[#This Row],[Dauer des Abbaus
'[Tage']]])^(1/Tabelle1[[#This Row],[Exponent]])),""),"")</f>
        <v>371.51785714285711</v>
      </c>
      <c r="AI52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PEA_Meerwasser_natürlich</v>
      </c>
      <c r="AJ528" s="71">
        <v>1</v>
      </c>
      <c r="AK52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28" s="3" t="s">
        <v>699</v>
      </c>
      <c r="AO528" s="3" t="s">
        <v>200</v>
      </c>
      <c r="AP528" s="3" t="s">
        <v>200</v>
      </c>
      <c r="AQ528" s="3" t="s">
        <v>200</v>
      </c>
      <c r="AR528" s="2" t="s">
        <v>300</v>
      </c>
      <c r="AS528" s="2" t="s">
        <v>262</v>
      </c>
      <c r="AT528" s="10" t="s">
        <v>223</v>
      </c>
      <c r="AU528" s="13" t="s">
        <v>200</v>
      </c>
      <c r="AW528" s="10" t="s">
        <v>775</v>
      </c>
    </row>
    <row r="529" spans="2:49" ht="17.25" customHeight="1">
      <c r="B529" s="109" t="s">
        <v>647</v>
      </c>
      <c r="C529" s="12" t="s">
        <v>1101</v>
      </c>
      <c r="D529" s="3" t="s">
        <v>223</v>
      </c>
      <c r="E529" s="10"/>
      <c r="F529" s="3" t="s">
        <v>198</v>
      </c>
      <c r="G529" s="3">
        <v>0.1</v>
      </c>
      <c r="H529" s="3" t="s">
        <v>341</v>
      </c>
      <c r="I529" s="74">
        <f t="shared" si="33"/>
        <v>0.93799999999999994</v>
      </c>
      <c r="M529" s="3" t="s">
        <v>301</v>
      </c>
      <c r="N529" s="3" t="s">
        <v>121</v>
      </c>
      <c r="O529" s="3" t="s">
        <v>23</v>
      </c>
      <c r="P52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29" s="4">
        <v>25</v>
      </c>
      <c r="U529" s="4" t="s">
        <v>12</v>
      </c>
      <c r="W529" s="3" t="s">
        <v>506</v>
      </c>
      <c r="Y529" s="4">
        <v>46</v>
      </c>
      <c r="Z529" s="4">
        <v>28</v>
      </c>
      <c r="AA529" s="5">
        <f>Tabelle1[[#This Row],[biologische
Abbaubarkeit '[%']]]/Z529</f>
        <v>1.6428571428571428</v>
      </c>
      <c r="AB529" s="5"/>
      <c r="AC52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29" s="97">
        <f>IF(Tabelle1[[#This Row],[Nicht einbezogen weil…]]="",IFERROR(1000*Tabelle1[[#This Row],[Formfaktor]]/Tabelle1[[#This Row],[Thickness '[mm']]],""),"")</f>
        <v>20000</v>
      </c>
      <c r="AE529" s="98">
        <f>IF(Tabelle1[[#This Row],[Nicht einbezogen weil…]]="",IFERROR(Tabelle1[[#This Row],[specific surface '[m^2/m^3']]]/Tabelle1[[#This Row],[Density 
'[g/cm3']]]/1000000,""),"")</f>
        <v>2.1321961620469083E-2</v>
      </c>
      <c r="AF529" s="97">
        <f>IF(Tabelle1[[#This Row],[Nicht einbezogen weil…]]="",IFERROR(365*10*Tabelle1[[#This Row],[Abbaurate '[%/d']]]*Tabelle1[[#This Row],[Thickness '[mm']]]/Tabelle1[[#This Row],[Formfaktor]],""),"")</f>
        <v>299.82142857142861</v>
      </c>
      <c r="AG529" s="99">
        <f>IF(OR(Tabelle1[[#This Row],[Nicht einbezogen weil…]]="",Tabelle1[[#This Row],[Nicht einbezogen weil…]]="nicht-natürlich"),IF(Tabelle1[[#This Row],[Formfaktor]]=2, 1,IF(Tabelle1[[#This Row],[Formfaktor]]=4,2,IF(Tabelle1[[#This Row],[Formfaktor]]=6,3,""))),"")</f>
        <v>1</v>
      </c>
      <c r="AH529" s="97">
        <f>IF(OR(Tabelle1[[#This Row],[Nicht einbezogen weil…]]="",Tabelle1[[#This Row],[Nicht einbezogen weil…]]="nicht-natürlich"),IFERROR(Tabelle1[[#This Row],[Thickness '[mm']]]/Tabelle1[[#This Row],[Dauer des Abbaus
'[Tage']]]*1000*0.5*365*(1-(1-Tabelle1[[#This Row],[Abbaurate '[%/d']]]/100*Tabelle1[[#This Row],[Dauer des Abbaus
'[Tage']]])^(1/Tabelle1[[#This Row],[Exponent]])),""),"")</f>
        <v>299.82142857142856</v>
      </c>
      <c r="AI52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PEA_Meerwasser_natürlich</v>
      </c>
      <c r="AJ529" s="71">
        <v>1</v>
      </c>
      <c r="AK52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29" s="3" t="s">
        <v>699</v>
      </c>
      <c r="AO529" s="3" t="s">
        <v>200</v>
      </c>
      <c r="AP529" s="3" t="s">
        <v>200</v>
      </c>
      <c r="AQ529" s="3" t="s">
        <v>200</v>
      </c>
      <c r="AR529" s="2" t="s">
        <v>300</v>
      </c>
      <c r="AS529" s="2" t="s">
        <v>262</v>
      </c>
      <c r="AT529" s="10" t="s">
        <v>223</v>
      </c>
      <c r="AU529" s="13" t="s">
        <v>200</v>
      </c>
      <c r="AW529" s="10" t="s">
        <v>775</v>
      </c>
    </row>
    <row r="530" spans="2:49" ht="17.25" customHeight="1">
      <c r="B530" s="109" t="s">
        <v>647</v>
      </c>
      <c r="C530" s="12" t="s">
        <v>1101</v>
      </c>
      <c r="D530" s="3" t="s">
        <v>223</v>
      </c>
      <c r="E530" s="10"/>
      <c r="F530" s="3" t="s">
        <v>198</v>
      </c>
      <c r="G530" s="3">
        <v>0.1</v>
      </c>
      <c r="H530" s="3" t="s">
        <v>341</v>
      </c>
      <c r="I530" s="74">
        <f t="shared" si="33"/>
        <v>0.93799999999999994</v>
      </c>
      <c r="M530" s="3" t="s">
        <v>301</v>
      </c>
      <c r="N530" s="3" t="s">
        <v>118</v>
      </c>
      <c r="O530" s="3" t="s">
        <v>1081</v>
      </c>
      <c r="P53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30" s="4">
        <v>25</v>
      </c>
      <c r="U530" s="4" t="s">
        <v>12</v>
      </c>
      <c r="W530" s="3" t="s">
        <v>13</v>
      </c>
      <c r="Y530" s="4">
        <v>100</v>
      </c>
      <c r="Z530" s="4">
        <v>28</v>
      </c>
      <c r="AA530" s="5">
        <f>Tabelle1[[#This Row],[biologische
Abbaubarkeit '[%']]]/Z530</f>
        <v>3.5714285714285716</v>
      </c>
      <c r="AB530" s="5"/>
      <c r="AC53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30" s="97">
        <f>IF(Tabelle1[[#This Row],[Nicht einbezogen weil…]]="",IFERROR(1000*Tabelle1[[#This Row],[Formfaktor]]/Tabelle1[[#This Row],[Thickness '[mm']]],""),"")</f>
        <v>20000</v>
      </c>
      <c r="AE530" s="98">
        <f>IF(Tabelle1[[#This Row],[Nicht einbezogen weil…]]="",IFERROR(Tabelle1[[#This Row],[specific surface '[m^2/m^3']]]/Tabelle1[[#This Row],[Density 
'[g/cm3']]]/1000000,""),"")</f>
        <v>2.1321961620469083E-2</v>
      </c>
      <c r="AF530" s="97">
        <f>IF(Tabelle1[[#This Row],[Nicht einbezogen weil…]]="",IFERROR(365*10*Tabelle1[[#This Row],[Abbaurate '[%/d']]]*Tabelle1[[#This Row],[Thickness '[mm']]]/Tabelle1[[#This Row],[Formfaktor]],""),"")</f>
        <v>651.78571428571433</v>
      </c>
      <c r="AG530" s="99">
        <f>IF(OR(Tabelle1[[#This Row],[Nicht einbezogen weil…]]="",Tabelle1[[#This Row],[Nicht einbezogen weil…]]="nicht-natürlich"),IF(Tabelle1[[#This Row],[Formfaktor]]=2, 1,IF(Tabelle1[[#This Row],[Formfaktor]]=4,2,IF(Tabelle1[[#This Row],[Formfaktor]]=6,3,""))),"")</f>
        <v>1</v>
      </c>
      <c r="AH530"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651.78571428571445</v>
      </c>
      <c r="AI53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PEA_Süßwasser_natürlich</v>
      </c>
      <c r="AJ530" s="71">
        <v>1</v>
      </c>
      <c r="AK53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30" s="3" t="s">
        <v>699</v>
      </c>
      <c r="AO530" s="3" t="s">
        <v>200</v>
      </c>
      <c r="AP530" s="3" t="s">
        <v>200</v>
      </c>
      <c r="AQ530" s="3" t="s">
        <v>200</v>
      </c>
      <c r="AR530" s="2" t="s">
        <v>300</v>
      </c>
      <c r="AS530" s="2" t="s">
        <v>262</v>
      </c>
      <c r="AT530" s="10" t="s">
        <v>223</v>
      </c>
      <c r="AU530" s="13" t="s">
        <v>200</v>
      </c>
      <c r="AW530" s="10" t="s">
        <v>775</v>
      </c>
    </row>
    <row r="531" spans="2:49" ht="17.25" customHeight="1">
      <c r="B531" s="109" t="s">
        <v>771</v>
      </c>
      <c r="C531" s="3" t="s">
        <v>115</v>
      </c>
      <c r="D531" s="3" t="s">
        <v>223</v>
      </c>
      <c r="E531" s="10"/>
      <c r="F531" s="3" t="s">
        <v>198</v>
      </c>
      <c r="G531" s="3">
        <v>0.1</v>
      </c>
      <c r="H531" s="3" t="s">
        <v>341</v>
      </c>
      <c r="I531" s="24">
        <f t="shared" si="33"/>
        <v>0.93799999999999994</v>
      </c>
      <c r="M531" s="3" t="s">
        <v>301</v>
      </c>
      <c r="N531" s="3" t="s">
        <v>118</v>
      </c>
      <c r="O531" s="3" t="s">
        <v>1081</v>
      </c>
      <c r="P53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31" s="4">
        <v>25</v>
      </c>
      <c r="U531" s="4" t="s">
        <v>12</v>
      </c>
      <c r="W531" s="3" t="s">
        <v>13</v>
      </c>
      <c r="Y531" s="4">
        <v>100</v>
      </c>
      <c r="Z531" s="4">
        <v>28</v>
      </c>
      <c r="AA531" s="5">
        <f>Tabelle1[[#This Row],[biologische
Abbaubarkeit '[%']]]/Z531</f>
        <v>3.5714285714285716</v>
      </c>
      <c r="AB531" s="5"/>
      <c r="AC53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31" s="97">
        <f>IF(Tabelle1[[#This Row],[Nicht einbezogen weil…]]="",IFERROR(1000*Tabelle1[[#This Row],[Formfaktor]]/Tabelle1[[#This Row],[Thickness '[mm']]],""),"")</f>
        <v>20000</v>
      </c>
      <c r="AE531" s="98">
        <f>IF(Tabelle1[[#This Row],[Nicht einbezogen weil…]]="",IFERROR(Tabelle1[[#This Row],[specific surface '[m^2/m^3']]]/Tabelle1[[#This Row],[Density 
'[g/cm3']]]/1000000,""),"")</f>
        <v>2.1321961620469083E-2</v>
      </c>
      <c r="AF531" s="97">
        <f>IF(Tabelle1[[#This Row],[Nicht einbezogen weil…]]="",IFERROR(365*10*Tabelle1[[#This Row],[Abbaurate '[%/d']]]*Tabelle1[[#This Row],[Thickness '[mm']]]/Tabelle1[[#This Row],[Formfaktor]],""),"")</f>
        <v>651.78571428571433</v>
      </c>
      <c r="AG531" s="99">
        <f>IF(OR(Tabelle1[[#This Row],[Nicht einbezogen weil…]]="",Tabelle1[[#This Row],[Nicht einbezogen weil…]]="nicht-natürlich"),IF(Tabelle1[[#This Row],[Formfaktor]]=2, 1,IF(Tabelle1[[#This Row],[Formfaktor]]=4,2,IF(Tabelle1[[#This Row],[Formfaktor]]=6,3,""))),"")</f>
        <v>1</v>
      </c>
      <c r="AH531"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651.78571428571445</v>
      </c>
      <c r="AI53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PES_Süßwasser_natürlich</v>
      </c>
      <c r="AJ531" s="71">
        <v>1</v>
      </c>
      <c r="AK53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31" s="3" t="s">
        <v>699</v>
      </c>
      <c r="AO531" s="3" t="s">
        <v>200</v>
      </c>
      <c r="AP531" s="3" t="s">
        <v>200</v>
      </c>
      <c r="AQ531" s="3" t="s">
        <v>200</v>
      </c>
      <c r="AR531" s="2" t="s">
        <v>300</v>
      </c>
      <c r="AS531" s="2" t="s">
        <v>262</v>
      </c>
      <c r="AT531" s="10" t="s">
        <v>223</v>
      </c>
      <c r="AU531" s="13" t="s">
        <v>200</v>
      </c>
      <c r="AW531" s="10" t="s">
        <v>775</v>
      </c>
    </row>
    <row r="532" spans="2:49" ht="17.25" customHeight="1">
      <c r="B532" s="109" t="s">
        <v>771</v>
      </c>
      <c r="C532" s="3" t="s">
        <v>115</v>
      </c>
      <c r="D532" s="3" t="s">
        <v>223</v>
      </c>
      <c r="E532" s="10"/>
      <c r="F532" s="3" t="s">
        <v>198</v>
      </c>
      <c r="G532" s="3">
        <v>0.1</v>
      </c>
      <c r="H532" s="3" t="s">
        <v>341</v>
      </c>
      <c r="I532" s="24">
        <f t="shared" si="33"/>
        <v>0.93799999999999994</v>
      </c>
      <c r="M532" s="3" t="s">
        <v>301</v>
      </c>
      <c r="N532" s="3" t="s">
        <v>118</v>
      </c>
      <c r="O532" s="3" t="s">
        <v>1081</v>
      </c>
      <c r="P53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32" s="4">
        <v>25</v>
      </c>
      <c r="U532" s="4" t="s">
        <v>12</v>
      </c>
      <c r="W532" s="3" t="s">
        <v>506</v>
      </c>
      <c r="Y532" s="4">
        <v>83</v>
      </c>
      <c r="Z532" s="4">
        <v>28</v>
      </c>
      <c r="AA532" s="5">
        <f>Tabelle1[[#This Row],[biologische
Abbaubarkeit '[%']]]/Z532</f>
        <v>2.9642857142857144</v>
      </c>
      <c r="AB532" s="5"/>
      <c r="AC53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32" s="97">
        <f>IF(Tabelle1[[#This Row],[Nicht einbezogen weil…]]="",IFERROR(1000*Tabelle1[[#This Row],[Formfaktor]]/Tabelle1[[#This Row],[Thickness '[mm']]],""),"")</f>
        <v>20000</v>
      </c>
      <c r="AE532" s="98">
        <f>IF(Tabelle1[[#This Row],[Nicht einbezogen weil…]]="",IFERROR(Tabelle1[[#This Row],[specific surface '[m^2/m^3']]]/Tabelle1[[#This Row],[Density 
'[g/cm3']]]/1000000,""),"")</f>
        <v>2.1321961620469083E-2</v>
      </c>
      <c r="AF532" s="97">
        <f>IF(Tabelle1[[#This Row],[Nicht einbezogen weil…]]="",IFERROR(365*10*Tabelle1[[#This Row],[Abbaurate '[%/d']]]*Tabelle1[[#This Row],[Thickness '[mm']]]/Tabelle1[[#This Row],[Formfaktor]],""),"")</f>
        <v>540.98214285714289</v>
      </c>
      <c r="AG532" s="99">
        <f>IF(OR(Tabelle1[[#This Row],[Nicht einbezogen weil…]]="",Tabelle1[[#This Row],[Nicht einbezogen weil…]]="nicht-natürlich"),IF(Tabelle1[[#This Row],[Formfaktor]]=2, 1,IF(Tabelle1[[#This Row],[Formfaktor]]=4,2,IF(Tabelle1[[#This Row],[Formfaktor]]=6,3,""))),"")</f>
        <v>1</v>
      </c>
      <c r="AH532" s="97">
        <f>IF(OR(Tabelle1[[#This Row],[Nicht einbezogen weil…]]="",Tabelle1[[#This Row],[Nicht einbezogen weil…]]="nicht-natürlich"),IFERROR(Tabelle1[[#This Row],[Thickness '[mm']]]/Tabelle1[[#This Row],[Dauer des Abbaus
'[Tage']]]*1000*0.5*365*(1-(1-Tabelle1[[#This Row],[Abbaurate '[%/d']]]/100*Tabelle1[[#This Row],[Dauer des Abbaus
'[Tage']]])^(1/Tabelle1[[#This Row],[Exponent]])),""),"")</f>
        <v>540.98214285714289</v>
      </c>
      <c r="AI53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PES_Süßwasser_natürlich</v>
      </c>
      <c r="AJ532" s="71">
        <v>1</v>
      </c>
      <c r="AK53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32" s="3" t="s">
        <v>699</v>
      </c>
      <c r="AO532" s="3" t="s">
        <v>200</v>
      </c>
      <c r="AP532" s="3" t="s">
        <v>200</v>
      </c>
      <c r="AQ532" s="3" t="s">
        <v>200</v>
      </c>
      <c r="AR532" s="2" t="s">
        <v>300</v>
      </c>
      <c r="AS532" s="2" t="s">
        <v>262</v>
      </c>
      <c r="AT532" s="10" t="s">
        <v>223</v>
      </c>
      <c r="AU532" s="13" t="s">
        <v>200</v>
      </c>
      <c r="AW532" s="10" t="s">
        <v>775</v>
      </c>
    </row>
    <row r="533" spans="2:49" ht="17.25" customHeight="1">
      <c r="B533" s="109" t="s">
        <v>771</v>
      </c>
      <c r="C533" s="3" t="s">
        <v>115</v>
      </c>
      <c r="D533" s="3" t="s">
        <v>223</v>
      </c>
      <c r="E533" s="10"/>
      <c r="F533" s="3" t="s">
        <v>198</v>
      </c>
      <c r="G533" s="3">
        <v>0.1</v>
      </c>
      <c r="H533" s="3" t="s">
        <v>341</v>
      </c>
      <c r="I533" s="24">
        <f t="shared" si="33"/>
        <v>0.93799999999999994</v>
      </c>
      <c r="M533" s="3" t="s">
        <v>301</v>
      </c>
      <c r="N533" s="3" t="s">
        <v>119</v>
      </c>
      <c r="O533" s="3" t="s">
        <v>1081</v>
      </c>
      <c r="P53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33" s="4">
        <v>25</v>
      </c>
      <c r="U533" s="4" t="s">
        <v>12</v>
      </c>
      <c r="W533" s="3" t="s">
        <v>13</v>
      </c>
      <c r="Y533" s="4">
        <v>100</v>
      </c>
      <c r="Z533" s="4">
        <v>28</v>
      </c>
      <c r="AA533" s="5">
        <f>Tabelle1[[#This Row],[biologische
Abbaubarkeit '[%']]]/Z533</f>
        <v>3.5714285714285716</v>
      </c>
      <c r="AB533" s="5"/>
      <c r="AC53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33" s="97">
        <f>IF(Tabelle1[[#This Row],[Nicht einbezogen weil…]]="",IFERROR(1000*Tabelle1[[#This Row],[Formfaktor]]/Tabelle1[[#This Row],[Thickness '[mm']]],""),"")</f>
        <v>20000</v>
      </c>
      <c r="AE533" s="98">
        <f>IF(Tabelle1[[#This Row],[Nicht einbezogen weil…]]="",IFERROR(Tabelle1[[#This Row],[specific surface '[m^2/m^3']]]/Tabelle1[[#This Row],[Density 
'[g/cm3']]]/1000000,""),"")</f>
        <v>2.1321961620469083E-2</v>
      </c>
      <c r="AF533" s="97">
        <f>IF(Tabelle1[[#This Row],[Nicht einbezogen weil…]]="",IFERROR(365*10*Tabelle1[[#This Row],[Abbaurate '[%/d']]]*Tabelle1[[#This Row],[Thickness '[mm']]]/Tabelle1[[#This Row],[Formfaktor]],""),"")</f>
        <v>651.78571428571433</v>
      </c>
      <c r="AG533" s="99">
        <f>IF(OR(Tabelle1[[#This Row],[Nicht einbezogen weil…]]="",Tabelle1[[#This Row],[Nicht einbezogen weil…]]="nicht-natürlich"),IF(Tabelle1[[#This Row],[Formfaktor]]=2, 1,IF(Tabelle1[[#This Row],[Formfaktor]]=4,2,IF(Tabelle1[[#This Row],[Formfaktor]]=6,3,""))),"")</f>
        <v>1</v>
      </c>
      <c r="AH533"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651.78571428571445</v>
      </c>
      <c r="AI53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PES_Süßwasser_natürlich</v>
      </c>
      <c r="AJ533" s="71">
        <v>1</v>
      </c>
      <c r="AK53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33" s="3" t="s">
        <v>699</v>
      </c>
      <c r="AO533" s="3" t="s">
        <v>200</v>
      </c>
      <c r="AP533" s="3" t="s">
        <v>200</v>
      </c>
      <c r="AQ533" s="3" t="s">
        <v>200</v>
      </c>
      <c r="AR533" s="2" t="s">
        <v>300</v>
      </c>
      <c r="AS533" s="2" t="s">
        <v>262</v>
      </c>
      <c r="AT533" s="10" t="s">
        <v>223</v>
      </c>
      <c r="AU533" s="13" t="s">
        <v>200</v>
      </c>
      <c r="AW533" s="10" t="s">
        <v>775</v>
      </c>
    </row>
    <row r="534" spans="2:49" ht="17.25" customHeight="1">
      <c r="B534" s="109" t="s">
        <v>771</v>
      </c>
      <c r="C534" s="3" t="s">
        <v>115</v>
      </c>
      <c r="D534" s="3" t="s">
        <v>223</v>
      </c>
      <c r="E534" s="10"/>
      <c r="F534" s="3" t="s">
        <v>198</v>
      </c>
      <c r="G534" s="3">
        <v>0.1</v>
      </c>
      <c r="H534" s="3" t="s">
        <v>341</v>
      </c>
      <c r="I534" s="24">
        <f t="shared" si="33"/>
        <v>0.93799999999999994</v>
      </c>
      <c r="M534" s="3" t="s">
        <v>301</v>
      </c>
      <c r="N534" s="3" t="s">
        <v>119</v>
      </c>
      <c r="O534" s="3" t="s">
        <v>1081</v>
      </c>
      <c r="P53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34" s="4">
        <v>25</v>
      </c>
      <c r="U534" s="4" t="s">
        <v>12</v>
      </c>
      <c r="W534" s="3" t="s">
        <v>506</v>
      </c>
      <c r="Y534" s="4">
        <v>77</v>
      </c>
      <c r="Z534" s="4">
        <v>28</v>
      </c>
      <c r="AA534" s="5">
        <f>Tabelle1[[#This Row],[biologische
Abbaubarkeit '[%']]]/Z534</f>
        <v>2.75</v>
      </c>
      <c r="AB534" s="5"/>
      <c r="AC53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34" s="97">
        <f>IF(Tabelle1[[#This Row],[Nicht einbezogen weil…]]="",IFERROR(1000*Tabelle1[[#This Row],[Formfaktor]]/Tabelle1[[#This Row],[Thickness '[mm']]],""),"")</f>
        <v>20000</v>
      </c>
      <c r="AE534" s="98">
        <f>IF(Tabelle1[[#This Row],[Nicht einbezogen weil…]]="",IFERROR(Tabelle1[[#This Row],[specific surface '[m^2/m^3']]]/Tabelle1[[#This Row],[Density 
'[g/cm3']]]/1000000,""),"")</f>
        <v>2.1321961620469083E-2</v>
      </c>
      <c r="AF534" s="97">
        <f>IF(Tabelle1[[#This Row],[Nicht einbezogen weil…]]="",IFERROR(365*10*Tabelle1[[#This Row],[Abbaurate '[%/d']]]*Tabelle1[[#This Row],[Thickness '[mm']]]/Tabelle1[[#This Row],[Formfaktor]],""),"")</f>
        <v>501.875</v>
      </c>
      <c r="AG534" s="99">
        <f>IF(OR(Tabelle1[[#This Row],[Nicht einbezogen weil…]]="",Tabelle1[[#This Row],[Nicht einbezogen weil…]]="nicht-natürlich"),IF(Tabelle1[[#This Row],[Formfaktor]]=2, 1,IF(Tabelle1[[#This Row],[Formfaktor]]=4,2,IF(Tabelle1[[#This Row],[Formfaktor]]=6,3,""))),"")</f>
        <v>1</v>
      </c>
      <c r="AH534" s="97">
        <f>IF(OR(Tabelle1[[#This Row],[Nicht einbezogen weil…]]="",Tabelle1[[#This Row],[Nicht einbezogen weil…]]="nicht-natürlich"),IFERROR(Tabelle1[[#This Row],[Thickness '[mm']]]/Tabelle1[[#This Row],[Dauer des Abbaus
'[Tage']]]*1000*0.5*365*(1-(1-Tabelle1[[#This Row],[Abbaurate '[%/d']]]/100*Tabelle1[[#This Row],[Dauer des Abbaus
'[Tage']]])^(1/Tabelle1[[#This Row],[Exponent]])),""),"")</f>
        <v>501.87500000000006</v>
      </c>
      <c r="AI53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PES_Süßwasser_natürlich</v>
      </c>
      <c r="AJ534" s="71">
        <v>1</v>
      </c>
      <c r="AK53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34" s="3" t="s">
        <v>699</v>
      </c>
      <c r="AO534" s="3" t="s">
        <v>200</v>
      </c>
      <c r="AP534" s="3" t="s">
        <v>200</v>
      </c>
      <c r="AQ534" s="3" t="s">
        <v>200</v>
      </c>
      <c r="AR534" s="2" t="s">
        <v>300</v>
      </c>
      <c r="AS534" s="2" t="s">
        <v>262</v>
      </c>
      <c r="AT534" s="10" t="s">
        <v>223</v>
      </c>
      <c r="AU534" s="13" t="s">
        <v>200</v>
      </c>
      <c r="AW534" s="10" t="s">
        <v>775</v>
      </c>
    </row>
    <row r="535" spans="2:49" ht="17.25" customHeight="1">
      <c r="B535" s="109" t="s">
        <v>771</v>
      </c>
      <c r="C535" s="3" t="s">
        <v>115</v>
      </c>
      <c r="D535" s="3" t="s">
        <v>223</v>
      </c>
      <c r="E535" s="10"/>
      <c r="F535" s="3" t="s">
        <v>198</v>
      </c>
      <c r="G535" s="3">
        <v>0.1</v>
      </c>
      <c r="H535" s="3" t="s">
        <v>341</v>
      </c>
      <c r="I535" s="24">
        <f t="shared" si="33"/>
        <v>0.93799999999999994</v>
      </c>
      <c r="M535" s="3" t="s">
        <v>301</v>
      </c>
      <c r="N535" s="3" t="s">
        <v>120</v>
      </c>
      <c r="O535" s="3" t="s">
        <v>23</v>
      </c>
      <c r="P53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35" s="4">
        <v>25</v>
      </c>
      <c r="U535" s="4" t="s">
        <v>12</v>
      </c>
      <c r="W535" s="3" t="s">
        <v>13</v>
      </c>
      <c r="Y535" s="337" t="s">
        <v>1417</v>
      </c>
      <c r="Z535" s="4">
        <v>28</v>
      </c>
      <c r="AA535" s="5">
        <f>Tabelle1[[#This Row],[biologische
Abbaubarkeit '[%']]]/Z535</f>
        <v>7.1428571428571425E-2</v>
      </c>
      <c r="AB535" s="5"/>
      <c r="AC53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35" s="97">
        <f>IF(Tabelle1[[#This Row],[Nicht einbezogen weil…]]="",IFERROR(1000*Tabelle1[[#This Row],[Formfaktor]]/Tabelle1[[#This Row],[Thickness '[mm']]],""),"")</f>
        <v>20000</v>
      </c>
      <c r="AE535" s="98">
        <f>IF(Tabelle1[[#This Row],[Nicht einbezogen weil…]]="",IFERROR(Tabelle1[[#This Row],[specific surface '[m^2/m^3']]]/Tabelle1[[#This Row],[Density 
'[g/cm3']]]/1000000,""),"")</f>
        <v>2.1321961620469083E-2</v>
      </c>
      <c r="AF535" s="97">
        <f>IF(Tabelle1[[#This Row],[Nicht einbezogen weil…]]="",IFERROR(365*10*Tabelle1[[#This Row],[Abbaurate '[%/d']]]*Tabelle1[[#This Row],[Thickness '[mm']]]/Tabelle1[[#This Row],[Formfaktor]],""),"")</f>
        <v>13.035714285714286</v>
      </c>
      <c r="AG535" s="99">
        <f>IF(OR(Tabelle1[[#This Row],[Nicht einbezogen weil…]]="",Tabelle1[[#This Row],[Nicht einbezogen weil…]]="nicht-natürlich"),IF(Tabelle1[[#This Row],[Formfaktor]]=2, 1,IF(Tabelle1[[#This Row],[Formfaktor]]=4,2,IF(Tabelle1[[#This Row],[Formfaktor]]=6,3,""))),"")</f>
        <v>1</v>
      </c>
      <c r="AH535" s="97">
        <f>IF(OR(Tabelle1[[#This Row],[Nicht einbezogen weil…]]="",Tabelle1[[#This Row],[Nicht einbezogen weil…]]="nicht-natürlich"),IFERROR(Tabelle1[[#This Row],[Thickness '[mm']]]/Tabelle1[[#This Row],[Dauer des Abbaus
'[Tage']]]*1000*0.5*365*(1-(1-Tabelle1[[#This Row],[Abbaurate '[%/d']]]/100*Tabelle1[[#This Row],[Dauer des Abbaus
'[Tage']]])^(1/Tabelle1[[#This Row],[Exponent]])),""),"")</f>
        <v>13.035714285714299</v>
      </c>
      <c r="AI53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PES_Meerwasser_natürlich</v>
      </c>
      <c r="AJ535" s="71">
        <v>1</v>
      </c>
      <c r="AK53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35" s="3" t="s">
        <v>699</v>
      </c>
      <c r="AO535" s="3" t="s">
        <v>200</v>
      </c>
      <c r="AP535" s="3" t="s">
        <v>200</v>
      </c>
      <c r="AQ535" s="3" t="s">
        <v>200</v>
      </c>
      <c r="AR535" s="2" t="s">
        <v>300</v>
      </c>
      <c r="AS535" s="2" t="s">
        <v>262</v>
      </c>
      <c r="AT535" s="10" t="s">
        <v>223</v>
      </c>
      <c r="AU535" s="13" t="s">
        <v>200</v>
      </c>
      <c r="AW535" s="10" t="s">
        <v>775</v>
      </c>
    </row>
    <row r="536" spans="2:49" ht="17.25" customHeight="1">
      <c r="B536" s="109" t="s">
        <v>771</v>
      </c>
      <c r="C536" s="3" t="s">
        <v>115</v>
      </c>
      <c r="D536" s="3" t="s">
        <v>223</v>
      </c>
      <c r="E536" s="10"/>
      <c r="F536" s="3" t="s">
        <v>198</v>
      </c>
      <c r="G536" s="3">
        <v>0.1</v>
      </c>
      <c r="H536" s="3" t="s">
        <v>341</v>
      </c>
      <c r="I536" s="24">
        <f t="shared" si="33"/>
        <v>0.93799999999999994</v>
      </c>
      <c r="M536" s="3" t="s">
        <v>301</v>
      </c>
      <c r="N536" s="3" t="s">
        <v>120</v>
      </c>
      <c r="O536" s="3" t="s">
        <v>23</v>
      </c>
      <c r="P53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36" s="4">
        <v>25</v>
      </c>
      <c r="U536" s="4" t="s">
        <v>12</v>
      </c>
      <c r="W536" s="3" t="s">
        <v>506</v>
      </c>
      <c r="Y536" s="4">
        <v>1</v>
      </c>
      <c r="Z536" s="4">
        <v>28</v>
      </c>
      <c r="AA536" s="5">
        <f>Tabelle1[[#This Row],[biologische
Abbaubarkeit '[%']]]/Z536</f>
        <v>3.5714285714285712E-2</v>
      </c>
      <c r="AB536" s="5"/>
      <c r="AC53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36" s="97">
        <f>IF(Tabelle1[[#This Row],[Nicht einbezogen weil…]]="",IFERROR(1000*Tabelle1[[#This Row],[Formfaktor]]/Tabelle1[[#This Row],[Thickness '[mm']]],""),"")</f>
        <v>20000</v>
      </c>
      <c r="AE536" s="98">
        <f>IF(Tabelle1[[#This Row],[Nicht einbezogen weil…]]="",IFERROR(Tabelle1[[#This Row],[specific surface '[m^2/m^3']]]/Tabelle1[[#This Row],[Density 
'[g/cm3']]]/1000000,""),"")</f>
        <v>2.1321961620469083E-2</v>
      </c>
      <c r="AF536" s="97">
        <f>IF(Tabelle1[[#This Row],[Nicht einbezogen weil…]]="",IFERROR(365*10*Tabelle1[[#This Row],[Abbaurate '[%/d']]]*Tabelle1[[#This Row],[Thickness '[mm']]]/Tabelle1[[#This Row],[Formfaktor]],""),"")</f>
        <v>6.5178571428571432</v>
      </c>
      <c r="AG536" s="99">
        <f>IF(OR(Tabelle1[[#This Row],[Nicht einbezogen weil…]]="",Tabelle1[[#This Row],[Nicht einbezogen weil…]]="nicht-natürlich"),IF(Tabelle1[[#This Row],[Formfaktor]]=2, 1,IF(Tabelle1[[#This Row],[Formfaktor]]=4,2,IF(Tabelle1[[#This Row],[Formfaktor]]=6,3,""))),"")</f>
        <v>1</v>
      </c>
      <c r="AH536"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6.5178571428571495</v>
      </c>
      <c r="AI53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PES_Meerwasser_natürlich</v>
      </c>
      <c r="AJ536" s="71">
        <v>1</v>
      </c>
      <c r="AK53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36" s="3" t="s">
        <v>699</v>
      </c>
      <c r="AO536" s="3" t="s">
        <v>200</v>
      </c>
      <c r="AP536" s="3" t="s">
        <v>200</v>
      </c>
      <c r="AQ536" s="3" t="s">
        <v>200</v>
      </c>
      <c r="AR536" s="2" t="s">
        <v>300</v>
      </c>
      <c r="AS536" s="2" t="s">
        <v>262</v>
      </c>
      <c r="AT536" s="10" t="s">
        <v>223</v>
      </c>
      <c r="AU536" s="13" t="s">
        <v>200</v>
      </c>
      <c r="AW536" s="10" t="s">
        <v>775</v>
      </c>
    </row>
    <row r="537" spans="2:49" ht="17.25" customHeight="1">
      <c r="B537" s="109" t="s">
        <v>771</v>
      </c>
      <c r="C537" s="3" t="s">
        <v>115</v>
      </c>
      <c r="D537" s="3" t="s">
        <v>223</v>
      </c>
      <c r="E537" s="10"/>
      <c r="F537" s="3" t="s">
        <v>198</v>
      </c>
      <c r="G537" s="3">
        <v>0.1</v>
      </c>
      <c r="H537" s="3" t="s">
        <v>341</v>
      </c>
      <c r="I537" s="24">
        <f t="shared" si="33"/>
        <v>0.93799999999999994</v>
      </c>
      <c r="M537" s="3" t="s">
        <v>301</v>
      </c>
      <c r="N537" s="3" t="s">
        <v>121</v>
      </c>
      <c r="O537" s="3" t="s">
        <v>23</v>
      </c>
      <c r="P53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37" s="4">
        <v>25</v>
      </c>
      <c r="U537" s="4" t="s">
        <v>12</v>
      </c>
      <c r="W537" s="3" t="s">
        <v>13</v>
      </c>
      <c r="Y537" s="337" t="s">
        <v>1425</v>
      </c>
      <c r="Z537" s="4">
        <v>28</v>
      </c>
      <c r="AA537" s="5">
        <f>Tabelle1[[#This Row],[biologische
Abbaubarkeit '[%']]]/Z537</f>
        <v>0.17857142857142858</v>
      </c>
      <c r="AB537" s="5"/>
      <c r="AC53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37" s="97">
        <f>IF(Tabelle1[[#This Row],[Nicht einbezogen weil…]]="",IFERROR(1000*Tabelle1[[#This Row],[Formfaktor]]/Tabelle1[[#This Row],[Thickness '[mm']]],""),"")</f>
        <v>20000</v>
      </c>
      <c r="AE537" s="98">
        <f>IF(Tabelle1[[#This Row],[Nicht einbezogen weil…]]="",IFERROR(Tabelle1[[#This Row],[specific surface '[m^2/m^3']]]/Tabelle1[[#This Row],[Density 
'[g/cm3']]]/1000000,""),"")</f>
        <v>2.1321961620469083E-2</v>
      </c>
      <c r="AF537" s="97">
        <f>IF(Tabelle1[[#This Row],[Nicht einbezogen weil…]]="",IFERROR(365*10*Tabelle1[[#This Row],[Abbaurate '[%/d']]]*Tabelle1[[#This Row],[Thickness '[mm']]]/Tabelle1[[#This Row],[Formfaktor]],""),"")</f>
        <v>32.589285714285715</v>
      </c>
      <c r="AG537" s="99">
        <f>IF(OR(Tabelle1[[#This Row],[Nicht einbezogen weil…]]="",Tabelle1[[#This Row],[Nicht einbezogen weil…]]="nicht-natürlich"),IF(Tabelle1[[#This Row],[Formfaktor]]=2, 1,IF(Tabelle1[[#This Row],[Formfaktor]]=4,2,IF(Tabelle1[[#This Row],[Formfaktor]]=6,3,""))),"")</f>
        <v>1</v>
      </c>
      <c r="AH537" s="97">
        <f>IF(OR(Tabelle1[[#This Row],[Nicht einbezogen weil…]]="",Tabelle1[[#This Row],[Nicht einbezogen weil…]]="nicht-natürlich"),IFERROR(Tabelle1[[#This Row],[Thickness '[mm']]]/Tabelle1[[#This Row],[Dauer des Abbaus
'[Tage']]]*1000*0.5*365*(1-(1-Tabelle1[[#This Row],[Abbaurate '[%/d']]]/100*Tabelle1[[#This Row],[Dauer des Abbaus
'[Tage']]])^(1/Tabelle1[[#This Row],[Exponent]])),""),"")</f>
        <v>32.589285714285744</v>
      </c>
      <c r="AI53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PES_Meerwasser_natürlich</v>
      </c>
      <c r="AJ537" s="71">
        <v>1</v>
      </c>
      <c r="AK53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37" s="3" t="s">
        <v>699</v>
      </c>
      <c r="AO537" s="3" t="s">
        <v>200</v>
      </c>
      <c r="AP537" s="3" t="s">
        <v>200</v>
      </c>
      <c r="AQ537" s="3" t="s">
        <v>200</v>
      </c>
      <c r="AR537" s="2" t="s">
        <v>300</v>
      </c>
      <c r="AS537" s="2" t="s">
        <v>262</v>
      </c>
      <c r="AT537" s="10" t="s">
        <v>223</v>
      </c>
      <c r="AU537" s="13" t="s">
        <v>200</v>
      </c>
      <c r="AW537" s="10" t="s">
        <v>775</v>
      </c>
    </row>
    <row r="538" spans="2:49" ht="17.25" customHeight="1">
      <c r="B538" s="109" t="s">
        <v>771</v>
      </c>
      <c r="C538" s="3" t="s">
        <v>115</v>
      </c>
      <c r="D538" s="3" t="s">
        <v>223</v>
      </c>
      <c r="E538" s="10"/>
      <c r="F538" s="3" t="s">
        <v>198</v>
      </c>
      <c r="G538" s="3">
        <v>0.1</v>
      </c>
      <c r="H538" s="3" t="s">
        <v>341</v>
      </c>
      <c r="I538" s="24">
        <f t="shared" si="33"/>
        <v>0.93799999999999994</v>
      </c>
      <c r="M538" s="3" t="s">
        <v>301</v>
      </c>
      <c r="N538" s="3" t="s">
        <v>121</v>
      </c>
      <c r="O538" s="3" t="s">
        <v>23</v>
      </c>
      <c r="P53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38" s="4">
        <v>25</v>
      </c>
      <c r="U538" s="4" t="s">
        <v>12</v>
      </c>
      <c r="W538" s="3" t="s">
        <v>506</v>
      </c>
      <c r="Y538" s="337" t="s">
        <v>1418</v>
      </c>
      <c r="Z538" s="4">
        <v>28</v>
      </c>
      <c r="AA538" s="5">
        <f>Tabelle1[[#This Row],[biologische
Abbaubarkeit '[%']]]/Z538</f>
        <v>0.10714285714285714</v>
      </c>
      <c r="AB538" s="5"/>
      <c r="AC53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38" s="97">
        <f>IF(Tabelle1[[#This Row],[Nicht einbezogen weil…]]="",IFERROR(1000*Tabelle1[[#This Row],[Formfaktor]]/Tabelle1[[#This Row],[Thickness '[mm']]],""),"")</f>
        <v>20000</v>
      </c>
      <c r="AE538" s="98">
        <f>IF(Tabelle1[[#This Row],[Nicht einbezogen weil…]]="",IFERROR(Tabelle1[[#This Row],[specific surface '[m^2/m^3']]]/Tabelle1[[#This Row],[Density 
'[g/cm3']]]/1000000,""),"")</f>
        <v>2.1321961620469083E-2</v>
      </c>
      <c r="AF538" s="97">
        <f>IF(Tabelle1[[#This Row],[Nicht einbezogen weil…]]="",IFERROR(365*10*Tabelle1[[#This Row],[Abbaurate '[%/d']]]*Tabelle1[[#This Row],[Thickness '[mm']]]/Tabelle1[[#This Row],[Formfaktor]],""),"")</f>
        <v>19.553571428571431</v>
      </c>
      <c r="AG538" s="99">
        <f>IF(OR(Tabelle1[[#This Row],[Nicht einbezogen weil…]]="",Tabelle1[[#This Row],[Nicht einbezogen weil…]]="nicht-natürlich"),IF(Tabelle1[[#This Row],[Formfaktor]]=2, 1,IF(Tabelle1[[#This Row],[Formfaktor]]=4,2,IF(Tabelle1[[#This Row],[Formfaktor]]=6,3,""))),"")</f>
        <v>1</v>
      </c>
      <c r="AH538" s="97">
        <f>IF(OR(Tabelle1[[#This Row],[Nicht einbezogen weil…]]="",Tabelle1[[#This Row],[Nicht einbezogen weil…]]="nicht-natürlich"),IFERROR(Tabelle1[[#This Row],[Thickness '[mm']]]/Tabelle1[[#This Row],[Dauer des Abbaus
'[Tage']]]*1000*0.5*365*(1-(1-Tabelle1[[#This Row],[Abbaurate '[%/d']]]/100*Tabelle1[[#This Row],[Dauer des Abbaus
'[Tage']]])^(1/Tabelle1[[#This Row],[Exponent]])),""),"")</f>
        <v>19.553571428571448</v>
      </c>
      <c r="AI53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PES_Meerwasser_natürlich</v>
      </c>
      <c r="AJ538" s="71">
        <v>1</v>
      </c>
      <c r="AK53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38" s="3" t="s">
        <v>699</v>
      </c>
      <c r="AO538" s="3" t="s">
        <v>200</v>
      </c>
      <c r="AP538" s="3" t="s">
        <v>200</v>
      </c>
      <c r="AQ538" s="3" t="s">
        <v>200</v>
      </c>
      <c r="AR538" s="2" t="s">
        <v>300</v>
      </c>
      <c r="AS538" s="2" t="s">
        <v>262</v>
      </c>
      <c r="AT538" s="10" t="s">
        <v>223</v>
      </c>
      <c r="AU538" s="13" t="s">
        <v>200</v>
      </c>
      <c r="AW538" s="10" t="s">
        <v>775</v>
      </c>
    </row>
    <row r="539" spans="2:49" ht="17.25" customHeight="1">
      <c r="B539" s="348" t="s">
        <v>78</v>
      </c>
      <c r="C539" s="3" t="s">
        <v>78</v>
      </c>
      <c r="D539" s="3" t="s">
        <v>223</v>
      </c>
      <c r="E539" s="10"/>
      <c r="F539" s="3" t="s">
        <v>198</v>
      </c>
      <c r="G539" s="3">
        <v>0.2</v>
      </c>
      <c r="H539" s="74" t="s">
        <v>341</v>
      </c>
      <c r="I539" s="3">
        <v>1.38</v>
      </c>
      <c r="J539" s="3" t="s">
        <v>1105</v>
      </c>
      <c r="K539" s="8" t="s">
        <v>1106</v>
      </c>
      <c r="L539" s="3" t="s">
        <v>223</v>
      </c>
      <c r="M539" s="3" t="s">
        <v>301</v>
      </c>
      <c r="N539" s="3" t="s">
        <v>1129</v>
      </c>
      <c r="O539" s="3" t="s">
        <v>569</v>
      </c>
      <c r="P53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S539" s="4">
        <v>45</v>
      </c>
      <c r="W539" s="12" t="s">
        <v>1179</v>
      </c>
      <c r="X539" s="12" t="s">
        <v>1179</v>
      </c>
      <c r="Y539" s="4">
        <v>50</v>
      </c>
      <c r="Z539" s="4">
        <f>32*365</f>
        <v>11680</v>
      </c>
      <c r="AA539" s="5">
        <f t="shared" ref="AA539:AA571" si="34">Y539/Z539</f>
        <v>4.2808219178082189E-3</v>
      </c>
      <c r="AB539" s="5"/>
      <c r="AC53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39" s="5" t="str">
        <f>IF(Tabelle1[[#This Row],[Nicht einbezogen weil…]]="",IFERROR(1000*Tabelle1[[#This Row],[Formfaktor]]/Tabelle1[[#This Row],[Thickness '[mm']]],""),"")</f>
        <v/>
      </c>
      <c r="AE539" s="5" t="str">
        <f>IF(Tabelle1[[#This Row],[Nicht einbezogen weil…]]="",IFERROR(Tabelle1[[#This Row],[specific surface '[m^2/m^3']]]/Tabelle1[[#This Row],[Density 
'[g/cm3']]]/1000000,""),"")</f>
        <v/>
      </c>
      <c r="AF539" s="5" t="str">
        <f>IF(Tabelle1[[#This Row],[Nicht einbezogen weil…]]="",IFERROR(365*10*Tabelle1[[#This Row],[Abbaurate '[%/d']]]*Tabelle1[[#This Row],[Thickness '[mm']]]/Tabelle1[[#This Row],[Formfaktor]],""),"")</f>
        <v/>
      </c>
      <c r="AG539" s="349" t="str">
        <f>IF(OR(Tabelle1[[#This Row],[Nicht einbezogen weil…]]="",Tabelle1[[#This Row],[Nicht einbezogen weil…]]="nicht-natürlich"),IF(Tabelle1[[#This Row],[Formfaktor]]=2, 1,IF(Tabelle1[[#This Row],[Formfaktor]]=4,2,IF(Tabelle1[[#This Row],[Formfaktor]]=6,3,""))),"")</f>
        <v/>
      </c>
      <c r="AH539"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3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39" s="6">
        <v>1</v>
      </c>
      <c r="AK53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539" s="3" t="s">
        <v>1116</v>
      </c>
      <c r="AM539" s="3" t="s">
        <v>1117</v>
      </c>
      <c r="AO539" s="3" t="s">
        <v>200</v>
      </c>
      <c r="AP539" s="3" t="s">
        <v>200</v>
      </c>
      <c r="AU539" s="13"/>
    </row>
    <row r="540" spans="2:49" ht="17.25" customHeight="1">
      <c r="B540" s="348" t="s">
        <v>78</v>
      </c>
      <c r="C540" s="3" t="s">
        <v>78</v>
      </c>
      <c r="D540" s="3" t="s">
        <v>223</v>
      </c>
      <c r="E540" s="10"/>
      <c r="F540" s="3" t="s">
        <v>198</v>
      </c>
      <c r="G540" s="3">
        <v>0.2</v>
      </c>
      <c r="H540" s="74" t="s">
        <v>341</v>
      </c>
      <c r="I540" s="3">
        <v>1.38</v>
      </c>
      <c r="J540" s="3" t="s">
        <v>1105</v>
      </c>
      <c r="K540" s="8" t="s">
        <v>1106</v>
      </c>
      <c r="L540" s="3" t="s">
        <v>223</v>
      </c>
      <c r="M540" s="3" t="s">
        <v>301</v>
      </c>
      <c r="N540" s="3" t="s">
        <v>1130</v>
      </c>
      <c r="O540" s="3" t="s">
        <v>569</v>
      </c>
      <c r="P54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S540" s="4">
        <v>100</v>
      </c>
      <c r="W540" s="12" t="s">
        <v>1179</v>
      </c>
      <c r="X540" s="12" t="s">
        <v>1179</v>
      </c>
      <c r="Y540" s="4">
        <v>50</v>
      </c>
      <c r="Z540" s="4">
        <f>25*365</f>
        <v>9125</v>
      </c>
      <c r="AA540" s="5">
        <f t="shared" si="34"/>
        <v>5.4794520547945206E-3</v>
      </c>
      <c r="AB540" s="5"/>
      <c r="AC54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0" s="5" t="str">
        <f>IF(Tabelle1[[#This Row],[Nicht einbezogen weil…]]="",IFERROR(1000*Tabelle1[[#This Row],[Formfaktor]]/Tabelle1[[#This Row],[Thickness '[mm']]],""),"")</f>
        <v/>
      </c>
      <c r="AE540" s="5" t="str">
        <f>IF(Tabelle1[[#This Row],[Nicht einbezogen weil…]]="",IFERROR(Tabelle1[[#This Row],[specific surface '[m^2/m^3']]]/Tabelle1[[#This Row],[Density 
'[g/cm3']]]/1000000,""),"")</f>
        <v/>
      </c>
      <c r="AF540" s="5" t="str">
        <f>IF(Tabelle1[[#This Row],[Nicht einbezogen weil…]]="",IFERROR(365*10*Tabelle1[[#This Row],[Abbaurate '[%/d']]]*Tabelle1[[#This Row],[Thickness '[mm']]]/Tabelle1[[#This Row],[Formfaktor]],""),"")</f>
        <v/>
      </c>
      <c r="AG540" s="349" t="str">
        <f>IF(OR(Tabelle1[[#This Row],[Nicht einbezogen weil…]]="",Tabelle1[[#This Row],[Nicht einbezogen weil…]]="nicht-natürlich"),IF(Tabelle1[[#This Row],[Formfaktor]]=2, 1,IF(Tabelle1[[#This Row],[Formfaktor]]=4,2,IF(Tabelle1[[#This Row],[Formfaktor]]=6,3,""))),"")</f>
        <v/>
      </c>
      <c r="AH540"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4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40" s="6">
        <v>1</v>
      </c>
      <c r="AK54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540" s="3" t="s">
        <v>1116</v>
      </c>
      <c r="AM540" s="3" t="s">
        <v>1117</v>
      </c>
      <c r="AO540" s="3" t="s">
        <v>200</v>
      </c>
      <c r="AP540" s="3" t="s">
        <v>200</v>
      </c>
      <c r="AU540" s="13"/>
    </row>
    <row r="541" spans="2:49" ht="17.25" customHeight="1">
      <c r="B541" s="348" t="s">
        <v>78</v>
      </c>
      <c r="C541" s="3" t="s">
        <v>78</v>
      </c>
      <c r="D541" s="3" t="s">
        <v>223</v>
      </c>
      <c r="E541" s="10"/>
      <c r="F541" s="3" t="s">
        <v>198</v>
      </c>
      <c r="G541" s="74" t="s">
        <v>341</v>
      </c>
      <c r="H541" s="74" t="s">
        <v>341</v>
      </c>
      <c r="I541" s="3">
        <v>1.38</v>
      </c>
      <c r="J541" s="3" t="s">
        <v>1108</v>
      </c>
      <c r="K541" s="8" t="s">
        <v>1106</v>
      </c>
      <c r="L541" s="3" t="s">
        <v>223</v>
      </c>
      <c r="M541" s="3" t="s">
        <v>301</v>
      </c>
      <c r="N541" s="3" t="s">
        <v>1107</v>
      </c>
      <c r="O541" s="3" t="s">
        <v>358</v>
      </c>
      <c r="P54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41" s="12" t="s">
        <v>1179</v>
      </c>
      <c r="X541" s="12" t="s">
        <v>1179</v>
      </c>
      <c r="Y541" s="4">
        <v>50</v>
      </c>
      <c r="Z541" s="4">
        <f>35*365</f>
        <v>12775</v>
      </c>
      <c r="AA541" s="5">
        <f t="shared" si="34"/>
        <v>3.9138943248532287E-3</v>
      </c>
      <c r="AB541" s="5"/>
      <c r="AC54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1" s="5" t="str">
        <f>IF(Tabelle1[[#This Row],[Nicht einbezogen weil…]]="",IFERROR(1000*Tabelle1[[#This Row],[Formfaktor]]/Tabelle1[[#This Row],[Thickness '[mm']]],""),"")</f>
        <v/>
      </c>
      <c r="AE541" s="5" t="str">
        <f>IF(Tabelle1[[#This Row],[Nicht einbezogen weil…]]="",IFERROR(Tabelle1[[#This Row],[specific surface '[m^2/m^3']]]/Tabelle1[[#This Row],[Density 
'[g/cm3']]]/1000000,""),"")</f>
        <v/>
      </c>
      <c r="AF541" s="5" t="str">
        <f>IF(Tabelle1[[#This Row],[Nicht einbezogen weil…]]="",IFERROR(365*10*Tabelle1[[#This Row],[Abbaurate '[%/d']]]*Tabelle1[[#This Row],[Thickness '[mm']]]/Tabelle1[[#This Row],[Formfaktor]],""),"")</f>
        <v/>
      </c>
      <c r="AG541" s="349" t="str">
        <f>IF(OR(Tabelle1[[#This Row],[Nicht einbezogen weil…]]="",Tabelle1[[#This Row],[Nicht einbezogen weil…]]="nicht-natürlich"),IF(Tabelle1[[#This Row],[Formfaktor]]=2, 1,IF(Tabelle1[[#This Row],[Formfaktor]]=4,2,IF(Tabelle1[[#This Row],[Formfaktor]]=6,3,""))),"")</f>
        <v/>
      </c>
      <c r="AH541"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4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41" s="6">
        <v>1</v>
      </c>
      <c r="AK54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41" s="3" t="s">
        <v>1116</v>
      </c>
      <c r="AM541" s="3" t="s">
        <v>1117</v>
      </c>
      <c r="AO541" s="3" t="s">
        <v>200</v>
      </c>
      <c r="AP541" s="3" t="s">
        <v>200</v>
      </c>
      <c r="AU541" s="13"/>
    </row>
    <row r="542" spans="2:49" ht="17.25" customHeight="1">
      <c r="B542" s="348" t="s">
        <v>78</v>
      </c>
      <c r="C542" s="3" t="s">
        <v>78</v>
      </c>
      <c r="D542" s="3" t="s">
        <v>223</v>
      </c>
      <c r="E542" s="10"/>
      <c r="F542" s="3" t="s">
        <v>198</v>
      </c>
      <c r="G542" s="74" t="s">
        <v>341</v>
      </c>
      <c r="H542" s="74" t="s">
        <v>341</v>
      </c>
      <c r="I542" s="3">
        <v>1.38</v>
      </c>
      <c r="J542" s="3" t="s">
        <v>1108</v>
      </c>
      <c r="K542" s="8" t="s">
        <v>1106</v>
      </c>
      <c r="L542" s="3" t="s">
        <v>223</v>
      </c>
      <c r="M542" s="3" t="s">
        <v>301</v>
      </c>
      <c r="N542" s="3" t="s">
        <v>1129</v>
      </c>
      <c r="O542" s="3" t="s">
        <v>569</v>
      </c>
      <c r="P54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S542" s="4">
        <v>45</v>
      </c>
      <c r="W542" s="12" t="s">
        <v>1179</v>
      </c>
      <c r="X542" s="12" t="s">
        <v>1179</v>
      </c>
      <c r="Y542" s="4">
        <v>50</v>
      </c>
      <c r="Z542" s="4">
        <f>48*365</f>
        <v>17520</v>
      </c>
      <c r="AA542" s="5">
        <f t="shared" si="34"/>
        <v>2.8538812785388126E-3</v>
      </c>
      <c r="AB542" s="5"/>
      <c r="AC54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2" s="5" t="str">
        <f>IF(Tabelle1[[#This Row],[Nicht einbezogen weil…]]="",IFERROR(1000*Tabelle1[[#This Row],[Formfaktor]]/Tabelle1[[#This Row],[Thickness '[mm']]],""),"")</f>
        <v/>
      </c>
      <c r="AE542" s="5" t="str">
        <f>IF(Tabelle1[[#This Row],[Nicht einbezogen weil…]]="",IFERROR(Tabelle1[[#This Row],[specific surface '[m^2/m^3']]]/Tabelle1[[#This Row],[Density 
'[g/cm3']]]/1000000,""),"")</f>
        <v/>
      </c>
      <c r="AF542" s="5" t="str">
        <f>IF(Tabelle1[[#This Row],[Nicht einbezogen weil…]]="",IFERROR(365*10*Tabelle1[[#This Row],[Abbaurate '[%/d']]]*Tabelle1[[#This Row],[Thickness '[mm']]]/Tabelle1[[#This Row],[Formfaktor]],""),"")</f>
        <v/>
      </c>
      <c r="AG542" s="349" t="str">
        <f>IF(OR(Tabelle1[[#This Row],[Nicht einbezogen weil…]]="",Tabelle1[[#This Row],[Nicht einbezogen weil…]]="nicht-natürlich"),IF(Tabelle1[[#This Row],[Formfaktor]]=2, 1,IF(Tabelle1[[#This Row],[Formfaktor]]=4,2,IF(Tabelle1[[#This Row],[Formfaktor]]=6,3,""))),"")</f>
        <v/>
      </c>
      <c r="AH542"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4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42" s="6">
        <v>1</v>
      </c>
      <c r="AK54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42" s="3" t="s">
        <v>1116</v>
      </c>
      <c r="AM542" s="3" t="s">
        <v>1117</v>
      </c>
      <c r="AO542" s="3" t="s">
        <v>200</v>
      </c>
      <c r="AP542" s="3" t="s">
        <v>200</v>
      </c>
      <c r="AU542" s="13"/>
    </row>
    <row r="543" spans="2:49" ht="17.25" customHeight="1">
      <c r="B543" s="348" t="s">
        <v>78</v>
      </c>
      <c r="C543" s="3" t="s">
        <v>78</v>
      </c>
      <c r="D543" s="3" t="s">
        <v>223</v>
      </c>
      <c r="E543" s="10"/>
      <c r="F543" s="3" t="s">
        <v>198</v>
      </c>
      <c r="G543" s="74" t="s">
        <v>341</v>
      </c>
      <c r="H543" s="74" t="s">
        <v>341</v>
      </c>
      <c r="I543" s="3">
        <v>1.38</v>
      </c>
      <c r="J543" s="3" t="s">
        <v>1108</v>
      </c>
      <c r="K543" s="8" t="s">
        <v>1106</v>
      </c>
      <c r="L543" s="3" t="s">
        <v>223</v>
      </c>
      <c r="M543" s="3" t="s">
        <v>301</v>
      </c>
      <c r="N543" s="3" t="s">
        <v>1130</v>
      </c>
      <c r="O543" s="3" t="s">
        <v>569</v>
      </c>
      <c r="P54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S543" s="4">
        <v>100</v>
      </c>
      <c r="W543" s="12" t="s">
        <v>1179</v>
      </c>
      <c r="X543" s="12" t="s">
        <v>1179</v>
      </c>
      <c r="Y543" s="4">
        <v>50</v>
      </c>
      <c r="Z543" s="4">
        <f>27*365</f>
        <v>9855</v>
      </c>
      <c r="AA543" s="5">
        <f t="shared" si="34"/>
        <v>5.0735667174023336E-3</v>
      </c>
      <c r="AB543" s="5"/>
      <c r="AC54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3" s="5" t="str">
        <f>IF(Tabelle1[[#This Row],[Nicht einbezogen weil…]]="",IFERROR(1000*Tabelle1[[#This Row],[Formfaktor]]/Tabelle1[[#This Row],[Thickness '[mm']]],""),"")</f>
        <v/>
      </c>
      <c r="AE543" s="5" t="str">
        <f>IF(Tabelle1[[#This Row],[Nicht einbezogen weil…]]="",IFERROR(Tabelle1[[#This Row],[specific surface '[m^2/m^3']]]/Tabelle1[[#This Row],[Density 
'[g/cm3']]]/1000000,""),"")</f>
        <v/>
      </c>
      <c r="AF543" s="5" t="str">
        <f>IF(Tabelle1[[#This Row],[Nicht einbezogen weil…]]="",IFERROR(365*10*Tabelle1[[#This Row],[Abbaurate '[%/d']]]*Tabelle1[[#This Row],[Thickness '[mm']]]/Tabelle1[[#This Row],[Formfaktor]],""),"")</f>
        <v/>
      </c>
      <c r="AG543" s="349" t="str">
        <f>IF(OR(Tabelle1[[#This Row],[Nicht einbezogen weil…]]="",Tabelle1[[#This Row],[Nicht einbezogen weil…]]="nicht-natürlich"),IF(Tabelle1[[#This Row],[Formfaktor]]=2, 1,IF(Tabelle1[[#This Row],[Formfaktor]]=4,2,IF(Tabelle1[[#This Row],[Formfaktor]]=6,3,""))),"")</f>
        <v/>
      </c>
      <c r="AH543"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4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43" s="6">
        <v>1</v>
      </c>
      <c r="AK54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43" s="3" t="s">
        <v>1116</v>
      </c>
      <c r="AM543" s="3" t="s">
        <v>1117</v>
      </c>
      <c r="AO543" s="3" t="s">
        <v>200</v>
      </c>
      <c r="AP543" s="3" t="s">
        <v>200</v>
      </c>
      <c r="AU543" s="13"/>
    </row>
    <row r="544" spans="2:49" ht="17.25" customHeight="1">
      <c r="B544" s="348" t="s">
        <v>78</v>
      </c>
      <c r="C544" s="3" t="s">
        <v>78</v>
      </c>
      <c r="D544" s="3" t="s">
        <v>223</v>
      </c>
      <c r="E544" s="10"/>
      <c r="F544" s="3" t="s">
        <v>198</v>
      </c>
      <c r="G544" s="3">
        <v>0.12</v>
      </c>
      <c r="H544" s="74" t="s">
        <v>341</v>
      </c>
      <c r="I544" s="3">
        <v>1.38</v>
      </c>
      <c r="J544" s="3" t="s">
        <v>1109</v>
      </c>
      <c r="K544" s="8" t="s">
        <v>1110</v>
      </c>
      <c r="L544" s="3" t="s">
        <v>223</v>
      </c>
      <c r="M544" s="3" t="s">
        <v>301</v>
      </c>
      <c r="N544" s="3" t="s">
        <v>1129</v>
      </c>
      <c r="O544" s="3" t="s">
        <v>569</v>
      </c>
      <c r="P54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S544" s="4">
        <v>45</v>
      </c>
      <c r="W544" s="12" t="s">
        <v>1179</v>
      </c>
      <c r="X544" s="3" t="s">
        <v>1115</v>
      </c>
      <c r="Y544" s="4">
        <v>20</v>
      </c>
      <c r="Z544" s="4">
        <v>365000</v>
      </c>
      <c r="AA544" s="5">
        <f t="shared" si="34"/>
        <v>5.4794520547945207E-5</v>
      </c>
      <c r="AB544" s="5"/>
      <c r="AC54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4" s="5" t="str">
        <f>IF(Tabelle1[[#This Row],[Nicht einbezogen weil…]]="",IFERROR(1000*Tabelle1[[#This Row],[Formfaktor]]/Tabelle1[[#This Row],[Thickness '[mm']]],""),"")</f>
        <v/>
      </c>
      <c r="AE544" s="5" t="str">
        <f>IF(Tabelle1[[#This Row],[Nicht einbezogen weil…]]="",IFERROR(Tabelle1[[#This Row],[specific surface '[m^2/m^3']]]/Tabelle1[[#This Row],[Density 
'[g/cm3']]]/1000000,""),"")</f>
        <v/>
      </c>
      <c r="AF544" s="5" t="str">
        <f>IF(Tabelle1[[#This Row],[Nicht einbezogen weil…]]="",IFERROR(365*10*Tabelle1[[#This Row],[Abbaurate '[%/d']]]*Tabelle1[[#This Row],[Thickness '[mm']]]/Tabelle1[[#This Row],[Formfaktor]],""),"")</f>
        <v/>
      </c>
      <c r="AG544" s="349" t="str">
        <f>IF(OR(Tabelle1[[#This Row],[Nicht einbezogen weil…]]="",Tabelle1[[#This Row],[Nicht einbezogen weil…]]="nicht-natürlich"),IF(Tabelle1[[#This Row],[Formfaktor]]=2, 1,IF(Tabelle1[[#This Row],[Formfaktor]]=4,2,IF(Tabelle1[[#This Row],[Formfaktor]]=6,3,""))),"")</f>
        <v/>
      </c>
      <c r="AH544"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4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44" s="6">
        <v>1</v>
      </c>
      <c r="AK54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544" s="3" t="s">
        <v>1116</v>
      </c>
      <c r="AM544" s="3" t="s">
        <v>1117</v>
      </c>
      <c r="AO544" s="3" t="s">
        <v>200</v>
      </c>
      <c r="AP544" s="3" t="s">
        <v>200</v>
      </c>
      <c r="AU544" s="13"/>
    </row>
    <row r="545" spans="1:49" ht="17.25" customHeight="1">
      <c r="B545" s="348" t="s">
        <v>78</v>
      </c>
      <c r="C545" s="3" t="s">
        <v>78</v>
      </c>
      <c r="D545" s="3" t="s">
        <v>223</v>
      </c>
      <c r="E545" s="10"/>
      <c r="F545" s="3" t="s">
        <v>198</v>
      </c>
      <c r="G545" s="3">
        <v>0.12</v>
      </c>
      <c r="H545" s="74" t="s">
        <v>341</v>
      </c>
      <c r="I545" s="3">
        <v>1.38</v>
      </c>
      <c r="J545" s="3" t="s">
        <v>1109</v>
      </c>
      <c r="K545" s="8" t="s">
        <v>1110</v>
      </c>
      <c r="L545" s="3" t="s">
        <v>223</v>
      </c>
      <c r="M545" s="3" t="s">
        <v>301</v>
      </c>
      <c r="N545" s="3" t="s">
        <v>1130</v>
      </c>
      <c r="O545" s="3" t="s">
        <v>569</v>
      </c>
      <c r="P54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S545" s="4">
        <v>100</v>
      </c>
      <c r="W545" s="12" t="s">
        <v>1179</v>
      </c>
      <c r="X545" s="3" t="s">
        <v>1115</v>
      </c>
      <c r="Y545" s="4">
        <v>20</v>
      </c>
      <c r="Z545" s="4">
        <f>91*365</f>
        <v>33215</v>
      </c>
      <c r="AA545" s="5">
        <f t="shared" si="34"/>
        <v>6.0213758843895835E-4</v>
      </c>
      <c r="AB545" s="5"/>
      <c r="AC54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5" s="5" t="str">
        <f>IF(Tabelle1[[#This Row],[Nicht einbezogen weil…]]="",IFERROR(1000*Tabelle1[[#This Row],[Formfaktor]]/Tabelle1[[#This Row],[Thickness '[mm']]],""),"")</f>
        <v/>
      </c>
      <c r="AE545" s="5" t="str">
        <f>IF(Tabelle1[[#This Row],[Nicht einbezogen weil…]]="",IFERROR(Tabelle1[[#This Row],[specific surface '[m^2/m^3']]]/Tabelle1[[#This Row],[Density 
'[g/cm3']]]/1000000,""),"")</f>
        <v/>
      </c>
      <c r="AF545" s="5" t="str">
        <f>IF(Tabelle1[[#This Row],[Nicht einbezogen weil…]]="",IFERROR(365*10*Tabelle1[[#This Row],[Abbaurate '[%/d']]]*Tabelle1[[#This Row],[Thickness '[mm']]]/Tabelle1[[#This Row],[Formfaktor]],""),"")</f>
        <v/>
      </c>
      <c r="AG545" s="349" t="str">
        <f>IF(OR(Tabelle1[[#This Row],[Nicht einbezogen weil…]]="",Tabelle1[[#This Row],[Nicht einbezogen weil…]]="nicht-natürlich"),IF(Tabelle1[[#This Row],[Formfaktor]]=2, 1,IF(Tabelle1[[#This Row],[Formfaktor]]=4,2,IF(Tabelle1[[#This Row],[Formfaktor]]=6,3,""))),"")</f>
        <v/>
      </c>
      <c r="AH54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4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45" s="6">
        <v>1</v>
      </c>
      <c r="AK54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545" s="3" t="s">
        <v>1116</v>
      </c>
      <c r="AM545" s="3" t="s">
        <v>1117</v>
      </c>
      <c r="AO545" s="3" t="s">
        <v>200</v>
      </c>
      <c r="AP545" s="3" t="s">
        <v>200</v>
      </c>
      <c r="AU545" s="13"/>
    </row>
    <row r="546" spans="1:49" ht="17.25" customHeight="1">
      <c r="B546" s="348" t="s">
        <v>78</v>
      </c>
      <c r="C546" s="3" t="s">
        <v>78</v>
      </c>
      <c r="D546" s="3" t="s">
        <v>223</v>
      </c>
      <c r="E546" s="10"/>
      <c r="F546" s="3" t="s">
        <v>198</v>
      </c>
      <c r="G546" s="3">
        <v>0.12</v>
      </c>
      <c r="H546" s="74" t="s">
        <v>341</v>
      </c>
      <c r="I546" s="3">
        <v>1.38</v>
      </c>
      <c r="J546" s="3" t="s">
        <v>1109</v>
      </c>
      <c r="K546" s="8" t="s">
        <v>1111</v>
      </c>
      <c r="L546" s="3" t="s">
        <v>223</v>
      </c>
      <c r="M546" s="3" t="s">
        <v>301</v>
      </c>
      <c r="N546" s="3" t="s">
        <v>1130</v>
      </c>
      <c r="O546" s="3" t="s">
        <v>569</v>
      </c>
      <c r="P54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S546" s="4">
        <v>100</v>
      </c>
      <c r="W546" s="12" t="s">
        <v>1179</v>
      </c>
      <c r="X546" s="3" t="s">
        <v>1115</v>
      </c>
      <c r="Y546" s="4">
        <v>20</v>
      </c>
      <c r="Z546" s="4">
        <f>87*365</f>
        <v>31755</v>
      </c>
      <c r="AA546" s="5">
        <f t="shared" si="34"/>
        <v>6.2982207526373799E-4</v>
      </c>
      <c r="AB546" s="5"/>
      <c r="AC54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6" s="5" t="str">
        <f>IF(Tabelle1[[#This Row],[Nicht einbezogen weil…]]="",IFERROR(1000*Tabelle1[[#This Row],[Formfaktor]]/Tabelle1[[#This Row],[Thickness '[mm']]],""),"")</f>
        <v/>
      </c>
      <c r="AE546" s="5" t="str">
        <f>IF(Tabelle1[[#This Row],[Nicht einbezogen weil…]]="",IFERROR(Tabelle1[[#This Row],[specific surface '[m^2/m^3']]]/Tabelle1[[#This Row],[Density 
'[g/cm3']]]/1000000,""),"")</f>
        <v/>
      </c>
      <c r="AF546" s="5" t="str">
        <f>IF(Tabelle1[[#This Row],[Nicht einbezogen weil…]]="",IFERROR(365*10*Tabelle1[[#This Row],[Abbaurate '[%/d']]]*Tabelle1[[#This Row],[Thickness '[mm']]]/Tabelle1[[#This Row],[Formfaktor]],""),"")</f>
        <v/>
      </c>
      <c r="AG546" s="349" t="str">
        <f>IF(OR(Tabelle1[[#This Row],[Nicht einbezogen weil…]]="",Tabelle1[[#This Row],[Nicht einbezogen weil…]]="nicht-natürlich"),IF(Tabelle1[[#This Row],[Formfaktor]]=2, 1,IF(Tabelle1[[#This Row],[Formfaktor]]=4,2,IF(Tabelle1[[#This Row],[Formfaktor]]=6,3,""))),"")</f>
        <v/>
      </c>
      <c r="AH546"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4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46" s="6">
        <v>1</v>
      </c>
      <c r="AK54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546" s="3" t="s">
        <v>1116</v>
      </c>
      <c r="AM546" s="3" t="s">
        <v>1117</v>
      </c>
      <c r="AO546" s="3" t="s">
        <v>200</v>
      </c>
      <c r="AP546" s="3" t="s">
        <v>200</v>
      </c>
      <c r="AU546" s="13"/>
    </row>
    <row r="547" spans="1:49" ht="17.25" customHeight="1">
      <c r="B547" s="348" t="s">
        <v>78</v>
      </c>
      <c r="C547" s="3" t="s">
        <v>78</v>
      </c>
      <c r="D547" s="3" t="s">
        <v>223</v>
      </c>
      <c r="E547" s="10"/>
      <c r="F547" s="3" t="s">
        <v>198</v>
      </c>
      <c r="G547" s="3">
        <v>0.3</v>
      </c>
      <c r="H547" s="74" t="s">
        <v>341</v>
      </c>
      <c r="I547" s="3">
        <v>1.38</v>
      </c>
      <c r="J547" s="3" t="s">
        <v>1112</v>
      </c>
      <c r="K547" s="8" t="s">
        <v>1113</v>
      </c>
      <c r="L547" s="3" t="s">
        <v>223</v>
      </c>
      <c r="M547" s="3" t="s">
        <v>301</v>
      </c>
      <c r="N547" s="3" t="s">
        <v>1129</v>
      </c>
      <c r="O547" s="3" t="s">
        <v>569</v>
      </c>
      <c r="P54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S547" s="4">
        <v>45</v>
      </c>
      <c r="W547" s="12" t="s">
        <v>1179</v>
      </c>
      <c r="X547" s="12" t="s">
        <v>1179</v>
      </c>
      <c r="Y547" s="4">
        <v>50</v>
      </c>
      <c r="Z547" s="4">
        <f>273*365</f>
        <v>99645</v>
      </c>
      <c r="AA547" s="5">
        <f t="shared" si="34"/>
        <v>5.0178132369913192E-4</v>
      </c>
      <c r="AB547" s="5"/>
      <c r="AC54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7" s="5" t="str">
        <f>IF(Tabelle1[[#This Row],[Nicht einbezogen weil…]]="",IFERROR(1000*Tabelle1[[#This Row],[Formfaktor]]/Tabelle1[[#This Row],[Thickness '[mm']]],""),"")</f>
        <v/>
      </c>
      <c r="AE547" s="5" t="str">
        <f>IF(Tabelle1[[#This Row],[Nicht einbezogen weil…]]="",IFERROR(Tabelle1[[#This Row],[specific surface '[m^2/m^3']]]/Tabelle1[[#This Row],[Density 
'[g/cm3']]]/1000000,""),"")</f>
        <v/>
      </c>
      <c r="AF547" s="5" t="str">
        <f>IF(Tabelle1[[#This Row],[Nicht einbezogen weil…]]="",IFERROR(365*10*Tabelle1[[#This Row],[Abbaurate '[%/d']]]*Tabelle1[[#This Row],[Thickness '[mm']]]/Tabelle1[[#This Row],[Formfaktor]],""),"")</f>
        <v/>
      </c>
      <c r="AG547" s="349" t="str">
        <f>IF(OR(Tabelle1[[#This Row],[Nicht einbezogen weil…]]="",Tabelle1[[#This Row],[Nicht einbezogen weil…]]="nicht-natürlich"),IF(Tabelle1[[#This Row],[Formfaktor]]=2, 1,IF(Tabelle1[[#This Row],[Formfaktor]]=4,2,IF(Tabelle1[[#This Row],[Formfaktor]]=6,3,""))),"")</f>
        <v/>
      </c>
      <c r="AH547"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4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47" s="6">
        <v>1</v>
      </c>
      <c r="AK54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547" s="3" t="s">
        <v>910</v>
      </c>
      <c r="AO547" s="3" t="s">
        <v>200</v>
      </c>
      <c r="AP547" s="3" t="s">
        <v>200</v>
      </c>
      <c r="AU547" s="13"/>
    </row>
    <row r="548" spans="1:49" ht="17.25" customHeight="1">
      <c r="B548" s="109" t="s">
        <v>78</v>
      </c>
      <c r="C548" s="3" t="s">
        <v>78</v>
      </c>
      <c r="D548" s="3" t="s">
        <v>223</v>
      </c>
      <c r="E548" s="10"/>
      <c r="F548" s="3" t="s">
        <v>198</v>
      </c>
      <c r="G548" s="3">
        <v>0.2</v>
      </c>
      <c r="H548" s="74" t="s">
        <v>341</v>
      </c>
      <c r="I548" s="3">
        <v>1.38</v>
      </c>
      <c r="J548" s="3" t="s">
        <v>1105</v>
      </c>
      <c r="K548" s="8" t="s">
        <v>1106</v>
      </c>
      <c r="L548" s="3" t="s">
        <v>223</v>
      </c>
      <c r="M548" s="3" t="s">
        <v>301</v>
      </c>
      <c r="N548" s="3" t="s">
        <v>1107</v>
      </c>
      <c r="O548" s="3" t="s">
        <v>358</v>
      </c>
      <c r="P548"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48" s="12" t="s">
        <v>1179</v>
      </c>
      <c r="X548" s="12" t="s">
        <v>1179</v>
      </c>
      <c r="Y548" s="4">
        <v>50</v>
      </c>
      <c r="Z548" s="4">
        <f>30*365</f>
        <v>10950</v>
      </c>
      <c r="AA548" s="5">
        <f t="shared" si="34"/>
        <v>4.5662100456621002E-3</v>
      </c>
      <c r="AB548" s="5"/>
      <c r="AC548"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8" s="5">
        <f>IF(Tabelle1[[#This Row],[Nicht einbezogen weil…]]="",IFERROR(1000*Tabelle1[[#This Row],[Formfaktor]]/Tabelle1[[#This Row],[Thickness '[mm']]],""),"")</f>
        <v>10000</v>
      </c>
      <c r="AE548" s="5">
        <f>IF(Tabelle1[[#This Row],[Nicht einbezogen weil…]]="",IFERROR(Tabelle1[[#This Row],[specific surface '[m^2/m^3']]]/Tabelle1[[#This Row],[Density 
'[g/cm3']]]/1000000,""),"")</f>
        <v>7.2463768115942039E-3</v>
      </c>
      <c r="AF548" s="5">
        <f>IF(Tabelle1[[#This Row],[Nicht einbezogen weil…]]="",IFERROR(365*10*Tabelle1[[#This Row],[Abbaurate '[%/d']]]*Tabelle1[[#This Row],[Thickness '[mm']]]/Tabelle1[[#This Row],[Formfaktor]],""),"")</f>
        <v>1.6666666666666665</v>
      </c>
      <c r="AG548" s="349">
        <f>IF(OR(Tabelle1[[#This Row],[Nicht einbezogen weil…]]="",Tabelle1[[#This Row],[Nicht einbezogen weil…]]="nicht-natürlich"),IF(Tabelle1[[#This Row],[Formfaktor]]=2, 1,IF(Tabelle1[[#This Row],[Formfaktor]]=4,2,IF(Tabelle1[[#This Row],[Formfaktor]]=6,3,""))),"")</f>
        <v>1</v>
      </c>
      <c r="AH548" s="5">
        <f>IF(OR(Tabelle1[[#This Row],[Nicht einbezogen weil…]]="",Tabelle1[[#This Row],[Nicht einbezogen weil…]]="nicht-natürlich"),IFERROR(Tabelle1[[#This Row],[Thickness '[mm']]]/Tabelle1[[#This Row],[Dauer des Abbaus
'[Tage']]]*1000*0.5*365*(1-(1-Tabelle1[[#This Row],[Abbaurate '[%/d']]]/100*Tabelle1[[#This Row],[Dauer des Abbaus
'[Tage']]])^(1/Tabelle1[[#This Row],[Exponent]])),""),"")</f>
        <v>1.6666666666666665</v>
      </c>
      <c r="AI548"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PET_Boden/Kompost_natürlich</v>
      </c>
      <c r="AJ548" s="6">
        <v>1</v>
      </c>
      <c r="AK54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48" s="3" t="s">
        <v>1116</v>
      </c>
      <c r="AM548" s="3" t="s">
        <v>1117</v>
      </c>
      <c r="AO548" s="3" t="s">
        <v>200</v>
      </c>
      <c r="AP548" s="3" t="s">
        <v>200</v>
      </c>
      <c r="AU548" s="13"/>
    </row>
    <row r="549" spans="1:49" ht="17.25" customHeight="1">
      <c r="B549" s="348" t="s">
        <v>78</v>
      </c>
      <c r="C549" s="3" t="s">
        <v>78</v>
      </c>
      <c r="D549" s="3" t="s">
        <v>223</v>
      </c>
      <c r="E549" s="10"/>
      <c r="F549" s="3" t="s">
        <v>198</v>
      </c>
      <c r="G549" s="3">
        <v>0.3</v>
      </c>
      <c r="H549" s="74" t="s">
        <v>341</v>
      </c>
      <c r="I549" s="3">
        <v>1.38</v>
      </c>
      <c r="J549" s="3" t="s">
        <v>1114</v>
      </c>
      <c r="K549" s="8" t="s">
        <v>1113</v>
      </c>
      <c r="L549" s="3" t="s">
        <v>223</v>
      </c>
      <c r="M549" s="3" t="s">
        <v>301</v>
      </c>
      <c r="N549" s="3" t="s">
        <v>1130</v>
      </c>
      <c r="O549" s="3" t="s">
        <v>569</v>
      </c>
      <c r="P54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S549" s="4">
        <v>100</v>
      </c>
      <c r="W549" s="12" t="s">
        <v>1179</v>
      </c>
      <c r="X549" s="12" t="s">
        <v>1179</v>
      </c>
      <c r="Y549" s="4">
        <v>50</v>
      </c>
      <c r="Z549" s="4">
        <f>93*365</f>
        <v>33945</v>
      </c>
      <c r="AA549" s="5">
        <f t="shared" si="34"/>
        <v>1.4729709824716454E-3</v>
      </c>
      <c r="AB549" s="5"/>
      <c r="AC54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49" s="5" t="str">
        <f>IF(Tabelle1[[#This Row],[Nicht einbezogen weil…]]="",IFERROR(1000*Tabelle1[[#This Row],[Formfaktor]]/Tabelle1[[#This Row],[Thickness '[mm']]],""),"")</f>
        <v/>
      </c>
      <c r="AE549" s="5" t="str">
        <f>IF(Tabelle1[[#This Row],[Nicht einbezogen weil…]]="",IFERROR(Tabelle1[[#This Row],[specific surface '[m^2/m^3']]]/Tabelle1[[#This Row],[Density 
'[g/cm3']]]/1000000,""),"")</f>
        <v/>
      </c>
      <c r="AF549" s="5" t="str">
        <f>IF(Tabelle1[[#This Row],[Nicht einbezogen weil…]]="",IFERROR(365*10*Tabelle1[[#This Row],[Abbaurate '[%/d']]]*Tabelle1[[#This Row],[Thickness '[mm']]]/Tabelle1[[#This Row],[Formfaktor]],""),"")</f>
        <v/>
      </c>
      <c r="AG549" s="349" t="str">
        <f>IF(OR(Tabelle1[[#This Row],[Nicht einbezogen weil…]]="",Tabelle1[[#This Row],[Nicht einbezogen weil…]]="nicht-natürlich"),IF(Tabelle1[[#This Row],[Formfaktor]]=2, 1,IF(Tabelle1[[#This Row],[Formfaktor]]=4,2,IF(Tabelle1[[#This Row],[Formfaktor]]=6,3,""))),"")</f>
        <v/>
      </c>
      <c r="AH549"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4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49" s="6">
        <v>1</v>
      </c>
      <c r="AK54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Kompartment irrelevant</v>
      </c>
      <c r="AL549" s="3" t="s">
        <v>910</v>
      </c>
      <c r="AO549" s="3" t="s">
        <v>200</v>
      </c>
      <c r="AP549" s="3" t="s">
        <v>200</v>
      </c>
      <c r="AU549" s="13"/>
    </row>
    <row r="550" spans="1:49" ht="17.25" customHeight="1">
      <c r="A550" s="10" t="s">
        <v>200</v>
      </c>
      <c r="B550" s="109" t="s">
        <v>78</v>
      </c>
      <c r="C550" s="3" t="s">
        <v>78</v>
      </c>
      <c r="D550" s="3" t="s">
        <v>223</v>
      </c>
      <c r="E550" s="10"/>
      <c r="F550" s="3" t="s">
        <v>198</v>
      </c>
      <c r="G550" s="3">
        <v>0.3</v>
      </c>
      <c r="H550" s="74" t="s">
        <v>341</v>
      </c>
      <c r="I550" s="3">
        <v>1.38</v>
      </c>
      <c r="J550" s="3" t="s">
        <v>1114</v>
      </c>
      <c r="K550" s="8" t="s">
        <v>1113</v>
      </c>
      <c r="L550" s="3" t="s">
        <v>223</v>
      </c>
      <c r="M550" s="3" t="s">
        <v>301</v>
      </c>
      <c r="N550" s="3" t="s">
        <v>1107</v>
      </c>
      <c r="O550" s="3" t="s">
        <v>358</v>
      </c>
      <c r="P55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50" s="12" t="s">
        <v>1179</v>
      </c>
      <c r="X550" s="12" t="s">
        <v>1179</v>
      </c>
      <c r="Y550" s="4">
        <v>50</v>
      </c>
      <c r="Z550" s="4">
        <f>180*365</f>
        <v>65700</v>
      </c>
      <c r="AA550" s="5">
        <f t="shared" si="34"/>
        <v>7.6103500761035003E-4</v>
      </c>
      <c r="AB550" s="5"/>
      <c r="AC55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50" s="5">
        <f>IF(Tabelle1[[#This Row],[Nicht einbezogen weil…]]="",IFERROR(1000*Tabelle1[[#This Row],[Formfaktor]]/Tabelle1[[#This Row],[Thickness '[mm']]],""),"")</f>
        <v>6666.666666666667</v>
      </c>
      <c r="AE550" s="5">
        <f>IF(Tabelle1[[#This Row],[Nicht einbezogen weil…]]="",IFERROR(Tabelle1[[#This Row],[specific surface '[m^2/m^3']]]/Tabelle1[[#This Row],[Density 
'[g/cm3']]]/1000000,""),"")</f>
        <v>4.8309178743961359E-3</v>
      </c>
      <c r="AF550" s="5">
        <f>IF(Tabelle1[[#This Row],[Nicht einbezogen weil…]]="",IFERROR(365*10*Tabelle1[[#This Row],[Abbaurate '[%/d']]]*Tabelle1[[#This Row],[Thickness '[mm']]]/Tabelle1[[#This Row],[Formfaktor]],""),"")</f>
        <v>0.41666666666666663</v>
      </c>
      <c r="AG550" s="349">
        <f>IF(OR(Tabelle1[[#This Row],[Nicht einbezogen weil…]]="",Tabelle1[[#This Row],[Nicht einbezogen weil…]]="nicht-natürlich"),IF(Tabelle1[[#This Row],[Formfaktor]]=2, 1,IF(Tabelle1[[#This Row],[Formfaktor]]=4,2,IF(Tabelle1[[#This Row],[Formfaktor]]=6,3,""))),"")</f>
        <v>1</v>
      </c>
      <c r="AH550" s="5">
        <f>IF(OR(Tabelle1[[#This Row],[Nicht einbezogen weil…]]="",Tabelle1[[#This Row],[Nicht einbezogen weil…]]="nicht-natürlich"),IFERROR(Tabelle1[[#This Row],[Thickness '[mm']]]/Tabelle1[[#This Row],[Dauer des Abbaus
'[Tage']]]*1000*0.5*365*(1-(1-Tabelle1[[#This Row],[Abbaurate '[%/d']]]/100*Tabelle1[[#This Row],[Dauer des Abbaus
'[Tage']]])^(1/Tabelle1[[#This Row],[Exponent]])),""),"")</f>
        <v>0.41666666666666663</v>
      </c>
      <c r="AI55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PET_Boden/Kompost_natürlich</v>
      </c>
      <c r="AJ550" s="6">
        <v>1</v>
      </c>
      <c r="AK55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50" s="3" t="s">
        <v>910</v>
      </c>
      <c r="AO550" s="3" t="s">
        <v>200</v>
      </c>
      <c r="AP550" s="3" t="s">
        <v>200</v>
      </c>
      <c r="AU550" s="13"/>
    </row>
    <row r="551" spans="1:49" s="40" customFormat="1" ht="17.25" customHeight="1">
      <c r="A551" s="10" t="s">
        <v>200</v>
      </c>
      <c r="B551" s="109" t="s">
        <v>78</v>
      </c>
      <c r="C551" s="3" t="s">
        <v>78</v>
      </c>
      <c r="D551" s="3" t="s">
        <v>223</v>
      </c>
      <c r="E551" s="10"/>
      <c r="F551" s="3" t="s">
        <v>198</v>
      </c>
      <c r="G551" s="3">
        <v>0.5</v>
      </c>
      <c r="H551" s="3" t="s">
        <v>341</v>
      </c>
      <c r="I551" s="3">
        <v>1.38</v>
      </c>
      <c r="J551" s="3" t="s">
        <v>1122</v>
      </c>
      <c r="K551" s="8" t="s">
        <v>229</v>
      </c>
      <c r="L551" s="3" t="s">
        <v>223</v>
      </c>
      <c r="M551" s="3" t="s">
        <v>200</v>
      </c>
      <c r="N551" s="3" t="s">
        <v>23</v>
      </c>
      <c r="O551" s="3" t="s">
        <v>23</v>
      </c>
      <c r="P55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51" s="4"/>
      <c r="R551" s="4"/>
      <c r="S551" s="4"/>
      <c r="T551" s="4"/>
      <c r="U551" s="4"/>
      <c r="V551" s="4"/>
      <c r="W551" s="3" t="s">
        <v>13</v>
      </c>
      <c r="X551" s="3" t="s">
        <v>1131</v>
      </c>
      <c r="Y551" s="4">
        <v>5</v>
      </c>
      <c r="Z551" s="4">
        <f>18*365</f>
        <v>6570</v>
      </c>
      <c r="AA551" s="5">
        <f t="shared" si="34"/>
        <v>7.6103500761035003E-4</v>
      </c>
      <c r="AB551" s="5"/>
      <c r="AC55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51" s="5">
        <f>IF(Tabelle1[[#This Row],[Nicht einbezogen weil…]]="",IFERROR(1000*Tabelle1[[#This Row],[Formfaktor]]/Tabelle1[[#This Row],[Thickness '[mm']]],""),"")</f>
        <v>4000</v>
      </c>
      <c r="AE551" s="5">
        <f>IF(Tabelle1[[#This Row],[Nicht einbezogen weil…]]="",IFERROR(Tabelle1[[#This Row],[specific surface '[m^2/m^3']]]/Tabelle1[[#This Row],[Density 
'[g/cm3']]]/1000000,""),"")</f>
        <v>2.8985507246376816E-3</v>
      </c>
      <c r="AF551" s="5">
        <f>IF(Tabelle1[[#This Row],[Nicht einbezogen weil…]]="",IFERROR(365*10*Tabelle1[[#This Row],[Abbaurate '[%/d']]]*Tabelle1[[#This Row],[Thickness '[mm']]]/Tabelle1[[#This Row],[Formfaktor]],""),"")</f>
        <v>0.69444444444444442</v>
      </c>
      <c r="AG551" s="328">
        <f>IF(OR(Tabelle1[[#This Row],[Nicht einbezogen weil…]]="",Tabelle1[[#This Row],[Nicht einbezogen weil…]]="nicht-natürlich"),IF(Tabelle1[[#This Row],[Formfaktor]]=2, 1,IF(Tabelle1[[#This Row],[Formfaktor]]=4,2,IF(Tabelle1[[#This Row],[Formfaktor]]=6,3,""))),"")</f>
        <v>1</v>
      </c>
      <c r="AH551" s="5">
        <f>IF(OR(Tabelle1[[#This Row],[Nicht einbezogen weil…]]="",Tabelle1[[#This Row],[Nicht einbezogen weil…]]="nicht-natürlich"),IFERROR(Tabelle1[[#This Row],[Thickness '[mm']]]/Tabelle1[[#This Row],[Dauer des Abbaus
'[Tage']]]*1000*0.5*365*(1-(1-Tabelle1[[#This Row],[Abbaurate '[%/d']]]/100*Tabelle1[[#This Row],[Dauer des Abbaus
'[Tage']]])^(1/Tabelle1[[#This Row],[Exponent]])),""),"")</f>
        <v>0.6944444444444452</v>
      </c>
      <c r="AI55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PET_Meerwasser_natürlich</v>
      </c>
      <c r="AJ551" s="6">
        <v>1</v>
      </c>
      <c r="AK55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51" s="3" t="s">
        <v>1140</v>
      </c>
      <c r="AM551" s="3"/>
      <c r="AN551" s="3"/>
      <c r="AO551" s="3"/>
      <c r="AP551" s="3"/>
      <c r="AQ551" s="3"/>
      <c r="AR551" s="2"/>
      <c r="AS551" s="2"/>
      <c r="AT551" s="10"/>
      <c r="AU551" s="13"/>
      <c r="AV551" s="10"/>
      <c r="AW551" s="10"/>
    </row>
    <row r="552" spans="1:49" s="40" customFormat="1" ht="17.25" customHeight="1">
      <c r="A552" s="40" t="s">
        <v>223</v>
      </c>
      <c r="B552" s="109" t="s">
        <v>18</v>
      </c>
      <c r="C552" s="12" t="s">
        <v>1185</v>
      </c>
      <c r="D552" s="12" t="s">
        <v>200</v>
      </c>
      <c r="E552" s="12" t="s">
        <v>1127</v>
      </c>
      <c r="F552" s="12" t="s">
        <v>996</v>
      </c>
      <c r="G552" s="12">
        <v>8.5000000000000006E-2</v>
      </c>
      <c r="H552" s="3"/>
      <c r="I552" s="12"/>
      <c r="J552" s="12" t="s">
        <v>1184</v>
      </c>
      <c r="K552" s="208" t="s">
        <v>229</v>
      </c>
      <c r="L552" s="12" t="s">
        <v>223</v>
      </c>
      <c r="M552" s="12" t="s">
        <v>301</v>
      </c>
      <c r="N552" s="12" t="s">
        <v>1192</v>
      </c>
      <c r="O552" s="12" t="s">
        <v>358</v>
      </c>
      <c r="P552" s="364"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52" s="366" t="s">
        <v>1190</v>
      </c>
      <c r="R552" s="366" t="s">
        <v>1191</v>
      </c>
      <c r="S552" s="365"/>
      <c r="T552" s="366" t="s">
        <v>123</v>
      </c>
      <c r="U552" s="365"/>
      <c r="V552" s="365" t="s">
        <v>734</v>
      </c>
      <c r="W552" s="12" t="s">
        <v>190</v>
      </c>
      <c r="X552" s="12"/>
      <c r="Y552" s="365">
        <v>90.2</v>
      </c>
      <c r="Z552" s="365">
        <v>120</v>
      </c>
      <c r="AA552" s="367">
        <f t="shared" si="34"/>
        <v>0.75166666666666671</v>
      </c>
      <c r="AB552" s="5"/>
      <c r="AC55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52" s="5" t="str">
        <f>IF(Tabelle1[[#This Row],[Nicht einbezogen weil…]]="",IFERROR(1000*Tabelle1[[#This Row],[Formfaktor]]/Tabelle1[[#This Row],[Thickness '[mm']]],""),"")</f>
        <v/>
      </c>
      <c r="AE552" s="5" t="str">
        <f>IF(Tabelle1[[#This Row],[Nicht einbezogen weil…]]="",IFERROR(Tabelle1[[#This Row],[specific surface '[m^2/m^3']]]/Tabelle1[[#This Row],[Density 
'[g/cm3']]]/1000000,""),"")</f>
        <v/>
      </c>
      <c r="AF552" s="5" t="str">
        <f>IF(Tabelle1[[#This Row],[Nicht einbezogen weil…]]="",IFERROR(365*10*Tabelle1[[#This Row],[Abbaurate '[%/d']]]*Tabelle1[[#This Row],[Thickness '[mm']]]/Tabelle1[[#This Row],[Formfaktor]],""),"")</f>
        <v/>
      </c>
      <c r="AG552" s="328" t="str">
        <f>IF(OR(Tabelle1[[#This Row],[Nicht einbezogen weil…]]="",Tabelle1[[#This Row],[Nicht einbezogen weil…]]="nicht-natürlich"),IF(Tabelle1[[#This Row],[Formfaktor]]=2, 1,IF(Tabelle1[[#This Row],[Formfaktor]]=4,2,IF(Tabelle1[[#This Row],[Formfaktor]]=6,3,""))),"")</f>
        <v/>
      </c>
      <c r="AH552" s="367"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5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52" s="328">
        <v>1</v>
      </c>
      <c r="AK552" s="368"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52" s="12" t="s">
        <v>1183</v>
      </c>
      <c r="AM552" s="3"/>
      <c r="AN552" s="3"/>
      <c r="AO552" s="3"/>
      <c r="AP552" s="3"/>
      <c r="AQ552" s="3"/>
      <c r="AR552" s="2"/>
      <c r="AS552" s="2"/>
      <c r="AT552" s="10"/>
      <c r="AU552" s="13"/>
      <c r="AV552" s="10"/>
    </row>
    <row r="553" spans="1:49" s="40" customFormat="1" ht="17.25" customHeight="1">
      <c r="A553" s="40" t="s">
        <v>200</v>
      </c>
      <c r="B553" s="109" t="s">
        <v>78</v>
      </c>
      <c r="C553" s="12" t="s">
        <v>78</v>
      </c>
      <c r="D553" s="12" t="s">
        <v>223</v>
      </c>
      <c r="E553" s="12"/>
      <c r="F553" s="12" t="s">
        <v>198</v>
      </c>
      <c r="G553" s="12">
        <v>0.3</v>
      </c>
      <c r="H553" s="12" t="s">
        <v>341</v>
      </c>
      <c r="I553" s="12">
        <v>1.38</v>
      </c>
      <c r="J553" s="12" t="s">
        <v>213</v>
      </c>
      <c r="K553" s="208" t="s">
        <v>229</v>
      </c>
      <c r="L553" s="12" t="s">
        <v>223</v>
      </c>
      <c r="M553" s="12" t="s">
        <v>200</v>
      </c>
      <c r="N553" s="12" t="s">
        <v>1178</v>
      </c>
      <c r="O553" s="12" t="s">
        <v>358</v>
      </c>
      <c r="P553" s="364"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53" s="365">
        <v>20</v>
      </c>
      <c r="R553" s="366" t="s">
        <v>1176</v>
      </c>
      <c r="S553" s="365"/>
      <c r="T553" s="365"/>
      <c r="U553" s="365"/>
      <c r="V553" s="365"/>
      <c r="W553" s="12" t="s">
        <v>1179</v>
      </c>
      <c r="X553" s="12" t="s">
        <v>1179</v>
      </c>
      <c r="Y553" s="365">
        <v>5</v>
      </c>
      <c r="Z553" s="365">
        <f>35*365</f>
        <v>12775</v>
      </c>
      <c r="AA553" s="367">
        <f t="shared" si="34"/>
        <v>3.9138943248532291E-4</v>
      </c>
      <c r="AB553" s="5"/>
      <c r="AC55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53" s="5">
        <f>IF(Tabelle1[[#This Row],[Nicht einbezogen weil…]]="",IFERROR(1000*Tabelle1[[#This Row],[Formfaktor]]/Tabelle1[[#This Row],[Thickness '[mm']]],""),"")</f>
        <v>6666.666666666667</v>
      </c>
      <c r="AE553" s="5">
        <f>IF(Tabelle1[[#This Row],[Nicht einbezogen weil…]]="",IFERROR(Tabelle1[[#This Row],[specific surface '[m^2/m^3']]]/Tabelle1[[#This Row],[Density 
'[g/cm3']]]/1000000,""),"")</f>
        <v>4.8309178743961359E-3</v>
      </c>
      <c r="AF553" s="5">
        <f>IF(Tabelle1[[#This Row],[Nicht einbezogen weil…]]="",IFERROR(365*10*Tabelle1[[#This Row],[Abbaurate '[%/d']]]*Tabelle1[[#This Row],[Thickness '[mm']]]/Tabelle1[[#This Row],[Formfaktor]],""),"")</f>
        <v>0.21428571428571427</v>
      </c>
      <c r="AG553" s="349">
        <f>IF(OR(Tabelle1[[#This Row],[Nicht einbezogen weil…]]="",Tabelle1[[#This Row],[Nicht einbezogen weil…]]="nicht-natürlich"),IF(Tabelle1[[#This Row],[Formfaktor]]=2, 1,IF(Tabelle1[[#This Row],[Formfaktor]]=4,2,IF(Tabelle1[[#This Row],[Formfaktor]]=6,3,""))),"")</f>
        <v>1</v>
      </c>
      <c r="AH553" s="367">
        <f>IF(OR(Tabelle1[[#This Row],[Nicht einbezogen weil…]]="",Tabelle1[[#This Row],[Nicht einbezogen weil…]]="nicht-natürlich"),IFERROR(Tabelle1[[#This Row],[Thickness '[mm']]]/Tabelle1[[#This Row],[Dauer des Abbaus
'[Tage']]]*1000*0.5*365*(1-(1-Tabelle1[[#This Row],[Abbaurate '[%/d']]]/100*Tabelle1[[#This Row],[Dauer des Abbaus
'[Tage']]])^(1/Tabelle1[[#This Row],[Exponent]])),""),"")</f>
        <v>0.21428571428571452</v>
      </c>
      <c r="AI55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PET_Boden/Kompost_natürlich</v>
      </c>
      <c r="AJ553" s="328">
        <v>1</v>
      </c>
      <c r="AK553" s="368"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53" s="12" t="s">
        <v>1177</v>
      </c>
      <c r="AM553" s="3"/>
      <c r="AN553" s="3"/>
      <c r="AO553" s="3"/>
      <c r="AP553" s="3"/>
      <c r="AQ553" s="3"/>
      <c r="AR553" s="2"/>
      <c r="AS553" s="2"/>
      <c r="AT553" s="10"/>
      <c r="AU553" s="13"/>
      <c r="AV553" s="10"/>
      <c r="AW553" s="40" t="s">
        <v>775</v>
      </c>
    </row>
    <row r="554" spans="1:49" s="40" customFormat="1" ht="17.25" customHeight="1">
      <c r="A554" s="10"/>
      <c r="B554" s="109" t="s">
        <v>20</v>
      </c>
      <c r="C554" s="3" t="s">
        <v>20</v>
      </c>
      <c r="D554" s="3" t="s">
        <v>223</v>
      </c>
      <c r="E554" s="10"/>
      <c r="F554" s="3" t="s">
        <v>288</v>
      </c>
      <c r="G554" s="3">
        <v>1</v>
      </c>
      <c r="H554" s="3">
        <f>0.05*0.03</f>
        <v>1.5E-3</v>
      </c>
      <c r="I554" s="3" t="s">
        <v>341</v>
      </c>
      <c r="J554" s="3"/>
      <c r="K554" s="8"/>
      <c r="L554" s="3"/>
      <c r="M554" s="3" t="s">
        <v>200</v>
      </c>
      <c r="N554" s="3" t="s">
        <v>618</v>
      </c>
      <c r="O554" s="3" t="s">
        <v>358</v>
      </c>
      <c r="P55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54" s="4"/>
      <c r="R554" s="4"/>
      <c r="S554" s="4"/>
      <c r="T554" s="4">
        <v>35</v>
      </c>
      <c r="U554" s="4"/>
      <c r="V554" s="4"/>
      <c r="W554" s="3" t="s">
        <v>13</v>
      </c>
      <c r="X554" s="3"/>
      <c r="Y554" s="4">
        <v>30</v>
      </c>
      <c r="Z554" s="4">
        <v>60</v>
      </c>
      <c r="AA554" s="5">
        <f t="shared" si="34"/>
        <v>0.5</v>
      </c>
      <c r="AB554" s="5"/>
      <c r="AC55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54" s="97">
        <f>IF(Tabelle1[[#This Row],[Nicht einbezogen weil…]]="",IFERROR(1000*Tabelle1[[#This Row],[Formfaktor]]/Tabelle1[[#This Row],[Thickness '[mm']]],""),"")</f>
        <v>2000</v>
      </c>
      <c r="AE554" s="98" t="str">
        <f>IF(Tabelle1[[#This Row],[Nicht einbezogen weil…]]="",IFERROR(Tabelle1[[#This Row],[specific surface '[m^2/m^3']]]/Tabelle1[[#This Row],[Density 
'[g/cm3']]]/1000000,""),"")</f>
        <v/>
      </c>
      <c r="AF554" s="97">
        <f>IF(Tabelle1[[#This Row],[Nicht einbezogen weil…]]="",IFERROR(365*10*Tabelle1[[#This Row],[Abbaurate '[%/d']]]*Tabelle1[[#This Row],[Thickness '[mm']]]/Tabelle1[[#This Row],[Formfaktor]],""),"")</f>
        <v>912.5</v>
      </c>
      <c r="AG554" s="99">
        <f>IF(OR(Tabelle1[[#This Row],[Nicht einbezogen weil…]]="",Tabelle1[[#This Row],[Nicht einbezogen weil…]]="nicht-natürlich"),IF(Tabelle1[[#This Row],[Formfaktor]]=2, 1,IF(Tabelle1[[#This Row],[Formfaktor]]=4,2,IF(Tabelle1[[#This Row],[Formfaktor]]=6,3,""))),"")</f>
        <v>1</v>
      </c>
      <c r="AH554" s="97">
        <f>IF(OR(Tabelle1[[#This Row],[Nicht einbezogen weil…]]="",Tabelle1[[#This Row],[Nicht einbezogen weil…]]="nicht-natürlich"),IFERROR(Tabelle1[[#This Row],[Thickness '[mm']]]/Tabelle1[[#This Row],[Dauer des Abbaus
'[Tage']]]*1000*0.5*365*(1-(1-Tabelle1[[#This Row],[Abbaurate '[%/d']]]/100*Tabelle1[[#This Row],[Dauer des Abbaus
'[Tage']]])^(1/Tabelle1[[#This Row],[Exponent]])),""),"")</f>
        <v>912.50000000000023</v>
      </c>
      <c r="AI55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PHA_Boden/Kompost_natürlich</v>
      </c>
      <c r="AJ554" s="71">
        <v>1</v>
      </c>
      <c r="AK55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54" s="3" t="s">
        <v>156</v>
      </c>
      <c r="AM554" s="3" t="s">
        <v>196</v>
      </c>
      <c r="AN554" s="3" t="s">
        <v>538</v>
      </c>
      <c r="AO554" s="3" t="s">
        <v>235</v>
      </c>
      <c r="AP554" s="3" t="s">
        <v>235</v>
      </c>
      <c r="AQ554" s="3"/>
      <c r="AR554" s="2"/>
      <c r="AS554" s="2"/>
      <c r="AT554" s="10" t="s">
        <v>223</v>
      </c>
      <c r="AU554" s="13" t="s">
        <v>200</v>
      </c>
      <c r="AV554" s="10"/>
      <c r="AW554" s="10"/>
    </row>
    <row r="555" spans="1:49" ht="17.25" customHeight="1">
      <c r="A555" s="40" t="s">
        <v>223</v>
      </c>
      <c r="B555" s="109" t="s">
        <v>18</v>
      </c>
      <c r="C555" s="12" t="s">
        <v>1185</v>
      </c>
      <c r="D555" s="12" t="s">
        <v>200</v>
      </c>
      <c r="E555" s="12" t="s">
        <v>1127</v>
      </c>
      <c r="F555" s="12" t="s">
        <v>996</v>
      </c>
      <c r="G555" s="12">
        <v>8.5000000000000006E-2</v>
      </c>
      <c r="J555" s="12" t="s">
        <v>1184</v>
      </c>
      <c r="K555" s="208" t="s">
        <v>229</v>
      </c>
      <c r="L555" s="12" t="s">
        <v>223</v>
      </c>
      <c r="M555" s="12" t="s">
        <v>301</v>
      </c>
      <c r="N555" s="12" t="s">
        <v>1193</v>
      </c>
      <c r="O555" s="12" t="s">
        <v>358</v>
      </c>
      <c r="P555" s="364"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55" s="366" t="s">
        <v>1190</v>
      </c>
      <c r="R555" s="366" t="s">
        <v>1191</v>
      </c>
      <c r="S555" s="365"/>
      <c r="T555" s="366" t="s">
        <v>123</v>
      </c>
      <c r="U555" s="365"/>
      <c r="V555" s="365" t="s">
        <v>734</v>
      </c>
      <c r="W555" s="12" t="s">
        <v>190</v>
      </c>
      <c r="X555" s="12"/>
      <c r="Y555" s="4">
        <v>82.6</v>
      </c>
      <c r="Z555" s="4">
        <v>210</v>
      </c>
      <c r="AA555" s="5">
        <f t="shared" si="34"/>
        <v>0.39333333333333331</v>
      </c>
      <c r="AB555" s="5"/>
      <c r="AC55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55" s="5" t="str">
        <f>IF(Tabelle1[[#This Row],[Nicht einbezogen weil…]]="",IFERROR(1000*Tabelle1[[#This Row],[Formfaktor]]/Tabelle1[[#This Row],[Thickness '[mm']]],""),"")</f>
        <v/>
      </c>
      <c r="AE555" s="5" t="str">
        <f>IF(Tabelle1[[#This Row],[Nicht einbezogen weil…]]="",IFERROR(Tabelle1[[#This Row],[specific surface '[m^2/m^3']]]/Tabelle1[[#This Row],[Density 
'[g/cm3']]]/1000000,""),"")</f>
        <v/>
      </c>
      <c r="AF555" s="5" t="str">
        <f>IF(Tabelle1[[#This Row],[Nicht einbezogen weil…]]="",IFERROR(365*10*Tabelle1[[#This Row],[Abbaurate '[%/d']]]*Tabelle1[[#This Row],[Thickness '[mm']]]/Tabelle1[[#This Row],[Formfaktor]],""),"")</f>
        <v/>
      </c>
      <c r="AG555" s="328" t="str">
        <f>IF(OR(Tabelle1[[#This Row],[Nicht einbezogen weil…]]="",Tabelle1[[#This Row],[Nicht einbezogen weil…]]="nicht-natürlich"),IF(Tabelle1[[#This Row],[Formfaktor]]=2, 1,IF(Tabelle1[[#This Row],[Formfaktor]]=4,2,IF(Tabelle1[[#This Row],[Formfaktor]]=6,3,""))),"")</f>
        <v/>
      </c>
      <c r="AH55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5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55" s="6">
        <v>1</v>
      </c>
      <c r="AK55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55" s="12" t="s">
        <v>1183</v>
      </c>
      <c r="AU555" s="13"/>
    </row>
    <row r="556" spans="1:49" ht="17.25" customHeight="1">
      <c r="B556" s="109" t="s">
        <v>20</v>
      </c>
      <c r="C556" s="3" t="s">
        <v>20</v>
      </c>
      <c r="D556" s="3" t="s">
        <v>223</v>
      </c>
      <c r="E556" s="10"/>
      <c r="F556" s="3" t="s">
        <v>198</v>
      </c>
      <c r="G556" s="3">
        <v>8.5000000000000006E-2</v>
      </c>
      <c r="H556" s="3" t="s">
        <v>341</v>
      </c>
      <c r="I556" s="3" t="s">
        <v>341</v>
      </c>
      <c r="J556" s="3" t="s">
        <v>1066</v>
      </c>
      <c r="K556" s="8" t="s">
        <v>229</v>
      </c>
      <c r="M556" s="3" t="s">
        <v>200</v>
      </c>
      <c r="N556" s="3" t="s">
        <v>1068</v>
      </c>
      <c r="O556" s="3" t="s">
        <v>23</v>
      </c>
      <c r="P55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56" s="9" t="s">
        <v>1072</v>
      </c>
      <c r="R556" s="9" t="s">
        <v>1075</v>
      </c>
      <c r="W556" s="3" t="s">
        <v>13</v>
      </c>
      <c r="X556" s="3" t="s">
        <v>1067</v>
      </c>
      <c r="Y556" s="4">
        <v>65</v>
      </c>
      <c r="Z556" s="4">
        <v>678</v>
      </c>
      <c r="AA556" s="5">
        <f t="shared" si="34"/>
        <v>9.5870206489675522E-2</v>
      </c>
      <c r="AB556" s="5"/>
      <c r="AC55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56" s="5">
        <f>IF(Tabelle1[[#This Row],[Nicht einbezogen weil…]]="",IFERROR(1000*Tabelle1[[#This Row],[Formfaktor]]/Tabelle1[[#This Row],[Thickness '[mm']]],""),"")</f>
        <v>23529.411764705881</v>
      </c>
      <c r="AE556" s="5" t="str">
        <f>IF(Tabelle1[[#This Row],[Nicht einbezogen weil…]]="",IFERROR(Tabelle1[[#This Row],[specific surface '[m^2/m^3']]]/Tabelle1[[#This Row],[Density 
'[g/cm3']]]/1000000,""),"")</f>
        <v/>
      </c>
      <c r="AF556" s="5">
        <f>IF(Tabelle1[[#This Row],[Nicht einbezogen weil…]]="",IFERROR(365*10*Tabelle1[[#This Row],[Abbaurate '[%/d']]]*Tabelle1[[#This Row],[Thickness '[mm']]]/Tabelle1[[#This Row],[Formfaktor]],""),"")</f>
        <v>14.871865781710916</v>
      </c>
      <c r="AG556" s="328">
        <f>IF(OR(Tabelle1[[#This Row],[Nicht einbezogen weil…]]="",Tabelle1[[#This Row],[Nicht einbezogen weil…]]="nicht-natürlich"),IF(Tabelle1[[#This Row],[Formfaktor]]=2, 1,IF(Tabelle1[[#This Row],[Formfaktor]]=4,2,IF(Tabelle1[[#This Row],[Formfaktor]]=6,3,""))),"")</f>
        <v>1</v>
      </c>
      <c r="AH556" s="5">
        <f>IF(OR(Tabelle1[[#This Row],[Nicht einbezogen weil…]]="",Tabelle1[[#This Row],[Nicht einbezogen weil…]]="nicht-natürlich"),IFERROR(Tabelle1[[#This Row],[Thickness '[mm']]]/Tabelle1[[#This Row],[Dauer des Abbaus
'[Tage']]]*1000*0.5*365*(1-(1-Tabelle1[[#This Row],[Abbaurate '[%/d']]]/100*Tabelle1[[#This Row],[Dauer des Abbaus
'[Tage']]])^(1/Tabelle1[[#This Row],[Exponent]])),""),"")</f>
        <v>14.871865781710916</v>
      </c>
      <c r="AI55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PHA_Meerwasser_natürlich</v>
      </c>
      <c r="AJ556" s="6">
        <v>1</v>
      </c>
      <c r="AK55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56" s="3" t="s">
        <v>1076</v>
      </c>
      <c r="AN556" s="3" t="s">
        <v>1065</v>
      </c>
      <c r="AO556" s="3" t="s">
        <v>200</v>
      </c>
      <c r="AP556" s="3" t="s">
        <v>200</v>
      </c>
      <c r="AT556" s="10" t="s">
        <v>223</v>
      </c>
      <c r="AU556" s="13" t="s">
        <v>200</v>
      </c>
    </row>
    <row r="557" spans="1:49" ht="17.25" customHeight="1">
      <c r="B557" s="109" t="s">
        <v>20</v>
      </c>
      <c r="C557" s="3" t="s">
        <v>20</v>
      </c>
      <c r="D557" s="3" t="s">
        <v>223</v>
      </c>
      <c r="E557" s="10"/>
      <c r="F557" s="3" t="s">
        <v>198</v>
      </c>
      <c r="G557" s="3">
        <v>8.5000000000000006E-2</v>
      </c>
      <c r="H557" s="3" t="s">
        <v>341</v>
      </c>
      <c r="I557" s="3" t="s">
        <v>341</v>
      </c>
      <c r="J557" s="3" t="s">
        <v>1066</v>
      </c>
      <c r="K557" s="8" t="s">
        <v>229</v>
      </c>
      <c r="M557" s="3" t="s">
        <v>200</v>
      </c>
      <c r="N557" s="3" t="s">
        <v>1069</v>
      </c>
      <c r="O557" s="3" t="s">
        <v>23</v>
      </c>
      <c r="P55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57" s="9" t="s">
        <v>1073</v>
      </c>
      <c r="R557" s="4">
        <v>8.1999999999999993</v>
      </c>
      <c r="W557" s="3" t="s">
        <v>13</v>
      </c>
      <c r="X557" s="3" t="s">
        <v>1067</v>
      </c>
      <c r="Y557" s="4">
        <v>75</v>
      </c>
      <c r="Z557" s="4">
        <v>678</v>
      </c>
      <c r="AA557" s="5">
        <f t="shared" si="34"/>
        <v>0.11061946902654868</v>
      </c>
      <c r="AB557" s="5"/>
      <c r="AC55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57" s="5">
        <f>IF(Tabelle1[[#This Row],[Nicht einbezogen weil…]]="",IFERROR(1000*Tabelle1[[#This Row],[Formfaktor]]/Tabelle1[[#This Row],[Thickness '[mm']]],""),"")</f>
        <v>23529.411764705881</v>
      </c>
      <c r="AE557" s="5" t="str">
        <f>IF(Tabelle1[[#This Row],[Nicht einbezogen weil…]]="",IFERROR(Tabelle1[[#This Row],[specific surface '[m^2/m^3']]]/Tabelle1[[#This Row],[Density 
'[g/cm3']]]/1000000,""),"")</f>
        <v/>
      </c>
      <c r="AF557" s="5">
        <f>IF(Tabelle1[[#This Row],[Nicht einbezogen weil…]]="",IFERROR(365*10*Tabelle1[[#This Row],[Abbaurate '[%/d']]]*Tabelle1[[#This Row],[Thickness '[mm']]]/Tabelle1[[#This Row],[Formfaktor]],""),"")</f>
        <v>17.159845132743364</v>
      </c>
      <c r="AG557" s="328">
        <f>IF(OR(Tabelle1[[#This Row],[Nicht einbezogen weil…]]="",Tabelle1[[#This Row],[Nicht einbezogen weil…]]="nicht-natürlich"),IF(Tabelle1[[#This Row],[Formfaktor]]=2, 1,IF(Tabelle1[[#This Row],[Formfaktor]]=4,2,IF(Tabelle1[[#This Row],[Formfaktor]]=6,3,""))),"")</f>
        <v>1</v>
      </c>
      <c r="AH557" s="5">
        <f>IF(OR(Tabelle1[[#This Row],[Nicht einbezogen weil…]]="",Tabelle1[[#This Row],[Nicht einbezogen weil…]]="nicht-natürlich"),IFERROR(Tabelle1[[#This Row],[Thickness '[mm']]]/Tabelle1[[#This Row],[Dauer des Abbaus
'[Tage']]]*1000*0.5*365*(1-(1-Tabelle1[[#This Row],[Abbaurate '[%/d']]]/100*Tabelle1[[#This Row],[Dauer des Abbaus
'[Tage']]])^(1/Tabelle1[[#This Row],[Exponent]])),""),"")</f>
        <v>17.159845132743364</v>
      </c>
      <c r="AI55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PHA_Meerwasser_natürlich</v>
      </c>
      <c r="AJ557" s="6">
        <v>1</v>
      </c>
      <c r="AK55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57" s="3" t="s">
        <v>1076</v>
      </c>
      <c r="AN557" s="3" t="s">
        <v>1065</v>
      </c>
      <c r="AO557" s="3" t="s">
        <v>200</v>
      </c>
      <c r="AP557" s="3" t="s">
        <v>200</v>
      </c>
      <c r="AT557" s="10" t="s">
        <v>223</v>
      </c>
      <c r="AU557" s="13" t="s">
        <v>200</v>
      </c>
    </row>
    <row r="558" spans="1:49" ht="17.25" customHeight="1">
      <c r="B558" s="109" t="s">
        <v>20</v>
      </c>
      <c r="C558" s="3" t="s">
        <v>20</v>
      </c>
      <c r="D558" s="3" t="s">
        <v>223</v>
      </c>
      <c r="E558" s="10"/>
      <c r="F558" s="3" t="s">
        <v>198</v>
      </c>
      <c r="G558" s="3">
        <v>8.5000000000000006E-2</v>
      </c>
      <c r="H558" s="3" t="s">
        <v>341</v>
      </c>
      <c r="I558" s="3" t="s">
        <v>341</v>
      </c>
      <c r="J558" s="3" t="s">
        <v>1066</v>
      </c>
      <c r="K558" s="8" t="s">
        <v>229</v>
      </c>
      <c r="M558" s="3" t="s">
        <v>200</v>
      </c>
      <c r="N558" s="3" t="s">
        <v>1070</v>
      </c>
      <c r="O558" s="3" t="s">
        <v>1104</v>
      </c>
      <c r="P558"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58" s="9" t="s">
        <v>1074</v>
      </c>
      <c r="R558" s="4">
        <v>8.1999999999999993</v>
      </c>
      <c r="W558" s="3" t="s">
        <v>13</v>
      </c>
      <c r="X558" s="3" t="s">
        <v>1067</v>
      </c>
      <c r="Y558" s="4">
        <v>1</v>
      </c>
      <c r="Z558" s="4">
        <v>678</v>
      </c>
      <c r="AA558" s="5">
        <f t="shared" si="34"/>
        <v>1.4749262536873156E-3</v>
      </c>
      <c r="AB558" s="5"/>
      <c r="AC558"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58" s="5">
        <f>IF(Tabelle1[[#This Row],[Nicht einbezogen weil…]]="",IFERROR(1000*Tabelle1[[#This Row],[Formfaktor]]/Tabelle1[[#This Row],[Thickness '[mm']]],""),"")</f>
        <v>23529.411764705881</v>
      </c>
      <c r="AE558" s="5" t="str">
        <f>IF(Tabelle1[[#This Row],[Nicht einbezogen weil…]]="",IFERROR(Tabelle1[[#This Row],[specific surface '[m^2/m^3']]]/Tabelle1[[#This Row],[Density 
'[g/cm3']]]/1000000,""),"")</f>
        <v/>
      </c>
      <c r="AF558" s="5">
        <f>IF(Tabelle1[[#This Row],[Nicht einbezogen weil…]]="",IFERROR(365*10*Tabelle1[[#This Row],[Abbaurate '[%/d']]]*Tabelle1[[#This Row],[Thickness '[mm']]]/Tabelle1[[#This Row],[Formfaktor]],""),"")</f>
        <v>0.22879793510324484</v>
      </c>
      <c r="AG558" s="328">
        <f>IF(OR(Tabelle1[[#This Row],[Nicht einbezogen weil…]]="",Tabelle1[[#This Row],[Nicht einbezogen weil…]]="nicht-natürlich"),IF(Tabelle1[[#This Row],[Formfaktor]]=2, 1,IF(Tabelle1[[#This Row],[Formfaktor]]=4,2,IF(Tabelle1[[#This Row],[Formfaktor]]=6,3,""))),"")</f>
        <v>1</v>
      </c>
      <c r="AH558" s="5">
        <f>IF(OR(Tabelle1[[#This Row],[Nicht einbezogen weil…]]="",Tabelle1[[#This Row],[Nicht einbezogen weil…]]="nicht-natürlich"),IFERROR(Tabelle1[[#This Row],[Thickness '[mm']]]/Tabelle1[[#This Row],[Dauer des Abbaus
'[Tage']]]*1000*0.5*365*(1-(1-Tabelle1[[#This Row],[Abbaurate '[%/d']]]/100*Tabelle1[[#This Row],[Dauer des Abbaus
'[Tage']]])^(1/Tabelle1[[#This Row],[Exponent]])),""),"")</f>
        <v>0.22879793510324506</v>
      </c>
      <c r="AI558"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PHA_Benthic_natürlich</v>
      </c>
      <c r="AJ558" s="6">
        <v>1</v>
      </c>
      <c r="AK55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58" s="3" t="s">
        <v>1076</v>
      </c>
      <c r="AN558" s="3" t="s">
        <v>1065</v>
      </c>
      <c r="AO558" s="3" t="s">
        <v>200</v>
      </c>
      <c r="AP558" s="3" t="s">
        <v>200</v>
      </c>
      <c r="AT558" s="10" t="s">
        <v>223</v>
      </c>
      <c r="AU558" s="13" t="s">
        <v>200</v>
      </c>
    </row>
    <row r="559" spans="1:49" ht="17.25" customHeight="1">
      <c r="B559" s="109" t="s">
        <v>20</v>
      </c>
      <c r="C559" s="3" t="s">
        <v>20</v>
      </c>
      <c r="D559" s="3" t="s">
        <v>223</v>
      </c>
      <c r="E559" s="10"/>
      <c r="F559" s="3" t="s">
        <v>198</v>
      </c>
      <c r="G559" s="3">
        <v>8.5000000000000006E-2</v>
      </c>
      <c r="H559" s="3" t="s">
        <v>341</v>
      </c>
      <c r="I559" s="3" t="s">
        <v>341</v>
      </c>
      <c r="J559" s="3" t="s">
        <v>1066</v>
      </c>
      <c r="K559" s="8" t="s">
        <v>229</v>
      </c>
      <c r="M559" s="3" t="s">
        <v>200</v>
      </c>
      <c r="N559" s="3" t="s">
        <v>1071</v>
      </c>
      <c r="O559" s="3" t="s">
        <v>1104</v>
      </c>
      <c r="P55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59" s="4">
        <v>28.6</v>
      </c>
      <c r="R559" s="4">
        <v>8.1</v>
      </c>
      <c r="W559" s="3" t="s">
        <v>13</v>
      </c>
      <c r="X559" s="3" t="s">
        <v>1067</v>
      </c>
      <c r="Y559" s="4">
        <v>61.2</v>
      </c>
      <c r="Z559" s="4">
        <v>64</v>
      </c>
      <c r="AA559" s="5">
        <f t="shared" si="34"/>
        <v>0.95625000000000004</v>
      </c>
      <c r="AB559" s="5"/>
      <c r="AC55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59" s="5">
        <f>IF(Tabelle1[[#This Row],[Nicht einbezogen weil…]]="",IFERROR(1000*Tabelle1[[#This Row],[Formfaktor]]/Tabelle1[[#This Row],[Thickness '[mm']]],""),"")</f>
        <v>23529.411764705881</v>
      </c>
      <c r="AE559" s="5" t="str">
        <f>IF(Tabelle1[[#This Row],[Nicht einbezogen weil…]]="",IFERROR(Tabelle1[[#This Row],[specific surface '[m^2/m^3']]]/Tabelle1[[#This Row],[Density 
'[g/cm3']]]/1000000,""),"")</f>
        <v/>
      </c>
      <c r="AF559" s="5">
        <f>IF(Tabelle1[[#This Row],[Nicht einbezogen weil…]]="",IFERROR(365*10*Tabelle1[[#This Row],[Abbaurate '[%/d']]]*Tabelle1[[#This Row],[Thickness '[mm']]]/Tabelle1[[#This Row],[Formfaktor]],""),"")</f>
        <v>148.33828125000002</v>
      </c>
      <c r="AG559" s="328">
        <f>IF(OR(Tabelle1[[#This Row],[Nicht einbezogen weil…]]="",Tabelle1[[#This Row],[Nicht einbezogen weil…]]="nicht-natürlich"),IF(Tabelle1[[#This Row],[Formfaktor]]=2, 1,IF(Tabelle1[[#This Row],[Formfaktor]]=4,2,IF(Tabelle1[[#This Row],[Formfaktor]]=6,3,""))),"")</f>
        <v>1</v>
      </c>
      <c r="AH559" s="5">
        <f>IF(OR(Tabelle1[[#This Row],[Nicht einbezogen weil…]]="",Tabelle1[[#This Row],[Nicht einbezogen weil…]]="nicht-natürlich"),IFERROR(Tabelle1[[#This Row],[Thickness '[mm']]]/Tabelle1[[#This Row],[Dauer des Abbaus
'[Tage']]]*1000*0.5*365*(1-(1-Tabelle1[[#This Row],[Abbaurate '[%/d']]]/100*Tabelle1[[#This Row],[Dauer des Abbaus
'[Tage']]])^(1/Tabelle1[[#This Row],[Exponent]])),""),"")</f>
        <v>148.33828124999999</v>
      </c>
      <c r="AI55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PHA_Benthic_natürlich</v>
      </c>
      <c r="AJ559" s="6">
        <v>1</v>
      </c>
      <c r="AK55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59" s="3" t="s">
        <v>1076</v>
      </c>
      <c r="AN559" s="3" t="s">
        <v>1065</v>
      </c>
      <c r="AO559" s="3" t="s">
        <v>200</v>
      </c>
      <c r="AP559" s="3" t="s">
        <v>200</v>
      </c>
      <c r="AT559" s="10" t="s">
        <v>223</v>
      </c>
      <c r="AU559" s="13" t="s">
        <v>200</v>
      </c>
    </row>
    <row r="560" spans="1:49" ht="17.25" customHeight="1">
      <c r="B560" s="7" t="s">
        <v>19</v>
      </c>
      <c r="C560" s="3" t="s">
        <v>1195</v>
      </c>
      <c r="D560" s="3" t="s">
        <v>223</v>
      </c>
      <c r="F560" s="3" t="s">
        <v>288</v>
      </c>
      <c r="G560" s="3" t="s">
        <v>341</v>
      </c>
      <c r="L560" s="3" t="s">
        <v>229</v>
      </c>
      <c r="M560" s="3" t="s">
        <v>223</v>
      </c>
      <c r="N560" s="3" t="s">
        <v>1198</v>
      </c>
      <c r="O560" s="3" t="s">
        <v>358</v>
      </c>
      <c r="P56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60" s="3" t="s">
        <v>190</v>
      </c>
      <c r="Y560" s="4">
        <v>35</v>
      </c>
      <c r="Z560" s="4">
        <v>125</v>
      </c>
      <c r="AA560" s="5">
        <f t="shared" si="34"/>
        <v>0.28000000000000003</v>
      </c>
      <c r="AB560" s="5"/>
      <c r="AC56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60" s="5" t="str">
        <f>IF(Tabelle1[[#This Row],[Nicht einbezogen weil…]]="",IFERROR(1000*Tabelle1[[#This Row],[Formfaktor]]/Tabelle1[[#This Row],[Thickness '[mm']]],""),"")</f>
        <v/>
      </c>
      <c r="AE560" s="5" t="str">
        <f>IF(Tabelle1[[#This Row],[Nicht einbezogen weil…]]="",IFERROR(Tabelle1[[#This Row],[specific surface '[m^2/m^3']]]/Tabelle1[[#This Row],[Density 
'[g/cm3']]]/1000000,""),"")</f>
        <v/>
      </c>
      <c r="AF560" s="5" t="str">
        <f>IF(Tabelle1[[#This Row],[Nicht einbezogen weil…]]="",IFERROR(365*10*Tabelle1[[#This Row],[Abbaurate '[%/d']]]*Tabelle1[[#This Row],[Thickness '[mm']]]/Tabelle1[[#This Row],[Formfaktor]],""),"")</f>
        <v/>
      </c>
      <c r="AG560" s="328" t="str">
        <f>IF(OR(Tabelle1[[#This Row],[Nicht einbezogen weil…]]="",Tabelle1[[#This Row],[Nicht einbezogen weil…]]="nicht-natürlich"),IF(Tabelle1[[#This Row],[Formfaktor]]=2, 1,IF(Tabelle1[[#This Row],[Formfaktor]]=4,2,IF(Tabelle1[[#This Row],[Formfaktor]]=6,3,""))),"")</f>
        <v/>
      </c>
      <c r="AH560"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6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60" s="6">
        <v>1</v>
      </c>
      <c r="AK56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60" s="3" t="s">
        <v>1200</v>
      </c>
      <c r="AU560" s="13"/>
    </row>
    <row r="561" spans="1:49" ht="17.25" customHeight="1">
      <c r="B561" s="7" t="s">
        <v>48</v>
      </c>
      <c r="C561" s="3" t="s">
        <v>1196</v>
      </c>
      <c r="D561" s="3" t="s">
        <v>223</v>
      </c>
      <c r="F561" s="3" t="s">
        <v>288</v>
      </c>
      <c r="G561" s="3" t="s">
        <v>341</v>
      </c>
      <c r="L561" s="3" t="s">
        <v>229</v>
      </c>
      <c r="M561" s="3" t="s">
        <v>223</v>
      </c>
      <c r="N561" s="3" t="s">
        <v>1198</v>
      </c>
      <c r="O561" s="3" t="s">
        <v>358</v>
      </c>
      <c r="P56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61" s="3" t="s">
        <v>190</v>
      </c>
      <c r="Y561" s="4">
        <v>20</v>
      </c>
      <c r="Z561" s="4">
        <v>125</v>
      </c>
      <c r="AA561" s="5">
        <f t="shared" si="34"/>
        <v>0.16</v>
      </c>
      <c r="AB561" s="5"/>
      <c r="AC56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61" s="5" t="str">
        <f>IF(Tabelle1[[#This Row],[Nicht einbezogen weil…]]="",IFERROR(1000*Tabelle1[[#This Row],[Formfaktor]]/Tabelle1[[#This Row],[Thickness '[mm']]],""),"")</f>
        <v/>
      </c>
      <c r="AE561" s="5" t="str">
        <f>IF(Tabelle1[[#This Row],[Nicht einbezogen weil…]]="",IFERROR(Tabelle1[[#This Row],[specific surface '[m^2/m^3']]]/Tabelle1[[#This Row],[Density 
'[g/cm3']]]/1000000,""),"")</f>
        <v/>
      </c>
      <c r="AF561" s="5" t="str">
        <f>IF(Tabelle1[[#This Row],[Nicht einbezogen weil…]]="",IFERROR(365*10*Tabelle1[[#This Row],[Abbaurate '[%/d']]]*Tabelle1[[#This Row],[Thickness '[mm']]]/Tabelle1[[#This Row],[Formfaktor]],""),"")</f>
        <v/>
      </c>
      <c r="AG561" s="328" t="str">
        <f>IF(OR(Tabelle1[[#This Row],[Nicht einbezogen weil…]]="",Tabelle1[[#This Row],[Nicht einbezogen weil…]]="nicht-natürlich"),IF(Tabelle1[[#This Row],[Formfaktor]]=2, 1,IF(Tabelle1[[#This Row],[Formfaktor]]=4,2,IF(Tabelle1[[#This Row],[Formfaktor]]=6,3,""))),"")</f>
        <v/>
      </c>
      <c r="AH561"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6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61" s="6">
        <v>1</v>
      </c>
      <c r="AK56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61" s="3" t="s">
        <v>1200</v>
      </c>
      <c r="AU561" s="13"/>
    </row>
    <row r="562" spans="1:49" ht="17.25" customHeight="1">
      <c r="B562" s="7" t="s">
        <v>330</v>
      </c>
      <c r="C562" s="3" t="s">
        <v>330</v>
      </c>
      <c r="D562" s="3" t="s">
        <v>223</v>
      </c>
      <c r="F562" s="3" t="s">
        <v>288</v>
      </c>
      <c r="G562" s="3" t="s">
        <v>341</v>
      </c>
      <c r="L562" s="3" t="s">
        <v>229</v>
      </c>
      <c r="M562" s="3" t="s">
        <v>223</v>
      </c>
      <c r="N562" s="3" t="s">
        <v>1198</v>
      </c>
      <c r="O562" s="3" t="s">
        <v>358</v>
      </c>
      <c r="P56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62" s="3" t="s">
        <v>190</v>
      </c>
      <c r="Y562" s="4">
        <v>48</v>
      </c>
      <c r="Z562" s="4">
        <v>125</v>
      </c>
      <c r="AA562" s="5">
        <f t="shared" si="34"/>
        <v>0.38400000000000001</v>
      </c>
      <c r="AB562" s="5"/>
      <c r="AC56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62" s="5" t="str">
        <f>IF(Tabelle1[[#This Row],[Nicht einbezogen weil…]]="",IFERROR(1000*Tabelle1[[#This Row],[Formfaktor]]/Tabelle1[[#This Row],[Thickness '[mm']]],""),"")</f>
        <v/>
      </c>
      <c r="AE562" s="5" t="str">
        <f>IF(Tabelle1[[#This Row],[Nicht einbezogen weil…]]="",IFERROR(Tabelle1[[#This Row],[specific surface '[m^2/m^3']]]/Tabelle1[[#This Row],[Density 
'[g/cm3']]]/1000000,""),"")</f>
        <v/>
      </c>
      <c r="AF562" s="5" t="str">
        <f>IF(Tabelle1[[#This Row],[Nicht einbezogen weil…]]="",IFERROR(365*10*Tabelle1[[#This Row],[Abbaurate '[%/d']]]*Tabelle1[[#This Row],[Thickness '[mm']]]/Tabelle1[[#This Row],[Formfaktor]],""),"")</f>
        <v/>
      </c>
      <c r="AG562" s="328" t="str">
        <f>IF(OR(Tabelle1[[#This Row],[Nicht einbezogen weil…]]="",Tabelle1[[#This Row],[Nicht einbezogen weil…]]="nicht-natürlich"),IF(Tabelle1[[#This Row],[Formfaktor]]=2, 1,IF(Tabelle1[[#This Row],[Formfaktor]]=4,2,IF(Tabelle1[[#This Row],[Formfaktor]]=6,3,""))),"")</f>
        <v/>
      </c>
      <c r="AH562"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6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62" s="6">
        <v>1</v>
      </c>
      <c r="AK56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62" s="3" t="s">
        <v>1200</v>
      </c>
      <c r="AU562" s="13"/>
    </row>
    <row r="563" spans="1:49" ht="17.25" customHeight="1">
      <c r="B563" s="7" t="s">
        <v>1059</v>
      </c>
      <c r="C563" s="3" t="s">
        <v>1199</v>
      </c>
      <c r="D563" s="3" t="s">
        <v>223</v>
      </c>
      <c r="F563" s="3" t="s">
        <v>198</v>
      </c>
      <c r="G563" s="3" t="s">
        <v>341</v>
      </c>
      <c r="J563" s="3" t="s">
        <v>1197</v>
      </c>
      <c r="L563" s="3" t="s">
        <v>229</v>
      </c>
      <c r="M563" s="3" t="s">
        <v>223</v>
      </c>
      <c r="N563" s="3" t="s">
        <v>1198</v>
      </c>
      <c r="O563" s="3" t="s">
        <v>358</v>
      </c>
      <c r="P56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63" s="3" t="s">
        <v>190</v>
      </c>
      <c r="Y563" s="4">
        <v>18</v>
      </c>
      <c r="Z563" s="4">
        <v>125</v>
      </c>
      <c r="AA563" s="5">
        <f t="shared" si="34"/>
        <v>0.14399999999999999</v>
      </c>
      <c r="AB563" s="5"/>
      <c r="AC56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63" s="5" t="str">
        <f>IF(Tabelle1[[#This Row],[Nicht einbezogen weil…]]="",IFERROR(1000*Tabelle1[[#This Row],[Formfaktor]]/Tabelle1[[#This Row],[Thickness '[mm']]],""),"")</f>
        <v/>
      </c>
      <c r="AE563" s="5" t="str">
        <f>IF(Tabelle1[[#This Row],[Nicht einbezogen weil…]]="",IFERROR(Tabelle1[[#This Row],[specific surface '[m^2/m^3']]]/Tabelle1[[#This Row],[Density 
'[g/cm3']]]/1000000,""),"")</f>
        <v/>
      </c>
      <c r="AF563" s="5" t="str">
        <f>IF(Tabelle1[[#This Row],[Nicht einbezogen weil…]]="",IFERROR(365*10*Tabelle1[[#This Row],[Abbaurate '[%/d']]]*Tabelle1[[#This Row],[Thickness '[mm']]]/Tabelle1[[#This Row],[Formfaktor]],""),"")</f>
        <v/>
      </c>
      <c r="AG563" s="328" t="str">
        <f>IF(OR(Tabelle1[[#This Row],[Nicht einbezogen weil…]]="",Tabelle1[[#This Row],[Nicht einbezogen weil…]]="nicht-natürlich"),IF(Tabelle1[[#This Row],[Formfaktor]]=2, 1,IF(Tabelle1[[#This Row],[Formfaktor]]=4,2,IF(Tabelle1[[#This Row],[Formfaktor]]=6,3,""))),"")</f>
        <v/>
      </c>
      <c r="AH563"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6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63" s="6">
        <v>1</v>
      </c>
      <c r="AK56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563" s="3" t="s">
        <v>1200</v>
      </c>
      <c r="AU563" s="13"/>
    </row>
    <row r="564" spans="1:49" ht="17.25" customHeight="1">
      <c r="B564" s="7" t="s">
        <v>1092</v>
      </c>
      <c r="C564" s="3" t="s">
        <v>2</v>
      </c>
      <c r="G564" s="3">
        <v>0.03</v>
      </c>
      <c r="N564" s="3" t="s">
        <v>1203</v>
      </c>
      <c r="O564" s="3" t="s">
        <v>358</v>
      </c>
      <c r="P56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64" s="9" t="s">
        <v>1202</v>
      </c>
      <c r="Y564" s="4">
        <v>0</v>
      </c>
      <c r="Z564" s="4">
        <v>334</v>
      </c>
      <c r="AA564" s="5">
        <f t="shared" si="34"/>
        <v>0</v>
      </c>
      <c r="AB564" s="5"/>
      <c r="AC564" s="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564" s="5" t="str">
        <f>IF(Tabelle1[[#This Row],[Nicht einbezogen weil…]]="",IFERROR(1000*Tabelle1[[#This Row],[Formfaktor]]/Tabelle1[[#This Row],[Thickness '[mm']]],""),"")</f>
        <v/>
      </c>
      <c r="AE564" s="5" t="str">
        <f>IF(Tabelle1[[#This Row],[Nicht einbezogen weil…]]="",IFERROR(Tabelle1[[#This Row],[specific surface '[m^2/m^3']]]/Tabelle1[[#This Row],[Density 
'[g/cm3']]]/1000000,""),"")</f>
        <v/>
      </c>
      <c r="AF564" s="5" t="str">
        <f>IF(Tabelle1[[#This Row],[Nicht einbezogen weil…]]="",IFERROR(365*10*Tabelle1[[#This Row],[Abbaurate '[%/d']]]*Tabelle1[[#This Row],[Thickness '[mm']]]/Tabelle1[[#This Row],[Formfaktor]],""),"")</f>
        <v/>
      </c>
      <c r="AG564" s="328" t="str">
        <f>IF(OR(Tabelle1[[#This Row],[Nicht einbezogen weil…]]="",Tabelle1[[#This Row],[Nicht einbezogen weil…]]="nicht-natürlich"),IF(Tabelle1[[#This Row],[Formfaktor]]=2, 1,IF(Tabelle1[[#This Row],[Formfaktor]]=4,2,IF(Tabelle1[[#This Row],[Formfaktor]]=6,3,""))),"")</f>
        <v/>
      </c>
      <c r="AH564"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6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64" s="6">
        <v>1</v>
      </c>
      <c r="AK56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564" s="3" t="s">
        <v>1201</v>
      </c>
      <c r="AU564" s="13"/>
    </row>
    <row r="565" spans="1:49" ht="17.25" customHeight="1">
      <c r="B565" s="7" t="s">
        <v>1092</v>
      </c>
      <c r="C565" s="3" t="s">
        <v>2</v>
      </c>
      <c r="G565" s="3">
        <v>7.4999999999999997E-2</v>
      </c>
      <c r="N565" s="3" t="s">
        <v>1203</v>
      </c>
      <c r="O565" s="3" t="s">
        <v>358</v>
      </c>
      <c r="P56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65" s="9" t="s">
        <v>1202</v>
      </c>
      <c r="Y565" s="4">
        <v>0</v>
      </c>
      <c r="Z565" s="4">
        <v>334</v>
      </c>
      <c r="AA565" s="5">
        <f t="shared" si="34"/>
        <v>0</v>
      </c>
      <c r="AB565" s="5"/>
      <c r="AC565" s="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565" s="5" t="str">
        <f>IF(Tabelle1[[#This Row],[Nicht einbezogen weil…]]="",IFERROR(1000*Tabelle1[[#This Row],[Formfaktor]]/Tabelle1[[#This Row],[Thickness '[mm']]],""),"")</f>
        <v/>
      </c>
      <c r="AE565" s="5" t="str">
        <f>IF(Tabelle1[[#This Row],[Nicht einbezogen weil…]]="",IFERROR(Tabelle1[[#This Row],[specific surface '[m^2/m^3']]]/Tabelle1[[#This Row],[Density 
'[g/cm3']]]/1000000,""),"")</f>
        <v/>
      </c>
      <c r="AF565" s="5" t="str">
        <f>IF(Tabelle1[[#This Row],[Nicht einbezogen weil…]]="",IFERROR(365*10*Tabelle1[[#This Row],[Abbaurate '[%/d']]]*Tabelle1[[#This Row],[Thickness '[mm']]]/Tabelle1[[#This Row],[Formfaktor]],""),"")</f>
        <v/>
      </c>
      <c r="AG565" s="328" t="str">
        <f>IF(OR(Tabelle1[[#This Row],[Nicht einbezogen weil…]]="",Tabelle1[[#This Row],[Nicht einbezogen weil…]]="nicht-natürlich"),IF(Tabelle1[[#This Row],[Formfaktor]]=2, 1,IF(Tabelle1[[#This Row],[Formfaktor]]=4,2,IF(Tabelle1[[#This Row],[Formfaktor]]=6,3,""))),"")</f>
        <v/>
      </c>
      <c r="AH56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6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65" s="6">
        <v>1</v>
      </c>
      <c r="AK56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565" s="3" t="s">
        <v>1201</v>
      </c>
      <c r="AU565" s="13"/>
    </row>
    <row r="566" spans="1:49" ht="17.25" customHeight="1">
      <c r="B566" s="7" t="s">
        <v>48</v>
      </c>
      <c r="C566" s="3" t="s">
        <v>1205</v>
      </c>
      <c r="D566" s="3" t="s">
        <v>200</v>
      </c>
      <c r="E566" s="3" t="s">
        <v>1127</v>
      </c>
      <c r="P56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AA566" s="5" t="e">
        <f t="shared" si="34"/>
        <v>#DIV/0!</v>
      </c>
      <c r="AB566" s="5"/>
      <c r="AC566" s="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566" s="5" t="str">
        <f>IF(Tabelle1[[#This Row],[Nicht einbezogen weil…]]="",IFERROR(1000*Tabelle1[[#This Row],[Formfaktor]]/Tabelle1[[#This Row],[Thickness '[mm']]],""),"")</f>
        <v/>
      </c>
      <c r="AE566" s="5" t="str">
        <f>IF(Tabelle1[[#This Row],[Nicht einbezogen weil…]]="",IFERROR(Tabelle1[[#This Row],[specific surface '[m^2/m^3']]]/Tabelle1[[#This Row],[Density 
'[g/cm3']]]/1000000,""),"")</f>
        <v/>
      </c>
      <c r="AF566" s="5" t="str">
        <f>IF(Tabelle1[[#This Row],[Nicht einbezogen weil…]]="",IFERROR(365*10*Tabelle1[[#This Row],[Abbaurate '[%/d']]]*Tabelle1[[#This Row],[Thickness '[mm']]]/Tabelle1[[#This Row],[Formfaktor]],""),"")</f>
        <v/>
      </c>
      <c r="AG566" s="328" t="str">
        <f>IF(OR(Tabelle1[[#This Row],[Nicht einbezogen weil…]]="",Tabelle1[[#This Row],[Nicht einbezogen weil…]]="nicht-natürlich"),IF(Tabelle1[[#This Row],[Formfaktor]]=2, 1,IF(Tabelle1[[#This Row],[Formfaktor]]=4,2,IF(Tabelle1[[#This Row],[Formfaktor]]=6,3,""))),"")</f>
        <v/>
      </c>
      <c r="AH566"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6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66" s="6">
        <v>1</v>
      </c>
      <c r="AK56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566" s="3" t="s">
        <v>1204</v>
      </c>
      <c r="AU566" s="13"/>
    </row>
    <row r="567" spans="1:49" ht="17.25" customHeight="1">
      <c r="B567" s="109" t="s">
        <v>20</v>
      </c>
      <c r="D567" s="3" t="s">
        <v>223</v>
      </c>
      <c r="E567" s="10"/>
      <c r="F567" s="3" t="s">
        <v>198</v>
      </c>
      <c r="G567" s="3">
        <v>0.1</v>
      </c>
      <c r="H567" s="3" t="s">
        <v>341</v>
      </c>
      <c r="I567" s="3" t="s">
        <v>341</v>
      </c>
      <c r="J567" s="3" t="s">
        <v>1084</v>
      </c>
      <c r="K567" s="8" t="s">
        <v>229</v>
      </c>
      <c r="M567" s="3" t="s">
        <v>200</v>
      </c>
      <c r="N567" s="3" t="s">
        <v>1068</v>
      </c>
      <c r="O567" s="3" t="s">
        <v>23</v>
      </c>
      <c r="P56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67" s="3" t="s">
        <v>13</v>
      </c>
      <c r="X567" s="3" t="s">
        <v>1067</v>
      </c>
      <c r="Y567" s="4">
        <v>50</v>
      </c>
      <c r="Z567" s="4">
        <v>429</v>
      </c>
      <c r="AA567" s="5">
        <f t="shared" si="34"/>
        <v>0.11655011655011654</v>
      </c>
      <c r="AB567" s="5"/>
      <c r="AC56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67" s="5">
        <f>IF(Tabelle1[[#This Row],[Nicht einbezogen weil…]]="",IFERROR(1000*Tabelle1[[#This Row],[Formfaktor]]/Tabelle1[[#This Row],[Thickness '[mm']]],""),"")</f>
        <v>20000</v>
      </c>
      <c r="AE567" s="5" t="str">
        <f>IF(Tabelle1[[#This Row],[Nicht einbezogen weil…]]="",IFERROR(Tabelle1[[#This Row],[specific surface '[m^2/m^3']]]/Tabelle1[[#This Row],[Density 
'[g/cm3']]]/1000000,""),"")</f>
        <v/>
      </c>
      <c r="AF567" s="5">
        <f>IF(Tabelle1[[#This Row],[Nicht einbezogen weil…]]="",IFERROR(365*10*Tabelle1[[#This Row],[Abbaurate '[%/d']]]*Tabelle1[[#This Row],[Thickness '[mm']]]/Tabelle1[[#This Row],[Formfaktor]],""),"")</f>
        <v>21.270396270396272</v>
      </c>
      <c r="AG567" s="328">
        <f>IF(OR(Tabelle1[[#This Row],[Nicht einbezogen weil…]]="",Tabelle1[[#This Row],[Nicht einbezogen weil…]]="nicht-natürlich"),IF(Tabelle1[[#This Row],[Formfaktor]]=2, 1,IF(Tabelle1[[#This Row],[Formfaktor]]=4,2,IF(Tabelle1[[#This Row],[Formfaktor]]=6,3,""))),"")</f>
        <v>1</v>
      </c>
      <c r="AH567" s="5">
        <f>IF(OR(Tabelle1[[#This Row],[Nicht einbezogen weil…]]="",Tabelle1[[#This Row],[Nicht einbezogen weil…]]="nicht-natürlich"),IFERROR(Tabelle1[[#This Row],[Thickness '[mm']]]/Tabelle1[[#This Row],[Dauer des Abbaus
'[Tage']]]*1000*0.5*365*(1-(1-Tabelle1[[#This Row],[Abbaurate '[%/d']]]/100*Tabelle1[[#This Row],[Dauer des Abbaus
'[Tage']]])^(1/Tabelle1[[#This Row],[Exponent]])),""),"")</f>
        <v>21.270396270396269</v>
      </c>
      <c r="AI56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PHA_Meerwasser_natürlich</v>
      </c>
      <c r="AJ567" s="6">
        <v>1</v>
      </c>
      <c r="AK56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67" s="3" t="s">
        <v>1080</v>
      </c>
      <c r="AN567" s="3" t="s">
        <v>1065</v>
      </c>
      <c r="AO567" s="3" t="s">
        <v>200</v>
      </c>
      <c r="AP567" s="3" t="s">
        <v>200</v>
      </c>
      <c r="AT567" s="10" t="s">
        <v>223</v>
      </c>
      <c r="AU567" s="13" t="s">
        <v>200</v>
      </c>
    </row>
    <row r="568" spans="1:49" ht="17.25" customHeight="1">
      <c r="B568" s="109" t="s">
        <v>20</v>
      </c>
      <c r="D568" s="3" t="s">
        <v>223</v>
      </c>
      <c r="E568" s="10"/>
      <c r="F568" s="3" t="s">
        <v>198</v>
      </c>
      <c r="G568" s="3">
        <v>0.1</v>
      </c>
      <c r="H568" s="3" t="s">
        <v>341</v>
      </c>
      <c r="I568" s="3" t="s">
        <v>341</v>
      </c>
      <c r="J568" s="3" t="s">
        <v>1084</v>
      </c>
      <c r="K568" s="8" t="s">
        <v>229</v>
      </c>
      <c r="M568" s="3" t="s">
        <v>200</v>
      </c>
      <c r="N568" s="3" t="s">
        <v>1070</v>
      </c>
      <c r="O568" s="3" t="s">
        <v>1104</v>
      </c>
      <c r="P568"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68" s="3" t="s">
        <v>13</v>
      </c>
      <c r="X568" s="3" t="s">
        <v>1067</v>
      </c>
      <c r="Y568" s="4">
        <v>50</v>
      </c>
      <c r="Z568" s="4">
        <v>738</v>
      </c>
      <c r="AA568" s="5">
        <f t="shared" si="34"/>
        <v>6.7750677506775062E-2</v>
      </c>
      <c r="AB568" s="5"/>
      <c r="AC568"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68" s="5">
        <f>IF(Tabelle1[[#This Row],[Nicht einbezogen weil…]]="",IFERROR(1000*Tabelle1[[#This Row],[Formfaktor]]/Tabelle1[[#This Row],[Thickness '[mm']]],""),"")</f>
        <v>20000</v>
      </c>
      <c r="AE568" s="5" t="str">
        <f>IF(Tabelle1[[#This Row],[Nicht einbezogen weil…]]="",IFERROR(Tabelle1[[#This Row],[specific surface '[m^2/m^3']]]/Tabelle1[[#This Row],[Density 
'[g/cm3']]]/1000000,""),"")</f>
        <v/>
      </c>
      <c r="AF568" s="5">
        <f>IF(Tabelle1[[#This Row],[Nicht einbezogen weil…]]="",IFERROR(365*10*Tabelle1[[#This Row],[Abbaurate '[%/d']]]*Tabelle1[[#This Row],[Thickness '[mm']]]/Tabelle1[[#This Row],[Formfaktor]],""),"")</f>
        <v>12.364498644986449</v>
      </c>
      <c r="AG568" s="328">
        <f>IF(OR(Tabelle1[[#This Row],[Nicht einbezogen weil…]]="",Tabelle1[[#This Row],[Nicht einbezogen weil…]]="nicht-natürlich"),IF(Tabelle1[[#This Row],[Formfaktor]]=2, 1,IF(Tabelle1[[#This Row],[Formfaktor]]=4,2,IF(Tabelle1[[#This Row],[Formfaktor]]=6,3,""))),"")</f>
        <v>1</v>
      </c>
      <c r="AH568" s="5">
        <f>IF(OR(Tabelle1[[#This Row],[Nicht einbezogen weil…]]="",Tabelle1[[#This Row],[Nicht einbezogen weil…]]="nicht-natürlich"),IFERROR(Tabelle1[[#This Row],[Thickness '[mm']]]/Tabelle1[[#This Row],[Dauer des Abbaus
'[Tage']]]*1000*0.5*365*(1-(1-Tabelle1[[#This Row],[Abbaurate '[%/d']]]/100*Tabelle1[[#This Row],[Dauer des Abbaus
'[Tage']]])^(1/Tabelle1[[#This Row],[Exponent]])),""),"")</f>
        <v>12.364498644986449</v>
      </c>
      <c r="AI568"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PHA_Benthic_natürlich</v>
      </c>
      <c r="AJ568" s="6">
        <v>1</v>
      </c>
      <c r="AK56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68" s="3" t="s">
        <v>1080</v>
      </c>
      <c r="AN568" s="3" t="s">
        <v>1065</v>
      </c>
      <c r="AO568" s="3" t="s">
        <v>200</v>
      </c>
      <c r="AP568" s="3" t="s">
        <v>200</v>
      </c>
      <c r="AT568" s="10" t="s">
        <v>223</v>
      </c>
      <c r="AU568" s="13" t="s">
        <v>200</v>
      </c>
    </row>
    <row r="569" spans="1:49" ht="17.25" customHeight="1">
      <c r="B569" s="109" t="s">
        <v>20</v>
      </c>
      <c r="D569" s="3" t="s">
        <v>223</v>
      </c>
      <c r="E569" s="10"/>
      <c r="F569" s="3" t="s">
        <v>198</v>
      </c>
      <c r="G569" s="3">
        <v>0.1</v>
      </c>
      <c r="H569" s="3" t="s">
        <v>341</v>
      </c>
      <c r="I569" s="3" t="s">
        <v>341</v>
      </c>
      <c r="J569" s="3" t="s">
        <v>1084</v>
      </c>
      <c r="K569" s="8" t="s">
        <v>229</v>
      </c>
      <c r="M569" s="3" t="s">
        <v>200</v>
      </c>
      <c r="N569" s="3" t="s">
        <v>1071</v>
      </c>
      <c r="O569" s="3" t="s">
        <v>1104</v>
      </c>
      <c r="P56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569" s="3" t="s">
        <v>13</v>
      </c>
      <c r="X569" s="3" t="s">
        <v>1067</v>
      </c>
      <c r="Y569" s="4">
        <v>50</v>
      </c>
      <c r="Z569" s="4">
        <v>55</v>
      </c>
      <c r="AA569" s="5">
        <f t="shared" si="34"/>
        <v>0.90909090909090906</v>
      </c>
      <c r="AB569" s="5"/>
      <c r="AC56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69" s="5">
        <f>IF(Tabelle1[[#This Row],[Nicht einbezogen weil…]]="",IFERROR(1000*Tabelle1[[#This Row],[Formfaktor]]/Tabelle1[[#This Row],[Thickness '[mm']]],""),"")</f>
        <v>20000</v>
      </c>
      <c r="AE569" s="5" t="str">
        <f>IF(Tabelle1[[#This Row],[Nicht einbezogen weil…]]="",IFERROR(Tabelle1[[#This Row],[specific surface '[m^2/m^3']]]/Tabelle1[[#This Row],[Density 
'[g/cm3']]]/1000000,""),"")</f>
        <v/>
      </c>
      <c r="AF569" s="5">
        <f>IF(Tabelle1[[#This Row],[Nicht einbezogen weil…]]="",IFERROR(365*10*Tabelle1[[#This Row],[Abbaurate '[%/d']]]*Tabelle1[[#This Row],[Thickness '[mm']]]/Tabelle1[[#This Row],[Formfaktor]],""),"")</f>
        <v>165.90909090909091</v>
      </c>
      <c r="AG569" s="328">
        <f>IF(OR(Tabelle1[[#This Row],[Nicht einbezogen weil…]]="",Tabelle1[[#This Row],[Nicht einbezogen weil…]]="nicht-natürlich"),IF(Tabelle1[[#This Row],[Formfaktor]]=2, 1,IF(Tabelle1[[#This Row],[Formfaktor]]=4,2,IF(Tabelle1[[#This Row],[Formfaktor]]=6,3,""))),"")</f>
        <v>1</v>
      </c>
      <c r="AH569" s="5">
        <f>IF(OR(Tabelle1[[#This Row],[Nicht einbezogen weil…]]="",Tabelle1[[#This Row],[Nicht einbezogen weil…]]="nicht-natürlich"),IFERROR(Tabelle1[[#This Row],[Thickness '[mm']]]/Tabelle1[[#This Row],[Dauer des Abbaus
'[Tage']]]*1000*0.5*365*(1-(1-Tabelle1[[#This Row],[Abbaurate '[%/d']]]/100*Tabelle1[[#This Row],[Dauer des Abbaus
'[Tage']]])^(1/Tabelle1[[#This Row],[Exponent]])),""),"")</f>
        <v>165.90909090909091</v>
      </c>
      <c r="AI56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PHA_Benthic_natürlich</v>
      </c>
      <c r="AJ569" s="6">
        <v>1</v>
      </c>
      <c r="AK56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69" s="3" t="s">
        <v>1080</v>
      </c>
      <c r="AN569" s="3" t="s">
        <v>1065</v>
      </c>
      <c r="AO569" s="3" t="s">
        <v>200</v>
      </c>
      <c r="AP569" s="3" t="s">
        <v>200</v>
      </c>
      <c r="AT569" s="10" t="s">
        <v>223</v>
      </c>
      <c r="AU569" s="13" t="s">
        <v>200</v>
      </c>
    </row>
    <row r="570" spans="1:49" ht="17.25" customHeight="1">
      <c r="A570" s="10" t="s">
        <v>223</v>
      </c>
      <c r="B570" s="109" t="s">
        <v>18</v>
      </c>
      <c r="C570" s="3" t="s">
        <v>18</v>
      </c>
      <c r="D570" s="3" t="s">
        <v>223</v>
      </c>
      <c r="E570" s="10"/>
      <c r="F570" s="3" t="s">
        <v>288</v>
      </c>
      <c r="G570" s="3">
        <v>0.1</v>
      </c>
      <c r="H570" s="3">
        <f>PI()*(0.015^2)</f>
        <v>7.0685834705770342E-4</v>
      </c>
      <c r="I570" s="77">
        <v>1.26</v>
      </c>
      <c r="J570" s="3" t="s">
        <v>708</v>
      </c>
      <c r="K570" s="8" t="s">
        <v>229</v>
      </c>
      <c r="M570" s="3" t="s">
        <v>200</v>
      </c>
      <c r="N570" s="3" t="s">
        <v>5</v>
      </c>
      <c r="O570" s="3" t="s">
        <v>358</v>
      </c>
      <c r="P57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70" s="3" t="s">
        <v>157</v>
      </c>
      <c r="R570" s="3"/>
      <c r="S570" s="3"/>
      <c r="T570" s="3"/>
      <c r="U570" s="3"/>
      <c r="W570" s="3" t="s">
        <v>13</v>
      </c>
      <c r="Y570" s="4">
        <v>61</v>
      </c>
      <c r="Z570" s="4">
        <v>60</v>
      </c>
      <c r="AA570" s="5">
        <f t="shared" si="34"/>
        <v>1.0166666666666666</v>
      </c>
      <c r="AB570" s="5"/>
      <c r="AC57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70" s="97">
        <f>IF(Tabelle1[[#This Row],[Nicht einbezogen weil…]]="",IFERROR(1000*Tabelle1[[#This Row],[Formfaktor]]/Tabelle1[[#This Row],[Thickness '[mm']]],""),"")</f>
        <v>20000</v>
      </c>
      <c r="AE570" s="98">
        <f>IF(Tabelle1[[#This Row],[Nicht einbezogen weil…]]="",IFERROR(Tabelle1[[#This Row],[specific surface '[m^2/m^3']]]/Tabelle1[[#This Row],[Density 
'[g/cm3']]]/1000000,""),"")</f>
        <v>1.5873015873015872E-2</v>
      </c>
      <c r="AF570" s="97">
        <f>IF(Tabelle1[[#This Row],[Nicht einbezogen weil…]]="",IFERROR(365*10*Tabelle1[[#This Row],[Abbaurate '[%/d']]]*Tabelle1[[#This Row],[Thickness '[mm']]]/Tabelle1[[#This Row],[Formfaktor]],""),"")</f>
        <v>185.54166666666666</v>
      </c>
      <c r="AG570" s="99">
        <f>IF(OR(Tabelle1[[#This Row],[Nicht einbezogen weil…]]="",Tabelle1[[#This Row],[Nicht einbezogen weil…]]="nicht-natürlich"),IF(Tabelle1[[#This Row],[Formfaktor]]=2, 1,IF(Tabelle1[[#This Row],[Formfaktor]]=4,2,IF(Tabelle1[[#This Row],[Formfaktor]]=6,3,""))),"")</f>
        <v>1</v>
      </c>
      <c r="AH570" s="97">
        <f>IF(OR(Tabelle1[[#This Row],[Nicht einbezogen weil…]]="",Tabelle1[[#This Row],[Nicht einbezogen weil…]]="nicht-natürlich"),IFERROR(Tabelle1[[#This Row],[Thickness '[mm']]]/Tabelle1[[#This Row],[Dauer des Abbaus
'[Tage']]]*1000*0.5*365*(1-(1-Tabelle1[[#This Row],[Abbaurate '[%/d']]]/100*Tabelle1[[#This Row],[Dauer des Abbaus
'[Tage']]])^(1/Tabelle1[[#This Row],[Exponent]])),""),"")</f>
        <v>185.54166666666669</v>
      </c>
      <c r="AI57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PHB_Boden/Kompost_natürlich</v>
      </c>
      <c r="AJ570" s="71">
        <v>1</v>
      </c>
      <c r="AK57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70" s="3" t="s">
        <v>143</v>
      </c>
      <c r="AM570" s="3" t="s">
        <v>962</v>
      </c>
      <c r="AO570" s="3" t="s">
        <v>200</v>
      </c>
      <c r="AP570" s="3" t="s">
        <v>200</v>
      </c>
      <c r="AT570" s="10" t="s">
        <v>223</v>
      </c>
      <c r="AU570" s="13" t="s">
        <v>200</v>
      </c>
      <c r="AV570" s="14"/>
      <c r="AW570" s="10" t="s">
        <v>813</v>
      </c>
    </row>
    <row r="571" spans="1:49" ht="17.25" customHeight="1">
      <c r="A571" s="10" t="s">
        <v>223</v>
      </c>
      <c r="B571" s="109" t="s">
        <v>18</v>
      </c>
      <c r="C571" s="3" t="s">
        <v>18</v>
      </c>
      <c r="D571" s="3" t="s">
        <v>223</v>
      </c>
      <c r="E571" s="10"/>
      <c r="F571" s="3" t="s">
        <v>331</v>
      </c>
      <c r="G571" s="3">
        <v>10</v>
      </c>
      <c r="H571" s="19">
        <f>2*PI()*0.005*0.025+2*PI()*(0.005^2)</f>
        <v>9.4247779607693804E-4</v>
      </c>
      <c r="I571" s="77">
        <v>1.26</v>
      </c>
      <c r="J571" s="19" t="s">
        <v>709</v>
      </c>
      <c r="K571" s="8" t="s">
        <v>229</v>
      </c>
      <c r="M571" s="3" t="s">
        <v>200</v>
      </c>
      <c r="N571" s="3" t="s">
        <v>5</v>
      </c>
      <c r="O571" s="3" t="s">
        <v>358</v>
      </c>
      <c r="P57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71" s="4" t="s">
        <v>157</v>
      </c>
      <c r="W571" s="3" t="s">
        <v>13</v>
      </c>
      <c r="Y571" s="4">
        <v>50</v>
      </c>
      <c r="Z571" s="4">
        <v>270</v>
      </c>
      <c r="AA571" s="5">
        <f t="shared" si="34"/>
        <v>0.18518518518518517</v>
      </c>
      <c r="AB571" s="5"/>
      <c r="AC57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71" s="97">
        <f>IF(Tabelle1[[#This Row],[Nicht einbezogen weil…]]="",IFERROR(1000*Tabelle1[[#This Row],[Formfaktor]]/Tabelle1[[#This Row],[Thickness '[mm']]],""),"")</f>
        <v>600</v>
      </c>
      <c r="AE571" s="98">
        <f>IF(Tabelle1[[#This Row],[Nicht einbezogen weil…]]="",IFERROR(Tabelle1[[#This Row],[specific surface '[m^2/m^3']]]/Tabelle1[[#This Row],[Density 
'[g/cm3']]]/1000000,""),"")</f>
        <v>4.7619047619047619E-4</v>
      </c>
      <c r="AF571" s="97">
        <f>IF(Tabelle1[[#This Row],[Nicht einbezogen weil…]]="",IFERROR(365*10*Tabelle1[[#This Row],[Abbaurate '[%/d']]]*Tabelle1[[#This Row],[Thickness '[mm']]]/Tabelle1[[#This Row],[Formfaktor]],""),"")</f>
        <v>1126.5432098765432</v>
      </c>
      <c r="AG571" s="99">
        <f>IF(OR(Tabelle1[[#This Row],[Nicht einbezogen weil…]]="",Tabelle1[[#This Row],[Nicht einbezogen weil…]]="nicht-natürlich"),IF(Tabelle1[[#This Row],[Formfaktor]]=2, 1,IF(Tabelle1[[#This Row],[Formfaktor]]=4,2,IF(Tabelle1[[#This Row],[Formfaktor]]=6,3,""))),"")</f>
        <v>3</v>
      </c>
      <c r="AH571" s="97">
        <f>IF(OR(Tabelle1[[#This Row],[Nicht einbezogen weil…]]="",Tabelle1[[#This Row],[Nicht einbezogen weil…]]="nicht-natürlich"),IFERROR(Tabelle1[[#This Row],[Thickness '[mm']]]/Tabelle1[[#This Row],[Dauer des Abbaus
'[Tage']]]*1000*0.5*365*(1-(1-Tabelle1[[#This Row],[Abbaurate '[%/d']]]/100*Tabelle1[[#This Row],[Dauer des Abbaus
'[Tage']]])^(1/Tabelle1[[#This Row],[Exponent]])),""),"")</f>
        <v>1394.4316299222885</v>
      </c>
      <c r="AI57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PHB_Boden/Kompost_natürlich</v>
      </c>
      <c r="AJ571" s="71">
        <v>1</v>
      </c>
      <c r="AK57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71" s="3" t="s">
        <v>143</v>
      </c>
      <c r="AM571" s="3" t="s">
        <v>962</v>
      </c>
      <c r="AN571" s="3" t="s">
        <v>538</v>
      </c>
      <c r="AO571" s="3" t="s">
        <v>200</v>
      </c>
      <c r="AP571" s="3" t="s">
        <v>200</v>
      </c>
      <c r="AT571" s="10" t="s">
        <v>223</v>
      </c>
      <c r="AU571" s="13" t="s">
        <v>200</v>
      </c>
      <c r="AV571" s="14"/>
      <c r="AW571" s="10" t="s">
        <v>813</v>
      </c>
    </row>
    <row r="572" spans="1:49" ht="17.25" customHeight="1">
      <c r="B572" s="109" t="s">
        <v>18</v>
      </c>
      <c r="C572" s="3" t="s">
        <v>112</v>
      </c>
      <c r="D572" s="3" t="s">
        <v>223</v>
      </c>
      <c r="E572" s="10"/>
      <c r="F572" s="3" t="s">
        <v>198</v>
      </c>
      <c r="G572" s="3">
        <v>0.1</v>
      </c>
      <c r="H572" s="3" t="s">
        <v>341</v>
      </c>
      <c r="I572" s="77">
        <v>1.26</v>
      </c>
      <c r="M572" s="3" t="s">
        <v>301</v>
      </c>
      <c r="N572" s="3" t="s">
        <v>118</v>
      </c>
      <c r="O572" s="3" t="s">
        <v>1081</v>
      </c>
      <c r="P57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72" s="4">
        <v>25</v>
      </c>
      <c r="U572" s="4" t="s">
        <v>12</v>
      </c>
      <c r="W572" s="3" t="s">
        <v>13</v>
      </c>
      <c r="Y572" s="4">
        <v>100</v>
      </c>
      <c r="Z572" s="4">
        <v>28</v>
      </c>
      <c r="AA572" s="5">
        <f>Tabelle1[[#This Row],[biologische
Abbaubarkeit '[%']]]/Z572</f>
        <v>3.5714285714285716</v>
      </c>
      <c r="AB572" s="5"/>
      <c r="AC57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72" s="97">
        <f>IF(Tabelle1[[#This Row],[Nicht einbezogen weil…]]="",IFERROR(1000*Tabelle1[[#This Row],[Formfaktor]]/Tabelle1[[#This Row],[Thickness '[mm']]],""),"")</f>
        <v>20000</v>
      </c>
      <c r="AE572" s="98">
        <f>IF(Tabelle1[[#This Row],[Nicht einbezogen weil…]]="",IFERROR(Tabelle1[[#This Row],[specific surface '[m^2/m^3']]]/Tabelle1[[#This Row],[Density 
'[g/cm3']]]/1000000,""),"")</f>
        <v>1.5873015873015872E-2</v>
      </c>
      <c r="AF572" s="97">
        <f>IF(Tabelle1[[#This Row],[Nicht einbezogen weil…]]="",IFERROR(365*10*Tabelle1[[#This Row],[Abbaurate '[%/d']]]*Tabelle1[[#This Row],[Thickness '[mm']]]/Tabelle1[[#This Row],[Formfaktor]],""),"")</f>
        <v>651.78571428571433</v>
      </c>
      <c r="AG572" s="99">
        <f>IF(OR(Tabelle1[[#This Row],[Nicht einbezogen weil…]]="",Tabelle1[[#This Row],[Nicht einbezogen weil…]]="nicht-natürlich"),IF(Tabelle1[[#This Row],[Formfaktor]]=2, 1,IF(Tabelle1[[#This Row],[Formfaktor]]=4,2,IF(Tabelle1[[#This Row],[Formfaktor]]=6,3,""))),"")</f>
        <v>1</v>
      </c>
      <c r="AH572" s="97">
        <f>IF(OR(Tabelle1[[#This Row],[Nicht einbezogen weil…]]="",Tabelle1[[#This Row],[Nicht einbezogen weil…]]="nicht-natürlich"),IFERROR(Tabelle1[[#This Row],[Thickness '[mm']]]/Tabelle1[[#This Row],[Dauer des Abbaus
'[Tage']]]*1000*0.5*365*(1-(1-Tabelle1[[#This Row],[Abbaurate '[%/d']]]/100*Tabelle1[[#This Row],[Dauer des Abbaus
'[Tage']]])^(1/Tabelle1[[#This Row],[Exponent]])),""),"")</f>
        <v>651.78571428571445</v>
      </c>
      <c r="AI57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PHB_Süßwasser_natürlich</v>
      </c>
      <c r="AJ572" s="71">
        <v>1</v>
      </c>
      <c r="AK57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72" s="3" t="s">
        <v>699</v>
      </c>
      <c r="AO572" s="3" t="s">
        <v>200</v>
      </c>
      <c r="AP572" s="3" t="s">
        <v>200</v>
      </c>
      <c r="AR572" s="2" t="s">
        <v>300</v>
      </c>
      <c r="AT572" s="10" t="s">
        <v>223</v>
      </c>
      <c r="AU572" s="13" t="s">
        <v>200</v>
      </c>
      <c r="AW572" s="10" t="s">
        <v>813</v>
      </c>
    </row>
    <row r="573" spans="1:49" ht="17.25" customHeight="1">
      <c r="B573" s="109" t="s">
        <v>18</v>
      </c>
      <c r="C573" s="3" t="s">
        <v>112</v>
      </c>
      <c r="D573" s="3" t="s">
        <v>223</v>
      </c>
      <c r="E573" s="10"/>
      <c r="F573" s="3" t="s">
        <v>198</v>
      </c>
      <c r="G573" s="3">
        <v>0.1</v>
      </c>
      <c r="H573" s="3" t="s">
        <v>341</v>
      </c>
      <c r="I573" s="77">
        <v>1.26</v>
      </c>
      <c r="M573" s="3" t="s">
        <v>301</v>
      </c>
      <c r="N573" s="3" t="s">
        <v>118</v>
      </c>
      <c r="O573" s="3" t="s">
        <v>1081</v>
      </c>
      <c r="P57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73" s="4">
        <v>25</v>
      </c>
      <c r="U573" s="4" t="s">
        <v>12</v>
      </c>
      <c r="W573" s="3" t="s">
        <v>506</v>
      </c>
      <c r="Y573" s="4">
        <v>75</v>
      </c>
      <c r="Z573" s="4">
        <v>28</v>
      </c>
      <c r="AA573" s="5">
        <f>Tabelle1[[#This Row],[biologische
Abbaubarkeit '[%']]]/Z573</f>
        <v>2.6785714285714284</v>
      </c>
      <c r="AB573" s="5"/>
      <c r="AC57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73" s="97">
        <f>IF(Tabelle1[[#This Row],[Nicht einbezogen weil…]]="",IFERROR(1000*Tabelle1[[#This Row],[Formfaktor]]/Tabelle1[[#This Row],[Thickness '[mm']]],""),"")</f>
        <v>20000</v>
      </c>
      <c r="AE573" s="98">
        <f>IF(Tabelle1[[#This Row],[Nicht einbezogen weil…]]="",IFERROR(Tabelle1[[#This Row],[specific surface '[m^2/m^3']]]/Tabelle1[[#This Row],[Density 
'[g/cm3']]]/1000000,""),"")</f>
        <v>1.5873015873015872E-2</v>
      </c>
      <c r="AF573" s="97">
        <f>IF(Tabelle1[[#This Row],[Nicht einbezogen weil…]]="",IFERROR(365*10*Tabelle1[[#This Row],[Abbaurate '[%/d']]]*Tabelle1[[#This Row],[Thickness '[mm']]]/Tabelle1[[#This Row],[Formfaktor]],""),"")</f>
        <v>488.83928571428572</v>
      </c>
      <c r="AG573" s="99">
        <f>IF(OR(Tabelle1[[#This Row],[Nicht einbezogen weil…]]="",Tabelle1[[#This Row],[Nicht einbezogen weil…]]="nicht-natürlich"),IF(Tabelle1[[#This Row],[Formfaktor]]=2, 1,IF(Tabelle1[[#This Row],[Formfaktor]]=4,2,IF(Tabelle1[[#This Row],[Formfaktor]]=6,3,""))),"")</f>
        <v>1</v>
      </c>
      <c r="AH573" s="97">
        <f>IF(OR(Tabelle1[[#This Row],[Nicht einbezogen weil…]]="",Tabelle1[[#This Row],[Nicht einbezogen weil…]]="nicht-natürlich"),IFERROR(Tabelle1[[#This Row],[Thickness '[mm']]]/Tabelle1[[#This Row],[Dauer des Abbaus
'[Tage']]]*1000*0.5*365*(1-(1-Tabelle1[[#This Row],[Abbaurate '[%/d']]]/100*Tabelle1[[#This Row],[Dauer des Abbaus
'[Tage']]])^(1/Tabelle1[[#This Row],[Exponent]])),""),"")</f>
        <v>488.83928571428578</v>
      </c>
      <c r="AI57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PHB_Süßwasser_natürlich</v>
      </c>
      <c r="AJ573" s="71">
        <v>1</v>
      </c>
      <c r="AK57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73" s="3" t="s">
        <v>699</v>
      </c>
      <c r="AM573" s="8" t="s">
        <v>385</v>
      </c>
      <c r="AO573" s="3" t="s">
        <v>235</v>
      </c>
      <c r="AP573" s="3" t="s">
        <v>235</v>
      </c>
      <c r="AR573" s="2" t="s">
        <v>300</v>
      </c>
      <c r="AT573" s="10" t="s">
        <v>223</v>
      </c>
      <c r="AU573" s="13" t="s">
        <v>200</v>
      </c>
      <c r="AW573" s="10" t="s">
        <v>813</v>
      </c>
    </row>
    <row r="574" spans="1:49" ht="17.25" customHeight="1">
      <c r="B574" s="348" t="s">
        <v>1315</v>
      </c>
      <c r="O574" s="3" t="s">
        <v>23</v>
      </c>
      <c r="P57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AA574" s="5" t="e">
        <f>Y574/Z574</f>
        <v>#DIV/0!</v>
      </c>
      <c r="AB574" s="5"/>
      <c r="AC574" s="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574" s="5" t="str">
        <f>IF(Tabelle1[[#This Row],[Nicht einbezogen weil…]]="",IFERROR(1000*Tabelle1[[#This Row],[Formfaktor]]/Tabelle1[[#This Row],[Thickness '[mm']]],""),"")</f>
        <v/>
      </c>
      <c r="AE574" s="5" t="str">
        <f>IF(Tabelle1[[#This Row],[Nicht einbezogen weil…]]="",IFERROR(Tabelle1[[#This Row],[specific surface '[m^2/m^3']]]/Tabelle1[[#This Row],[Density 
'[g/cm3']]]/1000000,""),"")</f>
        <v/>
      </c>
      <c r="AF574" s="5" t="str">
        <f>IF(Tabelle1[[#This Row],[Nicht einbezogen weil…]]="",IFERROR(365*10*Tabelle1[[#This Row],[Abbaurate '[%/d']]]*Tabelle1[[#This Row],[Thickness '[mm']]]/Tabelle1[[#This Row],[Formfaktor]],""),"")</f>
        <v/>
      </c>
      <c r="AG574" s="349" t="str">
        <f>IF(OR(Tabelle1[[#This Row],[Nicht einbezogen weil…]]="",Tabelle1[[#This Row],[Nicht einbezogen weil…]]="nicht-natürlich"),IF(Tabelle1[[#This Row],[Formfaktor]]=2, 1,IF(Tabelle1[[#This Row],[Formfaktor]]=4,2,IF(Tabelle1[[#This Row],[Formfaktor]]=6,3,""))),"")</f>
        <v/>
      </c>
      <c r="AH574"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7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74" s="6">
        <v>1</v>
      </c>
      <c r="AK57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574" s="3" t="s">
        <v>1310</v>
      </c>
      <c r="AU574" s="13"/>
    </row>
    <row r="575" spans="1:49" ht="17.25" customHeight="1">
      <c r="B575" s="348" t="s">
        <v>1315</v>
      </c>
      <c r="O575" s="3" t="s">
        <v>23</v>
      </c>
      <c r="P57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AA575" s="5" t="e">
        <f>Y575/Z575</f>
        <v>#DIV/0!</v>
      </c>
      <c r="AB575" s="5"/>
      <c r="AC575" s="6" t="str">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
      </c>
      <c r="AD575" s="5" t="str">
        <f>IF(Tabelle1[[#This Row],[Nicht einbezogen weil…]]="",IFERROR(1000*Tabelle1[[#This Row],[Formfaktor]]/Tabelle1[[#This Row],[Thickness '[mm']]],""),"")</f>
        <v/>
      </c>
      <c r="AE575" s="5" t="str">
        <f>IF(Tabelle1[[#This Row],[Nicht einbezogen weil…]]="",IFERROR(Tabelle1[[#This Row],[specific surface '[m^2/m^3']]]/Tabelle1[[#This Row],[Density 
'[g/cm3']]]/1000000,""),"")</f>
        <v/>
      </c>
      <c r="AF575" s="5" t="str">
        <f>IF(Tabelle1[[#This Row],[Nicht einbezogen weil…]]="",IFERROR(365*10*Tabelle1[[#This Row],[Abbaurate '[%/d']]]*Tabelle1[[#This Row],[Thickness '[mm']]]/Tabelle1[[#This Row],[Formfaktor]],""),"")</f>
        <v/>
      </c>
      <c r="AG575" s="349" t="str">
        <f>IF(OR(Tabelle1[[#This Row],[Nicht einbezogen weil…]]="",Tabelle1[[#This Row],[Nicht einbezogen weil…]]="nicht-natürlich"),IF(Tabelle1[[#This Row],[Formfaktor]]=2, 1,IF(Tabelle1[[#This Row],[Formfaktor]]=4,2,IF(Tabelle1[[#This Row],[Formfaktor]]=6,3,""))),"")</f>
        <v/>
      </c>
      <c r="AH57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7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75" s="6">
        <v>1</v>
      </c>
      <c r="AK57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Form fehlt</v>
      </c>
      <c r="AL575" s="3" t="s">
        <v>1310</v>
      </c>
      <c r="AU575" s="13"/>
    </row>
    <row r="576" spans="1:49" ht="17.25" customHeight="1">
      <c r="B576" s="109" t="s">
        <v>18</v>
      </c>
      <c r="C576" s="3" t="s">
        <v>112</v>
      </c>
      <c r="D576" s="3" t="s">
        <v>223</v>
      </c>
      <c r="E576" s="10"/>
      <c r="F576" s="3" t="s">
        <v>198</v>
      </c>
      <c r="G576" s="3">
        <v>0.1</v>
      </c>
      <c r="H576" s="3" t="s">
        <v>341</v>
      </c>
      <c r="I576" s="77">
        <v>1.26</v>
      </c>
      <c r="M576" s="3" t="s">
        <v>301</v>
      </c>
      <c r="N576" s="3" t="s">
        <v>119</v>
      </c>
      <c r="O576" s="3" t="s">
        <v>1081</v>
      </c>
      <c r="P57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76" s="4">
        <v>25</v>
      </c>
      <c r="U576" s="4" t="s">
        <v>12</v>
      </c>
      <c r="W576" s="3" t="s">
        <v>13</v>
      </c>
      <c r="Y576" s="4">
        <v>93</v>
      </c>
      <c r="Z576" s="4">
        <v>28</v>
      </c>
      <c r="AA576" s="5">
        <f>Tabelle1[[#This Row],[biologische
Abbaubarkeit '[%']]]/Z576</f>
        <v>3.3214285714285716</v>
      </c>
      <c r="AB576" s="5"/>
      <c r="AC57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76" s="97">
        <f>IF(Tabelle1[[#This Row],[Nicht einbezogen weil…]]="",IFERROR(1000*Tabelle1[[#This Row],[Formfaktor]]/Tabelle1[[#This Row],[Thickness '[mm']]],""),"")</f>
        <v>20000</v>
      </c>
      <c r="AE576" s="98">
        <f>IF(Tabelle1[[#This Row],[Nicht einbezogen weil…]]="",IFERROR(Tabelle1[[#This Row],[specific surface '[m^2/m^3']]]/Tabelle1[[#This Row],[Density 
'[g/cm3']]]/1000000,""),"")</f>
        <v>1.5873015873015872E-2</v>
      </c>
      <c r="AF576" s="97">
        <f>IF(Tabelle1[[#This Row],[Nicht einbezogen weil…]]="",IFERROR(365*10*Tabelle1[[#This Row],[Abbaurate '[%/d']]]*Tabelle1[[#This Row],[Thickness '[mm']]]/Tabelle1[[#This Row],[Formfaktor]],""),"")</f>
        <v>606.16071428571433</v>
      </c>
      <c r="AG576" s="99">
        <f>IF(OR(Tabelle1[[#This Row],[Nicht einbezogen weil…]]="",Tabelle1[[#This Row],[Nicht einbezogen weil…]]="nicht-natürlich"),IF(Tabelle1[[#This Row],[Formfaktor]]=2, 1,IF(Tabelle1[[#This Row],[Formfaktor]]=4,2,IF(Tabelle1[[#This Row],[Formfaktor]]=6,3,""))),"")</f>
        <v>1</v>
      </c>
      <c r="AH576" s="97">
        <f>IF(OR(Tabelle1[[#This Row],[Nicht einbezogen weil…]]="",Tabelle1[[#This Row],[Nicht einbezogen weil…]]="nicht-natürlich"),IFERROR(Tabelle1[[#This Row],[Thickness '[mm']]]/Tabelle1[[#This Row],[Dauer des Abbaus
'[Tage']]]*1000*0.5*365*(1-(1-Tabelle1[[#This Row],[Abbaurate '[%/d']]]/100*Tabelle1[[#This Row],[Dauer des Abbaus
'[Tage']]])^(1/Tabelle1[[#This Row],[Exponent]])),""),"")</f>
        <v>606.16071428571433</v>
      </c>
      <c r="AI57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PHB_Süßwasser_natürlich</v>
      </c>
      <c r="AJ576" s="71">
        <v>1</v>
      </c>
      <c r="AK57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76" s="3" t="s">
        <v>699</v>
      </c>
      <c r="AM576" s="8" t="s">
        <v>385</v>
      </c>
      <c r="AO576" s="3" t="s">
        <v>235</v>
      </c>
      <c r="AP576" s="3" t="s">
        <v>235</v>
      </c>
      <c r="AR576" s="2" t="s">
        <v>300</v>
      </c>
      <c r="AT576" s="10" t="s">
        <v>223</v>
      </c>
      <c r="AU576" s="13" t="s">
        <v>200</v>
      </c>
      <c r="AW576" s="10" t="s">
        <v>813</v>
      </c>
    </row>
    <row r="577" spans="1:49" ht="17.25" customHeight="1">
      <c r="B577" s="109" t="s">
        <v>18</v>
      </c>
      <c r="C577" s="3" t="s">
        <v>112</v>
      </c>
      <c r="D577" s="3" t="s">
        <v>223</v>
      </c>
      <c r="E577" s="10"/>
      <c r="F577" s="3" t="s">
        <v>198</v>
      </c>
      <c r="G577" s="3">
        <v>0.1</v>
      </c>
      <c r="H577" s="3" t="s">
        <v>341</v>
      </c>
      <c r="I577" s="77">
        <v>1.26</v>
      </c>
      <c r="M577" s="3" t="s">
        <v>301</v>
      </c>
      <c r="N577" s="3" t="s">
        <v>119</v>
      </c>
      <c r="O577" s="3" t="s">
        <v>1081</v>
      </c>
      <c r="P57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77" s="4">
        <v>25</v>
      </c>
      <c r="U577" s="4" t="s">
        <v>12</v>
      </c>
      <c r="W577" s="3" t="s">
        <v>506</v>
      </c>
      <c r="Y577" s="4">
        <v>52</v>
      </c>
      <c r="Z577" s="4">
        <v>28</v>
      </c>
      <c r="AA577" s="5">
        <f>Tabelle1[[#This Row],[biologische
Abbaubarkeit '[%']]]/Z577</f>
        <v>1.8571428571428572</v>
      </c>
      <c r="AB577" s="5"/>
      <c r="AC57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77" s="97">
        <f>IF(Tabelle1[[#This Row],[Nicht einbezogen weil…]]="",IFERROR(1000*Tabelle1[[#This Row],[Formfaktor]]/Tabelle1[[#This Row],[Thickness '[mm']]],""),"")</f>
        <v>20000</v>
      </c>
      <c r="AE577" s="98">
        <f>IF(Tabelle1[[#This Row],[Nicht einbezogen weil…]]="",IFERROR(Tabelle1[[#This Row],[specific surface '[m^2/m^3']]]/Tabelle1[[#This Row],[Density 
'[g/cm3']]]/1000000,""),"")</f>
        <v>1.5873015873015872E-2</v>
      </c>
      <c r="AF577" s="97">
        <f>IF(Tabelle1[[#This Row],[Nicht einbezogen weil…]]="",IFERROR(365*10*Tabelle1[[#This Row],[Abbaurate '[%/d']]]*Tabelle1[[#This Row],[Thickness '[mm']]]/Tabelle1[[#This Row],[Formfaktor]],""),"")</f>
        <v>338.92857142857144</v>
      </c>
      <c r="AG577" s="99">
        <f>IF(OR(Tabelle1[[#This Row],[Nicht einbezogen weil…]]="",Tabelle1[[#This Row],[Nicht einbezogen weil…]]="nicht-natürlich"),IF(Tabelle1[[#This Row],[Formfaktor]]=2, 1,IF(Tabelle1[[#This Row],[Formfaktor]]=4,2,IF(Tabelle1[[#This Row],[Formfaktor]]=6,3,""))),"")</f>
        <v>1</v>
      </c>
      <c r="AH577" s="97">
        <f>IF(OR(Tabelle1[[#This Row],[Nicht einbezogen weil…]]="",Tabelle1[[#This Row],[Nicht einbezogen weil…]]="nicht-natürlich"),IFERROR(Tabelle1[[#This Row],[Thickness '[mm']]]/Tabelle1[[#This Row],[Dauer des Abbaus
'[Tage']]]*1000*0.5*365*(1-(1-Tabelle1[[#This Row],[Abbaurate '[%/d']]]/100*Tabelle1[[#This Row],[Dauer des Abbaus
'[Tage']]])^(1/Tabelle1[[#This Row],[Exponent]])),""),"")</f>
        <v>338.92857142857144</v>
      </c>
      <c r="AI57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PHB_Süßwasser_natürlich</v>
      </c>
      <c r="AJ577" s="71">
        <v>1</v>
      </c>
      <c r="AK57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77" s="3" t="s">
        <v>699</v>
      </c>
      <c r="AM577" s="8" t="s">
        <v>385</v>
      </c>
      <c r="AO577" s="3" t="s">
        <v>235</v>
      </c>
      <c r="AP577" s="3" t="s">
        <v>235</v>
      </c>
      <c r="AR577" s="2" t="s">
        <v>300</v>
      </c>
      <c r="AT577" s="10" t="s">
        <v>223</v>
      </c>
      <c r="AU577" s="13" t="s">
        <v>200</v>
      </c>
      <c r="AW577" s="10" t="s">
        <v>813</v>
      </c>
    </row>
    <row r="578" spans="1:49" ht="17.25" customHeight="1">
      <c r="B578" s="109" t="s">
        <v>18</v>
      </c>
      <c r="C578" s="3" t="s">
        <v>112</v>
      </c>
      <c r="D578" s="3" t="s">
        <v>223</v>
      </c>
      <c r="E578" s="10"/>
      <c r="F578" s="3" t="s">
        <v>198</v>
      </c>
      <c r="G578" s="3">
        <v>0.1</v>
      </c>
      <c r="H578" s="3" t="s">
        <v>341</v>
      </c>
      <c r="I578" s="77">
        <v>1.26</v>
      </c>
      <c r="M578" s="3" t="s">
        <v>301</v>
      </c>
      <c r="N578" s="3" t="s">
        <v>120</v>
      </c>
      <c r="O578" s="3" t="s">
        <v>23</v>
      </c>
      <c r="P57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78" s="4">
        <v>25</v>
      </c>
      <c r="U578" s="4" t="s">
        <v>12</v>
      </c>
      <c r="W578" s="3" t="s">
        <v>13</v>
      </c>
      <c r="Y578" s="4">
        <v>41</v>
      </c>
      <c r="Z578" s="4">
        <v>28</v>
      </c>
      <c r="AA578" s="5">
        <f>Tabelle1[[#This Row],[biologische
Abbaubarkeit '[%']]]/Z578</f>
        <v>1.4642857142857142</v>
      </c>
      <c r="AB578" s="5"/>
      <c r="AC57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78" s="97">
        <f>IF(Tabelle1[[#This Row],[Nicht einbezogen weil…]]="",IFERROR(1000*Tabelle1[[#This Row],[Formfaktor]]/Tabelle1[[#This Row],[Thickness '[mm']]],""),"")</f>
        <v>20000</v>
      </c>
      <c r="AE578" s="98">
        <f>IF(Tabelle1[[#This Row],[Nicht einbezogen weil…]]="",IFERROR(Tabelle1[[#This Row],[specific surface '[m^2/m^3']]]/Tabelle1[[#This Row],[Density 
'[g/cm3']]]/1000000,""),"")</f>
        <v>1.5873015873015872E-2</v>
      </c>
      <c r="AF578" s="97">
        <f>IF(Tabelle1[[#This Row],[Nicht einbezogen weil…]]="",IFERROR(365*10*Tabelle1[[#This Row],[Abbaurate '[%/d']]]*Tabelle1[[#This Row],[Thickness '[mm']]]/Tabelle1[[#This Row],[Formfaktor]],""),"")</f>
        <v>267.23214285714283</v>
      </c>
      <c r="AG578" s="99">
        <f>IF(OR(Tabelle1[[#This Row],[Nicht einbezogen weil…]]="",Tabelle1[[#This Row],[Nicht einbezogen weil…]]="nicht-natürlich"),IF(Tabelle1[[#This Row],[Formfaktor]]=2, 1,IF(Tabelle1[[#This Row],[Formfaktor]]=4,2,IF(Tabelle1[[#This Row],[Formfaktor]]=6,3,""))),"")</f>
        <v>1</v>
      </c>
      <c r="AH578" s="97">
        <f>IF(OR(Tabelle1[[#This Row],[Nicht einbezogen weil…]]="",Tabelle1[[#This Row],[Nicht einbezogen weil…]]="nicht-natürlich"),IFERROR(Tabelle1[[#This Row],[Thickness '[mm']]]/Tabelle1[[#This Row],[Dauer des Abbaus
'[Tage']]]*1000*0.5*365*(1-(1-Tabelle1[[#This Row],[Abbaurate '[%/d']]]/100*Tabelle1[[#This Row],[Dauer des Abbaus
'[Tage']]])^(1/Tabelle1[[#This Row],[Exponent]])),""),"")</f>
        <v>267.23214285714283</v>
      </c>
      <c r="AI57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PHB_Meerwasser_natürlich</v>
      </c>
      <c r="AJ578" s="71">
        <v>1</v>
      </c>
      <c r="AK57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78" s="3" t="s">
        <v>699</v>
      </c>
      <c r="AM578" s="8" t="s">
        <v>385</v>
      </c>
      <c r="AO578" s="3" t="s">
        <v>235</v>
      </c>
      <c r="AP578" s="3" t="s">
        <v>235</v>
      </c>
      <c r="AR578" s="2" t="s">
        <v>300</v>
      </c>
      <c r="AT578" s="10" t="s">
        <v>223</v>
      </c>
      <c r="AU578" s="13" t="s">
        <v>200</v>
      </c>
      <c r="AW578" s="10" t="s">
        <v>813</v>
      </c>
    </row>
    <row r="579" spans="1:49" ht="17.25" customHeight="1">
      <c r="A579" s="10" t="s">
        <v>223</v>
      </c>
      <c r="B579" s="109" t="s">
        <v>18</v>
      </c>
      <c r="C579" s="3" t="s">
        <v>1185</v>
      </c>
      <c r="D579" s="3" t="s">
        <v>200</v>
      </c>
      <c r="E579" s="3" t="s">
        <v>1127</v>
      </c>
      <c r="F579" s="3" t="s">
        <v>996</v>
      </c>
      <c r="G579" s="545" t="s">
        <v>1369</v>
      </c>
      <c r="J579" s="3" t="s">
        <v>1368</v>
      </c>
      <c r="K579" s="8" t="s">
        <v>1374</v>
      </c>
      <c r="L579" s="3" t="s">
        <v>223</v>
      </c>
      <c r="M579" s="12" t="s">
        <v>301</v>
      </c>
      <c r="N579" s="3" t="s">
        <v>1380</v>
      </c>
      <c r="O579" s="3" t="s">
        <v>1104</v>
      </c>
      <c r="P57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79" s="4" t="s">
        <v>1373</v>
      </c>
      <c r="R579" s="4" t="s">
        <v>1371</v>
      </c>
      <c r="T579" s="4" t="s">
        <v>1370</v>
      </c>
      <c r="V579" s="4" t="s">
        <v>734</v>
      </c>
      <c r="W579" s="12" t="s">
        <v>190</v>
      </c>
      <c r="Y579" s="4">
        <v>75.5</v>
      </c>
      <c r="Z579" s="4">
        <v>210</v>
      </c>
      <c r="AA579" s="5">
        <f>Y579/Z579</f>
        <v>0.35952380952380952</v>
      </c>
      <c r="AB579" s="5"/>
      <c r="AC57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79" s="5" t="str">
        <f>IF(Tabelle1[[#This Row],[Nicht einbezogen weil…]]="",IFERROR(1000*Tabelle1[[#This Row],[Formfaktor]]/Tabelle1[[#This Row],[Thickness '[mm']]],""),"")</f>
        <v/>
      </c>
      <c r="AE579" s="5" t="str">
        <f>IF(Tabelle1[[#This Row],[Nicht einbezogen weil…]]="",IFERROR(Tabelle1[[#This Row],[specific surface '[m^2/m^3']]]/Tabelle1[[#This Row],[Density 
'[g/cm3']]]/1000000,""),"")</f>
        <v/>
      </c>
      <c r="AF579" s="5" t="str">
        <f>IF(Tabelle1[[#This Row],[Nicht einbezogen weil…]]="",IFERROR(365*10*Tabelle1[[#This Row],[Abbaurate '[%/d']]]*Tabelle1[[#This Row],[Thickness '[mm']]]/Tabelle1[[#This Row],[Formfaktor]],""),"")</f>
        <v/>
      </c>
      <c r="AG579" s="328" t="str">
        <f>IF(OR(Tabelle1[[#This Row],[Nicht einbezogen weil…]]="",Tabelle1[[#This Row],[Nicht einbezogen weil…]]="nicht-natürlich"),IF(Tabelle1[[#This Row],[Formfaktor]]=2, 1,IF(Tabelle1[[#This Row],[Formfaktor]]=4,2,IF(Tabelle1[[#This Row],[Formfaktor]]=6,3,""))),"")</f>
        <v/>
      </c>
      <c r="AH579"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7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579" s="6">
        <v>1</v>
      </c>
      <c r="AK57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579" s="3" t="s">
        <v>1366</v>
      </c>
      <c r="AU579" s="13"/>
    </row>
    <row r="580" spans="1:49" ht="17.25" customHeight="1">
      <c r="B580" s="109" t="s">
        <v>18</v>
      </c>
      <c r="C580" s="3" t="s">
        <v>112</v>
      </c>
      <c r="D580" s="3" t="s">
        <v>223</v>
      </c>
      <c r="E580" s="10"/>
      <c r="F580" s="3" t="s">
        <v>198</v>
      </c>
      <c r="G580" s="3">
        <v>0.1</v>
      </c>
      <c r="H580" s="3" t="s">
        <v>341</v>
      </c>
      <c r="I580" s="77">
        <v>1.26</v>
      </c>
      <c r="M580" s="3" t="s">
        <v>301</v>
      </c>
      <c r="N580" s="3" t="s">
        <v>120</v>
      </c>
      <c r="O580" s="3" t="s">
        <v>23</v>
      </c>
      <c r="P58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0" s="4">
        <v>25</v>
      </c>
      <c r="U580" s="4" t="s">
        <v>12</v>
      </c>
      <c r="W580" s="3" t="s">
        <v>506</v>
      </c>
      <c r="Y580" s="4">
        <v>27</v>
      </c>
      <c r="Z580" s="4">
        <v>28</v>
      </c>
      <c r="AA580" s="5">
        <f>Tabelle1[[#This Row],[biologische
Abbaubarkeit '[%']]]/Z580</f>
        <v>0.9642857142857143</v>
      </c>
      <c r="AB580" s="5"/>
      <c r="AC58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80" s="97">
        <f>IF(Tabelle1[[#This Row],[Nicht einbezogen weil…]]="",IFERROR(1000*Tabelle1[[#This Row],[Formfaktor]]/Tabelle1[[#This Row],[Thickness '[mm']]],""),"")</f>
        <v>20000</v>
      </c>
      <c r="AE580" s="98">
        <f>IF(Tabelle1[[#This Row],[Nicht einbezogen weil…]]="",IFERROR(Tabelle1[[#This Row],[specific surface '[m^2/m^3']]]/Tabelle1[[#This Row],[Density 
'[g/cm3']]]/1000000,""),"")</f>
        <v>1.5873015873015872E-2</v>
      </c>
      <c r="AF580" s="97">
        <f>IF(Tabelle1[[#This Row],[Nicht einbezogen weil…]]="",IFERROR(365*10*Tabelle1[[#This Row],[Abbaurate '[%/d']]]*Tabelle1[[#This Row],[Thickness '[mm']]]/Tabelle1[[#This Row],[Formfaktor]],""),"")</f>
        <v>175.98214285714289</v>
      </c>
      <c r="AG580" s="99">
        <f>IF(OR(Tabelle1[[#This Row],[Nicht einbezogen weil…]]="",Tabelle1[[#This Row],[Nicht einbezogen weil…]]="nicht-natürlich"),IF(Tabelle1[[#This Row],[Formfaktor]]=2, 1,IF(Tabelle1[[#This Row],[Formfaktor]]=4,2,IF(Tabelle1[[#This Row],[Formfaktor]]=6,3,""))),"")</f>
        <v>1</v>
      </c>
      <c r="AH580" s="97">
        <f>IF(OR(Tabelle1[[#This Row],[Nicht einbezogen weil…]]="",Tabelle1[[#This Row],[Nicht einbezogen weil…]]="nicht-natürlich"),IFERROR(Tabelle1[[#This Row],[Thickness '[mm']]]/Tabelle1[[#This Row],[Dauer des Abbaus
'[Tage']]]*1000*0.5*365*(1-(1-Tabelle1[[#This Row],[Abbaurate '[%/d']]]/100*Tabelle1[[#This Row],[Dauer des Abbaus
'[Tage']]])^(1/Tabelle1[[#This Row],[Exponent]])),""),"")</f>
        <v>175.98214285714289</v>
      </c>
      <c r="AI58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PHB_Meerwasser_natürlich</v>
      </c>
      <c r="AJ580" s="71">
        <v>1</v>
      </c>
      <c r="AK58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80" s="3" t="s">
        <v>699</v>
      </c>
      <c r="AM580" s="8" t="s">
        <v>385</v>
      </c>
      <c r="AO580" s="3" t="s">
        <v>235</v>
      </c>
      <c r="AP580" s="3" t="s">
        <v>235</v>
      </c>
      <c r="AR580" s="2" t="s">
        <v>300</v>
      </c>
      <c r="AT580" s="10" t="s">
        <v>223</v>
      </c>
      <c r="AU580" s="13" t="s">
        <v>200</v>
      </c>
      <c r="AW580" s="10" t="s">
        <v>813</v>
      </c>
    </row>
    <row r="581" spans="1:49" ht="17.25" customHeight="1">
      <c r="B581" s="109" t="s">
        <v>18</v>
      </c>
      <c r="C581" s="3" t="s">
        <v>112</v>
      </c>
      <c r="D581" s="3" t="s">
        <v>223</v>
      </c>
      <c r="E581" s="10"/>
      <c r="F581" s="3" t="s">
        <v>198</v>
      </c>
      <c r="G581" s="3">
        <v>0.1</v>
      </c>
      <c r="H581" s="3" t="s">
        <v>341</v>
      </c>
      <c r="I581" s="77">
        <v>1.26</v>
      </c>
      <c r="M581" s="3" t="s">
        <v>301</v>
      </c>
      <c r="N581" s="3" t="s">
        <v>121</v>
      </c>
      <c r="O581" s="3" t="s">
        <v>23</v>
      </c>
      <c r="P58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1" s="4">
        <v>25</v>
      </c>
      <c r="U581" s="4" t="s">
        <v>12</v>
      </c>
      <c r="W581" s="3" t="s">
        <v>13</v>
      </c>
      <c r="Y581" s="337" t="s">
        <v>1426</v>
      </c>
      <c r="Z581" s="4">
        <v>28</v>
      </c>
      <c r="AA581" s="5">
        <f>Tabelle1[[#This Row],[biologische
Abbaubarkeit '[%']]]/Z581</f>
        <v>0.8214285714285714</v>
      </c>
      <c r="AB581" s="5"/>
      <c r="AC58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81" s="97">
        <f>IF(Tabelle1[[#This Row],[Nicht einbezogen weil…]]="",IFERROR(1000*Tabelle1[[#This Row],[Formfaktor]]/Tabelle1[[#This Row],[Thickness '[mm']]],""),"")</f>
        <v>20000</v>
      </c>
      <c r="AE581" s="98">
        <f>IF(Tabelle1[[#This Row],[Nicht einbezogen weil…]]="",IFERROR(Tabelle1[[#This Row],[specific surface '[m^2/m^3']]]/Tabelle1[[#This Row],[Density 
'[g/cm3']]]/1000000,""),"")</f>
        <v>1.5873015873015872E-2</v>
      </c>
      <c r="AF581" s="97">
        <f>IF(Tabelle1[[#This Row],[Nicht einbezogen weil…]]="",IFERROR(365*10*Tabelle1[[#This Row],[Abbaurate '[%/d']]]*Tabelle1[[#This Row],[Thickness '[mm']]]/Tabelle1[[#This Row],[Formfaktor]],""),"")</f>
        <v>149.91071428571431</v>
      </c>
      <c r="AG581" s="99">
        <f>IF(OR(Tabelle1[[#This Row],[Nicht einbezogen weil…]]="",Tabelle1[[#This Row],[Nicht einbezogen weil…]]="nicht-natürlich"),IF(Tabelle1[[#This Row],[Formfaktor]]=2, 1,IF(Tabelle1[[#This Row],[Formfaktor]]=4,2,IF(Tabelle1[[#This Row],[Formfaktor]]=6,3,""))),"")</f>
        <v>1</v>
      </c>
      <c r="AH581" s="97">
        <f>IF(OR(Tabelle1[[#This Row],[Nicht einbezogen weil…]]="",Tabelle1[[#This Row],[Nicht einbezogen weil…]]="nicht-natürlich"),IFERROR(Tabelle1[[#This Row],[Thickness '[mm']]]/Tabelle1[[#This Row],[Dauer des Abbaus
'[Tage']]]*1000*0.5*365*(1-(1-Tabelle1[[#This Row],[Abbaurate '[%/d']]]/100*Tabelle1[[#This Row],[Dauer des Abbaus
'[Tage']]])^(1/Tabelle1[[#This Row],[Exponent]])),""),"")</f>
        <v>149.91071428571428</v>
      </c>
      <c r="AI58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PHB_Meerwasser_natürlich</v>
      </c>
      <c r="AJ581" s="71">
        <v>1</v>
      </c>
      <c r="AK58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81" s="3" t="s">
        <v>699</v>
      </c>
      <c r="AM581" s="8" t="s">
        <v>385</v>
      </c>
      <c r="AO581" s="3" t="s">
        <v>235</v>
      </c>
      <c r="AP581" s="3" t="s">
        <v>235</v>
      </c>
      <c r="AR581" s="2" t="s">
        <v>300</v>
      </c>
      <c r="AT581" s="10" t="s">
        <v>223</v>
      </c>
      <c r="AU581" s="13" t="s">
        <v>200</v>
      </c>
      <c r="AW581" s="10" t="s">
        <v>813</v>
      </c>
    </row>
    <row r="582" spans="1:49" ht="17.25" customHeight="1">
      <c r="B582" s="109" t="s">
        <v>18</v>
      </c>
      <c r="C582" s="3" t="s">
        <v>112</v>
      </c>
      <c r="D582" s="3" t="s">
        <v>223</v>
      </c>
      <c r="E582" s="10"/>
      <c r="F582" s="3" t="s">
        <v>198</v>
      </c>
      <c r="G582" s="3">
        <v>0.1</v>
      </c>
      <c r="H582" s="3" t="s">
        <v>341</v>
      </c>
      <c r="I582" s="77">
        <v>1.26</v>
      </c>
      <c r="M582" s="3" t="s">
        <v>301</v>
      </c>
      <c r="N582" s="3" t="s">
        <v>121</v>
      </c>
      <c r="O582" s="3" t="s">
        <v>23</v>
      </c>
      <c r="P58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2" s="4">
        <v>25</v>
      </c>
      <c r="U582" s="4" t="s">
        <v>12</v>
      </c>
      <c r="W582" s="3" t="s">
        <v>506</v>
      </c>
      <c r="Y582" s="337" t="s">
        <v>1420</v>
      </c>
      <c r="Z582" s="4">
        <v>28</v>
      </c>
      <c r="AA582" s="5">
        <f>Tabelle1[[#This Row],[biologische
Abbaubarkeit '[%']]]/Z582</f>
        <v>0.5</v>
      </c>
      <c r="AB582" s="5"/>
      <c r="AC58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82" s="97">
        <f>IF(Tabelle1[[#This Row],[Nicht einbezogen weil…]]="",IFERROR(1000*Tabelle1[[#This Row],[Formfaktor]]/Tabelle1[[#This Row],[Thickness '[mm']]],""),"")</f>
        <v>20000</v>
      </c>
      <c r="AE582" s="98">
        <f>IF(Tabelle1[[#This Row],[Nicht einbezogen weil…]]="",IFERROR(Tabelle1[[#This Row],[specific surface '[m^2/m^3']]]/Tabelle1[[#This Row],[Density 
'[g/cm3']]]/1000000,""),"")</f>
        <v>1.5873015873015872E-2</v>
      </c>
      <c r="AF582" s="97">
        <f>IF(Tabelle1[[#This Row],[Nicht einbezogen weil…]]="",IFERROR(365*10*Tabelle1[[#This Row],[Abbaurate '[%/d']]]*Tabelle1[[#This Row],[Thickness '[mm']]]/Tabelle1[[#This Row],[Formfaktor]],""),"")</f>
        <v>91.25</v>
      </c>
      <c r="AG582" s="99">
        <f>IF(OR(Tabelle1[[#This Row],[Nicht einbezogen weil…]]="",Tabelle1[[#This Row],[Nicht einbezogen weil…]]="nicht-natürlich"),IF(Tabelle1[[#This Row],[Formfaktor]]=2, 1,IF(Tabelle1[[#This Row],[Formfaktor]]=4,2,IF(Tabelle1[[#This Row],[Formfaktor]]=6,3,""))),"")</f>
        <v>1</v>
      </c>
      <c r="AH582" s="97">
        <f>IF(OR(Tabelle1[[#This Row],[Nicht einbezogen weil…]]="",Tabelle1[[#This Row],[Nicht einbezogen weil…]]="nicht-natürlich"),IFERROR(Tabelle1[[#This Row],[Thickness '[mm']]]/Tabelle1[[#This Row],[Dauer des Abbaus
'[Tage']]]*1000*0.5*365*(1-(1-Tabelle1[[#This Row],[Abbaurate '[%/d']]]/100*Tabelle1[[#This Row],[Dauer des Abbaus
'[Tage']]])^(1/Tabelle1[[#This Row],[Exponent]])),""),"")</f>
        <v>91.250000000000014</v>
      </c>
      <c r="AI58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PHB_Meerwasser_natürlich</v>
      </c>
      <c r="AJ582" s="71">
        <v>1</v>
      </c>
      <c r="AK58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82" s="3" t="s">
        <v>699</v>
      </c>
      <c r="AM582" s="8" t="s">
        <v>385</v>
      </c>
      <c r="AO582" s="3" t="s">
        <v>235</v>
      </c>
      <c r="AP582" s="3" t="s">
        <v>235</v>
      </c>
      <c r="AR582" s="2" t="s">
        <v>300</v>
      </c>
      <c r="AT582" s="10" t="s">
        <v>223</v>
      </c>
      <c r="AU582" s="13" t="s">
        <v>200</v>
      </c>
      <c r="AW582" s="10" t="s">
        <v>813</v>
      </c>
    </row>
    <row r="583" spans="1:49" ht="17.25" customHeight="1">
      <c r="A583" s="10" t="s">
        <v>223</v>
      </c>
      <c r="B583" s="109" t="s">
        <v>1078</v>
      </c>
      <c r="C583" s="3" t="s">
        <v>1187</v>
      </c>
      <c r="D583" s="3" t="s">
        <v>223</v>
      </c>
      <c r="F583" s="3" t="s">
        <v>996</v>
      </c>
      <c r="G583" s="3">
        <v>2.5000000000000001E-2</v>
      </c>
      <c r="J583" s="3" t="s">
        <v>1367</v>
      </c>
      <c r="K583" s="8" t="s">
        <v>1376</v>
      </c>
      <c r="L583" s="3" t="s">
        <v>223</v>
      </c>
      <c r="M583" s="12" t="s">
        <v>301</v>
      </c>
      <c r="N583" s="3" t="s">
        <v>1383</v>
      </c>
      <c r="O583" s="3" t="s">
        <v>1104</v>
      </c>
      <c r="P58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3" s="4" t="s">
        <v>1373</v>
      </c>
      <c r="R583" s="4" t="s">
        <v>1371</v>
      </c>
      <c r="T583" s="4" t="s">
        <v>1370</v>
      </c>
      <c r="V583" s="4" t="s">
        <v>734</v>
      </c>
      <c r="W583" s="12" t="s">
        <v>190</v>
      </c>
      <c r="Y583" s="4">
        <v>59.4</v>
      </c>
      <c r="Z583" s="4">
        <v>240</v>
      </c>
      <c r="AA583" s="5">
        <f t="shared" ref="AA583:AA590" si="35">Y583/Z583</f>
        <v>0.2475</v>
      </c>
      <c r="AB583" s="5"/>
      <c r="AC58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83" s="5">
        <f>IF(Tabelle1[[#This Row],[Nicht einbezogen weil…]]="",IFERROR(1000*Tabelle1[[#This Row],[Formfaktor]]/Tabelle1[[#This Row],[Thickness '[mm']]],""),"")</f>
        <v>80000</v>
      </c>
      <c r="AE583" s="5" t="str">
        <f>IF(Tabelle1[[#This Row],[Nicht einbezogen weil…]]="",IFERROR(Tabelle1[[#This Row],[specific surface '[m^2/m^3']]]/Tabelle1[[#This Row],[Density 
'[g/cm3']]]/1000000,""),"")</f>
        <v/>
      </c>
      <c r="AF583" s="5">
        <f>IF(Tabelle1[[#This Row],[Nicht einbezogen weil…]]="",IFERROR(365*10*Tabelle1[[#This Row],[Abbaurate '[%/d']]]*Tabelle1[[#This Row],[Thickness '[mm']]]/Tabelle1[[#This Row],[Formfaktor]],""),"")</f>
        <v>11.292187500000001</v>
      </c>
      <c r="AG583" s="328">
        <f>IF(OR(Tabelle1[[#This Row],[Nicht einbezogen weil…]]="",Tabelle1[[#This Row],[Nicht einbezogen weil…]]="nicht-natürlich"),IF(Tabelle1[[#This Row],[Formfaktor]]=2, 1,IF(Tabelle1[[#This Row],[Formfaktor]]=4,2,IF(Tabelle1[[#This Row],[Formfaktor]]=6,3,""))),"")</f>
        <v>1</v>
      </c>
      <c r="AH583" s="5">
        <f>IF(OR(Tabelle1[[#This Row],[Nicht einbezogen weil…]]="",Tabelle1[[#This Row],[Nicht einbezogen weil…]]="nicht-natürlich"),IFERROR(Tabelle1[[#This Row],[Thickness '[mm']]]/Tabelle1[[#This Row],[Dauer des Abbaus
'[Tage']]]*1000*0.5*365*(1-(1-Tabelle1[[#This Row],[Abbaurate '[%/d']]]/100*Tabelle1[[#This Row],[Dauer des Abbaus
'[Tage']]])^(1/Tabelle1[[#This Row],[Exponent]])),""),"")</f>
        <v>11.292187500000001</v>
      </c>
      <c r="AI58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PBSe_Benthic_natürlich</v>
      </c>
      <c r="AJ583" s="6">
        <v>1</v>
      </c>
      <c r="AK58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83" s="3" t="s">
        <v>1366</v>
      </c>
      <c r="AU583" s="13"/>
    </row>
    <row r="584" spans="1:49" ht="17.25" customHeight="1">
      <c r="A584" s="10" t="s">
        <v>223</v>
      </c>
      <c r="B584" s="109" t="s">
        <v>18</v>
      </c>
      <c r="C584" s="3" t="s">
        <v>112</v>
      </c>
      <c r="D584" s="3" t="s">
        <v>223</v>
      </c>
      <c r="E584" s="10"/>
      <c r="F584" s="3" t="s">
        <v>288</v>
      </c>
      <c r="G584" s="3">
        <v>0.05</v>
      </c>
      <c r="H584" s="3">
        <f>0.008*0.012</f>
        <v>9.6000000000000002E-5</v>
      </c>
      <c r="I584" s="77">
        <v>1.26</v>
      </c>
      <c r="K584" s="8" t="s">
        <v>573</v>
      </c>
      <c r="M584" s="3" t="s">
        <v>301</v>
      </c>
      <c r="N584" s="3" t="s">
        <v>1141</v>
      </c>
      <c r="O584" s="3" t="s">
        <v>23</v>
      </c>
      <c r="P58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4" s="4">
        <v>25</v>
      </c>
      <c r="R584" s="4">
        <v>8</v>
      </c>
      <c r="W584" s="3" t="s">
        <v>506</v>
      </c>
      <c r="Y584" s="4">
        <v>80</v>
      </c>
      <c r="Z584" s="4">
        <v>14</v>
      </c>
      <c r="AA584" s="5">
        <f t="shared" si="35"/>
        <v>5.7142857142857144</v>
      </c>
      <c r="AB584" s="5"/>
      <c r="AC58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84" s="97">
        <f>IF(Tabelle1[[#This Row],[Nicht einbezogen weil…]]="",IFERROR(1000*Tabelle1[[#This Row],[Formfaktor]]/Tabelle1[[#This Row],[Thickness '[mm']]],""),"")</f>
        <v>40000</v>
      </c>
      <c r="AE584" s="98">
        <f>IF(Tabelle1[[#This Row],[Nicht einbezogen weil…]]="",IFERROR(Tabelle1[[#This Row],[specific surface '[m^2/m^3']]]/Tabelle1[[#This Row],[Density 
'[g/cm3']]]/1000000,""),"")</f>
        <v>3.1746031746031744E-2</v>
      </c>
      <c r="AF584" s="97">
        <f>IF(Tabelle1[[#This Row],[Nicht einbezogen weil…]]="",IFERROR(365*10*Tabelle1[[#This Row],[Abbaurate '[%/d']]]*Tabelle1[[#This Row],[Thickness '[mm']]]/Tabelle1[[#This Row],[Formfaktor]],""),"")</f>
        <v>521.42857142857144</v>
      </c>
      <c r="AG584" s="99">
        <f>IF(OR(Tabelle1[[#This Row],[Nicht einbezogen weil…]]="",Tabelle1[[#This Row],[Nicht einbezogen weil…]]="nicht-natürlich"),IF(Tabelle1[[#This Row],[Formfaktor]]=2, 1,IF(Tabelle1[[#This Row],[Formfaktor]]=4,2,IF(Tabelle1[[#This Row],[Formfaktor]]=6,3,""))),"")</f>
        <v>1</v>
      </c>
      <c r="AH584" s="97">
        <f>IF(OR(Tabelle1[[#This Row],[Nicht einbezogen weil…]]="",Tabelle1[[#This Row],[Nicht einbezogen weil…]]="nicht-natürlich"),IFERROR(Tabelle1[[#This Row],[Thickness '[mm']]]/Tabelle1[[#This Row],[Dauer des Abbaus
'[Tage']]]*1000*0.5*365*(1-(1-Tabelle1[[#This Row],[Abbaurate '[%/d']]]/100*Tabelle1[[#This Row],[Dauer des Abbaus
'[Tage']]])^(1/Tabelle1[[#This Row],[Exponent]])),""),"")</f>
        <v>521.42857142857144</v>
      </c>
      <c r="AI58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PHB_Meerwasser_natürlich</v>
      </c>
      <c r="AJ584" s="71">
        <v>1</v>
      </c>
      <c r="AK58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84" s="3" t="s">
        <v>113</v>
      </c>
      <c r="AM584" s="3" t="s">
        <v>977</v>
      </c>
      <c r="AO584" s="3" t="s">
        <v>200</v>
      </c>
      <c r="AP584" s="3" t="s">
        <v>200</v>
      </c>
      <c r="AT584" s="10" t="s">
        <v>223</v>
      </c>
      <c r="AU584" s="13" t="s">
        <v>200</v>
      </c>
      <c r="AW584" s="10" t="s">
        <v>813</v>
      </c>
    </row>
    <row r="585" spans="1:49" ht="17.25" customHeight="1">
      <c r="B585" s="109" t="s">
        <v>18</v>
      </c>
      <c r="C585" s="3" t="s">
        <v>18</v>
      </c>
      <c r="D585" s="3" t="s">
        <v>223</v>
      </c>
      <c r="E585" s="10"/>
      <c r="F585" s="3" t="s">
        <v>288</v>
      </c>
      <c r="G585" s="17">
        <f>AVERAGE(0.152,0.19)</f>
        <v>0.17099999999999999</v>
      </c>
      <c r="H585" s="3">
        <f>0.127*0.0127</f>
        <v>1.6129E-3</v>
      </c>
      <c r="I585" s="77">
        <v>1.26</v>
      </c>
      <c r="J585" s="3" t="s">
        <v>539</v>
      </c>
      <c r="K585" s="8" t="s">
        <v>540</v>
      </c>
      <c r="L585" s="3" t="s">
        <v>545</v>
      </c>
      <c r="M585" s="3" t="s">
        <v>301</v>
      </c>
      <c r="N585" s="3" t="s">
        <v>546</v>
      </c>
      <c r="O585" s="3" t="s">
        <v>23</v>
      </c>
      <c r="P58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5" s="4">
        <v>21</v>
      </c>
      <c r="V585" s="4" t="s">
        <v>27</v>
      </c>
      <c r="W585" s="3" t="s">
        <v>13</v>
      </c>
      <c r="Y585" s="4">
        <v>90</v>
      </c>
      <c r="Z585" s="4">
        <v>18</v>
      </c>
      <c r="AA585" s="5">
        <f t="shared" si="35"/>
        <v>5</v>
      </c>
      <c r="AB585" s="5"/>
      <c r="AC58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85" s="97">
        <f>IF(Tabelle1[[#This Row],[Nicht einbezogen weil…]]="",IFERROR(1000*Tabelle1[[#This Row],[Formfaktor]]/Tabelle1[[#This Row],[Thickness '[mm']]],""),"")</f>
        <v>11695.906432748539</v>
      </c>
      <c r="AE585" s="98">
        <f>IF(Tabelle1[[#This Row],[Nicht einbezogen weil…]]="",IFERROR(Tabelle1[[#This Row],[specific surface '[m^2/m^3']]]/Tabelle1[[#This Row],[Density 
'[g/cm3']]]/1000000,""),"")</f>
        <v>9.2824654228163012E-3</v>
      </c>
      <c r="AF585" s="97">
        <f>IF(Tabelle1[[#This Row],[Nicht einbezogen weil…]]="",IFERROR(365*10*Tabelle1[[#This Row],[Abbaurate '[%/d']]]*Tabelle1[[#This Row],[Thickness '[mm']]]/Tabelle1[[#This Row],[Formfaktor]],""),"")</f>
        <v>1560.3749999999998</v>
      </c>
      <c r="AG585" s="99">
        <f>IF(OR(Tabelle1[[#This Row],[Nicht einbezogen weil…]]="",Tabelle1[[#This Row],[Nicht einbezogen weil…]]="nicht-natürlich"),IF(Tabelle1[[#This Row],[Formfaktor]]=2, 1,IF(Tabelle1[[#This Row],[Formfaktor]]=4,2,IF(Tabelle1[[#This Row],[Formfaktor]]=6,3,""))),"")</f>
        <v>1</v>
      </c>
      <c r="AH585" s="97">
        <f>IF(OR(Tabelle1[[#This Row],[Nicht einbezogen weil…]]="",Tabelle1[[#This Row],[Nicht einbezogen weil…]]="nicht-natürlich"),IFERROR(Tabelle1[[#This Row],[Thickness '[mm']]]/Tabelle1[[#This Row],[Dauer des Abbaus
'[Tage']]]*1000*0.5*365*(1-(1-Tabelle1[[#This Row],[Abbaurate '[%/d']]]/100*Tabelle1[[#This Row],[Dauer des Abbaus
'[Tage']]])^(1/Tabelle1[[#This Row],[Exponent]])),""),"")</f>
        <v>1560.375</v>
      </c>
      <c r="AI58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PHB_Meerwasser_natürlich</v>
      </c>
      <c r="AJ585" s="71">
        <v>1</v>
      </c>
      <c r="AK58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85" s="3" t="s">
        <v>146</v>
      </c>
      <c r="AM585" s="8" t="s">
        <v>978</v>
      </c>
      <c r="AN585" s="3" t="s">
        <v>538</v>
      </c>
      <c r="AO585" s="3" t="s">
        <v>200</v>
      </c>
      <c r="AP585" s="3" t="s">
        <v>200</v>
      </c>
      <c r="AT585" s="3" t="s">
        <v>223</v>
      </c>
      <c r="AU585" s="13" t="s">
        <v>200</v>
      </c>
      <c r="AW585" s="17" t="s">
        <v>817</v>
      </c>
    </row>
    <row r="586" spans="1:49" ht="17.25" customHeight="1">
      <c r="B586" s="109" t="s">
        <v>18</v>
      </c>
      <c r="C586" s="3" t="s">
        <v>18</v>
      </c>
      <c r="D586" s="3" t="s">
        <v>223</v>
      </c>
      <c r="E586" s="10"/>
      <c r="F586" s="3" t="s">
        <v>198</v>
      </c>
      <c r="G586" s="17">
        <f>AVERAGE(0.152,0.19)</f>
        <v>0.17099999999999999</v>
      </c>
      <c r="H586" s="3" t="s">
        <v>341</v>
      </c>
      <c r="I586" s="77">
        <v>1.26</v>
      </c>
      <c r="J586" s="3" t="s">
        <v>539</v>
      </c>
      <c r="K586" s="8" t="s">
        <v>540</v>
      </c>
      <c r="L586" s="3" t="s">
        <v>545</v>
      </c>
      <c r="M586" s="3" t="s">
        <v>301</v>
      </c>
      <c r="N586" s="3" t="s">
        <v>546</v>
      </c>
      <c r="O586" s="3" t="s">
        <v>23</v>
      </c>
      <c r="P58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6" s="337" t="s">
        <v>30</v>
      </c>
      <c r="R586" s="4" t="s">
        <v>28</v>
      </c>
      <c r="V586" s="4" t="s">
        <v>29</v>
      </c>
      <c r="W586" s="3" t="s">
        <v>13</v>
      </c>
      <c r="Y586" s="4">
        <v>30</v>
      </c>
      <c r="Z586" s="4">
        <v>90</v>
      </c>
      <c r="AA586" s="5">
        <f t="shared" si="35"/>
        <v>0.33333333333333331</v>
      </c>
      <c r="AB586" s="5"/>
      <c r="AC58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86" s="97">
        <f>IF(Tabelle1[[#This Row],[Nicht einbezogen weil…]]="",IFERROR(1000*Tabelle1[[#This Row],[Formfaktor]]/Tabelle1[[#This Row],[Thickness '[mm']]],""),"")</f>
        <v>11695.906432748539</v>
      </c>
      <c r="AE586" s="98">
        <f>IF(Tabelle1[[#This Row],[Nicht einbezogen weil…]]="",IFERROR(Tabelle1[[#This Row],[specific surface '[m^2/m^3']]]/Tabelle1[[#This Row],[Density 
'[g/cm3']]]/1000000,""),"")</f>
        <v>9.2824654228163012E-3</v>
      </c>
      <c r="AF586" s="97">
        <f>IF(Tabelle1[[#This Row],[Nicht einbezogen weil…]]="",IFERROR(365*10*Tabelle1[[#This Row],[Abbaurate '[%/d']]]*Tabelle1[[#This Row],[Thickness '[mm']]]/Tabelle1[[#This Row],[Formfaktor]],""),"")</f>
        <v>104.02499999999998</v>
      </c>
      <c r="AG586" s="99">
        <f>IF(OR(Tabelle1[[#This Row],[Nicht einbezogen weil…]]="",Tabelle1[[#This Row],[Nicht einbezogen weil…]]="nicht-natürlich"),IF(Tabelle1[[#This Row],[Formfaktor]]=2, 1,IF(Tabelle1[[#This Row],[Formfaktor]]=4,2,IF(Tabelle1[[#This Row],[Formfaktor]]=6,3,""))),"")</f>
        <v>1</v>
      </c>
      <c r="AH586" s="97">
        <f>IF(OR(Tabelle1[[#This Row],[Nicht einbezogen weil…]]="",Tabelle1[[#This Row],[Nicht einbezogen weil…]]="nicht-natürlich"),IFERROR(Tabelle1[[#This Row],[Thickness '[mm']]]/Tabelle1[[#This Row],[Dauer des Abbaus
'[Tage']]]*1000*0.5*365*(1-(1-Tabelle1[[#This Row],[Abbaurate '[%/d']]]/100*Tabelle1[[#This Row],[Dauer des Abbaus
'[Tage']]])^(1/Tabelle1[[#This Row],[Exponent]])),""),"")</f>
        <v>104.02499999999999</v>
      </c>
      <c r="AI58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PHB_Meerwasser_natürlich</v>
      </c>
      <c r="AJ586" s="71">
        <v>1</v>
      </c>
      <c r="AK58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86" s="3" t="s">
        <v>146</v>
      </c>
      <c r="AM586" s="8" t="s">
        <v>978</v>
      </c>
      <c r="AN586" s="3" t="s">
        <v>538</v>
      </c>
      <c r="AO586" s="3" t="s">
        <v>200</v>
      </c>
      <c r="AP586" s="3" t="s">
        <v>200</v>
      </c>
      <c r="AT586" s="3" t="s">
        <v>223</v>
      </c>
      <c r="AU586" s="13" t="s">
        <v>200</v>
      </c>
      <c r="AW586" s="17" t="s">
        <v>817</v>
      </c>
    </row>
    <row r="587" spans="1:49" ht="17.25" customHeight="1">
      <c r="A587" s="10" t="s">
        <v>223</v>
      </c>
      <c r="B587" s="109" t="s">
        <v>1078</v>
      </c>
      <c r="C587" s="3" t="s">
        <v>1187</v>
      </c>
      <c r="D587" s="3" t="s">
        <v>223</v>
      </c>
      <c r="F587" s="3" t="s">
        <v>996</v>
      </c>
      <c r="G587" s="3">
        <v>2.5000000000000001E-2</v>
      </c>
      <c r="J587" s="3" t="s">
        <v>1367</v>
      </c>
      <c r="K587" s="8" t="s">
        <v>1377</v>
      </c>
      <c r="L587" s="3" t="s">
        <v>223</v>
      </c>
      <c r="M587" s="12" t="s">
        <v>301</v>
      </c>
      <c r="N587" s="3" t="s">
        <v>1383</v>
      </c>
      <c r="O587" s="3" t="s">
        <v>1104</v>
      </c>
      <c r="P58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7" s="4" t="s">
        <v>1373</v>
      </c>
      <c r="R587" s="4" t="s">
        <v>1371</v>
      </c>
      <c r="T587" s="4" t="s">
        <v>1370</v>
      </c>
      <c r="V587" s="4" t="s">
        <v>734</v>
      </c>
      <c r="W587" s="12" t="s">
        <v>190</v>
      </c>
      <c r="Y587" s="4">
        <v>41.5</v>
      </c>
      <c r="Z587" s="4">
        <v>134</v>
      </c>
      <c r="AA587" s="5">
        <f t="shared" si="35"/>
        <v>0.30970149253731344</v>
      </c>
      <c r="AB587" s="5"/>
      <c r="AC58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87" s="5">
        <f>IF(Tabelle1[[#This Row],[Nicht einbezogen weil…]]="",IFERROR(1000*Tabelle1[[#This Row],[Formfaktor]]/Tabelle1[[#This Row],[Thickness '[mm']]],""),"")</f>
        <v>80000</v>
      </c>
      <c r="AE587" s="5" t="str">
        <f>IF(Tabelle1[[#This Row],[Nicht einbezogen weil…]]="",IFERROR(Tabelle1[[#This Row],[specific surface '[m^2/m^3']]]/Tabelle1[[#This Row],[Density 
'[g/cm3']]]/1000000,""),"")</f>
        <v/>
      </c>
      <c r="AF587" s="5">
        <f>IF(Tabelle1[[#This Row],[Nicht einbezogen weil…]]="",IFERROR(365*10*Tabelle1[[#This Row],[Abbaurate '[%/d']]]*Tabelle1[[#This Row],[Thickness '[mm']]]/Tabelle1[[#This Row],[Formfaktor]],""),"")</f>
        <v>14.130130597014926</v>
      </c>
      <c r="AG587" s="328">
        <f>IF(OR(Tabelle1[[#This Row],[Nicht einbezogen weil…]]="",Tabelle1[[#This Row],[Nicht einbezogen weil…]]="nicht-natürlich"),IF(Tabelle1[[#This Row],[Formfaktor]]=2, 1,IF(Tabelle1[[#This Row],[Formfaktor]]=4,2,IF(Tabelle1[[#This Row],[Formfaktor]]=6,3,""))),"")</f>
        <v>1</v>
      </c>
      <c r="AH587" s="5">
        <f>IF(OR(Tabelle1[[#This Row],[Nicht einbezogen weil…]]="",Tabelle1[[#This Row],[Nicht einbezogen weil…]]="nicht-natürlich"),IFERROR(Tabelle1[[#This Row],[Thickness '[mm']]]/Tabelle1[[#This Row],[Dauer des Abbaus
'[Tage']]]*1000*0.5*365*(1-(1-Tabelle1[[#This Row],[Abbaurate '[%/d']]]/100*Tabelle1[[#This Row],[Dauer des Abbaus
'[Tage']]])^(1/Tabelle1[[#This Row],[Exponent]])),""),"")</f>
        <v>14.130130597014929</v>
      </c>
      <c r="AI58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PBSe_Benthic_natürlich</v>
      </c>
      <c r="AJ587" s="6">
        <v>1</v>
      </c>
      <c r="AK58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87" s="3" t="s">
        <v>1366</v>
      </c>
      <c r="AU587" s="13"/>
    </row>
    <row r="588" spans="1:49" ht="17.25" customHeight="1">
      <c r="B588" s="109" t="s">
        <v>18</v>
      </c>
      <c r="C588" s="3" t="s">
        <v>18</v>
      </c>
      <c r="D588" s="3" t="s">
        <v>223</v>
      </c>
      <c r="E588" s="10"/>
      <c r="F588" s="3" t="s">
        <v>288</v>
      </c>
      <c r="G588" s="3">
        <v>0.1</v>
      </c>
      <c r="H588" s="3">
        <f>PI()*(0.015^2)</f>
        <v>7.0685834705770342E-4</v>
      </c>
      <c r="I588" s="77">
        <v>1.26</v>
      </c>
      <c r="J588" s="3" t="s">
        <v>708</v>
      </c>
      <c r="K588" s="8" t="s">
        <v>229</v>
      </c>
      <c r="M588" s="3" t="s">
        <v>200</v>
      </c>
      <c r="N588" s="3" t="s">
        <v>23</v>
      </c>
      <c r="O588" s="3" t="s">
        <v>23</v>
      </c>
      <c r="P58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8" s="4">
        <v>28.75</v>
      </c>
      <c r="R588" s="9" t="s">
        <v>707</v>
      </c>
      <c r="W588" s="3" t="s">
        <v>13</v>
      </c>
      <c r="Y588" s="4">
        <v>58</v>
      </c>
      <c r="Z588" s="4">
        <v>160</v>
      </c>
      <c r="AA588" s="5">
        <f t="shared" si="35"/>
        <v>0.36249999999999999</v>
      </c>
      <c r="AB588" s="5"/>
      <c r="AC58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88" s="97">
        <f>IF(Tabelle1[[#This Row],[Nicht einbezogen weil…]]="",IFERROR(1000*Tabelle1[[#This Row],[Formfaktor]]/Tabelle1[[#This Row],[Thickness '[mm']]],""),"")</f>
        <v>20000</v>
      </c>
      <c r="AE588" s="98">
        <f>IF(Tabelle1[[#This Row],[Nicht einbezogen weil…]]="",IFERROR(Tabelle1[[#This Row],[specific surface '[m^2/m^3']]]/Tabelle1[[#This Row],[Density 
'[g/cm3']]]/1000000,""),"")</f>
        <v>1.5873015873015872E-2</v>
      </c>
      <c r="AF588" s="97">
        <f>IF(Tabelle1[[#This Row],[Nicht einbezogen weil…]]="",IFERROR(365*10*Tabelle1[[#This Row],[Abbaurate '[%/d']]]*Tabelle1[[#This Row],[Thickness '[mm']]]/Tabelle1[[#This Row],[Formfaktor]],""),"")</f>
        <v>66.15625</v>
      </c>
      <c r="AG588" s="99">
        <f>IF(OR(Tabelle1[[#This Row],[Nicht einbezogen weil…]]="",Tabelle1[[#This Row],[Nicht einbezogen weil…]]="nicht-natürlich"),IF(Tabelle1[[#This Row],[Formfaktor]]=2, 1,IF(Tabelle1[[#This Row],[Formfaktor]]=4,2,IF(Tabelle1[[#This Row],[Formfaktor]]=6,3,""))),"")</f>
        <v>1</v>
      </c>
      <c r="AH588" s="97">
        <f>IF(OR(Tabelle1[[#This Row],[Nicht einbezogen weil…]]="",Tabelle1[[#This Row],[Nicht einbezogen weil…]]="nicht-natürlich"),IFERROR(Tabelle1[[#This Row],[Thickness '[mm']]]/Tabelle1[[#This Row],[Dauer des Abbaus
'[Tage']]]*1000*0.5*365*(1-(1-Tabelle1[[#This Row],[Abbaurate '[%/d']]]/100*Tabelle1[[#This Row],[Dauer des Abbaus
'[Tage']]])^(1/Tabelle1[[#This Row],[Exponent]])),""),"")</f>
        <v>66.15625</v>
      </c>
      <c r="AI58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PHB_Meerwasser_natürlich</v>
      </c>
      <c r="AJ588" s="71">
        <v>1</v>
      </c>
      <c r="AK58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88" s="3" t="s">
        <v>147</v>
      </c>
      <c r="AM588" s="3" t="s">
        <v>963</v>
      </c>
      <c r="AO588" s="3" t="s">
        <v>235</v>
      </c>
      <c r="AP588" s="3" t="s">
        <v>200</v>
      </c>
      <c r="AT588" s="10" t="s">
        <v>223</v>
      </c>
      <c r="AU588" s="13" t="s">
        <v>200</v>
      </c>
      <c r="AV588" s="14"/>
      <c r="AW588" s="10" t="s">
        <v>813</v>
      </c>
    </row>
    <row r="589" spans="1:49" ht="17.25" customHeight="1">
      <c r="B589" s="109" t="s">
        <v>18</v>
      </c>
      <c r="C589" s="3" t="s">
        <v>18</v>
      </c>
      <c r="D589" s="3" t="s">
        <v>223</v>
      </c>
      <c r="E589" s="10"/>
      <c r="F589" s="3" t="s">
        <v>331</v>
      </c>
      <c r="G589" s="3">
        <v>10</v>
      </c>
      <c r="H589" s="3">
        <f>2*PI()*0.005*0.005+2*PI()*(0.005^2)</f>
        <v>3.1415926535897931E-4</v>
      </c>
      <c r="I589" s="77">
        <v>1.26</v>
      </c>
      <c r="J589" s="3" t="s">
        <v>706</v>
      </c>
      <c r="K589" s="8" t="s">
        <v>229</v>
      </c>
      <c r="M589" s="3" t="s">
        <v>200</v>
      </c>
      <c r="N589" s="3" t="s">
        <v>23</v>
      </c>
      <c r="O589" s="3" t="s">
        <v>23</v>
      </c>
      <c r="P58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89" s="4">
        <v>28.75</v>
      </c>
      <c r="R589" s="9" t="s">
        <v>707</v>
      </c>
      <c r="S589" s="3"/>
      <c r="T589" s="3"/>
      <c r="U589" s="3"/>
      <c r="V589" s="3"/>
      <c r="W589" s="3" t="s">
        <v>13</v>
      </c>
      <c r="Y589" s="4">
        <v>38</v>
      </c>
      <c r="Z589" s="4">
        <v>160</v>
      </c>
      <c r="AA589" s="5">
        <f t="shared" si="35"/>
        <v>0.23749999999999999</v>
      </c>
      <c r="AB589" s="5"/>
      <c r="AC58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89" s="97">
        <f>IF(Tabelle1[[#This Row],[Nicht einbezogen weil…]]="",IFERROR(1000*Tabelle1[[#This Row],[Formfaktor]]/Tabelle1[[#This Row],[Thickness '[mm']]],""),"")</f>
        <v>600</v>
      </c>
      <c r="AE589" s="98">
        <f>IF(Tabelle1[[#This Row],[Nicht einbezogen weil…]]="",IFERROR(Tabelle1[[#This Row],[specific surface '[m^2/m^3']]]/Tabelle1[[#This Row],[Density 
'[g/cm3']]]/1000000,""),"")</f>
        <v>4.7619047619047619E-4</v>
      </c>
      <c r="AF589" s="97">
        <f>IF(Tabelle1[[#This Row],[Nicht einbezogen weil…]]="",IFERROR(365*10*Tabelle1[[#This Row],[Abbaurate '[%/d']]]*Tabelle1[[#This Row],[Thickness '[mm']]]/Tabelle1[[#This Row],[Formfaktor]],""),"")</f>
        <v>1444.7916666666667</v>
      </c>
      <c r="AG589" s="99">
        <f>IF(OR(Tabelle1[[#This Row],[Nicht einbezogen weil…]]="",Tabelle1[[#This Row],[Nicht einbezogen weil…]]="nicht-natürlich"),IF(Tabelle1[[#This Row],[Formfaktor]]=2, 1,IF(Tabelle1[[#This Row],[Formfaktor]]=4,2,IF(Tabelle1[[#This Row],[Formfaktor]]=6,3,""))),"")</f>
        <v>3</v>
      </c>
      <c r="AH589" s="97">
        <f>IF(OR(Tabelle1[[#This Row],[Nicht einbezogen weil…]]="",Tabelle1[[#This Row],[Nicht einbezogen weil…]]="nicht-natürlich"),IFERROR(Tabelle1[[#This Row],[Thickness '[mm']]]/Tabelle1[[#This Row],[Dauer des Abbaus
'[Tage']]]*1000*0.5*365*(1-(1-Tabelle1[[#This Row],[Abbaurate '[%/d']]]/100*Tabelle1[[#This Row],[Dauer des Abbaus
'[Tage']]])^(1/Tabelle1[[#This Row],[Exponent]])),""),"")</f>
        <v>1680.1189721944274</v>
      </c>
      <c r="AI58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PHB_Meerwasser_natürlich</v>
      </c>
      <c r="AJ589" s="71">
        <v>1</v>
      </c>
      <c r="AK58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89" s="3" t="s">
        <v>147</v>
      </c>
      <c r="AM589" s="3" t="s">
        <v>963</v>
      </c>
      <c r="AO589" s="3" t="s">
        <v>235</v>
      </c>
      <c r="AP589" s="3" t="s">
        <v>200</v>
      </c>
      <c r="AT589" s="10" t="s">
        <v>223</v>
      </c>
      <c r="AU589" s="13" t="s">
        <v>200</v>
      </c>
      <c r="AW589" s="10" t="s">
        <v>813</v>
      </c>
    </row>
    <row r="590" spans="1:49" ht="17.25" customHeight="1">
      <c r="A590" s="10" t="s">
        <v>223</v>
      </c>
      <c r="B590" s="109" t="s">
        <v>1078</v>
      </c>
      <c r="C590" s="3" t="s">
        <v>1187</v>
      </c>
      <c r="D590" s="3" t="s">
        <v>223</v>
      </c>
      <c r="F590" s="3" t="s">
        <v>996</v>
      </c>
      <c r="G590" s="3">
        <v>2.5000000000000001E-2</v>
      </c>
      <c r="J590" s="3" t="s">
        <v>1367</v>
      </c>
      <c r="K590" s="8" t="s">
        <v>1378</v>
      </c>
      <c r="L590" s="3" t="s">
        <v>223</v>
      </c>
      <c r="M590" s="12" t="s">
        <v>301</v>
      </c>
      <c r="N590" s="3" t="s">
        <v>1383</v>
      </c>
      <c r="O590" s="3" t="s">
        <v>1104</v>
      </c>
      <c r="P59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90" s="4" t="s">
        <v>1373</v>
      </c>
      <c r="R590" s="4" t="s">
        <v>1371</v>
      </c>
      <c r="T590" s="4" t="s">
        <v>1370</v>
      </c>
      <c r="V590" s="4" t="s">
        <v>734</v>
      </c>
      <c r="W590" s="12" t="s">
        <v>190</v>
      </c>
      <c r="Y590" s="4">
        <v>46</v>
      </c>
      <c r="Z590" s="4">
        <v>224</v>
      </c>
      <c r="AA590" s="5">
        <f t="shared" si="35"/>
        <v>0.20535714285714285</v>
      </c>
      <c r="AB590" s="5"/>
      <c r="AC59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90" s="5">
        <f>IF(Tabelle1[[#This Row],[Nicht einbezogen weil…]]="",IFERROR(1000*Tabelle1[[#This Row],[Formfaktor]]/Tabelle1[[#This Row],[Thickness '[mm']]],""),"")</f>
        <v>80000</v>
      </c>
      <c r="AE590" s="5" t="str">
        <f>IF(Tabelle1[[#This Row],[Nicht einbezogen weil…]]="",IFERROR(Tabelle1[[#This Row],[specific surface '[m^2/m^3']]]/Tabelle1[[#This Row],[Density 
'[g/cm3']]]/1000000,""),"")</f>
        <v/>
      </c>
      <c r="AF590" s="5">
        <f>IF(Tabelle1[[#This Row],[Nicht einbezogen weil…]]="",IFERROR(365*10*Tabelle1[[#This Row],[Abbaurate '[%/d']]]*Tabelle1[[#This Row],[Thickness '[mm']]]/Tabelle1[[#This Row],[Formfaktor]],""),"")</f>
        <v>9.3694196428571441</v>
      </c>
      <c r="AG590" s="328">
        <f>IF(OR(Tabelle1[[#This Row],[Nicht einbezogen weil…]]="",Tabelle1[[#This Row],[Nicht einbezogen weil…]]="nicht-natürlich"),IF(Tabelle1[[#This Row],[Formfaktor]]=2, 1,IF(Tabelle1[[#This Row],[Formfaktor]]=4,2,IF(Tabelle1[[#This Row],[Formfaktor]]=6,3,""))),"")</f>
        <v>1</v>
      </c>
      <c r="AH590" s="5">
        <f>IF(OR(Tabelle1[[#This Row],[Nicht einbezogen weil…]]="",Tabelle1[[#This Row],[Nicht einbezogen weil…]]="nicht-natürlich"),IFERROR(Tabelle1[[#This Row],[Thickness '[mm']]]/Tabelle1[[#This Row],[Dauer des Abbaus
'[Tage']]]*1000*0.5*365*(1-(1-Tabelle1[[#This Row],[Abbaurate '[%/d']]]/100*Tabelle1[[#This Row],[Dauer des Abbaus
'[Tage']]])^(1/Tabelle1[[#This Row],[Exponent]])),""),"")</f>
        <v>9.3694196428571423</v>
      </c>
      <c r="AI59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PBSe_Benthic_natürlich</v>
      </c>
      <c r="AJ590" s="6">
        <v>1</v>
      </c>
      <c r="AK59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90" s="3" t="s">
        <v>1366</v>
      </c>
      <c r="AU590" s="13"/>
    </row>
    <row r="591" spans="1:49" ht="17.25" customHeight="1">
      <c r="B591" s="109" t="s">
        <v>19</v>
      </c>
      <c r="C591" s="3" t="s">
        <v>19</v>
      </c>
      <c r="D591" s="3" t="s">
        <v>223</v>
      </c>
      <c r="E591" s="10"/>
      <c r="F591" s="3" t="s">
        <v>288</v>
      </c>
      <c r="G591" s="3">
        <v>0.06</v>
      </c>
      <c r="H591" s="3">
        <f>0.01*0.01</f>
        <v>1E-4</v>
      </c>
      <c r="I591" s="3" t="s">
        <v>341</v>
      </c>
      <c r="J591" s="3" t="s">
        <v>1194</v>
      </c>
      <c r="K591" s="8" t="s">
        <v>689</v>
      </c>
      <c r="L591" s="3" t="s">
        <v>229</v>
      </c>
      <c r="M591" s="3" t="s">
        <v>301</v>
      </c>
      <c r="N591" s="3" t="s">
        <v>22</v>
      </c>
      <c r="O591" s="3" t="s">
        <v>358</v>
      </c>
      <c r="P59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91" s="4">
        <v>25</v>
      </c>
      <c r="S591" s="4">
        <v>65</v>
      </c>
      <c r="W591" s="3" t="s">
        <v>90</v>
      </c>
      <c r="Y591" s="9">
        <v>50</v>
      </c>
      <c r="Z591" s="9">
        <f>15.5*7</f>
        <v>108.5</v>
      </c>
      <c r="AA591" s="5">
        <f>Tabelle1[[#This Row],[biologische
Abbaubarkeit '[%']]]/Tabelle1[[#This Row],[Dauer des Abbaus
'[Tage']]]</f>
        <v>0.46082949308755761</v>
      </c>
      <c r="AB591" s="5"/>
      <c r="AC59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91" s="97">
        <f>IF(Tabelle1[[#This Row],[Nicht einbezogen weil…]]="",IFERROR(1000*Tabelle1[[#This Row],[Formfaktor]]/Tabelle1[[#This Row],[Thickness '[mm']]],""),"")</f>
        <v>33333.333333333336</v>
      </c>
      <c r="AE591" s="98" t="str">
        <f>IF(Tabelle1[[#This Row],[Nicht einbezogen weil…]]="",IFERROR(Tabelle1[[#This Row],[specific surface '[m^2/m^3']]]/Tabelle1[[#This Row],[Density 
'[g/cm3']]]/1000000,""),"")</f>
        <v/>
      </c>
      <c r="AF591" s="97">
        <f>IF(Tabelle1[[#This Row],[Nicht einbezogen weil…]]="",IFERROR(365*10*Tabelle1[[#This Row],[Abbaurate '[%/d']]]*Tabelle1[[#This Row],[Thickness '[mm']]]/Tabelle1[[#This Row],[Formfaktor]],""),"")</f>
        <v>50.460829493087552</v>
      </c>
      <c r="AG591" s="99">
        <f>IF(OR(Tabelle1[[#This Row],[Nicht einbezogen weil…]]="",Tabelle1[[#This Row],[Nicht einbezogen weil…]]="nicht-natürlich"),IF(Tabelle1[[#This Row],[Formfaktor]]=2, 1,IF(Tabelle1[[#This Row],[Formfaktor]]=4,2,IF(Tabelle1[[#This Row],[Formfaktor]]=6,3,""))),"")</f>
        <v>1</v>
      </c>
      <c r="AH591" s="97">
        <f>IF(OR(Tabelle1[[#This Row],[Nicht einbezogen weil…]]="",Tabelle1[[#This Row],[Nicht einbezogen weil…]]="nicht-natürlich"),IFERROR(Tabelle1[[#This Row],[Thickness '[mm']]]/Tabelle1[[#This Row],[Dauer des Abbaus
'[Tage']]]*1000*0.5*365*(1-(1-Tabelle1[[#This Row],[Abbaurate '[%/d']]]/100*Tabelle1[[#This Row],[Dauer des Abbaus
'[Tage']]])^(1/Tabelle1[[#This Row],[Exponent]])),""),"")</f>
        <v>50.460829493087559</v>
      </c>
      <c r="AI59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PHBV_Boden/Kompost_natürlich</v>
      </c>
      <c r="AJ591" s="71">
        <v>1</v>
      </c>
      <c r="AK59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91" s="3" t="s">
        <v>144</v>
      </c>
      <c r="AM591" s="3" t="s">
        <v>962</v>
      </c>
      <c r="AO591" s="3" t="s">
        <v>200</v>
      </c>
      <c r="AP591" s="3" t="s">
        <v>200</v>
      </c>
      <c r="AT591" s="10" t="s">
        <v>223</v>
      </c>
      <c r="AU591" s="13" t="s">
        <v>200</v>
      </c>
      <c r="AW591" s="10" t="s">
        <v>1415</v>
      </c>
    </row>
    <row r="592" spans="1:49" ht="17.25" customHeight="1">
      <c r="B592" s="109" t="s">
        <v>19</v>
      </c>
      <c r="C592" s="3" t="s">
        <v>19</v>
      </c>
      <c r="D592" s="3" t="s">
        <v>223</v>
      </c>
      <c r="E592" s="10"/>
      <c r="F592" s="3" t="s">
        <v>288</v>
      </c>
      <c r="G592" s="3">
        <v>0.5</v>
      </c>
      <c r="H592" s="3">
        <f>0.1*0.01</f>
        <v>1E-3</v>
      </c>
      <c r="I592" s="24">
        <v>1.24</v>
      </c>
      <c r="K592" s="8" t="s">
        <v>229</v>
      </c>
      <c r="M592" s="3" t="s">
        <v>301</v>
      </c>
      <c r="N592" s="3" t="s">
        <v>1002</v>
      </c>
      <c r="O592" s="3" t="s">
        <v>358</v>
      </c>
      <c r="P59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592" s="4">
        <v>50</v>
      </c>
      <c r="W592" s="3" t="s">
        <v>1003</v>
      </c>
      <c r="Y592" s="4">
        <v>50</v>
      </c>
      <c r="Z592" s="4">
        <v>30</v>
      </c>
      <c r="AA592" s="5">
        <f t="shared" ref="AA592:AA602" si="36">Y592/Z592</f>
        <v>1.6666666666666667</v>
      </c>
      <c r="AB592" s="5"/>
      <c r="AC59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92" s="5">
        <f>IF(Tabelle1[[#This Row],[Nicht einbezogen weil…]]="",IFERROR(1000*Tabelle1[[#This Row],[Formfaktor]]/Tabelle1[[#This Row],[Thickness '[mm']]],""),"")</f>
        <v>4000</v>
      </c>
      <c r="AE592" s="5">
        <f>IF(Tabelle1[[#This Row],[Nicht einbezogen weil…]]="",IFERROR(Tabelle1[[#This Row],[specific surface '[m^2/m^3']]]/Tabelle1[[#This Row],[Density 
'[g/cm3']]]/1000000,""),"")</f>
        <v>3.2258064516129032E-3</v>
      </c>
      <c r="AF592" s="5">
        <f>IF(Tabelle1[[#This Row],[Nicht einbezogen weil…]]="",IFERROR(365*10*Tabelle1[[#This Row],[Abbaurate '[%/d']]]*Tabelle1[[#This Row],[Thickness '[mm']]]/Tabelle1[[#This Row],[Formfaktor]],""),"")</f>
        <v>1520.8333333333335</v>
      </c>
      <c r="AG592" s="328">
        <f>IF(OR(Tabelle1[[#This Row],[Nicht einbezogen weil…]]="",Tabelle1[[#This Row],[Nicht einbezogen weil…]]="nicht-natürlich"),IF(Tabelle1[[#This Row],[Formfaktor]]=2, 1,IF(Tabelle1[[#This Row],[Formfaktor]]=4,2,IF(Tabelle1[[#This Row],[Formfaktor]]=6,3,""))),"")</f>
        <v>1</v>
      </c>
      <c r="AH592" s="5">
        <f>IF(OR(Tabelle1[[#This Row],[Nicht einbezogen weil…]]="",Tabelle1[[#This Row],[Nicht einbezogen weil…]]="nicht-natürlich"),IFERROR(Tabelle1[[#This Row],[Thickness '[mm']]]/Tabelle1[[#This Row],[Dauer des Abbaus
'[Tage']]]*1000*0.5*365*(1-(1-Tabelle1[[#This Row],[Abbaurate '[%/d']]]/100*Tabelle1[[#This Row],[Dauer des Abbaus
'[Tage']]])^(1/Tabelle1[[#This Row],[Exponent]])),""),"")</f>
        <v>1520.8333333333335</v>
      </c>
      <c r="AI59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PHBV_Boden/Kompost_natürlich</v>
      </c>
      <c r="AJ592" s="6">
        <v>1</v>
      </c>
      <c r="AK59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92" s="3" t="s">
        <v>973</v>
      </c>
      <c r="AM592" s="3" t="s">
        <v>967</v>
      </c>
      <c r="AN592" s="3" t="s">
        <v>824</v>
      </c>
      <c r="AT592" s="10" t="s">
        <v>200</v>
      </c>
      <c r="AU592" s="13" t="s">
        <v>200</v>
      </c>
      <c r="AW592" s="10" t="s">
        <v>813</v>
      </c>
    </row>
    <row r="593" spans="1:49" ht="17.25" customHeight="1">
      <c r="A593" s="10" t="s">
        <v>223</v>
      </c>
      <c r="B593" s="109" t="s">
        <v>1078</v>
      </c>
      <c r="C593" s="3" t="s">
        <v>1187</v>
      </c>
      <c r="D593" s="3" t="s">
        <v>223</v>
      </c>
      <c r="F593" s="3" t="s">
        <v>996</v>
      </c>
      <c r="G593" s="3">
        <v>2.5000000000000001E-2</v>
      </c>
      <c r="J593" s="3" t="s">
        <v>1367</v>
      </c>
      <c r="K593" s="8" t="s">
        <v>1379</v>
      </c>
      <c r="L593" s="3" t="s">
        <v>223</v>
      </c>
      <c r="M593" s="12" t="s">
        <v>301</v>
      </c>
      <c r="N593" s="3" t="s">
        <v>1383</v>
      </c>
      <c r="O593" s="3" t="s">
        <v>1104</v>
      </c>
      <c r="P59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93" s="4" t="s">
        <v>1373</v>
      </c>
      <c r="R593" s="4" t="s">
        <v>1371</v>
      </c>
      <c r="T593" s="4" t="s">
        <v>1370</v>
      </c>
      <c r="V593" s="4" t="s">
        <v>734</v>
      </c>
      <c r="W593" s="12" t="s">
        <v>190</v>
      </c>
      <c r="Y593" s="4">
        <v>73.5</v>
      </c>
      <c r="Z593" s="4">
        <v>257</v>
      </c>
      <c r="AA593" s="5">
        <f t="shared" si="36"/>
        <v>0.28599221789883267</v>
      </c>
      <c r="AB593" s="5"/>
      <c r="AC59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93" s="5">
        <f>IF(Tabelle1[[#This Row],[Nicht einbezogen weil…]]="",IFERROR(1000*Tabelle1[[#This Row],[Formfaktor]]/Tabelle1[[#This Row],[Thickness '[mm']]],""),"")</f>
        <v>80000</v>
      </c>
      <c r="AE593" s="5" t="str">
        <f>IF(Tabelle1[[#This Row],[Nicht einbezogen weil…]]="",IFERROR(Tabelle1[[#This Row],[specific surface '[m^2/m^3']]]/Tabelle1[[#This Row],[Density 
'[g/cm3']]]/1000000,""),"")</f>
        <v/>
      </c>
      <c r="AF593" s="5">
        <f>IF(Tabelle1[[#This Row],[Nicht einbezogen weil…]]="",IFERROR(365*10*Tabelle1[[#This Row],[Abbaurate '[%/d']]]*Tabelle1[[#This Row],[Thickness '[mm']]]/Tabelle1[[#This Row],[Formfaktor]],""),"")</f>
        <v>13.048394941634241</v>
      </c>
      <c r="AG593" s="328">
        <f>IF(OR(Tabelle1[[#This Row],[Nicht einbezogen weil…]]="",Tabelle1[[#This Row],[Nicht einbezogen weil…]]="nicht-natürlich"),IF(Tabelle1[[#This Row],[Formfaktor]]=2, 1,IF(Tabelle1[[#This Row],[Formfaktor]]=4,2,IF(Tabelle1[[#This Row],[Formfaktor]]=6,3,""))),"")</f>
        <v>1</v>
      </c>
      <c r="AH593" s="5">
        <f>IF(OR(Tabelle1[[#This Row],[Nicht einbezogen weil…]]="",Tabelle1[[#This Row],[Nicht einbezogen weil…]]="nicht-natürlich"),IFERROR(Tabelle1[[#This Row],[Thickness '[mm']]]/Tabelle1[[#This Row],[Dauer des Abbaus
'[Tage']]]*1000*0.5*365*(1-(1-Tabelle1[[#This Row],[Abbaurate '[%/d']]]/100*Tabelle1[[#This Row],[Dauer des Abbaus
'[Tage']]])^(1/Tabelle1[[#This Row],[Exponent]])),""),"")</f>
        <v>13.048394941634241</v>
      </c>
      <c r="AI59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PBSe_Benthic_natürlich</v>
      </c>
      <c r="AJ593" s="6">
        <v>1</v>
      </c>
      <c r="AK59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93" s="3" t="s">
        <v>1366</v>
      </c>
      <c r="AU593" s="13"/>
    </row>
    <row r="594" spans="1:49" ht="17.25" customHeight="1">
      <c r="A594" s="10" t="s">
        <v>223</v>
      </c>
      <c r="B594" s="109" t="s">
        <v>19</v>
      </c>
      <c r="C594" s="3" t="s">
        <v>19</v>
      </c>
      <c r="D594" s="3" t="s">
        <v>223</v>
      </c>
      <c r="E594" s="10"/>
      <c r="F594" s="3" t="s">
        <v>288</v>
      </c>
      <c r="G594" s="3">
        <v>0.1</v>
      </c>
      <c r="H594" s="341">
        <f>PI()*(0.015^2)</f>
        <v>7.0685834705770342E-4</v>
      </c>
      <c r="I594" s="24">
        <v>1.24</v>
      </c>
      <c r="J594" s="3" t="s">
        <v>708</v>
      </c>
      <c r="K594" s="8" t="s">
        <v>229</v>
      </c>
      <c r="M594" s="3" t="s">
        <v>200</v>
      </c>
      <c r="N594" s="3" t="s">
        <v>5</v>
      </c>
      <c r="O594" s="3" t="s">
        <v>358</v>
      </c>
      <c r="P59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94" s="4" t="s">
        <v>157</v>
      </c>
      <c r="W594" s="3" t="s">
        <v>13</v>
      </c>
      <c r="Y594" s="4">
        <v>60</v>
      </c>
      <c r="Z594" s="4">
        <v>300</v>
      </c>
      <c r="AA594" s="5">
        <f t="shared" si="36"/>
        <v>0.2</v>
      </c>
      <c r="AB594" s="5"/>
      <c r="AC59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94" s="97">
        <f>IF(Tabelle1[[#This Row],[Nicht einbezogen weil…]]="",IFERROR(1000*Tabelle1[[#This Row],[Formfaktor]]/Tabelle1[[#This Row],[Thickness '[mm']]],""),"")</f>
        <v>20000</v>
      </c>
      <c r="AE594" s="98">
        <f>IF(Tabelle1[[#This Row],[Nicht einbezogen weil…]]="",IFERROR(Tabelle1[[#This Row],[specific surface '[m^2/m^3']]]/Tabelle1[[#This Row],[Density 
'[g/cm3']]]/1000000,""),"")</f>
        <v>1.6129032258064516E-2</v>
      </c>
      <c r="AF594" s="97">
        <f>IF(Tabelle1[[#This Row],[Nicht einbezogen weil…]]="",IFERROR(365*10*Tabelle1[[#This Row],[Abbaurate '[%/d']]]*Tabelle1[[#This Row],[Thickness '[mm']]]/Tabelle1[[#This Row],[Formfaktor]],""),"")</f>
        <v>36.5</v>
      </c>
      <c r="AG594" s="99">
        <f>IF(OR(Tabelle1[[#This Row],[Nicht einbezogen weil…]]="",Tabelle1[[#This Row],[Nicht einbezogen weil…]]="nicht-natürlich"),IF(Tabelle1[[#This Row],[Formfaktor]]=2, 1,IF(Tabelle1[[#This Row],[Formfaktor]]=4,2,IF(Tabelle1[[#This Row],[Formfaktor]]=6,3,""))),"")</f>
        <v>1</v>
      </c>
      <c r="AH594" s="97">
        <f>IF(OR(Tabelle1[[#This Row],[Nicht einbezogen weil…]]="",Tabelle1[[#This Row],[Nicht einbezogen weil…]]="nicht-natürlich"),IFERROR(Tabelle1[[#This Row],[Thickness '[mm']]]/Tabelle1[[#This Row],[Dauer des Abbaus
'[Tage']]]*1000*0.5*365*(1-(1-Tabelle1[[#This Row],[Abbaurate '[%/d']]]/100*Tabelle1[[#This Row],[Dauer des Abbaus
'[Tage']]])^(1/Tabelle1[[#This Row],[Exponent]])),""),"")</f>
        <v>36.500000000000007</v>
      </c>
      <c r="AI59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PHBV_Boden/Kompost_natürlich</v>
      </c>
      <c r="AJ594" s="71">
        <v>1</v>
      </c>
      <c r="AK59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94" s="3" t="s">
        <v>143</v>
      </c>
      <c r="AM594" s="3" t="s">
        <v>962</v>
      </c>
      <c r="AO594" s="3" t="s">
        <v>200</v>
      </c>
      <c r="AP594" s="3" t="s">
        <v>200</v>
      </c>
      <c r="AT594" s="10" t="s">
        <v>223</v>
      </c>
      <c r="AU594" s="13" t="s">
        <v>200</v>
      </c>
      <c r="AV594" s="14"/>
      <c r="AW594" s="10" t="s">
        <v>813</v>
      </c>
    </row>
    <row r="595" spans="1:49" ht="17.25" customHeight="1">
      <c r="A595" s="10" t="s">
        <v>223</v>
      </c>
      <c r="B595" s="109" t="s">
        <v>19</v>
      </c>
      <c r="C595" s="3" t="s">
        <v>19</v>
      </c>
      <c r="D595" s="3" t="s">
        <v>223</v>
      </c>
      <c r="E595" s="10"/>
      <c r="F595" s="3" t="s">
        <v>331</v>
      </c>
      <c r="G595" s="3">
        <v>10</v>
      </c>
      <c r="H595" s="341">
        <f>2*PI()*0.005*0.025+2*PI()*(0.005^2)</f>
        <v>9.4247779607693804E-4</v>
      </c>
      <c r="I595" s="24">
        <v>1.24</v>
      </c>
      <c r="J595" s="19" t="s">
        <v>709</v>
      </c>
      <c r="K595" s="8" t="s">
        <v>229</v>
      </c>
      <c r="M595" s="3" t="s">
        <v>200</v>
      </c>
      <c r="N595" s="3" t="s">
        <v>5</v>
      </c>
      <c r="O595" s="3" t="s">
        <v>358</v>
      </c>
      <c r="P595"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95" s="4" t="s">
        <v>157</v>
      </c>
      <c r="W595" s="3" t="s">
        <v>13</v>
      </c>
      <c r="Y595" s="4">
        <v>35</v>
      </c>
      <c r="Z595" s="4">
        <v>300</v>
      </c>
      <c r="AA595" s="5">
        <f t="shared" si="36"/>
        <v>0.11666666666666667</v>
      </c>
      <c r="AB595" s="5"/>
      <c r="AC595"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595" s="97">
        <f>IF(Tabelle1[[#This Row],[Nicht einbezogen weil…]]="",IFERROR(1000*Tabelle1[[#This Row],[Formfaktor]]/Tabelle1[[#This Row],[Thickness '[mm']]],""),"")</f>
        <v>600</v>
      </c>
      <c r="AE595" s="98">
        <f>IF(Tabelle1[[#This Row],[Nicht einbezogen weil…]]="",IFERROR(Tabelle1[[#This Row],[specific surface '[m^2/m^3']]]/Tabelle1[[#This Row],[Density 
'[g/cm3']]]/1000000,""),"")</f>
        <v>4.8387096774193548E-4</v>
      </c>
      <c r="AF595" s="97">
        <f>IF(Tabelle1[[#This Row],[Nicht einbezogen weil…]]="",IFERROR(365*10*Tabelle1[[#This Row],[Abbaurate '[%/d']]]*Tabelle1[[#This Row],[Thickness '[mm']]]/Tabelle1[[#This Row],[Formfaktor]],""),"")</f>
        <v>709.72222222222217</v>
      </c>
      <c r="AG595" s="99">
        <f>IF(OR(Tabelle1[[#This Row],[Nicht einbezogen weil…]]="",Tabelle1[[#This Row],[Nicht einbezogen weil…]]="nicht-natürlich"),IF(Tabelle1[[#This Row],[Formfaktor]]=2, 1,IF(Tabelle1[[#This Row],[Formfaktor]]=4,2,IF(Tabelle1[[#This Row],[Formfaktor]]=6,3,""))),"")</f>
        <v>3</v>
      </c>
      <c r="AH595" s="97">
        <f>IF(OR(Tabelle1[[#This Row],[Nicht einbezogen weil…]]="",Tabelle1[[#This Row],[Nicht einbezogen weil…]]="nicht-natürlich"),IFERROR(Tabelle1[[#This Row],[Thickness '[mm']]]/Tabelle1[[#This Row],[Dauer des Abbaus
'[Tage']]]*1000*0.5*365*(1-(1-Tabelle1[[#This Row],[Abbaurate '[%/d']]]/100*Tabelle1[[#This Row],[Dauer des Abbaus
'[Tage']]])^(1/Tabelle1[[#This Row],[Exponent]])),""),"")</f>
        <v>813.71210917617498</v>
      </c>
      <c r="AI595"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PHBV_Boden/Kompost_natürlich</v>
      </c>
      <c r="AJ595" s="71">
        <v>1</v>
      </c>
      <c r="AK59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95" s="3" t="s">
        <v>143</v>
      </c>
      <c r="AM595" s="3" t="s">
        <v>962</v>
      </c>
      <c r="AN595" s="3" t="s">
        <v>538</v>
      </c>
      <c r="AO595" s="3" t="s">
        <v>200</v>
      </c>
      <c r="AP595" s="3" t="s">
        <v>200</v>
      </c>
      <c r="AT595" s="10" t="s">
        <v>223</v>
      </c>
      <c r="AU595" s="13" t="s">
        <v>200</v>
      </c>
      <c r="AV595" s="14"/>
      <c r="AW595" s="10" t="s">
        <v>813</v>
      </c>
    </row>
    <row r="596" spans="1:49" ht="17.25" customHeight="1">
      <c r="B596" s="109" t="s">
        <v>19</v>
      </c>
      <c r="C596" s="3" t="s">
        <v>19</v>
      </c>
      <c r="D596" s="3" t="s">
        <v>223</v>
      </c>
      <c r="E596" s="10"/>
      <c r="F596" s="3" t="s">
        <v>288</v>
      </c>
      <c r="G596" s="17">
        <f>AVERAGE(0.152,0.19)</f>
        <v>0.17099999999999999</v>
      </c>
      <c r="H596" s="3">
        <f>0.127*0.0127</f>
        <v>1.6129E-3</v>
      </c>
      <c r="I596" s="24">
        <v>1.24</v>
      </c>
      <c r="J596" s="3" t="s">
        <v>543</v>
      </c>
      <c r="K596" s="8" t="s">
        <v>540</v>
      </c>
      <c r="L596" s="3" t="s">
        <v>545</v>
      </c>
      <c r="M596" s="3" t="s">
        <v>301</v>
      </c>
      <c r="N596" s="3" t="s">
        <v>546</v>
      </c>
      <c r="O596" s="3" t="s">
        <v>23</v>
      </c>
      <c r="P59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96" s="4">
        <v>21</v>
      </c>
      <c r="V596" s="4" t="s">
        <v>27</v>
      </c>
      <c r="W596" s="3" t="s">
        <v>13</v>
      </c>
      <c r="Y596" s="4">
        <v>55</v>
      </c>
      <c r="Z596" s="4">
        <v>26</v>
      </c>
      <c r="AA596" s="5">
        <f t="shared" si="36"/>
        <v>2.1153846153846154</v>
      </c>
      <c r="AB596" s="5"/>
      <c r="AC59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96" s="97">
        <f>IF(Tabelle1[[#This Row],[Nicht einbezogen weil…]]="",IFERROR(1000*Tabelle1[[#This Row],[Formfaktor]]/Tabelle1[[#This Row],[Thickness '[mm']]],""),"")</f>
        <v>11695.906432748539</v>
      </c>
      <c r="AE596" s="98">
        <f>IF(Tabelle1[[#This Row],[Nicht einbezogen weil…]]="",IFERROR(Tabelle1[[#This Row],[specific surface '[m^2/m^3']]]/Tabelle1[[#This Row],[Density 
'[g/cm3']]]/1000000,""),"")</f>
        <v>9.4321826070552749E-3</v>
      </c>
      <c r="AF596" s="97">
        <f>IF(Tabelle1[[#This Row],[Nicht einbezogen weil…]]="",IFERROR(365*10*Tabelle1[[#This Row],[Abbaurate '[%/d']]]*Tabelle1[[#This Row],[Thickness '[mm']]]/Tabelle1[[#This Row],[Formfaktor]],""),"")</f>
        <v>660.15865384615381</v>
      </c>
      <c r="AG596" s="99">
        <f>IF(OR(Tabelle1[[#This Row],[Nicht einbezogen weil…]]="",Tabelle1[[#This Row],[Nicht einbezogen weil…]]="nicht-natürlich"),IF(Tabelle1[[#This Row],[Formfaktor]]=2, 1,IF(Tabelle1[[#This Row],[Formfaktor]]=4,2,IF(Tabelle1[[#This Row],[Formfaktor]]=6,3,""))),"")</f>
        <v>1</v>
      </c>
      <c r="AH596" s="97">
        <f>IF(OR(Tabelle1[[#This Row],[Nicht einbezogen weil…]]="",Tabelle1[[#This Row],[Nicht einbezogen weil…]]="nicht-natürlich"),IFERROR(Tabelle1[[#This Row],[Thickness '[mm']]]/Tabelle1[[#This Row],[Dauer des Abbaus
'[Tage']]]*1000*0.5*365*(1-(1-Tabelle1[[#This Row],[Abbaurate '[%/d']]]/100*Tabelle1[[#This Row],[Dauer des Abbaus
'[Tage']]])^(1/Tabelle1[[#This Row],[Exponent]])),""),"")</f>
        <v>660.15865384615381</v>
      </c>
      <c r="AI59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PHBV_Meerwasser_natürlich</v>
      </c>
      <c r="AJ596" s="71">
        <v>1</v>
      </c>
      <c r="AK59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96" s="3" t="s">
        <v>146</v>
      </c>
      <c r="AM596" s="8" t="s">
        <v>978</v>
      </c>
      <c r="AN596" s="3" t="s">
        <v>538</v>
      </c>
      <c r="AO596" s="3" t="s">
        <v>200</v>
      </c>
      <c r="AP596" s="3" t="s">
        <v>200</v>
      </c>
      <c r="AT596" s="3" t="s">
        <v>223</v>
      </c>
      <c r="AU596" s="13" t="s">
        <v>200</v>
      </c>
      <c r="AW596" s="10" t="s">
        <v>817</v>
      </c>
    </row>
    <row r="597" spans="1:49" ht="17.25" customHeight="1">
      <c r="A597" s="10" t="s">
        <v>223</v>
      </c>
      <c r="B597" s="109" t="s">
        <v>1077</v>
      </c>
      <c r="C597" s="3" t="s">
        <v>1188</v>
      </c>
      <c r="D597" s="3" t="s">
        <v>223</v>
      </c>
      <c r="F597" s="3" t="s">
        <v>996</v>
      </c>
      <c r="G597" s="3">
        <v>2.5000000000000001E-2</v>
      </c>
      <c r="J597" s="3" t="s">
        <v>1189</v>
      </c>
      <c r="K597" s="8" t="s">
        <v>1376</v>
      </c>
      <c r="L597" s="3" t="s">
        <v>223</v>
      </c>
      <c r="M597" s="12" t="s">
        <v>301</v>
      </c>
      <c r="N597" s="3" t="s">
        <v>1383</v>
      </c>
      <c r="O597" s="3" t="s">
        <v>1104</v>
      </c>
      <c r="P59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97" s="4" t="s">
        <v>1373</v>
      </c>
      <c r="R597" s="4" t="s">
        <v>1371</v>
      </c>
      <c r="T597" s="4" t="s">
        <v>1370</v>
      </c>
      <c r="V597" s="4" t="s">
        <v>734</v>
      </c>
      <c r="W597" s="12" t="s">
        <v>190</v>
      </c>
      <c r="Y597" s="4">
        <v>39.1</v>
      </c>
      <c r="Z597" s="4">
        <v>240</v>
      </c>
      <c r="AA597" s="5">
        <f t="shared" si="36"/>
        <v>0.16291666666666668</v>
      </c>
      <c r="AB597" s="5"/>
      <c r="AC59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97" s="5">
        <f>IF(Tabelle1[[#This Row],[Nicht einbezogen weil…]]="",IFERROR(1000*Tabelle1[[#This Row],[Formfaktor]]/Tabelle1[[#This Row],[Thickness '[mm']]],""),"")</f>
        <v>80000</v>
      </c>
      <c r="AE597" s="5" t="str">
        <f>IF(Tabelle1[[#This Row],[Nicht einbezogen weil…]]="",IFERROR(Tabelle1[[#This Row],[specific surface '[m^2/m^3']]]/Tabelle1[[#This Row],[Density 
'[g/cm3']]]/1000000,""),"")</f>
        <v/>
      </c>
      <c r="AF597" s="5">
        <f>IF(Tabelle1[[#This Row],[Nicht einbezogen weil…]]="",IFERROR(365*10*Tabelle1[[#This Row],[Abbaurate '[%/d']]]*Tabelle1[[#This Row],[Thickness '[mm']]]/Tabelle1[[#This Row],[Formfaktor]],""),"")</f>
        <v>7.4330729166666671</v>
      </c>
      <c r="AG597" s="328">
        <f>IF(OR(Tabelle1[[#This Row],[Nicht einbezogen weil…]]="",Tabelle1[[#This Row],[Nicht einbezogen weil…]]="nicht-natürlich"),IF(Tabelle1[[#This Row],[Formfaktor]]=2, 1,IF(Tabelle1[[#This Row],[Formfaktor]]=4,2,IF(Tabelle1[[#This Row],[Formfaktor]]=6,3,""))),"")</f>
        <v>1</v>
      </c>
      <c r="AH597" s="5">
        <f>IF(OR(Tabelle1[[#This Row],[Nicht einbezogen weil…]]="",Tabelle1[[#This Row],[Nicht einbezogen weil…]]="nicht-natürlich"),IFERROR(Tabelle1[[#This Row],[Thickness '[mm']]]/Tabelle1[[#This Row],[Dauer des Abbaus
'[Tage']]]*1000*0.5*365*(1-(1-Tabelle1[[#This Row],[Abbaurate '[%/d']]]/100*Tabelle1[[#This Row],[Dauer des Abbaus
'[Tage']]])^(1/Tabelle1[[#This Row],[Exponent]])),""),"")</f>
        <v>7.4330729166666671</v>
      </c>
      <c r="AI59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PBSeT_Benthic_natürlich</v>
      </c>
      <c r="AJ597" s="6">
        <v>1</v>
      </c>
      <c r="AK59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97" s="3" t="s">
        <v>1366</v>
      </c>
      <c r="AU597" s="13"/>
    </row>
    <row r="598" spans="1:49" ht="17.25" customHeight="1">
      <c r="B598" s="109" t="s">
        <v>19</v>
      </c>
      <c r="C598" s="3" t="s">
        <v>19</v>
      </c>
      <c r="D598" s="3" t="s">
        <v>223</v>
      </c>
      <c r="E598" s="10"/>
      <c r="F598" s="3" t="s">
        <v>198</v>
      </c>
      <c r="G598" s="17">
        <f>AVERAGE(0.152,0.19)</f>
        <v>0.17099999999999999</v>
      </c>
      <c r="H598" s="3" t="s">
        <v>341</v>
      </c>
      <c r="I598" s="24">
        <v>1.24</v>
      </c>
      <c r="J598" s="3" t="s">
        <v>542</v>
      </c>
      <c r="K598" s="8" t="s">
        <v>540</v>
      </c>
      <c r="L598" s="3" t="s">
        <v>545</v>
      </c>
      <c r="M598" s="3" t="s">
        <v>301</v>
      </c>
      <c r="N598" s="3" t="s">
        <v>546</v>
      </c>
      <c r="O598" s="3" t="s">
        <v>23</v>
      </c>
      <c r="P59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598" s="337" t="s">
        <v>30</v>
      </c>
      <c r="R598" s="4" t="s">
        <v>28</v>
      </c>
      <c r="V598" s="4" t="s">
        <v>29</v>
      </c>
      <c r="W598" s="3" t="s">
        <v>13</v>
      </c>
      <c r="Y598" s="4">
        <v>50</v>
      </c>
      <c r="Z598" s="4">
        <v>90</v>
      </c>
      <c r="AA598" s="5">
        <f t="shared" si="36"/>
        <v>0.55555555555555558</v>
      </c>
      <c r="AB598" s="5"/>
      <c r="AC59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98" s="97">
        <f>IF(Tabelle1[[#This Row],[Nicht einbezogen weil…]]="",IFERROR(1000*Tabelle1[[#This Row],[Formfaktor]]/Tabelle1[[#This Row],[Thickness '[mm']]],""),"")</f>
        <v>11695.906432748539</v>
      </c>
      <c r="AE598" s="98">
        <f>IF(Tabelle1[[#This Row],[Nicht einbezogen weil…]]="",IFERROR(Tabelle1[[#This Row],[specific surface '[m^2/m^3']]]/Tabelle1[[#This Row],[Density 
'[g/cm3']]]/1000000,""),"")</f>
        <v>9.4321826070552749E-3</v>
      </c>
      <c r="AF598" s="97">
        <f>IF(Tabelle1[[#This Row],[Nicht einbezogen weil…]]="",IFERROR(365*10*Tabelle1[[#This Row],[Abbaurate '[%/d']]]*Tabelle1[[#This Row],[Thickness '[mm']]]/Tabelle1[[#This Row],[Formfaktor]],""),"")</f>
        <v>173.375</v>
      </c>
      <c r="AG598" s="99">
        <f>IF(OR(Tabelle1[[#This Row],[Nicht einbezogen weil…]]="",Tabelle1[[#This Row],[Nicht einbezogen weil…]]="nicht-natürlich"),IF(Tabelle1[[#This Row],[Formfaktor]]=2, 1,IF(Tabelle1[[#This Row],[Formfaktor]]=4,2,IF(Tabelle1[[#This Row],[Formfaktor]]=6,3,""))),"")</f>
        <v>1</v>
      </c>
      <c r="AH598" s="97">
        <f>IF(OR(Tabelle1[[#This Row],[Nicht einbezogen weil…]]="",Tabelle1[[#This Row],[Nicht einbezogen weil…]]="nicht-natürlich"),IFERROR(Tabelle1[[#This Row],[Thickness '[mm']]]/Tabelle1[[#This Row],[Dauer des Abbaus
'[Tage']]]*1000*0.5*365*(1-(1-Tabelle1[[#This Row],[Abbaurate '[%/d']]]/100*Tabelle1[[#This Row],[Dauer des Abbaus
'[Tage']]])^(1/Tabelle1[[#This Row],[Exponent]])),""),"")</f>
        <v>173.37499999999997</v>
      </c>
      <c r="AI59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PHBV_Meerwasser_natürlich</v>
      </c>
      <c r="AJ598" s="71">
        <v>1</v>
      </c>
      <c r="AK59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98" s="3" t="s">
        <v>146</v>
      </c>
      <c r="AM598" s="8" t="s">
        <v>978</v>
      </c>
      <c r="AN598" s="3" t="s">
        <v>538</v>
      </c>
      <c r="AO598" s="3" t="s">
        <v>200</v>
      </c>
      <c r="AP598" s="3" t="s">
        <v>200</v>
      </c>
      <c r="AT598" s="3" t="s">
        <v>223</v>
      </c>
      <c r="AU598" s="13" t="s">
        <v>200</v>
      </c>
      <c r="AW598" s="10" t="s">
        <v>817</v>
      </c>
    </row>
    <row r="599" spans="1:49" ht="17.25" customHeight="1">
      <c r="B599" s="109" t="s">
        <v>1092</v>
      </c>
      <c r="F599" s="3" t="s">
        <v>996</v>
      </c>
      <c r="O599" s="3" t="s">
        <v>1081</v>
      </c>
      <c r="P59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AA599" s="5" t="e">
        <f t="shared" si="36"/>
        <v>#DIV/0!</v>
      </c>
      <c r="AB599" s="5"/>
      <c r="AC59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599" s="5" t="str">
        <f>IF(Tabelle1[[#This Row],[Nicht einbezogen weil…]]="",IFERROR(1000*Tabelle1[[#This Row],[Formfaktor]]/Tabelle1[[#This Row],[Thickness '[mm']]],""),"")</f>
        <v/>
      </c>
      <c r="AE599" s="5" t="str">
        <f>IF(Tabelle1[[#This Row],[Nicht einbezogen weil…]]="",IFERROR(Tabelle1[[#This Row],[specific surface '[m^2/m^3']]]/Tabelle1[[#This Row],[Density 
'[g/cm3']]]/1000000,""),"")</f>
        <v/>
      </c>
      <c r="AF599" s="5" t="str">
        <f>IF(Tabelle1[[#This Row],[Nicht einbezogen weil…]]="",IFERROR(365*10*Tabelle1[[#This Row],[Abbaurate '[%/d']]]*Tabelle1[[#This Row],[Thickness '[mm']]]/Tabelle1[[#This Row],[Formfaktor]],""),"")</f>
        <v/>
      </c>
      <c r="AG599" s="349">
        <f>IF(OR(Tabelle1[[#This Row],[Nicht einbezogen weil…]]="",Tabelle1[[#This Row],[Nicht einbezogen weil…]]="nicht-natürlich"),IF(Tabelle1[[#This Row],[Formfaktor]]=2, 1,IF(Tabelle1[[#This Row],[Formfaktor]]=4,2,IF(Tabelle1[[#This Row],[Formfaktor]]=6,3,""))),"")</f>
        <v>1</v>
      </c>
      <c r="AH599"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59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PLA(-blend)_Süßwasser_nicht natürlich</v>
      </c>
      <c r="AJ599" s="6">
        <v>1</v>
      </c>
      <c r="AK59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599" s="3" t="s">
        <v>1308</v>
      </c>
      <c r="AU599" s="13"/>
    </row>
    <row r="600" spans="1:49" ht="17.25" customHeight="1">
      <c r="B600" s="109" t="s">
        <v>1092</v>
      </c>
      <c r="C600" s="3" t="s">
        <v>463</v>
      </c>
      <c r="D600" s="3" t="s">
        <v>223</v>
      </c>
      <c r="E600" s="10"/>
      <c r="F600" s="3" t="s">
        <v>288</v>
      </c>
      <c r="G600" s="3">
        <v>2</v>
      </c>
      <c r="H600" s="3">
        <f>0.03*0.03</f>
        <v>8.9999999999999998E-4</v>
      </c>
      <c r="I600" s="3" t="s">
        <v>341</v>
      </c>
      <c r="J600" s="3" t="s">
        <v>467</v>
      </c>
      <c r="L600" s="3" t="s">
        <v>466</v>
      </c>
      <c r="M600" s="3" t="s">
        <v>200</v>
      </c>
      <c r="N600" s="3" t="s">
        <v>342</v>
      </c>
      <c r="O600" s="3" t="s">
        <v>358</v>
      </c>
      <c r="P60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00" s="4">
        <v>25</v>
      </c>
      <c r="S600" s="4">
        <v>60</v>
      </c>
      <c r="T600" s="9" t="s">
        <v>470</v>
      </c>
      <c r="W600" s="3" t="s">
        <v>13</v>
      </c>
      <c r="Y600" s="4">
        <v>0</v>
      </c>
      <c r="Z600" s="4">
        <v>28</v>
      </c>
      <c r="AA600" s="5">
        <f t="shared" si="36"/>
        <v>0</v>
      </c>
      <c r="AB600" s="5"/>
      <c r="AC60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00" s="97">
        <f>IF(Tabelle1[[#This Row],[Nicht einbezogen weil…]]="",IFERROR(1000*Tabelle1[[#This Row],[Formfaktor]]/Tabelle1[[#This Row],[Thickness '[mm']]],""),"")</f>
        <v>1000</v>
      </c>
      <c r="AE600" s="98" t="str">
        <f>IF(Tabelle1[[#This Row],[Nicht einbezogen weil…]]="",IFERROR(Tabelle1[[#This Row],[specific surface '[m^2/m^3']]]/Tabelle1[[#This Row],[Density 
'[g/cm3']]]/1000000,""),"")</f>
        <v/>
      </c>
      <c r="AF600" s="97">
        <f>IF(Tabelle1[[#This Row],[Nicht einbezogen weil…]]="",IFERROR(365*10*Tabelle1[[#This Row],[Abbaurate '[%/d']]]*Tabelle1[[#This Row],[Thickness '[mm']]]/Tabelle1[[#This Row],[Formfaktor]],""),"")</f>
        <v>0</v>
      </c>
      <c r="AG600" s="99">
        <f>IF(OR(Tabelle1[[#This Row],[Nicht einbezogen weil…]]="",Tabelle1[[#This Row],[Nicht einbezogen weil…]]="nicht-natürlich"),IF(Tabelle1[[#This Row],[Formfaktor]]=2, 1,IF(Tabelle1[[#This Row],[Formfaktor]]=4,2,IF(Tabelle1[[#This Row],[Formfaktor]]=6,3,""))),"")</f>
        <v>1</v>
      </c>
      <c r="AH600" s="97">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60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PLA(-blend)_Boden/Kompost_natürlich</v>
      </c>
      <c r="AJ600" s="71">
        <v>1</v>
      </c>
      <c r="AK60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00" s="3" t="s">
        <v>139</v>
      </c>
      <c r="AM600" s="3" t="s">
        <v>963</v>
      </c>
      <c r="AN600" s="3" t="s">
        <v>538</v>
      </c>
      <c r="AO600" s="3" t="s">
        <v>235</v>
      </c>
      <c r="AP600" s="3" t="s">
        <v>200</v>
      </c>
      <c r="AT600" s="319" t="s">
        <v>223</v>
      </c>
      <c r="AU600" s="320" t="s">
        <v>200</v>
      </c>
      <c r="AV600" s="319"/>
    </row>
    <row r="601" spans="1:49" ht="17.25" customHeight="1">
      <c r="A601" s="10" t="s">
        <v>223</v>
      </c>
      <c r="B601" s="109" t="s">
        <v>1077</v>
      </c>
      <c r="C601" s="3" t="s">
        <v>1188</v>
      </c>
      <c r="D601" s="3" t="s">
        <v>223</v>
      </c>
      <c r="F601" s="3" t="s">
        <v>996</v>
      </c>
      <c r="G601" s="3">
        <v>2.5000000000000001E-2</v>
      </c>
      <c r="J601" s="3" t="s">
        <v>1189</v>
      </c>
      <c r="K601" s="8" t="s">
        <v>1377</v>
      </c>
      <c r="L601" s="3" t="s">
        <v>223</v>
      </c>
      <c r="M601" s="12" t="s">
        <v>301</v>
      </c>
      <c r="N601" s="3" t="s">
        <v>1383</v>
      </c>
      <c r="O601" s="3" t="s">
        <v>1104</v>
      </c>
      <c r="P60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01" s="4" t="s">
        <v>1373</v>
      </c>
      <c r="R601" s="4" t="s">
        <v>1371</v>
      </c>
      <c r="T601" s="4" t="s">
        <v>1370</v>
      </c>
      <c r="V601" s="4" t="s">
        <v>734</v>
      </c>
      <c r="W601" s="12" t="s">
        <v>190</v>
      </c>
      <c r="Y601" s="4">
        <v>50.2</v>
      </c>
      <c r="Z601" s="4">
        <v>134</v>
      </c>
      <c r="AA601" s="5">
        <f t="shared" si="36"/>
        <v>0.37462686567164183</v>
      </c>
      <c r="AB601" s="5"/>
      <c r="AC60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01" s="5">
        <f>IF(Tabelle1[[#This Row],[Nicht einbezogen weil…]]="",IFERROR(1000*Tabelle1[[#This Row],[Formfaktor]]/Tabelle1[[#This Row],[Thickness '[mm']]],""),"")</f>
        <v>80000</v>
      </c>
      <c r="AE601" s="5" t="str">
        <f>IF(Tabelle1[[#This Row],[Nicht einbezogen weil…]]="",IFERROR(Tabelle1[[#This Row],[specific surface '[m^2/m^3']]]/Tabelle1[[#This Row],[Density 
'[g/cm3']]]/1000000,""),"")</f>
        <v/>
      </c>
      <c r="AF601" s="5">
        <f>IF(Tabelle1[[#This Row],[Nicht einbezogen weil…]]="",IFERROR(365*10*Tabelle1[[#This Row],[Abbaurate '[%/d']]]*Tabelle1[[#This Row],[Thickness '[mm']]]/Tabelle1[[#This Row],[Formfaktor]],""),"")</f>
        <v>17.092350746268661</v>
      </c>
      <c r="AG601" s="328">
        <f>IF(OR(Tabelle1[[#This Row],[Nicht einbezogen weil…]]="",Tabelle1[[#This Row],[Nicht einbezogen weil…]]="nicht-natürlich"),IF(Tabelle1[[#This Row],[Formfaktor]]=2, 1,IF(Tabelle1[[#This Row],[Formfaktor]]=4,2,IF(Tabelle1[[#This Row],[Formfaktor]]=6,3,""))),"")</f>
        <v>1</v>
      </c>
      <c r="AH601" s="5">
        <f>IF(OR(Tabelle1[[#This Row],[Nicht einbezogen weil…]]="",Tabelle1[[#This Row],[Nicht einbezogen weil…]]="nicht-natürlich"),IFERROR(Tabelle1[[#This Row],[Thickness '[mm']]]/Tabelle1[[#This Row],[Dauer des Abbaus
'[Tage']]]*1000*0.5*365*(1-(1-Tabelle1[[#This Row],[Abbaurate '[%/d']]]/100*Tabelle1[[#This Row],[Dauer des Abbaus
'[Tage']]])^(1/Tabelle1[[#This Row],[Exponent]])),""),"")</f>
        <v>17.092350746268661</v>
      </c>
      <c r="AI60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PBSeT_Benthic_natürlich</v>
      </c>
      <c r="AJ601" s="6">
        <v>1</v>
      </c>
      <c r="AK60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01" s="3" t="s">
        <v>1366</v>
      </c>
      <c r="AU601" s="13"/>
    </row>
    <row r="602" spans="1:49" ht="17.25" customHeight="1">
      <c r="B602" s="109" t="s">
        <v>1092</v>
      </c>
      <c r="C602" s="3" t="s">
        <v>7</v>
      </c>
      <c r="D602" s="3" t="s">
        <v>223</v>
      </c>
      <c r="E602" s="10"/>
      <c r="F602" s="3" t="s">
        <v>241</v>
      </c>
      <c r="G602" s="3">
        <v>0.25</v>
      </c>
      <c r="H602" s="106">
        <f>4*PI()*((G602/2)^2)</f>
        <v>0.19634954084936207</v>
      </c>
      <c r="I602" s="3" t="s">
        <v>341</v>
      </c>
      <c r="J602" s="3" t="s">
        <v>467</v>
      </c>
      <c r="L602" s="3" t="s">
        <v>466</v>
      </c>
      <c r="M602" s="3" t="s">
        <v>200</v>
      </c>
      <c r="N602" s="3" t="s">
        <v>342</v>
      </c>
      <c r="O602" s="3" t="s">
        <v>358</v>
      </c>
      <c r="P60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02" s="4">
        <v>25</v>
      </c>
      <c r="S602" s="4">
        <v>60</v>
      </c>
      <c r="T602" s="9" t="s">
        <v>470</v>
      </c>
      <c r="W602" s="3" t="s">
        <v>13</v>
      </c>
      <c r="Y602" s="4">
        <v>13.8</v>
      </c>
      <c r="Z602" s="4">
        <v>28</v>
      </c>
      <c r="AA602" s="5">
        <f t="shared" si="36"/>
        <v>0.49285714285714288</v>
      </c>
      <c r="AB602" s="5"/>
      <c r="AC60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02" s="97">
        <f>IF(Tabelle1[[#This Row],[Nicht einbezogen weil…]]="",IFERROR(1000*Tabelle1[[#This Row],[Formfaktor]]/Tabelle1[[#This Row],[Thickness '[mm']]],""),"")</f>
        <v>24000</v>
      </c>
      <c r="AE602" s="98" t="str">
        <f>IF(Tabelle1[[#This Row],[Nicht einbezogen weil…]]="",IFERROR(Tabelle1[[#This Row],[specific surface '[m^2/m^3']]]/Tabelle1[[#This Row],[Density 
'[g/cm3']]]/1000000,""),"")</f>
        <v/>
      </c>
      <c r="AF602" s="97">
        <f>IF(Tabelle1[[#This Row],[Nicht einbezogen weil…]]="",IFERROR(365*10*Tabelle1[[#This Row],[Abbaurate '[%/d']]]*Tabelle1[[#This Row],[Thickness '[mm']]]/Tabelle1[[#This Row],[Formfaktor]],""),"")</f>
        <v>74.955357142857153</v>
      </c>
      <c r="AG602" s="99">
        <f>IF(OR(Tabelle1[[#This Row],[Nicht einbezogen weil…]]="",Tabelle1[[#This Row],[Nicht einbezogen weil…]]="nicht-natürlich"),IF(Tabelle1[[#This Row],[Formfaktor]]=2, 1,IF(Tabelle1[[#This Row],[Formfaktor]]=4,2,IF(Tabelle1[[#This Row],[Formfaktor]]=6,3,""))),"")</f>
        <v>3</v>
      </c>
      <c r="AH602" s="97">
        <f>IF(OR(Tabelle1[[#This Row],[Nicht einbezogen weil…]]="",Tabelle1[[#This Row],[Nicht einbezogen weil…]]="nicht-natürlich"),IFERROR(Tabelle1[[#This Row],[Thickness '[mm']]]/Tabelle1[[#This Row],[Dauer des Abbaus
'[Tage']]]*1000*0.5*365*(1-(1-Tabelle1[[#This Row],[Abbaurate '[%/d']]]/100*Tabelle1[[#This Row],[Dauer des Abbaus
'[Tage']]])^(1/Tabelle1[[#This Row],[Exponent]])),""),"")</f>
        <v>78.694724300850595</v>
      </c>
      <c r="AI60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PLA(-blend)_Boden/Kompost_natürlich</v>
      </c>
      <c r="AJ602" s="71">
        <v>1</v>
      </c>
      <c r="AK60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02" s="3" t="s">
        <v>139</v>
      </c>
      <c r="AM602" s="3" t="s">
        <v>963</v>
      </c>
      <c r="AO602" s="3" t="s">
        <v>235</v>
      </c>
      <c r="AP602" s="3" t="s">
        <v>200</v>
      </c>
      <c r="AT602" s="319" t="s">
        <v>223</v>
      </c>
      <c r="AU602" s="320" t="s">
        <v>200</v>
      </c>
      <c r="AV602" s="319"/>
    </row>
    <row r="603" spans="1:49" ht="17.25" customHeight="1">
      <c r="B603" s="109" t="s">
        <v>1092</v>
      </c>
      <c r="C603" s="3" t="s">
        <v>361</v>
      </c>
      <c r="D603" s="3" t="s">
        <v>223</v>
      </c>
      <c r="E603" s="10"/>
      <c r="F603" s="3" t="s">
        <v>288</v>
      </c>
      <c r="G603" s="17">
        <f>AVERAGE(0.01,0.012)</f>
        <v>1.0999999999999999E-2</v>
      </c>
      <c r="H603" s="3">
        <f>0.2*0.15</f>
        <v>0.03</v>
      </c>
      <c r="I603" s="3" t="s">
        <v>341</v>
      </c>
      <c r="J603" s="3" t="s">
        <v>362</v>
      </c>
      <c r="K603" s="8" t="s">
        <v>363</v>
      </c>
      <c r="M603" s="3" t="s">
        <v>200</v>
      </c>
      <c r="N603" s="3" t="s">
        <v>366</v>
      </c>
      <c r="O603" s="3" t="s">
        <v>1103</v>
      </c>
      <c r="P60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03" s="9" t="s">
        <v>364</v>
      </c>
      <c r="U603" s="4" t="s">
        <v>12</v>
      </c>
      <c r="W603" s="3" t="s">
        <v>13</v>
      </c>
      <c r="Y603" s="9" t="s">
        <v>369</v>
      </c>
      <c r="Z603" s="4">
        <v>77</v>
      </c>
      <c r="AA603" s="5">
        <v>0</v>
      </c>
      <c r="AB603" s="5"/>
      <c r="AC60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03" s="97">
        <f>IF(Tabelle1[[#This Row],[Nicht einbezogen weil…]]="",IFERROR(1000*Tabelle1[[#This Row],[Formfaktor]]/Tabelle1[[#This Row],[Thickness '[mm']]],""),"")</f>
        <v>181818.18181818182</v>
      </c>
      <c r="AE603" s="98" t="str">
        <f>IF(Tabelle1[[#This Row],[Nicht einbezogen weil…]]="",IFERROR(Tabelle1[[#This Row],[specific surface '[m^2/m^3']]]/Tabelle1[[#This Row],[Density 
'[g/cm3']]]/1000000,""),"")</f>
        <v/>
      </c>
      <c r="AF603" s="97">
        <f>IF(Tabelle1[[#This Row],[Nicht einbezogen weil…]]="",IFERROR(365*10*Tabelle1[[#This Row],[Abbaurate '[%/d']]]*Tabelle1[[#This Row],[Thickness '[mm']]]/Tabelle1[[#This Row],[Formfaktor]],""),"")</f>
        <v>0</v>
      </c>
      <c r="AG603" s="99">
        <f>IF(OR(Tabelle1[[#This Row],[Nicht einbezogen weil…]]="",Tabelle1[[#This Row],[Nicht einbezogen weil…]]="nicht-natürlich"),IF(Tabelle1[[#This Row],[Formfaktor]]=2, 1,IF(Tabelle1[[#This Row],[Formfaktor]]=4,2,IF(Tabelle1[[#This Row],[Formfaktor]]=6,3,""))),"")</f>
        <v>1</v>
      </c>
      <c r="AH603" s="97">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60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PLA(-blend)_River sediment_natürlich</v>
      </c>
      <c r="AJ603" s="71">
        <v>1</v>
      </c>
      <c r="AK60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03" s="3" t="s">
        <v>365</v>
      </c>
      <c r="AM603" s="3" t="s">
        <v>962</v>
      </c>
      <c r="AN603" s="3" t="s">
        <v>538</v>
      </c>
      <c r="AO603" s="3" t="s">
        <v>200</v>
      </c>
      <c r="AP603" s="3" t="s">
        <v>200</v>
      </c>
      <c r="AT603" s="10" t="s">
        <v>223</v>
      </c>
      <c r="AU603" s="13" t="s">
        <v>200</v>
      </c>
      <c r="AW603" s="10" t="s">
        <v>784</v>
      </c>
    </row>
    <row r="604" spans="1:49" ht="17.25" customHeight="1">
      <c r="B604" s="109" t="s">
        <v>1092</v>
      </c>
      <c r="C604" s="3" t="s">
        <v>361</v>
      </c>
      <c r="D604" s="3" t="s">
        <v>223</v>
      </c>
      <c r="E604" s="10"/>
      <c r="F604" s="3" t="s">
        <v>288</v>
      </c>
      <c r="G604" s="17">
        <f>AVERAGE(0.01,0.012)</f>
        <v>1.0999999999999999E-2</v>
      </c>
      <c r="H604" s="3">
        <f>0.2*0.15</f>
        <v>0.03</v>
      </c>
      <c r="I604" s="3" t="s">
        <v>341</v>
      </c>
      <c r="J604" s="3" t="s">
        <v>362</v>
      </c>
      <c r="K604" s="8" t="s">
        <v>363</v>
      </c>
      <c r="M604" s="3" t="s">
        <v>200</v>
      </c>
      <c r="N604" s="3" t="s">
        <v>366</v>
      </c>
      <c r="O604" s="3" t="s">
        <v>1103</v>
      </c>
      <c r="P60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04" s="9" t="s">
        <v>364</v>
      </c>
      <c r="U604" s="4" t="s">
        <v>12</v>
      </c>
      <c r="W604" s="3" t="s">
        <v>90</v>
      </c>
      <c r="Y604" s="16">
        <v>4.3E-3</v>
      </c>
      <c r="Z604" s="4">
        <v>77</v>
      </c>
      <c r="AA604" s="5">
        <f>Y604/Z604</f>
        <v>5.5844155844155847E-5</v>
      </c>
      <c r="AB604" s="5"/>
      <c r="AC60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04" s="97">
        <f>IF(Tabelle1[[#This Row],[Nicht einbezogen weil…]]="",IFERROR(1000*Tabelle1[[#This Row],[Formfaktor]]/Tabelle1[[#This Row],[Thickness '[mm']]],""),"")</f>
        <v>181818.18181818182</v>
      </c>
      <c r="AE604" s="98" t="str">
        <f>IF(Tabelle1[[#This Row],[Nicht einbezogen weil…]]="",IFERROR(Tabelle1[[#This Row],[specific surface '[m^2/m^3']]]/Tabelle1[[#This Row],[Density 
'[g/cm3']]]/1000000,""),"")</f>
        <v/>
      </c>
      <c r="AF604" s="97">
        <f>IF(Tabelle1[[#This Row],[Nicht einbezogen weil…]]="",IFERROR(365*10*Tabelle1[[#This Row],[Abbaurate '[%/d']]]*Tabelle1[[#This Row],[Thickness '[mm']]]/Tabelle1[[#This Row],[Formfaktor]],""),"")</f>
        <v>1.1210714285714285E-3</v>
      </c>
      <c r="AG604" s="99">
        <f>IF(OR(Tabelle1[[#This Row],[Nicht einbezogen weil…]]="",Tabelle1[[#This Row],[Nicht einbezogen weil…]]="nicht-natürlich"),IF(Tabelle1[[#This Row],[Formfaktor]]=2, 1,IF(Tabelle1[[#This Row],[Formfaktor]]=4,2,IF(Tabelle1[[#This Row],[Formfaktor]]=6,3,""))),"")</f>
        <v>1</v>
      </c>
      <c r="AH604" s="97">
        <f>IF(OR(Tabelle1[[#This Row],[Nicht einbezogen weil…]]="",Tabelle1[[#This Row],[Nicht einbezogen weil…]]="nicht-natürlich"),IFERROR(Tabelle1[[#This Row],[Thickness '[mm']]]/Tabelle1[[#This Row],[Dauer des Abbaus
'[Tage']]]*1000*0.5*365*(1-(1-Tabelle1[[#This Row],[Abbaurate '[%/d']]]/100*Tabelle1[[#This Row],[Dauer des Abbaus
'[Tage']]])^(1/Tabelle1[[#This Row],[Exponent]])),""),"")</f>
        <v>1.121071428571826E-3</v>
      </c>
      <c r="AI60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PLA(-blend)_River sediment_natürlich</v>
      </c>
      <c r="AJ604" s="71">
        <v>1</v>
      </c>
      <c r="AK60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04" s="3" t="s">
        <v>365</v>
      </c>
      <c r="AM604" s="3" t="s">
        <v>962</v>
      </c>
      <c r="AN604" s="3" t="s">
        <v>538</v>
      </c>
      <c r="AO604" s="3" t="s">
        <v>200</v>
      </c>
      <c r="AP604" s="3" t="s">
        <v>200</v>
      </c>
      <c r="AT604" s="10" t="s">
        <v>223</v>
      </c>
      <c r="AU604" s="13" t="s">
        <v>200</v>
      </c>
      <c r="AW604" s="10" t="s">
        <v>784</v>
      </c>
    </row>
    <row r="605" spans="1:49" ht="17.25" customHeight="1">
      <c r="A605" s="10" t="s">
        <v>223</v>
      </c>
      <c r="B605" s="109" t="s">
        <v>1077</v>
      </c>
      <c r="C605" s="3" t="s">
        <v>1188</v>
      </c>
      <c r="D605" s="3" t="s">
        <v>223</v>
      </c>
      <c r="F605" s="3" t="s">
        <v>996</v>
      </c>
      <c r="G605" s="3">
        <v>2.5000000000000001E-2</v>
      </c>
      <c r="J605" s="3" t="s">
        <v>1189</v>
      </c>
      <c r="K605" s="8" t="s">
        <v>1378</v>
      </c>
      <c r="L605" s="3" t="s">
        <v>223</v>
      </c>
      <c r="M605" s="12" t="s">
        <v>301</v>
      </c>
      <c r="N605" s="3" t="s">
        <v>1383</v>
      </c>
      <c r="O605" s="3" t="s">
        <v>1104</v>
      </c>
      <c r="P60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05" s="4" t="s">
        <v>1373</v>
      </c>
      <c r="R605" s="4" t="s">
        <v>1371</v>
      </c>
      <c r="T605" s="4" t="s">
        <v>1370</v>
      </c>
      <c r="V605" s="4" t="s">
        <v>734</v>
      </c>
      <c r="W605" s="12" t="s">
        <v>190</v>
      </c>
      <c r="Y605" s="4">
        <v>40.5</v>
      </c>
      <c r="Z605" s="4">
        <v>224</v>
      </c>
      <c r="AA605" s="5">
        <f>Y605/Z605</f>
        <v>0.18080357142857142</v>
      </c>
      <c r="AB605" s="5"/>
      <c r="AC60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05" s="5">
        <f>IF(Tabelle1[[#This Row],[Nicht einbezogen weil…]]="",IFERROR(1000*Tabelle1[[#This Row],[Formfaktor]]/Tabelle1[[#This Row],[Thickness '[mm']]],""),"")</f>
        <v>80000</v>
      </c>
      <c r="AE605" s="5" t="str">
        <f>IF(Tabelle1[[#This Row],[Nicht einbezogen weil…]]="",IFERROR(Tabelle1[[#This Row],[specific surface '[m^2/m^3']]]/Tabelle1[[#This Row],[Density 
'[g/cm3']]]/1000000,""),"")</f>
        <v/>
      </c>
      <c r="AF605" s="5">
        <f>IF(Tabelle1[[#This Row],[Nicht einbezogen weil…]]="",IFERROR(365*10*Tabelle1[[#This Row],[Abbaurate '[%/d']]]*Tabelle1[[#This Row],[Thickness '[mm']]]/Tabelle1[[#This Row],[Formfaktor]],""),"")</f>
        <v>8.2491629464285712</v>
      </c>
      <c r="AG605" s="328">
        <f>IF(OR(Tabelle1[[#This Row],[Nicht einbezogen weil…]]="",Tabelle1[[#This Row],[Nicht einbezogen weil…]]="nicht-natürlich"),IF(Tabelle1[[#This Row],[Formfaktor]]=2, 1,IF(Tabelle1[[#This Row],[Formfaktor]]=4,2,IF(Tabelle1[[#This Row],[Formfaktor]]=6,3,""))),"")</f>
        <v>1</v>
      </c>
      <c r="AH605" s="5">
        <f>IF(OR(Tabelle1[[#This Row],[Nicht einbezogen weil…]]="",Tabelle1[[#This Row],[Nicht einbezogen weil…]]="nicht-natürlich"),IFERROR(Tabelle1[[#This Row],[Thickness '[mm']]]/Tabelle1[[#This Row],[Dauer des Abbaus
'[Tage']]]*1000*0.5*365*(1-(1-Tabelle1[[#This Row],[Abbaurate '[%/d']]]/100*Tabelle1[[#This Row],[Dauer des Abbaus
'[Tage']]])^(1/Tabelle1[[#This Row],[Exponent]])),""),"")</f>
        <v>8.249162946428573</v>
      </c>
      <c r="AI60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PBSeT_Benthic_natürlich</v>
      </c>
      <c r="AJ605" s="6">
        <v>1</v>
      </c>
      <c r="AK60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05" s="3" t="s">
        <v>1366</v>
      </c>
      <c r="AU605" s="13"/>
    </row>
    <row r="606" spans="1:49" ht="17.25" customHeight="1">
      <c r="B606" s="109" t="s">
        <v>1092</v>
      </c>
      <c r="C606" s="3" t="s">
        <v>2</v>
      </c>
      <c r="D606" s="3" t="s">
        <v>223</v>
      </c>
      <c r="E606" s="10"/>
      <c r="F606" s="3" t="s">
        <v>288</v>
      </c>
      <c r="G606" s="3">
        <v>1</v>
      </c>
      <c r="H606" s="3">
        <f>0.03*0.03</f>
        <v>8.9999999999999998E-4</v>
      </c>
      <c r="I606" s="3" t="s">
        <v>341</v>
      </c>
      <c r="M606" s="3" t="s">
        <v>200</v>
      </c>
      <c r="N606" s="3" t="s">
        <v>618</v>
      </c>
      <c r="O606" s="3" t="s">
        <v>358</v>
      </c>
      <c r="P60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T606" s="4">
        <v>30</v>
      </c>
      <c r="W606" s="3" t="s">
        <v>13</v>
      </c>
      <c r="Y606" s="4">
        <v>10</v>
      </c>
      <c r="Z606" s="4">
        <f>14*7</f>
        <v>98</v>
      </c>
      <c r="AA606" s="5">
        <f>Y606/Z606</f>
        <v>0.10204081632653061</v>
      </c>
      <c r="AB606" s="5"/>
      <c r="AC60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06" s="97">
        <f>IF(Tabelle1[[#This Row],[Nicht einbezogen weil…]]="",IFERROR(1000*Tabelle1[[#This Row],[Formfaktor]]/Tabelle1[[#This Row],[Thickness '[mm']]],""),"")</f>
        <v>2000</v>
      </c>
      <c r="AE606" s="98" t="str">
        <f>IF(Tabelle1[[#This Row],[Nicht einbezogen weil…]]="",IFERROR(Tabelle1[[#This Row],[specific surface '[m^2/m^3']]]/Tabelle1[[#This Row],[Density 
'[g/cm3']]]/1000000,""),"")</f>
        <v/>
      </c>
      <c r="AF606" s="97">
        <f>IF(Tabelle1[[#This Row],[Nicht einbezogen weil…]]="",IFERROR(365*10*Tabelle1[[#This Row],[Abbaurate '[%/d']]]*Tabelle1[[#This Row],[Thickness '[mm']]]/Tabelle1[[#This Row],[Formfaktor]],""),"")</f>
        <v>186.22448979591837</v>
      </c>
      <c r="AG606" s="99">
        <f>IF(OR(Tabelle1[[#This Row],[Nicht einbezogen weil…]]="",Tabelle1[[#This Row],[Nicht einbezogen weil…]]="nicht-natürlich"),IF(Tabelle1[[#This Row],[Formfaktor]]=2, 1,IF(Tabelle1[[#This Row],[Formfaktor]]=4,2,IF(Tabelle1[[#This Row],[Formfaktor]]=6,3,""))),"")</f>
        <v>1</v>
      </c>
      <c r="AH606" s="97">
        <f>IF(OR(Tabelle1[[#This Row],[Nicht einbezogen weil…]]="",Tabelle1[[#This Row],[Nicht einbezogen weil…]]="nicht-natürlich"),IFERROR(Tabelle1[[#This Row],[Thickness '[mm']]]/Tabelle1[[#This Row],[Dauer des Abbaus
'[Tage']]]*1000*0.5*365*(1-(1-Tabelle1[[#This Row],[Abbaurate '[%/d']]]/100*Tabelle1[[#This Row],[Dauer des Abbaus
'[Tage']]])^(1/Tabelle1[[#This Row],[Exponent]])),""),"")</f>
        <v>186.22448979591832</v>
      </c>
      <c r="AI60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PLA(-blend)_Boden/Kompost_natürlich</v>
      </c>
      <c r="AJ606" s="71">
        <v>1</v>
      </c>
      <c r="AK60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06" s="3" t="s">
        <v>137</v>
      </c>
      <c r="AM606" s="3" t="s">
        <v>963</v>
      </c>
      <c r="AO606" s="3" t="s">
        <v>235</v>
      </c>
      <c r="AP606" s="3" t="s">
        <v>235</v>
      </c>
      <c r="AT606" s="319" t="s">
        <v>223</v>
      </c>
      <c r="AU606" s="320" t="s">
        <v>200</v>
      </c>
      <c r="AV606" s="319"/>
    </row>
    <row r="607" spans="1:49" ht="17.25" customHeight="1">
      <c r="B607" s="109" t="s">
        <v>1092</v>
      </c>
      <c r="C607" s="3" t="s">
        <v>361</v>
      </c>
      <c r="D607" s="3" t="s">
        <v>223</v>
      </c>
      <c r="E607" s="10"/>
      <c r="F607" s="3" t="s">
        <v>288</v>
      </c>
      <c r="G607" s="17">
        <f>AVERAGE(0.01,0.012)</f>
        <v>1.0999999999999999E-2</v>
      </c>
      <c r="H607" s="3">
        <f>0.2*0.15</f>
        <v>0.03</v>
      </c>
      <c r="I607" s="3" t="s">
        <v>341</v>
      </c>
      <c r="J607" s="3" t="s">
        <v>362</v>
      </c>
      <c r="K607" s="8" t="s">
        <v>363</v>
      </c>
      <c r="M607" s="3" t="s">
        <v>200</v>
      </c>
      <c r="N607" s="3" t="s">
        <v>24</v>
      </c>
      <c r="O607" s="3" t="s">
        <v>1081</v>
      </c>
      <c r="P607"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07" s="9" t="s">
        <v>367</v>
      </c>
      <c r="U607" s="4" t="s">
        <v>12</v>
      </c>
      <c r="W607" s="3" t="s">
        <v>13</v>
      </c>
      <c r="Y607" s="9" t="s">
        <v>368</v>
      </c>
      <c r="Z607" s="4">
        <v>77</v>
      </c>
      <c r="AA607" s="342">
        <f>5/Z607</f>
        <v>6.4935064935064929E-2</v>
      </c>
      <c r="AB607" s="342"/>
      <c r="AC607"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07" s="97">
        <f>IF(Tabelle1[[#This Row],[Nicht einbezogen weil…]]="",IFERROR(1000*Tabelle1[[#This Row],[Formfaktor]]/Tabelle1[[#This Row],[Thickness '[mm']]],""),"")</f>
        <v>181818.18181818182</v>
      </c>
      <c r="AE607" s="98" t="str">
        <f>IF(Tabelle1[[#This Row],[Nicht einbezogen weil…]]="",IFERROR(Tabelle1[[#This Row],[specific surface '[m^2/m^3']]]/Tabelle1[[#This Row],[Density 
'[g/cm3']]]/1000000,""),"")</f>
        <v/>
      </c>
      <c r="AF607" s="97">
        <f>IF(Tabelle1[[#This Row],[Nicht einbezogen weil…]]="",IFERROR(365*10*Tabelle1[[#This Row],[Abbaurate '[%/d']]]*Tabelle1[[#This Row],[Thickness '[mm']]]/Tabelle1[[#This Row],[Formfaktor]],""),"")</f>
        <v>1.3035714285714284</v>
      </c>
      <c r="AG607" s="99">
        <f>IF(OR(Tabelle1[[#This Row],[Nicht einbezogen weil…]]="",Tabelle1[[#This Row],[Nicht einbezogen weil…]]="nicht-natürlich"),IF(Tabelle1[[#This Row],[Formfaktor]]=2, 1,IF(Tabelle1[[#This Row],[Formfaktor]]=4,2,IF(Tabelle1[[#This Row],[Formfaktor]]=6,3,""))),"")</f>
        <v>1</v>
      </c>
      <c r="AH607" s="97">
        <f>IF(OR(Tabelle1[[#This Row],[Nicht einbezogen weil…]]="",Tabelle1[[#This Row],[Nicht einbezogen weil…]]="nicht-natürlich"),IFERROR(Tabelle1[[#This Row],[Thickness '[mm']]]/Tabelle1[[#This Row],[Dauer des Abbaus
'[Tage']]]*1000*0.5*365*(1-(1-Tabelle1[[#This Row],[Abbaurate '[%/d']]]/100*Tabelle1[[#This Row],[Dauer des Abbaus
'[Tage']]])^(1/Tabelle1[[#This Row],[Exponent]])),""),"")</f>
        <v>1.3035714285714297</v>
      </c>
      <c r="AI607"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PLA(-blend)_Süßwasser_natürlich</v>
      </c>
      <c r="AJ607" s="71">
        <v>1</v>
      </c>
      <c r="AK60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07" s="3" t="s">
        <v>365</v>
      </c>
      <c r="AM607" s="3" t="s">
        <v>962</v>
      </c>
      <c r="AN607" s="3" t="s">
        <v>538</v>
      </c>
      <c r="AO607" s="3" t="s">
        <v>200</v>
      </c>
      <c r="AP607" s="3" t="s">
        <v>200</v>
      </c>
      <c r="AT607" s="10" t="s">
        <v>223</v>
      </c>
      <c r="AU607" s="13" t="s">
        <v>200</v>
      </c>
      <c r="AW607" s="10" t="s">
        <v>784</v>
      </c>
    </row>
    <row r="608" spans="1:49" ht="17.25" customHeight="1">
      <c r="B608" s="109" t="s">
        <v>1092</v>
      </c>
      <c r="C608" s="3" t="s">
        <v>361</v>
      </c>
      <c r="D608" s="3" t="s">
        <v>223</v>
      </c>
      <c r="E608" s="10"/>
      <c r="F608" s="3" t="s">
        <v>288</v>
      </c>
      <c r="G608" s="17">
        <f>AVERAGE(0.01,0.012)</f>
        <v>1.0999999999999999E-2</v>
      </c>
      <c r="H608" s="3">
        <f>0.2*0.15</f>
        <v>0.03</v>
      </c>
      <c r="I608" s="3" t="s">
        <v>341</v>
      </c>
      <c r="J608" s="3" t="s">
        <v>362</v>
      </c>
      <c r="K608" s="8" t="s">
        <v>363</v>
      </c>
      <c r="M608" s="3" t="s">
        <v>200</v>
      </c>
      <c r="N608" s="3" t="s">
        <v>24</v>
      </c>
      <c r="O608" s="3" t="s">
        <v>1081</v>
      </c>
      <c r="P60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08" s="9" t="s">
        <v>367</v>
      </c>
      <c r="U608" s="4" t="s">
        <v>12</v>
      </c>
      <c r="W608" s="3" t="s">
        <v>90</v>
      </c>
      <c r="Y608" s="15">
        <v>0.54</v>
      </c>
      <c r="Z608" s="4">
        <v>77</v>
      </c>
      <c r="AA608" s="342">
        <f t="shared" ref="AA608:AA625" si="37">Y608/Z608</f>
        <v>7.0129870129870134E-3</v>
      </c>
      <c r="AB608" s="342"/>
      <c r="AC60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08" s="97">
        <f>IF(Tabelle1[[#This Row],[Nicht einbezogen weil…]]="",IFERROR(1000*Tabelle1[[#This Row],[Formfaktor]]/Tabelle1[[#This Row],[Thickness '[mm']]],""),"")</f>
        <v>181818.18181818182</v>
      </c>
      <c r="AE608" s="98" t="str">
        <f>IF(Tabelle1[[#This Row],[Nicht einbezogen weil…]]="",IFERROR(Tabelle1[[#This Row],[specific surface '[m^2/m^3']]]/Tabelle1[[#This Row],[Density 
'[g/cm3']]]/1000000,""),"")</f>
        <v/>
      </c>
      <c r="AF608" s="97">
        <f>IF(Tabelle1[[#This Row],[Nicht einbezogen weil…]]="",IFERROR(365*10*Tabelle1[[#This Row],[Abbaurate '[%/d']]]*Tabelle1[[#This Row],[Thickness '[mm']]]/Tabelle1[[#This Row],[Formfaktor]],""),"")</f>
        <v>0.14078571428571429</v>
      </c>
      <c r="AG608" s="99">
        <f>IF(OR(Tabelle1[[#This Row],[Nicht einbezogen weil…]]="",Tabelle1[[#This Row],[Nicht einbezogen weil…]]="nicht-natürlich"),IF(Tabelle1[[#This Row],[Formfaktor]]=2, 1,IF(Tabelle1[[#This Row],[Formfaktor]]=4,2,IF(Tabelle1[[#This Row],[Formfaktor]]=6,3,""))),"")</f>
        <v>1</v>
      </c>
      <c r="AH608" s="97">
        <f>IF(OR(Tabelle1[[#This Row],[Nicht einbezogen weil…]]="",Tabelle1[[#This Row],[Nicht einbezogen weil…]]="nicht-natürlich"),IFERROR(Tabelle1[[#This Row],[Thickness '[mm']]]/Tabelle1[[#This Row],[Dauer des Abbaus
'[Tage']]]*1000*0.5*365*(1-(1-Tabelle1[[#This Row],[Abbaurate '[%/d']]]/100*Tabelle1[[#This Row],[Dauer des Abbaus
'[Tage']]])^(1/Tabelle1[[#This Row],[Exponent]])),""),"")</f>
        <v>0.14078571428571324</v>
      </c>
      <c r="AI60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PLA(-blend)_Süßwasser_natürlich</v>
      </c>
      <c r="AJ608" s="71">
        <v>1</v>
      </c>
      <c r="AK60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08" s="3" t="s">
        <v>365</v>
      </c>
      <c r="AM608" s="3" t="s">
        <v>962</v>
      </c>
      <c r="AN608" s="3" t="s">
        <v>538</v>
      </c>
      <c r="AO608" s="3" t="s">
        <v>200</v>
      </c>
      <c r="AP608" s="3" t="s">
        <v>200</v>
      </c>
      <c r="AT608" s="10" t="s">
        <v>223</v>
      </c>
      <c r="AU608" s="13" t="s">
        <v>200</v>
      </c>
      <c r="AW608" s="10" t="s">
        <v>784</v>
      </c>
    </row>
    <row r="609" spans="1:49" ht="17.25" customHeight="1">
      <c r="A609" s="10" t="s">
        <v>223</v>
      </c>
      <c r="B609" s="109" t="s">
        <v>1077</v>
      </c>
      <c r="C609" s="3" t="s">
        <v>1188</v>
      </c>
      <c r="D609" s="3" t="s">
        <v>223</v>
      </c>
      <c r="F609" s="3" t="s">
        <v>996</v>
      </c>
      <c r="G609" s="3">
        <v>2.5000000000000001E-2</v>
      </c>
      <c r="J609" s="3" t="s">
        <v>1189</v>
      </c>
      <c r="K609" s="8" t="s">
        <v>1379</v>
      </c>
      <c r="L609" s="3" t="s">
        <v>223</v>
      </c>
      <c r="M609" s="12" t="s">
        <v>301</v>
      </c>
      <c r="N609" s="3" t="s">
        <v>1383</v>
      </c>
      <c r="O609" s="3" t="s">
        <v>1104</v>
      </c>
      <c r="P60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09" s="4" t="s">
        <v>1373</v>
      </c>
      <c r="R609" s="4" t="s">
        <v>1371</v>
      </c>
      <c r="T609" s="4" t="s">
        <v>1370</v>
      </c>
      <c r="V609" s="4" t="s">
        <v>734</v>
      </c>
      <c r="W609" s="12" t="s">
        <v>190</v>
      </c>
      <c r="Y609" s="4">
        <v>69.099999999999994</v>
      </c>
      <c r="Z609" s="4">
        <v>257</v>
      </c>
      <c r="AA609" s="5">
        <f t="shared" si="37"/>
        <v>0.26887159533073929</v>
      </c>
      <c r="AB609" s="5"/>
      <c r="AC60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09" s="5">
        <f>IF(Tabelle1[[#This Row],[Nicht einbezogen weil…]]="",IFERROR(1000*Tabelle1[[#This Row],[Formfaktor]]/Tabelle1[[#This Row],[Thickness '[mm']]],""),"")</f>
        <v>80000</v>
      </c>
      <c r="AE609" s="5" t="str">
        <f>IF(Tabelle1[[#This Row],[Nicht einbezogen weil…]]="",IFERROR(Tabelle1[[#This Row],[specific surface '[m^2/m^3']]]/Tabelle1[[#This Row],[Density 
'[g/cm3']]]/1000000,""),"")</f>
        <v/>
      </c>
      <c r="AF609" s="5">
        <f>IF(Tabelle1[[#This Row],[Nicht einbezogen weil…]]="",IFERROR(365*10*Tabelle1[[#This Row],[Abbaurate '[%/d']]]*Tabelle1[[#This Row],[Thickness '[mm']]]/Tabelle1[[#This Row],[Formfaktor]],""),"")</f>
        <v>12.267266536964982</v>
      </c>
      <c r="AG609" s="328">
        <f>IF(OR(Tabelle1[[#This Row],[Nicht einbezogen weil…]]="",Tabelle1[[#This Row],[Nicht einbezogen weil…]]="nicht-natürlich"),IF(Tabelle1[[#This Row],[Formfaktor]]=2, 1,IF(Tabelle1[[#This Row],[Formfaktor]]=4,2,IF(Tabelle1[[#This Row],[Formfaktor]]=6,3,""))),"")</f>
        <v>1</v>
      </c>
      <c r="AH609" s="5">
        <f>IF(OR(Tabelle1[[#This Row],[Nicht einbezogen weil…]]="",Tabelle1[[#This Row],[Nicht einbezogen weil…]]="nicht-natürlich"),IFERROR(Tabelle1[[#This Row],[Thickness '[mm']]]/Tabelle1[[#This Row],[Dauer des Abbaus
'[Tage']]]*1000*0.5*365*(1-(1-Tabelle1[[#This Row],[Abbaurate '[%/d']]]/100*Tabelle1[[#This Row],[Dauer des Abbaus
'[Tage']]])^(1/Tabelle1[[#This Row],[Exponent]])),""),"")</f>
        <v>12.26726653696498</v>
      </c>
      <c r="AI60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PBSeT_Benthic_natürlich</v>
      </c>
      <c r="AJ609" s="6">
        <v>1</v>
      </c>
      <c r="AK60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09" s="3" t="s">
        <v>1366</v>
      </c>
      <c r="AU609" s="13"/>
    </row>
    <row r="610" spans="1:49" ht="17.25" customHeight="1">
      <c r="A610" s="10" t="s">
        <v>200</v>
      </c>
      <c r="B610" s="109" t="s">
        <v>165</v>
      </c>
      <c r="C610" s="3" t="s">
        <v>165</v>
      </c>
      <c r="D610" s="3" t="s">
        <v>223</v>
      </c>
      <c r="E610" s="10"/>
      <c r="F610" s="3" t="s">
        <v>578</v>
      </c>
      <c r="G610" s="3">
        <v>2.5000000000000001E-2</v>
      </c>
      <c r="H610" s="3">
        <f>0.0004*0.00015</f>
        <v>5.9999999999999995E-8</v>
      </c>
      <c r="I610" s="24">
        <v>0.90300000000000002</v>
      </c>
      <c r="J610" s="3" t="s">
        <v>582</v>
      </c>
      <c r="M610" s="3" t="s">
        <v>301</v>
      </c>
      <c r="N610" s="3" t="s">
        <v>1134</v>
      </c>
      <c r="O610" s="3" t="s">
        <v>358</v>
      </c>
      <c r="P61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610" s="9">
        <v>7.5</v>
      </c>
      <c r="W610" s="3" t="s">
        <v>13</v>
      </c>
      <c r="X610" s="3" t="s">
        <v>1135</v>
      </c>
      <c r="Y610" s="4">
        <v>8.6</v>
      </c>
      <c r="Z610" s="4">
        <v>84</v>
      </c>
      <c r="AA610" s="5">
        <f t="shared" si="37"/>
        <v>0.10238095238095238</v>
      </c>
      <c r="AB610" s="5"/>
      <c r="AC61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10" s="97">
        <f>IF(Tabelle1[[#This Row],[Nicht einbezogen weil…]]="",IFERROR(1000*Tabelle1[[#This Row],[Formfaktor]]/Tabelle1[[#This Row],[Thickness '[mm']]],""),"")</f>
        <v>240000</v>
      </c>
      <c r="AE610" s="98">
        <f>IF(Tabelle1[[#This Row],[Nicht einbezogen weil…]]="",IFERROR(Tabelle1[[#This Row],[specific surface '[m^2/m^3']]]/Tabelle1[[#This Row],[Density 
'[g/cm3']]]/1000000,""),"")</f>
        <v>0.26578073089700993</v>
      </c>
      <c r="AF610" s="97">
        <f>IF(Tabelle1[[#This Row],[Nicht einbezogen weil…]]="",IFERROR(365*10*Tabelle1[[#This Row],[Abbaurate '[%/d']]]*Tabelle1[[#This Row],[Thickness '[mm']]]/Tabelle1[[#This Row],[Formfaktor]],""),"")</f>
        <v>1.5570436507936509</v>
      </c>
      <c r="AG610" s="99">
        <f>IF(OR(Tabelle1[[#This Row],[Nicht einbezogen weil…]]="",Tabelle1[[#This Row],[Nicht einbezogen weil…]]="nicht-natürlich"),IF(Tabelle1[[#This Row],[Formfaktor]]=2, 1,IF(Tabelle1[[#This Row],[Formfaktor]]=4,2,IF(Tabelle1[[#This Row],[Formfaktor]]=6,3,""))),"")</f>
        <v>3</v>
      </c>
      <c r="AH610" s="351">
        <f>IF(OR(Tabelle1[[#This Row],[Nicht einbezogen weil…]]="",Tabelle1[[#This Row],[Nicht einbezogen weil…]]="nicht-natürlich"),IFERROR(Tabelle1[[#This Row],[Thickness '[mm']]]/Tabelle1[[#This Row],[Dauer des Abbaus
'[Tage']]]*1000*0.5*365*(1-(1-Tabelle1[[#This Row],[Abbaurate '[%/d']]]/100*Tabelle1[[#This Row],[Dauer des Abbaus
'[Tage']]])^(1/Tabelle1[[#This Row],[Exponent]])),""),"")</f>
        <v>1.603942008231777</v>
      </c>
      <c r="AI61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PP_Boden/Kompost_natürlich</v>
      </c>
      <c r="AJ610" s="71">
        <v>1</v>
      </c>
      <c r="AK61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10" s="3" t="s">
        <v>164</v>
      </c>
      <c r="AO610" s="3" t="s">
        <v>235</v>
      </c>
      <c r="AP610" s="3" t="s">
        <v>235</v>
      </c>
      <c r="AT610" s="10" t="s">
        <v>223</v>
      </c>
      <c r="AU610" s="13" t="s">
        <v>200</v>
      </c>
      <c r="AW610" s="10" t="s">
        <v>775</v>
      </c>
    </row>
    <row r="611" spans="1:49" ht="17.25" customHeight="1">
      <c r="A611" s="10" t="s">
        <v>200</v>
      </c>
      <c r="B611" s="109" t="s">
        <v>165</v>
      </c>
      <c r="C611" s="3" t="s">
        <v>165</v>
      </c>
      <c r="D611" s="3" t="s">
        <v>223</v>
      </c>
      <c r="E611" s="10"/>
      <c r="F611" s="3" t="s">
        <v>578</v>
      </c>
      <c r="G611" s="3">
        <v>2.5000000000000001E-2</v>
      </c>
      <c r="H611" s="3">
        <v>5.9999999999999995E-8</v>
      </c>
      <c r="I611" s="24">
        <v>0.90300000000000002</v>
      </c>
      <c r="J611" s="3" t="s">
        <v>582</v>
      </c>
      <c r="M611" s="3" t="s">
        <v>301</v>
      </c>
      <c r="N611" s="3" t="s">
        <v>1134</v>
      </c>
      <c r="O611" s="3" t="s">
        <v>358</v>
      </c>
      <c r="P611"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R611" s="9">
        <v>7.5</v>
      </c>
      <c r="W611" s="3" t="s">
        <v>190</v>
      </c>
      <c r="Y611" s="4">
        <v>3.1</v>
      </c>
      <c r="Z611" s="4">
        <v>160</v>
      </c>
      <c r="AA611" s="5">
        <f t="shared" si="37"/>
        <v>1.9375E-2</v>
      </c>
      <c r="AB611" s="5"/>
      <c r="AC611"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11" s="97">
        <f>IF(Tabelle1[[#This Row],[Nicht einbezogen weil…]]="",IFERROR(1000*Tabelle1[[#This Row],[Formfaktor]]/Tabelle1[[#This Row],[Thickness '[mm']]],""),"")</f>
        <v>240000</v>
      </c>
      <c r="AE611" s="98">
        <f>IF(Tabelle1[[#This Row],[Nicht einbezogen weil…]]="",IFERROR(Tabelle1[[#This Row],[specific surface '[m^2/m^3']]]/Tabelle1[[#This Row],[Density 
'[g/cm3']]]/1000000,""),"")</f>
        <v>0.26578073089700993</v>
      </c>
      <c r="AF611" s="97">
        <f>IF(Tabelle1[[#This Row],[Nicht einbezogen weil…]]="",IFERROR(365*10*Tabelle1[[#This Row],[Abbaurate '[%/d']]]*Tabelle1[[#This Row],[Thickness '[mm']]]/Tabelle1[[#This Row],[Formfaktor]],""),"")</f>
        <v>0.29466145833333335</v>
      </c>
      <c r="AG611" s="99">
        <f>IF(OR(Tabelle1[[#This Row],[Nicht einbezogen weil…]]="",Tabelle1[[#This Row],[Nicht einbezogen weil…]]="nicht-natürlich"),IF(Tabelle1[[#This Row],[Formfaktor]]=2, 1,IF(Tabelle1[[#This Row],[Formfaktor]]=4,2,IF(Tabelle1[[#This Row],[Formfaktor]]=6,3,""))),"")</f>
        <v>3</v>
      </c>
      <c r="AH611" s="351">
        <f>IF(OR(Tabelle1[[#This Row],[Nicht einbezogen weil…]]="",Tabelle1[[#This Row],[Nicht einbezogen weil…]]="nicht-natürlich"),IFERROR(Tabelle1[[#This Row],[Thickness '[mm']]]/Tabelle1[[#This Row],[Dauer des Abbaus
'[Tage']]]*1000*0.5*365*(1-(1-Tabelle1[[#This Row],[Abbaurate '[%/d']]]/100*Tabelle1[[#This Row],[Dauer des Abbaus
'[Tage']]])^(1/Tabelle1[[#This Row],[Exponent]])),""),"")</f>
        <v>0.29775984121096721</v>
      </c>
      <c r="AI611"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PP_Boden/Kompost_natürlich</v>
      </c>
      <c r="AJ611" s="71">
        <v>1</v>
      </c>
      <c r="AK61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11" s="3" t="s">
        <v>164</v>
      </c>
      <c r="AN611" s="3" t="s">
        <v>538</v>
      </c>
      <c r="AO611" s="3" t="s">
        <v>235</v>
      </c>
      <c r="AP611" s="10" t="s">
        <v>235</v>
      </c>
      <c r="AQ611" s="10"/>
      <c r="AR611" s="10"/>
      <c r="AS611" s="10"/>
      <c r="AT611" s="10" t="s">
        <v>223</v>
      </c>
      <c r="AU611" s="13" t="s">
        <v>200</v>
      </c>
      <c r="AW611" s="10" t="s">
        <v>775</v>
      </c>
    </row>
    <row r="612" spans="1:49" ht="17.25" customHeight="1">
      <c r="A612" s="10" t="s">
        <v>200</v>
      </c>
      <c r="B612" s="109" t="s">
        <v>165</v>
      </c>
      <c r="C612" s="3" t="s">
        <v>165</v>
      </c>
      <c r="D612" s="3" t="s">
        <v>223</v>
      </c>
      <c r="E612" s="10"/>
      <c r="F612" s="3" t="s">
        <v>288</v>
      </c>
      <c r="G612" s="3">
        <v>2</v>
      </c>
      <c r="H612" s="3">
        <f>0.018*0.059</f>
        <v>1.0619999999999998E-3</v>
      </c>
      <c r="I612" s="24">
        <v>0.90300000000000002</v>
      </c>
      <c r="J612" s="3" t="s">
        <v>714</v>
      </c>
      <c r="K612" s="20" t="s">
        <v>715</v>
      </c>
      <c r="M612" s="3" t="s">
        <v>301</v>
      </c>
      <c r="N612" s="3" t="s">
        <v>94</v>
      </c>
      <c r="O612" s="3" t="s">
        <v>23</v>
      </c>
      <c r="P61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12" s="4">
        <v>28</v>
      </c>
      <c r="W612" s="19" t="s">
        <v>13</v>
      </c>
      <c r="Y612" s="339">
        <f>0.001164286/1.029228571</f>
        <v>1.1312219975284771E-3</v>
      </c>
      <c r="Z612" s="547">
        <f>500/24</f>
        <v>20.833333333333332</v>
      </c>
      <c r="AA612" s="5">
        <f t="shared" si="37"/>
        <v>5.4298655881366905E-5</v>
      </c>
      <c r="AB612" s="5"/>
      <c r="AC61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12" s="97">
        <f>IF(Tabelle1[[#This Row],[Nicht einbezogen weil…]]="",IFERROR(1000*Tabelle1[[#This Row],[Formfaktor]]/Tabelle1[[#This Row],[Thickness '[mm']]],""),"")</f>
        <v>1000</v>
      </c>
      <c r="AE612" s="98">
        <f>IF(Tabelle1[[#This Row],[Nicht einbezogen weil…]]="",IFERROR(Tabelle1[[#This Row],[specific surface '[m^2/m^3']]]/Tabelle1[[#This Row],[Density 
'[g/cm3']]]/1000000,""),"")</f>
        <v>1.1074197120708748E-3</v>
      </c>
      <c r="AF612" s="97">
        <f>IF(Tabelle1[[#This Row],[Nicht einbezogen weil…]]="",IFERROR(365*10*Tabelle1[[#This Row],[Abbaurate '[%/d']]]*Tabelle1[[#This Row],[Thickness '[mm']]]/Tabelle1[[#This Row],[Formfaktor]],""),"")</f>
        <v>0.19819009396698919</v>
      </c>
      <c r="AG612" s="99">
        <f>IF(OR(Tabelle1[[#This Row],[Nicht einbezogen weil…]]="",Tabelle1[[#This Row],[Nicht einbezogen weil…]]="nicht-natürlich"),IF(Tabelle1[[#This Row],[Formfaktor]]=2, 1,IF(Tabelle1[[#This Row],[Formfaktor]]=4,2,IF(Tabelle1[[#This Row],[Formfaktor]]=6,3,""))),"")</f>
        <v>1</v>
      </c>
      <c r="AH612" s="351">
        <f>IF(OR(Tabelle1[[#This Row],[Nicht einbezogen weil…]]="",Tabelle1[[#This Row],[Nicht einbezogen weil…]]="nicht-natürlich"),IFERROR(Tabelle1[[#This Row],[Thickness '[mm']]]/Tabelle1[[#This Row],[Dauer des Abbaus
'[Tage']]]*1000*0.5*365*(1-(1-Tabelle1[[#This Row],[Abbaurate '[%/d']]]/100*Tabelle1[[#This Row],[Dauer des Abbaus
'[Tage']]])^(1/Tabelle1[[#This Row],[Exponent]])),""),"")</f>
        <v>0.19819009396727871</v>
      </c>
      <c r="AI61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PP_Meerwasser_natürlich</v>
      </c>
      <c r="AJ612" s="71">
        <v>1</v>
      </c>
      <c r="AK61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12" s="3" t="s">
        <v>391</v>
      </c>
      <c r="AM612" s="3" t="s">
        <v>977</v>
      </c>
      <c r="AN612" s="3" t="s">
        <v>538</v>
      </c>
      <c r="AO612" s="3" t="s">
        <v>200</v>
      </c>
      <c r="AP612" s="12" t="s">
        <v>223</v>
      </c>
      <c r="AT612" s="10" t="s">
        <v>223</v>
      </c>
      <c r="AU612" s="13" t="s">
        <v>200</v>
      </c>
      <c r="AV612" s="14"/>
      <c r="AW612" s="10" t="s">
        <v>775</v>
      </c>
    </row>
    <row r="613" spans="1:49" ht="17.25" customHeight="1">
      <c r="A613" s="10" t="s">
        <v>223</v>
      </c>
      <c r="B613" s="109" t="s">
        <v>18</v>
      </c>
      <c r="C613" s="3" t="s">
        <v>1185</v>
      </c>
      <c r="D613" s="3" t="s">
        <v>200</v>
      </c>
      <c r="E613" s="3" t="s">
        <v>1127</v>
      </c>
      <c r="F613" s="3" t="s">
        <v>996</v>
      </c>
      <c r="G613" s="545" t="s">
        <v>1369</v>
      </c>
      <c r="J613" s="3" t="s">
        <v>1368</v>
      </c>
      <c r="K613" s="8" t="s">
        <v>1376</v>
      </c>
      <c r="L613" s="3" t="s">
        <v>223</v>
      </c>
      <c r="M613" s="12" t="s">
        <v>301</v>
      </c>
      <c r="N613" s="3" t="s">
        <v>1383</v>
      </c>
      <c r="O613" s="3" t="s">
        <v>1104</v>
      </c>
      <c r="P61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13" s="4" t="s">
        <v>1373</v>
      </c>
      <c r="R613" s="4" t="s">
        <v>1371</v>
      </c>
      <c r="T613" s="4" t="s">
        <v>1370</v>
      </c>
      <c r="V613" s="4" t="s">
        <v>734</v>
      </c>
      <c r="W613" s="12" t="s">
        <v>190</v>
      </c>
      <c r="Y613" s="4">
        <v>59</v>
      </c>
      <c r="Z613" s="4">
        <v>240</v>
      </c>
      <c r="AA613" s="5">
        <f t="shared" si="37"/>
        <v>0.24583333333333332</v>
      </c>
      <c r="AB613" s="5"/>
      <c r="AC61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13" s="5" t="str">
        <f>IF(Tabelle1[[#This Row],[Nicht einbezogen weil…]]="",IFERROR(1000*Tabelle1[[#This Row],[Formfaktor]]/Tabelle1[[#This Row],[Thickness '[mm']]],""),"")</f>
        <v/>
      </c>
      <c r="AE613" s="5" t="str">
        <f>IF(Tabelle1[[#This Row],[Nicht einbezogen weil…]]="",IFERROR(Tabelle1[[#This Row],[specific surface '[m^2/m^3']]]/Tabelle1[[#This Row],[Density 
'[g/cm3']]]/1000000,""),"")</f>
        <v/>
      </c>
      <c r="AF613" s="5" t="str">
        <f>IF(Tabelle1[[#This Row],[Nicht einbezogen weil…]]="",IFERROR(365*10*Tabelle1[[#This Row],[Abbaurate '[%/d']]]*Tabelle1[[#This Row],[Thickness '[mm']]]/Tabelle1[[#This Row],[Formfaktor]],""),"")</f>
        <v/>
      </c>
      <c r="AG613" s="328" t="str">
        <f>IF(OR(Tabelle1[[#This Row],[Nicht einbezogen weil…]]="",Tabelle1[[#This Row],[Nicht einbezogen weil…]]="nicht-natürlich"),IF(Tabelle1[[#This Row],[Formfaktor]]=2, 1,IF(Tabelle1[[#This Row],[Formfaktor]]=4,2,IF(Tabelle1[[#This Row],[Formfaktor]]=6,3,""))),"")</f>
        <v/>
      </c>
      <c r="AH613"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1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13" s="6">
        <v>1</v>
      </c>
      <c r="AK61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13" s="3" t="s">
        <v>1366</v>
      </c>
      <c r="AU613" s="13"/>
    </row>
    <row r="614" spans="1:49" ht="17.25" customHeight="1">
      <c r="A614" s="10" t="s">
        <v>200</v>
      </c>
      <c r="B614" s="109" t="s">
        <v>165</v>
      </c>
      <c r="C614" s="3" t="s">
        <v>165</v>
      </c>
      <c r="D614" s="3" t="s">
        <v>223</v>
      </c>
      <c r="E614" s="10"/>
      <c r="F614" s="3" t="s">
        <v>288</v>
      </c>
      <c r="G614" s="3">
        <v>1.5</v>
      </c>
      <c r="H614" s="3">
        <f>0.1*0.15</f>
        <v>1.4999999999999999E-2</v>
      </c>
      <c r="I614" s="24">
        <v>0.90300000000000002</v>
      </c>
      <c r="J614" s="3" t="s">
        <v>705</v>
      </c>
      <c r="K614" s="8" t="s">
        <v>229</v>
      </c>
      <c r="M614" s="3" t="s">
        <v>200</v>
      </c>
      <c r="N614" s="3" t="s">
        <v>278</v>
      </c>
      <c r="O614" s="3" t="s">
        <v>23</v>
      </c>
      <c r="P614"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14" s="3" t="s">
        <v>13</v>
      </c>
      <c r="Y614" s="4">
        <v>0.5</v>
      </c>
      <c r="Z614" s="4">
        <f>6*30</f>
        <v>180</v>
      </c>
      <c r="AA614" s="5">
        <f t="shared" si="37"/>
        <v>2.7777777777777779E-3</v>
      </c>
      <c r="AB614" s="5"/>
      <c r="AC614"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14" s="97">
        <f>IF(Tabelle1[[#This Row],[Nicht einbezogen weil…]]="",IFERROR(1000*Tabelle1[[#This Row],[Formfaktor]]/Tabelle1[[#This Row],[Thickness '[mm']]],""),"")</f>
        <v>1333.3333333333333</v>
      </c>
      <c r="AE614" s="98">
        <f>IF(Tabelle1[[#This Row],[Nicht einbezogen weil…]]="",IFERROR(Tabelle1[[#This Row],[specific surface '[m^2/m^3']]]/Tabelle1[[#This Row],[Density 
'[g/cm3']]]/1000000,""),"")</f>
        <v>1.4765596160944998E-3</v>
      </c>
      <c r="AF614" s="97">
        <f>IF(Tabelle1[[#This Row],[Nicht einbezogen weil…]]="",IFERROR(365*10*Tabelle1[[#This Row],[Abbaurate '[%/d']]]*Tabelle1[[#This Row],[Thickness '[mm']]]/Tabelle1[[#This Row],[Formfaktor]],""),"")</f>
        <v>7.604166666666667</v>
      </c>
      <c r="AG614" s="99">
        <f>IF(OR(Tabelle1[[#This Row],[Nicht einbezogen weil…]]="",Tabelle1[[#This Row],[Nicht einbezogen weil…]]="nicht-natürlich"),IF(Tabelle1[[#This Row],[Formfaktor]]=2, 1,IF(Tabelle1[[#This Row],[Formfaktor]]=4,2,IF(Tabelle1[[#This Row],[Formfaktor]]=6,3,""))),"")</f>
        <v>1</v>
      </c>
      <c r="AH614" s="97">
        <f>IF(OR(Tabelle1[[#This Row],[Nicht einbezogen weil…]]="",Tabelle1[[#This Row],[Nicht einbezogen weil…]]="nicht-natürlich"),IFERROR(Tabelle1[[#This Row],[Thickness '[mm']]]/Tabelle1[[#This Row],[Dauer des Abbaus
'[Tage']]]*1000*0.5*365*(1-(1-Tabelle1[[#This Row],[Abbaurate '[%/d']]]/100*Tabelle1[[#This Row],[Dauer des Abbaus
'[Tage']]])^(1/Tabelle1[[#This Row],[Exponent]])),""),"")</f>
        <v>7.6041666666666741</v>
      </c>
      <c r="AI614"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PP_Meerwasser_natürlich</v>
      </c>
      <c r="AJ614" s="71">
        <v>1</v>
      </c>
      <c r="AK61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14" s="3" t="s">
        <v>1124</v>
      </c>
      <c r="AM614" s="3" t="s">
        <v>967</v>
      </c>
      <c r="AO614" s="3" t="s">
        <v>200</v>
      </c>
      <c r="AP614" s="3" t="s">
        <v>200</v>
      </c>
      <c r="AT614" s="10" t="s">
        <v>200</v>
      </c>
      <c r="AU614" s="13" t="s">
        <v>200</v>
      </c>
      <c r="AV614" s="14"/>
      <c r="AW614" s="10" t="s">
        <v>775</v>
      </c>
    </row>
    <row r="615" spans="1:49" ht="17.25" customHeight="1">
      <c r="A615" s="10" t="s">
        <v>200</v>
      </c>
      <c r="B615" s="109" t="s">
        <v>165</v>
      </c>
      <c r="C615" s="3" t="s">
        <v>165</v>
      </c>
      <c r="D615" s="3" t="s">
        <v>223</v>
      </c>
      <c r="E615" s="10"/>
      <c r="F615" s="3" t="s">
        <v>476</v>
      </c>
      <c r="G615" s="3">
        <v>1.5</v>
      </c>
      <c r="H615" s="3">
        <f>0.15*0.1</f>
        <v>1.4999999999999999E-2</v>
      </c>
      <c r="I615" s="24">
        <v>0.90300000000000002</v>
      </c>
      <c r="K615" s="8" t="s">
        <v>229</v>
      </c>
      <c r="M615" s="3" t="s">
        <v>200</v>
      </c>
      <c r="N615" s="3" t="s">
        <v>1064</v>
      </c>
      <c r="O615" s="3" t="s">
        <v>23</v>
      </c>
      <c r="P61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15" s="3" t="s">
        <v>13</v>
      </c>
      <c r="Y615" s="4">
        <v>0.65</v>
      </c>
      <c r="Z615" s="4">
        <v>365</v>
      </c>
      <c r="AA615" s="5">
        <f t="shared" si="37"/>
        <v>1.7808219178082193E-3</v>
      </c>
      <c r="AB615" s="5"/>
      <c r="AC61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15" s="5">
        <f>IF(Tabelle1[[#This Row],[Nicht einbezogen weil…]]="",IFERROR(1000*Tabelle1[[#This Row],[Formfaktor]]/Tabelle1[[#This Row],[Thickness '[mm']]],""),"")</f>
        <v>1333.3333333333333</v>
      </c>
      <c r="AE615" s="5">
        <f>IF(Tabelle1[[#This Row],[Nicht einbezogen weil…]]="",IFERROR(Tabelle1[[#This Row],[specific surface '[m^2/m^3']]]/Tabelle1[[#This Row],[Density 
'[g/cm3']]]/1000000,""),"")</f>
        <v>1.4765596160944998E-3</v>
      </c>
      <c r="AF615" s="5">
        <f>IF(Tabelle1[[#This Row],[Nicht einbezogen weil…]]="",IFERROR(365*10*Tabelle1[[#This Row],[Abbaurate '[%/d']]]*Tabelle1[[#This Row],[Thickness '[mm']]]/Tabelle1[[#This Row],[Formfaktor]],""),"")</f>
        <v>4.8750000000000009</v>
      </c>
      <c r="AG615" s="328">
        <f>IF(OR(Tabelle1[[#This Row],[Nicht einbezogen weil…]]="",Tabelle1[[#This Row],[Nicht einbezogen weil…]]="nicht-natürlich"),IF(Tabelle1[[#This Row],[Formfaktor]]=2, 1,IF(Tabelle1[[#This Row],[Formfaktor]]=4,2,IF(Tabelle1[[#This Row],[Formfaktor]]=6,3,""))),"")</f>
        <v>1</v>
      </c>
      <c r="AH615" s="352">
        <f>IF(OR(Tabelle1[[#This Row],[Nicht einbezogen weil…]]="",Tabelle1[[#This Row],[Nicht einbezogen weil…]]="nicht-natürlich"),IFERROR(Tabelle1[[#This Row],[Thickness '[mm']]]/Tabelle1[[#This Row],[Dauer des Abbaus
'[Tage']]]*1000*0.5*365*(1-(1-Tabelle1[[#This Row],[Abbaurate '[%/d']]]/100*Tabelle1[[#This Row],[Dauer des Abbaus
'[Tage']]])^(1/Tabelle1[[#This Row],[Exponent]])),""),"")</f>
        <v>4.8749999999999618</v>
      </c>
      <c r="AI61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PP_Meerwasser_natürlich</v>
      </c>
      <c r="AJ615" s="6">
        <v>1</v>
      </c>
      <c r="AK61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15" s="3" t="s">
        <v>1062</v>
      </c>
      <c r="AN615" s="3" t="s">
        <v>1065</v>
      </c>
      <c r="AO615" s="3" t="s">
        <v>200</v>
      </c>
      <c r="AP615" s="3" t="s">
        <v>200</v>
      </c>
      <c r="AT615" s="10" t="s">
        <v>223</v>
      </c>
      <c r="AU615" s="13" t="s">
        <v>200</v>
      </c>
      <c r="AW615" s="10" t="s">
        <v>775</v>
      </c>
    </row>
    <row r="616" spans="1:49" ht="17.25" customHeight="1">
      <c r="A616" s="10" t="s">
        <v>200</v>
      </c>
      <c r="B616" s="109" t="s">
        <v>187</v>
      </c>
      <c r="C616" s="3" t="s">
        <v>302</v>
      </c>
      <c r="D616" s="3" t="s">
        <v>223</v>
      </c>
      <c r="E616" s="10"/>
      <c r="F616" s="3" t="s">
        <v>288</v>
      </c>
      <c r="G616" s="3">
        <v>3</v>
      </c>
      <c r="H616" s="3">
        <f>10*7.5/10000</f>
        <v>7.4999999999999997E-3</v>
      </c>
      <c r="I616" s="24">
        <v>1.2</v>
      </c>
      <c r="K616" s="8" t="s">
        <v>686</v>
      </c>
      <c r="M616" s="3" t="s">
        <v>200</v>
      </c>
      <c r="N616" s="3" t="s">
        <v>23</v>
      </c>
      <c r="O616" s="3" t="s">
        <v>23</v>
      </c>
      <c r="P616"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16" s="4">
        <v>28</v>
      </c>
      <c r="R616" s="4">
        <v>8.18</v>
      </c>
      <c r="U616" s="4" t="s">
        <v>12</v>
      </c>
      <c r="W616" s="3" t="s">
        <v>13</v>
      </c>
      <c r="Y616" s="4">
        <v>4.25</v>
      </c>
      <c r="Z616" s="4">
        <v>365</v>
      </c>
      <c r="AA616" s="5">
        <f t="shared" si="37"/>
        <v>1.1643835616438357E-2</v>
      </c>
      <c r="AB616" s="5"/>
      <c r="AC616"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16" s="97">
        <f>IF(Tabelle1[[#This Row],[Nicht einbezogen weil…]]="",IFERROR(1000*Tabelle1[[#This Row],[Formfaktor]]/Tabelle1[[#This Row],[Thickness '[mm']]],""),"")</f>
        <v>666.66666666666663</v>
      </c>
      <c r="AE616" s="98">
        <f>IF(Tabelle1[[#This Row],[Nicht einbezogen weil…]]="",IFERROR(Tabelle1[[#This Row],[specific surface '[m^2/m^3']]]/Tabelle1[[#This Row],[Density 
'[g/cm3']]]/1000000,""),"")</f>
        <v>5.5555555555555556E-4</v>
      </c>
      <c r="AF616" s="97">
        <f>IF(Tabelle1[[#This Row],[Nicht einbezogen weil…]]="",IFERROR(365*10*Tabelle1[[#This Row],[Abbaurate '[%/d']]]*Tabelle1[[#This Row],[Thickness '[mm']]]/Tabelle1[[#This Row],[Formfaktor]],""),"")</f>
        <v>63.75</v>
      </c>
      <c r="AG616" s="99">
        <f>IF(OR(Tabelle1[[#This Row],[Nicht einbezogen weil…]]="",Tabelle1[[#This Row],[Nicht einbezogen weil…]]="nicht-natürlich"),IF(Tabelle1[[#This Row],[Formfaktor]]=2, 1,IF(Tabelle1[[#This Row],[Formfaktor]]=4,2,IF(Tabelle1[[#This Row],[Formfaktor]]=6,3,""))),"")</f>
        <v>1</v>
      </c>
      <c r="AH616" s="351">
        <f>IF(OR(Tabelle1[[#This Row],[Nicht einbezogen weil…]]="",Tabelle1[[#This Row],[Nicht einbezogen weil…]]="nicht-natürlich"),IFERROR(Tabelle1[[#This Row],[Thickness '[mm']]]/Tabelle1[[#This Row],[Dauer des Abbaus
'[Tage']]]*1000*0.5*365*(1-(1-Tabelle1[[#This Row],[Abbaurate '[%/d']]]/100*Tabelle1[[#This Row],[Dauer des Abbaus
'[Tage']]])^(1/Tabelle1[[#This Row],[Exponent]])),""),"")</f>
        <v>63.749999999999964</v>
      </c>
      <c r="AI616"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PU_Meerwasser_natürlich</v>
      </c>
      <c r="AJ616" s="71">
        <v>1</v>
      </c>
      <c r="AK61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16" s="3" t="s">
        <v>303</v>
      </c>
      <c r="AM616" s="3" t="s">
        <v>967</v>
      </c>
      <c r="AO616" s="3" t="s">
        <v>235</v>
      </c>
      <c r="AP616" s="3" t="s">
        <v>235</v>
      </c>
      <c r="AQ616" s="3" t="s">
        <v>200</v>
      </c>
      <c r="AR616" s="2" t="s">
        <v>200</v>
      </c>
      <c r="AS616" s="2" t="s">
        <v>200</v>
      </c>
      <c r="AT616" s="10" t="s">
        <v>200</v>
      </c>
      <c r="AU616" s="13" t="s">
        <v>200</v>
      </c>
      <c r="AW616" s="10" t="s">
        <v>775</v>
      </c>
    </row>
    <row r="617" spans="1:49" ht="17.25" customHeight="1">
      <c r="A617" s="10" t="s">
        <v>223</v>
      </c>
      <c r="B617" s="109" t="s">
        <v>18</v>
      </c>
      <c r="C617" s="3" t="s">
        <v>1185</v>
      </c>
      <c r="D617" s="3" t="s">
        <v>200</v>
      </c>
      <c r="E617" s="3" t="s">
        <v>1127</v>
      </c>
      <c r="F617" s="3" t="s">
        <v>996</v>
      </c>
      <c r="G617" s="545" t="s">
        <v>1369</v>
      </c>
      <c r="J617" s="3" t="s">
        <v>1368</v>
      </c>
      <c r="K617" s="8" t="s">
        <v>1377</v>
      </c>
      <c r="L617" s="3" t="s">
        <v>223</v>
      </c>
      <c r="M617" s="12" t="s">
        <v>301</v>
      </c>
      <c r="N617" s="3" t="s">
        <v>1383</v>
      </c>
      <c r="O617" s="3" t="s">
        <v>1104</v>
      </c>
      <c r="P61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17" s="4" t="s">
        <v>1373</v>
      </c>
      <c r="R617" s="4" t="s">
        <v>1371</v>
      </c>
      <c r="T617" s="4" t="s">
        <v>1370</v>
      </c>
      <c r="V617" s="4" t="s">
        <v>734</v>
      </c>
      <c r="W617" s="12" t="s">
        <v>190</v>
      </c>
      <c r="Y617" s="4">
        <v>64.099999999999994</v>
      </c>
      <c r="Z617" s="4">
        <v>134</v>
      </c>
      <c r="AA617" s="5">
        <f t="shared" si="37"/>
        <v>0.47835820895522385</v>
      </c>
      <c r="AB617" s="5"/>
      <c r="AC61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17" s="5" t="str">
        <f>IF(Tabelle1[[#This Row],[Nicht einbezogen weil…]]="",IFERROR(1000*Tabelle1[[#This Row],[Formfaktor]]/Tabelle1[[#This Row],[Thickness '[mm']]],""),"")</f>
        <v/>
      </c>
      <c r="AE617" s="5" t="str">
        <f>IF(Tabelle1[[#This Row],[Nicht einbezogen weil…]]="",IFERROR(Tabelle1[[#This Row],[specific surface '[m^2/m^3']]]/Tabelle1[[#This Row],[Density 
'[g/cm3']]]/1000000,""),"")</f>
        <v/>
      </c>
      <c r="AF617" s="5" t="str">
        <f>IF(Tabelle1[[#This Row],[Nicht einbezogen weil…]]="",IFERROR(365*10*Tabelle1[[#This Row],[Abbaurate '[%/d']]]*Tabelle1[[#This Row],[Thickness '[mm']]]/Tabelle1[[#This Row],[Formfaktor]],""),"")</f>
        <v/>
      </c>
      <c r="AG617" s="328" t="str">
        <f>IF(OR(Tabelle1[[#This Row],[Nicht einbezogen weil…]]="",Tabelle1[[#This Row],[Nicht einbezogen weil…]]="nicht-natürlich"),IF(Tabelle1[[#This Row],[Formfaktor]]=2, 1,IF(Tabelle1[[#This Row],[Formfaktor]]=4,2,IF(Tabelle1[[#This Row],[Formfaktor]]=6,3,""))),"")</f>
        <v/>
      </c>
      <c r="AH617"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1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17" s="6">
        <v>1</v>
      </c>
      <c r="AK61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17" s="3" t="s">
        <v>1366</v>
      </c>
      <c r="AU617" s="13"/>
    </row>
    <row r="618" spans="1:49" ht="17.25" customHeight="1">
      <c r="A618" s="10" t="s">
        <v>200</v>
      </c>
      <c r="B618" s="109" t="s">
        <v>187</v>
      </c>
      <c r="C618" s="3" t="s">
        <v>126</v>
      </c>
      <c r="D618" s="3" t="s">
        <v>223</v>
      </c>
      <c r="E618" s="10"/>
      <c r="F618" s="3" t="s">
        <v>288</v>
      </c>
      <c r="G618" s="3">
        <v>2</v>
      </c>
      <c r="H618" s="3" t="s">
        <v>341</v>
      </c>
      <c r="I618" s="24">
        <v>1.2</v>
      </c>
      <c r="J618" s="3" t="s">
        <v>530</v>
      </c>
      <c r="M618" s="3" t="s">
        <v>200</v>
      </c>
      <c r="N618" s="3" t="s">
        <v>23</v>
      </c>
      <c r="O618" s="3" t="s">
        <v>23</v>
      </c>
      <c r="P618"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18" s="4" t="s">
        <v>127</v>
      </c>
      <c r="R618" s="4" t="s">
        <v>128</v>
      </c>
      <c r="U618" s="4" t="s">
        <v>12</v>
      </c>
      <c r="W618" s="3" t="s">
        <v>13</v>
      </c>
      <c r="Y618" s="4">
        <v>0</v>
      </c>
      <c r="Z618" s="4">
        <v>365</v>
      </c>
      <c r="AA618" s="5">
        <f t="shared" si="37"/>
        <v>0</v>
      </c>
      <c r="AB618" s="5"/>
      <c r="AC618"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18" s="97">
        <f>IF(Tabelle1[[#This Row],[Nicht einbezogen weil…]]="",IFERROR(1000*Tabelle1[[#This Row],[Formfaktor]]/Tabelle1[[#This Row],[Thickness '[mm']]],""),"")</f>
        <v>1000</v>
      </c>
      <c r="AE618" s="98">
        <f>IF(Tabelle1[[#This Row],[Nicht einbezogen weil…]]="",IFERROR(Tabelle1[[#This Row],[specific surface '[m^2/m^3']]]/Tabelle1[[#This Row],[Density 
'[g/cm3']]]/1000000,""),"")</f>
        <v>8.3333333333333339E-4</v>
      </c>
      <c r="AF618" s="97">
        <f>IF(Tabelle1[[#This Row],[Nicht einbezogen weil…]]="",IFERROR(365*10*Tabelle1[[#This Row],[Abbaurate '[%/d']]]*Tabelle1[[#This Row],[Thickness '[mm']]]/Tabelle1[[#This Row],[Formfaktor]],""),"")</f>
        <v>0</v>
      </c>
      <c r="AG618" s="99">
        <f>IF(OR(Tabelle1[[#This Row],[Nicht einbezogen weil…]]="",Tabelle1[[#This Row],[Nicht einbezogen weil…]]="nicht-natürlich"),IF(Tabelle1[[#This Row],[Formfaktor]]=2, 1,IF(Tabelle1[[#This Row],[Formfaktor]]=4,2,IF(Tabelle1[[#This Row],[Formfaktor]]=6,3,""))),"")</f>
        <v>1</v>
      </c>
      <c r="AH618" s="351">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618"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PU_Meerwasser_natürlich</v>
      </c>
      <c r="AJ618" s="71">
        <v>1</v>
      </c>
      <c r="AK61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18" s="3" t="s">
        <v>1294</v>
      </c>
      <c r="AO618" s="3" t="s">
        <v>235</v>
      </c>
      <c r="AP618" s="3" t="s">
        <v>235</v>
      </c>
      <c r="AQ618" s="2"/>
      <c r="AT618" s="10" t="s">
        <v>223</v>
      </c>
      <c r="AU618" s="13" t="s">
        <v>200</v>
      </c>
      <c r="AW618" s="10" t="s">
        <v>775</v>
      </c>
    </row>
    <row r="619" spans="1:49" ht="17.25" customHeight="1">
      <c r="A619" s="10" t="s">
        <v>200</v>
      </c>
      <c r="B619" s="109" t="s">
        <v>187</v>
      </c>
      <c r="C619" s="3" t="s">
        <v>124</v>
      </c>
      <c r="D619" s="3" t="s">
        <v>223</v>
      </c>
      <c r="E619" s="10"/>
      <c r="F619" s="3" t="s">
        <v>288</v>
      </c>
      <c r="G619" s="3">
        <v>2</v>
      </c>
      <c r="H619" s="3" t="s">
        <v>341</v>
      </c>
      <c r="I619" s="24">
        <v>1.2</v>
      </c>
      <c r="J619" s="3" t="s">
        <v>530</v>
      </c>
      <c r="M619" s="3" t="s">
        <v>200</v>
      </c>
      <c r="N619" s="3" t="s">
        <v>23</v>
      </c>
      <c r="O619" s="3" t="s">
        <v>23</v>
      </c>
      <c r="P619"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19" s="4" t="s">
        <v>127</v>
      </c>
      <c r="R619" s="4" t="s">
        <v>128</v>
      </c>
      <c r="U619" s="4" t="s">
        <v>12</v>
      </c>
      <c r="W619" s="3" t="s">
        <v>13</v>
      </c>
      <c r="Y619" s="4">
        <v>19.3</v>
      </c>
      <c r="Z619" s="4">
        <v>365</v>
      </c>
      <c r="AA619" s="5">
        <f t="shared" si="37"/>
        <v>5.2876712328767124E-2</v>
      </c>
      <c r="AB619" s="5"/>
      <c r="AC619"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19" s="97">
        <f>IF(Tabelle1[[#This Row],[Nicht einbezogen weil…]]="",IFERROR(1000*Tabelle1[[#This Row],[Formfaktor]]/Tabelle1[[#This Row],[Thickness '[mm']]],""),"")</f>
        <v>1000</v>
      </c>
      <c r="AE619" s="98">
        <f>IF(Tabelle1[[#This Row],[Nicht einbezogen weil…]]="",IFERROR(Tabelle1[[#This Row],[specific surface '[m^2/m^3']]]/Tabelle1[[#This Row],[Density 
'[g/cm3']]]/1000000,""),"")</f>
        <v>8.3333333333333339E-4</v>
      </c>
      <c r="AF619" s="97">
        <f>IF(Tabelle1[[#This Row],[Nicht einbezogen weil…]]="",IFERROR(365*10*Tabelle1[[#This Row],[Abbaurate '[%/d']]]*Tabelle1[[#This Row],[Thickness '[mm']]]/Tabelle1[[#This Row],[Formfaktor]],""),"")</f>
        <v>193</v>
      </c>
      <c r="AG619" s="99">
        <f>IF(OR(Tabelle1[[#This Row],[Nicht einbezogen weil…]]="",Tabelle1[[#This Row],[Nicht einbezogen weil…]]="nicht-natürlich"),IF(Tabelle1[[#This Row],[Formfaktor]]=2, 1,IF(Tabelle1[[#This Row],[Formfaktor]]=4,2,IF(Tabelle1[[#This Row],[Formfaktor]]=6,3,""))),"")</f>
        <v>1</v>
      </c>
      <c r="AH619" s="351">
        <f>IF(OR(Tabelle1[[#This Row],[Nicht einbezogen weil…]]="",Tabelle1[[#This Row],[Nicht einbezogen weil…]]="nicht-natürlich"),IFERROR(Tabelle1[[#This Row],[Thickness '[mm']]]/Tabelle1[[#This Row],[Dauer des Abbaus
'[Tage']]]*1000*0.5*365*(1-(1-Tabelle1[[#This Row],[Abbaurate '[%/d']]]/100*Tabelle1[[#This Row],[Dauer des Abbaus
'[Tage']]])^(1/Tabelle1[[#This Row],[Exponent]])),""),"")</f>
        <v>193.00000000000006</v>
      </c>
      <c r="AI619"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PU_Meerwasser_natürlich</v>
      </c>
      <c r="AJ619" s="71">
        <v>1</v>
      </c>
      <c r="AK61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19" s="3" t="s">
        <v>1294</v>
      </c>
      <c r="AO619" s="3" t="s">
        <v>235</v>
      </c>
      <c r="AP619" s="3" t="s">
        <v>235</v>
      </c>
      <c r="AQ619" s="2"/>
      <c r="AT619" s="10" t="s">
        <v>223</v>
      </c>
      <c r="AU619" s="13" t="s">
        <v>200</v>
      </c>
      <c r="AW619" s="10" t="s">
        <v>775</v>
      </c>
    </row>
    <row r="620" spans="1:49" ht="17.25" customHeight="1">
      <c r="A620" s="10" t="s">
        <v>200</v>
      </c>
      <c r="B620" s="109" t="s">
        <v>187</v>
      </c>
      <c r="C620" s="3" t="s">
        <v>125</v>
      </c>
      <c r="D620" s="3" t="s">
        <v>223</v>
      </c>
      <c r="E620" s="10"/>
      <c r="F620" s="3" t="s">
        <v>288</v>
      </c>
      <c r="G620" s="3">
        <v>2</v>
      </c>
      <c r="H620" s="3" t="s">
        <v>341</v>
      </c>
      <c r="I620" s="24">
        <v>1.2</v>
      </c>
      <c r="J620" s="3" t="s">
        <v>530</v>
      </c>
      <c r="M620" s="3" t="s">
        <v>200</v>
      </c>
      <c r="N620" s="3" t="s">
        <v>23</v>
      </c>
      <c r="O620" s="3" t="s">
        <v>23</v>
      </c>
      <c r="P620"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20" s="4" t="s">
        <v>127</v>
      </c>
      <c r="R620" s="4" t="s">
        <v>128</v>
      </c>
      <c r="U620" s="4" t="s">
        <v>12</v>
      </c>
      <c r="W620" s="3" t="s">
        <v>13</v>
      </c>
      <c r="Y620" s="4">
        <v>4.2</v>
      </c>
      <c r="Z620" s="4">
        <v>365</v>
      </c>
      <c r="AA620" s="5">
        <f t="shared" si="37"/>
        <v>1.1506849315068493E-2</v>
      </c>
      <c r="AB620" s="5"/>
      <c r="AC620"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0" s="97">
        <f>IF(Tabelle1[[#This Row],[Nicht einbezogen weil…]]="",IFERROR(1000*Tabelle1[[#This Row],[Formfaktor]]/Tabelle1[[#This Row],[Thickness '[mm']]],""),"")</f>
        <v>1000</v>
      </c>
      <c r="AE620" s="98">
        <f>IF(Tabelle1[[#This Row],[Nicht einbezogen weil…]]="",IFERROR(Tabelle1[[#This Row],[specific surface '[m^2/m^3']]]/Tabelle1[[#This Row],[Density 
'[g/cm3']]]/1000000,""),"")</f>
        <v>8.3333333333333339E-4</v>
      </c>
      <c r="AF620" s="97">
        <f>IF(Tabelle1[[#This Row],[Nicht einbezogen weil…]]="",IFERROR(365*10*Tabelle1[[#This Row],[Abbaurate '[%/d']]]*Tabelle1[[#This Row],[Thickness '[mm']]]/Tabelle1[[#This Row],[Formfaktor]],""),"")</f>
        <v>42</v>
      </c>
      <c r="AG620" s="99">
        <f>IF(OR(Tabelle1[[#This Row],[Nicht einbezogen weil…]]="",Tabelle1[[#This Row],[Nicht einbezogen weil…]]="nicht-natürlich"),IF(Tabelle1[[#This Row],[Formfaktor]]=2, 1,IF(Tabelle1[[#This Row],[Formfaktor]]=4,2,IF(Tabelle1[[#This Row],[Formfaktor]]=6,3,""))),"")</f>
        <v>1</v>
      </c>
      <c r="AH620" s="351">
        <f>IF(OR(Tabelle1[[#This Row],[Nicht einbezogen weil…]]="",Tabelle1[[#This Row],[Nicht einbezogen weil…]]="nicht-natürlich"),IFERROR(Tabelle1[[#This Row],[Thickness '[mm']]]/Tabelle1[[#This Row],[Dauer des Abbaus
'[Tage']]]*1000*0.5*365*(1-(1-Tabelle1[[#This Row],[Abbaurate '[%/d']]]/100*Tabelle1[[#This Row],[Dauer des Abbaus
'[Tage']]])^(1/Tabelle1[[#This Row],[Exponent]])),""),"")</f>
        <v>42.000000000000036</v>
      </c>
      <c r="AI620"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PU_Meerwasser_natürlich</v>
      </c>
      <c r="AJ620" s="71">
        <v>1</v>
      </c>
      <c r="AK62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20" s="3" t="s">
        <v>1294</v>
      </c>
      <c r="AO620" s="3" t="s">
        <v>235</v>
      </c>
      <c r="AP620" s="3" t="s">
        <v>235</v>
      </c>
      <c r="AQ620" s="2"/>
      <c r="AT620" s="10" t="s">
        <v>223</v>
      </c>
      <c r="AU620" s="13" t="s">
        <v>200</v>
      </c>
      <c r="AW620" s="10" t="s">
        <v>775</v>
      </c>
    </row>
    <row r="621" spans="1:49" ht="17.25" customHeight="1">
      <c r="A621" s="10" t="s">
        <v>223</v>
      </c>
      <c r="B621" s="109" t="s">
        <v>18</v>
      </c>
      <c r="C621" s="3" t="s">
        <v>1185</v>
      </c>
      <c r="D621" s="3" t="s">
        <v>200</v>
      </c>
      <c r="E621" s="3" t="s">
        <v>1127</v>
      </c>
      <c r="F621" s="3" t="s">
        <v>996</v>
      </c>
      <c r="G621" s="545" t="s">
        <v>1369</v>
      </c>
      <c r="J621" s="3" t="s">
        <v>1368</v>
      </c>
      <c r="K621" s="8" t="s">
        <v>1378</v>
      </c>
      <c r="L621" s="3" t="s">
        <v>223</v>
      </c>
      <c r="M621" s="12" t="s">
        <v>301</v>
      </c>
      <c r="N621" s="3" t="s">
        <v>1383</v>
      </c>
      <c r="O621" s="3" t="s">
        <v>1104</v>
      </c>
      <c r="P62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21" s="4" t="s">
        <v>1373</v>
      </c>
      <c r="R621" s="4" t="s">
        <v>1371</v>
      </c>
      <c r="T621" s="4" t="s">
        <v>1370</v>
      </c>
      <c r="V621" s="4" t="s">
        <v>734</v>
      </c>
      <c r="W621" s="12" t="s">
        <v>190</v>
      </c>
      <c r="Y621" s="4">
        <v>50.5</v>
      </c>
      <c r="Z621" s="4">
        <v>224</v>
      </c>
      <c r="AA621" s="5">
        <f t="shared" si="37"/>
        <v>0.22544642857142858</v>
      </c>
      <c r="AB621" s="5"/>
      <c r="AC62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1" s="5" t="str">
        <f>IF(Tabelle1[[#This Row],[Nicht einbezogen weil…]]="",IFERROR(1000*Tabelle1[[#This Row],[Formfaktor]]/Tabelle1[[#This Row],[Thickness '[mm']]],""),"")</f>
        <v/>
      </c>
      <c r="AE621" s="5" t="str">
        <f>IF(Tabelle1[[#This Row],[Nicht einbezogen weil…]]="",IFERROR(Tabelle1[[#This Row],[specific surface '[m^2/m^3']]]/Tabelle1[[#This Row],[Density 
'[g/cm3']]]/1000000,""),"")</f>
        <v/>
      </c>
      <c r="AF621" s="5" t="str">
        <f>IF(Tabelle1[[#This Row],[Nicht einbezogen weil…]]="",IFERROR(365*10*Tabelle1[[#This Row],[Abbaurate '[%/d']]]*Tabelle1[[#This Row],[Thickness '[mm']]]/Tabelle1[[#This Row],[Formfaktor]],""),"")</f>
        <v/>
      </c>
      <c r="AG621" s="328" t="str">
        <f>IF(OR(Tabelle1[[#This Row],[Nicht einbezogen weil…]]="",Tabelle1[[#This Row],[Nicht einbezogen weil…]]="nicht-natürlich"),IF(Tabelle1[[#This Row],[Formfaktor]]=2, 1,IF(Tabelle1[[#This Row],[Formfaktor]]=4,2,IF(Tabelle1[[#This Row],[Formfaktor]]=6,3,""))),"")</f>
        <v/>
      </c>
      <c r="AH621"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2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21" s="6">
        <v>1</v>
      </c>
      <c r="AK62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21" s="3" t="s">
        <v>1366</v>
      </c>
      <c r="AU621" s="13"/>
    </row>
    <row r="622" spans="1:49" ht="17.25" customHeight="1">
      <c r="B622" s="109" t="s">
        <v>1059</v>
      </c>
      <c r="C622" s="3" t="s">
        <v>32</v>
      </c>
      <c r="D622" s="3" t="s">
        <v>223</v>
      </c>
      <c r="E622" s="10"/>
      <c r="F622" s="3" t="s">
        <v>288</v>
      </c>
      <c r="G622" s="17">
        <f>AVERAGE(2.5,5)</f>
        <v>3.75</v>
      </c>
      <c r="H622" s="17" t="s">
        <v>341</v>
      </c>
      <c r="I622" s="3" t="s">
        <v>341</v>
      </c>
      <c r="J622" s="3" t="s">
        <v>726</v>
      </c>
      <c r="K622" s="8" t="s">
        <v>229</v>
      </c>
      <c r="M622" s="3" t="s">
        <v>301</v>
      </c>
      <c r="N622" s="3" t="s">
        <v>3</v>
      </c>
      <c r="O622" s="3" t="s">
        <v>358</v>
      </c>
      <c r="P622"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U622" s="4" t="s">
        <v>12</v>
      </c>
      <c r="W622" s="3" t="s">
        <v>13</v>
      </c>
      <c r="Y622" s="4">
        <v>26.9</v>
      </c>
      <c r="Z622" s="4">
        <v>72</v>
      </c>
      <c r="AA622" s="5">
        <f t="shared" si="37"/>
        <v>0.37361111111111112</v>
      </c>
      <c r="AB622" s="5"/>
      <c r="AC622"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2" s="97">
        <f>IF(Tabelle1[[#This Row],[Nicht einbezogen weil…]]="",IFERROR(1000*Tabelle1[[#This Row],[Formfaktor]]/Tabelle1[[#This Row],[Thickness '[mm']]],""),"")</f>
        <v>533.33333333333337</v>
      </c>
      <c r="AE622" s="98" t="str">
        <f>IF(Tabelle1[[#This Row],[Nicht einbezogen weil…]]="",IFERROR(Tabelle1[[#This Row],[specific surface '[m^2/m^3']]]/Tabelle1[[#This Row],[Density 
'[g/cm3']]]/1000000,""),"")</f>
        <v/>
      </c>
      <c r="AF622" s="97">
        <f>IF(Tabelle1[[#This Row],[Nicht einbezogen weil…]]="",IFERROR(365*10*Tabelle1[[#This Row],[Abbaurate '[%/d']]]*Tabelle1[[#This Row],[Thickness '[mm']]]/Tabelle1[[#This Row],[Formfaktor]],""),"")</f>
        <v>2556.901041666667</v>
      </c>
      <c r="AG622" s="99">
        <f>IF(OR(Tabelle1[[#This Row],[Nicht einbezogen weil…]]="",Tabelle1[[#This Row],[Nicht einbezogen weil…]]="nicht-natürlich"),IF(Tabelle1[[#This Row],[Formfaktor]]=2, 1,IF(Tabelle1[[#This Row],[Formfaktor]]=4,2,IF(Tabelle1[[#This Row],[Formfaktor]]=6,3,""))),"")</f>
        <v>1</v>
      </c>
      <c r="AH622" s="97">
        <f>IF(OR(Tabelle1[[#This Row],[Nicht einbezogen weil…]]="",Tabelle1[[#This Row],[Nicht einbezogen weil…]]="nicht-natürlich"),IFERROR(Tabelle1[[#This Row],[Thickness '[mm']]]/Tabelle1[[#This Row],[Dauer des Abbaus
'[Tage']]]*1000*0.5*365*(1-(1-Tabelle1[[#This Row],[Abbaurate '[%/d']]]/100*Tabelle1[[#This Row],[Dauer des Abbaus
'[Tage']]])^(1/Tabelle1[[#This Row],[Exponent]])),""),"")</f>
        <v>2556.901041666667</v>
      </c>
      <c r="AI622"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Starch-blend_Boden/Kompost_natürlich</v>
      </c>
      <c r="AJ622" s="71">
        <v>1</v>
      </c>
      <c r="AK62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22" s="3" t="s">
        <v>150</v>
      </c>
      <c r="AM622" s="3" t="s">
        <v>962</v>
      </c>
      <c r="AN622" s="3" t="s">
        <v>538</v>
      </c>
      <c r="AO622" s="3" t="s">
        <v>235</v>
      </c>
      <c r="AP622" s="3" t="s">
        <v>200</v>
      </c>
      <c r="AT622" s="10" t="s">
        <v>223</v>
      </c>
      <c r="AU622" s="13" t="s">
        <v>200</v>
      </c>
      <c r="AV622" s="14"/>
      <c r="AW622" s="10" t="s">
        <v>783</v>
      </c>
    </row>
    <row r="623" spans="1:49" ht="17.25" customHeight="1">
      <c r="B623" s="109" t="s">
        <v>1059</v>
      </c>
      <c r="C623" s="3" t="s">
        <v>1316</v>
      </c>
      <c r="D623" s="3" t="s">
        <v>223</v>
      </c>
      <c r="E623" s="10"/>
      <c r="F623" s="3" t="s">
        <v>288</v>
      </c>
      <c r="G623" s="3">
        <v>2.1999999999999999E-2</v>
      </c>
      <c r="H623" s="3" t="s">
        <v>341</v>
      </c>
      <c r="I623" s="3" t="s">
        <v>341</v>
      </c>
      <c r="J623" s="3" t="s">
        <v>602</v>
      </c>
      <c r="M623" s="3" t="s">
        <v>200</v>
      </c>
      <c r="N623" s="3" t="s">
        <v>37</v>
      </c>
      <c r="O623" s="3" t="s">
        <v>23</v>
      </c>
      <c r="P623" s="3"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23" s="9" t="s">
        <v>603</v>
      </c>
      <c r="W623" s="3" t="s">
        <v>506</v>
      </c>
      <c r="Y623" s="4">
        <v>68.900000000000006</v>
      </c>
      <c r="Z623" s="4">
        <v>236</v>
      </c>
      <c r="AA623" s="5">
        <f t="shared" si="37"/>
        <v>0.29194915254237291</v>
      </c>
      <c r="AB623" s="5"/>
      <c r="AC623" s="9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3" s="97">
        <f>IF(Tabelle1[[#This Row],[Nicht einbezogen weil…]]="",IFERROR(1000*Tabelle1[[#This Row],[Formfaktor]]/Tabelle1[[#This Row],[Thickness '[mm']]],""),"")</f>
        <v>90909.090909090912</v>
      </c>
      <c r="AE623" s="98" t="str">
        <f>IF(Tabelle1[[#This Row],[Nicht einbezogen weil…]]="",IFERROR(Tabelle1[[#This Row],[specific surface '[m^2/m^3']]]/Tabelle1[[#This Row],[Density 
'[g/cm3']]]/1000000,""),"")</f>
        <v/>
      </c>
      <c r="AF623" s="97">
        <f>IF(Tabelle1[[#This Row],[Nicht einbezogen weil…]]="",IFERROR(365*10*Tabelle1[[#This Row],[Abbaurate '[%/d']]]*Tabelle1[[#This Row],[Thickness '[mm']]]/Tabelle1[[#This Row],[Formfaktor]],""),"")</f>
        <v>11.721758474576271</v>
      </c>
      <c r="AG623" s="99">
        <f>IF(OR(Tabelle1[[#This Row],[Nicht einbezogen weil…]]="",Tabelle1[[#This Row],[Nicht einbezogen weil…]]="nicht-natürlich"),IF(Tabelle1[[#This Row],[Formfaktor]]=2, 1,IF(Tabelle1[[#This Row],[Formfaktor]]=4,2,IF(Tabelle1[[#This Row],[Formfaktor]]=6,3,""))),"")</f>
        <v>1</v>
      </c>
      <c r="AH623" s="97">
        <f>IF(OR(Tabelle1[[#This Row],[Nicht einbezogen weil…]]="",Tabelle1[[#This Row],[Nicht einbezogen weil…]]="nicht-natürlich"),IFERROR(Tabelle1[[#This Row],[Thickness '[mm']]]/Tabelle1[[#This Row],[Dauer des Abbaus
'[Tage']]]*1000*0.5*365*(1-(1-Tabelle1[[#This Row],[Abbaurate '[%/d']]]/100*Tabelle1[[#This Row],[Dauer des Abbaus
'[Tage']]])^(1/Tabelle1[[#This Row],[Exponent]])),""),"")</f>
        <v>11.721758474576271</v>
      </c>
      <c r="AI623" s="97"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Starch-blend_Meerwasser_natürlich</v>
      </c>
      <c r="AJ623" s="71">
        <v>1</v>
      </c>
      <c r="AK62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23" s="3" t="s">
        <v>149</v>
      </c>
      <c r="AM623" s="3" t="s">
        <v>970</v>
      </c>
      <c r="AO623" s="3" t="s">
        <v>235</v>
      </c>
      <c r="AP623" s="3" t="s">
        <v>235</v>
      </c>
      <c r="AT623" s="10" t="s">
        <v>200</v>
      </c>
      <c r="AU623" s="13" t="s">
        <v>200</v>
      </c>
    </row>
    <row r="624" spans="1:49" ht="17.25" customHeight="1">
      <c r="B624" s="109" t="s">
        <v>1059</v>
      </c>
      <c r="C624" s="3" t="s">
        <v>1058</v>
      </c>
      <c r="D624" s="3" t="s">
        <v>223</v>
      </c>
      <c r="F624" s="3" t="s">
        <v>288</v>
      </c>
      <c r="G624" s="3">
        <v>0.02</v>
      </c>
      <c r="I624" s="3" t="s">
        <v>341</v>
      </c>
      <c r="L624" s="3" t="s">
        <v>229</v>
      </c>
      <c r="M624" s="3" t="s">
        <v>301</v>
      </c>
      <c r="N624" s="3" t="s">
        <v>22</v>
      </c>
      <c r="O624" s="3" t="s">
        <v>358</v>
      </c>
      <c r="P62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24" s="4">
        <v>25</v>
      </c>
      <c r="S624" s="4">
        <v>65</v>
      </c>
      <c r="W624" s="3" t="s">
        <v>90</v>
      </c>
      <c r="Y624" s="4">
        <v>50</v>
      </c>
      <c r="Z624" s="4">
        <f>6.1*7</f>
        <v>42.699999999999996</v>
      </c>
      <c r="AA624" s="5">
        <f t="shared" si="37"/>
        <v>1.1709601873536302</v>
      </c>
      <c r="AB624" s="5"/>
      <c r="AC62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4" s="5">
        <f>IF(Tabelle1[[#This Row],[Nicht einbezogen weil…]]="",IFERROR(1000*Tabelle1[[#This Row],[Formfaktor]]/Tabelle1[[#This Row],[Thickness '[mm']]],""),"")</f>
        <v>100000</v>
      </c>
      <c r="AE624" s="5" t="str">
        <f>IF(Tabelle1[[#This Row],[Nicht einbezogen weil…]]="",IFERROR(Tabelle1[[#This Row],[specific surface '[m^2/m^3']]]/Tabelle1[[#This Row],[Density 
'[g/cm3']]]/1000000,""),"")</f>
        <v/>
      </c>
      <c r="AF624" s="5">
        <f>IF(Tabelle1[[#This Row],[Nicht einbezogen weil…]]="",IFERROR(365*10*Tabelle1[[#This Row],[Abbaurate '[%/d']]]*Tabelle1[[#This Row],[Thickness '[mm']]]/Tabelle1[[#This Row],[Formfaktor]],""),"")</f>
        <v>42.740046838407501</v>
      </c>
      <c r="AG624" s="328">
        <f>IF(OR(Tabelle1[[#This Row],[Nicht einbezogen weil…]]="",Tabelle1[[#This Row],[Nicht einbezogen weil…]]="nicht-natürlich"),IF(Tabelle1[[#This Row],[Formfaktor]]=2, 1,IF(Tabelle1[[#This Row],[Formfaktor]]=4,2,IF(Tabelle1[[#This Row],[Formfaktor]]=6,3,""))),"")</f>
        <v>1</v>
      </c>
      <c r="AH624" s="5">
        <f>IF(OR(Tabelle1[[#This Row],[Nicht einbezogen weil…]]="",Tabelle1[[#This Row],[Nicht einbezogen weil…]]="nicht-natürlich"),IFERROR(Tabelle1[[#This Row],[Thickness '[mm']]]/Tabelle1[[#This Row],[Dauer des Abbaus
'[Tage']]]*1000*0.5*365*(1-(1-Tabelle1[[#This Row],[Abbaurate '[%/d']]]/100*Tabelle1[[#This Row],[Dauer des Abbaus
'[Tage']]])^(1/Tabelle1[[#This Row],[Exponent]])),""),"")</f>
        <v>42.740046838407508</v>
      </c>
      <c r="AI62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Starch-blend_Boden/Kompost_natürlich</v>
      </c>
      <c r="AJ624" s="6">
        <v>1</v>
      </c>
      <c r="AK62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24" s="3" t="s">
        <v>144</v>
      </c>
      <c r="AU624" s="13"/>
    </row>
    <row r="625" spans="1:47" ht="17.25" customHeight="1">
      <c r="A625" s="10" t="s">
        <v>223</v>
      </c>
      <c r="B625" s="109" t="s">
        <v>18</v>
      </c>
      <c r="C625" s="3" t="s">
        <v>1185</v>
      </c>
      <c r="D625" s="3" t="s">
        <v>200</v>
      </c>
      <c r="E625" s="3" t="s">
        <v>1127</v>
      </c>
      <c r="F625" s="3" t="s">
        <v>996</v>
      </c>
      <c r="G625" s="545" t="s">
        <v>1369</v>
      </c>
      <c r="J625" s="3" t="s">
        <v>1368</v>
      </c>
      <c r="K625" s="8" t="s">
        <v>1379</v>
      </c>
      <c r="L625" s="3" t="s">
        <v>223</v>
      </c>
      <c r="M625" s="12" t="s">
        <v>301</v>
      </c>
      <c r="N625" s="3" t="s">
        <v>1383</v>
      </c>
      <c r="O625" s="3" t="s">
        <v>1104</v>
      </c>
      <c r="P62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25" s="4" t="s">
        <v>1373</v>
      </c>
      <c r="R625" s="4" t="s">
        <v>1371</v>
      </c>
      <c r="T625" s="4" t="s">
        <v>1370</v>
      </c>
      <c r="V625" s="4" t="s">
        <v>734</v>
      </c>
      <c r="W625" s="12" t="s">
        <v>190</v>
      </c>
      <c r="Y625" s="4">
        <v>151.4</v>
      </c>
      <c r="Z625" s="4">
        <v>257</v>
      </c>
      <c r="AA625" s="5">
        <f t="shared" si="37"/>
        <v>0.58910505836575877</v>
      </c>
      <c r="AB625" s="5"/>
      <c r="AC62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5" s="5" t="str">
        <f>IF(Tabelle1[[#This Row],[Nicht einbezogen weil…]]="",IFERROR(1000*Tabelle1[[#This Row],[Formfaktor]]/Tabelle1[[#This Row],[Thickness '[mm']]],""),"")</f>
        <v/>
      </c>
      <c r="AE625" s="5" t="str">
        <f>IF(Tabelle1[[#This Row],[Nicht einbezogen weil…]]="",IFERROR(Tabelle1[[#This Row],[specific surface '[m^2/m^3']]]/Tabelle1[[#This Row],[Density 
'[g/cm3']]]/1000000,""),"")</f>
        <v/>
      </c>
      <c r="AF625" s="5" t="str">
        <f>IF(Tabelle1[[#This Row],[Nicht einbezogen weil…]]="",IFERROR(365*10*Tabelle1[[#This Row],[Abbaurate '[%/d']]]*Tabelle1[[#This Row],[Thickness '[mm']]]/Tabelle1[[#This Row],[Formfaktor]],""),"")</f>
        <v/>
      </c>
      <c r="AG625" s="328" t="str">
        <f>IF(OR(Tabelle1[[#This Row],[Nicht einbezogen weil…]]="",Tabelle1[[#This Row],[Nicht einbezogen weil…]]="nicht-natürlich"),IF(Tabelle1[[#This Row],[Formfaktor]]=2, 1,IF(Tabelle1[[#This Row],[Formfaktor]]=4,2,IF(Tabelle1[[#This Row],[Formfaktor]]=6,3,""))),"")</f>
        <v/>
      </c>
      <c r="AH625"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2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25" s="6">
        <v>1</v>
      </c>
      <c r="AK62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25" s="3" t="s">
        <v>1366</v>
      </c>
      <c r="AU625" s="13"/>
    </row>
    <row r="626" spans="1:47" ht="17.25" customHeight="1">
      <c r="B626" s="348" t="s">
        <v>1394</v>
      </c>
      <c r="C626" s="3" t="s">
        <v>1393</v>
      </c>
      <c r="D626" s="3" t="s">
        <v>200</v>
      </c>
      <c r="E626" s="3" t="s">
        <v>205</v>
      </c>
      <c r="F626" s="3" t="s">
        <v>198</v>
      </c>
      <c r="G626" s="3">
        <v>0.03</v>
      </c>
      <c r="I626" s="3" t="s">
        <v>341</v>
      </c>
      <c r="L626" s="3" t="s">
        <v>1395</v>
      </c>
      <c r="M626" s="3" t="s">
        <v>223</v>
      </c>
      <c r="N626" s="3" t="s">
        <v>1396</v>
      </c>
      <c r="O626" s="3" t="s">
        <v>294</v>
      </c>
      <c r="P62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Q626" s="4">
        <v>52</v>
      </c>
      <c r="V626" s="4" t="s">
        <v>734</v>
      </c>
      <c r="W626" s="3" t="s">
        <v>90</v>
      </c>
      <c r="Y626" s="4">
        <v>60</v>
      </c>
      <c r="Z626" s="4">
        <v>40</v>
      </c>
      <c r="AA626" s="5">
        <f t="shared" ref="AA626" si="38">Y626/Z626</f>
        <v>1.5</v>
      </c>
      <c r="AB626" s="5"/>
      <c r="AC62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6" s="5" t="str">
        <f>IF(Tabelle1[[#This Row],[Nicht einbezogen weil…]]="",IFERROR(1000*Tabelle1[[#This Row],[Formfaktor]]/Tabelle1[[#This Row],[Thickness '[mm']]],""),"")</f>
        <v/>
      </c>
      <c r="AE626" s="5" t="str">
        <f>IF(Tabelle1[[#This Row],[Nicht einbezogen weil…]]="",IFERROR(Tabelle1[[#This Row],[specific surface '[m^2/m^3']]]/Tabelle1[[#This Row],[Density 
'[g/cm3']]]/1000000,""),"")</f>
        <v/>
      </c>
      <c r="AF626" s="5" t="str">
        <f>IF(Tabelle1[[#This Row],[Nicht einbezogen weil…]]="",IFERROR(365*10*Tabelle1[[#This Row],[Abbaurate '[%/d']]]*Tabelle1[[#This Row],[Thickness '[mm']]]/Tabelle1[[#This Row],[Formfaktor]],""),"")</f>
        <v/>
      </c>
      <c r="AG626" s="349" t="str">
        <f>IF(OR(Tabelle1[[#This Row],[Nicht einbezogen weil…]]="",Tabelle1[[#This Row],[Nicht einbezogen weil…]]="nicht-natürlich"),IF(Tabelle1[[#This Row],[Formfaktor]]=2, 1,IF(Tabelle1[[#This Row],[Formfaktor]]=4,2,IF(Tabelle1[[#This Row],[Formfaktor]]=6,3,""))),"")</f>
        <v/>
      </c>
      <c r="AH626"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2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26" s="6">
        <v>1</v>
      </c>
      <c r="AK62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26" s="3" t="s">
        <v>1308</v>
      </c>
      <c r="AU626" s="13"/>
    </row>
    <row r="627" spans="1:47" ht="17.25" customHeight="1">
      <c r="B627" s="109" t="s">
        <v>1394</v>
      </c>
      <c r="C627" s="3" t="s">
        <v>1393</v>
      </c>
      <c r="D627" s="3" t="s">
        <v>223</v>
      </c>
      <c r="F627" s="3" t="s">
        <v>198</v>
      </c>
      <c r="G627" s="3">
        <v>0.03</v>
      </c>
      <c r="I627" s="3" t="s">
        <v>341</v>
      </c>
      <c r="L627" s="3" t="s">
        <v>229</v>
      </c>
      <c r="M627" s="3" t="s">
        <v>301</v>
      </c>
      <c r="N627" s="3" t="s">
        <v>1397</v>
      </c>
      <c r="O627" s="3" t="s">
        <v>358</v>
      </c>
      <c r="P62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27" s="3" t="s">
        <v>90</v>
      </c>
      <c r="Y627" s="4">
        <v>99</v>
      </c>
      <c r="Z627" s="4">
        <v>70</v>
      </c>
      <c r="AA627" s="5">
        <f t="shared" ref="AA627:AA642" si="39">Y627/Z627</f>
        <v>1.4142857142857144</v>
      </c>
      <c r="AB627" s="5"/>
      <c r="AC62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7" s="5">
        <f>IF(Tabelle1[[#This Row],[Nicht einbezogen weil…]]="",IFERROR(1000*Tabelle1[[#This Row],[Formfaktor]]/Tabelle1[[#This Row],[Thickness '[mm']]],""),"")</f>
        <v>66666.666666666672</v>
      </c>
      <c r="AE627" s="5" t="str">
        <f>IF(Tabelle1[[#This Row],[Nicht einbezogen weil…]]="",IFERROR(Tabelle1[[#This Row],[specific surface '[m^2/m^3']]]/Tabelle1[[#This Row],[Density 
'[g/cm3']]]/1000000,""),"")</f>
        <v/>
      </c>
      <c r="AF627" s="5">
        <f>IF(Tabelle1[[#This Row],[Nicht einbezogen weil…]]="",IFERROR(365*10*Tabelle1[[#This Row],[Abbaurate '[%/d']]]*Tabelle1[[#This Row],[Thickness '[mm']]]/Tabelle1[[#This Row],[Formfaktor]],""),"")</f>
        <v>77.432142857142864</v>
      </c>
      <c r="AG627" s="349">
        <f>IF(OR(Tabelle1[[#This Row],[Nicht einbezogen weil…]]="",Tabelle1[[#This Row],[Nicht einbezogen weil…]]="nicht-natürlich"),IF(Tabelle1[[#This Row],[Formfaktor]]=2, 1,IF(Tabelle1[[#This Row],[Formfaktor]]=4,2,IF(Tabelle1[[#This Row],[Formfaktor]]=6,3,""))),"")</f>
        <v>1</v>
      </c>
      <c r="AH627" s="5">
        <f>IF(OR(Tabelle1[[#This Row],[Nicht einbezogen weil…]]="",Tabelle1[[#This Row],[Nicht einbezogen weil…]]="nicht-natürlich"),IFERROR(Tabelle1[[#This Row],[Thickness '[mm']]]/Tabelle1[[#This Row],[Dauer des Abbaus
'[Tage']]]*1000*0.5*365*(1-(1-Tabelle1[[#This Row],[Abbaurate '[%/d']]]/100*Tabelle1[[#This Row],[Dauer des Abbaus
'[Tage']]])^(1/Tabelle1[[#This Row],[Exponent]])),""),"")</f>
        <v>77.432142857142864</v>
      </c>
      <c r="AI62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PLLA_Boden/Kompost_natürlich</v>
      </c>
      <c r="AJ627" s="6">
        <v>1</v>
      </c>
      <c r="AK62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27" s="3" t="s">
        <v>1308</v>
      </c>
      <c r="AU627" s="13"/>
    </row>
    <row r="628" spans="1:47" ht="17.25" customHeight="1">
      <c r="B628" s="348" t="s">
        <v>1401</v>
      </c>
      <c r="C628" s="3" t="s">
        <v>1398</v>
      </c>
      <c r="D628" s="3" t="s">
        <v>200</v>
      </c>
      <c r="E628" s="3" t="s">
        <v>1127</v>
      </c>
      <c r="F628" s="3" t="s">
        <v>198</v>
      </c>
      <c r="G628" s="3" t="s">
        <v>341</v>
      </c>
      <c r="J628" s="3" t="s">
        <v>1399</v>
      </c>
      <c r="N628" s="3" t="s">
        <v>1400</v>
      </c>
      <c r="P628"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AA628" s="5" t="e">
        <f t="shared" si="39"/>
        <v>#DIV/0!</v>
      </c>
      <c r="AB628" s="5"/>
      <c r="AC628"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8" s="5" t="str">
        <f>IF(Tabelle1[[#This Row],[Nicht einbezogen weil…]]="",IFERROR(1000*Tabelle1[[#This Row],[Formfaktor]]/Tabelle1[[#This Row],[Thickness '[mm']]],""),"")</f>
        <v/>
      </c>
      <c r="AE628" s="5" t="str">
        <f>IF(Tabelle1[[#This Row],[Nicht einbezogen weil…]]="",IFERROR(Tabelle1[[#This Row],[specific surface '[m^2/m^3']]]/Tabelle1[[#This Row],[Density 
'[g/cm3']]]/1000000,""),"")</f>
        <v/>
      </c>
      <c r="AF628" s="5" t="str">
        <f>IF(Tabelle1[[#This Row],[Nicht einbezogen weil…]]="",IFERROR(365*10*Tabelle1[[#This Row],[Abbaurate '[%/d']]]*Tabelle1[[#This Row],[Thickness '[mm']]]/Tabelle1[[#This Row],[Formfaktor]],""),"")</f>
        <v/>
      </c>
      <c r="AG628" s="349" t="str">
        <f>IF(OR(Tabelle1[[#This Row],[Nicht einbezogen weil…]]="",Tabelle1[[#This Row],[Nicht einbezogen weil…]]="nicht-natürlich"),IF(Tabelle1[[#This Row],[Formfaktor]]=2, 1,IF(Tabelle1[[#This Row],[Formfaktor]]=4,2,IF(Tabelle1[[#This Row],[Formfaktor]]=6,3,""))),"")</f>
        <v/>
      </c>
      <c r="AH628"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28"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28" s="6">
        <v>1</v>
      </c>
      <c r="AK62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Thickness fehlt</v>
      </c>
      <c r="AL628" s="3" t="s">
        <v>1402</v>
      </c>
      <c r="AU628" s="13"/>
    </row>
    <row r="629" spans="1:47" ht="17.25" customHeight="1">
      <c r="B629" s="348" t="s">
        <v>2</v>
      </c>
      <c r="D629" s="3" t="s">
        <v>223</v>
      </c>
      <c r="F629" s="3" t="s">
        <v>198</v>
      </c>
      <c r="G629" s="3">
        <v>0.02</v>
      </c>
      <c r="M629" s="3" t="s">
        <v>200</v>
      </c>
      <c r="N629" s="3" t="s">
        <v>5</v>
      </c>
      <c r="O629" s="3" t="s">
        <v>358</v>
      </c>
      <c r="P62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29" s="3" t="s">
        <v>478</v>
      </c>
      <c r="X629" s="3" t="s">
        <v>407</v>
      </c>
      <c r="Y629" s="4">
        <v>66</v>
      </c>
      <c r="Z629" s="4">
        <v>30</v>
      </c>
      <c r="AA629" s="5">
        <f t="shared" si="39"/>
        <v>2.2000000000000002</v>
      </c>
      <c r="AB629" s="5"/>
      <c r="AC62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29" s="5" t="str">
        <f>IF(Tabelle1[[#This Row],[Nicht einbezogen weil…]]="",IFERROR(1000*Tabelle1[[#This Row],[Formfaktor]]/Tabelle1[[#This Row],[Thickness '[mm']]],""),"")</f>
        <v/>
      </c>
      <c r="AE629" s="5" t="str">
        <f>IF(Tabelle1[[#This Row],[Nicht einbezogen weil…]]="",IFERROR(Tabelle1[[#This Row],[specific surface '[m^2/m^3']]]/Tabelle1[[#This Row],[Density 
'[g/cm3']]]/1000000,""),"")</f>
        <v/>
      </c>
      <c r="AF629" s="5" t="str">
        <f>IF(Tabelle1[[#This Row],[Nicht einbezogen weil…]]="",IFERROR(365*10*Tabelle1[[#This Row],[Abbaurate '[%/d']]]*Tabelle1[[#This Row],[Thickness '[mm']]]/Tabelle1[[#This Row],[Formfaktor]],""),"")</f>
        <v/>
      </c>
      <c r="AG629" s="349" t="str">
        <f>IF(OR(Tabelle1[[#This Row],[Nicht einbezogen weil…]]="",Tabelle1[[#This Row],[Nicht einbezogen weil…]]="nicht-natürlich"),IF(Tabelle1[[#This Row],[Formfaktor]]=2, 1,IF(Tabelle1[[#This Row],[Formfaktor]]=4,2,IF(Tabelle1[[#This Row],[Formfaktor]]=6,3,""))),"")</f>
        <v/>
      </c>
      <c r="AH629"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2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29" s="6">
        <v>1</v>
      </c>
      <c r="AK62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629" s="3" t="s">
        <v>1403</v>
      </c>
      <c r="AU629" s="13"/>
    </row>
    <row r="630" spans="1:47" ht="17.25" customHeight="1">
      <c r="B630" s="348" t="s">
        <v>2</v>
      </c>
      <c r="D630" s="3" t="s">
        <v>223</v>
      </c>
      <c r="F630" s="3" t="s">
        <v>198</v>
      </c>
      <c r="G630" s="3">
        <v>0.05</v>
      </c>
      <c r="M630" s="3" t="s">
        <v>200</v>
      </c>
      <c r="N630" s="3" t="s">
        <v>5</v>
      </c>
      <c r="O630" s="3" t="s">
        <v>358</v>
      </c>
      <c r="P63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30" s="3" t="s">
        <v>478</v>
      </c>
      <c r="X630" s="3" t="s">
        <v>407</v>
      </c>
      <c r="Y630" s="4">
        <v>50</v>
      </c>
      <c r="Z630" s="4">
        <v>30</v>
      </c>
      <c r="AA630" s="5">
        <f t="shared" si="39"/>
        <v>1.6666666666666667</v>
      </c>
      <c r="AB630" s="5"/>
      <c r="AC63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0" s="5" t="str">
        <f>IF(Tabelle1[[#This Row],[Nicht einbezogen weil…]]="",IFERROR(1000*Tabelle1[[#This Row],[Formfaktor]]/Tabelle1[[#This Row],[Thickness '[mm']]],""),"")</f>
        <v/>
      </c>
      <c r="AE630" s="5" t="str">
        <f>IF(Tabelle1[[#This Row],[Nicht einbezogen weil…]]="",IFERROR(Tabelle1[[#This Row],[specific surface '[m^2/m^3']]]/Tabelle1[[#This Row],[Density 
'[g/cm3']]]/1000000,""),"")</f>
        <v/>
      </c>
      <c r="AF630" s="5" t="str">
        <f>IF(Tabelle1[[#This Row],[Nicht einbezogen weil…]]="",IFERROR(365*10*Tabelle1[[#This Row],[Abbaurate '[%/d']]]*Tabelle1[[#This Row],[Thickness '[mm']]]/Tabelle1[[#This Row],[Formfaktor]],""),"")</f>
        <v/>
      </c>
      <c r="AG630" s="349" t="str">
        <f>IF(OR(Tabelle1[[#This Row],[Nicht einbezogen weil…]]="",Tabelle1[[#This Row],[Nicht einbezogen weil…]]="nicht-natürlich"),IF(Tabelle1[[#This Row],[Formfaktor]]=2, 1,IF(Tabelle1[[#This Row],[Formfaktor]]=4,2,IF(Tabelle1[[#This Row],[Formfaktor]]=6,3,""))),"")</f>
        <v/>
      </c>
      <c r="AH630"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3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30" s="6">
        <v>1</v>
      </c>
      <c r="AK63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630" s="3" t="s">
        <v>1403</v>
      </c>
      <c r="AU630" s="13"/>
    </row>
    <row r="631" spans="1:47" ht="17.25" customHeight="1">
      <c r="B631" s="348" t="s">
        <v>2</v>
      </c>
      <c r="D631" s="3" t="s">
        <v>223</v>
      </c>
      <c r="F631" s="3" t="s">
        <v>198</v>
      </c>
      <c r="G631" s="3">
        <v>0.03</v>
      </c>
      <c r="M631" s="3" t="s">
        <v>301</v>
      </c>
      <c r="N631" s="3" t="s">
        <v>3</v>
      </c>
      <c r="O631" s="3" t="s">
        <v>358</v>
      </c>
      <c r="P63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31" s="3" t="s">
        <v>478</v>
      </c>
      <c r="X631" s="3" t="s">
        <v>407</v>
      </c>
      <c r="Y631" s="4">
        <v>33</v>
      </c>
      <c r="Z631" s="4">
        <v>30</v>
      </c>
      <c r="AA631" s="5">
        <f t="shared" si="39"/>
        <v>1.1000000000000001</v>
      </c>
      <c r="AB631" s="5"/>
      <c r="AC63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1" s="5" t="str">
        <f>IF(Tabelle1[[#This Row],[Nicht einbezogen weil…]]="",IFERROR(1000*Tabelle1[[#This Row],[Formfaktor]]/Tabelle1[[#This Row],[Thickness '[mm']]],""),"")</f>
        <v/>
      </c>
      <c r="AE631" s="5" t="str">
        <f>IF(Tabelle1[[#This Row],[Nicht einbezogen weil…]]="",IFERROR(Tabelle1[[#This Row],[specific surface '[m^2/m^3']]]/Tabelle1[[#This Row],[Density 
'[g/cm3']]]/1000000,""),"")</f>
        <v/>
      </c>
      <c r="AF631" s="5" t="str">
        <f>IF(Tabelle1[[#This Row],[Nicht einbezogen weil…]]="",IFERROR(365*10*Tabelle1[[#This Row],[Abbaurate '[%/d']]]*Tabelle1[[#This Row],[Thickness '[mm']]]/Tabelle1[[#This Row],[Formfaktor]],""),"")</f>
        <v/>
      </c>
      <c r="AG631" s="349" t="str">
        <f>IF(OR(Tabelle1[[#This Row],[Nicht einbezogen weil…]]="",Tabelle1[[#This Row],[Nicht einbezogen weil…]]="nicht-natürlich"),IF(Tabelle1[[#This Row],[Formfaktor]]=2, 1,IF(Tabelle1[[#This Row],[Formfaktor]]=4,2,IF(Tabelle1[[#This Row],[Formfaktor]]=6,3,""))),"")</f>
        <v/>
      </c>
      <c r="AH631"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3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31" s="6">
        <v>1</v>
      </c>
      <c r="AK63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Messverfahren irrelevant</v>
      </c>
      <c r="AL631" s="3" t="s">
        <v>1403</v>
      </c>
      <c r="AU631" s="13"/>
    </row>
    <row r="632" spans="1:47" ht="17.25" customHeight="1">
      <c r="B632" s="109" t="s">
        <v>1314</v>
      </c>
      <c r="D632" s="3" t="s">
        <v>223</v>
      </c>
      <c r="F632" s="3" t="s">
        <v>198</v>
      </c>
      <c r="G632" s="3">
        <v>0.1</v>
      </c>
      <c r="M632" s="3" t="s">
        <v>301</v>
      </c>
      <c r="N632" s="3" t="s">
        <v>23</v>
      </c>
      <c r="O632" s="3" t="s">
        <v>23</v>
      </c>
      <c r="P63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32" s="4">
        <v>27</v>
      </c>
      <c r="W632" s="3" t="s">
        <v>90</v>
      </c>
      <c r="Y632" s="4">
        <v>23</v>
      </c>
      <c r="Z632" s="4">
        <v>28</v>
      </c>
      <c r="AA632" s="5">
        <f t="shared" si="39"/>
        <v>0.8214285714285714</v>
      </c>
      <c r="AB632" s="5"/>
      <c r="AC63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2" s="5">
        <f>IF(Tabelle1[[#This Row],[Nicht einbezogen weil…]]="",IFERROR(1000*Tabelle1[[#This Row],[Formfaktor]]/Tabelle1[[#This Row],[Thickness '[mm']]],""),"")</f>
        <v>20000</v>
      </c>
      <c r="AE632" s="5" t="str">
        <f>IF(Tabelle1[[#This Row],[Nicht einbezogen weil…]]="",IFERROR(Tabelle1[[#This Row],[specific surface '[m^2/m^3']]]/Tabelle1[[#This Row],[Density 
'[g/cm3']]]/1000000,""),"")</f>
        <v/>
      </c>
      <c r="AF632" s="5">
        <f>IF(Tabelle1[[#This Row],[Nicht einbezogen weil…]]="",IFERROR(365*10*Tabelle1[[#This Row],[Abbaurate '[%/d']]]*Tabelle1[[#This Row],[Thickness '[mm']]]/Tabelle1[[#This Row],[Formfaktor]],""),"")</f>
        <v>149.91071428571431</v>
      </c>
      <c r="AG632" s="349">
        <f>IF(OR(Tabelle1[[#This Row],[Nicht einbezogen weil…]]="",Tabelle1[[#This Row],[Nicht einbezogen weil…]]="nicht-natürlich"),IF(Tabelle1[[#This Row],[Formfaktor]]=2, 1,IF(Tabelle1[[#This Row],[Formfaktor]]=4,2,IF(Tabelle1[[#This Row],[Formfaktor]]=6,3,""))),"")</f>
        <v>1</v>
      </c>
      <c r="AH632" s="5">
        <f>IF(OR(Tabelle1[[#This Row],[Nicht einbezogen weil…]]="",Tabelle1[[#This Row],[Nicht einbezogen weil…]]="nicht-natürlich"),IFERROR(Tabelle1[[#This Row],[Thickness '[mm']]]/Tabelle1[[#This Row],[Dauer des Abbaus
'[Tage']]]*1000*0.5*365*(1-(1-Tabelle1[[#This Row],[Abbaurate '[%/d']]]/100*Tabelle1[[#This Row],[Dauer des Abbaus
'[Tage']]])^(1/Tabelle1[[#This Row],[Exponent]])),""),"")</f>
        <v>149.91071428571428</v>
      </c>
      <c r="AI63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PHBH_Meerwasser_natürlich</v>
      </c>
      <c r="AJ632" s="6">
        <v>1</v>
      </c>
      <c r="AK63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32" s="3" t="s">
        <v>1310</v>
      </c>
      <c r="AU632" s="13"/>
    </row>
    <row r="633" spans="1:47" ht="17.25" customHeight="1">
      <c r="B633" s="109" t="s">
        <v>48</v>
      </c>
      <c r="D633" s="3" t="s">
        <v>223</v>
      </c>
      <c r="F633" s="3" t="s">
        <v>198</v>
      </c>
      <c r="G633" s="3">
        <v>0.1</v>
      </c>
      <c r="M633" s="3" t="s">
        <v>301</v>
      </c>
      <c r="N633" s="3" t="s">
        <v>23</v>
      </c>
      <c r="O633" s="3" t="s">
        <v>23</v>
      </c>
      <c r="P63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33" s="4">
        <v>27</v>
      </c>
      <c r="W633" s="3" t="s">
        <v>90</v>
      </c>
      <c r="Y633" s="4">
        <v>14</v>
      </c>
      <c r="Z633" s="4">
        <v>28</v>
      </c>
      <c r="AA633" s="5">
        <f t="shared" si="39"/>
        <v>0.5</v>
      </c>
      <c r="AB633" s="5"/>
      <c r="AC63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3" s="5">
        <f>IF(Tabelle1[[#This Row],[Nicht einbezogen weil…]]="",IFERROR(1000*Tabelle1[[#This Row],[Formfaktor]]/Tabelle1[[#This Row],[Thickness '[mm']]],""),"")</f>
        <v>20000</v>
      </c>
      <c r="AE633" s="5" t="str">
        <f>IF(Tabelle1[[#This Row],[Nicht einbezogen weil…]]="",IFERROR(Tabelle1[[#This Row],[specific surface '[m^2/m^3']]]/Tabelle1[[#This Row],[Density 
'[g/cm3']]]/1000000,""),"")</f>
        <v/>
      </c>
      <c r="AF633" s="5">
        <f>IF(Tabelle1[[#This Row],[Nicht einbezogen weil…]]="",IFERROR(365*10*Tabelle1[[#This Row],[Abbaurate '[%/d']]]*Tabelle1[[#This Row],[Thickness '[mm']]]/Tabelle1[[#This Row],[Formfaktor]],""),"")</f>
        <v>91.25</v>
      </c>
      <c r="AG633" s="349">
        <f>IF(OR(Tabelle1[[#This Row],[Nicht einbezogen weil…]]="",Tabelle1[[#This Row],[Nicht einbezogen weil…]]="nicht-natürlich"),IF(Tabelle1[[#This Row],[Formfaktor]]=2, 1,IF(Tabelle1[[#This Row],[Formfaktor]]=4,2,IF(Tabelle1[[#This Row],[Formfaktor]]=6,3,""))),"")</f>
        <v>1</v>
      </c>
      <c r="AH633" s="5">
        <f>IF(OR(Tabelle1[[#This Row],[Nicht einbezogen weil…]]="",Tabelle1[[#This Row],[Nicht einbezogen weil…]]="nicht-natürlich"),IFERROR(Tabelle1[[#This Row],[Thickness '[mm']]]/Tabelle1[[#This Row],[Dauer des Abbaus
'[Tage']]]*1000*0.5*365*(1-(1-Tabelle1[[#This Row],[Abbaurate '[%/d']]]/100*Tabelle1[[#This Row],[Dauer des Abbaus
'[Tage']]])^(1/Tabelle1[[#This Row],[Exponent]])),""),"")</f>
        <v>91.250000000000014</v>
      </c>
      <c r="AI63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PCL_Meerwasser_natürlich</v>
      </c>
      <c r="AJ633" s="6">
        <v>1</v>
      </c>
      <c r="AK63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33" s="3" t="s">
        <v>1310</v>
      </c>
      <c r="AU633" s="13"/>
    </row>
    <row r="634" spans="1:47" ht="17.25" customHeight="1">
      <c r="B634" s="109" t="s">
        <v>42</v>
      </c>
      <c r="D634" s="3" t="s">
        <v>223</v>
      </c>
      <c r="F634" s="3" t="s">
        <v>198</v>
      </c>
      <c r="G634" s="3">
        <v>0.1</v>
      </c>
      <c r="M634" s="3" t="s">
        <v>301</v>
      </c>
      <c r="N634" s="3" t="s">
        <v>23</v>
      </c>
      <c r="O634" s="3" t="s">
        <v>23</v>
      </c>
      <c r="P63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34" s="4">
        <v>27</v>
      </c>
      <c r="W634" s="3" t="s">
        <v>90</v>
      </c>
      <c r="Y634" s="4">
        <v>3</v>
      </c>
      <c r="Z634" s="4">
        <v>28</v>
      </c>
      <c r="AA634" s="5">
        <f t="shared" si="39"/>
        <v>0.10714285714285714</v>
      </c>
      <c r="AB634" s="5"/>
      <c r="AC63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4" s="5">
        <f>IF(Tabelle1[[#This Row],[Nicht einbezogen weil…]]="",IFERROR(1000*Tabelle1[[#This Row],[Formfaktor]]/Tabelle1[[#This Row],[Thickness '[mm']]],""),"")</f>
        <v>20000</v>
      </c>
      <c r="AE634" s="5" t="str">
        <f>IF(Tabelle1[[#This Row],[Nicht einbezogen weil…]]="",IFERROR(Tabelle1[[#This Row],[specific surface '[m^2/m^3']]]/Tabelle1[[#This Row],[Density 
'[g/cm3']]]/1000000,""),"")</f>
        <v/>
      </c>
      <c r="AF634" s="5">
        <f>IF(Tabelle1[[#This Row],[Nicht einbezogen weil…]]="",IFERROR(365*10*Tabelle1[[#This Row],[Abbaurate '[%/d']]]*Tabelle1[[#This Row],[Thickness '[mm']]]/Tabelle1[[#This Row],[Formfaktor]],""),"")</f>
        <v>19.553571428571431</v>
      </c>
      <c r="AG634" s="349">
        <f>IF(OR(Tabelle1[[#This Row],[Nicht einbezogen weil…]]="",Tabelle1[[#This Row],[Nicht einbezogen weil…]]="nicht-natürlich"),IF(Tabelle1[[#This Row],[Formfaktor]]=2, 1,IF(Tabelle1[[#This Row],[Formfaktor]]=4,2,IF(Tabelle1[[#This Row],[Formfaktor]]=6,3,""))),"")</f>
        <v>1</v>
      </c>
      <c r="AH634" s="5">
        <f>IF(OR(Tabelle1[[#This Row],[Nicht einbezogen weil…]]="",Tabelle1[[#This Row],[Nicht einbezogen weil…]]="nicht-natürlich"),IFERROR(Tabelle1[[#This Row],[Thickness '[mm']]]/Tabelle1[[#This Row],[Dauer des Abbaus
'[Tage']]]*1000*0.5*365*(1-(1-Tabelle1[[#This Row],[Abbaurate '[%/d']]]/100*Tabelle1[[#This Row],[Dauer des Abbaus
'[Tage']]])^(1/Tabelle1[[#This Row],[Exponent]])),""),"")</f>
        <v>19.553571428571448</v>
      </c>
      <c r="AI63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PBS_Meerwasser_natürlich</v>
      </c>
      <c r="AJ634" s="6">
        <v>1</v>
      </c>
      <c r="AK63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34" s="3" t="s">
        <v>1310</v>
      </c>
      <c r="AU634" s="13"/>
    </row>
    <row r="635" spans="1:47" ht="17.25" customHeight="1">
      <c r="B635" s="109" t="s">
        <v>654</v>
      </c>
      <c r="D635" s="3" t="s">
        <v>223</v>
      </c>
      <c r="F635" s="3" t="s">
        <v>198</v>
      </c>
      <c r="G635" s="3">
        <v>0.1</v>
      </c>
      <c r="M635" s="3" t="s">
        <v>301</v>
      </c>
      <c r="N635" s="3" t="s">
        <v>23</v>
      </c>
      <c r="O635" s="3" t="s">
        <v>23</v>
      </c>
      <c r="P63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35" s="4">
        <v>27</v>
      </c>
      <c r="W635" s="3" t="s">
        <v>90</v>
      </c>
      <c r="Y635" s="4">
        <v>4</v>
      </c>
      <c r="Z635" s="4">
        <v>28</v>
      </c>
      <c r="AA635" s="5">
        <f t="shared" si="39"/>
        <v>0.14285714285714285</v>
      </c>
      <c r="AB635" s="5"/>
      <c r="AC63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5" s="5">
        <f>IF(Tabelle1[[#This Row],[Nicht einbezogen weil…]]="",IFERROR(1000*Tabelle1[[#This Row],[Formfaktor]]/Tabelle1[[#This Row],[Thickness '[mm']]],""),"")</f>
        <v>20000</v>
      </c>
      <c r="AE635" s="5" t="str">
        <f>IF(Tabelle1[[#This Row],[Nicht einbezogen weil…]]="",IFERROR(Tabelle1[[#This Row],[specific surface '[m^2/m^3']]]/Tabelle1[[#This Row],[Density 
'[g/cm3']]]/1000000,""),"")</f>
        <v/>
      </c>
      <c r="AF635" s="5">
        <f>IF(Tabelle1[[#This Row],[Nicht einbezogen weil…]]="",IFERROR(365*10*Tabelle1[[#This Row],[Abbaurate '[%/d']]]*Tabelle1[[#This Row],[Thickness '[mm']]]/Tabelle1[[#This Row],[Formfaktor]],""),"")</f>
        <v>26.071428571428573</v>
      </c>
      <c r="AG635" s="349">
        <f>IF(OR(Tabelle1[[#This Row],[Nicht einbezogen weil…]]="",Tabelle1[[#This Row],[Nicht einbezogen weil…]]="nicht-natürlich"),IF(Tabelle1[[#This Row],[Formfaktor]]=2, 1,IF(Tabelle1[[#This Row],[Formfaktor]]=4,2,IF(Tabelle1[[#This Row],[Formfaktor]]=6,3,""))),"")</f>
        <v>1</v>
      </c>
      <c r="AH635" s="5">
        <f>IF(OR(Tabelle1[[#This Row],[Nicht einbezogen weil…]]="",Tabelle1[[#This Row],[Nicht einbezogen weil…]]="nicht-natürlich"),IFERROR(Tabelle1[[#This Row],[Thickness '[mm']]]/Tabelle1[[#This Row],[Dauer des Abbaus
'[Tage']]]*1000*0.5*365*(1-(1-Tabelle1[[#This Row],[Abbaurate '[%/d']]]/100*Tabelle1[[#This Row],[Dauer des Abbaus
'[Tage']]])^(1/Tabelle1[[#This Row],[Exponent]])),""),"")</f>
        <v>26.071428571428598</v>
      </c>
      <c r="AI63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PBSA_Meerwasser_natürlich</v>
      </c>
      <c r="AJ635" s="6">
        <v>1</v>
      </c>
      <c r="AK63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35" s="3" t="s">
        <v>1310</v>
      </c>
      <c r="AU635" s="13"/>
    </row>
    <row r="636" spans="1:47" ht="17.25" customHeight="1">
      <c r="B636" s="109" t="s">
        <v>1092</v>
      </c>
      <c r="D636" s="3" t="s">
        <v>223</v>
      </c>
      <c r="F636" s="3" t="s">
        <v>198</v>
      </c>
      <c r="G636" s="3">
        <v>0.1</v>
      </c>
      <c r="M636" s="3" t="s">
        <v>301</v>
      </c>
      <c r="N636" s="3" t="s">
        <v>23</v>
      </c>
      <c r="O636" s="3" t="s">
        <v>23</v>
      </c>
      <c r="P63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36" s="4">
        <v>27</v>
      </c>
      <c r="W636" s="3" t="s">
        <v>90</v>
      </c>
      <c r="Y636" s="4">
        <v>0</v>
      </c>
      <c r="Z636" s="4">
        <v>28</v>
      </c>
      <c r="AA636" s="5">
        <f t="shared" si="39"/>
        <v>0</v>
      </c>
      <c r="AB636" s="5"/>
      <c r="AC63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6" s="5">
        <f>IF(Tabelle1[[#This Row],[Nicht einbezogen weil…]]="",IFERROR(1000*Tabelle1[[#This Row],[Formfaktor]]/Tabelle1[[#This Row],[Thickness '[mm']]],""),"")</f>
        <v>20000</v>
      </c>
      <c r="AE636" s="5" t="str">
        <f>IF(Tabelle1[[#This Row],[Nicht einbezogen weil…]]="",IFERROR(Tabelle1[[#This Row],[specific surface '[m^2/m^3']]]/Tabelle1[[#This Row],[Density 
'[g/cm3']]]/1000000,""),"")</f>
        <v/>
      </c>
      <c r="AF636" s="5">
        <f>IF(Tabelle1[[#This Row],[Nicht einbezogen weil…]]="",IFERROR(365*10*Tabelle1[[#This Row],[Abbaurate '[%/d']]]*Tabelle1[[#This Row],[Thickness '[mm']]]/Tabelle1[[#This Row],[Formfaktor]],""),"")</f>
        <v>0</v>
      </c>
      <c r="AG636" s="349">
        <f>IF(OR(Tabelle1[[#This Row],[Nicht einbezogen weil…]]="",Tabelle1[[#This Row],[Nicht einbezogen weil…]]="nicht-natürlich"),IF(Tabelle1[[#This Row],[Formfaktor]]=2, 1,IF(Tabelle1[[#This Row],[Formfaktor]]=4,2,IF(Tabelle1[[#This Row],[Formfaktor]]=6,3,""))),"")</f>
        <v>1</v>
      </c>
      <c r="AH636"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63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PLA(-blend)_Meerwasser_natürlich</v>
      </c>
      <c r="AJ636" s="6">
        <v>1</v>
      </c>
      <c r="AK63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36" s="3" t="s">
        <v>1310</v>
      </c>
      <c r="AU636" s="13"/>
    </row>
    <row r="637" spans="1:47" ht="17.25" customHeight="1">
      <c r="B637" s="7" t="s">
        <v>1406</v>
      </c>
      <c r="C637" s="3" t="s">
        <v>1398</v>
      </c>
      <c r="D637" s="3" t="s">
        <v>200</v>
      </c>
      <c r="E637" s="3" t="s">
        <v>205</v>
      </c>
      <c r="F637" s="3" t="s">
        <v>996</v>
      </c>
      <c r="J637" s="3" t="s">
        <v>1407</v>
      </c>
      <c r="P63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AA637" s="5" t="e">
        <f t="shared" si="39"/>
        <v>#DIV/0!</v>
      </c>
      <c r="AB637" s="5"/>
      <c r="AC63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7" s="5" t="str">
        <f>IF(Tabelle1[[#This Row],[Nicht einbezogen weil…]]="",IFERROR(1000*Tabelle1[[#This Row],[Formfaktor]]/Tabelle1[[#This Row],[Thickness '[mm']]],""),"")</f>
        <v/>
      </c>
      <c r="AE637" s="5" t="str">
        <f>IF(Tabelle1[[#This Row],[Nicht einbezogen weil…]]="",IFERROR(Tabelle1[[#This Row],[specific surface '[m^2/m^3']]]/Tabelle1[[#This Row],[Density 
'[g/cm3']]]/1000000,""),"")</f>
        <v/>
      </c>
      <c r="AF637" s="5" t="str">
        <f>IF(Tabelle1[[#This Row],[Nicht einbezogen weil…]]="",IFERROR(365*10*Tabelle1[[#This Row],[Abbaurate '[%/d']]]*Tabelle1[[#This Row],[Thickness '[mm']]]/Tabelle1[[#This Row],[Formfaktor]],""),"")</f>
        <v/>
      </c>
      <c r="AG637" s="328" t="str">
        <f>IF(OR(Tabelle1[[#This Row],[Nicht einbezogen weil…]]="",Tabelle1[[#This Row],[Nicht einbezogen weil…]]="nicht-natürlich"),IF(Tabelle1[[#This Row],[Formfaktor]]=2, 1,IF(Tabelle1[[#This Row],[Formfaktor]]=4,2,IF(Tabelle1[[#This Row],[Formfaktor]]=6,3,""))),"")</f>
        <v/>
      </c>
      <c r="AH637"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3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37" s="6">
        <v>1</v>
      </c>
      <c r="AK63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37" s="3" t="s">
        <v>1309</v>
      </c>
      <c r="AU637" s="13"/>
    </row>
    <row r="638" spans="1:47" ht="17.25" customHeight="1">
      <c r="B638" s="7" t="s">
        <v>1406</v>
      </c>
      <c r="C638" s="3" t="s">
        <v>1398</v>
      </c>
      <c r="D638" s="3" t="s">
        <v>200</v>
      </c>
      <c r="E638" s="3" t="s">
        <v>205</v>
      </c>
      <c r="F638" s="3" t="s">
        <v>996</v>
      </c>
      <c r="J638" s="3" t="s">
        <v>1408</v>
      </c>
      <c r="P638"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nein</v>
      </c>
      <c r="AA638" s="5" t="e">
        <f t="shared" si="39"/>
        <v>#DIV/0!</v>
      </c>
      <c r="AB638" s="5"/>
      <c r="AC638"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8" s="5" t="str">
        <f>IF(Tabelle1[[#This Row],[Nicht einbezogen weil…]]="",IFERROR(1000*Tabelle1[[#This Row],[Formfaktor]]/Tabelle1[[#This Row],[Thickness '[mm']]],""),"")</f>
        <v/>
      </c>
      <c r="AE638" s="5" t="str">
        <f>IF(Tabelle1[[#This Row],[Nicht einbezogen weil…]]="",IFERROR(Tabelle1[[#This Row],[specific surface '[m^2/m^3']]]/Tabelle1[[#This Row],[Density 
'[g/cm3']]]/1000000,""),"")</f>
        <v/>
      </c>
      <c r="AF638" s="5" t="str">
        <f>IF(Tabelle1[[#This Row],[Nicht einbezogen weil…]]="",IFERROR(365*10*Tabelle1[[#This Row],[Abbaurate '[%/d']]]*Tabelle1[[#This Row],[Thickness '[mm']]]/Tabelle1[[#This Row],[Formfaktor]],""),"")</f>
        <v/>
      </c>
      <c r="AG638" s="328" t="str">
        <f>IF(OR(Tabelle1[[#This Row],[Nicht einbezogen weil…]]="",Tabelle1[[#This Row],[Nicht einbezogen weil…]]="nicht-natürlich"),IF(Tabelle1[[#This Row],[Formfaktor]]=2, 1,IF(Tabelle1[[#This Row],[Formfaktor]]=4,2,IF(Tabelle1[[#This Row],[Formfaktor]]=6,3,""))),"")</f>
        <v/>
      </c>
      <c r="AH638" s="5" t="str">
        <f>IF(OR(Tabelle1[[#This Row],[Nicht einbezogen weil…]]="",Tabelle1[[#This Row],[Nicht einbezogen weil…]]="nicht-natürlich"),IFERROR(Tabelle1[[#This Row],[Thickness '[mm']]]/Tabelle1[[#This Row],[Dauer des Abbaus
'[Tage']]]*1000*0.5*365*(1-(1-Tabelle1[[#This Row],[Abbaurate '[%/d']]]/100*Tabelle1[[#This Row],[Dauer des Abbaus
'[Tage']]])^(1/Tabelle1[[#This Row],[Exponent]])),""),"")</f>
        <v/>
      </c>
      <c r="AI638"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
      </c>
      <c r="AJ638" s="6">
        <v>1</v>
      </c>
      <c r="AK63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Accelerated</v>
      </c>
      <c r="AL638" s="3" t="s">
        <v>1309</v>
      </c>
      <c r="AU638" s="13"/>
    </row>
    <row r="639" spans="1:47" ht="17.25" customHeight="1">
      <c r="B639" s="109" t="s">
        <v>20</v>
      </c>
      <c r="D639" s="3" t="s">
        <v>223</v>
      </c>
      <c r="F639" s="3" t="s">
        <v>198</v>
      </c>
      <c r="G639" s="3">
        <v>0.1</v>
      </c>
      <c r="J639" s="3" t="s">
        <v>1313</v>
      </c>
      <c r="M639" s="3" t="s">
        <v>301</v>
      </c>
      <c r="N639" s="3" t="s">
        <v>23</v>
      </c>
      <c r="O639" s="3" t="s">
        <v>23</v>
      </c>
      <c r="P63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39" s="4">
        <v>35</v>
      </c>
      <c r="W639" s="3" t="s">
        <v>90</v>
      </c>
      <c r="Y639" s="4">
        <v>70</v>
      </c>
      <c r="Z639" s="4">
        <v>7</v>
      </c>
      <c r="AA639" s="5">
        <f t="shared" si="39"/>
        <v>10</v>
      </c>
      <c r="AB639" s="5"/>
      <c r="AC63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39" s="5">
        <f>IF(Tabelle1[[#This Row],[Nicht einbezogen weil…]]="",IFERROR(1000*Tabelle1[[#This Row],[Formfaktor]]/Tabelle1[[#This Row],[Thickness '[mm']]],""),"")</f>
        <v>20000</v>
      </c>
      <c r="AE639" s="5" t="str">
        <f>IF(Tabelle1[[#This Row],[Nicht einbezogen weil…]]="",IFERROR(Tabelle1[[#This Row],[specific surface '[m^2/m^3']]]/Tabelle1[[#This Row],[Density 
'[g/cm3']]]/1000000,""),"")</f>
        <v/>
      </c>
      <c r="AF639" s="5">
        <f>IF(Tabelle1[[#This Row],[Nicht einbezogen weil…]]="",IFERROR(365*10*Tabelle1[[#This Row],[Abbaurate '[%/d']]]*Tabelle1[[#This Row],[Thickness '[mm']]]/Tabelle1[[#This Row],[Formfaktor]],""),"")</f>
        <v>1825</v>
      </c>
      <c r="AG639" s="349">
        <f>IF(OR(Tabelle1[[#This Row],[Nicht einbezogen weil…]]="",Tabelle1[[#This Row],[Nicht einbezogen weil…]]="nicht-natürlich"),IF(Tabelle1[[#This Row],[Formfaktor]]=2, 1,IF(Tabelle1[[#This Row],[Formfaktor]]=4,2,IF(Tabelle1[[#This Row],[Formfaktor]]=6,3,""))),"")</f>
        <v>1</v>
      </c>
      <c r="AH639" s="5">
        <f>IF(OR(Tabelle1[[#This Row],[Nicht einbezogen weil…]]="",Tabelle1[[#This Row],[Nicht einbezogen weil…]]="nicht-natürlich"),IFERROR(Tabelle1[[#This Row],[Thickness '[mm']]]/Tabelle1[[#This Row],[Dauer des Abbaus
'[Tage']]]*1000*0.5*365*(1-(1-Tabelle1[[#This Row],[Abbaurate '[%/d']]]/100*Tabelle1[[#This Row],[Dauer des Abbaus
'[Tage']]])^(1/Tabelle1[[#This Row],[Exponent]])),""),"")</f>
        <v>1825.0000000000002</v>
      </c>
      <c r="AI63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PHA_Meerwasser_natürlich</v>
      </c>
      <c r="AJ639" s="6">
        <v>1</v>
      </c>
      <c r="AK63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39" s="3" t="s">
        <v>1307</v>
      </c>
      <c r="AU639" s="13"/>
    </row>
    <row r="640" spans="1:47" ht="17.25" customHeight="1">
      <c r="B640" s="109" t="s">
        <v>20</v>
      </c>
      <c r="D640" s="3" t="s">
        <v>223</v>
      </c>
      <c r="F640" s="3" t="s">
        <v>198</v>
      </c>
      <c r="G640" s="3">
        <v>0.1</v>
      </c>
      <c r="J640" s="3" t="s">
        <v>1313</v>
      </c>
      <c r="M640" s="3" t="s">
        <v>301</v>
      </c>
      <c r="N640" s="3" t="s">
        <v>3</v>
      </c>
      <c r="O640" s="3" t="s">
        <v>358</v>
      </c>
      <c r="P64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40" s="4">
        <v>55</v>
      </c>
      <c r="W640" s="3" t="s">
        <v>90</v>
      </c>
      <c r="Y640" s="4">
        <v>60</v>
      </c>
      <c r="Z640" s="4">
        <v>7</v>
      </c>
      <c r="AA640" s="5">
        <f t="shared" si="39"/>
        <v>8.5714285714285712</v>
      </c>
      <c r="AB640" s="5"/>
      <c r="AC64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40" s="5">
        <f>IF(Tabelle1[[#This Row],[Nicht einbezogen weil…]]="",IFERROR(1000*Tabelle1[[#This Row],[Formfaktor]]/Tabelle1[[#This Row],[Thickness '[mm']]],""),"")</f>
        <v>20000</v>
      </c>
      <c r="AE640" s="5" t="str">
        <f>IF(Tabelle1[[#This Row],[Nicht einbezogen weil…]]="",IFERROR(Tabelle1[[#This Row],[specific surface '[m^2/m^3']]]/Tabelle1[[#This Row],[Density 
'[g/cm3']]]/1000000,""),"")</f>
        <v/>
      </c>
      <c r="AF640" s="5">
        <f>IF(Tabelle1[[#This Row],[Nicht einbezogen weil…]]="",IFERROR(365*10*Tabelle1[[#This Row],[Abbaurate '[%/d']]]*Tabelle1[[#This Row],[Thickness '[mm']]]/Tabelle1[[#This Row],[Formfaktor]],""),"")</f>
        <v>1564.2857142857144</v>
      </c>
      <c r="AG640" s="328">
        <f>IF(OR(Tabelle1[[#This Row],[Nicht einbezogen weil…]]="",Tabelle1[[#This Row],[Nicht einbezogen weil…]]="nicht-natürlich"),IF(Tabelle1[[#This Row],[Formfaktor]]=2, 1,IF(Tabelle1[[#This Row],[Formfaktor]]=4,2,IF(Tabelle1[[#This Row],[Formfaktor]]=6,3,""))),"")</f>
        <v>1</v>
      </c>
      <c r="AH640" s="5">
        <f>IF(OR(Tabelle1[[#This Row],[Nicht einbezogen weil…]]="",Tabelle1[[#This Row],[Nicht einbezogen weil…]]="nicht-natürlich"),IFERROR(Tabelle1[[#This Row],[Thickness '[mm']]]/Tabelle1[[#This Row],[Dauer des Abbaus
'[Tage']]]*1000*0.5*365*(1-(1-Tabelle1[[#This Row],[Abbaurate '[%/d']]]/100*Tabelle1[[#This Row],[Dauer des Abbaus
'[Tage']]])^(1/Tabelle1[[#This Row],[Exponent]])),""),"")</f>
        <v>1564.2857142857144</v>
      </c>
      <c r="AI64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PHA_Boden/Kompost_natürlich</v>
      </c>
      <c r="AJ640" s="6">
        <v>1</v>
      </c>
      <c r="AK64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40" s="3" t="s">
        <v>1307</v>
      </c>
      <c r="AU640" s="13"/>
    </row>
    <row r="641" spans="1:47" ht="17.25" customHeight="1">
      <c r="B641" s="109" t="s">
        <v>42</v>
      </c>
      <c r="D641" s="3" t="s">
        <v>223</v>
      </c>
      <c r="F641" s="3" t="s">
        <v>198</v>
      </c>
      <c r="G641" s="3">
        <v>0.1</v>
      </c>
      <c r="I641" s="3">
        <v>1.26</v>
      </c>
      <c r="J641" s="3" t="s">
        <v>1312</v>
      </c>
      <c r="M641" s="3" t="s">
        <v>200</v>
      </c>
      <c r="O641" s="3" t="s">
        <v>358</v>
      </c>
      <c r="P641"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41" s="3" t="s">
        <v>1412</v>
      </c>
      <c r="Y641" s="4">
        <v>50</v>
      </c>
      <c r="Z641" s="4">
        <v>230</v>
      </c>
      <c r="AA641" s="5">
        <f t="shared" si="39"/>
        <v>0.21739130434782608</v>
      </c>
      <c r="AB641" s="5"/>
      <c r="AC641"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41" s="5">
        <f>IF(Tabelle1[[#This Row],[Nicht einbezogen weil…]]="",IFERROR(1000*Tabelle1[[#This Row],[Formfaktor]]/Tabelle1[[#This Row],[Thickness '[mm']]],""),"")</f>
        <v>20000</v>
      </c>
      <c r="AE641" s="5">
        <f>IF(Tabelle1[[#This Row],[Nicht einbezogen weil…]]="",IFERROR(Tabelle1[[#This Row],[specific surface '[m^2/m^3']]]/Tabelle1[[#This Row],[Density 
'[g/cm3']]]/1000000,""),"")</f>
        <v>1.5873015873015872E-2</v>
      </c>
      <c r="AF641" s="5">
        <f>IF(Tabelle1[[#This Row],[Nicht einbezogen weil…]]="",IFERROR(365*10*Tabelle1[[#This Row],[Abbaurate '[%/d']]]*Tabelle1[[#This Row],[Thickness '[mm']]]/Tabelle1[[#This Row],[Formfaktor]],""),"")</f>
        <v>39.673913043478265</v>
      </c>
      <c r="AG641" s="349">
        <f>IF(OR(Tabelle1[[#This Row],[Nicht einbezogen weil…]]="",Tabelle1[[#This Row],[Nicht einbezogen weil…]]="nicht-natürlich"),IF(Tabelle1[[#This Row],[Formfaktor]]=2, 1,IF(Tabelle1[[#This Row],[Formfaktor]]=4,2,IF(Tabelle1[[#This Row],[Formfaktor]]=6,3,""))),"")</f>
        <v>1</v>
      </c>
      <c r="AH641" s="5">
        <f>IF(OR(Tabelle1[[#This Row],[Nicht einbezogen weil…]]="",Tabelle1[[#This Row],[Nicht einbezogen weil…]]="nicht-natürlich"),IFERROR(Tabelle1[[#This Row],[Thickness '[mm']]]/Tabelle1[[#This Row],[Dauer des Abbaus
'[Tage']]]*1000*0.5*365*(1-(1-Tabelle1[[#This Row],[Abbaurate '[%/d']]]/100*Tabelle1[[#This Row],[Dauer des Abbaus
'[Tage']]])^(1/Tabelle1[[#This Row],[Exponent]])),""),"")</f>
        <v>39.673913043478265</v>
      </c>
      <c r="AI641"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PBS_Boden/Kompost_natürlich</v>
      </c>
      <c r="AJ641" s="6">
        <v>1</v>
      </c>
      <c r="AK641"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41" s="3" t="s">
        <v>1411</v>
      </c>
      <c r="AU641" s="13"/>
    </row>
    <row r="642" spans="1:47" ht="17.25" customHeight="1">
      <c r="B642" s="109" t="s">
        <v>654</v>
      </c>
      <c r="D642" s="3" t="s">
        <v>223</v>
      </c>
      <c r="F642" s="3" t="s">
        <v>198</v>
      </c>
      <c r="G642" s="3">
        <v>0.1</v>
      </c>
      <c r="I642" s="3">
        <v>1.23</v>
      </c>
      <c r="J642" s="3" t="s">
        <v>1311</v>
      </c>
      <c r="M642" s="3" t="s">
        <v>200</v>
      </c>
      <c r="O642" s="3" t="s">
        <v>358</v>
      </c>
      <c r="P642"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42" s="3" t="s">
        <v>1412</v>
      </c>
      <c r="Y642" s="4">
        <v>50</v>
      </c>
      <c r="Z642" s="4">
        <v>181</v>
      </c>
      <c r="AA642" s="5">
        <f t="shared" si="39"/>
        <v>0.27624309392265195</v>
      </c>
      <c r="AB642" s="5"/>
      <c r="AC642"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42" s="5">
        <f>IF(Tabelle1[[#This Row],[Nicht einbezogen weil…]]="",IFERROR(1000*Tabelle1[[#This Row],[Formfaktor]]/Tabelle1[[#This Row],[Thickness '[mm']]],""),"")</f>
        <v>20000</v>
      </c>
      <c r="AE642" s="5">
        <f>IF(Tabelle1[[#This Row],[Nicht einbezogen weil…]]="",IFERROR(Tabelle1[[#This Row],[specific surface '[m^2/m^3']]]/Tabelle1[[#This Row],[Density 
'[g/cm3']]]/1000000,""),"")</f>
        <v>1.6260162601626015E-2</v>
      </c>
      <c r="AF642" s="5">
        <f>IF(Tabelle1[[#This Row],[Nicht einbezogen weil…]]="",IFERROR(365*10*Tabelle1[[#This Row],[Abbaurate '[%/d']]]*Tabelle1[[#This Row],[Thickness '[mm']]]/Tabelle1[[#This Row],[Formfaktor]],""),"")</f>
        <v>50.414364640883981</v>
      </c>
      <c r="AG642" s="349">
        <f>IF(OR(Tabelle1[[#This Row],[Nicht einbezogen weil…]]="",Tabelle1[[#This Row],[Nicht einbezogen weil…]]="nicht-natürlich"),IF(Tabelle1[[#This Row],[Formfaktor]]=2, 1,IF(Tabelle1[[#This Row],[Formfaktor]]=4,2,IF(Tabelle1[[#This Row],[Formfaktor]]=6,3,""))),"")</f>
        <v>1</v>
      </c>
      <c r="AH642" s="5">
        <f>IF(OR(Tabelle1[[#This Row],[Nicht einbezogen weil…]]="",Tabelle1[[#This Row],[Nicht einbezogen weil…]]="nicht-natürlich"),IFERROR(Tabelle1[[#This Row],[Thickness '[mm']]]/Tabelle1[[#This Row],[Dauer des Abbaus
'[Tage']]]*1000*0.5*365*(1-(1-Tabelle1[[#This Row],[Abbaurate '[%/d']]]/100*Tabelle1[[#This Row],[Dauer des Abbaus
'[Tage']]])^(1/Tabelle1[[#This Row],[Exponent]])),""),"")</f>
        <v>50.414364640883996</v>
      </c>
      <c r="AI642"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PBSA_Boden/Kompost_natürlich</v>
      </c>
      <c r="AJ642" s="6">
        <v>1</v>
      </c>
      <c r="AK642"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42" s="3" t="s">
        <v>1411</v>
      </c>
      <c r="AU642" s="13"/>
    </row>
    <row r="643" spans="1:47" ht="17.25" customHeight="1">
      <c r="B643" s="109" t="s">
        <v>42</v>
      </c>
      <c r="D643" s="3" t="s">
        <v>223</v>
      </c>
      <c r="F643" s="3" t="s">
        <v>198</v>
      </c>
      <c r="G643" s="3">
        <v>0.1</v>
      </c>
      <c r="I643" s="3">
        <v>1.26</v>
      </c>
      <c r="J643" s="3" t="s">
        <v>1312</v>
      </c>
      <c r="M643" s="3" t="s">
        <v>200</v>
      </c>
      <c r="O643" s="3" t="s">
        <v>23</v>
      </c>
      <c r="P643"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43" s="3" t="s">
        <v>1412</v>
      </c>
      <c r="Y643" s="4">
        <v>12.5</v>
      </c>
      <c r="Z643" s="4">
        <v>360</v>
      </c>
      <c r="AA643" s="5">
        <f t="shared" ref="AA643:AA644" si="40">Y643/Z643</f>
        <v>3.4722222222222224E-2</v>
      </c>
      <c r="AB643" s="5"/>
      <c r="AC643"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43" s="5">
        <f>IF(Tabelle1[[#This Row],[Nicht einbezogen weil…]]="",IFERROR(1000*Tabelle1[[#This Row],[Formfaktor]]/Tabelle1[[#This Row],[Thickness '[mm']]],""),"")</f>
        <v>20000</v>
      </c>
      <c r="AE643" s="5">
        <f>IF(Tabelle1[[#This Row],[Nicht einbezogen weil…]]="",IFERROR(Tabelle1[[#This Row],[specific surface '[m^2/m^3']]]/Tabelle1[[#This Row],[Density 
'[g/cm3']]]/1000000,""),"")</f>
        <v>1.5873015873015872E-2</v>
      </c>
      <c r="AF643" s="5">
        <f>IF(Tabelle1[[#This Row],[Nicht einbezogen weil…]]="",IFERROR(365*10*Tabelle1[[#This Row],[Abbaurate '[%/d']]]*Tabelle1[[#This Row],[Thickness '[mm']]]/Tabelle1[[#This Row],[Formfaktor]],""),"")</f>
        <v>6.3368055555555562</v>
      </c>
      <c r="AG643" s="328">
        <f>IF(OR(Tabelle1[[#This Row],[Nicht einbezogen weil…]]="",Tabelle1[[#This Row],[Nicht einbezogen weil…]]="nicht-natürlich"),IF(Tabelle1[[#This Row],[Formfaktor]]=2, 1,IF(Tabelle1[[#This Row],[Formfaktor]]=4,2,IF(Tabelle1[[#This Row],[Formfaktor]]=6,3,""))),"")</f>
        <v>1</v>
      </c>
      <c r="AH643" s="5">
        <f>IF(OR(Tabelle1[[#This Row],[Nicht einbezogen weil…]]="",Tabelle1[[#This Row],[Nicht einbezogen weil…]]="nicht-natürlich"),IFERROR(Tabelle1[[#This Row],[Thickness '[mm']]]/Tabelle1[[#This Row],[Dauer des Abbaus
'[Tage']]]*1000*0.5*365*(1-(1-Tabelle1[[#This Row],[Abbaurate '[%/d']]]/100*Tabelle1[[#This Row],[Dauer des Abbaus
'[Tage']]])^(1/Tabelle1[[#This Row],[Exponent]])),""),"")</f>
        <v>6.3368055555555562</v>
      </c>
      <c r="AI643"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PBS_Meerwasser_natürlich</v>
      </c>
      <c r="AJ643" s="6">
        <v>1</v>
      </c>
      <c r="AK643"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43" s="3" t="s">
        <v>1411</v>
      </c>
      <c r="AU643" s="13"/>
    </row>
    <row r="644" spans="1:47" ht="17.25" customHeight="1">
      <c r="B644" s="109" t="s">
        <v>654</v>
      </c>
      <c r="D644" s="3" t="s">
        <v>223</v>
      </c>
      <c r="F644" s="3" t="s">
        <v>198</v>
      </c>
      <c r="G644" s="3">
        <v>0.1</v>
      </c>
      <c r="I644" s="3">
        <v>1.23</v>
      </c>
      <c r="J644" s="3" t="s">
        <v>1311</v>
      </c>
      <c r="M644" s="3" t="s">
        <v>200</v>
      </c>
      <c r="O644" s="3" t="s">
        <v>23</v>
      </c>
      <c r="P644"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44" s="3" t="s">
        <v>1412</v>
      </c>
      <c r="Y644" s="4">
        <v>50</v>
      </c>
      <c r="Z644" s="4">
        <v>272</v>
      </c>
      <c r="AA644" s="5">
        <f t="shared" si="40"/>
        <v>0.18382352941176472</v>
      </c>
      <c r="AB644" s="5"/>
      <c r="AC644"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44" s="5">
        <f>IF(Tabelle1[[#This Row],[Nicht einbezogen weil…]]="",IFERROR(1000*Tabelle1[[#This Row],[Formfaktor]]/Tabelle1[[#This Row],[Thickness '[mm']]],""),"")</f>
        <v>20000</v>
      </c>
      <c r="AE644" s="5">
        <f>IF(Tabelle1[[#This Row],[Nicht einbezogen weil…]]="",IFERROR(Tabelle1[[#This Row],[specific surface '[m^2/m^3']]]/Tabelle1[[#This Row],[Density 
'[g/cm3']]]/1000000,""),"")</f>
        <v>1.6260162601626015E-2</v>
      </c>
      <c r="AF644" s="5">
        <f>IF(Tabelle1[[#This Row],[Nicht einbezogen weil…]]="",IFERROR(365*10*Tabelle1[[#This Row],[Abbaurate '[%/d']]]*Tabelle1[[#This Row],[Thickness '[mm']]]/Tabelle1[[#This Row],[Formfaktor]],""),"")</f>
        <v>33.547794117647065</v>
      </c>
      <c r="AG644" s="328">
        <f>IF(OR(Tabelle1[[#This Row],[Nicht einbezogen weil…]]="",Tabelle1[[#This Row],[Nicht einbezogen weil…]]="nicht-natürlich"),IF(Tabelle1[[#This Row],[Formfaktor]]=2, 1,IF(Tabelle1[[#This Row],[Formfaktor]]=4,2,IF(Tabelle1[[#This Row],[Formfaktor]]=6,3,""))),"")</f>
        <v>1</v>
      </c>
      <c r="AH644" s="5">
        <f>IF(OR(Tabelle1[[#This Row],[Nicht einbezogen weil…]]="",Tabelle1[[#This Row],[Nicht einbezogen weil…]]="nicht-natürlich"),IFERROR(Tabelle1[[#This Row],[Thickness '[mm']]]/Tabelle1[[#This Row],[Dauer des Abbaus
'[Tage']]]*1000*0.5*365*(1-(1-Tabelle1[[#This Row],[Abbaurate '[%/d']]]/100*Tabelle1[[#This Row],[Dauer des Abbaus
'[Tage']]])^(1/Tabelle1[[#This Row],[Exponent]])),""),"")</f>
        <v>33.547794117647058</v>
      </c>
      <c r="AI644"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PBSA_Meerwasser_natürlich</v>
      </c>
      <c r="AJ644" s="6">
        <v>1</v>
      </c>
      <c r="AK644"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44" s="3" t="s">
        <v>1411</v>
      </c>
      <c r="AU644" s="13"/>
    </row>
    <row r="645" spans="1:47" ht="17.25" customHeight="1">
      <c r="A645" s="10" t="s">
        <v>223</v>
      </c>
      <c r="B645" s="348" t="s">
        <v>177</v>
      </c>
      <c r="C645" s="3" t="s">
        <v>625</v>
      </c>
      <c r="D645" s="3" t="s">
        <v>223</v>
      </c>
      <c r="F645" s="3" t="s">
        <v>241</v>
      </c>
      <c r="G645" s="3">
        <v>0.3</v>
      </c>
      <c r="J645" s="3" t="s">
        <v>1317</v>
      </c>
      <c r="K645" s="8" t="s">
        <v>229</v>
      </c>
      <c r="L645" s="3" t="s">
        <v>229</v>
      </c>
      <c r="M645" s="3" t="s">
        <v>200</v>
      </c>
      <c r="N645" s="3" t="s">
        <v>1388</v>
      </c>
      <c r="O645" s="3" t="s">
        <v>23</v>
      </c>
      <c r="P645"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45" s="4">
        <v>20</v>
      </c>
      <c r="W645" s="3" t="s">
        <v>90</v>
      </c>
      <c r="Y645" s="4">
        <v>0</v>
      </c>
      <c r="Z645" s="4">
        <v>1400</v>
      </c>
      <c r="AA645" s="5">
        <f t="shared" ref="AA645:AA650" si="41">Y645/Z645</f>
        <v>0</v>
      </c>
      <c r="AB645" s="5"/>
      <c r="AC645"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45" s="5">
        <f>IF(Tabelle1[[#This Row],[Nicht einbezogen weil…]]="",IFERROR(1000*Tabelle1[[#This Row],[Formfaktor]]/Tabelle1[[#This Row],[Thickness '[mm']]],""),"")</f>
        <v>20000</v>
      </c>
      <c r="AE645" s="5" t="str">
        <f>IF(Tabelle1[[#This Row],[Nicht einbezogen weil…]]="",IFERROR(Tabelle1[[#This Row],[specific surface '[m^2/m^3']]]/Tabelle1[[#This Row],[Density 
'[g/cm3']]]/1000000,""),"")</f>
        <v/>
      </c>
      <c r="AF645" s="5">
        <f>IF(Tabelle1[[#This Row],[Nicht einbezogen weil…]]="",IFERROR(365*10*Tabelle1[[#This Row],[Abbaurate '[%/d']]]*Tabelle1[[#This Row],[Thickness '[mm']]]/Tabelle1[[#This Row],[Formfaktor]],""),"")</f>
        <v>0</v>
      </c>
      <c r="AG645" s="349">
        <f>IF(OR(Tabelle1[[#This Row],[Nicht einbezogen weil…]]="",Tabelle1[[#This Row],[Nicht einbezogen weil…]]="nicht-natürlich"),IF(Tabelle1[[#This Row],[Formfaktor]]=2, 1,IF(Tabelle1[[#This Row],[Formfaktor]]=4,2,IF(Tabelle1[[#This Row],[Formfaktor]]=6,3,""))),"")</f>
        <v>3</v>
      </c>
      <c r="AH645"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645"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PBAT_Meerwasser_natürlich</v>
      </c>
      <c r="AJ645" s="6">
        <v>1</v>
      </c>
      <c r="AK645"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45" s="3" t="s">
        <v>1309</v>
      </c>
      <c r="AU645" s="13"/>
    </row>
    <row r="646" spans="1:47" ht="17.25" customHeight="1">
      <c r="A646" s="10" t="s">
        <v>223</v>
      </c>
      <c r="B646" s="348" t="s">
        <v>177</v>
      </c>
      <c r="C646" s="3" t="s">
        <v>625</v>
      </c>
      <c r="D646" s="3" t="s">
        <v>223</v>
      </c>
      <c r="F646" s="3" t="s">
        <v>241</v>
      </c>
      <c r="G646" s="3">
        <v>0.3</v>
      </c>
      <c r="J646" s="3" t="s">
        <v>1317</v>
      </c>
      <c r="K646" s="8" t="s">
        <v>229</v>
      </c>
      <c r="L646" s="3" t="s">
        <v>229</v>
      </c>
      <c r="M646" s="3" t="s">
        <v>200</v>
      </c>
      <c r="N646" s="3" t="s">
        <v>1388</v>
      </c>
      <c r="O646" s="3" t="s">
        <v>23</v>
      </c>
      <c r="P646"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46" s="4">
        <v>20</v>
      </c>
      <c r="W646" s="3" t="s">
        <v>90</v>
      </c>
      <c r="Y646" s="4">
        <v>0</v>
      </c>
      <c r="Z646" s="4">
        <v>1400</v>
      </c>
      <c r="AA646" s="5">
        <f t="shared" si="41"/>
        <v>0</v>
      </c>
      <c r="AB646" s="5"/>
      <c r="AC646"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46" s="5">
        <f>IF(Tabelle1[[#This Row],[Nicht einbezogen weil…]]="",IFERROR(1000*Tabelle1[[#This Row],[Formfaktor]]/Tabelle1[[#This Row],[Thickness '[mm']]],""),"")</f>
        <v>20000</v>
      </c>
      <c r="AE646" s="5" t="str">
        <f>IF(Tabelle1[[#This Row],[Nicht einbezogen weil…]]="",IFERROR(Tabelle1[[#This Row],[specific surface '[m^2/m^3']]]/Tabelle1[[#This Row],[Density 
'[g/cm3']]]/1000000,""),"")</f>
        <v/>
      </c>
      <c r="AF646" s="5">
        <f>IF(Tabelle1[[#This Row],[Nicht einbezogen weil…]]="",IFERROR(365*10*Tabelle1[[#This Row],[Abbaurate '[%/d']]]*Tabelle1[[#This Row],[Thickness '[mm']]]/Tabelle1[[#This Row],[Formfaktor]],""),"")</f>
        <v>0</v>
      </c>
      <c r="AG646" s="349">
        <f>IF(OR(Tabelle1[[#This Row],[Nicht einbezogen weil…]]="",Tabelle1[[#This Row],[Nicht einbezogen weil…]]="nicht-natürlich"),IF(Tabelle1[[#This Row],[Formfaktor]]=2, 1,IF(Tabelle1[[#This Row],[Formfaktor]]=4,2,IF(Tabelle1[[#This Row],[Formfaktor]]=6,3,""))),"")</f>
        <v>3</v>
      </c>
      <c r="AH646"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646"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PBAT_Meerwasser_natürlich</v>
      </c>
      <c r="AJ646" s="6">
        <v>1</v>
      </c>
      <c r="AK646"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46" s="3" t="s">
        <v>1309</v>
      </c>
      <c r="AU646" s="13"/>
    </row>
    <row r="647" spans="1:47" ht="17.25" customHeight="1">
      <c r="A647" s="10" t="s">
        <v>223</v>
      </c>
      <c r="B647" s="348" t="s">
        <v>177</v>
      </c>
      <c r="C647" s="3" t="s">
        <v>625</v>
      </c>
      <c r="D647" s="3" t="s">
        <v>223</v>
      </c>
      <c r="F647" s="3" t="s">
        <v>241</v>
      </c>
      <c r="G647" s="3">
        <v>0.3</v>
      </c>
      <c r="J647" s="3" t="s">
        <v>1317</v>
      </c>
      <c r="K647" s="8" t="s">
        <v>229</v>
      </c>
      <c r="L647" s="3" t="s">
        <v>229</v>
      </c>
      <c r="M647" s="3" t="s">
        <v>200</v>
      </c>
      <c r="N647" s="3" t="s">
        <v>1388</v>
      </c>
      <c r="O647" s="3" t="s">
        <v>23</v>
      </c>
      <c r="P647"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47" s="4">
        <v>20</v>
      </c>
      <c r="W647" s="3" t="s">
        <v>90</v>
      </c>
      <c r="Y647" s="4">
        <v>0</v>
      </c>
      <c r="Z647" s="4">
        <v>1400</v>
      </c>
      <c r="AA647" s="5">
        <f t="shared" si="41"/>
        <v>0</v>
      </c>
      <c r="AB647" s="5"/>
      <c r="AC647"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47" s="5">
        <f>IF(Tabelle1[[#This Row],[Nicht einbezogen weil…]]="",IFERROR(1000*Tabelle1[[#This Row],[Formfaktor]]/Tabelle1[[#This Row],[Thickness '[mm']]],""),"")</f>
        <v>20000</v>
      </c>
      <c r="AE647" s="5" t="str">
        <f>IF(Tabelle1[[#This Row],[Nicht einbezogen weil…]]="",IFERROR(Tabelle1[[#This Row],[specific surface '[m^2/m^3']]]/Tabelle1[[#This Row],[Density 
'[g/cm3']]]/1000000,""),"")</f>
        <v/>
      </c>
      <c r="AF647" s="5">
        <f>IF(Tabelle1[[#This Row],[Nicht einbezogen weil…]]="",IFERROR(365*10*Tabelle1[[#This Row],[Abbaurate '[%/d']]]*Tabelle1[[#This Row],[Thickness '[mm']]]/Tabelle1[[#This Row],[Formfaktor]],""),"")</f>
        <v>0</v>
      </c>
      <c r="AG647" s="349">
        <f>IF(OR(Tabelle1[[#This Row],[Nicht einbezogen weil…]]="",Tabelle1[[#This Row],[Nicht einbezogen weil…]]="nicht-natürlich"),IF(Tabelle1[[#This Row],[Formfaktor]]=2, 1,IF(Tabelle1[[#This Row],[Formfaktor]]=4,2,IF(Tabelle1[[#This Row],[Formfaktor]]=6,3,""))),"")</f>
        <v>3</v>
      </c>
      <c r="AH647" s="5">
        <f>IF(OR(Tabelle1[[#This Row],[Nicht einbezogen weil…]]="",Tabelle1[[#This Row],[Nicht einbezogen weil…]]="nicht-natürlich"),IFERROR(Tabelle1[[#This Row],[Thickness '[mm']]]/Tabelle1[[#This Row],[Dauer des Abbaus
'[Tage']]]*1000*0.5*365*(1-(1-Tabelle1[[#This Row],[Abbaurate '[%/d']]]/100*Tabelle1[[#This Row],[Dauer des Abbaus
'[Tage']]])^(1/Tabelle1[[#This Row],[Exponent]])),""),"")</f>
        <v>0</v>
      </c>
      <c r="AI647"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PBAT_Meerwasser_natürlich</v>
      </c>
      <c r="AJ647" s="6">
        <v>1</v>
      </c>
      <c r="AK647"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47" s="3" t="s">
        <v>1309</v>
      </c>
      <c r="AU647" s="13"/>
    </row>
    <row r="648" spans="1:47" ht="17.25" customHeight="1">
      <c r="A648" s="10" t="s">
        <v>223</v>
      </c>
      <c r="B648" s="348" t="s">
        <v>177</v>
      </c>
      <c r="C648" s="3" t="s">
        <v>625</v>
      </c>
      <c r="D648" s="3" t="s">
        <v>223</v>
      </c>
      <c r="F648" s="3" t="s">
        <v>241</v>
      </c>
      <c r="G648" s="3">
        <v>0.3</v>
      </c>
      <c r="J648" s="3" t="s">
        <v>1317</v>
      </c>
      <c r="K648" s="8" t="s">
        <v>229</v>
      </c>
      <c r="L648" s="3" t="s">
        <v>229</v>
      </c>
      <c r="M648" s="3" t="s">
        <v>200</v>
      </c>
      <c r="N648" s="3" t="s">
        <v>1388</v>
      </c>
      <c r="O648" s="3" t="s">
        <v>23</v>
      </c>
      <c r="P648"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48" s="4">
        <v>20</v>
      </c>
      <c r="W648" s="3" t="s">
        <v>90</v>
      </c>
      <c r="Y648" s="4">
        <v>50</v>
      </c>
      <c r="Z648" s="4">
        <v>840</v>
      </c>
      <c r="AA648" s="5">
        <f t="shared" si="41"/>
        <v>5.9523809523809521E-2</v>
      </c>
      <c r="AB648" s="5"/>
      <c r="AC648"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48" s="5">
        <f>IF(Tabelle1[[#This Row],[Nicht einbezogen weil…]]="",IFERROR(1000*Tabelle1[[#This Row],[Formfaktor]]/Tabelle1[[#This Row],[Thickness '[mm']]],""),"")</f>
        <v>20000</v>
      </c>
      <c r="AE648" s="5" t="str">
        <f>IF(Tabelle1[[#This Row],[Nicht einbezogen weil…]]="",IFERROR(Tabelle1[[#This Row],[specific surface '[m^2/m^3']]]/Tabelle1[[#This Row],[Density 
'[g/cm3']]]/1000000,""),"")</f>
        <v/>
      </c>
      <c r="AF648" s="5">
        <f>IF(Tabelle1[[#This Row],[Nicht einbezogen weil…]]="",IFERROR(365*10*Tabelle1[[#This Row],[Abbaurate '[%/d']]]*Tabelle1[[#This Row],[Thickness '[mm']]]/Tabelle1[[#This Row],[Formfaktor]],""),"")</f>
        <v>10.863095238095239</v>
      </c>
      <c r="AG648" s="349">
        <f>IF(OR(Tabelle1[[#This Row],[Nicht einbezogen weil…]]="",Tabelle1[[#This Row],[Nicht einbezogen weil…]]="nicht-natürlich"),IF(Tabelle1[[#This Row],[Formfaktor]]=2, 1,IF(Tabelle1[[#This Row],[Formfaktor]]=4,2,IF(Tabelle1[[#This Row],[Formfaktor]]=6,3,""))),"")</f>
        <v>3</v>
      </c>
      <c r="AH648" s="5">
        <f>IF(OR(Tabelle1[[#This Row],[Nicht einbezogen weil…]]="",Tabelle1[[#This Row],[Nicht einbezogen weil…]]="nicht-natürlich"),IFERROR(Tabelle1[[#This Row],[Thickness '[mm']]]/Tabelle1[[#This Row],[Dauer des Abbaus
'[Tage']]]*1000*0.5*365*(1-(1-Tabelle1[[#This Row],[Abbaurate '[%/d']]]/100*Tabelle1[[#This Row],[Dauer des Abbaus
'[Tage']]])^(1/Tabelle1[[#This Row],[Exponent]])),""),"")</f>
        <v>13.446305002822067</v>
      </c>
      <c r="AI648"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PBAT_Meerwasser_natürlich</v>
      </c>
      <c r="AJ648" s="6">
        <v>1</v>
      </c>
      <c r="AK648"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48" s="3" t="s">
        <v>1309</v>
      </c>
      <c r="AU648" s="13"/>
    </row>
    <row r="649" spans="1:47" ht="17.25" customHeight="1">
      <c r="A649" s="10" t="s">
        <v>223</v>
      </c>
      <c r="B649" s="348" t="s">
        <v>177</v>
      </c>
      <c r="C649" s="3" t="s">
        <v>625</v>
      </c>
      <c r="D649" s="3" t="s">
        <v>223</v>
      </c>
      <c r="F649" s="3" t="s">
        <v>241</v>
      </c>
      <c r="G649" s="3">
        <v>0.3</v>
      </c>
      <c r="J649" s="3" t="s">
        <v>1317</v>
      </c>
      <c r="K649" s="8" t="s">
        <v>229</v>
      </c>
      <c r="L649" s="3" t="s">
        <v>229</v>
      </c>
      <c r="M649" s="3" t="s">
        <v>200</v>
      </c>
      <c r="N649" s="3" t="s">
        <v>1388</v>
      </c>
      <c r="O649" s="3" t="s">
        <v>23</v>
      </c>
      <c r="P649"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Q649" s="4">
        <v>20</v>
      </c>
      <c r="W649" s="3" t="s">
        <v>90</v>
      </c>
      <c r="Y649" s="4">
        <v>50</v>
      </c>
      <c r="Z649" s="4">
        <v>1100</v>
      </c>
      <c r="AA649" s="5">
        <f t="shared" si="41"/>
        <v>4.5454545454545456E-2</v>
      </c>
      <c r="AB649" s="5"/>
      <c r="AC649"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6</v>
      </c>
      <c r="AD649" s="5">
        <f>IF(Tabelle1[[#This Row],[Nicht einbezogen weil…]]="",IFERROR(1000*Tabelle1[[#This Row],[Formfaktor]]/Tabelle1[[#This Row],[Thickness '[mm']]],""),"")</f>
        <v>20000</v>
      </c>
      <c r="AE649" s="5" t="str">
        <f>IF(Tabelle1[[#This Row],[Nicht einbezogen weil…]]="",IFERROR(Tabelle1[[#This Row],[specific surface '[m^2/m^3']]]/Tabelle1[[#This Row],[Density 
'[g/cm3']]]/1000000,""),"")</f>
        <v/>
      </c>
      <c r="AF649" s="5">
        <f>IF(Tabelle1[[#This Row],[Nicht einbezogen weil…]]="",IFERROR(365*10*Tabelle1[[#This Row],[Abbaurate '[%/d']]]*Tabelle1[[#This Row],[Thickness '[mm']]]/Tabelle1[[#This Row],[Formfaktor]],""),"")</f>
        <v>8.295454545454545</v>
      </c>
      <c r="AG649" s="349">
        <f>IF(OR(Tabelle1[[#This Row],[Nicht einbezogen weil…]]="",Tabelle1[[#This Row],[Nicht einbezogen weil…]]="nicht-natürlich"),IF(Tabelle1[[#This Row],[Formfaktor]]=2, 1,IF(Tabelle1[[#This Row],[Formfaktor]]=4,2,IF(Tabelle1[[#This Row],[Formfaktor]]=6,3,""))),"")</f>
        <v>3</v>
      </c>
      <c r="AH649" s="5">
        <f>IF(OR(Tabelle1[[#This Row],[Nicht einbezogen weil…]]="",Tabelle1[[#This Row],[Nicht einbezogen weil…]]="nicht-natürlich"),IFERROR(Tabelle1[[#This Row],[Thickness '[mm']]]/Tabelle1[[#This Row],[Dauer des Abbaus
'[Tage']]]*1000*0.5*365*(1-(1-Tabelle1[[#This Row],[Abbaurate '[%/d']]]/100*Tabelle1[[#This Row],[Dauer des Abbaus
'[Tage']]])^(1/Tabelle1[[#This Row],[Exponent]])),""),"")</f>
        <v>10.268087456700489</v>
      </c>
      <c r="AI649"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PBAT_Meerwasser_natürlich</v>
      </c>
      <c r="AJ649" s="6">
        <v>1</v>
      </c>
      <c r="AK649"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49" s="3" t="s">
        <v>1309</v>
      </c>
      <c r="AU649" s="13"/>
    </row>
    <row r="650" spans="1:47" ht="17.25" customHeight="1">
      <c r="B650" s="109" t="s">
        <v>20</v>
      </c>
      <c r="C650" s="3" t="s">
        <v>20</v>
      </c>
      <c r="D650" s="3" t="s">
        <v>223</v>
      </c>
      <c r="E650" s="10"/>
      <c r="F650" s="3" t="s">
        <v>198</v>
      </c>
      <c r="G650" s="3">
        <v>8.5000000000000006E-2</v>
      </c>
      <c r="I650" s="3" t="s">
        <v>341</v>
      </c>
      <c r="J650" s="3" t="s">
        <v>1066</v>
      </c>
      <c r="K650" s="8" t="s">
        <v>229</v>
      </c>
      <c r="M650" s="3" t="s">
        <v>200</v>
      </c>
      <c r="N650" s="3" t="s">
        <v>1427</v>
      </c>
      <c r="O650" s="3" t="s">
        <v>23</v>
      </c>
      <c r="P650" s="311" t="str">
        <f>IF(OR(Tabelle1[[#This Row],[Umgebungs-kategorie]]="Boden/Kompost",Tabelle1[[#This Row],[Umgebungs-kategorie]]="Wasser",Tabelle1[[#This Row],[Umgebungs-kategorie]]="Meerwasser",Tabelle1[[#This Row],[Umgebungs-kategorie]]="Süßwasser",Tabelle1[[#This Row],[Umgebungs-kategorie]]="River sediment",Tabelle1[[#This Row],[Umgebungs-kategorie]]="Benthic"),"ja","nein")</f>
        <v>ja</v>
      </c>
      <c r="W650" s="3" t="s">
        <v>13</v>
      </c>
      <c r="X650" s="3" t="s">
        <v>1067</v>
      </c>
      <c r="Y650" s="4">
        <v>96.2</v>
      </c>
      <c r="Z650" s="4">
        <v>210</v>
      </c>
      <c r="AA650" s="5">
        <f t="shared" si="41"/>
        <v>0.45809523809523811</v>
      </c>
      <c r="AB650" s="5"/>
      <c r="AC650" s="6">
        <f>IF(OR(Tabelle1[[#This Row],[Form]]="Folie", Tabelle1[[#This Row],[Form]]="Strips", Tabelle1[[#This Row],[Form]]="Film", Tabelle1[[#This Row],[Form]]="Flakes", Tabelle1[[#This Row],[Form]]="Coupon"), 2,IF(Tabelle1[[#This Row],[Form]]="Faser",4,IF(OR(Tabelle1[[#This Row],[Form]]="Partikel",Tabelle1[[#This Row],[Form]]="Shreds",Tabelle1[[#This Row],[Form]]="Powder",Tabelle1[[#This Row],[Form]]="Fragments",Tabelle1[[#This Row],[Form]]="Granules",Tabelle1[[#This Row],[Form]]="Pellets"),6,"")))</f>
        <v>2</v>
      </c>
      <c r="AD650" s="5">
        <f>IF(Tabelle1[[#This Row],[Nicht einbezogen weil…]]="",IFERROR(1000*Tabelle1[[#This Row],[Formfaktor]]/Tabelle1[[#This Row],[Thickness '[mm']]],""),"")</f>
        <v>23529.411764705881</v>
      </c>
      <c r="AE650" s="5" t="str">
        <f>IF(Tabelle1[[#This Row],[Nicht einbezogen weil…]]="",IFERROR(Tabelle1[[#This Row],[specific surface '[m^2/m^3']]]/Tabelle1[[#This Row],[Density 
'[g/cm3']]]/1000000,""),"")</f>
        <v/>
      </c>
      <c r="AF650" s="5">
        <f>IF(Tabelle1[[#This Row],[Nicht einbezogen weil…]]="",IFERROR(365*10*Tabelle1[[#This Row],[Abbaurate '[%/d']]]*Tabelle1[[#This Row],[Thickness '[mm']]]/Tabelle1[[#This Row],[Formfaktor]],""),"")</f>
        <v>71.062023809523808</v>
      </c>
      <c r="AG650" s="328">
        <f>IF(OR(Tabelle1[[#This Row],[Nicht einbezogen weil…]]="",Tabelle1[[#This Row],[Nicht einbezogen weil…]]="nicht-natürlich"),IF(Tabelle1[[#This Row],[Formfaktor]]=2, 1,IF(Tabelle1[[#This Row],[Formfaktor]]=4,2,IF(Tabelle1[[#This Row],[Formfaktor]]=6,3,""))),"")</f>
        <v>1</v>
      </c>
      <c r="AH650" s="5">
        <f>IF(OR(Tabelle1[[#This Row],[Nicht einbezogen weil…]]="",Tabelle1[[#This Row],[Nicht einbezogen weil…]]="nicht-natürlich"),IFERROR(Tabelle1[[#This Row],[Thickness '[mm']]]/Tabelle1[[#This Row],[Dauer des Abbaus
'[Tage']]]*1000*0.5*365*(1-(1-Tabelle1[[#This Row],[Abbaurate '[%/d']]]/100*Tabelle1[[#This Row],[Dauer des Abbaus
'[Tage']]])^(1/Tabelle1[[#This Row],[Exponent]])),""),"")</f>
        <v>71.062023809523808</v>
      </c>
      <c r="AI650" s="5" t="str">
        <f>IF(OR(Tabelle1[[#This Row],[Nicht einbezogen weil…]]="",Tabelle1[[#This Row],[Nicht einbezogen weil…]]="nicht-natürlich"),CONCATENATE(Tabelle1[[#This Row],[Plastikart]],"_",Tabelle1[[#This Row],[Umgebungs-kategorie]],"_",IF(OR(Tabelle1[[#This Row],[Natürliche Umgebung
'[ja/nein']]]="ja",Tabelle1[[#This Row],[Natürliche Umgebung
'[ja/nein']]]="(ja)"),"natürlich","nicht natürlich")),"")</f>
        <v>PHA_Meerwasser_natürlich</v>
      </c>
      <c r="AJ650" s="6">
        <v>1</v>
      </c>
      <c r="AK650" s="90" t="str">
        <f>IF(Tabelle1[[#This Row],[Flexspalte]]=0,"Inhaltlich irrelevant",IF(Tabelle1[[#This Row],[Plastikart]]="?","Plastikart unklar",IF(Tabelle1[[#This Row],[Formfaktor]]="","Form fehlt",IF(Tabelle1[[#This Row],[Thickness '[mm']]]="no value","Thickness fehlt",IF(Tabelle1[[#This Row],[Accelerated]]="ja","Accelerated",IF(Tabelle1[[#This Row],[Messkriterium]]="Sonstiges","Messverfahren irrelevant",IF(Tabelle1[[#This Row],[Umgebung relevant?]]="nein","Kompartment irrelevant",IF(Tabelle1[[#This Row],[Natürliche Umgebung
'[ja/nein']]]="nein","nicht-natürlich",""))))))))</f>
        <v/>
      </c>
      <c r="AL650" s="3" t="s">
        <v>1076</v>
      </c>
      <c r="AU650" s="13"/>
    </row>
  </sheetData>
  <conditionalFormatting sqref="F457:H457 F493:H500 F461:H468 F458:F460 H458:H460 F471 H471 F473:F474 H473:H474 F472:H472 F475:H484 F1:H217 F486:H486 F485 H485 F503:H507 F501 F515:H516 F520:H521 H527 F536:H537 F221:H455 H218:H220 F578:G579 H602:H625 F626:H644 F588:G593 F550:H577 F651:H1048576 H645:H650">
    <cfRule type="cellIs" dxfId="147" priority="86" operator="equal">
      <formula>"no value"</formula>
    </cfRule>
  </conditionalFormatting>
  <conditionalFormatting sqref="F456 H456">
    <cfRule type="cellIs" dxfId="146" priority="85" operator="equal">
      <formula>"no value"</formula>
    </cfRule>
  </conditionalFormatting>
  <conditionalFormatting sqref="F469:H469">
    <cfRule type="cellIs" dxfId="145" priority="84" operator="equal">
      <formula>"no value"</formula>
    </cfRule>
  </conditionalFormatting>
  <conditionalFormatting sqref="F470:H470">
    <cfRule type="cellIs" dxfId="144" priority="83" operator="equal">
      <formula>"no value"</formula>
    </cfRule>
  </conditionalFormatting>
  <conditionalFormatting sqref="F487 H487">
    <cfRule type="cellIs" dxfId="143" priority="82" operator="equal">
      <formula>"no value"</formula>
    </cfRule>
  </conditionalFormatting>
  <conditionalFormatting sqref="F488:H488">
    <cfRule type="cellIs" dxfId="142" priority="81" operator="equal">
      <formula>"no value"</formula>
    </cfRule>
  </conditionalFormatting>
  <conditionalFormatting sqref="F489:H489">
    <cfRule type="cellIs" dxfId="141" priority="80" operator="equal">
      <formula>"no value"</formula>
    </cfRule>
  </conditionalFormatting>
  <conditionalFormatting sqref="G456">
    <cfRule type="cellIs" dxfId="140" priority="79" operator="equal">
      <formula>"no value"</formula>
    </cfRule>
  </conditionalFormatting>
  <conditionalFormatting sqref="G458">
    <cfRule type="cellIs" dxfId="139" priority="78" operator="equal">
      <formula>"no value"</formula>
    </cfRule>
  </conditionalFormatting>
  <conditionalFormatting sqref="G459">
    <cfRule type="cellIs" dxfId="138" priority="77" operator="equal">
      <formula>"no value"</formula>
    </cfRule>
  </conditionalFormatting>
  <conditionalFormatting sqref="G460">
    <cfRule type="cellIs" dxfId="137" priority="76" operator="equal">
      <formula>"no value"</formula>
    </cfRule>
  </conditionalFormatting>
  <conditionalFormatting sqref="G471">
    <cfRule type="cellIs" dxfId="136" priority="75" operator="equal">
      <formula>"no value"</formula>
    </cfRule>
  </conditionalFormatting>
  <conditionalFormatting sqref="G473">
    <cfRule type="cellIs" dxfId="135" priority="74" operator="equal">
      <formula>"no value"</formula>
    </cfRule>
  </conditionalFormatting>
  <conditionalFormatting sqref="G474">
    <cfRule type="cellIs" dxfId="134" priority="73" operator="equal">
      <formula>"no value"</formula>
    </cfRule>
  </conditionalFormatting>
  <conditionalFormatting sqref="F490:H490">
    <cfRule type="cellIs" dxfId="133" priority="72" operator="equal">
      <formula>"no value"</formula>
    </cfRule>
  </conditionalFormatting>
  <conditionalFormatting sqref="F491:H491">
    <cfRule type="cellIs" dxfId="132" priority="71" operator="equal">
      <formula>"no value"</formula>
    </cfRule>
  </conditionalFormatting>
  <conditionalFormatting sqref="F492 H492">
    <cfRule type="cellIs" dxfId="131" priority="70" operator="equal">
      <formula>"no value"</formula>
    </cfRule>
  </conditionalFormatting>
  <conditionalFormatting sqref="G492">
    <cfRule type="cellIs" dxfId="130" priority="69" operator="equal">
      <formula>"no value"</formula>
    </cfRule>
  </conditionalFormatting>
  <conditionalFormatting sqref="G485">
    <cfRule type="cellIs" dxfId="129" priority="68" operator="equal">
      <formula>"no value"</formula>
    </cfRule>
  </conditionalFormatting>
  <conditionalFormatting sqref="G487">
    <cfRule type="cellIs" dxfId="128" priority="67" operator="equal">
      <formula>"no value"</formula>
    </cfRule>
  </conditionalFormatting>
  <conditionalFormatting sqref="G511">
    <cfRule type="cellIs" dxfId="127" priority="55" operator="equal">
      <formula>"no value"</formula>
    </cfRule>
  </conditionalFormatting>
  <conditionalFormatting sqref="H501">
    <cfRule type="cellIs" dxfId="126" priority="66" operator="equal">
      <formula>"no value"</formula>
    </cfRule>
  </conditionalFormatting>
  <conditionalFormatting sqref="G501">
    <cfRule type="cellIs" dxfId="125" priority="65" operator="equal">
      <formula>"no value"</formula>
    </cfRule>
  </conditionalFormatting>
  <conditionalFormatting sqref="F502 H502">
    <cfRule type="cellIs" dxfId="124" priority="64" operator="equal">
      <formula>"no value"</formula>
    </cfRule>
  </conditionalFormatting>
  <conditionalFormatting sqref="G502">
    <cfRule type="cellIs" dxfId="123" priority="63" operator="equal">
      <formula>"no value"</formula>
    </cfRule>
  </conditionalFormatting>
  <conditionalFormatting sqref="F508:H508">
    <cfRule type="cellIs" dxfId="122" priority="62" operator="equal">
      <formula>"no value"</formula>
    </cfRule>
  </conditionalFormatting>
  <conditionalFormatting sqref="F509:H509">
    <cfRule type="cellIs" dxfId="121" priority="61" operator="equal">
      <formula>"no value"</formula>
    </cfRule>
  </conditionalFormatting>
  <conditionalFormatting sqref="F510:H510">
    <cfRule type="cellIs" dxfId="120" priority="60" operator="equal">
      <formula>"no value"</formula>
    </cfRule>
  </conditionalFormatting>
  <conditionalFormatting sqref="F511 H511">
    <cfRule type="cellIs" dxfId="119" priority="59" operator="equal">
      <formula>"no value"</formula>
    </cfRule>
  </conditionalFormatting>
  <conditionalFormatting sqref="F512:H512">
    <cfRule type="cellIs" dxfId="118" priority="58" operator="equal">
      <formula>"no value"</formula>
    </cfRule>
  </conditionalFormatting>
  <conditionalFormatting sqref="F513:H513">
    <cfRule type="cellIs" dxfId="117" priority="57" operator="equal">
      <formula>"no value"</formula>
    </cfRule>
  </conditionalFormatting>
  <conditionalFormatting sqref="F514:H514">
    <cfRule type="cellIs" dxfId="116" priority="56" operator="equal">
      <formula>"no value"</formula>
    </cfRule>
  </conditionalFormatting>
  <conditionalFormatting sqref="F517:H517">
    <cfRule type="cellIs" dxfId="115" priority="54" operator="equal">
      <formula>"no value"</formula>
    </cfRule>
  </conditionalFormatting>
  <conditionalFormatting sqref="F518:H518">
    <cfRule type="cellIs" dxfId="114" priority="53" operator="equal">
      <formula>"no value"</formula>
    </cfRule>
  </conditionalFormatting>
  <conditionalFormatting sqref="F519:H519">
    <cfRule type="cellIs" dxfId="113" priority="52" operator="equal">
      <formula>"no value"</formula>
    </cfRule>
  </conditionalFormatting>
  <conditionalFormatting sqref="F522:H523">
    <cfRule type="cellIs" dxfId="112" priority="51" operator="equal">
      <formula>"no value"</formula>
    </cfRule>
  </conditionalFormatting>
  <conditionalFormatting sqref="F524:H525">
    <cfRule type="cellIs" dxfId="111" priority="50" operator="equal">
      <formula>"no value"</formula>
    </cfRule>
  </conditionalFormatting>
  <conditionalFormatting sqref="F526:H526">
    <cfRule type="cellIs" dxfId="110" priority="49" operator="equal">
      <formula>"no value"</formula>
    </cfRule>
  </conditionalFormatting>
  <conditionalFormatting sqref="F527">
    <cfRule type="cellIs" dxfId="109" priority="47" operator="equal">
      <formula>"no value"</formula>
    </cfRule>
  </conditionalFormatting>
  <conditionalFormatting sqref="H528:H530">
    <cfRule type="cellIs" dxfId="108" priority="46" operator="equal">
      <formula>"no value"</formula>
    </cfRule>
  </conditionalFormatting>
  <conditionalFormatting sqref="F528:F530">
    <cfRule type="cellIs" dxfId="107" priority="45" operator="equal">
      <formula>"no value"</formula>
    </cfRule>
  </conditionalFormatting>
  <conditionalFormatting sqref="H531">
    <cfRule type="cellIs" dxfId="106" priority="44" operator="equal">
      <formula>"no value"</formula>
    </cfRule>
  </conditionalFormatting>
  <conditionalFormatting sqref="F531">
    <cfRule type="cellIs" dxfId="105" priority="43" operator="equal">
      <formula>"no value"</formula>
    </cfRule>
  </conditionalFormatting>
  <conditionalFormatting sqref="G532:H534">
    <cfRule type="cellIs" dxfId="104" priority="42" operator="equal">
      <formula>"no value"</formula>
    </cfRule>
  </conditionalFormatting>
  <conditionalFormatting sqref="F532:F534">
    <cfRule type="cellIs" dxfId="103" priority="41" operator="equal">
      <formula>"no value"</formula>
    </cfRule>
  </conditionalFormatting>
  <conditionalFormatting sqref="G535:H535">
    <cfRule type="cellIs" dxfId="102" priority="40" operator="equal">
      <formula>"no value"</formula>
    </cfRule>
  </conditionalFormatting>
  <conditionalFormatting sqref="F535">
    <cfRule type="cellIs" dxfId="101" priority="39" operator="equal">
      <formula>"no value"</formula>
    </cfRule>
  </conditionalFormatting>
  <conditionalFormatting sqref="G531">
    <cfRule type="cellIs" dxfId="100" priority="36" operator="equal">
      <formula>"no value"</formula>
    </cfRule>
  </conditionalFormatting>
  <conditionalFormatting sqref="G530">
    <cfRule type="cellIs" dxfId="99" priority="35" operator="equal">
      <formula>"no value"</formula>
    </cfRule>
  </conditionalFormatting>
  <conditionalFormatting sqref="G529">
    <cfRule type="cellIs" dxfId="98" priority="34" operator="equal">
      <formula>"no value"</formula>
    </cfRule>
  </conditionalFormatting>
  <conditionalFormatting sqref="G528">
    <cfRule type="cellIs" dxfId="97" priority="33" operator="equal">
      <formula>"no value"</formula>
    </cfRule>
  </conditionalFormatting>
  <conditionalFormatting sqref="G527">
    <cfRule type="cellIs" dxfId="96" priority="32" operator="equal">
      <formula>"no value"</formula>
    </cfRule>
  </conditionalFormatting>
  <conditionalFormatting sqref="G542:G543 G538 F544:G549">
    <cfRule type="cellIs" dxfId="95" priority="31" operator="equal">
      <formula>"no value"</formula>
    </cfRule>
  </conditionalFormatting>
  <conditionalFormatting sqref="G539">
    <cfRule type="cellIs" dxfId="94" priority="30" operator="equal">
      <formula>"no value"</formula>
    </cfRule>
  </conditionalFormatting>
  <conditionalFormatting sqref="G540">
    <cfRule type="cellIs" dxfId="93" priority="29" operator="equal">
      <formula>"no value"</formula>
    </cfRule>
  </conditionalFormatting>
  <conditionalFormatting sqref="G541">
    <cfRule type="cellIs" dxfId="92" priority="28" operator="equal">
      <formula>"no value"</formula>
    </cfRule>
  </conditionalFormatting>
  <conditionalFormatting sqref="H538:H549">
    <cfRule type="cellIs" dxfId="91" priority="27" operator="equal">
      <formula>"no value"</formula>
    </cfRule>
  </conditionalFormatting>
  <conditionalFormatting sqref="F538:F540">
    <cfRule type="cellIs" dxfId="90" priority="26" operator="equal">
      <formula>"no value"</formula>
    </cfRule>
  </conditionalFormatting>
  <conditionalFormatting sqref="F541">
    <cfRule type="cellIs" dxfId="89" priority="25" operator="equal">
      <formula>"no value"</formula>
    </cfRule>
  </conditionalFormatting>
  <conditionalFormatting sqref="F542">
    <cfRule type="cellIs" dxfId="88" priority="24" operator="equal">
      <formula>"no value"</formula>
    </cfRule>
  </conditionalFormatting>
  <conditionalFormatting sqref="F543">
    <cfRule type="cellIs" dxfId="87" priority="23" operator="equal">
      <formula>"no value"</formula>
    </cfRule>
  </conditionalFormatting>
  <conditionalFormatting sqref="F219:G219">
    <cfRule type="cellIs" dxfId="86" priority="21" operator="equal">
      <formula>"no value"</formula>
    </cfRule>
  </conditionalFormatting>
  <conditionalFormatting sqref="F220:G220">
    <cfRule type="cellIs" dxfId="85" priority="20" operator="equal">
      <formula>"no value"</formula>
    </cfRule>
  </conditionalFormatting>
  <conditionalFormatting sqref="F218:G218">
    <cfRule type="cellIs" dxfId="84" priority="22" operator="equal">
      <formula>"no value"</formula>
    </cfRule>
  </conditionalFormatting>
  <conditionalFormatting sqref="F602:G605">
    <cfRule type="cellIs" dxfId="83" priority="18" operator="equal">
      <formula>"no value"</formula>
    </cfRule>
  </conditionalFormatting>
  <conditionalFormatting sqref="F594:G597">
    <cfRule type="cellIs" dxfId="82" priority="17" operator="equal">
      <formula>"no value"</formula>
    </cfRule>
  </conditionalFormatting>
  <conditionalFormatting sqref="F598:G601">
    <cfRule type="cellIs" dxfId="81" priority="16" operator="equal">
      <formula>"no value"</formula>
    </cfRule>
  </conditionalFormatting>
  <conditionalFormatting sqref="F580:G583">
    <cfRule type="cellIs" dxfId="80" priority="15" operator="equal">
      <formula>"no value"</formula>
    </cfRule>
  </conditionalFormatting>
  <conditionalFormatting sqref="F584:G587">
    <cfRule type="cellIs" dxfId="79" priority="14" operator="equal">
      <formula>"no value"</formula>
    </cfRule>
  </conditionalFormatting>
  <conditionalFormatting sqref="F622:G625">
    <cfRule type="cellIs" dxfId="78" priority="7" operator="equal">
      <formula>"no value"</formula>
    </cfRule>
  </conditionalFormatting>
  <conditionalFormatting sqref="F606:G609">
    <cfRule type="cellIs" dxfId="77" priority="11" operator="equal">
      <formula>"no value"</formula>
    </cfRule>
  </conditionalFormatting>
  <conditionalFormatting sqref="F610:G613">
    <cfRule type="cellIs" dxfId="76" priority="10" operator="equal">
      <formula>"no value"</formula>
    </cfRule>
  </conditionalFormatting>
  <conditionalFormatting sqref="F614:G617">
    <cfRule type="cellIs" dxfId="75" priority="9" operator="equal">
      <formula>"no value"</formula>
    </cfRule>
  </conditionalFormatting>
  <conditionalFormatting sqref="F618:G621">
    <cfRule type="cellIs" dxfId="74" priority="8" operator="equal">
      <formula>"no value"</formula>
    </cfRule>
  </conditionalFormatting>
  <conditionalFormatting sqref="F645:G645">
    <cfRule type="cellIs" dxfId="73" priority="6" operator="equal">
      <formula>"no value"</formula>
    </cfRule>
  </conditionalFormatting>
  <conditionalFormatting sqref="F646:G646">
    <cfRule type="cellIs" dxfId="72" priority="5" operator="equal">
      <formula>"no value"</formula>
    </cfRule>
  </conditionalFormatting>
  <conditionalFormatting sqref="F647:G647">
    <cfRule type="cellIs" dxfId="71" priority="4" operator="equal">
      <formula>"no value"</formula>
    </cfRule>
  </conditionalFormatting>
  <conditionalFormatting sqref="F648:G648">
    <cfRule type="cellIs" dxfId="70" priority="3" operator="equal">
      <formula>"no value"</formula>
    </cfRule>
  </conditionalFormatting>
  <conditionalFormatting sqref="F649:G649">
    <cfRule type="cellIs" dxfId="69" priority="2" operator="equal">
      <formula>"no value"</formula>
    </cfRule>
  </conditionalFormatting>
  <conditionalFormatting sqref="F650:G650">
    <cfRule type="cellIs" dxfId="68" priority="1" operator="equal">
      <formula>"no value"</formula>
    </cfRule>
  </conditionalFormatting>
  <hyperlinks>
    <hyperlink ref="AV299" r:id="rId1"/>
    <hyperlink ref="AV102" r:id="rId2"/>
    <hyperlink ref="AV450" r:id="rId3"/>
    <hyperlink ref="AV498" r:id="rId4"/>
    <hyperlink ref="AV499" r:id="rId5"/>
    <hyperlink ref="AV3" r:id="rId6"/>
    <hyperlink ref="AV453" r:id="rId7"/>
    <hyperlink ref="AV233" r:id="rId8"/>
    <hyperlink ref="AV477" r:id="rId9"/>
    <hyperlink ref="AV478" r:id="rId10"/>
    <hyperlink ref="AV231" r:id="rId11"/>
    <hyperlink ref="AV5" r:id="rId12"/>
    <hyperlink ref="AV212" r:id="rId13"/>
    <hyperlink ref="AV34" r:id="rId14"/>
  </hyperlinks>
  <pageMargins left="0.7" right="0.7" top="0.78740157499999996" bottom="0.78740157499999996" header="0.3" footer="0.3"/>
  <pageSetup paperSize="9" orientation="portrait" r:id="rId15"/>
  <legacyDrawing r:id="rId16"/>
  <tableParts count="1">
    <tablePart r:id="rId1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DP246"/>
  <sheetViews>
    <sheetView topLeftCell="B156" zoomScale="110" zoomScaleNormal="110" workbookViewId="0">
      <selection activeCell="Z221" sqref="Z221"/>
    </sheetView>
  </sheetViews>
  <sheetFormatPr baseColWidth="10" defaultColWidth="10.85546875" defaultRowHeight="15"/>
  <cols>
    <col min="1" max="1" width="13.42578125" style="480" hidden="1" customWidth="1"/>
    <col min="2" max="2" width="10.85546875" style="372"/>
    <col min="3" max="4" width="10.85546875" style="372" hidden="1" customWidth="1"/>
    <col min="5" max="5" width="18.85546875" style="372" customWidth="1"/>
    <col min="6" max="6" width="11.85546875" style="372" hidden="1" customWidth="1"/>
    <col min="7" max="7" width="14.28515625" style="372" hidden="1" customWidth="1"/>
    <col min="8" max="8" width="13.42578125" style="372" hidden="1" customWidth="1"/>
    <col min="9" max="9" width="10.140625" style="372" customWidth="1"/>
    <col min="10" max="10" width="31.5703125" style="372" customWidth="1"/>
    <col min="11" max="11" width="15.85546875" style="372" hidden="1" customWidth="1"/>
    <col min="12" max="12" width="15.85546875" style="480" hidden="1" customWidth="1"/>
    <col min="13" max="16" width="16.5703125" style="372" hidden="1" customWidth="1"/>
    <col min="17" max="17" width="10.85546875" style="372" hidden="1" customWidth="1"/>
    <col min="18" max="18" width="10" style="481" customWidth="1"/>
    <col min="19" max="19" width="13.7109375" style="372" customWidth="1"/>
    <col min="20" max="20" width="13.42578125" style="372" customWidth="1"/>
    <col min="21" max="21" width="12.140625" style="372" customWidth="1"/>
    <col min="22" max="22" width="11" style="372" customWidth="1"/>
    <col min="23" max="23" width="12.140625" style="372" customWidth="1"/>
    <col min="24" max="24" width="10.7109375" style="372" customWidth="1"/>
    <col min="25" max="25" width="10.85546875" style="372" customWidth="1"/>
    <col min="26" max="26" width="10.85546875" style="558"/>
    <col min="27" max="27" width="20.28515625" style="372" customWidth="1"/>
    <col min="28" max="16384" width="10.85546875" style="372"/>
  </cols>
  <sheetData>
    <row r="1" spans="1:16344" ht="18.75">
      <c r="B1" s="362" t="s">
        <v>1169</v>
      </c>
      <c r="R1" s="587" t="s">
        <v>1265</v>
      </c>
      <c r="S1" s="587"/>
      <c r="T1" s="587"/>
      <c r="U1" s="587"/>
      <c r="V1" s="587"/>
      <c r="W1" s="587"/>
      <c r="X1" s="587"/>
      <c r="Y1" s="588" t="s">
        <v>1266</v>
      </c>
    </row>
    <row r="2" spans="1:16344">
      <c r="B2" s="482" t="s">
        <v>1435</v>
      </c>
      <c r="R2" s="481" t="s">
        <v>1258</v>
      </c>
      <c r="S2" s="372" t="s">
        <v>1259</v>
      </c>
      <c r="T2" s="372" t="s">
        <v>1260</v>
      </c>
      <c r="U2" s="372" t="s">
        <v>1261</v>
      </c>
      <c r="V2" s="372" t="s">
        <v>1262</v>
      </c>
      <c r="W2" s="372" t="s">
        <v>1263</v>
      </c>
      <c r="X2" s="372" t="s">
        <v>1264</v>
      </c>
      <c r="Y2" s="588"/>
    </row>
    <row r="3" spans="1:16344">
      <c r="A3" s="483" t="s">
        <v>1167</v>
      </c>
      <c r="C3" s="483" t="s">
        <v>1167</v>
      </c>
      <c r="D3" s="483" t="s">
        <v>1167</v>
      </c>
      <c r="F3" s="483" t="s">
        <v>1167</v>
      </c>
      <c r="G3" s="483" t="s">
        <v>1167</v>
      </c>
      <c r="H3" s="483" t="s">
        <v>1167</v>
      </c>
      <c r="K3" s="483" t="s">
        <v>1167</v>
      </c>
      <c r="L3" s="483" t="s">
        <v>1167</v>
      </c>
      <c r="M3" s="483" t="s">
        <v>1167</v>
      </c>
      <c r="N3" s="483" t="s">
        <v>1167</v>
      </c>
      <c r="O3" s="483" t="s">
        <v>1167</v>
      </c>
      <c r="P3" s="483" t="s">
        <v>1167</v>
      </c>
      <c r="Q3" s="483" t="s">
        <v>1167</v>
      </c>
      <c r="R3" s="481">
        <v>0.75</v>
      </c>
      <c r="S3" s="372">
        <v>1.5</v>
      </c>
      <c r="T3" s="372">
        <v>1.5</v>
      </c>
      <c r="U3" s="372">
        <v>0.375</v>
      </c>
      <c r="V3" s="372">
        <v>1.5</v>
      </c>
      <c r="W3" s="372">
        <v>1.5</v>
      </c>
      <c r="X3" s="372">
        <v>2.5</v>
      </c>
      <c r="Y3" s="372">
        <v>1.105</v>
      </c>
    </row>
    <row r="4" spans="1:16344" ht="72" customHeight="1">
      <c r="A4" s="559" t="s">
        <v>1164</v>
      </c>
      <c r="B4" s="560" t="s">
        <v>1033</v>
      </c>
      <c r="C4" s="561" t="s">
        <v>1144</v>
      </c>
      <c r="D4" s="559" t="s">
        <v>212</v>
      </c>
      <c r="E4" s="559" t="s">
        <v>1155</v>
      </c>
      <c r="F4" s="559" t="s">
        <v>1251</v>
      </c>
      <c r="G4" s="559" t="s">
        <v>1252</v>
      </c>
      <c r="H4" s="559" t="s">
        <v>1253</v>
      </c>
      <c r="I4" s="559" t="s">
        <v>947</v>
      </c>
      <c r="J4" s="559" t="s">
        <v>1156</v>
      </c>
      <c r="K4" s="559" t="s">
        <v>1158</v>
      </c>
      <c r="L4" s="559" t="s">
        <v>1245</v>
      </c>
      <c r="M4" s="562" t="s">
        <v>1246</v>
      </c>
      <c r="N4" s="561" t="s">
        <v>1159</v>
      </c>
      <c r="O4" s="561" t="s">
        <v>1165</v>
      </c>
      <c r="P4" s="559" t="s">
        <v>1221</v>
      </c>
      <c r="Q4" s="561" t="s">
        <v>1216</v>
      </c>
      <c r="R4" s="559" t="s">
        <v>1242</v>
      </c>
      <c r="S4" s="559" t="s">
        <v>1243</v>
      </c>
      <c r="T4" s="559" t="s">
        <v>1244</v>
      </c>
      <c r="U4" s="559" t="s">
        <v>1247</v>
      </c>
      <c r="V4" s="559" t="s">
        <v>1248</v>
      </c>
      <c r="W4" s="559" t="s">
        <v>1249</v>
      </c>
      <c r="X4" s="559" t="s">
        <v>1250</v>
      </c>
      <c r="Y4" s="563" t="s">
        <v>1236</v>
      </c>
      <c r="Z4" s="559" t="s">
        <v>1457</v>
      </c>
      <c r="AA4" s="561" t="s">
        <v>1444</v>
      </c>
      <c r="AB4" s="561" t="s">
        <v>1458</v>
      </c>
      <c r="AC4" s="484"/>
      <c r="AD4" s="484"/>
      <c r="AE4" s="484"/>
      <c r="AF4" s="484"/>
      <c r="AG4" s="484"/>
      <c r="AH4" s="484"/>
      <c r="AI4" s="484"/>
      <c r="AJ4" s="484"/>
      <c r="AK4" s="484"/>
      <c r="AL4" s="484"/>
      <c r="AM4" s="484"/>
      <c r="AN4" s="484"/>
      <c r="AO4" s="484"/>
      <c r="AP4" s="484"/>
      <c r="AQ4" s="484"/>
      <c r="AR4" s="484"/>
      <c r="AS4" s="484"/>
      <c r="AT4" s="484"/>
      <c r="AU4" s="484"/>
      <c r="AV4" s="484"/>
      <c r="AW4" s="484"/>
      <c r="AX4" s="484"/>
      <c r="AY4" s="484"/>
      <c r="AZ4" s="484"/>
      <c r="BA4" s="484"/>
      <c r="BB4" s="484"/>
      <c r="BC4" s="484"/>
      <c r="BD4" s="484"/>
      <c r="BE4" s="484"/>
      <c r="BF4" s="484"/>
      <c r="BG4" s="484"/>
      <c r="BH4" s="484"/>
      <c r="BI4" s="484"/>
      <c r="BJ4" s="484"/>
      <c r="BK4" s="484"/>
      <c r="BL4" s="484"/>
      <c r="BM4" s="484"/>
      <c r="BN4" s="484"/>
      <c r="BO4" s="484"/>
      <c r="BP4" s="484"/>
      <c r="BQ4" s="484"/>
      <c r="BR4" s="484"/>
      <c r="BS4" s="484"/>
      <c r="BT4" s="484"/>
      <c r="BU4" s="484"/>
      <c r="BV4" s="484"/>
      <c r="BW4" s="484"/>
      <c r="BX4" s="484"/>
      <c r="BY4" s="484"/>
      <c r="BZ4" s="484"/>
      <c r="CA4" s="484"/>
      <c r="CB4" s="484"/>
      <c r="CC4" s="484"/>
      <c r="CD4" s="484"/>
      <c r="CE4" s="484"/>
      <c r="CF4" s="484"/>
      <c r="CG4" s="484"/>
      <c r="CH4" s="484"/>
      <c r="CI4" s="484"/>
      <c r="CJ4" s="484"/>
      <c r="CK4" s="484"/>
      <c r="CL4" s="484"/>
      <c r="CM4" s="484"/>
      <c r="CN4" s="484"/>
      <c r="CO4" s="484"/>
      <c r="CP4" s="484"/>
      <c r="CQ4" s="484"/>
      <c r="CR4" s="484"/>
      <c r="CS4" s="484"/>
      <c r="CT4" s="484"/>
      <c r="CU4" s="484"/>
      <c r="CV4" s="484"/>
      <c r="CW4" s="484"/>
      <c r="CX4" s="484"/>
      <c r="CY4" s="484"/>
      <c r="CZ4" s="484"/>
      <c r="DA4" s="484"/>
      <c r="DB4" s="484"/>
      <c r="DC4" s="484"/>
      <c r="DD4" s="484"/>
      <c r="DE4" s="484"/>
      <c r="DF4" s="484"/>
      <c r="DG4" s="484"/>
      <c r="DH4" s="484"/>
      <c r="DI4" s="484"/>
      <c r="DJ4" s="484"/>
      <c r="DK4" s="484"/>
      <c r="DL4" s="484"/>
      <c r="DM4" s="484"/>
      <c r="DN4" s="484"/>
      <c r="DO4" s="484"/>
      <c r="DP4" s="484"/>
      <c r="DQ4" s="484"/>
      <c r="DR4" s="484"/>
      <c r="DS4" s="484"/>
      <c r="DT4" s="484"/>
      <c r="DU4" s="484"/>
      <c r="DV4" s="484"/>
      <c r="DW4" s="484"/>
      <c r="DX4" s="484"/>
      <c r="DY4" s="484"/>
      <c r="DZ4" s="484"/>
      <c r="EA4" s="484"/>
      <c r="EB4" s="484"/>
      <c r="EC4" s="484"/>
      <c r="ED4" s="484"/>
      <c r="EE4" s="484"/>
      <c r="EF4" s="484"/>
      <c r="EG4" s="484"/>
      <c r="EH4" s="484"/>
      <c r="EI4" s="484"/>
      <c r="EJ4" s="484"/>
      <c r="EK4" s="484"/>
      <c r="EL4" s="484"/>
      <c r="EM4" s="484"/>
      <c r="EN4" s="484"/>
      <c r="EO4" s="484"/>
      <c r="EP4" s="484"/>
      <c r="EQ4" s="484"/>
      <c r="ER4" s="484"/>
      <c r="ES4" s="484"/>
      <c r="ET4" s="484"/>
      <c r="EU4" s="484"/>
      <c r="EV4" s="484"/>
      <c r="EW4" s="484"/>
      <c r="EX4" s="484"/>
      <c r="EY4" s="484"/>
      <c r="EZ4" s="484"/>
      <c r="FA4" s="484"/>
      <c r="FB4" s="484"/>
      <c r="FC4" s="484"/>
      <c r="FD4" s="484"/>
      <c r="FE4" s="484"/>
      <c r="FF4" s="484"/>
      <c r="FG4" s="484"/>
      <c r="FH4" s="484"/>
      <c r="FI4" s="484"/>
      <c r="FJ4" s="484"/>
      <c r="FK4" s="484"/>
      <c r="FL4" s="484"/>
      <c r="FM4" s="484"/>
      <c r="FN4" s="484"/>
      <c r="FO4" s="484"/>
      <c r="FP4" s="484"/>
      <c r="FQ4" s="484"/>
      <c r="FR4" s="484"/>
      <c r="FS4" s="484"/>
      <c r="FT4" s="484"/>
      <c r="FU4" s="484"/>
      <c r="FV4" s="484"/>
      <c r="FW4" s="484"/>
      <c r="FX4" s="484"/>
      <c r="FY4" s="484"/>
      <c r="FZ4" s="484"/>
      <c r="GA4" s="484"/>
      <c r="GB4" s="484"/>
      <c r="GC4" s="484"/>
      <c r="GD4" s="484"/>
      <c r="GE4" s="484"/>
      <c r="GF4" s="484"/>
      <c r="GG4" s="484"/>
      <c r="GH4" s="484"/>
      <c r="GI4" s="484"/>
      <c r="GJ4" s="484"/>
      <c r="GK4" s="484"/>
      <c r="GL4" s="484"/>
      <c r="GM4" s="484"/>
      <c r="GN4" s="484"/>
      <c r="GO4" s="484"/>
      <c r="GP4" s="484"/>
      <c r="GQ4" s="484"/>
      <c r="GR4" s="484"/>
      <c r="GS4" s="484"/>
      <c r="GT4" s="484"/>
      <c r="GU4" s="484"/>
      <c r="GV4" s="484"/>
      <c r="GW4" s="484"/>
      <c r="GX4" s="484"/>
      <c r="GY4" s="484"/>
      <c r="GZ4" s="484"/>
      <c r="HA4" s="484"/>
      <c r="HB4" s="484"/>
      <c r="HC4" s="484"/>
      <c r="HD4" s="484"/>
      <c r="HE4" s="484"/>
      <c r="HF4" s="484"/>
      <c r="HG4" s="484"/>
      <c r="HH4" s="484"/>
      <c r="HI4" s="484"/>
      <c r="HJ4" s="484"/>
      <c r="HK4" s="484"/>
      <c r="HL4" s="484"/>
      <c r="HM4" s="484"/>
      <c r="HN4" s="484"/>
      <c r="HO4" s="484"/>
      <c r="HP4" s="484"/>
      <c r="HQ4" s="484"/>
      <c r="HR4" s="484"/>
      <c r="HS4" s="484"/>
      <c r="HT4" s="484"/>
      <c r="HU4" s="484"/>
      <c r="HV4" s="484"/>
      <c r="HW4" s="484"/>
      <c r="HX4" s="484"/>
      <c r="HY4" s="484"/>
      <c r="HZ4" s="484"/>
      <c r="IA4" s="484"/>
      <c r="IB4" s="484"/>
      <c r="IC4" s="484"/>
      <c r="ID4" s="484"/>
      <c r="IE4" s="484"/>
      <c r="IF4" s="484"/>
      <c r="IG4" s="484"/>
      <c r="IH4" s="484"/>
      <c r="II4" s="484"/>
      <c r="IJ4" s="484"/>
      <c r="IK4" s="484"/>
      <c r="IL4" s="484"/>
      <c r="IM4" s="484"/>
      <c r="IN4" s="484"/>
      <c r="IO4" s="484"/>
      <c r="IP4" s="484"/>
      <c r="IQ4" s="484"/>
      <c r="IR4" s="484"/>
      <c r="IS4" s="484"/>
      <c r="IT4" s="484"/>
      <c r="IU4" s="484"/>
      <c r="IV4" s="484"/>
      <c r="IW4" s="484"/>
      <c r="IX4" s="484"/>
      <c r="IY4" s="484"/>
      <c r="IZ4" s="484"/>
      <c r="JA4" s="484"/>
      <c r="JB4" s="484"/>
      <c r="JC4" s="484"/>
      <c r="JD4" s="484"/>
      <c r="JE4" s="484"/>
      <c r="JF4" s="484"/>
      <c r="JG4" s="484"/>
      <c r="JH4" s="484"/>
      <c r="JI4" s="484"/>
      <c r="JJ4" s="484"/>
      <c r="JK4" s="484"/>
      <c r="JL4" s="484"/>
      <c r="JM4" s="484"/>
      <c r="JN4" s="484"/>
      <c r="JO4" s="484"/>
      <c r="JP4" s="484"/>
      <c r="JQ4" s="484"/>
      <c r="JR4" s="484"/>
      <c r="JS4" s="484"/>
      <c r="JT4" s="484"/>
      <c r="JU4" s="484"/>
      <c r="JV4" s="484"/>
      <c r="JW4" s="484"/>
      <c r="JX4" s="484"/>
      <c r="JY4" s="484"/>
      <c r="JZ4" s="484"/>
      <c r="KA4" s="484"/>
      <c r="KB4" s="484"/>
      <c r="KC4" s="484"/>
      <c r="KD4" s="484"/>
      <c r="KE4" s="484"/>
      <c r="KF4" s="484"/>
      <c r="KG4" s="484"/>
      <c r="KH4" s="484"/>
      <c r="KI4" s="484"/>
      <c r="KJ4" s="484"/>
      <c r="KK4" s="484"/>
      <c r="KL4" s="484"/>
      <c r="KM4" s="484"/>
      <c r="KN4" s="484"/>
      <c r="KO4" s="484"/>
      <c r="KP4" s="484"/>
      <c r="KQ4" s="484"/>
      <c r="KR4" s="484"/>
      <c r="KS4" s="484"/>
      <c r="KT4" s="484"/>
      <c r="KU4" s="484"/>
      <c r="KV4" s="484"/>
      <c r="KW4" s="484"/>
      <c r="KX4" s="484"/>
      <c r="KY4" s="484"/>
      <c r="KZ4" s="484"/>
      <c r="LA4" s="484"/>
      <c r="LB4" s="484"/>
      <c r="LC4" s="484"/>
      <c r="LD4" s="484"/>
      <c r="LE4" s="484"/>
      <c r="LF4" s="484"/>
      <c r="LG4" s="484"/>
      <c r="LH4" s="484"/>
      <c r="LI4" s="484"/>
      <c r="LJ4" s="484"/>
      <c r="LK4" s="484"/>
      <c r="LL4" s="484"/>
      <c r="LM4" s="484"/>
      <c r="LN4" s="484"/>
      <c r="LO4" s="484"/>
      <c r="LP4" s="484"/>
      <c r="LQ4" s="484"/>
      <c r="LR4" s="484"/>
      <c r="LS4" s="484"/>
      <c r="LT4" s="484"/>
      <c r="LU4" s="484"/>
      <c r="LV4" s="484"/>
      <c r="LW4" s="484"/>
      <c r="LX4" s="484"/>
      <c r="LY4" s="484"/>
      <c r="LZ4" s="484"/>
      <c r="MA4" s="484"/>
      <c r="MB4" s="484"/>
      <c r="MC4" s="484"/>
      <c r="MD4" s="484"/>
      <c r="ME4" s="484"/>
      <c r="MF4" s="484"/>
      <c r="MG4" s="484"/>
      <c r="MH4" s="484"/>
      <c r="MI4" s="484"/>
      <c r="MJ4" s="484"/>
      <c r="MK4" s="484"/>
      <c r="ML4" s="484"/>
      <c r="MM4" s="484"/>
      <c r="MN4" s="484"/>
      <c r="MO4" s="484"/>
      <c r="MP4" s="484"/>
      <c r="MQ4" s="484"/>
      <c r="MR4" s="484"/>
      <c r="MS4" s="484"/>
      <c r="MT4" s="484"/>
      <c r="MU4" s="484"/>
      <c r="MV4" s="484"/>
      <c r="MW4" s="484"/>
      <c r="MX4" s="484"/>
      <c r="MY4" s="484"/>
      <c r="MZ4" s="484"/>
      <c r="NA4" s="484"/>
      <c r="NB4" s="484"/>
      <c r="NC4" s="484"/>
      <c r="ND4" s="484"/>
      <c r="NE4" s="484"/>
      <c r="NF4" s="484"/>
      <c r="NG4" s="484"/>
      <c r="NH4" s="484"/>
      <c r="NI4" s="484"/>
      <c r="NJ4" s="484"/>
      <c r="NK4" s="484"/>
      <c r="NL4" s="484"/>
      <c r="NM4" s="484"/>
      <c r="NN4" s="484"/>
      <c r="NO4" s="484"/>
      <c r="NP4" s="484"/>
      <c r="NQ4" s="484"/>
      <c r="NR4" s="484"/>
      <c r="NS4" s="484"/>
      <c r="NT4" s="484"/>
      <c r="NU4" s="484"/>
      <c r="NV4" s="484"/>
      <c r="NW4" s="484"/>
      <c r="NX4" s="484"/>
      <c r="NY4" s="484"/>
      <c r="NZ4" s="484"/>
      <c r="OA4" s="484"/>
      <c r="OB4" s="484"/>
      <c r="OC4" s="484"/>
      <c r="OD4" s="484"/>
      <c r="OE4" s="484"/>
      <c r="OF4" s="484"/>
      <c r="OG4" s="484"/>
      <c r="OH4" s="484"/>
      <c r="OI4" s="484"/>
      <c r="OJ4" s="484"/>
      <c r="OK4" s="484"/>
      <c r="OL4" s="484"/>
      <c r="OM4" s="484"/>
      <c r="ON4" s="484"/>
      <c r="OO4" s="484"/>
      <c r="OP4" s="484"/>
      <c r="OQ4" s="484"/>
      <c r="OR4" s="484"/>
      <c r="OS4" s="484"/>
      <c r="OT4" s="484"/>
      <c r="OU4" s="484"/>
      <c r="OV4" s="484"/>
      <c r="OW4" s="484"/>
      <c r="OX4" s="484"/>
      <c r="OY4" s="484"/>
      <c r="OZ4" s="484"/>
      <c r="PA4" s="484"/>
      <c r="PB4" s="484"/>
      <c r="PC4" s="484"/>
      <c r="PD4" s="484"/>
      <c r="PE4" s="484"/>
      <c r="PF4" s="484"/>
      <c r="PG4" s="484"/>
      <c r="PH4" s="484"/>
      <c r="PI4" s="484"/>
      <c r="PJ4" s="484"/>
      <c r="PK4" s="484"/>
      <c r="PL4" s="484"/>
      <c r="PM4" s="484"/>
      <c r="PN4" s="484"/>
      <c r="PO4" s="484"/>
      <c r="PP4" s="484"/>
      <c r="PQ4" s="484"/>
      <c r="PR4" s="484"/>
      <c r="PS4" s="484"/>
      <c r="PT4" s="484"/>
      <c r="PU4" s="484"/>
      <c r="PV4" s="484"/>
      <c r="PW4" s="484"/>
      <c r="PX4" s="484"/>
      <c r="PY4" s="484"/>
      <c r="PZ4" s="484"/>
      <c r="QA4" s="484"/>
      <c r="QB4" s="484"/>
      <c r="QC4" s="484"/>
      <c r="QD4" s="484"/>
      <c r="QE4" s="484"/>
      <c r="QF4" s="484"/>
      <c r="QG4" s="484"/>
      <c r="QH4" s="484"/>
      <c r="QI4" s="484"/>
      <c r="QJ4" s="484"/>
      <c r="QK4" s="484"/>
      <c r="QL4" s="484"/>
      <c r="QM4" s="484"/>
      <c r="QN4" s="484"/>
      <c r="QO4" s="484"/>
      <c r="QP4" s="484"/>
      <c r="QQ4" s="484"/>
      <c r="QR4" s="484"/>
      <c r="QS4" s="484"/>
      <c r="QT4" s="484"/>
      <c r="QU4" s="484"/>
      <c r="QV4" s="484"/>
      <c r="QW4" s="484"/>
      <c r="QX4" s="484"/>
      <c r="QY4" s="484"/>
      <c r="QZ4" s="484"/>
      <c r="RA4" s="484"/>
      <c r="RB4" s="484"/>
      <c r="RC4" s="484"/>
      <c r="RD4" s="484"/>
      <c r="RE4" s="484"/>
      <c r="RF4" s="484"/>
      <c r="RG4" s="484"/>
      <c r="RH4" s="484"/>
      <c r="RI4" s="484"/>
      <c r="RJ4" s="484"/>
      <c r="RK4" s="484"/>
      <c r="RL4" s="484"/>
      <c r="RM4" s="484"/>
      <c r="RN4" s="484"/>
      <c r="RO4" s="484"/>
      <c r="RP4" s="484"/>
      <c r="RQ4" s="484"/>
      <c r="RR4" s="484"/>
      <c r="RS4" s="484"/>
      <c r="RT4" s="484"/>
      <c r="RU4" s="484"/>
      <c r="RV4" s="484"/>
      <c r="RW4" s="484"/>
      <c r="RX4" s="484"/>
      <c r="RY4" s="484"/>
      <c r="RZ4" s="484"/>
      <c r="SA4" s="484"/>
      <c r="SB4" s="484"/>
      <c r="SC4" s="484"/>
      <c r="SD4" s="484"/>
      <c r="SE4" s="484"/>
      <c r="SF4" s="484"/>
      <c r="SG4" s="484"/>
      <c r="SH4" s="484"/>
      <c r="SI4" s="484"/>
      <c r="SJ4" s="484"/>
      <c r="SK4" s="484"/>
      <c r="SL4" s="484"/>
      <c r="SM4" s="484"/>
      <c r="SN4" s="484"/>
      <c r="SO4" s="484"/>
      <c r="SP4" s="484"/>
      <c r="SQ4" s="484"/>
      <c r="SR4" s="484"/>
      <c r="SS4" s="484"/>
      <c r="ST4" s="484"/>
      <c r="SU4" s="484"/>
      <c r="SV4" s="484"/>
      <c r="SW4" s="484"/>
      <c r="SX4" s="484"/>
      <c r="SY4" s="484"/>
      <c r="SZ4" s="484"/>
      <c r="TA4" s="484"/>
      <c r="TB4" s="484"/>
      <c r="TC4" s="484"/>
      <c r="TD4" s="484"/>
      <c r="TE4" s="484"/>
      <c r="TF4" s="484"/>
      <c r="TG4" s="484"/>
      <c r="TH4" s="484"/>
      <c r="TI4" s="484"/>
      <c r="TJ4" s="484"/>
      <c r="TK4" s="484"/>
      <c r="TL4" s="484"/>
      <c r="TM4" s="484"/>
      <c r="TN4" s="484"/>
      <c r="TO4" s="484"/>
      <c r="TP4" s="484"/>
      <c r="TQ4" s="484"/>
      <c r="TR4" s="484"/>
      <c r="TS4" s="484"/>
      <c r="TT4" s="484"/>
      <c r="TU4" s="484"/>
      <c r="TV4" s="484"/>
      <c r="TW4" s="484"/>
      <c r="TX4" s="484"/>
      <c r="TY4" s="484"/>
      <c r="TZ4" s="484"/>
      <c r="UA4" s="484"/>
      <c r="UB4" s="484"/>
      <c r="UC4" s="484"/>
      <c r="UD4" s="484"/>
      <c r="UE4" s="484"/>
      <c r="UF4" s="484"/>
      <c r="UG4" s="484"/>
      <c r="UH4" s="484"/>
      <c r="UI4" s="484"/>
      <c r="UJ4" s="484"/>
      <c r="UK4" s="484"/>
      <c r="UL4" s="484"/>
      <c r="UM4" s="484"/>
      <c r="UN4" s="484"/>
      <c r="UO4" s="484"/>
      <c r="UP4" s="484"/>
      <c r="UQ4" s="484"/>
      <c r="UR4" s="484"/>
      <c r="US4" s="484"/>
      <c r="UT4" s="484"/>
      <c r="UU4" s="484"/>
      <c r="UV4" s="484"/>
      <c r="UW4" s="484"/>
      <c r="UX4" s="484"/>
      <c r="UY4" s="484"/>
      <c r="UZ4" s="484"/>
      <c r="VA4" s="484"/>
      <c r="VB4" s="484"/>
      <c r="VC4" s="484"/>
      <c r="VD4" s="484"/>
      <c r="VE4" s="484"/>
      <c r="VF4" s="484"/>
      <c r="VG4" s="484"/>
      <c r="VH4" s="484"/>
      <c r="VI4" s="484"/>
      <c r="VJ4" s="484"/>
      <c r="VK4" s="484"/>
      <c r="VL4" s="484"/>
      <c r="VM4" s="484"/>
      <c r="VN4" s="484"/>
      <c r="VO4" s="484"/>
      <c r="VP4" s="484"/>
      <c r="VQ4" s="484"/>
      <c r="VR4" s="484"/>
      <c r="VS4" s="484"/>
      <c r="VT4" s="484"/>
      <c r="VU4" s="484"/>
      <c r="VV4" s="484"/>
      <c r="VW4" s="484"/>
      <c r="VX4" s="484"/>
      <c r="VY4" s="484"/>
      <c r="VZ4" s="484"/>
      <c r="WA4" s="484"/>
      <c r="WB4" s="484"/>
      <c r="WC4" s="484"/>
      <c r="WD4" s="484"/>
      <c r="WE4" s="484"/>
      <c r="WF4" s="484"/>
      <c r="WG4" s="484"/>
      <c r="WH4" s="484"/>
      <c r="WI4" s="484"/>
      <c r="WJ4" s="484"/>
      <c r="WK4" s="484"/>
      <c r="WL4" s="484"/>
      <c r="WM4" s="484"/>
      <c r="WN4" s="484"/>
      <c r="WO4" s="484"/>
      <c r="WP4" s="484"/>
      <c r="WQ4" s="484"/>
      <c r="WR4" s="484"/>
      <c r="WS4" s="484"/>
      <c r="WT4" s="484"/>
      <c r="WU4" s="484"/>
      <c r="WV4" s="484"/>
      <c r="WW4" s="484"/>
      <c r="WX4" s="484"/>
      <c r="WY4" s="484"/>
      <c r="WZ4" s="484"/>
      <c r="XA4" s="484"/>
      <c r="XB4" s="484"/>
      <c r="XC4" s="484"/>
      <c r="XD4" s="484"/>
      <c r="XE4" s="484"/>
      <c r="XF4" s="484"/>
      <c r="XG4" s="484"/>
      <c r="XH4" s="484"/>
      <c r="XI4" s="484"/>
      <c r="XJ4" s="484"/>
      <c r="XK4" s="484"/>
      <c r="XL4" s="484"/>
      <c r="XM4" s="484"/>
      <c r="XN4" s="484"/>
      <c r="XO4" s="484"/>
      <c r="XP4" s="484"/>
      <c r="XQ4" s="484"/>
      <c r="XR4" s="484"/>
      <c r="XS4" s="484"/>
      <c r="XT4" s="484"/>
      <c r="XU4" s="484"/>
      <c r="XV4" s="484"/>
      <c r="XW4" s="484"/>
      <c r="XX4" s="484"/>
      <c r="XY4" s="484"/>
      <c r="XZ4" s="484"/>
      <c r="YA4" s="484"/>
      <c r="YB4" s="484"/>
      <c r="YC4" s="484"/>
      <c r="YD4" s="484"/>
      <c r="YE4" s="484"/>
      <c r="YF4" s="484"/>
      <c r="YG4" s="484"/>
      <c r="YH4" s="484"/>
      <c r="YI4" s="484"/>
      <c r="YJ4" s="484"/>
      <c r="YK4" s="484"/>
      <c r="YL4" s="484"/>
      <c r="YM4" s="484"/>
      <c r="YN4" s="484"/>
      <c r="YO4" s="484"/>
      <c r="YP4" s="484"/>
      <c r="YQ4" s="484"/>
      <c r="YR4" s="484"/>
      <c r="YS4" s="484"/>
      <c r="YT4" s="484"/>
      <c r="YU4" s="484"/>
      <c r="YV4" s="484"/>
      <c r="YW4" s="484"/>
      <c r="YX4" s="484"/>
      <c r="YY4" s="484"/>
      <c r="YZ4" s="484"/>
      <c r="ZA4" s="484"/>
      <c r="ZB4" s="484"/>
      <c r="ZC4" s="484"/>
      <c r="ZD4" s="484"/>
      <c r="ZE4" s="484"/>
      <c r="ZF4" s="484"/>
      <c r="ZG4" s="484"/>
      <c r="ZH4" s="484"/>
      <c r="ZI4" s="484"/>
      <c r="ZJ4" s="484"/>
      <c r="ZK4" s="484"/>
      <c r="ZL4" s="484"/>
      <c r="ZM4" s="484"/>
      <c r="ZN4" s="484"/>
      <c r="ZO4" s="484"/>
      <c r="ZP4" s="484"/>
      <c r="ZQ4" s="484"/>
      <c r="ZR4" s="484"/>
      <c r="ZS4" s="484"/>
      <c r="ZT4" s="484"/>
      <c r="ZU4" s="484"/>
      <c r="ZV4" s="484"/>
      <c r="ZW4" s="484"/>
      <c r="ZX4" s="484"/>
      <c r="ZY4" s="484"/>
      <c r="ZZ4" s="484"/>
      <c r="AAA4" s="484"/>
      <c r="AAB4" s="484"/>
      <c r="AAC4" s="484"/>
      <c r="AAD4" s="484"/>
      <c r="AAE4" s="484"/>
      <c r="AAF4" s="484"/>
      <c r="AAG4" s="484"/>
      <c r="AAH4" s="484"/>
      <c r="AAI4" s="484"/>
      <c r="AAJ4" s="484"/>
      <c r="AAK4" s="484"/>
      <c r="AAL4" s="484"/>
      <c r="AAM4" s="484"/>
      <c r="AAN4" s="484"/>
      <c r="AAO4" s="484"/>
      <c r="AAP4" s="484"/>
      <c r="AAQ4" s="484"/>
      <c r="AAR4" s="484"/>
      <c r="AAS4" s="484"/>
      <c r="AAT4" s="484"/>
      <c r="AAU4" s="484"/>
      <c r="AAV4" s="484"/>
      <c r="AAW4" s="484"/>
      <c r="AAX4" s="484"/>
      <c r="AAY4" s="484"/>
      <c r="AAZ4" s="484"/>
      <c r="ABA4" s="484"/>
      <c r="ABB4" s="484"/>
      <c r="ABC4" s="484"/>
      <c r="ABD4" s="484"/>
      <c r="ABE4" s="484"/>
      <c r="ABF4" s="484"/>
      <c r="ABG4" s="484"/>
      <c r="ABH4" s="484"/>
      <c r="ABI4" s="484"/>
      <c r="ABJ4" s="484"/>
      <c r="ABK4" s="484"/>
      <c r="ABL4" s="484"/>
      <c r="ABM4" s="484"/>
      <c r="ABN4" s="484"/>
      <c r="ABO4" s="484"/>
      <c r="ABP4" s="484"/>
      <c r="ABQ4" s="484"/>
      <c r="ABR4" s="484"/>
      <c r="ABS4" s="484"/>
      <c r="ABT4" s="484"/>
      <c r="ABU4" s="484"/>
      <c r="ABV4" s="484"/>
      <c r="ABW4" s="484"/>
      <c r="ABX4" s="484"/>
      <c r="ABY4" s="484"/>
      <c r="ABZ4" s="484"/>
      <c r="ACA4" s="484"/>
      <c r="ACB4" s="484"/>
      <c r="ACC4" s="484"/>
      <c r="ACD4" s="484"/>
      <c r="ACE4" s="484"/>
      <c r="ACF4" s="484"/>
      <c r="ACG4" s="484"/>
      <c r="ACH4" s="484"/>
      <c r="ACI4" s="484"/>
      <c r="ACJ4" s="484"/>
      <c r="ACK4" s="484"/>
      <c r="ACL4" s="484"/>
      <c r="ACM4" s="484"/>
      <c r="ACN4" s="484"/>
      <c r="ACO4" s="484"/>
      <c r="ACP4" s="484"/>
      <c r="ACQ4" s="484"/>
      <c r="ACR4" s="484"/>
      <c r="ACS4" s="484"/>
      <c r="ACT4" s="484"/>
      <c r="ACU4" s="484"/>
      <c r="ACV4" s="484"/>
      <c r="ACW4" s="484"/>
      <c r="ACX4" s="484"/>
      <c r="ACY4" s="484"/>
      <c r="ACZ4" s="484"/>
      <c r="ADA4" s="484"/>
      <c r="ADB4" s="484"/>
      <c r="ADC4" s="484"/>
      <c r="ADD4" s="484"/>
      <c r="ADE4" s="484"/>
      <c r="ADF4" s="484"/>
      <c r="ADG4" s="484"/>
      <c r="ADH4" s="484"/>
      <c r="ADI4" s="484"/>
      <c r="ADJ4" s="484"/>
      <c r="ADK4" s="484"/>
      <c r="ADL4" s="484"/>
      <c r="ADM4" s="484"/>
      <c r="ADN4" s="484"/>
      <c r="ADO4" s="484"/>
      <c r="ADP4" s="484"/>
      <c r="ADQ4" s="484"/>
      <c r="ADR4" s="484"/>
      <c r="ADS4" s="484"/>
      <c r="ADT4" s="484"/>
      <c r="ADU4" s="484"/>
      <c r="ADV4" s="484"/>
      <c r="ADW4" s="484"/>
      <c r="ADX4" s="484"/>
      <c r="ADY4" s="484"/>
      <c r="ADZ4" s="484"/>
      <c r="AEA4" s="484"/>
      <c r="AEB4" s="484"/>
      <c r="AEC4" s="484"/>
      <c r="AED4" s="484"/>
      <c r="AEE4" s="484"/>
      <c r="AEF4" s="484"/>
      <c r="AEG4" s="484"/>
      <c r="AEH4" s="484"/>
      <c r="AEI4" s="484"/>
      <c r="AEJ4" s="484"/>
      <c r="AEK4" s="484"/>
      <c r="AEL4" s="484"/>
      <c r="AEM4" s="484"/>
      <c r="AEN4" s="484"/>
      <c r="AEO4" s="484"/>
      <c r="AEP4" s="484"/>
      <c r="AEQ4" s="484"/>
      <c r="AER4" s="484"/>
      <c r="AES4" s="484"/>
      <c r="AET4" s="484"/>
      <c r="AEU4" s="484"/>
      <c r="AEV4" s="484"/>
      <c r="AEW4" s="484"/>
      <c r="AEX4" s="484"/>
      <c r="AEY4" s="484"/>
      <c r="AEZ4" s="484"/>
      <c r="AFA4" s="484"/>
      <c r="AFB4" s="484"/>
      <c r="AFC4" s="484"/>
      <c r="AFD4" s="484"/>
      <c r="AFE4" s="484"/>
      <c r="AFF4" s="484"/>
      <c r="AFG4" s="484"/>
      <c r="AFH4" s="484"/>
      <c r="AFI4" s="484"/>
      <c r="AFJ4" s="484"/>
      <c r="AFK4" s="484"/>
      <c r="AFL4" s="484"/>
      <c r="AFM4" s="484"/>
      <c r="AFN4" s="484"/>
      <c r="AFO4" s="484"/>
      <c r="AFP4" s="484"/>
      <c r="AFQ4" s="484"/>
      <c r="AFR4" s="484"/>
      <c r="AFS4" s="484"/>
      <c r="AFT4" s="484"/>
      <c r="AFU4" s="484"/>
      <c r="AFV4" s="484"/>
      <c r="AFW4" s="484"/>
      <c r="AFX4" s="484"/>
      <c r="AFY4" s="484"/>
      <c r="AFZ4" s="484"/>
      <c r="AGA4" s="484"/>
      <c r="AGB4" s="484"/>
      <c r="AGC4" s="484"/>
      <c r="AGD4" s="484"/>
      <c r="AGE4" s="484"/>
      <c r="AGF4" s="484"/>
      <c r="AGG4" s="484"/>
      <c r="AGH4" s="484"/>
      <c r="AGI4" s="484"/>
      <c r="AGJ4" s="484"/>
      <c r="AGK4" s="484"/>
      <c r="AGL4" s="484"/>
      <c r="AGM4" s="484"/>
      <c r="AGN4" s="484"/>
      <c r="AGO4" s="484"/>
      <c r="AGP4" s="484"/>
      <c r="AGQ4" s="484"/>
      <c r="AGR4" s="484"/>
      <c r="AGS4" s="484"/>
      <c r="AGT4" s="484"/>
      <c r="AGU4" s="484"/>
      <c r="AGV4" s="484"/>
      <c r="AGW4" s="484"/>
      <c r="AGX4" s="484"/>
      <c r="AGY4" s="484"/>
      <c r="AGZ4" s="484"/>
      <c r="AHA4" s="484"/>
      <c r="AHB4" s="484"/>
      <c r="AHC4" s="484"/>
      <c r="AHD4" s="484"/>
      <c r="AHE4" s="484"/>
      <c r="AHF4" s="484"/>
      <c r="AHG4" s="484"/>
      <c r="AHH4" s="484"/>
      <c r="AHI4" s="484"/>
      <c r="AHJ4" s="484"/>
      <c r="AHK4" s="484"/>
      <c r="AHL4" s="484"/>
      <c r="AHM4" s="484"/>
      <c r="AHN4" s="484"/>
      <c r="AHO4" s="484"/>
      <c r="AHP4" s="484"/>
      <c r="AHQ4" s="484"/>
      <c r="AHR4" s="484"/>
      <c r="AHS4" s="484"/>
      <c r="AHT4" s="484"/>
      <c r="AHU4" s="484"/>
      <c r="AHV4" s="484"/>
      <c r="AHW4" s="484"/>
      <c r="AHX4" s="484"/>
      <c r="AHY4" s="484"/>
      <c r="AHZ4" s="484"/>
      <c r="AIA4" s="484"/>
      <c r="AIB4" s="484"/>
      <c r="AIC4" s="484"/>
      <c r="AID4" s="484"/>
      <c r="AIE4" s="484"/>
      <c r="AIF4" s="484"/>
      <c r="AIG4" s="484"/>
      <c r="AIH4" s="484"/>
      <c r="AII4" s="484"/>
      <c r="AIJ4" s="484"/>
      <c r="AIK4" s="484"/>
      <c r="AIL4" s="484"/>
      <c r="AIM4" s="484"/>
      <c r="AIN4" s="484"/>
      <c r="AIO4" s="484"/>
      <c r="AIP4" s="484"/>
      <c r="AIQ4" s="484"/>
      <c r="AIR4" s="484"/>
      <c r="AIS4" s="484"/>
      <c r="AIT4" s="484"/>
      <c r="AIU4" s="484"/>
      <c r="AIV4" s="484"/>
      <c r="AIW4" s="484"/>
      <c r="AIX4" s="484"/>
      <c r="AIY4" s="484"/>
      <c r="AIZ4" s="484"/>
      <c r="AJA4" s="484"/>
      <c r="AJB4" s="484"/>
      <c r="AJC4" s="484"/>
      <c r="AJD4" s="484"/>
      <c r="AJE4" s="484"/>
      <c r="AJF4" s="484"/>
      <c r="AJG4" s="484"/>
      <c r="AJH4" s="484"/>
      <c r="AJI4" s="484"/>
      <c r="AJJ4" s="484"/>
      <c r="AJK4" s="484"/>
      <c r="AJL4" s="484"/>
      <c r="AJM4" s="484"/>
      <c r="AJN4" s="484"/>
      <c r="AJO4" s="484"/>
      <c r="AJP4" s="484"/>
      <c r="AJQ4" s="484"/>
      <c r="AJR4" s="484"/>
      <c r="AJS4" s="484"/>
      <c r="AJT4" s="484"/>
      <c r="AJU4" s="484"/>
      <c r="AJV4" s="484"/>
      <c r="AJW4" s="484"/>
      <c r="AJX4" s="484"/>
      <c r="AJY4" s="484"/>
      <c r="AJZ4" s="484"/>
      <c r="AKA4" s="484"/>
      <c r="AKB4" s="484"/>
      <c r="AKC4" s="484"/>
      <c r="AKD4" s="484"/>
      <c r="AKE4" s="484"/>
      <c r="AKF4" s="484"/>
      <c r="AKG4" s="484"/>
      <c r="AKH4" s="484"/>
      <c r="AKI4" s="484"/>
      <c r="AKJ4" s="484"/>
      <c r="AKK4" s="484"/>
      <c r="AKL4" s="484"/>
      <c r="AKM4" s="484"/>
      <c r="AKN4" s="484"/>
      <c r="AKO4" s="484"/>
      <c r="AKP4" s="484"/>
      <c r="AKQ4" s="484"/>
      <c r="AKR4" s="484"/>
      <c r="AKS4" s="484"/>
      <c r="AKT4" s="484"/>
      <c r="AKU4" s="484"/>
      <c r="AKV4" s="484"/>
      <c r="AKW4" s="484"/>
      <c r="AKX4" s="484"/>
      <c r="AKY4" s="484"/>
      <c r="AKZ4" s="484"/>
      <c r="ALA4" s="484"/>
      <c r="ALB4" s="484"/>
      <c r="ALC4" s="484"/>
      <c r="ALD4" s="484"/>
      <c r="ALE4" s="484"/>
      <c r="ALF4" s="484"/>
      <c r="ALG4" s="484"/>
      <c r="ALH4" s="484"/>
      <c r="ALI4" s="484"/>
      <c r="ALJ4" s="484"/>
      <c r="ALK4" s="484"/>
      <c r="ALL4" s="484"/>
      <c r="ALM4" s="484"/>
      <c r="ALN4" s="484"/>
      <c r="ALO4" s="484"/>
      <c r="ALP4" s="484"/>
      <c r="ALQ4" s="484"/>
      <c r="ALR4" s="484"/>
      <c r="ALS4" s="484"/>
      <c r="ALT4" s="484"/>
      <c r="ALU4" s="484"/>
      <c r="ALV4" s="484"/>
      <c r="ALW4" s="484"/>
      <c r="ALX4" s="484"/>
      <c r="ALY4" s="484"/>
      <c r="ALZ4" s="484"/>
      <c r="AMA4" s="484"/>
      <c r="AMB4" s="484"/>
      <c r="AMC4" s="484"/>
      <c r="AMD4" s="484"/>
      <c r="AME4" s="484"/>
      <c r="AMF4" s="484"/>
      <c r="AMG4" s="484"/>
      <c r="AMH4" s="484"/>
      <c r="AMI4" s="484"/>
      <c r="AMJ4" s="484"/>
      <c r="AMK4" s="484"/>
      <c r="AML4" s="484"/>
      <c r="AMM4" s="484"/>
      <c r="AMN4" s="484"/>
      <c r="AMO4" s="484"/>
      <c r="AMP4" s="484"/>
      <c r="AMQ4" s="484"/>
      <c r="AMR4" s="484"/>
      <c r="AMS4" s="484"/>
      <c r="AMT4" s="484"/>
      <c r="AMU4" s="484"/>
      <c r="AMV4" s="484"/>
      <c r="AMW4" s="484"/>
      <c r="AMX4" s="484"/>
      <c r="AMY4" s="484"/>
      <c r="AMZ4" s="484"/>
      <c r="ANA4" s="484"/>
      <c r="ANB4" s="484"/>
      <c r="ANC4" s="484"/>
      <c r="AND4" s="484"/>
      <c r="ANE4" s="484"/>
      <c r="ANF4" s="484"/>
      <c r="ANG4" s="484"/>
      <c r="ANH4" s="484"/>
      <c r="ANI4" s="484"/>
      <c r="ANJ4" s="484"/>
      <c r="ANK4" s="484"/>
      <c r="ANL4" s="484"/>
      <c r="ANM4" s="484"/>
      <c r="ANN4" s="484"/>
      <c r="ANO4" s="484"/>
      <c r="ANP4" s="484"/>
      <c r="ANQ4" s="484"/>
      <c r="ANR4" s="484"/>
      <c r="ANS4" s="484"/>
      <c r="ANT4" s="484"/>
      <c r="ANU4" s="484"/>
      <c r="ANV4" s="484"/>
      <c r="ANW4" s="484"/>
      <c r="ANX4" s="484"/>
      <c r="ANY4" s="484"/>
      <c r="ANZ4" s="484"/>
      <c r="AOA4" s="484"/>
      <c r="AOB4" s="484"/>
      <c r="AOC4" s="484"/>
      <c r="AOD4" s="484"/>
      <c r="AOE4" s="484"/>
      <c r="AOF4" s="484"/>
      <c r="AOG4" s="484"/>
      <c r="AOH4" s="484"/>
      <c r="AOI4" s="484"/>
      <c r="AOJ4" s="484"/>
      <c r="AOK4" s="484"/>
      <c r="AOL4" s="484"/>
      <c r="AOM4" s="484"/>
      <c r="AON4" s="484"/>
      <c r="AOO4" s="484"/>
      <c r="AOP4" s="484"/>
      <c r="AOQ4" s="484"/>
      <c r="AOR4" s="484"/>
      <c r="AOS4" s="484"/>
      <c r="AOT4" s="484"/>
      <c r="AOU4" s="484"/>
      <c r="AOV4" s="484"/>
      <c r="AOW4" s="484"/>
      <c r="AOX4" s="484"/>
      <c r="AOY4" s="484"/>
      <c r="AOZ4" s="484"/>
      <c r="APA4" s="484"/>
      <c r="APB4" s="484"/>
      <c r="APC4" s="484"/>
      <c r="APD4" s="484"/>
      <c r="APE4" s="484"/>
      <c r="APF4" s="484"/>
      <c r="APG4" s="484"/>
      <c r="APH4" s="484"/>
      <c r="API4" s="484"/>
      <c r="APJ4" s="484"/>
      <c r="APK4" s="484"/>
      <c r="APL4" s="484"/>
      <c r="APM4" s="484"/>
      <c r="APN4" s="484"/>
      <c r="APO4" s="484"/>
      <c r="APP4" s="484"/>
      <c r="APQ4" s="484"/>
      <c r="APR4" s="484"/>
      <c r="APS4" s="484"/>
      <c r="APT4" s="484"/>
      <c r="APU4" s="484"/>
      <c r="APV4" s="484"/>
      <c r="APW4" s="484"/>
      <c r="APX4" s="484"/>
      <c r="APY4" s="484"/>
      <c r="APZ4" s="484"/>
      <c r="AQA4" s="484"/>
      <c r="AQB4" s="484"/>
      <c r="AQC4" s="484"/>
      <c r="AQD4" s="484"/>
      <c r="AQE4" s="484"/>
      <c r="AQF4" s="484"/>
      <c r="AQG4" s="484"/>
      <c r="AQH4" s="484"/>
      <c r="AQI4" s="484"/>
      <c r="AQJ4" s="484"/>
      <c r="AQK4" s="484"/>
      <c r="AQL4" s="484"/>
      <c r="AQM4" s="484"/>
      <c r="AQN4" s="484"/>
      <c r="AQO4" s="484"/>
      <c r="AQP4" s="484"/>
      <c r="AQQ4" s="484"/>
      <c r="AQR4" s="484"/>
      <c r="AQS4" s="484"/>
      <c r="AQT4" s="484"/>
      <c r="AQU4" s="484"/>
      <c r="AQV4" s="484"/>
      <c r="AQW4" s="484"/>
      <c r="AQX4" s="484"/>
      <c r="AQY4" s="484"/>
      <c r="AQZ4" s="484"/>
      <c r="ARA4" s="484"/>
      <c r="ARB4" s="484"/>
      <c r="ARC4" s="484"/>
      <c r="ARD4" s="484"/>
      <c r="ARE4" s="484"/>
      <c r="ARF4" s="484"/>
      <c r="ARG4" s="484"/>
      <c r="ARH4" s="484"/>
      <c r="ARI4" s="484"/>
      <c r="ARJ4" s="484"/>
      <c r="ARK4" s="484"/>
      <c r="ARL4" s="484"/>
      <c r="ARM4" s="484"/>
      <c r="ARN4" s="484"/>
      <c r="ARO4" s="484"/>
      <c r="ARP4" s="484"/>
      <c r="ARQ4" s="484"/>
      <c r="ARR4" s="484"/>
      <c r="ARS4" s="484"/>
      <c r="ART4" s="484"/>
      <c r="ARU4" s="484"/>
      <c r="ARV4" s="484"/>
      <c r="ARW4" s="484"/>
      <c r="ARX4" s="484"/>
      <c r="ARY4" s="484"/>
      <c r="ARZ4" s="484"/>
      <c r="ASA4" s="484"/>
      <c r="ASB4" s="484"/>
      <c r="ASC4" s="484"/>
      <c r="ASD4" s="484"/>
      <c r="ASE4" s="484"/>
      <c r="ASF4" s="484"/>
      <c r="ASG4" s="484"/>
      <c r="ASH4" s="484"/>
      <c r="ASI4" s="484"/>
      <c r="ASJ4" s="484"/>
      <c r="ASK4" s="484"/>
      <c r="ASL4" s="484"/>
      <c r="ASM4" s="484"/>
      <c r="ASN4" s="484"/>
      <c r="ASO4" s="484"/>
      <c r="ASP4" s="484"/>
      <c r="ASQ4" s="484"/>
      <c r="ASR4" s="484"/>
      <c r="ASS4" s="484"/>
      <c r="AST4" s="484"/>
      <c r="ASU4" s="484"/>
      <c r="ASV4" s="484"/>
      <c r="ASW4" s="484"/>
      <c r="ASX4" s="484"/>
      <c r="ASY4" s="484"/>
      <c r="ASZ4" s="484"/>
      <c r="ATA4" s="484"/>
      <c r="ATB4" s="484"/>
      <c r="ATC4" s="484"/>
      <c r="ATD4" s="484"/>
      <c r="ATE4" s="484"/>
      <c r="ATF4" s="484"/>
      <c r="ATG4" s="484"/>
      <c r="ATH4" s="484"/>
      <c r="ATI4" s="484"/>
      <c r="ATJ4" s="484"/>
      <c r="ATK4" s="484"/>
      <c r="ATL4" s="484"/>
      <c r="ATM4" s="484"/>
      <c r="ATN4" s="484"/>
      <c r="ATO4" s="484"/>
      <c r="ATP4" s="484"/>
      <c r="ATQ4" s="484"/>
      <c r="ATR4" s="484"/>
      <c r="ATS4" s="484"/>
      <c r="ATT4" s="484"/>
      <c r="ATU4" s="484"/>
      <c r="ATV4" s="484"/>
      <c r="ATW4" s="484"/>
      <c r="ATX4" s="484"/>
      <c r="ATY4" s="484"/>
      <c r="ATZ4" s="484"/>
      <c r="AUA4" s="484"/>
      <c r="AUB4" s="484"/>
      <c r="AUC4" s="484"/>
      <c r="AUD4" s="484"/>
      <c r="AUE4" s="484"/>
      <c r="AUF4" s="484"/>
      <c r="AUG4" s="484"/>
      <c r="AUH4" s="484"/>
      <c r="AUI4" s="484"/>
      <c r="AUJ4" s="484"/>
      <c r="AUK4" s="484"/>
      <c r="AUL4" s="484"/>
      <c r="AUM4" s="484"/>
      <c r="AUN4" s="484"/>
      <c r="AUO4" s="484"/>
      <c r="AUP4" s="484"/>
      <c r="AUQ4" s="484"/>
      <c r="AUR4" s="484"/>
      <c r="AUS4" s="484"/>
      <c r="AUT4" s="484"/>
      <c r="AUU4" s="484"/>
      <c r="AUV4" s="484"/>
      <c r="AUW4" s="484"/>
      <c r="AUX4" s="484"/>
      <c r="AUY4" s="484"/>
      <c r="AUZ4" s="484"/>
      <c r="AVA4" s="484"/>
      <c r="AVB4" s="484"/>
      <c r="AVC4" s="484"/>
      <c r="AVD4" s="484"/>
      <c r="AVE4" s="484"/>
      <c r="AVF4" s="484"/>
      <c r="AVG4" s="484"/>
      <c r="AVH4" s="484"/>
      <c r="AVI4" s="484"/>
      <c r="AVJ4" s="484"/>
      <c r="AVK4" s="484"/>
      <c r="AVL4" s="484"/>
      <c r="AVM4" s="484"/>
      <c r="AVN4" s="484"/>
      <c r="AVO4" s="484"/>
      <c r="AVP4" s="484"/>
      <c r="AVQ4" s="484"/>
      <c r="AVR4" s="484"/>
      <c r="AVS4" s="484"/>
      <c r="AVT4" s="484"/>
      <c r="AVU4" s="484"/>
      <c r="AVV4" s="484"/>
      <c r="AVW4" s="484"/>
      <c r="AVX4" s="484"/>
      <c r="AVY4" s="484"/>
      <c r="AVZ4" s="484"/>
      <c r="AWA4" s="484"/>
      <c r="AWB4" s="484"/>
      <c r="AWC4" s="484"/>
      <c r="AWD4" s="484"/>
      <c r="AWE4" s="484"/>
      <c r="AWF4" s="484"/>
      <c r="AWG4" s="484"/>
      <c r="AWH4" s="484"/>
      <c r="AWI4" s="484"/>
      <c r="AWJ4" s="484"/>
      <c r="AWK4" s="484"/>
      <c r="AWL4" s="484"/>
      <c r="AWM4" s="484"/>
      <c r="AWN4" s="484"/>
      <c r="AWO4" s="484"/>
      <c r="AWP4" s="484"/>
      <c r="AWQ4" s="484"/>
      <c r="AWR4" s="484"/>
      <c r="AWS4" s="484"/>
      <c r="AWT4" s="484"/>
      <c r="AWU4" s="484"/>
      <c r="AWV4" s="484"/>
      <c r="AWW4" s="484"/>
      <c r="AWX4" s="484"/>
      <c r="AWY4" s="484"/>
      <c r="AWZ4" s="484"/>
      <c r="AXA4" s="484"/>
      <c r="AXB4" s="484"/>
      <c r="AXC4" s="484"/>
      <c r="AXD4" s="484"/>
      <c r="AXE4" s="484"/>
      <c r="AXF4" s="484"/>
      <c r="AXG4" s="484"/>
      <c r="AXH4" s="484"/>
      <c r="AXI4" s="484"/>
      <c r="AXJ4" s="484"/>
      <c r="AXK4" s="484"/>
      <c r="AXL4" s="484"/>
      <c r="AXM4" s="484"/>
      <c r="AXN4" s="484"/>
      <c r="AXO4" s="484"/>
      <c r="AXP4" s="484"/>
      <c r="AXQ4" s="484"/>
      <c r="AXR4" s="484"/>
      <c r="AXS4" s="484"/>
      <c r="AXT4" s="484"/>
      <c r="AXU4" s="484"/>
      <c r="AXV4" s="484"/>
      <c r="AXW4" s="484"/>
      <c r="AXX4" s="484"/>
      <c r="AXY4" s="484"/>
      <c r="AXZ4" s="484"/>
      <c r="AYA4" s="484"/>
      <c r="AYB4" s="484"/>
      <c r="AYC4" s="484"/>
      <c r="AYD4" s="484"/>
      <c r="AYE4" s="484"/>
      <c r="AYF4" s="484"/>
      <c r="AYG4" s="484"/>
      <c r="AYH4" s="484"/>
      <c r="AYI4" s="484"/>
      <c r="AYJ4" s="484"/>
      <c r="AYK4" s="484"/>
      <c r="AYL4" s="484"/>
      <c r="AYM4" s="484"/>
      <c r="AYN4" s="484"/>
      <c r="AYO4" s="484"/>
      <c r="AYP4" s="484"/>
      <c r="AYQ4" s="484"/>
      <c r="AYR4" s="484"/>
      <c r="AYS4" s="484"/>
      <c r="AYT4" s="484"/>
      <c r="AYU4" s="484"/>
      <c r="AYV4" s="484"/>
      <c r="AYW4" s="484"/>
      <c r="AYX4" s="484"/>
      <c r="AYY4" s="484"/>
      <c r="AYZ4" s="484"/>
      <c r="AZA4" s="484"/>
      <c r="AZB4" s="484"/>
      <c r="AZC4" s="484"/>
      <c r="AZD4" s="484"/>
      <c r="AZE4" s="484"/>
      <c r="AZF4" s="484"/>
      <c r="AZG4" s="484"/>
      <c r="AZH4" s="484"/>
      <c r="AZI4" s="484"/>
      <c r="AZJ4" s="484"/>
      <c r="AZK4" s="484"/>
      <c r="AZL4" s="484"/>
      <c r="AZM4" s="484"/>
      <c r="AZN4" s="484"/>
      <c r="AZO4" s="484"/>
      <c r="AZP4" s="484"/>
      <c r="AZQ4" s="484"/>
      <c r="AZR4" s="484"/>
      <c r="AZS4" s="484"/>
      <c r="AZT4" s="484"/>
      <c r="AZU4" s="484"/>
      <c r="AZV4" s="484"/>
      <c r="AZW4" s="484"/>
      <c r="AZX4" s="484"/>
      <c r="AZY4" s="484"/>
      <c r="AZZ4" s="484"/>
      <c r="BAA4" s="484"/>
      <c r="BAB4" s="484"/>
      <c r="BAC4" s="484"/>
      <c r="BAD4" s="484"/>
      <c r="BAE4" s="484"/>
      <c r="BAF4" s="484"/>
      <c r="BAG4" s="484"/>
      <c r="BAH4" s="484"/>
      <c r="BAI4" s="484"/>
      <c r="BAJ4" s="484"/>
      <c r="BAK4" s="484"/>
      <c r="BAL4" s="484"/>
      <c r="BAM4" s="484"/>
      <c r="BAN4" s="484"/>
      <c r="BAO4" s="484"/>
      <c r="BAP4" s="484"/>
      <c r="BAQ4" s="484"/>
      <c r="BAR4" s="484"/>
      <c r="BAS4" s="484"/>
      <c r="BAT4" s="484"/>
      <c r="BAU4" s="484"/>
      <c r="BAV4" s="484"/>
      <c r="BAW4" s="484"/>
      <c r="BAX4" s="484"/>
      <c r="BAY4" s="484"/>
      <c r="BAZ4" s="484"/>
      <c r="BBA4" s="484"/>
      <c r="BBB4" s="484"/>
      <c r="BBC4" s="484"/>
      <c r="BBD4" s="484"/>
      <c r="BBE4" s="484"/>
      <c r="BBF4" s="484"/>
      <c r="BBG4" s="484"/>
      <c r="BBH4" s="484"/>
      <c r="BBI4" s="484"/>
      <c r="BBJ4" s="484"/>
      <c r="BBK4" s="484"/>
      <c r="BBL4" s="484"/>
      <c r="BBM4" s="484"/>
      <c r="BBN4" s="484"/>
      <c r="BBO4" s="484"/>
      <c r="BBP4" s="484"/>
      <c r="BBQ4" s="484"/>
      <c r="BBR4" s="484"/>
      <c r="BBS4" s="484"/>
      <c r="BBT4" s="484"/>
      <c r="BBU4" s="484"/>
      <c r="BBV4" s="484"/>
      <c r="BBW4" s="484"/>
      <c r="BBX4" s="484"/>
      <c r="BBY4" s="484"/>
      <c r="BBZ4" s="484"/>
      <c r="BCA4" s="484"/>
      <c r="BCB4" s="484"/>
      <c r="BCC4" s="484"/>
      <c r="BCD4" s="484"/>
      <c r="BCE4" s="484"/>
      <c r="BCF4" s="484"/>
      <c r="BCG4" s="484"/>
      <c r="BCH4" s="484"/>
      <c r="BCI4" s="484"/>
      <c r="BCJ4" s="484"/>
      <c r="BCK4" s="484"/>
      <c r="BCL4" s="484"/>
      <c r="BCM4" s="484"/>
      <c r="BCN4" s="484"/>
      <c r="BCO4" s="484"/>
      <c r="BCP4" s="484"/>
      <c r="BCQ4" s="484"/>
      <c r="BCR4" s="484"/>
      <c r="BCS4" s="484"/>
      <c r="BCT4" s="484"/>
      <c r="BCU4" s="484"/>
      <c r="BCV4" s="484"/>
      <c r="BCW4" s="484"/>
      <c r="BCX4" s="484"/>
      <c r="BCY4" s="484"/>
      <c r="BCZ4" s="484"/>
      <c r="BDA4" s="484"/>
      <c r="BDB4" s="484"/>
      <c r="BDC4" s="484"/>
      <c r="BDD4" s="484"/>
      <c r="BDE4" s="484"/>
      <c r="BDF4" s="484"/>
      <c r="BDG4" s="484"/>
      <c r="BDH4" s="484"/>
      <c r="BDI4" s="484"/>
      <c r="BDJ4" s="484"/>
      <c r="BDK4" s="484"/>
      <c r="BDL4" s="484"/>
      <c r="BDM4" s="484"/>
      <c r="BDN4" s="484"/>
      <c r="BDO4" s="484"/>
      <c r="BDP4" s="484"/>
      <c r="BDQ4" s="484"/>
      <c r="BDR4" s="484"/>
      <c r="BDS4" s="484"/>
      <c r="BDT4" s="484"/>
      <c r="BDU4" s="484"/>
      <c r="BDV4" s="484"/>
      <c r="BDW4" s="484"/>
      <c r="BDX4" s="484"/>
      <c r="BDY4" s="484"/>
      <c r="BDZ4" s="484"/>
      <c r="BEA4" s="484"/>
      <c r="BEB4" s="484"/>
      <c r="BEC4" s="484"/>
      <c r="BED4" s="484"/>
      <c r="BEE4" s="484"/>
      <c r="BEF4" s="484"/>
      <c r="BEG4" s="484"/>
      <c r="BEH4" s="484"/>
      <c r="BEI4" s="484"/>
      <c r="BEJ4" s="484"/>
      <c r="BEK4" s="484"/>
      <c r="BEL4" s="484"/>
      <c r="BEM4" s="484"/>
      <c r="BEN4" s="484"/>
      <c r="BEO4" s="484"/>
      <c r="BEP4" s="484"/>
      <c r="BEQ4" s="484"/>
      <c r="BER4" s="484"/>
      <c r="BES4" s="484"/>
      <c r="BET4" s="484"/>
      <c r="BEU4" s="484"/>
      <c r="BEV4" s="484"/>
      <c r="BEW4" s="484"/>
      <c r="BEX4" s="484"/>
      <c r="BEY4" s="484"/>
      <c r="BEZ4" s="484"/>
      <c r="BFA4" s="484"/>
      <c r="BFB4" s="484"/>
      <c r="BFC4" s="484"/>
      <c r="BFD4" s="484"/>
      <c r="BFE4" s="484"/>
      <c r="BFF4" s="484"/>
      <c r="BFG4" s="484"/>
      <c r="BFH4" s="484"/>
      <c r="BFI4" s="484"/>
      <c r="BFJ4" s="484"/>
      <c r="BFK4" s="484"/>
      <c r="BFL4" s="484"/>
      <c r="BFM4" s="484"/>
      <c r="BFN4" s="484"/>
      <c r="BFO4" s="484"/>
      <c r="BFP4" s="484"/>
      <c r="BFQ4" s="484"/>
      <c r="BFR4" s="484"/>
      <c r="BFS4" s="484"/>
      <c r="BFT4" s="484"/>
      <c r="BFU4" s="484"/>
      <c r="BFV4" s="484"/>
      <c r="BFW4" s="484"/>
      <c r="BFX4" s="484"/>
      <c r="BFY4" s="484"/>
      <c r="BFZ4" s="484"/>
      <c r="BGA4" s="484"/>
      <c r="BGB4" s="484"/>
      <c r="BGC4" s="484"/>
      <c r="BGD4" s="484"/>
      <c r="BGE4" s="484"/>
      <c r="BGF4" s="484"/>
      <c r="BGG4" s="484"/>
      <c r="BGH4" s="484"/>
      <c r="BGI4" s="484"/>
      <c r="BGJ4" s="484"/>
      <c r="BGK4" s="484"/>
      <c r="BGL4" s="484"/>
      <c r="BGM4" s="484"/>
      <c r="BGN4" s="484"/>
      <c r="BGO4" s="484"/>
      <c r="BGP4" s="484"/>
      <c r="BGQ4" s="484"/>
      <c r="BGR4" s="484"/>
      <c r="BGS4" s="484"/>
      <c r="BGT4" s="484"/>
      <c r="BGU4" s="484"/>
      <c r="BGV4" s="484"/>
      <c r="BGW4" s="484"/>
      <c r="BGX4" s="484"/>
      <c r="BGY4" s="484"/>
      <c r="BGZ4" s="484"/>
      <c r="BHA4" s="484"/>
      <c r="BHB4" s="484"/>
      <c r="BHC4" s="484"/>
      <c r="BHD4" s="484"/>
      <c r="BHE4" s="484"/>
      <c r="BHF4" s="484"/>
      <c r="BHG4" s="484"/>
      <c r="BHH4" s="484"/>
      <c r="BHI4" s="484"/>
      <c r="BHJ4" s="484"/>
      <c r="BHK4" s="484"/>
      <c r="BHL4" s="484"/>
      <c r="BHM4" s="484"/>
      <c r="BHN4" s="484"/>
      <c r="BHO4" s="484"/>
      <c r="BHP4" s="484"/>
      <c r="BHQ4" s="484"/>
      <c r="BHR4" s="484"/>
      <c r="BHS4" s="484"/>
      <c r="BHT4" s="484"/>
      <c r="BHU4" s="484"/>
      <c r="BHV4" s="484"/>
      <c r="BHW4" s="484"/>
      <c r="BHX4" s="484"/>
      <c r="BHY4" s="484"/>
      <c r="BHZ4" s="484"/>
      <c r="BIA4" s="484"/>
      <c r="BIB4" s="484"/>
      <c r="BIC4" s="484"/>
      <c r="BID4" s="484"/>
      <c r="BIE4" s="484"/>
      <c r="BIF4" s="484"/>
      <c r="BIG4" s="484"/>
      <c r="BIH4" s="484"/>
      <c r="BII4" s="484"/>
      <c r="BIJ4" s="484"/>
      <c r="BIK4" s="484"/>
      <c r="BIL4" s="484"/>
      <c r="BIM4" s="484"/>
      <c r="BIN4" s="484"/>
      <c r="BIO4" s="484"/>
      <c r="BIP4" s="484"/>
      <c r="BIQ4" s="484"/>
      <c r="BIR4" s="484"/>
      <c r="BIS4" s="484"/>
      <c r="BIT4" s="484"/>
      <c r="BIU4" s="484"/>
      <c r="BIV4" s="484"/>
      <c r="BIW4" s="484"/>
      <c r="BIX4" s="484"/>
      <c r="BIY4" s="484"/>
      <c r="BIZ4" s="484"/>
      <c r="BJA4" s="484"/>
      <c r="BJB4" s="484"/>
      <c r="BJC4" s="484"/>
      <c r="BJD4" s="484"/>
      <c r="BJE4" s="484"/>
      <c r="BJF4" s="484"/>
      <c r="BJG4" s="484"/>
      <c r="BJH4" s="484"/>
      <c r="BJI4" s="484"/>
      <c r="BJJ4" s="484"/>
      <c r="BJK4" s="484"/>
      <c r="BJL4" s="484"/>
      <c r="BJM4" s="484"/>
      <c r="BJN4" s="484"/>
      <c r="BJO4" s="484"/>
      <c r="BJP4" s="484"/>
      <c r="BJQ4" s="484"/>
      <c r="BJR4" s="484"/>
      <c r="BJS4" s="484"/>
      <c r="BJT4" s="484"/>
      <c r="BJU4" s="484"/>
      <c r="BJV4" s="484"/>
      <c r="BJW4" s="484"/>
      <c r="BJX4" s="484"/>
      <c r="BJY4" s="484"/>
      <c r="BJZ4" s="484"/>
      <c r="BKA4" s="484"/>
      <c r="BKB4" s="484"/>
      <c r="BKC4" s="484"/>
      <c r="BKD4" s="484"/>
      <c r="BKE4" s="484"/>
      <c r="BKF4" s="484"/>
      <c r="BKG4" s="484"/>
      <c r="BKH4" s="484"/>
      <c r="BKI4" s="484"/>
      <c r="BKJ4" s="484"/>
      <c r="BKK4" s="484"/>
      <c r="BKL4" s="484"/>
      <c r="BKM4" s="484"/>
      <c r="BKN4" s="484"/>
      <c r="BKO4" s="484"/>
      <c r="BKP4" s="484"/>
      <c r="BKQ4" s="484"/>
      <c r="BKR4" s="484"/>
      <c r="BKS4" s="484"/>
      <c r="BKT4" s="484"/>
      <c r="BKU4" s="484"/>
      <c r="BKV4" s="484"/>
      <c r="BKW4" s="484"/>
      <c r="BKX4" s="484"/>
      <c r="BKY4" s="484"/>
      <c r="BKZ4" s="484"/>
      <c r="BLA4" s="484"/>
      <c r="BLB4" s="484"/>
      <c r="BLC4" s="484"/>
      <c r="BLD4" s="484"/>
      <c r="BLE4" s="484"/>
      <c r="BLF4" s="484"/>
      <c r="BLG4" s="484"/>
      <c r="BLH4" s="484"/>
      <c r="BLI4" s="484"/>
      <c r="BLJ4" s="484"/>
      <c r="BLK4" s="484"/>
      <c r="BLL4" s="484"/>
      <c r="BLM4" s="484"/>
      <c r="BLN4" s="484"/>
      <c r="BLO4" s="484"/>
      <c r="BLP4" s="484"/>
      <c r="BLQ4" s="484"/>
      <c r="BLR4" s="484"/>
      <c r="BLS4" s="484"/>
      <c r="BLT4" s="484"/>
      <c r="BLU4" s="484"/>
      <c r="BLV4" s="484"/>
      <c r="BLW4" s="484"/>
      <c r="BLX4" s="484"/>
      <c r="BLY4" s="484"/>
      <c r="BLZ4" s="484"/>
      <c r="BMA4" s="484"/>
      <c r="BMB4" s="484"/>
      <c r="BMC4" s="484"/>
      <c r="BMD4" s="484"/>
      <c r="BME4" s="484"/>
      <c r="BMF4" s="484"/>
      <c r="BMG4" s="484"/>
      <c r="BMH4" s="484"/>
      <c r="BMI4" s="484"/>
      <c r="BMJ4" s="484"/>
      <c r="BMK4" s="484"/>
      <c r="BML4" s="484"/>
      <c r="BMM4" s="484"/>
      <c r="BMN4" s="484"/>
      <c r="BMO4" s="484"/>
      <c r="BMP4" s="484"/>
      <c r="BMQ4" s="484"/>
      <c r="BMR4" s="484"/>
      <c r="BMS4" s="484"/>
      <c r="BMT4" s="484"/>
      <c r="BMU4" s="484"/>
      <c r="BMV4" s="484"/>
      <c r="BMW4" s="484"/>
      <c r="BMX4" s="484"/>
      <c r="BMY4" s="484"/>
      <c r="BMZ4" s="484"/>
      <c r="BNA4" s="484"/>
      <c r="BNB4" s="484"/>
      <c r="BNC4" s="484"/>
      <c r="BND4" s="484"/>
      <c r="BNE4" s="484"/>
      <c r="BNF4" s="484"/>
      <c r="BNG4" s="484"/>
      <c r="BNH4" s="484"/>
      <c r="BNI4" s="484"/>
      <c r="BNJ4" s="484"/>
      <c r="BNK4" s="484"/>
      <c r="BNL4" s="484"/>
      <c r="BNM4" s="484"/>
      <c r="BNN4" s="484"/>
      <c r="BNO4" s="484"/>
      <c r="BNP4" s="484"/>
      <c r="BNQ4" s="484"/>
      <c r="BNR4" s="484"/>
      <c r="BNS4" s="484"/>
      <c r="BNT4" s="484"/>
      <c r="BNU4" s="484"/>
      <c r="BNV4" s="484"/>
      <c r="BNW4" s="484"/>
      <c r="BNX4" s="484"/>
      <c r="BNY4" s="484"/>
      <c r="BNZ4" s="484"/>
      <c r="BOA4" s="484"/>
      <c r="BOB4" s="484"/>
      <c r="BOC4" s="484"/>
      <c r="BOD4" s="484"/>
      <c r="BOE4" s="484"/>
      <c r="BOF4" s="484"/>
      <c r="BOG4" s="484"/>
      <c r="BOH4" s="484"/>
      <c r="BOI4" s="484"/>
      <c r="BOJ4" s="484"/>
      <c r="BOK4" s="484"/>
      <c r="BOL4" s="484"/>
      <c r="BOM4" s="484"/>
      <c r="BON4" s="484"/>
      <c r="BOO4" s="484"/>
      <c r="BOP4" s="484"/>
      <c r="BOQ4" s="484"/>
      <c r="BOR4" s="484"/>
      <c r="BOS4" s="484"/>
      <c r="BOT4" s="484"/>
      <c r="BOU4" s="484"/>
      <c r="BOV4" s="484"/>
      <c r="BOW4" s="484"/>
      <c r="BOX4" s="484"/>
      <c r="BOY4" s="484"/>
      <c r="BOZ4" s="484"/>
      <c r="BPA4" s="484"/>
      <c r="BPB4" s="484"/>
      <c r="BPC4" s="484"/>
      <c r="BPD4" s="484"/>
      <c r="BPE4" s="484"/>
      <c r="BPF4" s="484"/>
      <c r="BPG4" s="484"/>
      <c r="BPH4" s="484"/>
      <c r="BPI4" s="484"/>
      <c r="BPJ4" s="484"/>
      <c r="BPK4" s="484"/>
      <c r="BPL4" s="484"/>
      <c r="BPM4" s="484"/>
      <c r="BPN4" s="484"/>
      <c r="BPO4" s="484"/>
      <c r="BPP4" s="484"/>
      <c r="BPQ4" s="484"/>
      <c r="BPR4" s="484"/>
      <c r="BPS4" s="484"/>
      <c r="BPT4" s="484"/>
      <c r="BPU4" s="484"/>
      <c r="BPV4" s="484"/>
      <c r="BPW4" s="484"/>
      <c r="BPX4" s="484"/>
      <c r="BPY4" s="484"/>
      <c r="BPZ4" s="484"/>
      <c r="BQA4" s="484"/>
      <c r="BQB4" s="484"/>
      <c r="BQC4" s="484"/>
      <c r="BQD4" s="484"/>
      <c r="BQE4" s="484"/>
      <c r="BQF4" s="484"/>
      <c r="BQG4" s="484"/>
      <c r="BQH4" s="484"/>
      <c r="BQI4" s="484"/>
      <c r="BQJ4" s="484"/>
      <c r="BQK4" s="484"/>
      <c r="BQL4" s="484"/>
      <c r="BQM4" s="484"/>
      <c r="BQN4" s="484"/>
      <c r="BQO4" s="484"/>
      <c r="BQP4" s="484"/>
      <c r="BQQ4" s="484"/>
      <c r="BQR4" s="484"/>
      <c r="BQS4" s="484"/>
      <c r="BQT4" s="484"/>
      <c r="BQU4" s="484"/>
      <c r="BQV4" s="484"/>
      <c r="BQW4" s="484"/>
      <c r="BQX4" s="484"/>
      <c r="BQY4" s="484"/>
      <c r="BQZ4" s="484"/>
      <c r="BRA4" s="484"/>
      <c r="BRB4" s="484"/>
      <c r="BRC4" s="484"/>
      <c r="BRD4" s="484"/>
      <c r="BRE4" s="484"/>
      <c r="BRF4" s="484"/>
      <c r="BRG4" s="484"/>
      <c r="BRH4" s="484"/>
      <c r="BRI4" s="484"/>
      <c r="BRJ4" s="484"/>
      <c r="BRK4" s="484"/>
      <c r="BRL4" s="484"/>
      <c r="BRM4" s="484"/>
      <c r="BRN4" s="484"/>
      <c r="BRO4" s="484"/>
      <c r="BRP4" s="484"/>
      <c r="BRQ4" s="484"/>
      <c r="BRR4" s="484"/>
      <c r="BRS4" s="484"/>
      <c r="BRT4" s="484"/>
      <c r="BRU4" s="484"/>
      <c r="BRV4" s="484"/>
      <c r="BRW4" s="484"/>
      <c r="BRX4" s="484"/>
      <c r="BRY4" s="484"/>
      <c r="BRZ4" s="484"/>
      <c r="BSA4" s="484"/>
      <c r="BSB4" s="484"/>
      <c r="BSC4" s="484"/>
      <c r="BSD4" s="484"/>
      <c r="BSE4" s="484"/>
      <c r="BSF4" s="484"/>
      <c r="BSG4" s="484"/>
      <c r="BSH4" s="484"/>
      <c r="BSI4" s="484"/>
      <c r="BSJ4" s="484"/>
      <c r="BSK4" s="484"/>
      <c r="BSL4" s="484"/>
      <c r="BSM4" s="484"/>
      <c r="BSN4" s="484"/>
      <c r="BSO4" s="484"/>
      <c r="BSP4" s="484"/>
      <c r="BSQ4" s="484"/>
      <c r="BSR4" s="484"/>
      <c r="BSS4" s="484"/>
      <c r="BST4" s="484"/>
      <c r="BSU4" s="484"/>
      <c r="BSV4" s="484"/>
      <c r="BSW4" s="484"/>
      <c r="BSX4" s="484"/>
      <c r="BSY4" s="484"/>
      <c r="BSZ4" s="484"/>
      <c r="BTA4" s="484"/>
      <c r="BTB4" s="484"/>
      <c r="BTC4" s="484"/>
      <c r="BTD4" s="484"/>
      <c r="BTE4" s="484"/>
      <c r="BTF4" s="484"/>
      <c r="BTG4" s="484"/>
      <c r="BTH4" s="484"/>
      <c r="BTI4" s="484"/>
      <c r="BTJ4" s="484"/>
      <c r="BTK4" s="484"/>
      <c r="BTL4" s="484"/>
      <c r="BTM4" s="484"/>
      <c r="BTN4" s="484"/>
      <c r="BTO4" s="484"/>
      <c r="BTP4" s="484"/>
      <c r="BTQ4" s="484"/>
      <c r="BTR4" s="484"/>
      <c r="BTS4" s="484"/>
      <c r="BTT4" s="484"/>
      <c r="BTU4" s="484"/>
      <c r="BTV4" s="484"/>
      <c r="BTW4" s="484"/>
      <c r="BTX4" s="484"/>
      <c r="BTY4" s="484"/>
      <c r="BTZ4" s="484"/>
      <c r="BUA4" s="484"/>
      <c r="BUB4" s="484"/>
      <c r="BUC4" s="484"/>
      <c r="BUD4" s="484"/>
      <c r="BUE4" s="484"/>
      <c r="BUF4" s="484"/>
      <c r="BUG4" s="484"/>
      <c r="BUH4" s="484"/>
      <c r="BUI4" s="484"/>
      <c r="BUJ4" s="484"/>
      <c r="BUK4" s="484"/>
      <c r="BUL4" s="484"/>
      <c r="BUM4" s="484"/>
      <c r="BUN4" s="484"/>
      <c r="BUO4" s="484"/>
      <c r="BUP4" s="484"/>
      <c r="BUQ4" s="484"/>
      <c r="BUR4" s="484"/>
      <c r="BUS4" s="484"/>
      <c r="BUT4" s="484"/>
      <c r="BUU4" s="484"/>
      <c r="BUV4" s="484"/>
      <c r="BUW4" s="484"/>
      <c r="BUX4" s="484"/>
      <c r="BUY4" s="484"/>
      <c r="BUZ4" s="484"/>
      <c r="BVA4" s="484"/>
      <c r="BVB4" s="484"/>
      <c r="BVC4" s="484"/>
      <c r="BVD4" s="484"/>
      <c r="BVE4" s="484"/>
      <c r="BVF4" s="484"/>
      <c r="BVG4" s="484"/>
      <c r="BVH4" s="484"/>
      <c r="BVI4" s="484"/>
      <c r="BVJ4" s="484"/>
      <c r="BVK4" s="484"/>
      <c r="BVL4" s="484"/>
      <c r="BVM4" s="484"/>
      <c r="BVN4" s="484"/>
      <c r="BVO4" s="484"/>
      <c r="BVP4" s="484"/>
      <c r="BVQ4" s="484"/>
      <c r="BVR4" s="484"/>
      <c r="BVS4" s="484"/>
      <c r="BVT4" s="484"/>
      <c r="BVU4" s="484"/>
      <c r="BVV4" s="484"/>
      <c r="BVW4" s="484"/>
      <c r="BVX4" s="484"/>
      <c r="BVY4" s="484"/>
      <c r="BVZ4" s="484"/>
      <c r="BWA4" s="484"/>
      <c r="BWB4" s="484"/>
      <c r="BWC4" s="484"/>
      <c r="BWD4" s="484"/>
      <c r="BWE4" s="484"/>
      <c r="BWF4" s="484"/>
      <c r="BWG4" s="484"/>
      <c r="BWH4" s="484"/>
      <c r="BWI4" s="484"/>
      <c r="BWJ4" s="484"/>
      <c r="BWK4" s="484"/>
      <c r="BWL4" s="484"/>
      <c r="BWM4" s="484"/>
      <c r="BWN4" s="484"/>
      <c r="BWO4" s="484"/>
      <c r="BWP4" s="484"/>
      <c r="BWQ4" s="484"/>
      <c r="BWR4" s="484"/>
      <c r="BWS4" s="484"/>
      <c r="BWT4" s="484"/>
      <c r="BWU4" s="484"/>
      <c r="BWV4" s="484"/>
      <c r="BWW4" s="484"/>
      <c r="BWX4" s="484"/>
      <c r="BWY4" s="484"/>
      <c r="BWZ4" s="484"/>
      <c r="BXA4" s="484"/>
      <c r="BXB4" s="484"/>
      <c r="BXC4" s="484"/>
      <c r="BXD4" s="484"/>
      <c r="BXE4" s="484"/>
      <c r="BXF4" s="484"/>
      <c r="BXG4" s="484"/>
      <c r="BXH4" s="484"/>
      <c r="BXI4" s="484"/>
      <c r="BXJ4" s="484"/>
      <c r="BXK4" s="484"/>
      <c r="BXL4" s="484"/>
      <c r="BXM4" s="484"/>
      <c r="BXN4" s="484"/>
      <c r="BXO4" s="484"/>
      <c r="BXP4" s="484"/>
      <c r="BXQ4" s="484"/>
      <c r="BXR4" s="484"/>
      <c r="BXS4" s="484"/>
      <c r="BXT4" s="484"/>
      <c r="BXU4" s="484"/>
      <c r="BXV4" s="484"/>
      <c r="BXW4" s="484"/>
      <c r="BXX4" s="484"/>
      <c r="BXY4" s="484"/>
      <c r="BXZ4" s="484"/>
      <c r="BYA4" s="484"/>
      <c r="BYB4" s="484"/>
      <c r="BYC4" s="484"/>
      <c r="BYD4" s="484"/>
      <c r="BYE4" s="484"/>
      <c r="BYF4" s="484"/>
      <c r="BYG4" s="484"/>
      <c r="BYH4" s="484"/>
      <c r="BYI4" s="484"/>
      <c r="BYJ4" s="484"/>
      <c r="BYK4" s="484"/>
      <c r="BYL4" s="484"/>
      <c r="BYM4" s="484"/>
      <c r="BYN4" s="484"/>
      <c r="BYO4" s="484"/>
      <c r="BYP4" s="484"/>
      <c r="BYQ4" s="484"/>
      <c r="BYR4" s="484"/>
      <c r="BYS4" s="484"/>
      <c r="BYT4" s="484"/>
      <c r="BYU4" s="484"/>
      <c r="BYV4" s="484"/>
      <c r="BYW4" s="484"/>
      <c r="BYX4" s="484"/>
      <c r="BYY4" s="484"/>
      <c r="BYZ4" s="484"/>
      <c r="BZA4" s="484"/>
      <c r="BZB4" s="484"/>
      <c r="BZC4" s="484"/>
      <c r="BZD4" s="484"/>
      <c r="BZE4" s="484"/>
      <c r="BZF4" s="484"/>
      <c r="BZG4" s="484"/>
      <c r="BZH4" s="484"/>
      <c r="BZI4" s="484"/>
      <c r="BZJ4" s="484"/>
      <c r="BZK4" s="484"/>
      <c r="BZL4" s="484"/>
      <c r="BZM4" s="484"/>
      <c r="BZN4" s="484"/>
      <c r="BZO4" s="484"/>
      <c r="BZP4" s="484"/>
      <c r="BZQ4" s="484"/>
      <c r="BZR4" s="484"/>
      <c r="BZS4" s="484"/>
      <c r="BZT4" s="484"/>
      <c r="BZU4" s="484"/>
      <c r="BZV4" s="484"/>
      <c r="BZW4" s="484"/>
      <c r="BZX4" s="484"/>
      <c r="BZY4" s="484"/>
      <c r="BZZ4" s="484"/>
      <c r="CAA4" s="484"/>
      <c r="CAB4" s="484"/>
      <c r="CAC4" s="484"/>
      <c r="CAD4" s="484"/>
      <c r="CAE4" s="484"/>
      <c r="CAF4" s="484"/>
      <c r="CAG4" s="484"/>
      <c r="CAH4" s="484"/>
      <c r="CAI4" s="484"/>
      <c r="CAJ4" s="484"/>
      <c r="CAK4" s="484"/>
      <c r="CAL4" s="484"/>
      <c r="CAM4" s="484"/>
      <c r="CAN4" s="484"/>
      <c r="CAO4" s="484"/>
      <c r="CAP4" s="484"/>
      <c r="CAQ4" s="484"/>
      <c r="CAR4" s="484"/>
      <c r="CAS4" s="484"/>
      <c r="CAT4" s="484"/>
      <c r="CAU4" s="484"/>
      <c r="CAV4" s="484"/>
      <c r="CAW4" s="484"/>
      <c r="CAX4" s="484"/>
      <c r="CAY4" s="484"/>
      <c r="CAZ4" s="484"/>
      <c r="CBA4" s="484"/>
      <c r="CBB4" s="484"/>
      <c r="CBC4" s="484"/>
      <c r="CBD4" s="484"/>
      <c r="CBE4" s="484"/>
      <c r="CBF4" s="484"/>
      <c r="CBG4" s="484"/>
      <c r="CBH4" s="484"/>
      <c r="CBI4" s="484"/>
      <c r="CBJ4" s="484"/>
      <c r="CBK4" s="484"/>
      <c r="CBL4" s="484"/>
      <c r="CBM4" s="484"/>
      <c r="CBN4" s="484"/>
      <c r="CBO4" s="484"/>
      <c r="CBP4" s="484"/>
      <c r="CBQ4" s="484"/>
      <c r="CBR4" s="484"/>
      <c r="CBS4" s="484"/>
      <c r="CBT4" s="484"/>
      <c r="CBU4" s="484"/>
      <c r="CBV4" s="484"/>
      <c r="CBW4" s="484"/>
      <c r="CBX4" s="484"/>
      <c r="CBY4" s="484"/>
      <c r="CBZ4" s="484"/>
      <c r="CCA4" s="484"/>
      <c r="CCB4" s="484"/>
      <c r="CCC4" s="484"/>
      <c r="CCD4" s="484"/>
      <c r="CCE4" s="484"/>
      <c r="CCF4" s="484"/>
      <c r="CCG4" s="484"/>
      <c r="CCH4" s="484"/>
      <c r="CCI4" s="484"/>
      <c r="CCJ4" s="484"/>
      <c r="CCK4" s="484"/>
      <c r="CCL4" s="484"/>
      <c r="CCM4" s="484"/>
      <c r="CCN4" s="484"/>
      <c r="CCO4" s="484"/>
      <c r="CCP4" s="484"/>
      <c r="CCQ4" s="484"/>
      <c r="CCR4" s="484"/>
      <c r="CCS4" s="484"/>
      <c r="CCT4" s="484"/>
      <c r="CCU4" s="484"/>
      <c r="CCV4" s="484"/>
      <c r="CCW4" s="484"/>
      <c r="CCX4" s="484"/>
      <c r="CCY4" s="484"/>
      <c r="CCZ4" s="484"/>
      <c r="CDA4" s="484"/>
      <c r="CDB4" s="484"/>
      <c r="CDC4" s="484"/>
      <c r="CDD4" s="484"/>
      <c r="CDE4" s="484"/>
      <c r="CDF4" s="484"/>
      <c r="CDG4" s="484"/>
      <c r="CDH4" s="484"/>
      <c r="CDI4" s="484"/>
      <c r="CDJ4" s="484"/>
      <c r="CDK4" s="484"/>
      <c r="CDL4" s="484"/>
      <c r="CDM4" s="484"/>
      <c r="CDN4" s="484"/>
      <c r="CDO4" s="484"/>
      <c r="CDP4" s="484"/>
      <c r="CDQ4" s="484"/>
      <c r="CDR4" s="484"/>
      <c r="CDS4" s="484"/>
      <c r="CDT4" s="484"/>
      <c r="CDU4" s="484"/>
      <c r="CDV4" s="484"/>
      <c r="CDW4" s="484"/>
      <c r="CDX4" s="484"/>
      <c r="CDY4" s="484"/>
      <c r="CDZ4" s="484"/>
      <c r="CEA4" s="484"/>
      <c r="CEB4" s="484"/>
      <c r="CEC4" s="484"/>
      <c r="CED4" s="484"/>
      <c r="CEE4" s="484"/>
      <c r="CEF4" s="484"/>
      <c r="CEG4" s="484"/>
      <c r="CEH4" s="484"/>
      <c r="CEI4" s="484"/>
      <c r="CEJ4" s="484"/>
      <c r="CEK4" s="484"/>
      <c r="CEL4" s="484"/>
      <c r="CEM4" s="484"/>
      <c r="CEN4" s="484"/>
      <c r="CEO4" s="484"/>
      <c r="CEP4" s="484"/>
      <c r="CEQ4" s="484"/>
      <c r="CER4" s="484"/>
      <c r="CES4" s="484"/>
      <c r="CET4" s="484"/>
      <c r="CEU4" s="484"/>
      <c r="CEV4" s="484"/>
      <c r="CEW4" s="484"/>
      <c r="CEX4" s="484"/>
      <c r="CEY4" s="484"/>
      <c r="CEZ4" s="484"/>
      <c r="CFA4" s="484"/>
      <c r="CFB4" s="484"/>
      <c r="CFC4" s="484"/>
      <c r="CFD4" s="484"/>
      <c r="CFE4" s="484"/>
      <c r="CFF4" s="484"/>
      <c r="CFG4" s="484"/>
      <c r="CFH4" s="484"/>
      <c r="CFI4" s="484"/>
      <c r="CFJ4" s="484"/>
      <c r="CFK4" s="484"/>
      <c r="CFL4" s="484"/>
      <c r="CFM4" s="484"/>
      <c r="CFN4" s="484"/>
      <c r="CFO4" s="484"/>
      <c r="CFP4" s="484"/>
      <c r="CFQ4" s="484"/>
      <c r="CFR4" s="484"/>
      <c r="CFS4" s="484"/>
      <c r="CFT4" s="484"/>
      <c r="CFU4" s="484"/>
      <c r="CFV4" s="484"/>
      <c r="CFW4" s="484"/>
      <c r="CFX4" s="484"/>
      <c r="CFY4" s="484"/>
      <c r="CFZ4" s="484"/>
      <c r="CGA4" s="484"/>
      <c r="CGB4" s="484"/>
      <c r="CGC4" s="484"/>
      <c r="CGD4" s="484"/>
      <c r="CGE4" s="484"/>
      <c r="CGF4" s="484"/>
      <c r="CGG4" s="484"/>
      <c r="CGH4" s="484"/>
      <c r="CGI4" s="484"/>
      <c r="CGJ4" s="484"/>
      <c r="CGK4" s="484"/>
      <c r="CGL4" s="484"/>
      <c r="CGM4" s="484"/>
      <c r="CGN4" s="484"/>
      <c r="CGO4" s="484"/>
      <c r="CGP4" s="484"/>
      <c r="CGQ4" s="484"/>
      <c r="CGR4" s="484"/>
      <c r="CGS4" s="484"/>
      <c r="CGT4" s="484"/>
      <c r="CGU4" s="484"/>
      <c r="CGV4" s="484"/>
      <c r="CGW4" s="484"/>
      <c r="CGX4" s="484"/>
      <c r="CGY4" s="484"/>
      <c r="CGZ4" s="484"/>
      <c r="CHA4" s="484"/>
      <c r="CHB4" s="484"/>
      <c r="CHC4" s="484"/>
      <c r="CHD4" s="484"/>
      <c r="CHE4" s="484"/>
      <c r="CHF4" s="484"/>
      <c r="CHG4" s="484"/>
      <c r="CHH4" s="484"/>
      <c r="CHI4" s="484"/>
      <c r="CHJ4" s="484"/>
      <c r="CHK4" s="484"/>
      <c r="CHL4" s="484"/>
      <c r="CHM4" s="484"/>
      <c r="CHN4" s="484"/>
      <c r="CHO4" s="484"/>
      <c r="CHP4" s="484"/>
      <c r="CHQ4" s="484"/>
      <c r="CHR4" s="484"/>
      <c r="CHS4" s="484"/>
      <c r="CHT4" s="484"/>
      <c r="CHU4" s="484"/>
      <c r="CHV4" s="484"/>
      <c r="CHW4" s="484"/>
      <c r="CHX4" s="484"/>
      <c r="CHY4" s="484"/>
      <c r="CHZ4" s="484"/>
      <c r="CIA4" s="484"/>
      <c r="CIB4" s="484"/>
      <c r="CIC4" s="484"/>
      <c r="CID4" s="484"/>
      <c r="CIE4" s="484"/>
      <c r="CIF4" s="484"/>
      <c r="CIG4" s="484"/>
      <c r="CIH4" s="484"/>
      <c r="CII4" s="484"/>
      <c r="CIJ4" s="484"/>
      <c r="CIK4" s="484"/>
      <c r="CIL4" s="484"/>
      <c r="CIM4" s="484"/>
      <c r="CIN4" s="484"/>
      <c r="CIO4" s="484"/>
      <c r="CIP4" s="484"/>
      <c r="CIQ4" s="484"/>
      <c r="CIR4" s="484"/>
      <c r="CIS4" s="484"/>
      <c r="CIT4" s="484"/>
      <c r="CIU4" s="484"/>
      <c r="CIV4" s="484"/>
      <c r="CIW4" s="484"/>
      <c r="CIX4" s="484"/>
      <c r="CIY4" s="484"/>
      <c r="CIZ4" s="484"/>
      <c r="CJA4" s="484"/>
      <c r="CJB4" s="484"/>
      <c r="CJC4" s="484"/>
      <c r="CJD4" s="484"/>
      <c r="CJE4" s="484"/>
      <c r="CJF4" s="484"/>
      <c r="CJG4" s="484"/>
      <c r="CJH4" s="484"/>
      <c r="CJI4" s="484"/>
      <c r="CJJ4" s="484"/>
      <c r="CJK4" s="484"/>
      <c r="CJL4" s="484"/>
      <c r="CJM4" s="484"/>
      <c r="CJN4" s="484"/>
      <c r="CJO4" s="484"/>
      <c r="CJP4" s="484"/>
      <c r="CJQ4" s="484"/>
      <c r="CJR4" s="484"/>
      <c r="CJS4" s="484"/>
      <c r="CJT4" s="484"/>
      <c r="CJU4" s="484"/>
      <c r="CJV4" s="484"/>
      <c r="CJW4" s="484"/>
      <c r="CJX4" s="484"/>
      <c r="CJY4" s="484"/>
      <c r="CJZ4" s="484"/>
      <c r="CKA4" s="484"/>
      <c r="CKB4" s="484"/>
      <c r="CKC4" s="484"/>
      <c r="CKD4" s="484"/>
      <c r="CKE4" s="484"/>
      <c r="CKF4" s="484"/>
      <c r="CKG4" s="484"/>
      <c r="CKH4" s="484"/>
      <c r="CKI4" s="484"/>
      <c r="CKJ4" s="484"/>
      <c r="CKK4" s="484"/>
      <c r="CKL4" s="484"/>
      <c r="CKM4" s="484"/>
      <c r="CKN4" s="484"/>
      <c r="CKO4" s="484"/>
      <c r="CKP4" s="484"/>
      <c r="CKQ4" s="484"/>
      <c r="CKR4" s="484"/>
      <c r="CKS4" s="484"/>
      <c r="CKT4" s="484"/>
      <c r="CKU4" s="484"/>
      <c r="CKV4" s="484"/>
      <c r="CKW4" s="484"/>
      <c r="CKX4" s="484"/>
      <c r="CKY4" s="484"/>
      <c r="CKZ4" s="484"/>
      <c r="CLA4" s="484"/>
      <c r="CLB4" s="484"/>
      <c r="CLC4" s="484"/>
      <c r="CLD4" s="484"/>
      <c r="CLE4" s="484"/>
      <c r="CLF4" s="484"/>
      <c r="CLG4" s="484"/>
      <c r="CLH4" s="484"/>
      <c r="CLI4" s="484"/>
      <c r="CLJ4" s="484"/>
      <c r="CLK4" s="484"/>
      <c r="CLL4" s="484"/>
      <c r="CLM4" s="484"/>
      <c r="CLN4" s="484"/>
      <c r="CLO4" s="484"/>
      <c r="CLP4" s="484"/>
      <c r="CLQ4" s="484"/>
      <c r="CLR4" s="484"/>
      <c r="CLS4" s="484"/>
      <c r="CLT4" s="484"/>
      <c r="CLU4" s="484"/>
      <c r="CLV4" s="484"/>
      <c r="CLW4" s="484"/>
      <c r="CLX4" s="484"/>
      <c r="CLY4" s="484"/>
      <c r="CLZ4" s="484"/>
      <c r="CMA4" s="484"/>
      <c r="CMB4" s="484"/>
      <c r="CMC4" s="484"/>
      <c r="CMD4" s="484"/>
      <c r="CME4" s="484"/>
      <c r="CMF4" s="484"/>
      <c r="CMG4" s="484"/>
      <c r="CMH4" s="484"/>
      <c r="CMI4" s="484"/>
      <c r="CMJ4" s="484"/>
      <c r="CMK4" s="484"/>
      <c r="CML4" s="484"/>
      <c r="CMM4" s="484"/>
      <c r="CMN4" s="484"/>
      <c r="CMO4" s="484"/>
      <c r="CMP4" s="484"/>
      <c r="CMQ4" s="484"/>
      <c r="CMR4" s="484"/>
      <c r="CMS4" s="484"/>
      <c r="CMT4" s="484"/>
      <c r="CMU4" s="484"/>
      <c r="CMV4" s="484"/>
      <c r="CMW4" s="484"/>
      <c r="CMX4" s="484"/>
      <c r="CMY4" s="484"/>
      <c r="CMZ4" s="484"/>
      <c r="CNA4" s="484"/>
      <c r="CNB4" s="484"/>
      <c r="CNC4" s="484"/>
      <c r="CND4" s="484"/>
      <c r="CNE4" s="484"/>
      <c r="CNF4" s="484"/>
      <c r="CNG4" s="484"/>
      <c r="CNH4" s="484"/>
      <c r="CNI4" s="484"/>
      <c r="CNJ4" s="484"/>
      <c r="CNK4" s="484"/>
      <c r="CNL4" s="484"/>
      <c r="CNM4" s="484"/>
      <c r="CNN4" s="484"/>
      <c r="CNO4" s="484"/>
      <c r="CNP4" s="484"/>
      <c r="CNQ4" s="484"/>
      <c r="CNR4" s="484"/>
      <c r="CNS4" s="484"/>
      <c r="CNT4" s="484"/>
      <c r="CNU4" s="484"/>
      <c r="CNV4" s="484"/>
      <c r="CNW4" s="484"/>
      <c r="CNX4" s="484"/>
      <c r="CNY4" s="484"/>
      <c r="CNZ4" s="484"/>
      <c r="COA4" s="484"/>
      <c r="COB4" s="484"/>
      <c r="COC4" s="484"/>
      <c r="COD4" s="484"/>
      <c r="COE4" s="484"/>
      <c r="COF4" s="484"/>
      <c r="COG4" s="484"/>
      <c r="COH4" s="484"/>
      <c r="COI4" s="484"/>
      <c r="COJ4" s="484"/>
      <c r="COK4" s="484"/>
      <c r="COL4" s="484"/>
      <c r="COM4" s="484"/>
      <c r="CON4" s="484"/>
      <c r="COO4" s="484"/>
      <c r="COP4" s="484"/>
      <c r="COQ4" s="484"/>
      <c r="COR4" s="484"/>
      <c r="COS4" s="484"/>
      <c r="COT4" s="484"/>
      <c r="COU4" s="484"/>
      <c r="COV4" s="484"/>
      <c r="COW4" s="484"/>
      <c r="COX4" s="484"/>
      <c r="COY4" s="484"/>
      <c r="COZ4" s="484"/>
      <c r="CPA4" s="484"/>
      <c r="CPB4" s="484"/>
      <c r="CPC4" s="484"/>
      <c r="CPD4" s="484"/>
      <c r="CPE4" s="484"/>
      <c r="CPF4" s="484"/>
      <c r="CPG4" s="484"/>
      <c r="CPH4" s="484"/>
      <c r="CPI4" s="484"/>
      <c r="CPJ4" s="484"/>
      <c r="CPK4" s="484"/>
      <c r="CPL4" s="484"/>
      <c r="CPM4" s="484"/>
      <c r="CPN4" s="484"/>
      <c r="CPO4" s="484"/>
      <c r="CPP4" s="484"/>
      <c r="CPQ4" s="484"/>
      <c r="CPR4" s="484"/>
      <c r="CPS4" s="484"/>
      <c r="CPT4" s="484"/>
      <c r="CPU4" s="484"/>
      <c r="CPV4" s="484"/>
      <c r="CPW4" s="484"/>
      <c r="CPX4" s="484"/>
      <c r="CPY4" s="484"/>
      <c r="CPZ4" s="484"/>
      <c r="CQA4" s="484"/>
      <c r="CQB4" s="484"/>
      <c r="CQC4" s="484"/>
      <c r="CQD4" s="484"/>
      <c r="CQE4" s="484"/>
      <c r="CQF4" s="484"/>
      <c r="CQG4" s="484"/>
      <c r="CQH4" s="484"/>
      <c r="CQI4" s="484"/>
      <c r="CQJ4" s="484"/>
      <c r="CQK4" s="484"/>
      <c r="CQL4" s="484"/>
      <c r="CQM4" s="484"/>
      <c r="CQN4" s="484"/>
      <c r="CQO4" s="484"/>
      <c r="CQP4" s="484"/>
      <c r="CQQ4" s="484"/>
      <c r="CQR4" s="484"/>
      <c r="CQS4" s="484"/>
      <c r="CQT4" s="484"/>
      <c r="CQU4" s="484"/>
      <c r="CQV4" s="484"/>
      <c r="CQW4" s="484"/>
      <c r="CQX4" s="484"/>
      <c r="CQY4" s="484"/>
      <c r="CQZ4" s="484"/>
      <c r="CRA4" s="484"/>
      <c r="CRB4" s="484"/>
      <c r="CRC4" s="484"/>
      <c r="CRD4" s="484"/>
      <c r="CRE4" s="484"/>
      <c r="CRF4" s="484"/>
      <c r="CRG4" s="484"/>
      <c r="CRH4" s="484"/>
      <c r="CRI4" s="484"/>
      <c r="CRJ4" s="484"/>
      <c r="CRK4" s="484"/>
      <c r="CRL4" s="484"/>
      <c r="CRM4" s="484"/>
      <c r="CRN4" s="484"/>
      <c r="CRO4" s="484"/>
      <c r="CRP4" s="484"/>
      <c r="CRQ4" s="484"/>
      <c r="CRR4" s="484"/>
      <c r="CRS4" s="484"/>
      <c r="CRT4" s="484"/>
      <c r="CRU4" s="484"/>
      <c r="CRV4" s="484"/>
      <c r="CRW4" s="484"/>
      <c r="CRX4" s="484"/>
      <c r="CRY4" s="484"/>
      <c r="CRZ4" s="484"/>
      <c r="CSA4" s="484"/>
      <c r="CSB4" s="484"/>
      <c r="CSC4" s="484"/>
      <c r="CSD4" s="484"/>
      <c r="CSE4" s="484"/>
      <c r="CSF4" s="484"/>
      <c r="CSG4" s="484"/>
      <c r="CSH4" s="484"/>
      <c r="CSI4" s="484"/>
      <c r="CSJ4" s="484"/>
      <c r="CSK4" s="484"/>
      <c r="CSL4" s="484"/>
      <c r="CSM4" s="484"/>
      <c r="CSN4" s="484"/>
      <c r="CSO4" s="484"/>
      <c r="CSP4" s="484"/>
      <c r="CSQ4" s="484"/>
      <c r="CSR4" s="484"/>
      <c r="CSS4" s="484"/>
      <c r="CST4" s="484"/>
      <c r="CSU4" s="484"/>
      <c r="CSV4" s="484"/>
      <c r="CSW4" s="484"/>
      <c r="CSX4" s="484"/>
      <c r="CSY4" s="484"/>
      <c r="CSZ4" s="484"/>
      <c r="CTA4" s="484"/>
      <c r="CTB4" s="484"/>
      <c r="CTC4" s="484"/>
      <c r="CTD4" s="484"/>
      <c r="CTE4" s="484"/>
      <c r="CTF4" s="484"/>
      <c r="CTG4" s="484"/>
      <c r="CTH4" s="484"/>
      <c r="CTI4" s="484"/>
      <c r="CTJ4" s="484"/>
      <c r="CTK4" s="484"/>
      <c r="CTL4" s="484"/>
      <c r="CTM4" s="484"/>
      <c r="CTN4" s="484"/>
      <c r="CTO4" s="484"/>
      <c r="CTP4" s="484"/>
      <c r="CTQ4" s="484"/>
      <c r="CTR4" s="484"/>
      <c r="CTS4" s="484"/>
      <c r="CTT4" s="484"/>
      <c r="CTU4" s="484"/>
      <c r="CTV4" s="484"/>
      <c r="CTW4" s="484"/>
      <c r="CTX4" s="484"/>
      <c r="CTY4" s="484"/>
      <c r="CTZ4" s="484"/>
      <c r="CUA4" s="484"/>
      <c r="CUB4" s="484"/>
      <c r="CUC4" s="484"/>
      <c r="CUD4" s="484"/>
      <c r="CUE4" s="484"/>
      <c r="CUF4" s="484"/>
      <c r="CUG4" s="484"/>
      <c r="CUH4" s="484"/>
      <c r="CUI4" s="484"/>
      <c r="CUJ4" s="484"/>
      <c r="CUK4" s="484"/>
      <c r="CUL4" s="484"/>
      <c r="CUM4" s="484"/>
      <c r="CUN4" s="484"/>
      <c r="CUO4" s="484"/>
      <c r="CUP4" s="484"/>
      <c r="CUQ4" s="484"/>
      <c r="CUR4" s="484"/>
      <c r="CUS4" s="484"/>
      <c r="CUT4" s="484"/>
      <c r="CUU4" s="484"/>
      <c r="CUV4" s="484"/>
      <c r="CUW4" s="484"/>
      <c r="CUX4" s="484"/>
      <c r="CUY4" s="484"/>
      <c r="CUZ4" s="484"/>
      <c r="CVA4" s="484"/>
      <c r="CVB4" s="484"/>
      <c r="CVC4" s="484"/>
      <c r="CVD4" s="484"/>
      <c r="CVE4" s="484"/>
      <c r="CVF4" s="484"/>
      <c r="CVG4" s="484"/>
      <c r="CVH4" s="484"/>
      <c r="CVI4" s="484"/>
      <c r="CVJ4" s="484"/>
      <c r="CVK4" s="484"/>
      <c r="CVL4" s="484"/>
      <c r="CVM4" s="484"/>
      <c r="CVN4" s="484"/>
      <c r="CVO4" s="484"/>
      <c r="CVP4" s="484"/>
      <c r="CVQ4" s="484"/>
      <c r="CVR4" s="484"/>
      <c r="CVS4" s="484"/>
      <c r="CVT4" s="484"/>
      <c r="CVU4" s="484"/>
      <c r="CVV4" s="484"/>
      <c r="CVW4" s="484"/>
      <c r="CVX4" s="484"/>
      <c r="CVY4" s="484"/>
      <c r="CVZ4" s="484"/>
      <c r="CWA4" s="484"/>
      <c r="CWB4" s="484"/>
      <c r="CWC4" s="484"/>
      <c r="CWD4" s="484"/>
      <c r="CWE4" s="484"/>
      <c r="CWF4" s="484"/>
      <c r="CWG4" s="484"/>
      <c r="CWH4" s="484"/>
      <c r="CWI4" s="484"/>
      <c r="CWJ4" s="484"/>
      <c r="CWK4" s="484"/>
      <c r="CWL4" s="484"/>
      <c r="CWM4" s="484"/>
      <c r="CWN4" s="484"/>
      <c r="CWO4" s="484"/>
      <c r="CWP4" s="484"/>
      <c r="CWQ4" s="484"/>
      <c r="CWR4" s="484"/>
      <c r="CWS4" s="484"/>
      <c r="CWT4" s="484"/>
      <c r="CWU4" s="484"/>
      <c r="CWV4" s="484"/>
      <c r="CWW4" s="484"/>
      <c r="CWX4" s="484"/>
      <c r="CWY4" s="484"/>
      <c r="CWZ4" s="484"/>
      <c r="CXA4" s="484"/>
      <c r="CXB4" s="484"/>
      <c r="CXC4" s="484"/>
      <c r="CXD4" s="484"/>
      <c r="CXE4" s="484"/>
      <c r="CXF4" s="484"/>
      <c r="CXG4" s="484"/>
      <c r="CXH4" s="484"/>
      <c r="CXI4" s="484"/>
      <c r="CXJ4" s="484"/>
      <c r="CXK4" s="484"/>
      <c r="CXL4" s="484"/>
      <c r="CXM4" s="484"/>
      <c r="CXN4" s="484"/>
      <c r="CXO4" s="484"/>
      <c r="CXP4" s="484"/>
      <c r="CXQ4" s="484"/>
      <c r="CXR4" s="484"/>
      <c r="CXS4" s="484"/>
      <c r="CXT4" s="484"/>
      <c r="CXU4" s="484"/>
      <c r="CXV4" s="484"/>
      <c r="CXW4" s="484"/>
      <c r="CXX4" s="484"/>
      <c r="CXY4" s="484"/>
      <c r="CXZ4" s="484"/>
      <c r="CYA4" s="484"/>
      <c r="CYB4" s="484"/>
      <c r="CYC4" s="484"/>
      <c r="CYD4" s="484"/>
      <c r="CYE4" s="484"/>
      <c r="CYF4" s="484"/>
      <c r="CYG4" s="484"/>
      <c r="CYH4" s="484"/>
      <c r="CYI4" s="484"/>
      <c r="CYJ4" s="484"/>
      <c r="CYK4" s="484"/>
      <c r="CYL4" s="484"/>
      <c r="CYM4" s="484"/>
      <c r="CYN4" s="484"/>
      <c r="CYO4" s="484"/>
      <c r="CYP4" s="484"/>
      <c r="CYQ4" s="484"/>
      <c r="CYR4" s="484"/>
      <c r="CYS4" s="484"/>
      <c r="CYT4" s="484"/>
      <c r="CYU4" s="484"/>
      <c r="CYV4" s="484"/>
      <c r="CYW4" s="484"/>
      <c r="CYX4" s="484"/>
      <c r="CYY4" s="484"/>
      <c r="CYZ4" s="484"/>
      <c r="CZA4" s="484"/>
      <c r="CZB4" s="484"/>
      <c r="CZC4" s="484"/>
      <c r="CZD4" s="484"/>
      <c r="CZE4" s="484"/>
      <c r="CZF4" s="484"/>
      <c r="CZG4" s="484"/>
      <c r="CZH4" s="484"/>
      <c r="CZI4" s="484"/>
      <c r="CZJ4" s="484"/>
      <c r="CZK4" s="484"/>
      <c r="CZL4" s="484"/>
      <c r="CZM4" s="484"/>
      <c r="CZN4" s="484"/>
      <c r="CZO4" s="484"/>
      <c r="CZP4" s="484"/>
      <c r="CZQ4" s="484"/>
      <c r="CZR4" s="484"/>
      <c r="CZS4" s="484"/>
      <c r="CZT4" s="484"/>
      <c r="CZU4" s="484"/>
      <c r="CZV4" s="484"/>
      <c r="CZW4" s="484"/>
      <c r="CZX4" s="484"/>
      <c r="CZY4" s="484"/>
      <c r="CZZ4" s="484"/>
      <c r="DAA4" s="484"/>
      <c r="DAB4" s="484"/>
      <c r="DAC4" s="484"/>
      <c r="DAD4" s="484"/>
      <c r="DAE4" s="484"/>
      <c r="DAF4" s="484"/>
      <c r="DAG4" s="484"/>
      <c r="DAH4" s="484"/>
      <c r="DAI4" s="484"/>
      <c r="DAJ4" s="484"/>
      <c r="DAK4" s="484"/>
      <c r="DAL4" s="484"/>
      <c r="DAM4" s="484"/>
      <c r="DAN4" s="484"/>
      <c r="DAO4" s="484"/>
      <c r="DAP4" s="484"/>
      <c r="DAQ4" s="484"/>
      <c r="DAR4" s="484"/>
      <c r="DAS4" s="484"/>
      <c r="DAT4" s="484"/>
      <c r="DAU4" s="484"/>
      <c r="DAV4" s="484"/>
      <c r="DAW4" s="484"/>
      <c r="DAX4" s="484"/>
      <c r="DAY4" s="484"/>
      <c r="DAZ4" s="484"/>
      <c r="DBA4" s="484"/>
      <c r="DBB4" s="484"/>
      <c r="DBC4" s="484"/>
      <c r="DBD4" s="484"/>
      <c r="DBE4" s="484"/>
      <c r="DBF4" s="484"/>
      <c r="DBG4" s="484"/>
      <c r="DBH4" s="484"/>
      <c r="DBI4" s="484"/>
      <c r="DBJ4" s="484"/>
      <c r="DBK4" s="484"/>
      <c r="DBL4" s="484"/>
      <c r="DBM4" s="484"/>
      <c r="DBN4" s="484"/>
      <c r="DBO4" s="484"/>
      <c r="DBP4" s="484"/>
      <c r="DBQ4" s="484"/>
      <c r="DBR4" s="484"/>
      <c r="DBS4" s="484"/>
      <c r="DBT4" s="484"/>
      <c r="DBU4" s="484"/>
      <c r="DBV4" s="484"/>
      <c r="DBW4" s="484"/>
      <c r="DBX4" s="484"/>
      <c r="DBY4" s="484"/>
      <c r="DBZ4" s="484"/>
      <c r="DCA4" s="484"/>
      <c r="DCB4" s="484"/>
      <c r="DCC4" s="484"/>
      <c r="DCD4" s="484"/>
      <c r="DCE4" s="484"/>
      <c r="DCF4" s="484"/>
      <c r="DCG4" s="484"/>
      <c r="DCH4" s="484"/>
      <c r="DCI4" s="484"/>
      <c r="DCJ4" s="484"/>
      <c r="DCK4" s="484"/>
      <c r="DCL4" s="484"/>
      <c r="DCM4" s="484"/>
      <c r="DCN4" s="484"/>
      <c r="DCO4" s="484"/>
      <c r="DCP4" s="484"/>
      <c r="DCQ4" s="484"/>
      <c r="DCR4" s="484"/>
      <c r="DCS4" s="484"/>
      <c r="DCT4" s="484"/>
      <c r="DCU4" s="484"/>
      <c r="DCV4" s="484"/>
      <c r="DCW4" s="484"/>
      <c r="DCX4" s="484"/>
      <c r="DCY4" s="484"/>
      <c r="DCZ4" s="484"/>
      <c r="DDA4" s="484"/>
      <c r="DDB4" s="484"/>
      <c r="DDC4" s="484"/>
      <c r="DDD4" s="484"/>
      <c r="DDE4" s="484"/>
      <c r="DDF4" s="484"/>
      <c r="DDG4" s="484"/>
      <c r="DDH4" s="484"/>
      <c r="DDI4" s="484"/>
      <c r="DDJ4" s="484"/>
      <c r="DDK4" s="484"/>
      <c r="DDL4" s="484"/>
      <c r="DDM4" s="484"/>
      <c r="DDN4" s="484"/>
      <c r="DDO4" s="484"/>
      <c r="DDP4" s="484"/>
      <c r="DDQ4" s="484"/>
      <c r="DDR4" s="484"/>
      <c r="DDS4" s="484"/>
      <c r="DDT4" s="484"/>
      <c r="DDU4" s="484"/>
      <c r="DDV4" s="484"/>
      <c r="DDW4" s="484"/>
      <c r="DDX4" s="484"/>
      <c r="DDY4" s="484"/>
      <c r="DDZ4" s="484"/>
      <c r="DEA4" s="484"/>
      <c r="DEB4" s="484"/>
      <c r="DEC4" s="484"/>
      <c r="DED4" s="484"/>
      <c r="DEE4" s="484"/>
      <c r="DEF4" s="484"/>
      <c r="DEG4" s="484"/>
      <c r="DEH4" s="484"/>
      <c r="DEI4" s="484"/>
      <c r="DEJ4" s="484"/>
      <c r="DEK4" s="484"/>
      <c r="DEL4" s="484"/>
      <c r="DEM4" s="484"/>
      <c r="DEN4" s="484"/>
      <c r="DEO4" s="484"/>
      <c r="DEP4" s="484"/>
      <c r="DEQ4" s="484"/>
      <c r="DER4" s="484"/>
      <c r="DES4" s="484"/>
      <c r="DET4" s="484"/>
      <c r="DEU4" s="484"/>
      <c r="DEV4" s="484"/>
      <c r="DEW4" s="484"/>
      <c r="DEX4" s="484"/>
      <c r="DEY4" s="484"/>
      <c r="DEZ4" s="484"/>
      <c r="DFA4" s="484"/>
      <c r="DFB4" s="484"/>
      <c r="DFC4" s="484"/>
      <c r="DFD4" s="484"/>
      <c r="DFE4" s="484"/>
      <c r="DFF4" s="484"/>
      <c r="DFG4" s="484"/>
      <c r="DFH4" s="484"/>
      <c r="DFI4" s="484"/>
      <c r="DFJ4" s="484"/>
      <c r="DFK4" s="484"/>
      <c r="DFL4" s="484"/>
      <c r="DFM4" s="484"/>
      <c r="DFN4" s="484"/>
      <c r="DFO4" s="484"/>
      <c r="DFP4" s="484"/>
      <c r="DFQ4" s="484"/>
      <c r="DFR4" s="484"/>
      <c r="DFS4" s="484"/>
      <c r="DFT4" s="484"/>
      <c r="DFU4" s="484"/>
      <c r="DFV4" s="484"/>
      <c r="DFW4" s="484"/>
      <c r="DFX4" s="484"/>
      <c r="DFY4" s="484"/>
      <c r="DFZ4" s="484"/>
      <c r="DGA4" s="484"/>
      <c r="DGB4" s="484"/>
      <c r="DGC4" s="484"/>
      <c r="DGD4" s="484"/>
      <c r="DGE4" s="484"/>
      <c r="DGF4" s="484"/>
      <c r="DGG4" s="484"/>
      <c r="DGH4" s="484"/>
      <c r="DGI4" s="484"/>
      <c r="DGJ4" s="484"/>
      <c r="DGK4" s="484"/>
      <c r="DGL4" s="484"/>
      <c r="DGM4" s="484"/>
      <c r="DGN4" s="484"/>
      <c r="DGO4" s="484"/>
      <c r="DGP4" s="484"/>
      <c r="DGQ4" s="484"/>
      <c r="DGR4" s="484"/>
      <c r="DGS4" s="484"/>
      <c r="DGT4" s="484"/>
      <c r="DGU4" s="484"/>
      <c r="DGV4" s="484"/>
      <c r="DGW4" s="484"/>
      <c r="DGX4" s="484"/>
      <c r="DGY4" s="484"/>
      <c r="DGZ4" s="484"/>
      <c r="DHA4" s="484"/>
      <c r="DHB4" s="484"/>
      <c r="DHC4" s="484"/>
      <c r="DHD4" s="484"/>
      <c r="DHE4" s="484"/>
      <c r="DHF4" s="484"/>
      <c r="DHG4" s="484"/>
      <c r="DHH4" s="484"/>
      <c r="DHI4" s="484"/>
      <c r="DHJ4" s="484"/>
      <c r="DHK4" s="484"/>
      <c r="DHL4" s="484"/>
      <c r="DHM4" s="484"/>
      <c r="DHN4" s="484"/>
      <c r="DHO4" s="484"/>
      <c r="DHP4" s="484"/>
      <c r="DHQ4" s="484"/>
      <c r="DHR4" s="484"/>
      <c r="DHS4" s="484"/>
      <c r="DHT4" s="484"/>
      <c r="DHU4" s="484"/>
      <c r="DHV4" s="484"/>
      <c r="DHW4" s="484"/>
      <c r="DHX4" s="484"/>
      <c r="DHY4" s="484"/>
      <c r="DHZ4" s="484"/>
      <c r="DIA4" s="484"/>
      <c r="DIB4" s="484"/>
      <c r="DIC4" s="484"/>
      <c r="DID4" s="484"/>
      <c r="DIE4" s="484"/>
      <c r="DIF4" s="484"/>
      <c r="DIG4" s="484"/>
      <c r="DIH4" s="484"/>
      <c r="DII4" s="484"/>
      <c r="DIJ4" s="484"/>
      <c r="DIK4" s="484"/>
      <c r="DIL4" s="484"/>
      <c r="DIM4" s="484"/>
      <c r="DIN4" s="484"/>
      <c r="DIO4" s="484"/>
      <c r="DIP4" s="484"/>
      <c r="DIQ4" s="484"/>
      <c r="DIR4" s="484"/>
      <c r="DIS4" s="484"/>
      <c r="DIT4" s="484"/>
      <c r="DIU4" s="484"/>
      <c r="DIV4" s="484"/>
      <c r="DIW4" s="484"/>
      <c r="DIX4" s="484"/>
      <c r="DIY4" s="484"/>
      <c r="DIZ4" s="484"/>
      <c r="DJA4" s="484"/>
      <c r="DJB4" s="484"/>
      <c r="DJC4" s="484"/>
      <c r="DJD4" s="484"/>
      <c r="DJE4" s="484"/>
      <c r="DJF4" s="484"/>
      <c r="DJG4" s="484"/>
      <c r="DJH4" s="484"/>
      <c r="DJI4" s="484"/>
      <c r="DJJ4" s="484"/>
      <c r="DJK4" s="484"/>
      <c r="DJL4" s="484"/>
      <c r="DJM4" s="484"/>
      <c r="DJN4" s="484"/>
      <c r="DJO4" s="484"/>
      <c r="DJP4" s="484"/>
      <c r="DJQ4" s="484"/>
      <c r="DJR4" s="484"/>
      <c r="DJS4" s="484"/>
      <c r="DJT4" s="484"/>
      <c r="DJU4" s="484"/>
      <c r="DJV4" s="484"/>
      <c r="DJW4" s="484"/>
      <c r="DJX4" s="484"/>
      <c r="DJY4" s="484"/>
      <c r="DJZ4" s="484"/>
      <c r="DKA4" s="484"/>
      <c r="DKB4" s="484"/>
      <c r="DKC4" s="484"/>
      <c r="DKD4" s="484"/>
      <c r="DKE4" s="484"/>
      <c r="DKF4" s="484"/>
      <c r="DKG4" s="484"/>
      <c r="DKH4" s="484"/>
      <c r="DKI4" s="484"/>
      <c r="DKJ4" s="484"/>
      <c r="DKK4" s="484"/>
      <c r="DKL4" s="484"/>
      <c r="DKM4" s="484"/>
      <c r="DKN4" s="484"/>
      <c r="DKO4" s="484"/>
      <c r="DKP4" s="484"/>
      <c r="DKQ4" s="484"/>
      <c r="DKR4" s="484"/>
      <c r="DKS4" s="484"/>
      <c r="DKT4" s="484"/>
      <c r="DKU4" s="484"/>
      <c r="DKV4" s="484"/>
      <c r="DKW4" s="484"/>
      <c r="DKX4" s="484"/>
      <c r="DKY4" s="484"/>
      <c r="DKZ4" s="484"/>
      <c r="DLA4" s="484"/>
      <c r="DLB4" s="484"/>
      <c r="DLC4" s="484"/>
      <c r="DLD4" s="484"/>
      <c r="DLE4" s="484"/>
      <c r="DLF4" s="484"/>
      <c r="DLG4" s="484"/>
      <c r="DLH4" s="484"/>
      <c r="DLI4" s="484"/>
      <c r="DLJ4" s="484"/>
      <c r="DLK4" s="484"/>
      <c r="DLL4" s="484"/>
      <c r="DLM4" s="484"/>
      <c r="DLN4" s="484"/>
      <c r="DLO4" s="484"/>
      <c r="DLP4" s="484"/>
      <c r="DLQ4" s="484"/>
      <c r="DLR4" s="484"/>
      <c r="DLS4" s="484"/>
      <c r="DLT4" s="484"/>
      <c r="DLU4" s="484"/>
      <c r="DLV4" s="484"/>
      <c r="DLW4" s="484"/>
      <c r="DLX4" s="484"/>
      <c r="DLY4" s="484"/>
      <c r="DLZ4" s="484"/>
      <c r="DMA4" s="484"/>
      <c r="DMB4" s="484"/>
      <c r="DMC4" s="484"/>
      <c r="DMD4" s="484"/>
      <c r="DME4" s="484"/>
      <c r="DMF4" s="484"/>
      <c r="DMG4" s="484"/>
      <c r="DMH4" s="484"/>
      <c r="DMI4" s="484"/>
      <c r="DMJ4" s="484"/>
      <c r="DMK4" s="484"/>
      <c r="DML4" s="484"/>
      <c r="DMM4" s="484"/>
      <c r="DMN4" s="484"/>
      <c r="DMO4" s="484"/>
      <c r="DMP4" s="484"/>
      <c r="DMQ4" s="484"/>
      <c r="DMR4" s="484"/>
      <c r="DMS4" s="484"/>
      <c r="DMT4" s="484"/>
      <c r="DMU4" s="484"/>
      <c r="DMV4" s="484"/>
      <c r="DMW4" s="484"/>
      <c r="DMX4" s="484"/>
      <c r="DMY4" s="484"/>
      <c r="DMZ4" s="484"/>
      <c r="DNA4" s="484"/>
      <c r="DNB4" s="484"/>
      <c r="DNC4" s="484"/>
      <c r="DND4" s="484"/>
      <c r="DNE4" s="484"/>
      <c r="DNF4" s="484"/>
      <c r="DNG4" s="484"/>
      <c r="DNH4" s="484"/>
      <c r="DNI4" s="484"/>
      <c r="DNJ4" s="484"/>
      <c r="DNK4" s="484"/>
      <c r="DNL4" s="484"/>
      <c r="DNM4" s="484"/>
      <c r="DNN4" s="484"/>
      <c r="DNO4" s="484"/>
      <c r="DNP4" s="484"/>
      <c r="DNQ4" s="484"/>
      <c r="DNR4" s="484"/>
      <c r="DNS4" s="484"/>
      <c r="DNT4" s="484"/>
      <c r="DNU4" s="484"/>
      <c r="DNV4" s="484"/>
      <c r="DNW4" s="484"/>
      <c r="DNX4" s="484"/>
      <c r="DNY4" s="484"/>
      <c r="DNZ4" s="484"/>
      <c r="DOA4" s="484"/>
      <c r="DOB4" s="484"/>
      <c r="DOC4" s="484"/>
      <c r="DOD4" s="484"/>
      <c r="DOE4" s="484"/>
      <c r="DOF4" s="484"/>
      <c r="DOG4" s="484"/>
      <c r="DOH4" s="484"/>
      <c r="DOI4" s="484"/>
      <c r="DOJ4" s="484"/>
      <c r="DOK4" s="484"/>
      <c r="DOL4" s="484"/>
      <c r="DOM4" s="484"/>
      <c r="DON4" s="484"/>
      <c r="DOO4" s="484"/>
      <c r="DOP4" s="484"/>
      <c r="DOQ4" s="484"/>
      <c r="DOR4" s="484"/>
      <c r="DOS4" s="484"/>
      <c r="DOT4" s="484"/>
      <c r="DOU4" s="484"/>
      <c r="DOV4" s="484"/>
      <c r="DOW4" s="484"/>
      <c r="DOX4" s="484"/>
      <c r="DOY4" s="484"/>
      <c r="DOZ4" s="484"/>
      <c r="DPA4" s="484"/>
      <c r="DPB4" s="484"/>
      <c r="DPC4" s="484"/>
      <c r="DPD4" s="484"/>
      <c r="DPE4" s="484"/>
      <c r="DPF4" s="484"/>
      <c r="DPG4" s="484"/>
      <c r="DPH4" s="484"/>
      <c r="DPI4" s="484"/>
      <c r="DPJ4" s="484"/>
      <c r="DPK4" s="484"/>
      <c r="DPL4" s="484"/>
      <c r="DPM4" s="484"/>
      <c r="DPN4" s="484"/>
      <c r="DPO4" s="484"/>
      <c r="DPP4" s="484"/>
      <c r="DPQ4" s="484"/>
      <c r="DPR4" s="484"/>
      <c r="DPS4" s="484"/>
      <c r="DPT4" s="484"/>
      <c r="DPU4" s="484"/>
      <c r="DPV4" s="484"/>
      <c r="DPW4" s="484"/>
      <c r="DPX4" s="484"/>
      <c r="DPY4" s="484"/>
      <c r="DPZ4" s="484"/>
      <c r="DQA4" s="484"/>
      <c r="DQB4" s="484"/>
      <c r="DQC4" s="484"/>
      <c r="DQD4" s="484"/>
      <c r="DQE4" s="484"/>
      <c r="DQF4" s="484"/>
      <c r="DQG4" s="484"/>
      <c r="DQH4" s="484"/>
      <c r="DQI4" s="484"/>
      <c r="DQJ4" s="484"/>
      <c r="DQK4" s="484"/>
      <c r="DQL4" s="484"/>
      <c r="DQM4" s="484"/>
      <c r="DQN4" s="484"/>
      <c r="DQO4" s="484"/>
      <c r="DQP4" s="484"/>
      <c r="DQQ4" s="484"/>
      <c r="DQR4" s="484"/>
      <c r="DQS4" s="484"/>
      <c r="DQT4" s="484"/>
      <c r="DQU4" s="484"/>
      <c r="DQV4" s="484"/>
      <c r="DQW4" s="484"/>
      <c r="DQX4" s="484"/>
      <c r="DQY4" s="484"/>
      <c r="DQZ4" s="484"/>
      <c r="DRA4" s="484"/>
      <c r="DRB4" s="484"/>
      <c r="DRC4" s="484"/>
      <c r="DRD4" s="484"/>
      <c r="DRE4" s="484"/>
      <c r="DRF4" s="484"/>
      <c r="DRG4" s="484"/>
      <c r="DRH4" s="484"/>
      <c r="DRI4" s="484"/>
      <c r="DRJ4" s="484"/>
      <c r="DRK4" s="484"/>
      <c r="DRL4" s="484"/>
      <c r="DRM4" s="484"/>
      <c r="DRN4" s="484"/>
      <c r="DRO4" s="484"/>
      <c r="DRP4" s="484"/>
      <c r="DRQ4" s="484"/>
      <c r="DRR4" s="484"/>
      <c r="DRS4" s="484"/>
      <c r="DRT4" s="484"/>
      <c r="DRU4" s="484"/>
      <c r="DRV4" s="484"/>
      <c r="DRW4" s="484"/>
      <c r="DRX4" s="484"/>
      <c r="DRY4" s="484"/>
      <c r="DRZ4" s="484"/>
      <c r="DSA4" s="484"/>
      <c r="DSB4" s="484"/>
      <c r="DSC4" s="484"/>
      <c r="DSD4" s="484"/>
      <c r="DSE4" s="484"/>
      <c r="DSF4" s="484"/>
      <c r="DSG4" s="484"/>
      <c r="DSH4" s="484"/>
      <c r="DSI4" s="484"/>
      <c r="DSJ4" s="484"/>
      <c r="DSK4" s="484"/>
      <c r="DSL4" s="484"/>
      <c r="DSM4" s="484"/>
      <c r="DSN4" s="484"/>
      <c r="DSO4" s="484"/>
      <c r="DSP4" s="484"/>
      <c r="DSQ4" s="484"/>
      <c r="DSR4" s="484"/>
      <c r="DSS4" s="484"/>
      <c r="DST4" s="484"/>
      <c r="DSU4" s="484"/>
      <c r="DSV4" s="484"/>
      <c r="DSW4" s="484"/>
      <c r="DSX4" s="484"/>
      <c r="DSY4" s="484"/>
      <c r="DSZ4" s="484"/>
      <c r="DTA4" s="484"/>
      <c r="DTB4" s="484"/>
      <c r="DTC4" s="484"/>
      <c r="DTD4" s="484"/>
      <c r="DTE4" s="484"/>
      <c r="DTF4" s="484"/>
      <c r="DTG4" s="484"/>
      <c r="DTH4" s="484"/>
      <c r="DTI4" s="484"/>
      <c r="DTJ4" s="484"/>
      <c r="DTK4" s="484"/>
      <c r="DTL4" s="484"/>
      <c r="DTM4" s="484"/>
      <c r="DTN4" s="484"/>
      <c r="DTO4" s="484"/>
      <c r="DTP4" s="484"/>
      <c r="DTQ4" s="484"/>
      <c r="DTR4" s="484"/>
      <c r="DTS4" s="484"/>
      <c r="DTT4" s="484"/>
      <c r="DTU4" s="484"/>
      <c r="DTV4" s="484"/>
      <c r="DTW4" s="484"/>
      <c r="DTX4" s="484"/>
      <c r="DTY4" s="484"/>
      <c r="DTZ4" s="484"/>
      <c r="DUA4" s="484"/>
      <c r="DUB4" s="484"/>
      <c r="DUC4" s="484"/>
      <c r="DUD4" s="484"/>
      <c r="DUE4" s="484"/>
      <c r="DUF4" s="484"/>
      <c r="DUG4" s="484"/>
      <c r="DUH4" s="484"/>
      <c r="DUI4" s="484"/>
      <c r="DUJ4" s="484"/>
      <c r="DUK4" s="484"/>
      <c r="DUL4" s="484"/>
      <c r="DUM4" s="484"/>
      <c r="DUN4" s="484"/>
      <c r="DUO4" s="484"/>
      <c r="DUP4" s="484"/>
      <c r="DUQ4" s="484"/>
      <c r="DUR4" s="484"/>
      <c r="DUS4" s="484"/>
      <c r="DUT4" s="484"/>
      <c r="DUU4" s="484"/>
      <c r="DUV4" s="484"/>
      <c r="DUW4" s="484"/>
      <c r="DUX4" s="484"/>
      <c r="DUY4" s="484"/>
      <c r="DUZ4" s="484"/>
      <c r="DVA4" s="484"/>
      <c r="DVB4" s="484"/>
      <c r="DVC4" s="484"/>
      <c r="DVD4" s="484"/>
      <c r="DVE4" s="484"/>
      <c r="DVF4" s="484"/>
      <c r="DVG4" s="484"/>
      <c r="DVH4" s="484"/>
      <c r="DVI4" s="484"/>
      <c r="DVJ4" s="484"/>
      <c r="DVK4" s="484"/>
      <c r="DVL4" s="484"/>
      <c r="DVM4" s="484"/>
      <c r="DVN4" s="484"/>
      <c r="DVO4" s="484"/>
      <c r="DVP4" s="484"/>
      <c r="DVQ4" s="484"/>
      <c r="DVR4" s="484"/>
      <c r="DVS4" s="484"/>
      <c r="DVT4" s="484"/>
      <c r="DVU4" s="484"/>
      <c r="DVV4" s="484"/>
      <c r="DVW4" s="484"/>
      <c r="DVX4" s="484"/>
      <c r="DVY4" s="484"/>
      <c r="DVZ4" s="484"/>
      <c r="DWA4" s="484"/>
      <c r="DWB4" s="484"/>
      <c r="DWC4" s="484"/>
      <c r="DWD4" s="484"/>
      <c r="DWE4" s="484"/>
      <c r="DWF4" s="484"/>
      <c r="DWG4" s="484"/>
      <c r="DWH4" s="484"/>
      <c r="DWI4" s="484"/>
      <c r="DWJ4" s="484"/>
      <c r="DWK4" s="484"/>
      <c r="DWL4" s="484"/>
      <c r="DWM4" s="484"/>
      <c r="DWN4" s="484"/>
      <c r="DWO4" s="484"/>
      <c r="DWP4" s="484"/>
      <c r="DWQ4" s="484"/>
      <c r="DWR4" s="484"/>
      <c r="DWS4" s="484"/>
      <c r="DWT4" s="484"/>
      <c r="DWU4" s="484"/>
      <c r="DWV4" s="484"/>
      <c r="DWW4" s="484"/>
      <c r="DWX4" s="484"/>
      <c r="DWY4" s="484"/>
      <c r="DWZ4" s="484"/>
      <c r="DXA4" s="484"/>
      <c r="DXB4" s="484"/>
      <c r="DXC4" s="484"/>
      <c r="DXD4" s="484"/>
      <c r="DXE4" s="484"/>
      <c r="DXF4" s="484"/>
      <c r="DXG4" s="484"/>
      <c r="DXH4" s="484"/>
      <c r="DXI4" s="484"/>
      <c r="DXJ4" s="484"/>
      <c r="DXK4" s="484"/>
      <c r="DXL4" s="484"/>
      <c r="DXM4" s="484"/>
      <c r="DXN4" s="484"/>
      <c r="DXO4" s="484"/>
      <c r="DXP4" s="484"/>
      <c r="DXQ4" s="484"/>
      <c r="DXR4" s="484"/>
      <c r="DXS4" s="484"/>
      <c r="DXT4" s="484"/>
      <c r="DXU4" s="484"/>
      <c r="DXV4" s="484"/>
      <c r="DXW4" s="484"/>
      <c r="DXX4" s="484"/>
      <c r="DXY4" s="484"/>
      <c r="DXZ4" s="484"/>
      <c r="DYA4" s="484"/>
      <c r="DYB4" s="484"/>
      <c r="DYC4" s="484"/>
      <c r="DYD4" s="484"/>
      <c r="DYE4" s="484"/>
      <c r="DYF4" s="484"/>
      <c r="DYG4" s="484"/>
      <c r="DYH4" s="484"/>
      <c r="DYI4" s="484"/>
      <c r="DYJ4" s="484"/>
      <c r="DYK4" s="484"/>
      <c r="DYL4" s="484"/>
      <c r="DYM4" s="484"/>
      <c r="DYN4" s="484"/>
      <c r="DYO4" s="484"/>
      <c r="DYP4" s="484"/>
      <c r="DYQ4" s="484"/>
      <c r="DYR4" s="484"/>
      <c r="DYS4" s="484"/>
      <c r="DYT4" s="484"/>
      <c r="DYU4" s="484"/>
      <c r="DYV4" s="484"/>
      <c r="DYW4" s="484"/>
      <c r="DYX4" s="484"/>
      <c r="DYY4" s="484"/>
      <c r="DYZ4" s="484"/>
      <c r="DZA4" s="484"/>
      <c r="DZB4" s="484"/>
      <c r="DZC4" s="484"/>
      <c r="DZD4" s="484"/>
      <c r="DZE4" s="484"/>
      <c r="DZF4" s="484"/>
      <c r="DZG4" s="484"/>
      <c r="DZH4" s="484"/>
      <c r="DZI4" s="484"/>
      <c r="DZJ4" s="484"/>
      <c r="DZK4" s="484"/>
      <c r="DZL4" s="484"/>
      <c r="DZM4" s="484"/>
      <c r="DZN4" s="484"/>
      <c r="DZO4" s="484"/>
      <c r="DZP4" s="484"/>
      <c r="DZQ4" s="484"/>
      <c r="DZR4" s="484"/>
      <c r="DZS4" s="484"/>
      <c r="DZT4" s="484"/>
      <c r="DZU4" s="484"/>
      <c r="DZV4" s="484"/>
      <c r="DZW4" s="484"/>
      <c r="DZX4" s="484"/>
      <c r="DZY4" s="484"/>
      <c r="DZZ4" s="484"/>
      <c r="EAA4" s="484"/>
      <c r="EAB4" s="484"/>
      <c r="EAC4" s="484"/>
      <c r="EAD4" s="484"/>
      <c r="EAE4" s="484"/>
      <c r="EAF4" s="484"/>
      <c r="EAG4" s="484"/>
      <c r="EAH4" s="484"/>
      <c r="EAI4" s="484"/>
      <c r="EAJ4" s="484"/>
      <c r="EAK4" s="484"/>
      <c r="EAL4" s="484"/>
      <c r="EAM4" s="484"/>
      <c r="EAN4" s="484"/>
      <c r="EAO4" s="484"/>
      <c r="EAP4" s="484"/>
      <c r="EAQ4" s="484"/>
      <c r="EAR4" s="484"/>
      <c r="EAS4" s="484"/>
      <c r="EAT4" s="484"/>
      <c r="EAU4" s="484"/>
      <c r="EAV4" s="484"/>
      <c r="EAW4" s="484"/>
      <c r="EAX4" s="484"/>
      <c r="EAY4" s="484"/>
      <c r="EAZ4" s="484"/>
      <c r="EBA4" s="484"/>
      <c r="EBB4" s="484"/>
      <c r="EBC4" s="484"/>
      <c r="EBD4" s="484"/>
      <c r="EBE4" s="484"/>
      <c r="EBF4" s="484"/>
      <c r="EBG4" s="484"/>
      <c r="EBH4" s="484"/>
      <c r="EBI4" s="484"/>
      <c r="EBJ4" s="484"/>
      <c r="EBK4" s="484"/>
      <c r="EBL4" s="484"/>
      <c r="EBM4" s="484"/>
      <c r="EBN4" s="484"/>
      <c r="EBO4" s="484"/>
      <c r="EBP4" s="484"/>
      <c r="EBQ4" s="484"/>
      <c r="EBR4" s="484"/>
      <c r="EBS4" s="484"/>
      <c r="EBT4" s="484"/>
      <c r="EBU4" s="484"/>
      <c r="EBV4" s="484"/>
      <c r="EBW4" s="484"/>
      <c r="EBX4" s="484"/>
      <c r="EBY4" s="484"/>
      <c r="EBZ4" s="484"/>
      <c r="ECA4" s="484"/>
      <c r="ECB4" s="484"/>
      <c r="ECC4" s="484"/>
      <c r="ECD4" s="484"/>
      <c r="ECE4" s="484"/>
      <c r="ECF4" s="484"/>
      <c r="ECG4" s="484"/>
      <c r="ECH4" s="484"/>
      <c r="ECI4" s="484"/>
      <c r="ECJ4" s="484"/>
      <c r="ECK4" s="484"/>
      <c r="ECL4" s="484"/>
      <c r="ECM4" s="484"/>
      <c r="ECN4" s="484"/>
      <c r="ECO4" s="484"/>
      <c r="ECP4" s="484"/>
      <c r="ECQ4" s="484"/>
      <c r="ECR4" s="484"/>
      <c r="ECS4" s="484"/>
      <c r="ECT4" s="484"/>
      <c r="ECU4" s="484"/>
      <c r="ECV4" s="484"/>
      <c r="ECW4" s="484"/>
      <c r="ECX4" s="484"/>
      <c r="ECY4" s="484"/>
      <c r="ECZ4" s="484"/>
      <c r="EDA4" s="484"/>
      <c r="EDB4" s="484"/>
      <c r="EDC4" s="484"/>
      <c r="EDD4" s="484"/>
      <c r="EDE4" s="484"/>
      <c r="EDF4" s="484"/>
      <c r="EDG4" s="484"/>
      <c r="EDH4" s="484"/>
      <c r="EDI4" s="484"/>
      <c r="EDJ4" s="484"/>
      <c r="EDK4" s="484"/>
      <c r="EDL4" s="484"/>
      <c r="EDM4" s="484"/>
      <c r="EDN4" s="484"/>
      <c r="EDO4" s="484"/>
      <c r="EDP4" s="484"/>
      <c r="EDQ4" s="484"/>
      <c r="EDR4" s="484"/>
      <c r="EDS4" s="484"/>
      <c r="EDT4" s="484"/>
      <c r="EDU4" s="484"/>
      <c r="EDV4" s="484"/>
      <c r="EDW4" s="484"/>
      <c r="EDX4" s="484"/>
      <c r="EDY4" s="484"/>
      <c r="EDZ4" s="484"/>
      <c r="EEA4" s="484"/>
      <c r="EEB4" s="484"/>
      <c r="EEC4" s="484"/>
      <c r="EED4" s="484"/>
      <c r="EEE4" s="484"/>
      <c r="EEF4" s="484"/>
      <c r="EEG4" s="484"/>
      <c r="EEH4" s="484"/>
      <c r="EEI4" s="484"/>
      <c r="EEJ4" s="484"/>
      <c r="EEK4" s="484"/>
      <c r="EEL4" s="484"/>
      <c r="EEM4" s="484"/>
      <c r="EEN4" s="484"/>
      <c r="EEO4" s="484"/>
      <c r="EEP4" s="484"/>
      <c r="EEQ4" s="484"/>
      <c r="EER4" s="484"/>
      <c r="EES4" s="484"/>
      <c r="EET4" s="484"/>
      <c r="EEU4" s="484"/>
      <c r="EEV4" s="484"/>
      <c r="EEW4" s="484"/>
      <c r="EEX4" s="484"/>
      <c r="EEY4" s="484"/>
      <c r="EEZ4" s="484"/>
      <c r="EFA4" s="484"/>
      <c r="EFB4" s="484"/>
      <c r="EFC4" s="484"/>
      <c r="EFD4" s="484"/>
      <c r="EFE4" s="484"/>
      <c r="EFF4" s="484"/>
      <c r="EFG4" s="484"/>
      <c r="EFH4" s="484"/>
      <c r="EFI4" s="484"/>
      <c r="EFJ4" s="484"/>
      <c r="EFK4" s="484"/>
      <c r="EFL4" s="484"/>
      <c r="EFM4" s="484"/>
      <c r="EFN4" s="484"/>
      <c r="EFO4" s="484"/>
      <c r="EFP4" s="484"/>
      <c r="EFQ4" s="484"/>
      <c r="EFR4" s="484"/>
      <c r="EFS4" s="484"/>
      <c r="EFT4" s="484"/>
      <c r="EFU4" s="484"/>
      <c r="EFV4" s="484"/>
      <c r="EFW4" s="484"/>
      <c r="EFX4" s="484"/>
      <c r="EFY4" s="484"/>
      <c r="EFZ4" s="484"/>
      <c r="EGA4" s="484"/>
      <c r="EGB4" s="484"/>
      <c r="EGC4" s="484"/>
      <c r="EGD4" s="484"/>
      <c r="EGE4" s="484"/>
      <c r="EGF4" s="484"/>
      <c r="EGG4" s="484"/>
      <c r="EGH4" s="484"/>
      <c r="EGI4" s="484"/>
      <c r="EGJ4" s="484"/>
      <c r="EGK4" s="484"/>
      <c r="EGL4" s="484"/>
      <c r="EGM4" s="484"/>
      <c r="EGN4" s="484"/>
      <c r="EGO4" s="484"/>
      <c r="EGP4" s="484"/>
      <c r="EGQ4" s="484"/>
      <c r="EGR4" s="484"/>
      <c r="EGS4" s="484"/>
      <c r="EGT4" s="484"/>
      <c r="EGU4" s="484"/>
      <c r="EGV4" s="484"/>
      <c r="EGW4" s="484"/>
      <c r="EGX4" s="484"/>
      <c r="EGY4" s="484"/>
      <c r="EGZ4" s="484"/>
      <c r="EHA4" s="484"/>
      <c r="EHB4" s="484"/>
      <c r="EHC4" s="484"/>
      <c r="EHD4" s="484"/>
      <c r="EHE4" s="484"/>
      <c r="EHF4" s="484"/>
      <c r="EHG4" s="484"/>
      <c r="EHH4" s="484"/>
      <c r="EHI4" s="484"/>
      <c r="EHJ4" s="484"/>
      <c r="EHK4" s="484"/>
      <c r="EHL4" s="484"/>
      <c r="EHM4" s="484"/>
      <c r="EHN4" s="484"/>
      <c r="EHO4" s="484"/>
      <c r="EHP4" s="484"/>
      <c r="EHQ4" s="484"/>
      <c r="EHR4" s="484"/>
      <c r="EHS4" s="484"/>
      <c r="EHT4" s="484"/>
      <c r="EHU4" s="484"/>
      <c r="EHV4" s="484"/>
      <c r="EHW4" s="484"/>
      <c r="EHX4" s="484"/>
      <c r="EHY4" s="484"/>
      <c r="EHZ4" s="484"/>
      <c r="EIA4" s="484"/>
      <c r="EIB4" s="484"/>
      <c r="EIC4" s="484"/>
      <c r="EID4" s="484"/>
      <c r="EIE4" s="484"/>
      <c r="EIF4" s="484"/>
      <c r="EIG4" s="484"/>
      <c r="EIH4" s="484"/>
      <c r="EII4" s="484"/>
      <c r="EIJ4" s="484"/>
      <c r="EIK4" s="484"/>
      <c r="EIL4" s="484"/>
      <c r="EIM4" s="484"/>
      <c r="EIN4" s="484"/>
      <c r="EIO4" s="484"/>
      <c r="EIP4" s="484"/>
      <c r="EIQ4" s="484"/>
      <c r="EIR4" s="484"/>
      <c r="EIS4" s="484"/>
      <c r="EIT4" s="484"/>
      <c r="EIU4" s="484"/>
      <c r="EIV4" s="484"/>
      <c r="EIW4" s="484"/>
      <c r="EIX4" s="484"/>
      <c r="EIY4" s="484"/>
      <c r="EIZ4" s="484"/>
      <c r="EJA4" s="484"/>
      <c r="EJB4" s="484"/>
      <c r="EJC4" s="484"/>
      <c r="EJD4" s="484"/>
      <c r="EJE4" s="484"/>
      <c r="EJF4" s="484"/>
      <c r="EJG4" s="484"/>
      <c r="EJH4" s="484"/>
      <c r="EJI4" s="484"/>
      <c r="EJJ4" s="484"/>
      <c r="EJK4" s="484"/>
      <c r="EJL4" s="484"/>
      <c r="EJM4" s="484"/>
      <c r="EJN4" s="484"/>
      <c r="EJO4" s="484"/>
      <c r="EJP4" s="484"/>
      <c r="EJQ4" s="484"/>
      <c r="EJR4" s="484"/>
      <c r="EJS4" s="484"/>
      <c r="EJT4" s="484"/>
      <c r="EJU4" s="484"/>
      <c r="EJV4" s="484"/>
      <c r="EJW4" s="484"/>
      <c r="EJX4" s="484"/>
      <c r="EJY4" s="484"/>
      <c r="EJZ4" s="484"/>
      <c r="EKA4" s="484"/>
      <c r="EKB4" s="484"/>
      <c r="EKC4" s="484"/>
      <c r="EKD4" s="484"/>
      <c r="EKE4" s="484"/>
      <c r="EKF4" s="484"/>
      <c r="EKG4" s="484"/>
      <c r="EKH4" s="484"/>
      <c r="EKI4" s="484"/>
      <c r="EKJ4" s="484"/>
      <c r="EKK4" s="484"/>
      <c r="EKL4" s="484"/>
      <c r="EKM4" s="484"/>
      <c r="EKN4" s="484"/>
      <c r="EKO4" s="484"/>
      <c r="EKP4" s="484"/>
      <c r="EKQ4" s="484"/>
      <c r="EKR4" s="484"/>
      <c r="EKS4" s="484"/>
      <c r="EKT4" s="484"/>
      <c r="EKU4" s="484"/>
      <c r="EKV4" s="484"/>
      <c r="EKW4" s="484"/>
      <c r="EKX4" s="484"/>
      <c r="EKY4" s="484"/>
      <c r="EKZ4" s="484"/>
      <c r="ELA4" s="484"/>
      <c r="ELB4" s="484"/>
      <c r="ELC4" s="484"/>
      <c r="ELD4" s="484"/>
      <c r="ELE4" s="484"/>
      <c r="ELF4" s="484"/>
      <c r="ELG4" s="484"/>
      <c r="ELH4" s="484"/>
      <c r="ELI4" s="484"/>
      <c r="ELJ4" s="484"/>
      <c r="ELK4" s="484"/>
      <c r="ELL4" s="484"/>
      <c r="ELM4" s="484"/>
      <c r="ELN4" s="484"/>
      <c r="ELO4" s="484"/>
      <c r="ELP4" s="484"/>
      <c r="ELQ4" s="484"/>
      <c r="ELR4" s="484"/>
      <c r="ELS4" s="484"/>
      <c r="ELT4" s="484"/>
      <c r="ELU4" s="484"/>
      <c r="ELV4" s="484"/>
      <c r="ELW4" s="484"/>
      <c r="ELX4" s="484"/>
      <c r="ELY4" s="484"/>
      <c r="ELZ4" s="484"/>
      <c r="EMA4" s="484"/>
      <c r="EMB4" s="484"/>
      <c r="EMC4" s="484"/>
      <c r="EMD4" s="484"/>
      <c r="EME4" s="484"/>
      <c r="EMF4" s="484"/>
      <c r="EMG4" s="484"/>
      <c r="EMH4" s="484"/>
      <c r="EMI4" s="484"/>
      <c r="EMJ4" s="484"/>
      <c r="EMK4" s="484"/>
      <c r="EML4" s="484"/>
      <c r="EMM4" s="484"/>
      <c r="EMN4" s="484"/>
      <c r="EMO4" s="484"/>
      <c r="EMP4" s="484"/>
      <c r="EMQ4" s="484"/>
      <c r="EMR4" s="484"/>
      <c r="EMS4" s="484"/>
      <c r="EMT4" s="484"/>
      <c r="EMU4" s="484"/>
      <c r="EMV4" s="484"/>
      <c r="EMW4" s="484"/>
      <c r="EMX4" s="484"/>
      <c r="EMY4" s="484"/>
      <c r="EMZ4" s="484"/>
      <c r="ENA4" s="484"/>
      <c r="ENB4" s="484"/>
      <c r="ENC4" s="484"/>
      <c r="END4" s="484"/>
      <c r="ENE4" s="484"/>
      <c r="ENF4" s="484"/>
      <c r="ENG4" s="484"/>
      <c r="ENH4" s="484"/>
      <c r="ENI4" s="484"/>
      <c r="ENJ4" s="484"/>
      <c r="ENK4" s="484"/>
      <c r="ENL4" s="484"/>
      <c r="ENM4" s="484"/>
      <c r="ENN4" s="484"/>
      <c r="ENO4" s="484"/>
      <c r="ENP4" s="484"/>
      <c r="ENQ4" s="484"/>
      <c r="ENR4" s="484"/>
      <c r="ENS4" s="484"/>
      <c r="ENT4" s="484"/>
      <c r="ENU4" s="484"/>
      <c r="ENV4" s="484"/>
      <c r="ENW4" s="484"/>
      <c r="ENX4" s="484"/>
      <c r="ENY4" s="484"/>
      <c r="ENZ4" s="484"/>
      <c r="EOA4" s="484"/>
      <c r="EOB4" s="484"/>
      <c r="EOC4" s="484"/>
      <c r="EOD4" s="484"/>
      <c r="EOE4" s="484"/>
      <c r="EOF4" s="484"/>
      <c r="EOG4" s="484"/>
      <c r="EOH4" s="484"/>
      <c r="EOI4" s="484"/>
      <c r="EOJ4" s="484"/>
      <c r="EOK4" s="484"/>
      <c r="EOL4" s="484"/>
      <c r="EOM4" s="484"/>
      <c r="EON4" s="484"/>
      <c r="EOO4" s="484"/>
      <c r="EOP4" s="484"/>
      <c r="EOQ4" s="484"/>
      <c r="EOR4" s="484"/>
      <c r="EOS4" s="484"/>
      <c r="EOT4" s="484"/>
      <c r="EOU4" s="484"/>
      <c r="EOV4" s="484"/>
      <c r="EOW4" s="484"/>
      <c r="EOX4" s="484"/>
      <c r="EOY4" s="484"/>
      <c r="EOZ4" s="484"/>
      <c r="EPA4" s="484"/>
      <c r="EPB4" s="484"/>
      <c r="EPC4" s="484"/>
      <c r="EPD4" s="484"/>
      <c r="EPE4" s="484"/>
      <c r="EPF4" s="484"/>
      <c r="EPG4" s="484"/>
      <c r="EPH4" s="484"/>
      <c r="EPI4" s="484"/>
      <c r="EPJ4" s="484"/>
      <c r="EPK4" s="484"/>
      <c r="EPL4" s="484"/>
      <c r="EPM4" s="484"/>
      <c r="EPN4" s="484"/>
      <c r="EPO4" s="484"/>
      <c r="EPP4" s="484"/>
      <c r="EPQ4" s="484"/>
      <c r="EPR4" s="484"/>
      <c r="EPS4" s="484"/>
      <c r="EPT4" s="484"/>
      <c r="EPU4" s="484"/>
      <c r="EPV4" s="484"/>
      <c r="EPW4" s="484"/>
      <c r="EPX4" s="484"/>
      <c r="EPY4" s="484"/>
      <c r="EPZ4" s="484"/>
      <c r="EQA4" s="484"/>
      <c r="EQB4" s="484"/>
      <c r="EQC4" s="484"/>
      <c r="EQD4" s="484"/>
      <c r="EQE4" s="484"/>
      <c r="EQF4" s="484"/>
      <c r="EQG4" s="484"/>
      <c r="EQH4" s="484"/>
      <c r="EQI4" s="484"/>
      <c r="EQJ4" s="484"/>
      <c r="EQK4" s="484"/>
      <c r="EQL4" s="484"/>
      <c r="EQM4" s="484"/>
      <c r="EQN4" s="484"/>
      <c r="EQO4" s="484"/>
      <c r="EQP4" s="484"/>
      <c r="EQQ4" s="484"/>
      <c r="EQR4" s="484"/>
      <c r="EQS4" s="484"/>
      <c r="EQT4" s="484"/>
      <c r="EQU4" s="484"/>
      <c r="EQV4" s="484"/>
      <c r="EQW4" s="484"/>
      <c r="EQX4" s="484"/>
      <c r="EQY4" s="484"/>
      <c r="EQZ4" s="484"/>
      <c r="ERA4" s="484"/>
      <c r="ERB4" s="484"/>
      <c r="ERC4" s="484"/>
      <c r="ERD4" s="484"/>
      <c r="ERE4" s="484"/>
      <c r="ERF4" s="484"/>
      <c r="ERG4" s="484"/>
      <c r="ERH4" s="484"/>
      <c r="ERI4" s="484"/>
      <c r="ERJ4" s="484"/>
      <c r="ERK4" s="484"/>
      <c r="ERL4" s="484"/>
      <c r="ERM4" s="484"/>
      <c r="ERN4" s="484"/>
      <c r="ERO4" s="484"/>
      <c r="ERP4" s="484"/>
      <c r="ERQ4" s="484"/>
      <c r="ERR4" s="484"/>
      <c r="ERS4" s="484"/>
      <c r="ERT4" s="484"/>
      <c r="ERU4" s="484"/>
      <c r="ERV4" s="484"/>
      <c r="ERW4" s="484"/>
      <c r="ERX4" s="484"/>
      <c r="ERY4" s="484"/>
      <c r="ERZ4" s="484"/>
      <c r="ESA4" s="484"/>
      <c r="ESB4" s="484"/>
      <c r="ESC4" s="484"/>
      <c r="ESD4" s="484"/>
      <c r="ESE4" s="484"/>
      <c r="ESF4" s="484"/>
      <c r="ESG4" s="484"/>
      <c r="ESH4" s="484"/>
      <c r="ESI4" s="484"/>
      <c r="ESJ4" s="484"/>
      <c r="ESK4" s="484"/>
      <c r="ESL4" s="484"/>
      <c r="ESM4" s="484"/>
      <c r="ESN4" s="484"/>
      <c r="ESO4" s="484"/>
      <c r="ESP4" s="484"/>
      <c r="ESQ4" s="484"/>
      <c r="ESR4" s="484"/>
      <c r="ESS4" s="484"/>
      <c r="EST4" s="484"/>
      <c r="ESU4" s="484"/>
      <c r="ESV4" s="484"/>
      <c r="ESW4" s="484"/>
      <c r="ESX4" s="484"/>
      <c r="ESY4" s="484"/>
      <c r="ESZ4" s="484"/>
      <c r="ETA4" s="484"/>
      <c r="ETB4" s="484"/>
      <c r="ETC4" s="484"/>
      <c r="ETD4" s="484"/>
      <c r="ETE4" s="484"/>
      <c r="ETF4" s="484"/>
      <c r="ETG4" s="484"/>
      <c r="ETH4" s="484"/>
      <c r="ETI4" s="484"/>
      <c r="ETJ4" s="484"/>
      <c r="ETK4" s="484"/>
      <c r="ETL4" s="484"/>
      <c r="ETM4" s="484"/>
      <c r="ETN4" s="484"/>
      <c r="ETO4" s="484"/>
      <c r="ETP4" s="484"/>
      <c r="ETQ4" s="484"/>
      <c r="ETR4" s="484"/>
      <c r="ETS4" s="484"/>
      <c r="ETT4" s="484"/>
      <c r="ETU4" s="484"/>
      <c r="ETV4" s="484"/>
      <c r="ETW4" s="484"/>
      <c r="ETX4" s="484"/>
      <c r="ETY4" s="484"/>
      <c r="ETZ4" s="484"/>
      <c r="EUA4" s="484"/>
      <c r="EUB4" s="484"/>
      <c r="EUC4" s="484"/>
      <c r="EUD4" s="484"/>
      <c r="EUE4" s="484"/>
      <c r="EUF4" s="484"/>
      <c r="EUG4" s="484"/>
      <c r="EUH4" s="484"/>
      <c r="EUI4" s="484"/>
      <c r="EUJ4" s="484"/>
      <c r="EUK4" s="484"/>
      <c r="EUL4" s="484"/>
      <c r="EUM4" s="484"/>
      <c r="EUN4" s="484"/>
      <c r="EUO4" s="484"/>
      <c r="EUP4" s="484"/>
      <c r="EUQ4" s="484"/>
      <c r="EUR4" s="484"/>
      <c r="EUS4" s="484"/>
      <c r="EUT4" s="484"/>
      <c r="EUU4" s="484"/>
      <c r="EUV4" s="484"/>
      <c r="EUW4" s="484"/>
      <c r="EUX4" s="484"/>
      <c r="EUY4" s="484"/>
      <c r="EUZ4" s="484"/>
      <c r="EVA4" s="484"/>
      <c r="EVB4" s="484"/>
      <c r="EVC4" s="484"/>
      <c r="EVD4" s="484"/>
      <c r="EVE4" s="484"/>
      <c r="EVF4" s="484"/>
      <c r="EVG4" s="484"/>
      <c r="EVH4" s="484"/>
      <c r="EVI4" s="484"/>
      <c r="EVJ4" s="484"/>
      <c r="EVK4" s="484"/>
      <c r="EVL4" s="484"/>
      <c r="EVM4" s="484"/>
      <c r="EVN4" s="484"/>
      <c r="EVO4" s="484"/>
      <c r="EVP4" s="484"/>
      <c r="EVQ4" s="484"/>
      <c r="EVR4" s="484"/>
      <c r="EVS4" s="484"/>
      <c r="EVT4" s="484"/>
      <c r="EVU4" s="484"/>
      <c r="EVV4" s="484"/>
      <c r="EVW4" s="484"/>
      <c r="EVX4" s="484"/>
      <c r="EVY4" s="484"/>
      <c r="EVZ4" s="484"/>
      <c r="EWA4" s="484"/>
      <c r="EWB4" s="484"/>
      <c r="EWC4" s="484"/>
      <c r="EWD4" s="484"/>
      <c r="EWE4" s="484"/>
      <c r="EWF4" s="484"/>
      <c r="EWG4" s="484"/>
      <c r="EWH4" s="484"/>
      <c r="EWI4" s="484"/>
      <c r="EWJ4" s="484"/>
      <c r="EWK4" s="484"/>
      <c r="EWL4" s="484"/>
      <c r="EWM4" s="484"/>
      <c r="EWN4" s="484"/>
      <c r="EWO4" s="484"/>
      <c r="EWP4" s="484"/>
      <c r="EWQ4" s="484"/>
      <c r="EWR4" s="484"/>
      <c r="EWS4" s="484"/>
      <c r="EWT4" s="484"/>
      <c r="EWU4" s="484"/>
      <c r="EWV4" s="484"/>
      <c r="EWW4" s="484"/>
      <c r="EWX4" s="484"/>
      <c r="EWY4" s="484"/>
      <c r="EWZ4" s="484"/>
      <c r="EXA4" s="484"/>
      <c r="EXB4" s="484"/>
      <c r="EXC4" s="484"/>
      <c r="EXD4" s="484"/>
      <c r="EXE4" s="484"/>
      <c r="EXF4" s="484"/>
      <c r="EXG4" s="484"/>
      <c r="EXH4" s="484"/>
      <c r="EXI4" s="484"/>
      <c r="EXJ4" s="484"/>
      <c r="EXK4" s="484"/>
      <c r="EXL4" s="484"/>
      <c r="EXM4" s="484"/>
      <c r="EXN4" s="484"/>
      <c r="EXO4" s="484"/>
      <c r="EXP4" s="484"/>
      <c r="EXQ4" s="484"/>
      <c r="EXR4" s="484"/>
      <c r="EXS4" s="484"/>
      <c r="EXT4" s="484"/>
      <c r="EXU4" s="484"/>
      <c r="EXV4" s="484"/>
      <c r="EXW4" s="484"/>
      <c r="EXX4" s="484"/>
      <c r="EXY4" s="484"/>
      <c r="EXZ4" s="484"/>
      <c r="EYA4" s="484"/>
      <c r="EYB4" s="484"/>
      <c r="EYC4" s="484"/>
      <c r="EYD4" s="484"/>
      <c r="EYE4" s="484"/>
      <c r="EYF4" s="484"/>
      <c r="EYG4" s="484"/>
      <c r="EYH4" s="484"/>
      <c r="EYI4" s="484"/>
      <c r="EYJ4" s="484"/>
      <c r="EYK4" s="484"/>
      <c r="EYL4" s="484"/>
      <c r="EYM4" s="484"/>
      <c r="EYN4" s="484"/>
      <c r="EYO4" s="484"/>
      <c r="EYP4" s="484"/>
      <c r="EYQ4" s="484"/>
      <c r="EYR4" s="484"/>
      <c r="EYS4" s="484"/>
      <c r="EYT4" s="484"/>
      <c r="EYU4" s="484"/>
      <c r="EYV4" s="484"/>
      <c r="EYW4" s="484"/>
      <c r="EYX4" s="484"/>
      <c r="EYY4" s="484"/>
      <c r="EYZ4" s="484"/>
      <c r="EZA4" s="484"/>
      <c r="EZB4" s="484"/>
      <c r="EZC4" s="484"/>
      <c r="EZD4" s="484"/>
      <c r="EZE4" s="484"/>
      <c r="EZF4" s="484"/>
      <c r="EZG4" s="484"/>
      <c r="EZH4" s="484"/>
      <c r="EZI4" s="484"/>
      <c r="EZJ4" s="484"/>
      <c r="EZK4" s="484"/>
      <c r="EZL4" s="484"/>
      <c r="EZM4" s="484"/>
      <c r="EZN4" s="484"/>
      <c r="EZO4" s="484"/>
      <c r="EZP4" s="484"/>
      <c r="EZQ4" s="484"/>
      <c r="EZR4" s="484"/>
      <c r="EZS4" s="484"/>
      <c r="EZT4" s="484"/>
      <c r="EZU4" s="484"/>
      <c r="EZV4" s="484"/>
      <c r="EZW4" s="484"/>
      <c r="EZX4" s="484"/>
      <c r="EZY4" s="484"/>
      <c r="EZZ4" s="484"/>
      <c r="FAA4" s="484"/>
      <c r="FAB4" s="484"/>
      <c r="FAC4" s="484"/>
      <c r="FAD4" s="484"/>
      <c r="FAE4" s="484"/>
      <c r="FAF4" s="484"/>
      <c r="FAG4" s="484"/>
      <c r="FAH4" s="484"/>
      <c r="FAI4" s="484"/>
      <c r="FAJ4" s="484"/>
      <c r="FAK4" s="484"/>
      <c r="FAL4" s="484"/>
      <c r="FAM4" s="484"/>
      <c r="FAN4" s="484"/>
      <c r="FAO4" s="484"/>
      <c r="FAP4" s="484"/>
      <c r="FAQ4" s="484"/>
      <c r="FAR4" s="484"/>
      <c r="FAS4" s="484"/>
      <c r="FAT4" s="484"/>
      <c r="FAU4" s="484"/>
      <c r="FAV4" s="484"/>
      <c r="FAW4" s="484"/>
      <c r="FAX4" s="484"/>
      <c r="FAY4" s="484"/>
      <c r="FAZ4" s="484"/>
      <c r="FBA4" s="484"/>
      <c r="FBB4" s="484"/>
      <c r="FBC4" s="484"/>
      <c r="FBD4" s="484"/>
      <c r="FBE4" s="484"/>
      <c r="FBF4" s="484"/>
      <c r="FBG4" s="484"/>
      <c r="FBH4" s="484"/>
      <c r="FBI4" s="484"/>
      <c r="FBJ4" s="484"/>
      <c r="FBK4" s="484"/>
      <c r="FBL4" s="484"/>
      <c r="FBM4" s="484"/>
      <c r="FBN4" s="484"/>
      <c r="FBO4" s="484"/>
      <c r="FBP4" s="484"/>
      <c r="FBQ4" s="484"/>
      <c r="FBR4" s="484"/>
      <c r="FBS4" s="484"/>
      <c r="FBT4" s="484"/>
      <c r="FBU4" s="484"/>
      <c r="FBV4" s="484"/>
      <c r="FBW4" s="484"/>
      <c r="FBX4" s="484"/>
      <c r="FBY4" s="484"/>
      <c r="FBZ4" s="484"/>
      <c r="FCA4" s="484"/>
      <c r="FCB4" s="484"/>
      <c r="FCC4" s="484"/>
      <c r="FCD4" s="484"/>
      <c r="FCE4" s="484"/>
      <c r="FCF4" s="484"/>
      <c r="FCG4" s="484"/>
      <c r="FCH4" s="484"/>
      <c r="FCI4" s="484"/>
      <c r="FCJ4" s="484"/>
      <c r="FCK4" s="484"/>
      <c r="FCL4" s="484"/>
      <c r="FCM4" s="484"/>
      <c r="FCN4" s="484"/>
      <c r="FCO4" s="484"/>
      <c r="FCP4" s="484"/>
      <c r="FCQ4" s="484"/>
      <c r="FCR4" s="484"/>
      <c r="FCS4" s="484"/>
      <c r="FCT4" s="484"/>
      <c r="FCU4" s="484"/>
      <c r="FCV4" s="484"/>
      <c r="FCW4" s="484"/>
      <c r="FCX4" s="484"/>
      <c r="FCY4" s="484"/>
      <c r="FCZ4" s="484"/>
      <c r="FDA4" s="484"/>
      <c r="FDB4" s="484"/>
      <c r="FDC4" s="484"/>
      <c r="FDD4" s="484"/>
      <c r="FDE4" s="484"/>
      <c r="FDF4" s="484"/>
      <c r="FDG4" s="484"/>
      <c r="FDH4" s="484"/>
      <c r="FDI4" s="484"/>
      <c r="FDJ4" s="484"/>
      <c r="FDK4" s="484"/>
      <c r="FDL4" s="484"/>
      <c r="FDM4" s="484"/>
      <c r="FDN4" s="484"/>
      <c r="FDO4" s="484"/>
      <c r="FDP4" s="484"/>
      <c r="FDQ4" s="484"/>
      <c r="FDR4" s="484"/>
      <c r="FDS4" s="484"/>
      <c r="FDT4" s="484"/>
      <c r="FDU4" s="484"/>
      <c r="FDV4" s="484"/>
      <c r="FDW4" s="484"/>
      <c r="FDX4" s="484"/>
      <c r="FDY4" s="484"/>
      <c r="FDZ4" s="484"/>
      <c r="FEA4" s="484"/>
      <c r="FEB4" s="484"/>
      <c r="FEC4" s="484"/>
      <c r="FED4" s="484"/>
      <c r="FEE4" s="484"/>
      <c r="FEF4" s="484"/>
      <c r="FEG4" s="484"/>
      <c r="FEH4" s="484"/>
      <c r="FEI4" s="484"/>
      <c r="FEJ4" s="484"/>
      <c r="FEK4" s="484"/>
      <c r="FEL4" s="484"/>
      <c r="FEM4" s="484"/>
      <c r="FEN4" s="484"/>
      <c r="FEO4" s="484"/>
      <c r="FEP4" s="484"/>
      <c r="FEQ4" s="484"/>
      <c r="FER4" s="484"/>
      <c r="FES4" s="484"/>
      <c r="FET4" s="484"/>
      <c r="FEU4" s="484"/>
      <c r="FEV4" s="484"/>
      <c r="FEW4" s="484"/>
      <c r="FEX4" s="484"/>
      <c r="FEY4" s="484"/>
      <c r="FEZ4" s="484"/>
      <c r="FFA4" s="484"/>
      <c r="FFB4" s="484"/>
      <c r="FFC4" s="484"/>
      <c r="FFD4" s="484"/>
      <c r="FFE4" s="484"/>
      <c r="FFF4" s="484"/>
      <c r="FFG4" s="484"/>
      <c r="FFH4" s="484"/>
      <c r="FFI4" s="484"/>
      <c r="FFJ4" s="484"/>
      <c r="FFK4" s="484"/>
      <c r="FFL4" s="484"/>
      <c r="FFM4" s="484"/>
      <c r="FFN4" s="484"/>
      <c r="FFO4" s="484"/>
      <c r="FFP4" s="484"/>
      <c r="FFQ4" s="484"/>
      <c r="FFR4" s="484"/>
      <c r="FFS4" s="484"/>
      <c r="FFT4" s="484"/>
      <c r="FFU4" s="484"/>
      <c r="FFV4" s="484"/>
      <c r="FFW4" s="484"/>
      <c r="FFX4" s="484"/>
      <c r="FFY4" s="484"/>
      <c r="FFZ4" s="484"/>
      <c r="FGA4" s="484"/>
      <c r="FGB4" s="484"/>
      <c r="FGC4" s="484"/>
      <c r="FGD4" s="484"/>
      <c r="FGE4" s="484"/>
      <c r="FGF4" s="484"/>
      <c r="FGG4" s="484"/>
      <c r="FGH4" s="484"/>
      <c r="FGI4" s="484"/>
      <c r="FGJ4" s="484"/>
      <c r="FGK4" s="484"/>
      <c r="FGL4" s="484"/>
      <c r="FGM4" s="484"/>
      <c r="FGN4" s="484"/>
      <c r="FGO4" s="484"/>
      <c r="FGP4" s="484"/>
      <c r="FGQ4" s="484"/>
      <c r="FGR4" s="484"/>
      <c r="FGS4" s="484"/>
      <c r="FGT4" s="484"/>
      <c r="FGU4" s="484"/>
      <c r="FGV4" s="484"/>
      <c r="FGW4" s="484"/>
      <c r="FGX4" s="484"/>
      <c r="FGY4" s="484"/>
      <c r="FGZ4" s="484"/>
      <c r="FHA4" s="484"/>
      <c r="FHB4" s="484"/>
      <c r="FHC4" s="484"/>
      <c r="FHD4" s="484"/>
      <c r="FHE4" s="484"/>
      <c r="FHF4" s="484"/>
      <c r="FHG4" s="484"/>
      <c r="FHH4" s="484"/>
      <c r="FHI4" s="484"/>
      <c r="FHJ4" s="484"/>
      <c r="FHK4" s="484"/>
      <c r="FHL4" s="484"/>
      <c r="FHM4" s="484"/>
      <c r="FHN4" s="484"/>
      <c r="FHO4" s="484"/>
      <c r="FHP4" s="484"/>
      <c r="FHQ4" s="484"/>
      <c r="FHR4" s="484"/>
      <c r="FHS4" s="484"/>
      <c r="FHT4" s="484"/>
      <c r="FHU4" s="484"/>
      <c r="FHV4" s="484"/>
      <c r="FHW4" s="484"/>
      <c r="FHX4" s="484"/>
      <c r="FHY4" s="484"/>
      <c r="FHZ4" s="484"/>
      <c r="FIA4" s="484"/>
      <c r="FIB4" s="484"/>
      <c r="FIC4" s="484"/>
      <c r="FID4" s="484"/>
      <c r="FIE4" s="484"/>
      <c r="FIF4" s="484"/>
      <c r="FIG4" s="484"/>
      <c r="FIH4" s="484"/>
      <c r="FII4" s="484"/>
      <c r="FIJ4" s="484"/>
      <c r="FIK4" s="484"/>
      <c r="FIL4" s="484"/>
      <c r="FIM4" s="484"/>
      <c r="FIN4" s="484"/>
      <c r="FIO4" s="484"/>
      <c r="FIP4" s="484"/>
      <c r="FIQ4" s="484"/>
      <c r="FIR4" s="484"/>
      <c r="FIS4" s="484"/>
      <c r="FIT4" s="484"/>
      <c r="FIU4" s="484"/>
      <c r="FIV4" s="484"/>
      <c r="FIW4" s="484"/>
      <c r="FIX4" s="484"/>
      <c r="FIY4" s="484"/>
      <c r="FIZ4" s="484"/>
      <c r="FJA4" s="484"/>
      <c r="FJB4" s="484"/>
      <c r="FJC4" s="484"/>
      <c r="FJD4" s="484"/>
      <c r="FJE4" s="484"/>
      <c r="FJF4" s="484"/>
      <c r="FJG4" s="484"/>
      <c r="FJH4" s="484"/>
      <c r="FJI4" s="484"/>
      <c r="FJJ4" s="484"/>
      <c r="FJK4" s="484"/>
      <c r="FJL4" s="484"/>
      <c r="FJM4" s="484"/>
      <c r="FJN4" s="484"/>
      <c r="FJO4" s="484"/>
      <c r="FJP4" s="484"/>
      <c r="FJQ4" s="484"/>
      <c r="FJR4" s="484"/>
      <c r="FJS4" s="484"/>
      <c r="FJT4" s="484"/>
      <c r="FJU4" s="484"/>
      <c r="FJV4" s="484"/>
      <c r="FJW4" s="484"/>
      <c r="FJX4" s="484"/>
      <c r="FJY4" s="484"/>
      <c r="FJZ4" s="484"/>
      <c r="FKA4" s="484"/>
      <c r="FKB4" s="484"/>
      <c r="FKC4" s="484"/>
      <c r="FKD4" s="484"/>
      <c r="FKE4" s="484"/>
      <c r="FKF4" s="484"/>
      <c r="FKG4" s="484"/>
      <c r="FKH4" s="484"/>
      <c r="FKI4" s="484"/>
      <c r="FKJ4" s="484"/>
      <c r="FKK4" s="484"/>
      <c r="FKL4" s="484"/>
      <c r="FKM4" s="484"/>
      <c r="FKN4" s="484"/>
      <c r="FKO4" s="484"/>
      <c r="FKP4" s="484"/>
      <c r="FKQ4" s="484"/>
      <c r="FKR4" s="484"/>
      <c r="FKS4" s="484"/>
      <c r="FKT4" s="484"/>
      <c r="FKU4" s="484"/>
      <c r="FKV4" s="484"/>
      <c r="FKW4" s="484"/>
      <c r="FKX4" s="484"/>
      <c r="FKY4" s="484"/>
      <c r="FKZ4" s="484"/>
      <c r="FLA4" s="484"/>
      <c r="FLB4" s="484"/>
      <c r="FLC4" s="484"/>
      <c r="FLD4" s="484"/>
      <c r="FLE4" s="484"/>
      <c r="FLF4" s="484"/>
      <c r="FLG4" s="484"/>
      <c r="FLH4" s="484"/>
      <c r="FLI4" s="484"/>
      <c r="FLJ4" s="484"/>
      <c r="FLK4" s="484"/>
      <c r="FLL4" s="484"/>
      <c r="FLM4" s="484"/>
      <c r="FLN4" s="484"/>
      <c r="FLO4" s="484"/>
      <c r="FLP4" s="484"/>
      <c r="FLQ4" s="484"/>
      <c r="FLR4" s="484"/>
      <c r="FLS4" s="484"/>
      <c r="FLT4" s="484"/>
      <c r="FLU4" s="484"/>
      <c r="FLV4" s="484"/>
      <c r="FLW4" s="484"/>
      <c r="FLX4" s="484"/>
      <c r="FLY4" s="484"/>
      <c r="FLZ4" s="484"/>
      <c r="FMA4" s="484"/>
      <c r="FMB4" s="484"/>
      <c r="FMC4" s="484"/>
      <c r="FMD4" s="484"/>
      <c r="FME4" s="484"/>
      <c r="FMF4" s="484"/>
      <c r="FMG4" s="484"/>
      <c r="FMH4" s="484"/>
      <c r="FMI4" s="484"/>
      <c r="FMJ4" s="484"/>
      <c r="FMK4" s="484"/>
      <c r="FML4" s="484"/>
      <c r="FMM4" s="484"/>
      <c r="FMN4" s="484"/>
      <c r="FMO4" s="484"/>
      <c r="FMP4" s="484"/>
      <c r="FMQ4" s="484"/>
      <c r="FMR4" s="484"/>
      <c r="FMS4" s="484"/>
      <c r="FMT4" s="484"/>
      <c r="FMU4" s="484"/>
      <c r="FMV4" s="484"/>
      <c r="FMW4" s="484"/>
      <c r="FMX4" s="484"/>
      <c r="FMY4" s="484"/>
      <c r="FMZ4" s="484"/>
      <c r="FNA4" s="484"/>
      <c r="FNB4" s="484"/>
      <c r="FNC4" s="484"/>
      <c r="FND4" s="484"/>
      <c r="FNE4" s="484"/>
      <c r="FNF4" s="484"/>
      <c r="FNG4" s="484"/>
      <c r="FNH4" s="484"/>
      <c r="FNI4" s="484"/>
      <c r="FNJ4" s="484"/>
      <c r="FNK4" s="484"/>
      <c r="FNL4" s="484"/>
      <c r="FNM4" s="484"/>
      <c r="FNN4" s="484"/>
      <c r="FNO4" s="484"/>
      <c r="FNP4" s="484"/>
      <c r="FNQ4" s="484"/>
      <c r="FNR4" s="484"/>
      <c r="FNS4" s="484"/>
      <c r="FNT4" s="484"/>
      <c r="FNU4" s="484"/>
      <c r="FNV4" s="484"/>
      <c r="FNW4" s="484"/>
      <c r="FNX4" s="484"/>
      <c r="FNY4" s="484"/>
      <c r="FNZ4" s="484"/>
      <c r="FOA4" s="484"/>
      <c r="FOB4" s="484"/>
      <c r="FOC4" s="484"/>
      <c r="FOD4" s="484"/>
      <c r="FOE4" s="484"/>
      <c r="FOF4" s="484"/>
      <c r="FOG4" s="484"/>
      <c r="FOH4" s="484"/>
      <c r="FOI4" s="484"/>
      <c r="FOJ4" s="484"/>
      <c r="FOK4" s="484"/>
      <c r="FOL4" s="484"/>
      <c r="FOM4" s="484"/>
      <c r="FON4" s="484"/>
      <c r="FOO4" s="484"/>
      <c r="FOP4" s="484"/>
      <c r="FOQ4" s="484"/>
      <c r="FOR4" s="484"/>
      <c r="FOS4" s="484"/>
      <c r="FOT4" s="484"/>
      <c r="FOU4" s="484"/>
      <c r="FOV4" s="484"/>
      <c r="FOW4" s="484"/>
      <c r="FOX4" s="484"/>
      <c r="FOY4" s="484"/>
      <c r="FOZ4" s="484"/>
      <c r="FPA4" s="484"/>
      <c r="FPB4" s="484"/>
      <c r="FPC4" s="484"/>
      <c r="FPD4" s="484"/>
      <c r="FPE4" s="484"/>
      <c r="FPF4" s="484"/>
      <c r="FPG4" s="484"/>
      <c r="FPH4" s="484"/>
      <c r="FPI4" s="484"/>
      <c r="FPJ4" s="484"/>
      <c r="FPK4" s="484"/>
      <c r="FPL4" s="484"/>
      <c r="FPM4" s="484"/>
      <c r="FPN4" s="484"/>
      <c r="FPO4" s="484"/>
      <c r="FPP4" s="484"/>
      <c r="FPQ4" s="484"/>
      <c r="FPR4" s="484"/>
      <c r="FPS4" s="484"/>
      <c r="FPT4" s="484"/>
      <c r="FPU4" s="484"/>
      <c r="FPV4" s="484"/>
      <c r="FPW4" s="484"/>
      <c r="FPX4" s="484"/>
      <c r="FPY4" s="484"/>
      <c r="FPZ4" s="484"/>
      <c r="FQA4" s="484"/>
      <c r="FQB4" s="484"/>
      <c r="FQC4" s="484"/>
      <c r="FQD4" s="484"/>
      <c r="FQE4" s="484"/>
      <c r="FQF4" s="484"/>
      <c r="FQG4" s="484"/>
      <c r="FQH4" s="484"/>
      <c r="FQI4" s="484"/>
      <c r="FQJ4" s="484"/>
      <c r="FQK4" s="484"/>
      <c r="FQL4" s="484"/>
      <c r="FQM4" s="484"/>
      <c r="FQN4" s="484"/>
      <c r="FQO4" s="484"/>
      <c r="FQP4" s="484"/>
      <c r="FQQ4" s="484"/>
      <c r="FQR4" s="484"/>
      <c r="FQS4" s="484"/>
      <c r="FQT4" s="484"/>
      <c r="FQU4" s="484"/>
      <c r="FQV4" s="484"/>
      <c r="FQW4" s="484"/>
      <c r="FQX4" s="484"/>
      <c r="FQY4" s="484"/>
      <c r="FQZ4" s="484"/>
      <c r="FRA4" s="484"/>
      <c r="FRB4" s="484"/>
      <c r="FRC4" s="484"/>
      <c r="FRD4" s="484"/>
      <c r="FRE4" s="484"/>
      <c r="FRF4" s="484"/>
      <c r="FRG4" s="484"/>
      <c r="FRH4" s="484"/>
      <c r="FRI4" s="484"/>
      <c r="FRJ4" s="484"/>
      <c r="FRK4" s="484"/>
      <c r="FRL4" s="484"/>
      <c r="FRM4" s="484"/>
      <c r="FRN4" s="484"/>
      <c r="FRO4" s="484"/>
      <c r="FRP4" s="484"/>
      <c r="FRQ4" s="484"/>
      <c r="FRR4" s="484"/>
      <c r="FRS4" s="484"/>
      <c r="FRT4" s="484"/>
      <c r="FRU4" s="484"/>
      <c r="FRV4" s="484"/>
      <c r="FRW4" s="484"/>
      <c r="FRX4" s="484"/>
      <c r="FRY4" s="484"/>
      <c r="FRZ4" s="484"/>
      <c r="FSA4" s="484"/>
      <c r="FSB4" s="484"/>
      <c r="FSC4" s="484"/>
      <c r="FSD4" s="484"/>
      <c r="FSE4" s="484"/>
      <c r="FSF4" s="484"/>
      <c r="FSG4" s="484"/>
      <c r="FSH4" s="484"/>
      <c r="FSI4" s="484"/>
      <c r="FSJ4" s="484"/>
      <c r="FSK4" s="484"/>
      <c r="FSL4" s="484"/>
      <c r="FSM4" s="484"/>
      <c r="FSN4" s="484"/>
      <c r="FSO4" s="484"/>
      <c r="FSP4" s="484"/>
      <c r="FSQ4" s="484"/>
      <c r="FSR4" s="484"/>
      <c r="FSS4" s="484"/>
      <c r="FST4" s="484"/>
      <c r="FSU4" s="484"/>
      <c r="FSV4" s="484"/>
      <c r="FSW4" s="484"/>
      <c r="FSX4" s="484"/>
      <c r="FSY4" s="484"/>
      <c r="FSZ4" s="484"/>
      <c r="FTA4" s="484"/>
      <c r="FTB4" s="484"/>
      <c r="FTC4" s="484"/>
      <c r="FTD4" s="484"/>
      <c r="FTE4" s="484"/>
      <c r="FTF4" s="484"/>
      <c r="FTG4" s="484"/>
      <c r="FTH4" s="484"/>
      <c r="FTI4" s="484"/>
      <c r="FTJ4" s="484"/>
      <c r="FTK4" s="484"/>
      <c r="FTL4" s="484"/>
      <c r="FTM4" s="484"/>
      <c r="FTN4" s="484"/>
      <c r="FTO4" s="484"/>
      <c r="FTP4" s="484"/>
      <c r="FTQ4" s="484"/>
      <c r="FTR4" s="484"/>
      <c r="FTS4" s="484"/>
      <c r="FTT4" s="484"/>
      <c r="FTU4" s="484"/>
      <c r="FTV4" s="484"/>
      <c r="FTW4" s="484"/>
      <c r="FTX4" s="484"/>
      <c r="FTY4" s="484"/>
      <c r="FTZ4" s="484"/>
      <c r="FUA4" s="484"/>
      <c r="FUB4" s="484"/>
      <c r="FUC4" s="484"/>
      <c r="FUD4" s="484"/>
      <c r="FUE4" s="484"/>
      <c r="FUF4" s="484"/>
      <c r="FUG4" s="484"/>
      <c r="FUH4" s="484"/>
      <c r="FUI4" s="484"/>
      <c r="FUJ4" s="484"/>
      <c r="FUK4" s="484"/>
      <c r="FUL4" s="484"/>
      <c r="FUM4" s="484"/>
      <c r="FUN4" s="484"/>
      <c r="FUO4" s="484"/>
      <c r="FUP4" s="484"/>
      <c r="FUQ4" s="484"/>
      <c r="FUR4" s="484"/>
      <c r="FUS4" s="484"/>
      <c r="FUT4" s="484"/>
      <c r="FUU4" s="484"/>
      <c r="FUV4" s="484"/>
      <c r="FUW4" s="484"/>
      <c r="FUX4" s="484"/>
      <c r="FUY4" s="484"/>
      <c r="FUZ4" s="484"/>
      <c r="FVA4" s="484"/>
      <c r="FVB4" s="484"/>
      <c r="FVC4" s="484"/>
      <c r="FVD4" s="484"/>
      <c r="FVE4" s="484"/>
      <c r="FVF4" s="484"/>
      <c r="FVG4" s="484"/>
      <c r="FVH4" s="484"/>
      <c r="FVI4" s="484"/>
      <c r="FVJ4" s="484"/>
      <c r="FVK4" s="484"/>
      <c r="FVL4" s="484"/>
      <c r="FVM4" s="484"/>
      <c r="FVN4" s="484"/>
      <c r="FVO4" s="484"/>
      <c r="FVP4" s="484"/>
      <c r="FVQ4" s="484"/>
      <c r="FVR4" s="484"/>
      <c r="FVS4" s="484"/>
      <c r="FVT4" s="484"/>
      <c r="FVU4" s="484"/>
      <c r="FVV4" s="484"/>
      <c r="FVW4" s="484"/>
      <c r="FVX4" s="484"/>
      <c r="FVY4" s="484"/>
      <c r="FVZ4" s="484"/>
      <c r="FWA4" s="484"/>
      <c r="FWB4" s="484"/>
      <c r="FWC4" s="484"/>
      <c r="FWD4" s="484"/>
      <c r="FWE4" s="484"/>
      <c r="FWF4" s="484"/>
      <c r="FWG4" s="484"/>
      <c r="FWH4" s="484"/>
      <c r="FWI4" s="484"/>
      <c r="FWJ4" s="484"/>
      <c r="FWK4" s="484"/>
      <c r="FWL4" s="484"/>
      <c r="FWM4" s="484"/>
      <c r="FWN4" s="484"/>
      <c r="FWO4" s="484"/>
      <c r="FWP4" s="484"/>
      <c r="FWQ4" s="484"/>
      <c r="FWR4" s="484"/>
      <c r="FWS4" s="484"/>
      <c r="FWT4" s="484"/>
      <c r="FWU4" s="484"/>
      <c r="FWV4" s="484"/>
      <c r="FWW4" s="484"/>
      <c r="FWX4" s="484"/>
      <c r="FWY4" s="484"/>
      <c r="FWZ4" s="484"/>
      <c r="FXA4" s="484"/>
      <c r="FXB4" s="484"/>
      <c r="FXC4" s="484"/>
      <c r="FXD4" s="484"/>
      <c r="FXE4" s="484"/>
      <c r="FXF4" s="484"/>
      <c r="FXG4" s="484"/>
      <c r="FXH4" s="484"/>
      <c r="FXI4" s="484"/>
      <c r="FXJ4" s="484"/>
      <c r="FXK4" s="484"/>
      <c r="FXL4" s="484"/>
      <c r="FXM4" s="484"/>
      <c r="FXN4" s="484"/>
      <c r="FXO4" s="484"/>
      <c r="FXP4" s="484"/>
      <c r="FXQ4" s="484"/>
      <c r="FXR4" s="484"/>
      <c r="FXS4" s="484"/>
      <c r="FXT4" s="484"/>
      <c r="FXU4" s="484"/>
      <c r="FXV4" s="484"/>
      <c r="FXW4" s="484"/>
      <c r="FXX4" s="484"/>
      <c r="FXY4" s="484"/>
      <c r="FXZ4" s="484"/>
      <c r="FYA4" s="484"/>
      <c r="FYB4" s="484"/>
      <c r="FYC4" s="484"/>
      <c r="FYD4" s="484"/>
      <c r="FYE4" s="484"/>
      <c r="FYF4" s="484"/>
      <c r="FYG4" s="484"/>
      <c r="FYH4" s="484"/>
      <c r="FYI4" s="484"/>
      <c r="FYJ4" s="484"/>
      <c r="FYK4" s="484"/>
      <c r="FYL4" s="484"/>
      <c r="FYM4" s="484"/>
      <c r="FYN4" s="484"/>
      <c r="FYO4" s="484"/>
      <c r="FYP4" s="484"/>
      <c r="FYQ4" s="484"/>
      <c r="FYR4" s="484"/>
      <c r="FYS4" s="484"/>
      <c r="FYT4" s="484"/>
      <c r="FYU4" s="484"/>
      <c r="FYV4" s="484"/>
      <c r="FYW4" s="484"/>
      <c r="FYX4" s="484"/>
      <c r="FYY4" s="484"/>
      <c r="FYZ4" s="484"/>
      <c r="FZA4" s="484"/>
      <c r="FZB4" s="484"/>
      <c r="FZC4" s="484"/>
      <c r="FZD4" s="484"/>
      <c r="FZE4" s="484"/>
      <c r="FZF4" s="484"/>
      <c r="FZG4" s="484"/>
      <c r="FZH4" s="484"/>
      <c r="FZI4" s="484"/>
      <c r="FZJ4" s="484"/>
      <c r="FZK4" s="484"/>
      <c r="FZL4" s="484"/>
      <c r="FZM4" s="484"/>
      <c r="FZN4" s="484"/>
      <c r="FZO4" s="484"/>
      <c r="FZP4" s="484"/>
      <c r="FZQ4" s="484"/>
      <c r="FZR4" s="484"/>
      <c r="FZS4" s="484"/>
      <c r="FZT4" s="484"/>
      <c r="FZU4" s="484"/>
      <c r="FZV4" s="484"/>
      <c r="FZW4" s="484"/>
      <c r="FZX4" s="484"/>
      <c r="FZY4" s="484"/>
      <c r="FZZ4" s="484"/>
      <c r="GAA4" s="484"/>
      <c r="GAB4" s="484"/>
      <c r="GAC4" s="484"/>
      <c r="GAD4" s="484"/>
      <c r="GAE4" s="484"/>
      <c r="GAF4" s="484"/>
      <c r="GAG4" s="484"/>
      <c r="GAH4" s="484"/>
      <c r="GAI4" s="484"/>
      <c r="GAJ4" s="484"/>
      <c r="GAK4" s="484"/>
      <c r="GAL4" s="484"/>
      <c r="GAM4" s="484"/>
      <c r="GAN4" s="484"/>
      <c r="GAO4" s="484"/>
      <c r="GAP4" s="484"/>
      <c r="GAQ4" s="484"/>
      <c r="GAR4" s="484"/>
      <c r="GAS4" s="484"/>
      <c r="GAT4" s="484"/>
      <c r="GAU4" s="484"/>
      <c r="GAV4" s="484"/>
      <c r="GAW4" s="484"/>
      <c r="GAX4" s="484"/>
      <c r="GAY4" s="484"/>
      <c r="GAZ4" s="484"/>
      <c r="GBA4" s="484"/>
      <c r="GBB4" s="484"/>
      <c r="GBC4" s="484"/>
      <c r="GBD4" s="484"/>
      <c r="GBE4" s="484"/>
      <c r="GBF4" s="484"/>
      <c r="GBG4" s="484"/>
      <c r="GBH4" s="484"/>
      <c r="GBI4" s="484"/>
      <c r="GBJ4" s="484"/>
      <c r="GBK4" s="484"/>
      <c r="GBL4" s="484"/>
      <c r="GBM4" s="484"/>
      <c r="GBN4" s="484"/>
      <c r="GBO4" s="484"/>
      <c r="GBP4" s="484"/>
      <c r="GBQ4" s="484"/>
      <c r="GBR4" s="484"/>
      <c r="GBS4" s="484"/>
      <c r="GBT4" s="484"/>
      <c r="GBU4" s="484"/>
      <c r="GBV4" s="484"/>
      <c r="GBW4" s="484"/>
      <c r="GBX4" s="484"/>
      <c r="GBY4" s="484"/>
      <c r="GBZ4" s="484"/>
      <c r="GCA4" s="484"/>
      <c r="GCB4" s="484"/>
      <c r="GCC4" s="484"/>
      <c r="GCD4" s="484"/>
      <c r="GCE4" s="484"/>
      <c r="GCF4" s="484"/>
      <c r="GCG4" s="484"/>
      <c r="GCH4" s="484"/>
      <c r="GCI4" s="484"/>
      <c r="GCJ4" s="484"/>
      <c r="GCK4" s="484"/>
      <c r="GCL4" s="484"/>
      <c r="GCM4" s="484"/>
      <c r="GCN4" s="484"/>
      <c r="GCO4" s="484"/>
      <c r="GCP4" s="484"/>
      <c r="GCQ4" s="484"/>
      <c r="GCR4" s="484"/>
      <c r="GCS4" s="484"/>
      <c r="GCT4" s="484"/>
      <c r="GCU4" s="484"/>
      <c r="GCV4" s="484"/>
      <c r="GCW4" s="484"/>
      <c r="GCX4" s="484"/>
      <c r="GCY4" s="484"/>
      <c r="GCZ4" s="484"/>
      <c r="GDA4" s="484"/>
      <c r="GDB4" s="484"/>
      <c r="GDC4" s="484"/>
      <c r="GDD4" s="484"/>
      <c r="GDE4" s="484"/>
      <c r="GDF4" s="484"/>
      <c r="GDG4" s="484"/>
      <c r="GDH4" s="484"/>
      <c r="GDI4" s="484"/>
      <c r="GDJ4" s="484"/>
      <c r="GDK4" s="484"/>
      <c r="GDL4" s="484"/>
      <c r="GDM4" s="484"/>
      <c r="GDN4" s="484"/>
      <c r="GDO4" s="484"/>
      <c r="GDP4" s="484"/>
      <c r="GDQ4" s="484"/>
      <c r="GDR4" s="484"/>
      <c r="GDS4" s="484"/>
      <c r="GDT4" s="484"/>
      <c r="GDU4" s="484"/>
      <c r="GDV4" s="484"/>
      <c r="GDW4" s="484"/>
      <c r="GDX4" s="484"/>
      <c r="GDY4" s="484"/>
      <c r="GDZ4" s="484"/>
      <c r="GEA4" s="484"/>
      <c r="GEB4" s="484"/>
      <c r="GEC4" s="484"/>
      <c r="GED4" s="484"/>
      <c r="GEE4" s="484"/>
      <c r="GEF4" s="484"/>
      <c r="GEG4" s="484"/>
      <c r="GEH4" s="484"/>
      <c r="GEI4" s="484"/>
      <c r="GEJ4" s="484"/>
      <c r="GEK4" s="484"/>
      <c r="GEL4" s="484"/>
      <c r="GEM4" s="484"/>
      <c r="GEN4" s="484"/>
      <c r="GEO4" s="484"/>
      <c r="GEP4" s="484"/>
      <c r="GEQ4" s="484"/>
      <c r="GER4" s="484"/>
      <c r="GES4" s="484"/>
      <c r="GET4" s="484"/>
      <c r="GEU4" s="484"/>
      <c r="GEV4" s="484"/>
      <c r="GEW4" s="484"/>
      <c r="GEX4" s="484"/>
      <c r="GEY4" s="484"/>
      <c r="GEZ4" s="484"/>
      <c r="GFA4" s="484"/>
      <c r="GFB4" s="484"/>
      <c r="GFC4" s="484"/>
      <c r="GFD4" s="484"/>
      <c r="GFE4" s="484"/>
      <c r="GFF4" s="484"/>
      <c r="GFG4" s="484"/>
      <c r="GFH4" s="484"/>
      <c r="GFI4" s="484"/>
      <c r="GFJ4" s="484"/>
      <c r="GFK4" s="484"/>
      <c r="GFL4" s="484"/>
      <c r="GFM4" s="484"/>
      <c r="GFN4" s="484"/>
      <c r="GFO4" s="484"/>
      <c r="GFP4" s="484"/>
      <c r="GFQ4" s="484"/>
      <c r="GFR4" s="484"/>
      <c r="GFS4" s="484"/>
      <c r="GFT4" s="484"/>
      <c r="GFU4" s="484"/>
      <c r="GFV4" s="484"/>
      <c r="GFW4" s="484"/>
      <c r="GFX4" s="484"/>
      <c r="GFY4" s="484"/>
      <c r="GFZ4" s="484"/>
      <c r="GGA4" s="484"/>
      <c r="GGB4" s="484"/>
      <c r="GGC4" s="484"/>
      <c r="GGD4" s="484"/>
      <c r="GGE4" s="484"/>
      <c r="GGF4" s="484"/>
      <c r="GGG4" s="484"/>
      <c r="GGH4" s="484"/>
      <c r="GGI4" s="484"/>
      <c r="GGJ4" s="484"/>
      <c r="GGK4" s="484"/>
      <c r="GGL4" s="484"/>
      <c r="GGM4" s="484"/>
      <c r="GGN4" s="484"/>
      <c r="GGO4" s="484"/>
      <c r="GGP4" s="484"/>
      <c r="GGQ4" s="484"/>
      <c r="GGR4" s="484"/>
      <c r="GGS4" s="484"/>
      <c r="GGT4" s="484"/>
      <c r="GGU4" s="484"/>
      <c r="GGV4" s="484"/>
      <c r="GGW4" s="484"/>
      <c r="GGX4" s="484"/>
      <c r="GGY4" s="484"/>
      <c r="GGZ4" s="484"/>
      <c r="GHA4" s="484"/>
      <c r="GHB4" s="484"/>
      <c r="GHC4" s="484"/>
      <c r="GHD4" s="484"/>
      <c r="GHE4" s="484"/>
      <c r="GHF4" s="484"/>
      <c r="GHG4" s="484"/>
      <c r="GHH4" s="484"/>
      <c r="GHI4" s="484"/>
      <c r="GHJ4" s="484"/>
      <c r="GHK4" s="484"/>
      <c r="GHL4" s="484"/>
      <c r="GHM4" s="484"/>
      <c r="GHN4" s="484"/>
      <c r="GHO4" s="484"/>
      <c r="GHP4" s="484"/>
      <c r="GHQ4" s="484"/>
      <c r="GHR4" s="484"/>
      <c r="GHS4" s="484"/>
      <c r="GHT4" s="484"/>
      <c r="GHU4" s="484"/>
      <c r="GHV4" s="484"/>
      <c r="GHW4" s="484"/>
      <c r="GHX4" s="484"/>
      <c r="GHY4" s="484"/>
      <c r="GHZ4" s="484"/>
      <c r="GIA4" s="484"/>
      <c r="GIB4" s="484"/>
      <c r="GIC4" s="484"/>
      <c r="GID4" s="484"/>
      <c r="GIE4" s="484"/>
      <c r="GIF4" s="484"/>
      <c r="GIG4" s="484"/>
      <c r="GIH4" s="484"/>
      <c r="GII4" s="484"/>
      <c r="GIJ4" s="484"/>
      <c r="GIK4" s="484"/>
      <c r="GIL4" s="484"/>
      <c r="GIM4" s="484"/>
      <c r="GIN4" s="484"/>
      <c r="GIO4" s="484"/>
      <c r="GIP4" s="484"/>
      <c r="GIQ4" s="484"/>
      <c r="GIR4" s="484"/>
      <c r="GIS4" s="484"/>
      <c r="GIT4" s="484"/>
      <c r="GIU4" s="484"/>
      <c r="GIV4" s="484"/>
      <c r="GIW4" s="484"/>
      <c r="GIX4" s="484"/>
      <c r="GIY4" s="484"/>
      <c r="GIZ4" s="484"/>
      <c r="GJA4" s="484"/>
      <c r="GJB4" s="484"/>
      <c r="GJC4" s="484"/>
      <c r="GJD4" s="484"/>
      <c r="GJE4" s="484"/>
      <c r="GJF4" s="484"/>
      <c r="GJG4" s="484"/>
      <c r="GJH4" s="484"/>
      <c r="GJI4" s="484"/>
      <c r="GJJ4" s="484"/>
      <c r="GJK4" s="484"/>
      <c r="GJL4" s="484"/>
      <c r="GJM4" s="484"/>
      <c r="GJN4" s="484"/>
      <c r="GJO4" s="484"/>
      <c r="GJP4" s="484"/>
      <c r="GJQ4" s="484"/>
      <c r="GJR4" s="484"/>
      <c r="GJS4" s="484"/>
      <c r="GJT4" s="484"/>
      <c r="GJU4" s="484"/>
      <c r="GJV4" s="484"/>
      <c r="GJW4" s="484"/>
      <c r="GJX4" s="484"/>
      <c r="GJY4" s="484"/>
      <c r="GJZ4" s="484"/>
      <c r="GKA4" s="484"/>
      <c r="GKB4" s="484"/>
      <c r="GKC4" s="484"/>
      <c r="GKD4" s="484"/>
      <c r="GKE4" s="484"/>
      <c r="GKF4" s="484"/>
      <c r="GKG4" s="484"/>
      <c r="GKH4" s="484"/>
      <c r="GKI4" s="484"/>
      <c r="GKJ4" s="484"/>
      <c r="GKK4" s="484"/>
      <c r="GKL4" s="484"/>
      <c r="GKM4" s="484"/>
      <c r="GKN4" s="484"/>
      <c r="GKO4" s="484"/>
      <c r="GKP4" s="484"/>
      <c r="GKQ4" s="484"/>
      <c r="GKR4" s="484"/>
      <c r="GKS4" s="484"/>
      <c r="GKT4" s="484"/>
      <c r="GKU4" s="484"/>
      <c r="GKV4" s="484"/>
      <c r="GKW4" s="484"/>
      <c r="GKX4" s="484"/>
      <c r="GKY4" s="484"/>
      <c r="GKZ4" s="484"/>
      <c r="GLA4" s="484"/>
      <c r="GLB4" s="484"/>
      <c r="GLC4" s="484"/>
      <c r="GLD4" s="484"/>
      <c r="GLE4" s="484"/>
      <c r="GLF4" s="484"/>
      <c r="GLG4" s="484"/>
      <c r="GLH4" s="484"/>
      <c r="GLI4" s="484"/>
      <c r="GLJ4" s="484"/>
      <c r="GLK4" s="484"/>
      <c r="GLL4" s="484"/>
      <c r="GLM4" s="484"/>
      <c r="GLN4" s="484"/>
      <c r="GLO4" s="484"/>
      <c r="GLP4" s="484"/>
      <c r="GLQ4" s="484"/>
      <c r="GLR4" s="484"/>
      <c r="GLS4" s="484"/>
      <c r="GLT4" s="484"/>
      <c r="GLU4" s="484"/>
      <c r="GLV4" s="484"/>
      <c r="GLW4" s="484"/>
      <c r="GLX4" s="484"/>
      <c r="GLY4" s="484"/>
      <c r="GLZ4" s="484"/>
      <c r="GMA4" s="484"/>
      <c r="GMB4" s="484"/>
      <c r="GMC4" s="484"/>
      <c r="GMD4" s="484"/>
      <c r="GME4" s="484"/>
      <c r="GMF4" s="484"/>
      <c r="GMG4" s="484"/>
      <c r="GMH4" s="484"/>
      <c r="GMI4" s="484"/>
      <c r="GMJ4" s="484"/>
      <c r="GMK4" s="484"/>
      <c r="GML4" s="484"/>
      <c r="GMM4" s="484"/>
      <c r="GMN4" s="484"/>
      <c r="GMO4" s="484"/>
      <c r="GMP4" s="484"/>
      <c r="GMQ4" s="484"/>
      <c r="GMR4" s="484"/>
      <c r="GMS4" s="484"/>
      <c r="GMT4" s="484"/>
      <c r="GMU4" s="484"/>
      <c r="GMV4" s="484"/>
      <c r="GMW4" s="484"/>
      <c r="GMX4" s="484"/>
      <c r="GMY4" s="484"/>
      <c r="GMZ4" s="484"/>
      <c r="GNA4" s="484"/>
      <c r="GNB4" s="484"/>
      <c r="GNC4" s="484"/>
      <c r="GND4" s="484"/>
      <c r="GNE4" s="484"/>
      <c r="GNF4" s="484"/>
      <c r="GNG4" s="484"/>
      <c r="GNH4" s="484"/>
      <c r="GNI4" s="484"/>
      <c r="GNJ4" s="484"/>
      <c r="GNK4" s="484"/>
      <c r="GNL4" s="484"/>
      <c r="GNM4" s="484"/>
      <c r="GNN4" s="484"/>
      <c r="GNO4" s="484"/>
      <c r="GNP4" s="484"/>
      <c r="GNQ4" s="484"/>
      <c r="GNR4" s="484"/>
      <c r="GNS4" s="484"/>
      <c r="GNT4" s="484"/>
      <c r="GNU4" s="484"/>
      <c r="GNV4" s="484"/>
      <c r="GNW4" s="484"/>
      <c r="GNX4" s="484"/>
      <c r="GNY4" s="484"/>
      <c r="GNZ4" s="484"/>
      <c r="GOA4" s="484"/>
      <c r="GOB4" s="484"/>
      <c r="GOC4" s="484"/>
      <c r="GOD4" s="484"/>
      <c r="GOE4" s="484"/>
      <c r="GOF4" s="484"/>
      <c r="GOG4" s="484"/>
      <c r="GOH4" s="484"/>
      <c r="GOI4" s="484"/>
      <c r="GOJ4" s="484"/>
      <c r="GOK4" s="484"/>
      <c r="GOL4" s="484"/>
      <c r="GOM4" s="484"/>
      <c r="GON4" s="484"/>
      <c r="GOO4" s="484"/>
      <c r="GOP4" s="484"/>
      <c r="GOQ4" s="484"/>
      <c r="GOR4" s="484"/>
      <c r="GOS4" s="484"/>
      <c r="GOT4" s="484"/>
      <c r="GOU4" s="484"/>
      <c r="GOV4" s="484"/>
      <c r="GOW4" s="484"/>
      <c r="GOX4" s="484"/>
      <c r="GOY4" s="484"/>
      <c r="GOZ4" s="484"/>
      <c r="GPA4" s="484"/>
      <c r="GPB4" s="484"/>
      <c r="GPC4" s="484"/>
      <c r="GPD4" s="484"/>
      <c r="GPE4" s="484"/>
      <c r="GPF4" s="484"/>
      <c r="GPG4" s="484"/>
      <c r="GPH4" s="484"/>
      <c r="GPI4" s="484"/>
      <c r="GPJ4" s="484"/>
      <c r="GPK4" s="484"/>
      <c r="GPL4" s="484"/>
      <c r="GPM4" s="484"/>
      <c r="GPN4" s="484"/>
      <c r="GPO4" s="484"/>
      <c r="GPP4" s="484"/>
      <c r="GPQ4" s="484"/>
      <c r="GPR4" s="484"/>
      <c r="GPS4" s="484"/>
      <c r="GPT4" s="484"/>
      <c r="GPU4" s="484"/>
      <c r="GPV4" s="484"/>
      <c r="GPW4" s="484"/>
      <c r="GPX4" s="484"/>
      <c r="GPY4" s="484"/>
      <c r="GPZ4" s="484"/>
      <c r="GQA4" s="484"/>
      <c r="GQB4" s="484"/>
      <c r="GQC4" s="484"/>
      <c r="GQD4" s="484"/>
      <c r="GQE4" s="484"/>
      <c r="GQF4" s="484"/>
      <c r="GQG4" s="484"/>
      <c r="GQH4" s="484"/>
      <c r="GQI4" s="484"/>
      <c r="GQJ4" s="484"/>
      <c r="GQK4" s="484"/>
      <c r="GQL4" s="484"/>
      <c r="GQM4" s="484"/>
      <c r="GQN4" s="484"/>
      <c r="GQO4" s="484"/>
      <c r="GQP4" s="484"/>
      <c r="GQQ4" s="484"/>
      <c r="GQR4" s="484"/>
      <c r="GQS4" s="484"/>
      <c r="GQT4" s="484"/>
      <c r="GQU4" s="484"/>
      <c r="GQV4" s="484"/>
      <c r="GQW4" s="484"/>
      <c r="GQX4" s="484"/>
      <c r="GQY4" s="484"/>
      <c r="GQZ4" s="484"/>
      <c r="GRA4" s="484"/>
      <c r="GRB4" s="484"/>
      <c r="GRC4" s="484"/>
      <c r="GRD4" s="484"/>
      <c r="GRE4" s="484"/>
      <c r="GRF4" s="484"/>
      <c r="GRG4" s="484"/>
      <c r="GRH4" s="484"/>
      <c r="GRI4" s="484"/>
      <c r="GRJ4" s="484"/>
      <c r="GRK4" s="484"/>
      <c r="GRL4" s="484"/>
      <c r="GRM4" s="484"/>
      <c r="GRN4" s="484"/>
      <c r="GRO4" s="484"/>
      <c r="GRP4" s="484"/>
      <c r="GRQ4" s="484"/>
      <c r="GRR4" s="484"/>
      <c r="GRS4" s="484"/>
      <c r="GRT4" s="484"/>
      <c r="GRU4" s="484"/>
      <c r="GRV4" s="484"/>
      <c r="GRW4" s="484"/>
      <c r="GRX4" s="484"/>
      <c r="GRY4" s="484"/>
      <c r="GRZ4" s="484"/>
      <c r="GSA4" s="484"/>
      <c r="GSB4" s="484"/>
      <c r="GSC4" s="484"/>
      <c r="GSD4" s="484"/>
      <c r="GSE4" s="484"/>
      <c r="GSF4" s="484"/>
      <c r="GSG4" s="484"/>
      <c r="GSH4" s="484"/>
      <c r="GSI4" s="484"/>
      <c r="GSJ4" s="484"/>
      <c r="GSK4" s="484"/>
      <c r="GSL4" s="484"/>
      <c r="GSM4" s="484"/>
      <c r="GSN4" s="484"/>
      <c r="GSO4" s="484"/>
      <c r="GSP4" s="484"/>
      <c r="GSQ4" s="484"/>
      <c r="GSR4" s="484"/>
      <c r="GSS4" s="484"/>
      <c r="GST4" s="484"/>
      <c r="GSU4" s="484"/>
      <c r="GSV4" s="484"/>
      <c r="GSW4" s="484"/>
      <c r="GSX4" s="484"/>
      <c r="GSY4" s="484"/>
      <c r="GSZ4" s="484"/>
      <c r="GTA4" s="484"/>
      <c r="GTB4" s="484"/>
      <c r="GTC4" s="484"/>
      <c r="GTD4" s="484"/>
      <c r="GTE4" s="484"/>
      <c r="GTF4" s="484"/>
      <c r="GTG4" s="484"/>
      <c r="GTH4" s="484"/>
      <c r="GTI4" s="484"/>
      <c r="GTJ4" s="484"/>
      <c r="GTK4" s="484"/>
      <c r="GTL4" s="484"/>
      <c r="GTM4" s="484"/>
      <c r="GTN4" s="484"/>
      <c r="GTO4" s="484"/>
      <c r="GTP4" s="484"/>
      <c r="GTQ4" s="484"/>
      <c r="GTR4" s="484"/>
      <c r="GTS4" s="484"/>
      <c r="GTT4" s="484"/>
      <c r="GTU4" s="484"/>
      <c r="GTV4" s="484"/>
      <c r="GTW4" s="484"/>
      <c r="GTX4" s="484"/>
      <c r="GTY4" s="484"/>
      <c r="GTZ4" s="484"/>
      <c r="GUA4" s="484"/>
      <c r="GUB4" s="484"/>
      <c r="GUC4" s="484"/>
      <c r="GUD4" s="484"/>
      <c r="GUE4" s="484"/>
      <c r="GUF4" s="484"/>
      <c r="GUG4" s="484"/>
      <c r="GUH4" s="484"/>
      <c r="GUI4" s="484"/>
      <c r="GUJ4" s="484"/>
      <c r="GUK4" s="484"/>
      <c r="GUL4" s="484"/>
      <c r="GUM4" s="484"/>
      <c r="GUN4" s="484"/>
      <c r="GUO4" s="484"/>
      <c r="GUP4" s="484"/>
      <c r="GUQ4" s="484"/>
      <c r="GUR4" s="484"/>
      <c r="GUS4" s="484"/>
      <c r="GUT4" s="484"/>
      <c r="GUU4" s="484"/>
      <c r="GUV4" s="484"/>
      <c r="GUW4" s="484"/>
      <c r="GUX4" s="484"/>
      <c r="GUY4" s="484"/>
      <c r="GUZ4" s="484"/>
      <c r="GVA4" s="484"/>
      <c r="GVB4" s="484"/>
      <c r="GVC4" s="484"/>
      <c r="GVD4" s="484"/>
      <c r="GVE4" s="484"/>
      <c r="GVF4" s="484"/>
      <c r="GVG4" s="484"/>
      <c r="GVH4" s="484"/>
      <c r="GVI4" s="484"/>
      <c r="GVJ4" s="484"/>
      <c r="GVK4" s="484"/>
      <c r="GVL4" s="484"/>
      <c r="GVM4" s="484"/>
      <c r="GVN4" s="484"/>
      <c r="GVO4" s="484"/>
      <c r="GVP4" s="484"/>
      <c r="GVQ4" s="484"/>
      <c r="GVR4" s="484"/>
      <c r="GVS4" s="484"/>
      <c r="GVT4" s="484"/>
      <c r="GVU4" s="484"/>
      <c r="GVV4" s="484"/>
      <c r="GVW4" s="484"/>
      <c r="GVX4" s="484"/>
      <c r="GVY4" s="484"/>
      <c r="GVZ4" s="484"/>
      <c r="GWA4" s="484"/>
      <c r="GWB4" s="484"/>
      <c r="GWC4" s="484"/>
      <c r="GWD4" s="484"/>
      <c r="GWE4" s="484"/>
      <c r="GWF4" s="484"/>
      <c r="GWG4" s="484"/>
      <c r="GWH4" s="484"/>
      <c r="GWI4" s="484"/>
      <c r="GWJ4" s="484"/>
      <c r="GWK4" s="484"/>
      <c r="GWL4" s="484"/>
      <c r="GWM4" s="484"/>
      <c r="GWN4" s="484"/>
      <c r="GWO4" s="484"/>
      <c r="GWP4" s="484"/>
      <c r="GWQ4" s="484"/>
      <c r="GWR4" s="484"/>
      <c r="GWS4" s="484"/>
      <c r="GWT4" s="484"/>
      <c r="GWU4" s="484"/>
      <c r="GWV4" s="484"/>
      <c r="GWW4" s="484"/>
      <c r="GWX4" s="484"/>
      <c r="GWY4" s="484"/>
      <c r="GWZ4" s="484"/>
      <c r="GXA4" s="484"/>
      <c r="GXB4" s="484"/>
      <c r="GXC4" s="484"/>
      <c r="GXD4" s="484"/>
      <c r="GXE4" s="484"/>
      <c r="GXF4" s="484"/>
      <c r="GXG4" s="484"/>
      <c r="GXH4" s="484"/>
      <c r="GXI4" s="484"/>
      <c r="GXJ4" s="484"/>
      <c r="GXK4" s="484"/>
      <c r="GXL4" s="484"/>
      <c r="GXM4" s="484"/>
      <c r="GXN4" s="484"/>
      <c r="GXO4" s="484"/>
      <c r="GXP4" s="484"/>
      <c r="GXQ4" s="484"/>
      <c r="GXR4" s="484"/>
      <c r="GXS4" s="484"/>
      <c r="GXT4" s="484"/>
      <c r="GXU4" s="484"/>
      <c r="GXV4" s="484"/>
      <c r="GXW4" s="484"/>
      <c r="GXX4" s="484"/>
      <c r="GXY4" s="484"/>
      <c r="GXZ4" s="484"/>
      <c r="GYA4" s="484"/>
      <c r="GYB4" s="484"/>
      <c r="GYC4" s="484"/>
      <c r="GYD4" s="484"/>
      <c r="GYE4" s="484"/>
      <c r="GYF4" s="484"/>
      <c r="GYG4" s="484"/>
      <c r="GYH4" s="484"/>
      <c r="GYI4" s="484"/>
      <c r="GYJ4" s="484"/>
      <c r="GYK4" s="484"/>
      <c r="GYL4" s="484"/>
      <c r="GYM4" s="484"/>
      <c r="GYN4" s="484"/>
      <c r="GYO4" s="484"/>
      <c r="GYP4" s="484"/>
      <c r="GYQ4" s="484"/>
      <c r="GYR4" s="484"/>
      <c r="GYS4" s="484"/>
      <c r="GYT4" s="484"/>
      <c r="GYU4" s="484"/>
      <c r="GYV4" s="484"/>
      <c r="GYW4" s="484"/>
      <c r="GYX4" s="484"/>
      <c r="GYY4" s="484"/>
      <c r="GYZ4" s="484"/>
      <c r="GZA4" s="484"/>
      <c r="GZB4" s="484"/>
      <c r="GZC4" s="484"/>
      <c r="GZD4" s="484"/>
      <c r="GZE4" s="484"/>
      <c r="GZF4" s="484"/>
      <c r="GZG4" s="484"/>
      <c r="GZH4" s="484"/>
      <c r="GZI4" s="484"/>
      <c r="GZJ4" s="484"/>
      <c r="GZK4" s="484"/>
      <c r="GZL4" s="484"/>
      <c r="GZM4" s="484"/>
      <c r="GZN4" s="484"/>
      <c r="GZO4" s="484"/>
      <c r="GZP4" s="484"/>
      <c r="GZQ4" s="484"/>
      <c r="GZR4" s="484"/>
      <c r="GZS4" s="484"/>
      <c r="GZT4" s="484"/>
      <c r="GZU4" s="484"/>
      <c r="GZV4" s="484"/>
      <c r="GZW4" s="484"/>
      <c r="GZX4" s="484"/>
      <c r="GZY4" s="484"/>
      <c r="GZZ4" s="484"/>
      <c r="HAA4" s="484"/>
      <c r="HAB4" s="484"/>
      <c r="HAC4" s="484"/>
      <c r="HAD4" s="484"/>
      <c r="HAE4" s="484"/>
      <c r="HAF4" s="484"/>
      <c r="HAG4" s="484"/>
      <c r="HAH4" s="484"/>
      <c r="HAI4" s="484"/>
      <c r="HAJ4" s="484"/>
      <c r="HAK4" s="484"/>
      <c r="HAL4" s="484"/>
      <c r="HAM4" s="484"/>
      <c r="HAN4" s="484"/>
      <c r="HAO4" s="484"/>
      <c r="HAP4" s="484"/>
      <c r="HAQ4" s="484"/>
      <c r="HAR4" s="484"/>
      <c r="HAS4" s="484"/>
      <c r="HAT4" s="484"/>
      <c r="HAU4" s="484"/>
      <c r="HAV4" s="484"/>
      <c r="HAW4" s="484"/>
      <c r="HAX4" s="484"/>
      <c r="HAY4" s="484"/>
      <c r="HAZ4" s="484"/>
      <c r="HBA4" s="484"/>
      <c r="HBB4" s="484"/>
      <c r="HBC4" s="484"/>
      <c r="HBD4" s="484"/>
      <c r="HBE4" s="484"/>
      <c r="HBF4" s="484"/>
      <c r="HBG4" s="484"/>
      <c r="HBH4" s="484"/>
      <c r="HBI4" s="484"/>
      <c r="HBJ4" s="484"/>
      <c r="HBK4" s="484"/>
      <c r="HBL4" s="484"/>
      <c r="HBM4" s="484"/>
      <c r="HBN4" s="484"/>
      <c r="HBO4" s="484"/>
      <c r="HBP4" s="484"/>
      <c r="HBQ4" s="484"/>
      <c r="HBR4" s="484"/>
      <c r="HBS4" s="484"/>
      <c r="HBT4" s="484"/>
      <c r="HBU4" s="484"/>
      <c r="HBV4" s="484"/>
      <c r="HBW4" s="484"/>
      <c r="HBX4" s="484"/>
      <c r="HBY4" s="484"/>
      <c r="HBZ4" s="484"/>
      <c r="HCA4" s="484"/>
      <c r="HCB4" s="484"/>
      <c r="HCC4" s="484"/>
      <c r="HCD4" s="484"/>
      <c r="HCE4" s="484"/>
      <c r="HCF4" s="484"/>
      <c r="HCG4" s="484"/>
      <c r="HCH4" s="484"/>
      <c r="HCI4" s="484"/>
      <c r="HCJ4" s="484"/>
      <c r="HCK4" s="484"/>
      <c r="HCL4" s="484"/>
      <c r="HCM4" s="484"/>
      <c r="HCN4" s="484"/>
      <c r="HCO4" s="484"/>
      <c r="HCP4" s="484"/>
      <c r="HCQ4" s="484"/>
      <c r="HCR4" s="484"/>
      <c r="HCS4" s="484"/>
      <c r="HCT4" s="484"/>
      <c r="HCU4" s="484"/>
      <c r="HCV4" s="484"/>
      <c r="HCW4" s="484"/>
      <c r="HCX4" s="484"/>
      <c r="HCY4" s="484"/>
      <c r="HCZ4" s="484"/>
      <c r="HDA4" s="484"/>
      <c r="HDB4" s="484"/>
      <c r="HDC4" s="484"/>
      <c r="HDD4" s="484"/>
      <c r="HDE4" s="484"/>
      <c r="HDF4" s="484"/>
      <c r="HDG4" s="484"/>
      <c r="HDH4" s="484"/>
      <c r="HDI4" s="484"/>
      <c r="HDJ4" s="484"/>
      <c r="HDK4" s="484"/>
      <c r="HDL4" s="484"/>
      <c r="HDM4" s="484"/>
      <c r="HDN4" s="484"/>
      <c r="HDO4" s="484"/>
      <c r="HDP4" s="484"/>
      <c r="HDQ4" s="484"/>
      <c r="HDR4" s="484"/>
      <c r="HDS4" s="484"/>
      <c r="HDT4" s="484"/>
      <c r="HDU4" s="484"/>
      <c r="HDV4" s="484"/>
      <c r="HDW4" s="484"/>
      <c r="HDX4" s="484"/>
      <c r="HDY4" s="484"/>
      <c r="HDZ4" s="484"/>
      <c r="HEA4" s="484"/>
      <c r="HEB4" s="484"/>
      <c r="HEC4" s="484"/>
      <c r="HED4" s="484"/>
      <c r="HEE4" s="484"/>
      <c r="HEF4" s="484"/>
      <c r="HEG4" s="484"/>
      <c r="HEH4" s="484"/>
      <c r="HEI4" s="484"/>
      <c r="HEJ4" s="484"/>
      <c r="HEK4" s="484"/>
      <c r="HEL4" s="484"/>
      <c r="HEM4" s="484"/>
      <c r="HEN4" s="484"/>
      <c r="HEO4" s="484"/>
      <c r="HEP4" s="484"/>
      <c r="HEQ4" s="484"/>
      <c r="HER4" s="484"/>
      <c r="HES4" s="484"/>
      <c r="HET4" s="484"/>
      <c r="HEU4" s="484"/>
      <c r="HEV4" s="484"/>
      <c r="HEW4" s="484"/>
      <c r="HEX4" s="484"/>
      <c r="HEY4" s="484"/>
      <c r="HEZ4" s="484"/>
      <c r="HFA4" s="484"/>
      <c r="HFB4" s="484"/>
      <c r="HFC4" s="484"/>
      <c r="HFD4" s="484"/>
      <c r="HFE4" s="484"/>
      <c r="HFF4" s="484"/>
      <c r="HFG4" s="484"/>
      <c r="HFH4" s="484"/>
      <c r="HFI4" s="484"/>
      <c r="HFJ4" s="484"/>
      <c r="HFK4" s="484"/>
      <c r="HFL4" s="484"/>
      <c r="HFM4" s="484"/>
      <c r="HFN4" s="484"/>
      <c r="HFO4" s="484"/>
      <c r="HFP4" s="484"/>
      <c r="HFQ4" s="484"/>
      <c r="HFR4" s="484"/>
      <c r="HFS4" s="484"/>
      <c r="HFT4" s="484"/>
      <c r="HFU4" s="484"/>
      <c r="HFV4" s="484"/>
      <c r="HFW4" s="484"/>
      <c r="HFX4" s="484"/>
      <c r="HFY4" s="484"/>
      <c r="HFZ4" s="484"/>
      <c r="HGA4" s="484"/>
      <c r="HGB4" s="484"/>
      <c r="HGC4" s="484"/>
      <c r="HGD4" s="484"/>
      <c r="HGE4" s="484"/>
      <c r="HGF4" s="484"/>
      <c r="HGG4" s="484"/>
      <c r="HGH4" s="484"/>
      <c r="HGI4" s="484"/>
      <c r="HGJ4" s="484"/>
      <c r="HGK4" s="484"/>
      <c r="HGL4" s="484"/>
      <c r="HGM4" s="484"/>
      <c r="HGN4" s="484"/>
      <c r="HGO4" s="484"/>
      <c r="HGP4" s="484"/>
      <c r="HGQ4" s="484"/>
      <c r="HGR4" s="484"/>
      <c r="HGS4" s="484"/>
      <c r="HGT4" s="484"/>
      <c r="HGU4" s="484"/>
      <c r="HGV4" s="484"/>
      <c r="HGW4" s="484"/>
      <c r="HGX4" s="484"/>
      <c r="HGY4" s="484"/>
      <c r="HGZ4" s="484"/>
      <c r="HHA4" s="484"/>
      <c r="HHB4" s="484"/>
      <c r="HHC4" s="484"/>
      <c r="HHD4" s="484"/>
      <c r="HHE4" s="484"/>
      <c r="HHF4" s="484"/>
      <c r="HHG4" s="484"/>
      <c r="HHH4" s="484"/>
      <c r="HHI4" s="484"/>
      <c r="HHJ4" s="484"/>
      <c r="HHK4" s="484"/>
      <c r="HHL4" s="484"/>
      <c r="HHM4" s="484"/>
      <c r="HHN4" s="484"/>
      <c r="HHO4" s="484"/>
      <c r="HHP4" s="484"/>
      <c r="HHQ4" s="484"/>
      <c r="HHR4" s="484"/>
      <c r="HHS4" s="484"/>
      <c r="HHT4" s="484"/>
      <c r="HHU4" s="484"/>
      <c r="HHV4" s="484"/>
      <c r="HHW4" s="484"/>
      <c r="HHX4" s="484"/>
      <c r="HHY4" s="484"/>
      <c r="HHZ4" s="484"/>
      <c r="HIA4" s="484"/>
      <c r="HIB4" s="484"/>
      <c r="HIC4" s="484"/>
      <c r="HID4" s="484"/>
      <c r="HIE4" s="484"/>
      <c r="HIF4" s="484"/>
      <c r="HIG4" s="484"/>
      <c r="HIH4" s="484"/>
      <c r="HII4" s="484"/>
      <c r="HIJ4" s="484"/>
      <c r="HIK4" s="484"/>
      <c r="HIL4" s="484"/>
      <c r="HIM4" s="484"/>
      <c r="HIN4" s="484"/>
      <c r="HIO4" s="484"/>
      <c r="HIP4" s="484"/>
      <c r="HIQ4" s="484"/>
      <c r="HIR4" s="484"/>
      <c r="HIS4" s="484"/>
      <c r="HIT4" s="484"/>
      <c r="HIU4" s="484"/>
      <c r="HIV4" s="484"/>
      <c r="HIW4" s="484"/>
      <c r="HIX4" s="484"/>
      <c r="HIY4" s="484"/>
      <c r="HIZ4" s="484"/>
      <c r="HJA4" s="484"/>
      <c r="HJB4" s="484"/>
      <c r="HJC4" s="484"/>
      <c r="HJD4" s="484"/>
      <c r="HJE4" s="484"/>
      <c r="HJF4" s="484"/>
      <c r="HJG4" s="484"/>
      <c r="HJH4" s="484"/>
      <c r="HJI4" s="484"/>
      <c r="HJJ4" s="484"/>
      <c r="HJK4" s="484"/>
      <c r="HJL4" s="484"/>
      <c r="HJM4" s="484"/>
      <c r="HJN4" s="484"/>
      <c r="HJO4" s="484"/>
      <c r="HJP4" s="484"/>
      <c r="HJQ4" s="484"/>
      <c r="HJR4" s="484"/>
      <c r="HJS4" s="484"/>
      <c r="HJT4" s="484"/>
      <c r="HJU4" s="484"/>
      <c r="HJV4" s="484"/>
      <c r="HJW4" s="484"/>
      <c r="HJX4" s="484"/>
      <c r="HJY4" s="484"/>
      <c r="HJZ4" s="484"/>
      <c r="HKA4" s="484"/>
      <c r="HKB4" s="484"/>
      <c r="HKC4" s="484"/>
      <c r="HKD4" s="484"/>
      <c r="HKE4" s="484"/>
      <c r="HKF4" s="484"/>
      <c r="HKG4" s="484"/>
      <c r="HKH4" s="484"/>
      <c r="HKI4" s="484"/>
      <c r="HKJ4" s="484"/>
      <c r="HKK4" s="484"/>
      <c r="HKL4" s="484"/>
      <c r="HKM4" s="484"/>
      <c r="HKN4" s="484"/>
      <c r="HKO4" s="484"/>
      <c r="HKP4" s="484"/>
      <c r="HKQ4" s="484"/>
      <c r="HKR4" s="484"/>
      <c r="HKS4" s="484"/>
      <c r="HKT4" s="484"/>
      <c r="HKU4" s="484"/>
      <c r="HKV4" s="484"/>
      <c r="HKW4" s="484"/>
      <c r="HKX4" s="484"/>
      <c r="HKY4" s="484"/>
      <c r="HKZ4" s="484"/>
      <c r="HLA4" s="484"/>
      <c r="HLB4" s="484"/>
      <c r="HLC4" s="484"/>
      <c r="HLD4" s="484"/>
      <c r="HLE4" s="484"/>
      <c r="HLF4" s="484"/>
      <c r="HLG4" s="484"/>
      <c r="HLH4" s="484"/>
      <c r="HLI4" s="484"/>
      <c r="HLJ4" s="484"/>
      <c r="HLK4" s="484"/>
      <c r="HLL4" s="484"/>
      <c r="HLM4" s="484"/>
      <c r="HLN4" s="484"/>
      <c r="HLO4" s="484"/>
      <c r="HLP4" s="484"/>
      <c r="HLQ4" s="484"/>
      <c r="HLR4" s="484"/>
      <c r="HLS4" s="484"/>
      <c r="HLT4" s="484"/>
      <c r="HLU4" s="484"/>
      <c r="HLV4" s="484"/>
      <c r="HLW4" s="484"/>
      <c r="HLX4" s="484"/>
      <c r="HLY4" s="484"/>
      <c r="HLZ4" s="484"/>
      <c r="HMA4" s="484"/>
      <c r="HMB4" s="484"/>
      <c r="HMC4" s="484"/>
      <c r="HMD4" s="484"/>
      <c r="HME4" s="484"/>
      <c r="HMF4" s="484"/>
      <c r="HMG4" s="484"/>
      <c r="HMH4" s="484"/>
      <c r="HMI4" s="484"/>
      <c r="HMJ4" s="484"/>
      <c r="HMK4" s="484"/>
      <c r="HML4" s="484"/>
      <c r="HMM4" s="484"/>
      <c r="HMN4" s="484"/>
      <c r="HMO4" s="484"/>
      <c r="HMP4" s="484"/>
      <c r="HMQ4" s="484"/>
      <c r="HMR4" s="484"/>
      <c r="HMS4" s="484"/>
      <c r="HMT4" s="484"/>
      <c r="HMU4" s="484"/>
      <c r="HMV4" s="484"/>
      <c r="HMW4" s="484"/>
      <c r="HMX4" s="484"/>
      <c r="HMY4" s="484"/>
      <c r="HMZ4" s="484"/>
      <c r="HNA4" s="484"/>
      <c r="HNB4" s="484"/>
      <c r="HNC4" s="484"/>
      <c r="HND4" s="484"/>
      <c r="HNE4" s="484"/>
      <c r="HNF4" s="484"/>
      <c r="HNG4" s="484"/>
      <c r="HNH4" s="484"/>
      <c r="HNI4" s="484"/>
      <c r="HNJ4" s="484"/>
      <c r="HNK4" s="484"/>
      <c r="HNL4" s="484"/>
      <c r="HNM4" s="484"/>
      <c r="HNN4" s="484"/>
      <c r="HNO4" s="484"/>
      <c r="HNP4" s="484"/>
      <c r="HNQ4" s="484"/>
      <c r="HNR4" s="484"/>
      <c r="HNS4" s="484"/>
      <c r="HNT4" s="484"/>
      <c r="HNU4" s="484"/>
      <c r="HNV4" s="484"/>
      <c r="HNW4" s="484"/>
      <c r="HNX4" s="484"/>
      <c r="HNY4" s="484"/>
      <c r="HNZ4" s="484"/>
      <c r="HOA4" s="484"/>
      <c r="HOB4" s="484"/>
      <c r="HOC4" s="484"/>
      <c r="HOD4" s="484"/>
      <c r="HOE4" s="484"/>
      <c r="HOF4" s="484"/>
      <c r="HOG4" s="484"/>
      <c r="HOH4" s="484"/>
      <c r="HOI4" s="484"/>
      <c r="HOJ4" s="484"/>
      <c r="HOK4" s="484"/>
      <c r="HOL4" s="484"/>
      <c r="HOM4" s="484"/>
      <c r="HON4" s="484"/>
      <c r="HOO4" s="484"/>
      <c r="HOP4" s="484"/>
      <c r="HOQ4" s="484"/>
      <c r="HOR4" s="484"/>
      <c r="HOS4" s="484"/>
      <c r="HOT4" s="484"/>
      <c r="HOU4" s="484"/>
      <c r="HOV4" s="484"/>
      <c r="HOW4" s="484"/>
      <c r="HOX4" s="484"/>
      <c r="HOY4" s="484"/>
      <c r="HOZ4" s="484"/>
      <c r="HPA4" s="484"/>
      <c r="HPB4" s="484"/>
      <c r="HPC4" s="484"/>
      <c r="HPD4" s="484"/>
      <c r="HPE4" s="484"/>
      <c r="HPF4" s="484"/>
      <c r="HPG4" s="484"/>
      <c r="HPH4" s="484"/>
      <c r="HPI4" s="484"/>
      <c r="HPJ4" s="484"/>
      <c r="HPK4" s="484"/>
      <c r="HPL4" s="484"/>
      <c r="HPM4" s="484"/>
      <c r="HPN4" s="484"/>
      <c r="HPO4" s="484"/>
      <c r="HPP4" s="484"/>
      <c r="HPQ4" s="484"/>
      <c r="HPR4" s="484"/>
      <c r="HPS4" s="484"/>
      <c r="HPT4" s="484"/>
      <c r="HPU4" s="484"/>
      <c r="HPV4" s="484"/>
      <c r="HPW4" s="484"/>
      <c r="HPX4" s="484"/>
      <c r="HPY4" s="484"/>
      <c r="HPZ4" s="484"/>
      <c r="HQA4" s="484"/>
      <c r="HQB4" s="484"/>
      <c r="HQC4" s="484"/>
      <c r="HQD4" s="484"/>
      <c r="HQE4" s="484"/>
      <c r="HQF4" s="484"/>
      <c r="HQG4" s="484"/>
      <c r="HQH4" s="484"/>
      <c r="HQI4" s="484"/>
      <c r="HQJ4" s="484"/>
      <c r="HQK4" s="484"/>
      <c r="HQL4" s="484"/>
      <c r="HQM4" s="484"/>
      <c r="HQN4" s="484"/>
      <c r="HQO4" s="484"/>
      <c r="HQP4" s="484"/>
      <c r="HQQ4" s="484"/>
      <c r="HQR4" s="484"/>
      <c r="HQS4" s="484"/>
      <c r="HQT4" s="484"/>
      <c r="HQU4" s="484"/>
      <c r="HQV4" s="484"/>
      <c r="HQW4" s="484"/>
      <c r="HQX4" s="484"/>
      <c r="HQY4" s="484"/>
      <c r="HQZ4" s="484"/>
      <c r="HRA4" s="484"/>
      <c r="HRB4" s="484"/>
      <c r="HRC4" s="484"/>
      <c r="HRD4" s="484"/>
      <c r="HRE4" s="484"/>
      <c r="HRF4" s="484"/>
      <c r="HRG4" s="484"/>
      <c r="HRH4" s="484"/>
      <c r="HRI4" s="484"/>
      <c r="HRJ4" s="484"/>
      <c r="HRK4" s="484"/>
      <c r="HRL4" s="484"/>
      <c r="HRM4" s="484"/>
      <c r="HRN4" s="484"/>
      <c r="HRO4" s="484"/>
      <c r="HRP4" s="484"/>
      <c r="HRQ4" s="484"/>
      <c r="HRR4" s="484"/>
      <c r="HRS4" s="484"/>
      <c r="HRT4" s="484"/>
      <c r="HRU4" s="484"/>
      <c r="HRV4" s="484"/>
      <c r="HRW4" s="484"/>
      <c r="HRX4" s="484"/>
      <c r="HRY4" s="484"/>
      <c r="HRZ4" s="484"/>
      <c r="HSA4" s="484"/>
      <c r="HSB4" s="484"/>
      <c r="HSC4" s="484"/>
      <c r="HSD4" s="484"/>
      <c r="HSE4" s="484"/>
      <c r="HSF4" s="484"/>
      <c r="HSG4" s="484"/>
      <c r="HSH4" s="484"/>
      <c r="HSI4" s="484"/>
      <c r="HSJ4" s="484"/>
      <c r="HSK4" s="484"/>
      <c r="HSL4" s="484"/>
      <c r="HSM4" s="484"/>
      <c r="HSN4" s="484"/>
      <c r="HSO4" s="484"/>
      <c r="HSP4" s="484"/>
      <c r="HSQ4" s="484"/>
      <c r="HSR4" s="484"/>
      <c r="HSS4" s="484"/>
      <c r="HST4" s="484"/>
      <c r="HSU4" s="484"/>
      <c r="HSV4" s="484"/>
      <c r="HSW4" s="484"/>
      <c r="HSX4" s="484"/>
      <c r="HSY4" s="484"/>
      <c r="HSZ4" s="484"/>
      <c r="HTA4" s="484"/>
      <c r="HTB4" s="484"/>
      <c r="HTC4" s="484"/>
      <c r="HTD4" s="484"/>
      <c r="HTE4" s="484"/>
      <c r="HTF4" s="484"/>
      <c r="HTG4" s="484"/>
      <c r="HTH4" s="484"/>
      <c r="HTI4" s="484"/>
      <c r="HTJ4" s="484"/>
      <c r="HTK4" s="484"/>
      <c r="HTL4" s="484"/>
      <c r="HTM4" s="484"/>
      <c r="HTN4" s="484"/>
      <c r="HTO4" s="484"/>
      <c r="HTP4" s="484"/>
      <c r="HTQ4" s="484"/>
      <c r="HTR4" s="484"/>
      <c r="HTS4" s="484"/>
      <c r="HTT4" s="484"/>
      <c r="HTU4" s="484"/>
      <c r="HTV4" s="484"/>
      <c r="HTW4" s="484"/>
      <c r="HTX4" s="484"/>
      <c r="HTY4" s="484"/>
      <c r="HTZ4" s="484"/>
      <c r="HUA4" s="484"/>
      <c r="HUB4" s="484"/>
      <c r="HUC4" s="484"/>
      <c r="HUD4" s="484"/>
      <c r="HUE4" s="484"/>
      <c r="HUF4" s="484"/>
      <c r="HUG4" s="484"/>
      <c r="HUH4" s="484"/>
      <c r="HUI4" s="484"/>
      <c r="HUJ4" s="484"/>
      <c r="HUK4" s="484"/>
      <c r="HUL4" s="484"/>
      <c r="HUM4" s="484"/>
      <c r="HUN4" s="484"/>
      <c r="HUO4" s="484"/>
      <c r="HUP4" s="484"/>
      <c r="HUQ4" s="484"/>
      <c r="HUR4" s="484"/>
      <c r="HUS4" s="484"/>
      <c r="HUT4" s="484"/>
      <c r="HUU4" s="484"/>
      <c r="HUV4" s="484"/>
      <c r="HUW4" s="484"/>
      <c r="HUX4" s="484"/>
      <c r="HUY4" s="484"/>
      <c r="HUZ4" s="484"/>
      <c r="HVA4" s="484"/>
      <c r="HVB4" s="484"/>
      <c r="HVC4" s="484"/>
      <c r="HVD4" s="484"/>
      <c r="HVE4" s="484"/>
      <c r="HVF4" s="484"/>
      <c r="HVG4" s="484"/>
      <c r="HVH4" s="484"/>
      <c r="HVI4" s="484"/>
      <c r="HVJ4" s="484"/>
      <c r="HVK4" s="484"/>
      <c r="HVL4" s="484"/>
      <c r="HVM4" s="484"/>
      <c r="HVN4" s="484"/>
      <c r="HVO4" s="484"/>
      <c r="HVP4" s="484"/>
      <c r="HVQ4" s="484"/>
      <c r="HVR4" s="484"/>
      <c r="HVS4" s="484"/>
      <c r="HVT4" s="484"/>
      <c r="HVU4" s="484"/>
      <c r="HVV4" s="484"/>
      <c r="HVW4" s="484"/>
      <c r="HVX4" s="484"/>
      <c r="HVY4" s="484"/>
      <c r="HVZ4" s="484"/>
      <c r="HWA4" s="484"/>
      <c r="HWB4" s="484"/>
      <c r="HWC4" s="484"/>
      <c r="HWD4" s="484"/>
      <c r="HWE4" s="484"/>
      <c r="HWF4" s="484"/>
      <c r="HWG4" s="484"/>
      <c r="HWH4" s="484"/>
      <c r="HWI4" s="484"/>
      <c r="HWJ4" s="484"/>
      <c r="HWK4" s="484"/>
      <c r="HWL4" s="484"/>
      <c r="HWM4" s="484"/>
      <c r="HWN4" s="484"/>
      <c r="HWO4" s="484"/>
      <c r="HWP4" s="484"/>
      <c r="HWQ4" s="484"/>
      <c r="HWR4" s="484"/>
      <c r="HWS4" s="484"/>
      <c r="HWT4" s="484"/>
      <c r="HWU4" s="484"/>
      <c r="HWV4" s="484"/>
      <c r="HWW4" s="484"/>
      <c r="HWX4" s="484"/>
      <c r="HWY4" s="484"/>
      <c r="HWZ4" s="484"/>
      <c r="HXA4" s="484"/>
      <c r="HXB4" s="484"/>
      <c r="HXC4" s="484"/>
      <c r="HXD4" s="484"/>
      <c r="HXE4" s="484"/>
      <c r="HXF4" s="484"/>
      <c r="HXG4" s="484"/>
      <c r="HXH4" s="484"/>
      <c r="HXI4" s="484"/>
      <c r="HXJ4" s="484"/>
      <c r="HXK4" s="484"/>
      <c r="HXL4" s="484"/>
      <c r="HXM4" s="484"/>
      <c r="HXN4" s="484"/>
      <c r="HXO4" s="484"/>
      <c r="HXP4" s="484"/>
      <c r="HXQ4" s="484"/>
      <c r="HXR4" s="484"/>
      <c r="HXS4" s="484"/>
      <c r="HXT4" s="484"/>
      <c r="HXU4" s="484"/>
      <c r="HXV4" s="484"/>
      <c r="HXW4" s="484"/>
      <c r="HXX4" s="484"/>
      <c r="HXY4" s="484"/>
      <c r="HXZ4" s="484"/>
      <c r="HYA4" s="484"/>
      <c r="HYB4" s="484"/>
      <c r="HYC4" s="484"/>
      <c r="HYD4" s="484"/>
      <c r="HYE4" s="484"/>
      <c r="HYF4" s="484"/>
      <c r="HYG4" s="484"/>
      <c r="HYH4" s="484"/>
      <c r="HYI4" s="484"/>
      <c r="HYJ4" s="484"/>
      <c r="HYK4" s="484"/>
      <c r="HYL4" s="484"/>
      <c r="HYM4" s="484"/>
      <c r="HYN4" s="484"/>
      <c r="HYO4" s="484"/>
      <c r="HYP4" s="484"/>
      <c r="HYQ4" s="484"/>
      <c r="HYR4" s="484"/>
      <c r="HYS4" s="484"/>
      <c r="HYT4" s="484"/>
      <c r="HYU4" s="484"/>
      <c r="HYV4" s="484"/>
      <c r="HYW4" s="484"/>
      <c r="HYX4" s="484"/>
      <c r="HYY4" s="484"/>
      <c r="HYZ4" s="484"/>
      <c r="HZA4" s="484"/>
      <c r="HZB4" s="484"/>
      <c r="HZC4" s="484"/>
      <c r="HZD4" s="484"/>
      <c r="HZE4" s="484"/>
      <c r="HZF4" s="484"/>
      <c r="HZG4" s="484"/>
      <c r="HZH4" s="484"/>
      <c r="HZI4" s="484"/>
      <c r="HZJ4" s="484"/>
      <c r="HZK4" s="484"/>
      <c r="HZL4" s="484"/>
      <c r="HZM4" s="484"/>
      <c r="HZN4" s="484"/>
      <c r="HZO4" s="484"/>
      <c r="HZP4" s="484"/>
      <c r="HZQ4" s="484"/>
      <c r="HZR4" s="484"/>
      <c r="HZS4" s="484"/>
      <c r="HZT4" s="484"/>
      <c r="HZU4" s="484"/>
      <c r="HZV4" s="484"/>
      <c r="HZW4" s="484"/>
      <c r="HZX4" s="484"/>
      <c r="HZY4" s="484"/>
      <c r="HZZ4" s="484"/>
      <c r="IAA4" s="484"/>
      <c r="IAB4" s="484"/>
      <c r="IAC4" s="484"/>
      <c r="IAD4" s="484"/>
      <c r="IAE4" s="484"/>
      <c r="IAF4" s="484"/>
      <c r="IAG4" s="484"/>
      <c r="IAH4" s="484"/>
      <c r="IAI4" s="484"/>
      <c r="IAJ4" s="484"/>
      <c r="IAK4" s="484"/>
      <c r="IAL4" s="484"/>
      <c r="IAM4" s="484"/>
      <c r="IAN4" s="484"/>
      <c r="IAO4" s="484"/>
      <c r="IAP4" s="484"/>
      <c r="IAQ4" s="484"/>
      <c r="IAR4" s="484"/>
      <c r="IAS4" s="484"/>
      <c r="IAT4" s="484"/>
      <c r="IAU4" s="484"/>
      <c r="IAV4" s="484"/>
      <c r="IAW4" s="484"/>
      <c r="IAX4" s="484"/>
      <c r="IAY4" s="484"/>
      <c r="IAZ4" s="484"/>
      <c r="IBA4" s="484"/>
      <c r="IBB4" s="484"/>
      <c r="IBC4" s="484"/>
      <c r="IBD4" s="484"/>
      <c r="IBE4" s="484"/>
      <c r="IBF4" s="484"/>
      <c r="IBG4" s="484"/>
      <c r="IBH4" s="484"/>
      <c r="IBI4" s="484"/>
      <c r="IBJ4" s="484"/>
      <c r="IBK4" s="484"/>
      <c r="IBL4" s="484"/>
      <c r="IBM4" s="484"/>
      <c r="IBN4" s="484"/>
      <c r="IBO4" s="484"/>
      <c r="IBP4" s="484"/>
      <c r="IBQ4" s="484"/>
      <c r="IBR4" s="484"/>
      <c r="IBS4" s="484"/>
      <c r="IBT4" s="484"/>
      <c r="IBU4" s="484"/>
      <c r="IBV4" s="484"/>
      <c r="IBW4" s="484"/>
      <c r="IBX4" s="484"/>
      <c r="IBY4" s="484"/>
      <c r="IBZ4" s="484"/>
      <c r="ICA4" s="484"/>
      <c r="ICB4" s="484"/>
      <c r="ICC4" s="484"/>
      <c r="ICD4" s="484"/>
      <c r="ICE4" s="484"/>
      <c r="ICF4" s="484"/>
      <c r="ICG4" s="484"/>
      <c r="ICH4" s="484"/>
      <c r="ICI4" s="484"/>
      <c r="ICJ4" s="484"/>
      <c r="ICK4" s="484"/>
      <c r="ICL4" s="484"/>
      <c r="ICM4" s="484"/>
      <c r="ICN4" s="484"/>
      <c r="ICO4" s="484"/>
      <c r="ICP4" s="484"/>
      <c r="ICQ4" s="484"/>
      <c r="ICR4" s="484"/>
      <c r="ICS4" s="484"/>
      <c r="ICT4" s="484"/>
      <c r="ICU4" s="484"/>
      <c r="ICV4" s="484"/>
      <c r="ICW4" s="484"/>
      <c r="ICX4" s="484"/>
      <c r="ICY4" s="484"/>
      <c r="ICZ4" s="484"/>
      <c r="IDA4" s="484"/>
      <c r="IDB4" s="484"/>
      <c r="IDC4" s="484"/>
      <c r="IDD4" s="484"/>
      <c r="IDE4" s="484"/>
      <c r="IDF4" s="484"/>
      <c r="IDG4" s="484"/>
      <c r="IDH4" s="484"/>
      <c r="IDI4" s="484"/>
      <c r="IDJ4" s="484"/>
      <c r="IDK4" s="484"/>
      <c r="IDL4" s="484"/>
      <c r="IDM4" s="484"/>
      <c r="IDN4" s="484"/>
      <c r="IDO4" s="484"/>
      <c r="IDP4" s="484"/>
      <c r="IDQ4" s="484"/>
      <c r="IDR4" s="484"/>
      <c r="IDS4" s="484"/>
      <c r="IDT4" s="484"/>
      <c r="IDU4" s="484"/>
      <c r="IDV4" s="484"/>
      <c r="IDW4" s="484"/>
      <c r="IDX4" s="484"/>
      <c r="IDY4" s="484"/>
      <c r="IDZ4" s="484"/>
      <c r="IEA4" s="484"/>
      <c r="IEB4" s="484"/>
      <c r="IEC4" s="484"/>
      <c r="IED4" s="484"/>
      <c r="IEE4" s="484"/>
      <c r="IEF4" s="484"/>
      <c r="IEG4" s="484"/>
      <c r="IEH4" s="484"/>
      <c r="IEI4" s="484"/>
      <c r="IEJ4" s="484"/>
      <c r="IEK4" s="484"/>
      <c r="IEL4" s="484"/>
      <c r="IEM4" s="484"/>
      <c r="IEN4" s="484"/>
      <c r="IEO4" s="484"/>
      <c r="IEP4" s="484"/>
      <c r="IEQ4" s="484"/>
      <c r="IER4" s="484"/>
      <c r="IES4" s="484"/>
      <c r="IET4" s="484"/>
      <c r="IEU4" s="484"/>
      <c r="IEV4" s="484"/>
      <c r="IEW4" s="484"/>
      <c r="IEX4" s="484"/>
      <c r="IEY4" s="484"/>
      <c r="IEZ4" s="484"/>
      <c r="IFA4" s="484"/>
      <c r="IFB4" s="484"/>
      <c r="IFC4" s="484"/>
      <c r="IFD4" s="484"/>
      <c r="IFE4" s="484"/>
      <c r="IFF4" s="484"/>
      <c r="IFG4" s="484"/>
      <c r="IFH4" s="484"/>
      <c r="IFI4" s="484"/>
      <c r="IFJ4" s="484"/>
      <c r="IFK4" s="484"/>
      <c r="IFL4" s="484"/>
      <c r="IFM4" s="484"/>
      <c r="IFN4" s="484"/>
      <c r="IFO4" s="484"/>
      <c r="IFP4" s="484"/>
      <c r="IFQ4" s="484"/>
      <c r="IFR4" s="484"/>
      <c r="IFS4" s="484"/>
      <c r="IFT4" s="484"/>
      <c r="IFU4" s="484"/>
      <c r="IFV4" s="484"/>
      <c r="IFW4" s="484"/>
      <c r="IFX4" s="484"/>
      <c r="IFY4" s="484"/>
      <c r="IFZ4" s="484"/>
      <c r="IGA4" s="484"/>
      <c r="IGB4" s="484"/>
      <c r="IGC4" s="484"/>
      <c r="IGD4" s="484"/>
      <c r="IGE4" s="484"/>
      <c r="IGF4" s="484"/>
      <c r="IGG4" s="484"/>
      <c r="IGH4" s="484"/>
      <c r="IGI4" s="484"/>
      <c r="IGJ4" s="484"/>
      <c r="IGK4" s="484"/>
      <c r="IGL4" s="484"/>
      <c r="IGM4" s="484"/>
      <c r="IGN4" s="484"/>
      <c r="IGO4" s="484"/>
      <c r="IGP4" s="484"/>
      <c r="IGQ4" s="484"/>
      <c r="IGR4" s="484"/>
      <c r="IGS4" s="484"/>
      <c r="IGT4" s="484"/>
      <c r="IGU4" s="484"/>
      <c r="IGV4" s="484"/>
      <c r="IGW4" s="484"/>
      <c r="IGX4" s="484"/>
      <c r="IGY4" s="484"/>
      <c r="IGZ4" s="484"/>
      <c r="IHA4" s="484"/>
      <c r="IHB4" s="484"/>
      <c r="IHC4" s="484"/>
      <c r="IHD4" s="484"/>
      <c r="IHE4" s="484"/>
      <c r="IHF4" s="484"/>
      <c r="IHG4" s="484"/>
      <c r="IHH4" s="484"/>
      <c r="IHI4" s="484"/>
      <c r="IHJ4" s="484"/>
      <c r="IHK4" s="484"/>
      <c r="IHL4" s="484"/>
      <c r="IHM4" s="484"/>
      <c r="IHN4" s="484"/>
      <c r="IHO4" s="484"/>
      <c r="IHP4" s="484"/>
      <c r="IHQ4" s="484"/>
      <c r="IHR4" s="484"/>
      <c r="IHS4" s="484"/>
      <c r="IHT4" s="484"/>
      <c r="IHU4" s="484"/>
      <c r="IHV4" s="484"/>
      <c r="IHW4" s="484"/>
      <c r="IHX4" s="484"/>
      <c r="IHY4" s="484"/>
      <c r="IHZ4" s="484"/>
      <c r="IIA4" s="484"/>
      <c r="IIB4" s="484"/>
      <c r="IIC4" s="484"/>
      <c r="IID4" s="484"/>
      <c r="IIE4" s="484"/>
      <c r="IIF4" s="484"/>
      <c r="IIG4" s="484"/>
      <c r="IIH4" s="484"/>
      <c r="III4" s="484"/>
      <c r="IIJ4" s="484"/>
      <c r="IIK4" s="484"/>
      <c r="IIL4" s="484"/>
      <c r="IIM4" s="484"/>
      <c r="IIN4" s="484"/>
      <c r="IIO4" s="484"/>
      <c r="IIP4" s="484"/>
      <c r="IIQ4" s="484"/>
      <c r="IIR4" s="484"/>
      <c r="IIS4" s="484"/>
      <c r="IIT4" s="484"/>
      <c r="IIU4" s="484"/>
      <c r="IIV4" s="484"/>
      <c r="IIW4" s="484"/>
      <c r="IIX4" s="484"/>
      <c r="IIY4" s="484"/>
      <c r="IIZ4" s="484"/>
      <c r="IJA4" s="484"/>
      <c r="IJB4" s="484"/>
      <c r="IJC4" s="484"/>
      <c r="IJD4" s="484"/>
      <c r="IJE4" s="484"/>
      <c r="IJF4" s="484"/>
      <c r="IJG4" s="484"/>
      <c r="IJH4" s="484"/>
      <c r="IJI4" s="484"/>
      <c r="IJJ4" s="484"/>
      <c r="IJK4" s="484"/>
      <c r="IJL4" s="484"/>
      <c r="IJM4" s="484"/>
      <c r="IJN4" s="484"/>
      <c r="IJO4" s="484"/>
      <c r="IJP4" s="484"/>
      <c r="IJQ4" s="484"/>
      <c r="IJR4" s="484"/>
      <c r="IJS4" s="484"/>
      <c r="IJT4" s="484"/>
      <c r="IJU4" s="484"/>
      <c r="IJV4" s="484"/>
      <c r="IJW4" s="484"/>
      <c r="IJX4" s="484"/>
      <c r="IJY4" s="484"/>
      <c r="IJZ4" s="484"/>
      <c r="IKA4" s="484"/>
      <c r="IKB4" s="484"/>
      <c r="IKC4" s="484"/>
      <c r="IKD4" s="484"/>
      <c r="IKE4" s="484"/>
      <c r="IKF4" s="484"/>
      <c r="IKG4" s="484"/>
      <c r="IKH4" s="484"/>
      <c r="IKI4" s="484"/>
      <c r="IKJ4" s="484"/>
      <c r="IKK4" s="484"/>
      <c r="IKL4" s="484"/>
      <c r="IKM4" s="484"/>
      <c r="IKN4" s="484"/>
      <c r="IKO4" s="484"/>
      <c r="IKP4" s="484"/>
      <c r="IKQ4" s="484"/>
      <c r="IKR4" s="484"/>
      <c r="IKS4" s="484"/>
      <c r="IKT4" s="484"/>
      <c r="IKU4" s="484"/>
      <c r="IKV4" s="484"/>
      <c r="IKW4" s="484"/>
      <c r="IKX4" s="484"/>
      <c r="IKY4" s="484"/>
      <c r="IKZ4" s="484"/>
      <c r="ILA4" s="484"/>
      <c r="ILB4" s="484"/>
      <c r="ILC4" s="484"/>
      <c r="ILD4" s="484"/>
      <c r="ILE4" s="484"/>
      <c r="ILF4" s="484"/>
      <c r="ILG4" s="484"/>
      <c r="ILH4" s="484"/>
      <c r="ILI4" s="484"/>
      <c r="ILJ4" s="484"/>
      <c r="ILK4" s="484"/>
      <c r="ILL4" s="484"/>
      <c r="ILM4" s="484"/>
      <c r="ILN4" s="484"/>
      <c r="ILO4" s="484"/>
      <c r="ILP4" s="484"/>
      <c r="ILQ4" s="484"/>
      <c r="ILR4" s="484"/>
      <c r="ILS4" s="484"/>
      <c r="ILT4" s="484"/>
      <c r="ILU4" s="484"/>
      <c r="ILV4" s="484"/>
      <c r="ILW4" s="484"/>
      <c r="ILX4" s="484"/>
      <c r="ILY4" s="484"/>
      <c r="ILZ4" s="484"/>
      <c r="IMA4" s="484"/>
      <c r="IMB4" s="484"/>
      <c r="IMC4" s="484"/>
      <c r="IMD4" s="484"/>
      <c r="IME4" s="484"/>
      <c r="IMF4" s="484"/>
      <c r="IMG4" s="484"/>
      <c r="IMH4" s="484"/>
      <c r="IMI4" s="484"/>
      <c r="IMJ4" s="484"/>
      <c r="IMK4" s="484"/>
      <c r="IML4" s="484"/>
      <c r="IMM4" s="484"/>
      <c r="IMN4" s="484"/>
      <c r="IMO4" s="484"/>
      <c r="IMP4" s="484"/>
      <c r="IMQ4" s="484"/>
      <c r="IMR4" s="484"/>
      <c r="IMS4" s="484"/>
      <c r="IMT4" s="484"/>
      <c r="IMU4" s="484"/>
      <c r="IMV4" s="484"/>
      <c r="IMW4" s="484"/>
      <c r="IMX4" s="484"/>
      <c r="IMY4" s="484"/>
      <c r="IMZ4" s="484"/>
      <c r="INA4" s="484"/>
      <c r="INB4" s="484"/>
      <c r="INC4" s="484"/>
      <c r="IND4" s="484"/>
      <c r="INE4" s="484"/>
      <c r="INF4" s="484"/>
      <c r="ING4" s="484"/>
      <c r="INH4" s="484"/>
      <c r="INI4" s="484"/>
      <c r="INJ4" s="484"/>
      <c r="INK4" s="484"/>
      <c r="INL4" s="484"/>
      <c r="INM4" s="484"/>
      <c r="INN4" s="484"/>
      <c r="INO4" s="484"/>
      <c r="INP4" s="484"/>
      <c r="INQ4" s="484"/>
      <c r="INR4" s="484"/>
      <c r="INS4" s="484"/>
      <c r="INT4" s="484"/>
      <c r="INU4" s="484"/>
      <c r="INV4" s="484"/>
      <c r="INW4" s="484"/>
      <c r="INX4" s="484"/>
      <c r="INY4" s="484"/>
      <c r="INZ4" s="484"/>
      <c r="IOA4" s="484"/>
      <c r="IOB4" s="484"/>
      <c r="IOC4" s="484"/>
      <c r="IOD4" s="484"/>
      <c r="IOE4" s="484"/>
      <c r="IOF4" s="484"/>
      <c r="IOG4" s="484"/>
      <c r="IOH4" s="484"/>
      <c r="IOI4" s="484"/>
      <c r="IOJ4" s="484"/>
      <c r="IOK4" s="484"/>
      <c r="IOL4" s="484"/>
      <c r="IOM4" s="484"/>
      <c r="ION4" s="484"/>
      <c r="IOO4" s="484"/>
      <c r="IOP4" s="484"/>
      <c r="IOQ4" s="484"/>
      <c r="IOR4" s="484"/>
      <c r="IOS4" s="484"/>
      <c r="IOT4" s="484"/>
      <c r="IOU4" s="484"/>
      <c r="IOV4" s="484"/>
      <c r="IOW4" s="484"/>
      <c r="IOX4" s="484"/>
      <c r="IOY4" s="484"/>
      <c r="IOZ4" s="484"/>
      <c r="IPA4" s="484"/>
      <c r="IPB4" s="484"/>
      <c r="IPC4" s="484"/>
      <c r="IPD4" s="484"/>
      <c r="IPE4" s="484"/>
      <c r="IPF4" s="484"/>
      <c r="IPG4" s="484"/>
      <c r="IPH4" s="484"/>
      <c r="IPI4" s="484"/>
      <c r="IPJ4" s="484"/>
      <c r="IPK4" s="484"/>
      <c r="IPL4" s="484"/>
      <c r="IPM4" s="484"/>
      <c r="IPN4" s="484"/>
      <c r="IPO4" s="484"/>
      <c r="IPP4" s="484"/>
      <c r="IPQ4" s="484"/>
      <c r="IPR4" s="484"/>
      <c r="IPS4" s="484"/>
      <c r="IPT4" s="484"/>
      <c r="IPU4" s="484"/>
      <c r="IPV4" s="484"/>
      <c r="IPW4" s="484"/>
      <c r="IPX4" s="484"/>
      <c r="IPY4" s="484"/>
      <c r="IPZ4" s="484"/>
      <c r="IQA4" s="484"/>
      <c r="IQB4" s="484"/>
      <c r="IQC4" s="484"/>
      <c r="IQD4" s="484"/>
      <c r="IQE4" s="484"/>
      <c r="IQF4" s="484"/>
      <c r="IQG4" s="484"/>
      <c r="IQH4" s="484"/>
      <c r="IQI4" s="484"/>
      <c r="IQJ4" s="484"/>
      <c r="IQK4" s="484"/>
      <c r="IQL4" s="484"/>
      <c r="IQM4" s="484"/>
      <c r="IQN4" s="484"/>
      <c r="IQO4" s="484"/>
      <c r="IQP4" s="484"/>
      <c r="IQQ4" s="484"/>
      <c r="IQR4" s="484"/>
      <c r="IQS4" s="484"/>
      <c r="IQT4" s="484"/>
      <c r="IQU4" s="484"/>
      <c r="IQV4" s="484"/>
      <c r="IQW4" s="484"/>
      <c r="IQX4" s="484"/>
      <c r="IQY4" s="484"/>
      <c r="IQZ4" s="484"/>
      <c r="IRA4" s="484"/>
      <c r="IRB4" s="484"/>
      <c r="IRC4" s="484"/>
      <c r="IRD4" s="484"/>
      <c r="IRE4" s="484"/>
      <c r="IRF4" s="484"/>
      <c r="IRG4" s="484"/>
      <c r="IRH4" s="484"/>
      <c r="IRI4" s="484"/>
      <c r="IRJ4" s="484"/>
      <c r="IRK4" s="484"/>
      <c r="IRL4" s="484"/>
      <c r="IRM4" s="484"/>
      <c r="IRN4" s="484"/>
      <c r="IRO4" s="484"/>
      <c r="IRP4" s="484"/>
      <c r="IRQ4" s="484"/>
      <c r="IRR4" s="484"/>
      <c r="IRS4" s="484"/>
      <c r="IRT4" s="484"/>
      <c r="IRU4" s="484"/>
      <c r="IRV4" s="484"/>
      <c r="IRW4" s="484"/>
      <c r="IRX4" s="484"/>
      <c r="IRY4" s="484"/>
      <c r="IRZ4" s="484"/>
      <c r="ISA4" s="484"/>
      <c r="ISB4" s="484"/>
      <c r="ISC4" s="484"/>
      <c r="ISD4" s="484"/>
      <c r="ISE4" s="484"/>
      <c r="ISF4" s="484"/>
      <c r="ISG4" s="484"/>
      <c r="ISH4" s="484"/>
      <c r="ISI4" s="484"/>
      <c r="ISJ4" s="484"/>
      <c r="ISK4" s="484"/>
      <c r="ISL4" s="484"/>
      <c r="ISM4" s="484"/>
      <c r="ISN4" s="484"/>
      <c r="ISO4" s="484"/>
      <c r="ISP4" s="484"/>
      <c r="ISQ4" s="484"/>
      <c r="ISR4" s="484"/>
      <c r="ISS4" s="484"/>
      <c r="IST4" s="484"/>
      <c r="ISU4" s="484"/>
      <c r="ISV4" s="484"/>
      <c r="ISW4" s="484"/>
      <c r="ISX4" s="484"/>
      <c r="ISY4" s="484"/>
      <c r="ISZ4" s="484"/>
      <c r="ITA4" s="484"/>
      <c r="ITB4" s="484"/>
      <c r="ITC4" s="484"/>
      <c r="ITD4" s="484"/>
      <c r="ITE4" s="484"/>
      <c r="ITF4" s="484"/>
      <c r="ITG4" s="484"/>
      <c r="ITH4" s="484"/>
      <c r="ITI4" s="484"/>
      <c r="ITJ4" s="484"/>
      <c r="ITK4" s="484"/>
      <c r="ITL4" s="484"/>
      <c r="ITM4" s="484"/>
      <c r="ITN4" s="484"/>
      <c r="ITO4" s="484"/>
      <c r="ITP4" s="484"/>
      <c r="ITQ4" s="484"/>
      <c r="ITR4" s="484"/>
      <c r="ITS4" s="484"/>
      <c r="ITT4" s="484"/>
      <c r="ITU4" s="484"/>
      <c r="ITV4" s="484"/>
      <c r="ITW4" s="484"/>
      <c r="ITX4" s="484"/>
      <c r="ITY4" s="484"/>
      <c r="ITZ4" s="484"/>
      <c r="IUA4" s="484"/>
      <c r="IUB4" s="484"/>
      <c r="IUC4" s="484"/>
      <c r="IUD4" s="484"/>
      <c r="IUE4" s="484"/>
      <c r="IUF4" s="484"/>
      <c r="IUG4" s="484"/>
      <c r="IUH4" s="484"/>
      <c r="IUI4" s="484"/>
      <c r="IUJ4" s="484"/>
      <c r="IUK4" s="484"/>
      <c r="IUL4" s="484"/>
      <c r="IUM4" s="484"/>
      <c r="IUN4" s="484"/>
      <c r="IUO4" s="484"/>
      <c r="IUP4" s="484"/>
      <c r="IUQ4" s="484"/>
      <c r="IUR4" s="484"/>
      <c r="IUS4" s="484"/>
      <c r="IUT4" s="484"/>
      <c r="IUU4" s="484"/>
      <c r="IUV4" s="484"/>
      <c r="IUW4" s="484"/>
      <c r="IUX4" s="484"/>
      <c r="IUY4" s="484"/>
      <c r="IUZ4" s="484"/>
      <c r="IVA4" s="484"/>
      <c r="IVB4" s="484"/>
      <c r="IVC4" s="484"/>
      <c r="IVD4" s="484"/>
      <c r="IVE4" s="484"/>
      <c r="IVF4" s="484"/>
      <c r="IVG4" s="484"/>
      <c r="IVH4" s="484"/>
      <c r="IVI4" s="484"/>
      <c r="IVJ4" s="484"/>
      <c r="IVK4" s="484"/>
      <c r="IVL4" s="484"/>
      <c r="IVM4" s="484"/>
      <c r="IVN4" s="484"/>
      <c r="IVO4" s="484"/>
      <c r="IVP4" s="484"/>
      <c r="IVQ4" s="484"/>
      <c r="IVR4" s="484"/>
      <c r="IVS4" s="484"/>
      <c r="IVT4" s="484"/>
      <c r="IVU4" s="484"/>
      <c r="IVV4" s="484"/>
      <c r="IVW4" s="484"/>
      <c r="IVX4" s="484"/>
      <c r="IVY4" s="484"/>
      <c r="IVZ4" s="484"/>
      <c r="IWA4" s="484"/>
      <c r="IWB4" s="484"/>
      <c r="IWC4" s="484"/>
      <c r="IWD4" s="484"/>
      <c r="IWE4" s="484"/>
      <c r="IWF4" s="484"/>
      <c r="IWG4" s="484"/>
      <c r="IWH4" s="484"/>
      <c r="IWI4" s="484"/>
      <c r="IWJ4" s="484"/>
      <c r="IWK4" s="484"/>
      <c r="IWL4" s="484"/>
      <c r="IWM4" s="484"/>
      <c r="IWN4" s="484"/>
      <c r="IWO4" s="484"/>
      <c r="IWP4" s="484"/>
      <c r="IWQ4" s="484"/>
      <c r="IWR4" s="484"/>
      <c r="IWS4" s="484"/>
      <c r="IWT4" s="484"/>
      <c r="IWU4" s="484"/>
      <c r="IWV4" s="484"/>
      <c r="IWW4" s="484"/>
      <c r="IWX4" s="484"/>
      <c r="IWY4" s="484"/>
      <c r="IWZ4" s="484"/>
      <c r="IXA4" s="484"/>
      <c r="IXB4" s="484"/>
      <c r="IXC4" s="484"/>
      <c r="IXD4" s="484"/>
      <c r="IXE4" s="484"/>
      <c r="IXF4" s="484"/>
      <c r="IXG4" s="484"/>
      <c r="IXH4" s="484"/>
      <c r="IXI4" s="484"/>
      <c r="IXJ4" s="484"/>
      <c r="IXK4" s="484"/>
      <c r="IXL4" s="484"/>
      <c r="IXM4" s="484"/>
      <c r="IXN4" s="484"/>
      <c r="IXO4" s="484"/>
      <c r="IXP4" s="484"/>
      <c r="IXQ4" s="484"/>
      <c r="IXR4" s="484"/>
      <c r="IXS4" s="484"/>
      <c r="IXT4" s="484"/>
      <c r="IXU4" s="484"/>
      <c r="IXV4" s="484"/>
      <c r="IXW4" s="484"/>
      <c r="IXX4" s="484"/>
      <c r="IXY4" s="484"/>
      <c r="IXZ4" s="484"/>
      <c r="IYA4" s="484"/>
      <c r="IYB4" s="484"/>
      <c r="IYC4" s="484"/>
      <c r="IYD4" s="484"/>
      <c r="IYE4" s="484"/>
      <c r="IYF4" s="484"/>
      <c r="IYG4" s="484"/>
      <c r="IYH4" s="484"/>
      <c r="IYI4" s="484"/>
      <c r="IYJ4" s="484"/>
      <c r="IYK4" s="484"/>
      <c r="IYL4" s="484"/>
      <c r="IYM4" s="484"/>
      <c r="IYN4" s="484"/>
      <c r="IYO4" s="484"/>
      <c r="IYP4" s="484"/>
      <c r="IYQ4" s="484"/>
      <c r="IYR4" s="484"/>
      <c r="IYS4" s="484"/>
      <c r="IYT4" s="484"/>
      <c r="IYU4" s="484"/>
      <c r="IYV4" s="484"/>
      <c r="IYW4" s="484"/>
      <c r="IYX4" s="484"/>
      <c r="IYY4" s="484"/>
      <c r="IYZ4" s="484"/>
      <c r="IZA4" s="484"/>
      <c r="IZB4" s="484"/>
      <c r="IZC4" s="484"/>
      <c r="IZD4" s="484"/>
      <c r="IZE4" s="484"/>
      <c r="IZF4" s="484"/>
      <c r="IZG4" s="484"/>
      <c r="IZH4" s="484"/>
      <c r="IZI4" s="484"/>
      <c r="IZJ4" s="484"/>
      <c r="IZK4" s="484"/>
      <c r="IZL4" s="484"/>
      <c r="IZM4" s="484"/>
      <c r="IZN4" s="484"/>
      <c r="IZO4" s="484"/>
      <c r="IZP4" s="484"/>
      <c r="IZQ4" s="484"/>
      <c r="IZR4" s="484"/>
      <c r="IZS4" s="484"/>
      <c r="IZT4" s="484"/>
      <c r="IZU4" s="484"/>
      <c r="IZV4" s="484"/>
      <c r="IZW4" s="484"/>
      <c r="IZX4" s="484"/>
      <c r="IZY4" s="484"/>
      <c r="IZZ4" s="484"/>
      <c r="JAA4" s="484"/>
      <c r="JAB4" s="484"/>
      <c r="JAC4" s="484"/>
      <c r="JAD4" s="484"/>
      <c r="JAE4" s="484"/>
      <c r="JAF4" s="484"/>
      <c r="JAG4" s="484"/>
      <c r="JAH4" s="484"/>
      <c r="JAI4" s="484"/>
      <c r="JAJ4" s="484"/>
      <c r="JAK4" s="484"/>
      <c r="JAL4" s="484"/>
      <c r="JAM4" s="484"/>
      <c r="JAN4" s="484"/>
      <c r="JAO4" s="484"/>
      <c r="JAP4" s="484"/>
      <c r="JAQ4" s="484"/>
      <c r="JAR4" s="484"/>
      <c r="JAS4" s="484"/>
      <c r="JAT4" s="484"/>
      <c r="JAU4" s="484"/>
      <c r="JAV4" s="484"/>
      <c r="JAW4" s="484"/>
      <c r="JAX4" s="484"/>
      <c r="JAY4" s="484"/>
      <c r="JAZ4" s="484"/>
      <c r="JBA4" s="484"/>
      <c r="JBB4" s="484"/>
      <c r="JBC4" s="484"/>
      <c r="JBD4" s="484"/>
      <c r="JBE4" s="484"/>
      <c r="JBF4" s="484"/>
      <c r="JBG4" s="484"/>
      <c r="JBH4" s="484"/>
      <c r="JBI4" s="484"/>
      <c r="JBJ4" s="484"/>
      <c r="JBK4" s="484"/>
      <c r="JBL4" s="484"/>
      <c r="JBM4" s="484"/>
      <c r="JBN4" s="484"/>
      <c r="JBO4" s="484"/>
      <c r="JBP4" s="484"/>
      <c r="JBQ4" s="484"/>
      <c r="JBR4" s="484"/>
      <c r="JBS4" s="484"/>
      <c r="JBT4" s="484"/>
      <c r="JBU4" s="484"/>
      <c r="JBV4" s="484"/>
      <c r="JBW4" s="484"/>
      <c r="JBX4" s="484"/>
      <c r="JBY4" s="484"/>
      <c r="JBZ4" s="484"/>
      <c r="JCA4" s="484"/>
      <c r="JCB4" s="484"/>
      <c r="JCC4" s="484"/>
      <c r="JCD4" s="484"/>
      <c r="JCE4" s="484"/>
      <c r="JCF4" s="484"/>
      <c r="JCG4" s="484"/>
      <c r="JCH4" s="484"/>
      <c r="JCI4" s="484"/>
      <c r="JCJ4" s="484"/>
      <c r="JCK4" s="484"/>
      <c r="JCL4" s="484"/>
      <c r="JCM4" s="484"/>
      <c r="JCN4" s="484"/>
      <c r="JCO4" s="484"/>
      <c r="JCP4" s="484"/>
      <c r="JCQ4" s="484"/>
      <c r="JCR4" s="484"/>
      <c r="JCS4" s="484"/>
      <c r="JCT4" s="484"/>
      <c r="JCU4" s="484"/>
      <c r="JCV4" s="484"/>
      <c r="JCW4" s="484"/>
      <c r="JCX4" s="484"/>
      <c r="JCY4" s="484"/>
      <c r="JCZ4" s="484"/>
      <c r="JDA4" s="484"/>
      <c r="JDB4" s="484"/>
      <c r="JDC4" s="484"/>
      <c r="JDD4" s="484"/>
      <c r="JDE4" s="484"/>
      <c r="JDF4" s="484"/>
      <c r="JDG4" s="484"/>
      <c r="JDH4" s="484"/>
      <c r="JDI4" s="484"/>
      <c r="JDJ4" s="484"/>
      <c r="JDK4" s="484"/>
      <c r="JDL4" s="484"/>
      <c r="JDM4" s="484"/>
      <c r="JDN4" s="484"/>
      <c r="JDO4" s="484"/>
      <c r="JDP4" s="484"/>
      <c r="JDQ4" s="484"/>
      <c r="JDR4" s="484"/>
      <c r="JDS4" s="484"/>
      <c r="JDT4" s="484"/>
      <c r="JDU4" s="484"/>
      <c r="JDV4" s="484"/>
      <c r="JDW4" s="484"/>
      <c r="JDX4" s="484"/>
      <c r="JDY4" s="484"/>
      <c r="JDZ4" s="484"/>
      <c r="JEA4" s="484"/>
      <c r="JEB4" s="484"/>
      <c r="JEC4" s="484"/>
      <c r="JED4" s="484"/>
      <c r="JEE4" s="484"/>
      <c r="JEF4" s="484"/>
      <c r="JEG4" s="484"/>
      <c r="JEH4" s="484"/>
      <c r="JEI4" s="484"/>
      <c r="JEJ4" s="484"/>
      <c r="JEK4" s="484"/>
      <c r="JEL4" s="484"/>
      <c r="JEM4" s="484"/>
      <c r="JEN4" s="484"/>
      <c r="JEO4" s="484"/>
      <c r="JEP4" s="484"/>
      <c r="JEQ4" s="484"/>
      <c r="JER4" s="484"/>
      <c r="JES4" s="484"/>
      <c r="JET4" s="484"/>
      <c r="JEU4" s="484"/>
      <c r="JEV4" s="484"/>
      <c r="JEW4" s="484"/>
      <c r="JEX4" s="484"/>
      <c r="JEY4" s="484"/>
      <c r="JEZ4" s="484"/>
      <c r="JFA4" s="484"/>
      <c r="JFB4" s="484"/>
      <c r="JFC4" s="484"/>
      <c r="JFD4" s="484"/>
      <c r="JFE4" s="484"/>
      <c r="JFF4" s="484"/>
      <c r="JFG4" s="484"/>
      <c r="JFH4" s="484"/>
      <c r="JFI4" s="484"/>
      <c r="JFJ4" s="484"/>
      <c r="JFK4" s="484"/>
      <c r="JFL4" s="484"/>
      <c r="JFM4" s="484"/>
      <c r="JFN4" s="484"/>
      <c r="JFO4" s="484"/>
      <c r="JFP4" s="484"/>
      <c r="JFQ4" s="484"/>
      <c r="JFR4" s="484"/>
      <c r="JFS4" s="484"/>
      <c r="JFT4" s="484"/>
      <c r="JFU4" s="484"/>
      <c r="JFV4" s="484"/>
      <c r="JFW4" s="484"/>
      <c r="JFX4" s="484"/>
      <c r="JFY4" s="484"/>
      <c r="JFZ4" s="484"/>
      <c r="JGA4" s="484"/>
      <c r="JGB4" s="484"/>
      <c r="JGC4" s="484"/>
      <c r="JGD4" s="484"/>
      <c r="JGE4" s="484"/>
      <c r="JGF4" s="484"/>
      <c r="JGG4" s="484"/>
      <c r="JGH4" s="484"/>
      <c r="JGI4" s="484"/>
      <c r="JGJ4" s="484"/>
      <c r="JGK4" s="484"/>
      <c r="JGL4" s="484"/>
      <c r="JGM4" s="484"/>
      <c r="JGN4" s="484"/>
      <c r="JGO4" s="484"/>
      <c r="JGP4" s="484"/>
      <c r="JGQ4" s="484"/>
      <c r="JGR4" s="484"/>
      <c r="JGS4" s="484"/>
      <c r="JGT4" s="484"/>
      <c r="JGU4" s="484"/>
      <c r="JGV4" s="484"/>
      <c r="JGW4" s="484"/>
      <c r="JGX4" s="484"/>
      <c r="JGY4" s="484"/>
      <c r="JGZ4" s="484"/>
      <c r="JHA4" s="484"/>
      <c r="JHB4" s="484"/>
      <c r="JHC4" s="484"/>
      <c r="JHD4" s="484"/>
      <c r="JHE4" s="484"/>
      <c r="JHF4" s="484"/>
      <c r="JHG4" s="484"/>
      <c r="JHH4" s="484"/>
      <c r="JHI4" s="484"/>
      <c r="JHJ4" s="484"/>
      <c r="JHK4" s="484"/>
      <c r="JHL4" s="484"/>
      <c r="JHM4" s="484"/>
      <c r="JHN4" s="484"/>
      <c r="JHO4" s="484"/>
      <c r="JHP4" s="484"/>
      <c r="JHQ4" s="484"/>
      <c r="JHR4" s="484"/>
      <c r="JHS4" s="484"/>
      <c r="JHT4" s="484"/>
      <c r="JHU4" s="484"/>
      <c r="JHV4" s="484"/>
      <c r="JHW4" s="484"/>
      <c r="JHX4" s="484"/>
      <c r="JHY4" s="484"/>
      <c r="JHZ4" s="484"/>
      <c r="JIA4" s="484"/>
      <c r="JIB4" s="484"/>
      <c r="JIC4" s="484"/>
      <c r="JID4" s="484"/>
      <c r="JIE4" s="484"/>
      <c r="JIF4" s="484"/>
      <c r="JIG4" s="484"/>
      <c r="JIH4" s="484"/>
      <c r="JII4" s="484"/>
      <c r="JIJ4" s="484"/>
      <c r="JIK4" s="484"/>
      <c r="JIL4" s="484"/>
      <c r="JIM4" s="484"/>
      <c r="JIN4" s="484"/>
      <c r="JIO4" s="484"/>
      <c r="JIP4" s="484"/>
      <c r="JIQ4" s="484"/>
      <c r="JIR4" s="484"/>
      <c r="JIS4" s="484"/>
      <c r="JIT4" s="484"/>
      <c r="JIU4" s="484"/>
      <c r="JIV4" s="484"/>
      <c r="JIW4" s="484"/>
      <c r="JIX4" s="484"/>
      <c r="JIY4" s="484"/>
      <c r="JIZ4" s="484"/>
      <c r="JJA4" s="484"/>
      <c r="JJB4" s="484"/>
      <c r="JJC4" s="484"/>
      <c r="JJD4" s="484"/>
      <c r="JJE4" s="484"/>
      <c r="JJF4" s="484"/>
      <c r="JJG4" s="484"/>
      <c r="JJH4" s="484"/>
      <c r="JJI4" s="484"/>
      <c r="JJJ4" s="484"/>
      <c r="JJK4" s="484"/>
      <c r="JJL4" s="484"/>
      <c r="JJM4" s="484"/>
      <c r="JJN4" s="484"/>
      <c r="JJO4" s="484"/>
      <c r="JJP4" s="484"/>
      <c r="JJQ4" s="484"/>
      <c r="JJR4" s="484"/>
      <c r="JJS4" s="484"/>
      <c r="JJT4" s="484"/>
      <c r="JJU4" s="484"/>
      <c r="JJV4" s="484"/>
      <c r="JJW4" s="484"/>
      <c r="JJX4" s="484"/>
      <c r="JJY4" s="484"/>
      <c r="JJZ4" s="484"/>
      <c r="JKA4" s="484"/>
      <c r="JKB4" s="484"/>
      <c r="JKC4" s="484"/>
      <c r="JKD4" s="484"/>
      <c r="JKE4" s="484"/>
      <c r="JKF4" s="484"/>
      <c r="JKG4" s="484"/>
      <c r="JKH4" s="484"/>
      <c r="JKI4" s="484"/>
      <c r="JKJ4" s="484"/>
      <c r="JKK4" s="484"/>
      <c r="JKL4" s="484"/>
      <c r="JKM4" s="484"/>
      <c r="JKN4" s="484"/>
      <c r="JKO4" s="484"/>
      <c r="JKP4" s="484"/>
      <c r="JKQ4" s="484"/>
      <c r="JKR4" s="484"/>
      <c r="JKS4" s="484"/>
      <c r="JKT4" s="484"/>
      <c r="JKU4" s="484"/>
      <c r="JKV4" s="484"/>
      <c r="JKW4" s="484"/>
      <c r="JKX4" s="484"/>
      <c r="JKY4" s="484"/>
      <c r="JKZ4" s="484"/>
      <c r="JLA4" s="484"/>
      <c r="JLB4" s="484"/>
      <c r="JLC4" s="484"/>
      <c r="JLD4" s="484"/>
      <c r="JLE4" s="484"/>
      <c r="JLF4" s="484"/>
      <c r="JLG4" s="484"/>
      <c r="JLH4" s="484"/>
      <c r="JLI4" s="484"/>
      <c r="JLJ4" s="484"/>
      <c r="JLK4" s="484"/>
      <c r="JLL4" s="484"/>
      <c r="JLM4" s="484"/>
      <c r="JLN4" s="484"/>
      <c r="JLO4" s="484"/>
      <c r="JLP4" s="484"/>
      <c r="JLQ4" s="484"/>
      <c r="JLR4" s="484"/>
      <c r="JLS4" s="484"/>
      <c r="JLT4" s="484"/>
      <c r="JLU4" s="484"/>
      <c r="JLV4" s="484"/>
      <c r="JLW4" s="484"/>
      <c r="JLX4" s="484"/>
      <c r="JLY4" s="484"/>
      <c r="JLZ4" s="484"/>
      <c r="JMA4" s="484"/>
      <c r="JMB4" s="484"/>
      <c r="JMC4" s="484"/>
      <c r="JMD4" s="484"/>
      <c r="JME4" s="484"/>
      <c r="JMF4" s="484"/>
      <c r="JMG4" s="484"/>
      <c r="JMH4" s="484"/>
      <c r="JMI4" s="484"/>
      <c r="JMJ4" s="484"/>
      <c r="JMK4" s="484"/>
      <c r="JML4" s="484"/>
      <c r="JMM4" s="484"/>
      <c r="JMN4" s="484"/>
      <c r="JMO4" s="484"/>
      <c r="JMP4" s="484"/>
      <c r="JMQ4" s="484"/>
      <c r="JMR4" s="484"/>
      <c r="JMS4" s="484"/>
      <c r="JMT4" s="484"/>
      <c r="JMU4" s="484"/>
      <c r="JMV4" s="484"/>
      <c r="JMW4" s="484"/>
      <c r="JMX4" s="484"/>
      <c r="JMY4" s="484"/>
      <c r="JMZ4" s="484"/>
      <c r="JNA4" s="484"/>
      <c r="JNB4" s="484"/>
      <c r="JNC4" s="484"/>
      <c r="JND4" s="484"/>
      <c r="JNE4" s="484"/>
      <c r="JNF4" s="484"/>
      <c r="JNG4" s="484"/>
      <c r="JNH4" s="484"/>
      <c r="JNI4" s="484"/>
      <c r="JNJ4" s="484"/>
      <c r="JNK4" s="484"/>
      <c r="JNL4" s="484"/>
      <c r="JNM4" s="484"/>
      <c r="JNN4" s="484"/>
      <c r="JNO4" s="484"/>
      <c r="JNP4" s="484"/>
      <c r="JNQ4" s="484"/>
      <c r="JNR4" s="484"/>
      <c r="JNS4" s="484"/>
      <c r="JNT4" s="484"/>
      <c r="JNU4" s="484"/>
      <c r="JNV4" s="484"/>
      <c r="JNW4" s="484"/>
      <c r="JNX4" s="484"/>
      <c r="JNY4" s="484"/>
      <c r="JNZ4" s="484"/>
      <c r="JOA4" s="484"/>
      <c r="JOB4" s="484"/>
      <c r="JOC4" s="484"/>
      <c r="JOD4" s="484"/>
      <c r="JOE4" s="484"/>
      <c r="JOF4" s="484"/>
      <c r="JOG4" s="484"/>
      <c r="JOH4" s="484"/>
      <c r="JOI4" s="484"/>
      <c r="JOJ4" s="484"/>
      <c r="JOK4" s="484"/>
      <c r="JOL4" s="484"/>
      <c r="JOM4" s="484"/>
      <c r="JON4" s="484"/>
      <c r="JOO4" s="484"/>
      <c r="JOP4" s="484"/>
      <c r="JOQ4" s="484"/>
      <c r="JOR4" s="484"/>
      <c r="JOS4" s="484"/>
      <c r="JOT4" s="484"/>
      <c r="JOU4" s="484"/>
      <c r="JOV4" s="484"/>
      <c r="JOW4" s="484"/>
      <c r="JOX4" s="484"/>
      <c r="JOY4" s="484"/>
      <c r="JOZ4" s="484"/>
      <c r="JPA4" s="484"/>
      <c r="JPB4" s="484"/>
      <c r="JPC4" s="484"/>
      <c r="JPD4" s="484"/>
      <c r="JPE4" s="484"/>
      <c r="JPF4" s="484"/>
      <c r="JPG4" s="484"/>
      <c r="JPH4" s="484"/>
      <c r="JPI4" s="484"/>
      <c r="JPJ4" s="484"/>
      <c r="JPK4" s="484"/>
      <c r="JPL4" s="484"/>
      <c r="JPM4" s="484"/>
      <c r="JPN4" s="484"/>
      <c r="JPO4" s="484"/>
      <c r="JPP4" s="484"/>
      <c r="JPQ4" s="484"/>
      <c r="JPR4" s="484"/>
      <c r="JPS4" s="484"/>
      <c r="JPT4" s="484"/>
      <c r="JPU4" s="484"/>
      <c r="JPV4" s="484"/>
      <c r="JPW4" s="484"/>
      <c r="JPX4" s="484"/>
      <c r="JPY4" s="484"/>
      <c r="JPZ4" s="484"/>
      <c r="JQA4" s="484"/>
      <c r="JQB4" s="484"/>
      <c r="JQC4" s="484"/>
      <c r="JQD4" s="484"/>
      <c r="JQE4" s="484"/>
      <c r="JQF4" s="484"/>
      <c r="JQG4" s="484"/>
      <c r="JQH4" s="484"/>
      <c r="JQI4" s="484"/>
      <c r="JQJ4" s="484"/>
      <c r="JQK4" s="484"/>
      <c r="JQL4" s="484"/>
      <c r="JQM4" s="484"/>
      <c r="JQN4" s="484"/>
      <c r="JQO4" s="484"/>
      <c r="JQP4" s="484"/>
      <c r="JQQ4" s="484"/>
      <c r="JQR4" s="484"/>
      <c r="JQS4" s="484"/>
      <c r="JQT4" s="484"/>
      <c r="JQU4" s="484"/>
      <c r="JQV4" s="484"/>
      <c r="JQW4" s="484"/>
      <c r="JQX4" s="484"/>
      <c r="JQY4" s="484"/>
      <c r="JQZ4" s="484"/>
      <c r="JRA4" s="484"/>
      <c r="JRB4" s="484"/>
      <c r="JRC4" s="484"/>
      <c r="JRD4" s="484"/>
      <c r="JRE4" s="484"/>
      <c r="JRF4" s="484"/>
      <c r="JRG4" s="484"/>
      <c r="JRH4" s="484"/>
      <c r="JRI4" s="484"/>
      <c r="JRJ4" s="484"/>
      <c r="JRK4" s="484"/>
      <c r="JRL4" s="484"/>
      <c r="JRM4" s="484"/>
      <c r="JRN4" s="484"/>
      <c r="JRO4" s="484"/>
      <c r="JRP4" s="484"/>
      <c r="JRQ4" s="484"/>
      <c r="JRR4" s="484"/>
      <c r="JRS4" s="484"/>
      <c r="JRT4" s="484"/>
      <c r="JRU4" s="484"/>
      <c r="JRV4" s="484"/>
      <c r="JRW4" s="484"/>
      <c r="JRX4" s="484"/>
      <c r="JRY4" s="484"/>
      <c r="JRZ4" s="484"/>
      <c r="JSA4" s="484"/>
      <c r="JSB4" s="484"/>
      <c r="JSC4" s="484"/>
      <c r="JSD4" s="484"/>
      <c r="JSE4" s="484"/>
      <c r="JSF4" s="484"/>
      <c r="JSG4" s="484"/>
      <c r="JSH4" s="484"/>
      <c r="JSI4" s="484"/>
      <c r="JSJ4" s="484"/>
      <c r="JSK4" s="484"/>
      <c r="JSL4" s="484"/>
      <c r="JSM4" s="484"/>
      <c r="JSN4" s="484"/>
      <c r="JSO4" s="484"/>
      <c r="JSP4" s="484"/>
      <c r="JSQ4" s="484"/>
      <c r="JSR4" s="484"/>
      <c r="JSS4" s="484"/>
      <c r="JST4" s="484"/>
      <c r="JSU4" s="484"/>
      <c r="JSV4" s="484"/>
      <c r="JSW4" s="484"/>
      <c r="JSX4" s="484"/>
      <c r="JSY4" s="484"/>
      <c r="JSZ4" s="484"/>
      <c r="JTA4" s="484"/>
      <c r="JTB4" s="484"/>
      <c r="JTC4" s="484"/>
      <c r="JTD4" s="484"/>
      <c r="JTE4" s="484"/>
      <c r="JTF4" s="484"/>
      <c r="JTG4" s="484"/>
      <c r="JTH4" s="484"/>
      <c r="JTI4" s="484"/>
      <c r="JTJ4" s="484"/>
      <c r="JTK4" s="484"/>
      <c r="JTL4" s="484"/>
      <c r="JTM4" s="484"/>
      <c r="JTN4" s="484"/>
      <c r="JTO4" s="484"/>
      <c r="JTP4" s="484"/>
      <c r="JTQ4" s="484"/>
      <c r="JTR4" s="484"/>
      <c r="JTS4" s="484"/>
      <c r="JTT4" s="484"/>
      <c r="JTU4" s="484"/>
      <c r="JTV4" s="484"/>
      <c r="JTW4" s="484"/>
      <c r="JTX4" s="484"/>
      <c r="JTY4" s="484"/>
      <c r="JTZ4" s="484"/>
      <c r="JUA4" s="484"/>
      <c r="JUB4" s="484"/>
      <c r="JUC4" s="484"/>
      <c r="JUD4" s="484"/>
      <c r="JUE4" s="484"/>
      <c r="JUF4" s="484"/>
      <c r="JUG4" s="484"/>
      <c r="JUH4" s="484"/>
      <c r="JUI4" s="484"/>
      <c r="JUJ4" s="484"/>
      <c r="JUK4" s="484"/>
      <c r="JUL4" s="484"/>
      <c r="JUM4" s="484"/>
      <c r="JUN4" s="484"/>
      <c r="JUO4" s="484"/>
      <c r="JUP4" s="484"/>
      <c r="JUQ4" s="484"/>
      <c r="JUR4" s="484"/>
      <c r="JUS4" s="484"/>
      <c r="JUT4" s="484"/>
      <c r="JUU4" s="484"/>
      <c r="JUV4" s="484"/>
      <c r="JUW4" s="484"/>
      <c r="JUX4" s="484"/>
      <c r="JUY4" s="484"/>
      <c r="JUZ4" s="484"/>
      <c r="JVA4" s="484"/>
      <c r="JVB4" s="484"/>
      <c r="JVC4" s="484"/>
      <c r="JVD4" s="484"/>
      <c r="JVE4" s="484"/>
      <c r="JVF4" s="484"/>
      <c r="JVG4" s="484"/>
      <c r="JVH4" s="484"/>
      <c r="JVI4" s="484"/>
      <c r="JVJ4" s="484"/>
      <c r="JVK4" s="484"/>
      <c r="JVL4" s="484"/>
      <c r="JVM4" s="484"/>
      <c r="JVN4" s="484"/>
      <c r="JVO4" s="484"/>
      <c r="JVP4" s="484"/>
      <c r="JVQ4" s="484"/>
      <c r="JVR4" s="484"/>
      <c r="JVS4" s="484"/>
      <c r="JVT4" s="484"/>
      <c r="JVU4" s="484"/>
      <c r="JVV4" s="484"/>
      <c r="JVW4" s="484"/>
      <c r="JVX4" s="484"/>
      <c r="JVY4" s="484"/>
      <c r="JVZ4" s="484"/>
      <c r="JWA4" s="484"/>
      <c r="JWB4" s="484"/>
      <c r="JWC4" s="484"/>
      <c r="JWD4" s="484"/>
      <c r="JWE4" s="484"/>
      <c r="JWF4" s="484"/>
      <c r="JWG4" s="484"/>
      <c r="JWH4" s="484"/>
      <c r="JWI4" s="484"/>
      <c r="JWJ4" s="484"/>
      <c r="JWK4" s="484"/>
      <c r="JWL4" s="484"/>
      <c r="JWM4" s="484"/>
      <c r="JWN4" s="484"/>
      <c r="JWO4" s="484"/>
      <c r="JWP4" s="484"/>
      <c r="JWQ4" s="484"/>
      <c r="JWR4" s="484"/>
      <c r="JWS4" s="484"/>
      <c r="JWT4" s="484"/>
      <c r="JWU4" s="484"/>
      <c r="JWV4" s="484"/>
      <c r="JWW4" s="484"/>
      <c r="JWX4" s="484"/>
      <c r="JWY4" s="484"/>
      <c r="JWZ4" s="484"/>
      <c r="JXA4" s="484"/>
      <c r="JXB4" s="484"/>
      <c r="JXC4" s="484"/>
      <c r="JXD4" s="484"/>
      <c r="JXE4" s="484"/>
      <c r="JXF4" s="484"/>
      <c r="JXG4" s="484"/>
      <c r="JXH4" s="484"/>
      <c r="JXI4" s="484"/>
      <c r="JXJ4" s="484"/>
      <c r="JXK4" s="484"/>
      <c r="JXL4" s="484"/>
      <c r="JXM4" s="484"/>
      <c r="JXN4" s="484"/>
      <c r="JXO4" s="484"/>
      <c r="JXP4" s="484"/>
      <c r="JXQ4" s="484"/>
      <c r="JXR4" s="484"/>
      <c r="JXS4" s="484"/>
      <c r="JXT4" s="484"/>
      <c r="JXU4" s="484"/>
      <c r="JXV4" s="484"/>
      <c r="JXW4" s="484"/>
      <c r="JXX4" s="484"/>
      <c r="JXY4" s="484"/>
      <c r="JXZ4" s="484"/>
      <c r="JYA4" s="484"/>
      <c r="JYB4" s="484"/>
      <c r="JYC4" s="484"/>
      <c r="JYD4" s="484"/>
      <c r="JYE4" s="484"/>
      <c r="JYF4" s="484"/>
      <c r="JYG4" s="484"/>
      <c r="JYH4" s="484"/>
      <c r="JYI4" s="484"/>
      <c r="JYJ4" s="484"/>
      <c r="JYK4" s="484"/>
      <c r="JYL4" s="484"/>
      <c r="JYM4" s="484"/>
      <c r="JYN4" s="484"/>
      <c r="JYO4" s="484"/>
      <c r="JYP4" s="484"/>
      <c r="JYQ4" s="484"/>
      <c r="JYR4" s="484"/>
      <c r="JYS4" s="484"/>
      <c r="JYT4" s="484"/>
      <c r="JYU4" s="484"/>
      <c r="JYV4" s="484"/>
      <c r="JYW4" s="484"/>
      <c r="JYX4" s="484"/>
      <c r="JYY4" s="484"/>
      <c r="JYZ4" s="484"/>
      <c r="JZA4" s="484"/>
      <c r="JZB4" s="484"/>
      <c r="JZC4" s="484"/>
      <c r="JZD4" s="484"/>
      <c r="JZE4" s="484"/>
      <c r="JZF4" s="484"/>
      <c r="JZG4" s="484"/>
      <c r="JZH4" s="484"/>
      <c r="JZI4" s="484"/>
      <c r="JZJ4" s="484"/>
      <c r="JZK4" s="484"/>
      <c r="JZL4" s="484"/>
      <c r="JZM4" s="484"/>
      <c r="JZN4" s="484"/>
      <c r="JZO4" s="484"/>
      <c r="JZP4" s="484"/>
      <c r="JZQ4" s="484"/>
      <c r="JZR4" s="484"/>
      <c r="JZS4" s="484"/>
      <c r="JZT4" s="484"/>
      <c r="JZU4" s="484"/>
      <c r="JZV4" s="484"/>
      <c r="JZW4" s="484"/>
      <c r="JZX4" s="484"/>
      <c r="JZY4" s="484"/>
      <c r="JZZ4" s="484"/>
      <c r="KAA4" s="484"/>
      <c r="KAB4" s="484"/>
      <c r="KAC4" s="484"/>
      <c r="KAD4" s="484"/>
      <c r="KAE4" s="484"/>
      <c r="KAF4" s="484"/>
      <c r="KAG4" s="484"/>
      <c r="KAH4" s="484"/>
      <c r="KAI4" s="484"/>
      <c r="KAJ4" s="484"/>
      <c r="KAK4" s="484"/>
      <c r="KAL4" s="484"/>
      <c r="KAM4" s="484"/>
      <c r="KAN4" s="484"/>
      <c r="KAO4" s="484"/>
      <c r="KAP4" s="484"/>
      <c r="KAQ4" s="484"/>
      <c r="KAR4" s="484"/>
      <c r="KAS4" s="484"/>
      <c r="KAT4" s="484"/>
      <c r="KAU4" s="484"/>
      <c r="KAV4" s="484"/>
      <c r="KAW4" s="484"/>
      <c r="KAX4" s="484"/>
      <c r="KAY4" s="484"/>
      <c r="KAZ4" s="484"/>
      <c r="KBA4" s="484"/>
      <c r="KBB4" s="484"/>
      <c r="KBC4" s="484"/>
      <c r="KBD4" s="484"/>
      <c r="KBE4" s="484"/>
      <c r="KBF4" s="484"/>
      <c r="KBG4" s="484"/>
      <c r="KBH4" s="484"/>
      <c r="KBI4" s="484"/>
      <c r="KBJ4" s="484"/>
      <c r="KBK4" s="484"/>
      <c r="KBL4" s="484"/>
      <c r="KBM4" s="484"/>
      <c r="KBN4" s="484"/>
      <c r="KBO4" s="484"/>
      <c r="KBP4" s="484"/>
      <c r="KBQ4" s="484"/>
      <c r="KBR4" s="484"/>
      <c r="KBS4" s="484"/>
      <c r="KBT4" s="484"/>
      <c r="KBU4" s="484"/>
      <c r="KBV4" s="484"/>
      <c r="KBW4" s="484"/>
      <c r="KBX4" s="484"/>
      <c r="KBY4" s="484"/>
      <c r="KBZ4" s="484"/>
      <c r="KCA4" s="484"/>
      <c r="KCB4" s="484"/>
      <c r="KCC4" s="484"/>
      <c r="KCD4" s="484"/>
      <c r="KCE4" s="484"/>
      <c r="KCF4" s="484"/>
      <c r="KCG4" s="484"/>
      <c r="KCH4" s="484"/>
      <c r="KCI4" s="484"/>
      <c r="KCJ4" s="484"/>
      <c r="KCK4" s="484"/>
      <c r="KCL4" s="484"/>
      <c r="KCM4" s="484"/>
      <c r="KCN4" s="484"/>
      <c r="KCO4" s="484"/>
      <c r="KCP4" s="484"/>
      <c r="KCQ4" s="484"/>
      <c r="KCR4" s="484"/>
      <c r="KCS4" s="484"/>
      <c r="KCT4" s="484"/>
      <c r="KCU4" s="484"/>
      <c r="KCV4" s="484"/>
      <c r="KCW4" s="484"/>
      <c r="KCX4" s="484"/>
      <c r="KCY4" s="484"/>
      <c r="KCZ4" s="484"/>
      <c r="KDA4" s="484"/>
      <c r="KDB4" s="484"/>
      <c r="KDC4" s="484"/>
      <c r="KDD4" s="484"/>
      <c r="KDE4" s="484"/>
      <c r="KDF4" s="484"/>
      <c r="KDG4" s="484"/>
      <c r="KDH4" s="484"/>
      <c r="KDI4" s="484"/>
      <c r="KDJ4" s="484"/>
      <c r="KDK4" s="484"/>
      <c r="KDL4" s="484"/>
      <c r="KDM4" s="484"/>
      <c r="KDN4" s="484"/>
      <c r="KDO4" s="484"/>
      <c r="KDP4" s="484"/>
      <c r="KDQ4" s="484"/>
      <c r="KDR4" s="484"/>
      <c r="KDS4" s="484"/>
      <c r="KDT4" s="484"/>
      <c r="KDU4" s="484"/>
      <c r="KDV4" s="484"/>
      <c r="KDW4" s="484"/>
      <c r="KDX4" s="484"/>
      <c r="KDY4" s="484"/>
      <c r="KDZ4" s="484"/>
      <c r="KEA4" s="484"/>
      <c r="KEB4" s="484"/>
      <c r="KEC4" s="484"/>
      <c r="KED4" s="484"/>
      <c r="KEE4" s="484"/>
      <c r="KEF4" s="484"/>
      <c r="KEG4" s="484"/>
      <c r="KEH4" s="484"/>
      <c r="KEI4" s="484"/>
      <c r="KEJ4" s="484"/>
      <c r="KEK4" s="484"/>
      <c r="KEL4" s="484"/>
      <c r="KEM4" s="484"/>
      <c r="KEN4" s="484"/>
      <c r="KEO4" s="484"/>
      <c r="KEP4" s="484"/>
      <c r="KEQ4" s="484"/>
      <c r="KER4" s="484"/>
      <c r="KES4" s="484"/>
      <c r="KET4" s="484"/>
      <c r="KEU4" s="484"/>
      <c r="KEV4" s="484"/>
      <c r="KEW4" s="484"/>
      <c r="KEX4" s="484"/>
      <c r="KEY4" s="484"/>
      <c r="KEZ4" s="484"/>
      <c r="KFA4" s="484"/>
      <c r="KFB4" s="484"/>
      <c r="KFC4" s="484"/>
      <c r="KFD4" s="484"/>
      <c r="KFE4" s="484"/>
      <c r="KFF4" s="484"/>
      <c r="KFG4" s="484"/>
      <c r="KFH4" s="484"/>
      <c r="KFI4" s="484"/>
      <c r="KFJ4" s="484"/>
      <c r="KFK4" s="484"/>
      <c r="KFL4" s="484"/>
      <c r="KFM4" s="484"/>
      <c r="KFN4" s="484"/>
      <c r="KFO4" s="484"/>
      <c r="KFP4" s="484"/>
      <c r="KFQ4" s="484"/>
      <c r="KFR4" s="484"/>
      <c r="KFS4" s="484"/>
      <c r="KFT4" s="484"/>
      <c r="KFU4" s="484"/>
      <c r="KFV4" s="484"/>
      <c r="KFW4" s="484"/>
      <c r="KFX4" s="484"/>
      <c r="KFY4" s="484"/>
      <c r="KFZ4" s="484"/>
      <c r="KGA4" s="484"/>
      <c r="KGB4" s="484"/>
      <c r="KGC4" s="484"/>
      <c r="KGD4" s="484"/>
      <c r="KGE4" s="484"/>
      <c r="KGF4" s="484"/>
      <c r="KGG4" s="484"/>
      <c r="KGH4" s="484"/>
      <c r="KGI4" s="484"/>
      <c r="KGJ4" s="484"/>
      <c r="KGK4" s="484"/>
      <c r="KGL4" s="484"/>
      <c r="KGM4" s="484"/>
      <c r="KGN4" s="484"/>
      <c r="KGO4" s="484"/>
      <c r="KGP4" s="484"/>
      <c r="KGQ4" s="484"/>
      <c r="KGR4" s="484"/>
      <c r="KGS4" s="484"/>
      <c r="KGT4" s="484"/>
      <c r="KGU4" s="484"/>
      <c r="KGV4" s="484"/>
      <c r="KGW4" s="484"/>
      <c r="KGX4" s="484"/>
      <c r="KGY4" s="484"/>
      <c r="KGZ4" s="484"/>
      <c r="KHA4" s="484"/>
      <c r="KHB4" s="484"/>
      <c r="KHC4" s="484"/>
      <c r="KHD4" s="484"/>
      <c r="KHE4" s="484"/>
      <c r="KHF4" s="484"/>
      <c r="KHG4" s="484"/>
      <c r="KHH4" s="484"/>
      <c r="KHI4" s="484"/>
      <c r="KHJ4" s="484"/>
      <c r="KHK4" s="484"/>
      <c r="KHL4" s="484"/>
      <c r="KHM4" s="484"/>
      <c r="KHN4" s="484"/>
      <c r="KHO4" s="484"/>
      <c r="KHP4" s="484"/>
      <c r="KHQ4" s="484"/>
      <c r="KHR4" s="484"/>
      <c r="KHS4" s="484"/>
      <c r="KHT4" s="484"/>
      <c r="KHU4" s="484"/>
      <c r="KHV4" s="484"/>
      <c r="KHW4" s="484"/>
      <c r="KHX4" s="484"/>
      <c r="KHY4" s="484"/>
      <c r="KHZ4" s="484"/>
      <c r="KIA4" s="484"/>
      <c r="KIB4" s="484"/>
      <c r="KIC4" s="484"/>
      <c r="KID4" s="484"/>
      <c r="KIE4" s="484"/>
      <c r="KIF4" s="484"/>
      <c r="KIG4" s="484"/>
      <c r="KIH4" s="484"/>
      <c r="KII4" s="484"/>
      <c r="KIJ4" s="484"/>
      <c r="KIK4" s="484"/>
      <c r="KIL4" s="484"/>
      <c r="KIM4" s="484"/>
      <c r="KIN4" s="484"/>
      <c r="KIO4" s="484"/>
      <c r="KIP4" s="484"/>
      <c r="KIQ4" s="484"/>
      <c r="KIR4" s="484"/>
      <c r="KIS4" s="484"/>
      <c r="KIT4" s="484"/>
      <c r="KIU4" s="484"/>
      <c r="KIV4" s="484"/>
      <c r="KIW4" s="484"/>
      <c r="KIX4" s="484"/>
      <c r="KIY4" s="484"/>
      <c r="KIZ4" s="484"/>
      <c r="KJA4" s="484"/>
      <c r="KJB4" s="484"/>
      <c r="KJC4" s="484"/>
      <c r="KJD4" s="484"/>
      <c r="KJE4" s="484"/>
      <c r="KJF4" s="484"/>
      <c r="KJG4" s="484"/>
      <c r="KJH4" s="484"/>
      <c r="KJI4" s="484"/>
      <c r="KJJ4" s="484"/>
      <c r="KJK4" s="484"/>
      <c r="KJL4" s="484"/>
      <c r="KJM4" s="484"/>
      <c r="KJN4" s="484"/>
      <c r="KJO4" s="484"/>
      <c r="KJP4" s="484"/>
      <c r="KJQ4" s="484"/>
      <c r="KJR4" s="484"/>
      <c r="KJS4" s="484"/>
      <c r="KJT4" s="484"/>
      <c r="KJU4" s="484"/>
      <c r="KJV4" s="484"/>
      <c r="KJW4" s="484"/>
      <c r="KJX4" s="484"/>
      <c r="KJY4" s="484"/>
      <c r="KJZ4" s="484"/>
      <c r="KKA4" s="484"/>
      <c r="KKB4" s="484"/>
      <c r="KKC4" s="484"/>
      <c r="KKD4" s="484"/>
      <c r="KKE4" s="484"/>
      <c r="KKF4" s="484"/>
      <c r="KKG4" s="484"/>
      <c r="KKH4" s="484"/>
      <c r="KKI4" s="484"/>
      <c r="KKJ4" s="484"/>
      <c r="KKK4" s="484"/>
      <c r="KKL4" s="484"/>
      <c r="KKM4" s="484"/>
      <c r="KKN4" s="484"/>
      <c r="KKO4" s="484"/>
      <c r="KKP4" s="484"/>
      <c r="KKQ4" s="484"/>
      <c r="KKR4" s="484"/>
      <c r="KKS4" s="484"/>
      <c r="KKT4" s="484"/>
      <c r="KKU4" s="484"/>
      <c r="KKV4" s="484"/>
      <c r="KKW4" s="484"/>
      <c r="KKX4" s="484"/>
      <c r="KKY4" s="484"/>
      <c r="KKZ4" s="484"/>
      <c r="KLA4" s="484"/>
      <c r="KLB4" s="484"/>
      <c r="KLC4" s="484"/>
      <c r="KLD4" s="484"/>
      <c r="KLE4" s="484"/>
      <c r="KLF4" s="484"/>
      <c r="KLG4" s="484"/>
      <c r="KLH4" s="484"/>
      <c r="KLI4" s="484"/>
      <c r="KLJ4" s="484"/>
      <c r="KLK4" s="484"/>
      <c r="KLL4" s="484"/>
      <c r="KLM4" s="484"/>
      <c r="KLN4" s="484"/>
      <c r="KLO4" s="484"/>
      <c r="KLP4" s="484"/>
      <c r="KLQ4" s="484"/>
      <c r="KLR4" s="484"/>
      <c r="KLS4" s="484"/>
      <c r="KLT4" s="484"/>
      <c r="KLU4" s="484"/>
      <c r="KLV4" s="484"/>
      <c r="KLW4" s="484"/>
      <c r="KLX4" s="484"/>
      <c r="KLY4" s="484"/>
      <c r="KLZ4" s="484"/>
      <c r="KMA4" s="484"/>
      <c r="KMB4" s="484"/>
      <c r="KMC4" s="484"/>
      <c r="KMD4" s="484"/>
      <c r="KME4" s="484"/>
      <c r="KMF4" s="484"/>
      <c r="KMG4" s="484"/>
      <c r="KMH4" s="484"/>
      <c r="KMI4" s="484"/>
      <c r="KMJ4" s="484"/>
      <c r="KMK4" s="484"/>
      <c r="KML4" s="484"/>
      <c r="KMM4" s="484"/>
      <c r="KMN4" s="484"/>
      <c r="KMO4" s="484"/>
      <c r="KMP4" s="484"/>
      <c r="KMQ4" s="484"/>
      <c r="KMR4" s="484"/>
      <c r="KMS4" s="484"/>
      <c r="KMT4" s="484"/>
      <c r="KMU4" s="484"/>
      <c r="KMV4" s="484"/>
      <c r="KMW4" s="484"/>
      <c r="KMX4" s="484"/>
      <c r="KMY4" s="484"/>
      <c r="KMZ4" s="484"/>
      <c r="KNA4" s="484"/>
      <c r="KNB4" s="484"/>
      <c r="KNC4" s="484"/>
      <c r="KND4" s="484"/>
      <c r="KNE4" s="484"/>
      <c r="KNF4" s="484"/>
      <c r="KNG4" s="484"/>
      <c r="KNH4" s="484"/>
      <c r="KNI4" s="484"/>
      <c r="KNJ4" s="484"/>
      <c r="KNK4" s="484"/>
      <c r="KNL4" s="484"/>
      <c r="KNM4" s="484"/>
      <c r="KNN4" s="484"/>
      <c r="KNO4" s="484"/>
      <c r="KNP4" s="484"/>
      <c r="KNQ4" s="484"/>
      <c r="KNR4" s="484"/>
      <c r="KNS4" s="484"/>
      <c r="KNT4" s="484"/>
      <c r="KNU4" s="484"/>
      <c r="KNV4" s="484"/>
      <c r="KNW4" s="484"/>
      <c r="KNX4" s="484"/>
      <c r="KNY4" s="484"/>
      <c r="KNZ4" s="484"/>
      <c r="KOA4" s="484"/>
      <c r="KOB4" s="484"/>
      <c r="KOC4" s="484"/>
      <c r="KOD4" s="484"/>
      <c r="KOE4" s="484"/>
      <c r="KOF4" s="484"/>
      <c r="KOG4" s="484"/>
      <c r="KOH4" s="484"/>
      <c r="KOI4" s="484"/>
      <c r="KOJ4" s="484"/>
      <c r="KOK4" s="484"/>
      <c r="KOL4" s="484"/>
      <c r="KOM4" s="484"/>
      <c r="KON4" s="484"/>
      <c r="KOO4" s="484"/>
      <c r="KOP4" s="484"/>
      <c r="KOQ4" s="484"/>
      <c r="KOR4" s="484"/>
      <c r="KOS4" s="484"/>
      <c r="KOT4" s="484"/>
      <c r="KOU4" s="484"/>
      <c r="KOV4" s="484"/>
      <c r="KOW4" s="484"/>
      <c r="KOX4" s="484"/>
      <c r="KOY4" s="484"/>
      <c r="KOZ4" s="484"/>
      <c r="KPA4" s="484"/>
      <c r="KPB4" s="484"/>
      <c r="KPC4" s="484"/>
      <c r="KPD4" s="484"/>
      <c r="KPE4" s="484"/>
      <c r="KPF4" s="484"/>
      <c r="KPG4" s="484"/>
      <c r="KPH4" s="484"/>
      <c r="KPI4" s="484"/>
      <c r="KPJ4" s="484"/>
      <c r="KPK4" s="484"/>
      <c r="KPL4" s="484"/>
      <c r="KPM4" s="484"/>
      <c r="KPN4" s="484"/>
      <c r="KPO4" s="484"/>
      <c r="KPP4" s="484"/>
      <c r="KPQ4" s="484"/>
      <c r="KPR4" s="484"/>
      <c r="KPS4" s="484"/>
      <c r="KPT4" s="484"/>
      <c r="KPU4" s="484"/>
      <c r="KPV4" s="484"/>
      <c r="KPW4" s="484"/>
      <c r="KPX4" s="484"/>
      <c r="KPY4" s="484"/>
      <c r="KPZ4" s="484"/>
      <c r="KQA4" s="484"/>
      <c r="KQB4" s="484"/>
      <c r="KQC4" s="484"/>
      <c r="KQD4" s="484"/>
      <c r="KQE4" s="484"/>
      <c r="KQF4" s="484"/>
      <c r="KQG4" s="484"/>
      <c r="KQH4" s="484"/>
      <c r="KQI4" s="484"/>
      <c r="KQJ4" s="484"/>
      <c r="KQK4" s="484"/>
      <c r="KQL4" s="484"/>
      <c r="KQM4" s="484"/>
      <c r="KQN4" s="484"/>
      <c r="KQO4" s="484"/>
      <c r="KQP4" s="484"/>
      <c r="KQQ4" s="484"/>
      <c r="KQR4" s="484"/>
      <c r="KQS4" s="484"/>
      <c r="KQT4" s="484"/>
      <c r="KQU4" s="484"/>
      <c r="KQV4" s="484"/>
      <c r="KQW4" s="484"/>
      <c r="KQX4" s="484"/>
      <c r="KQY4" s="484"/>
      <c r="KQZ4" s="484"/>
      <c r="KRA4" s="484"/>
      <c r="KRB4" s="484"/>
      <c r="KRC4" s="484"/>
      <c r="KRD4" s="484"/>
      <c r="KRE4" s="484"/>
      <c r="KRF4" s="484"/>
      <c r="KRG4" s="484"/>
      <c r="KRH4" s="484"/>
      <c r="KRI4" s="484"/>
      <c r="KRJ4" s="484"/>
      <c r="KRK4" s="484"/>
      <c r="KRL4" s="484"/>
      <c r="KRM4" s="484"/>
      <c r="KRN4" s="484"/>
      <c r="KRO4" s="484"/>
      <c r="KRP4" s="484"/>
      <c r="KRQ4" s="484"/>
      <c r="KRR4" s="484"/>
      <c r="KRS4" s="484"/>
      <c r="KRT4" s="484"/>
      <c r="KRU4" s="484"/>
      <c r="KRV4" s="484"/>
      <c r="KRW4" s="484"/>
      <c r="KRX4" s="484"/>
      <c r="KRY4" s="484"/>
      <c r="KRZ4" s="484"/>
      <c r="KSA4" s="484"/>
      <c r="KSB4" s="484"/>
      <c r="KSC4" s="484"/>
      <c r="KSD4" s="484"/>
      <c r="KSE4" s="484"/>
      <c r="KSF4" s="484"/>
      <c r="KSG4" s="484"/>
      <c r="KSH4" s="484"/>
      <c r="KSI4" s="484"/>
      <c r="KSJ4" s="484"/>
      <c r="KSK4" s="484"/>
      <c r="KSL4" s="484"/>
      <c r="KSM4" s="484"/>
      <c r="KSN4" s="484"/>
      <c r="KSO4" s="484"/>
      <c r="KSP4" s="484"/>
      <c r="KSQ4" s="484"/>
      <c r="KSR4" s="484"/>
      <c r="KSS4" s="484"/>
      <c r="KST4" s="484"/>
      <c r="KSU4" s="484"/>
      <c r="KSV4" s="484"/>
      <c r="KSW4" s="484"/>
      <c r="KSX4" s="484"/>
      <c r="KSY4" s="484"/>
      <c r="KSZ4" s="484"/>
      <c r="KTA4" s="484"/>
      <c r="KTB4" s="484"/>
      <c r="KTC4" s="484"/>
      <c r="KTD4" s="484"/>
      <c r="KTE4" s="484"/>
      <c r="KTF4" s="484"/>
      <c r="KTG4" s="484"/>
      <c r="KTH4" s="484"/>
      <c r="KTI4" s="484"/>
      <c r="KTJ4" s="484"/>
      <c r="KTK4" s="484"/>
      <c r="KTL4" s="484"/>
      <c r="KTM4" s="484"/>
      <c r="KTN4" s="484"/>
      <c r="KTO4" s="484"/>
      <c r="KTP4" s="484"/>
      <c r="KTQ4" s="484"/>
      <c r="KTR4" s="484"/>
      <c r="KTS4" s="484"/>
      <c r="KTT4" s="484"/>
      <c r="KTU4" s="484"/>
      <c r="KTV4" s="484"/>
      <c r="KTW4" s="484"/>
      <c r="KTX4" s="484"/>
      <c r="KTY4" s="484"/>
      <c r="KTZ4" s="484"/>
      <c r="KUA4" s="484"/>
      <c r="KUB4" s="484"/>
      <c r="KUC4" s="484"/>
      <c r="KUD4" s="484"/>
      <c r="KUE4" s="484"/>
      <c r="KUF4" s="484"/>
      <c r="KUG4" s="484"/>
      <c r="KUH4" s="484"/>
      <c r="KUI4" s="484"/>
      <c r="KUJ4" s="484"/>
      <c r="KUK4" s="484"/>
      <c r="KUL4" s="484"/>
      <c r="KUM4" s="484"/>
      <c r="KUN4" s="484"/>
      <c r="KUO4" s="484"/>
      <c r="KUP4" s="484"/>
      <c r="KUQ4" s="484"/>
      <c r="KUR4" s="484"/>
      <c r="KUS4" s="484"/>
      <c r="KUT4" s="484"/>
      <c r="KUU4" s="484"/>
      <c r="KUV4" s="484"/>
      <c r="KUW4" s="484"/>
      <c r="KUX4" s="484"/>
      <c r="KUY4" s="484"/>
      <c r="KUZ4" s="484"/>
      <c r="KVA4" s="484"/>
      <c r="KVB4" s="484"/>
      <c r="KVC4" s="484"/>
      <c r="KVD4" s="484"/>
      <c r="KVE4" s="484"/>
      <c r="KVF4" s="484"/>
      <c r="KVG4" s="484"/>
      <c r="KVH4" s="484"/>
      <c r="KVI4" s="484"/>
      <c r="KVJ4" s="484"/>
      <c r="KVK4" s="484"/>
      <c r="KVL4" s="484"/>
      <c r="KVM4" s="484"/>
      <c r="KVN4" s="484"/>
      <c r="KVO4" s="484"/>
      <c r="KVP4" s="484"/>
      <c r="KVQ4" s="484"/>
      <c r="KVR4" s="484"/>
      <c r="KVS4" s="484"/>
      <c r="KVT4" s="484"/>
      <c r="KVU4" s="484"/>
      <c r="KVV4" s="484"/>
      <c r="KVW4" s="484"/>
      <c r="KVX4" s="484"/>
      <c r="KVY4" s="484"/>
      <c r="KVZ4" s="484"/>
      <c r="KWA4" s="484"/>
      <c r="KWB4" s="484"/>
      <c r="KWC4" s="484"/>
      <c r="KWD4" s="484"/>
      <c r="KWE4" s="484"/>
      <c r="KWF4" s="484"/>
      <c r="KWG4" s="484"/>
      <c r="KWH4" s="484"/>
      <c r="KWI4" s="484"/>
      <c r="KWJ4" s="484"/>
      <c r="KWK4" s="484"/>
      <c r="KWL4" s="484"/>
      <c r="KWM4" s="484"/>
      <c r="KWN4" s="484"/>
      <c r="KWO4" s="484"/>
      <c r="KWP4" s="484"/>
      <c r="KWQ4" s="484"/>
      <c r="KWR4" s="484"/>
      <c r="KWS4" s="484"/>
      <c r="KWT4" s="484"/>
      <c r="KWU4" s="484"/>
      <c r="KWV4" s="484"/>
      <c r="KWW4" s="484"/>
      <c r="KWX4" s="484"/>
      <c r="KWY4" s="484"/>
      <c r="KWZ4" s="484"/>
      <c r="KXA4" s="484"/>
      <c r="KXB4" s="484"/>
      <c r="KXC4" s="484"/>
      <c r="KXD4" s="484"/>
      <c r="KXE4" s="484"/>
      <c r="KXF4" s="484"/>
      <c r="KXG4" s="484"/>
      <c r="KXH4" s="484"/>
      <c r="KXI4" s="484"/>
      <c r="KXJ4" s="484"/>
      <c r="KXK4" s="484"/>
      <c r="KXL4" s="484"/>
      <c r="KXM4" s="484"/>
      <c r="KXN4" s="484"/>
      <c r="KXO4" s="484"/>
      <c r="KXP4" s="484"/>
      <c r="KXQ4" s="484"/>
      <c r="KXR4" s="484"/>
      <c r="KXS4" s="484"/>
      <c r="KXT4" s="484"/>
      <c r="KXU4" s="484"/>
      <c r="KXV4" s="484"/>
      <c r="KXW4" s="484"/>
      <c r="KXX4" s="484"/>
      <c r="KXY4" s="484"/>
      <c r="KXZ4" s="484"/>
      <c r="KYA4" s="484"/>
      <c r="KYB4" s="484"/>
      <c r="KYC4" s="484"/>
      <c r="KYD4" s="484"/>
      <c r="KYE4" s="484"/>
      <c r="KYF4" s="484"/>
      <c r="KYG4" s="484"/>
      <c r="KYH4" s="484"/>
      <c r="KYI4" s="484"/>
      <c r="KYJ4" s="484"/>
      <c r="KYK4" s="484"/>
      <c r="KYL4" s="484"/>
      <c r="KYM4" s="484"/>
      <c r="KYN4" s="484"/>
      <c r="KYO4" s="484"/>
      <c r="KYP4" s="484"/>
      <c r="KYQ4" s="484"/>
      <c r="KYR4" s="484"/>
      <c r="KYS4" s="484"/>
      <c r="KYT4" s="484"/>
      <c r="KYU4" s="484"/>
      <c r="KYV4" s="484"/>
      <c r="KYW4" s="484"/>
      <c r="KYX4" s="484"/>
      <c r="KYY4" s="484"/>
      <c r="KYZ4" s="484"/>
      <c r="KZA4" s="484"/>
      <c r="KZB4" s="484"/>
      <c r="KZC4" s="484"/>
      <c r="KZD4" s="484"/>
      <c r="KZE4" s="484"/>
      <c r="KZF4" s="484"/>
      <c r="KZG4" s="484"/>
      <c r="KZH4" s="484"/>
      <c r="KZI4" s="484"/>
      <c r="KZJ4" s="484"/>
      <c r="KZK4" s="484"/>
      <c r="KZL4" s="484"/>
      <c r="KZM4" s="484"/>
      <c r="KZN4" s="484"/>
      <c r="KZO4" s="484"/>
      <c r="KZP4" s="484"/>
      <c r="KZQ4" s="484"/>
      <c r="KZR4" s="484"/>
      <c r="KZS4" s="484"/>
      <c r="KZT4" s="484"/>
      <c r="KZU4" s="484"/>
      <c r="KZV4" s="484"/>
      <c r="KZW4" s="484"/>
      <c r="KZX4" s="484"/>
      <c r="KZY4" s="484"/>
      <c r="KZZ4" s="484"/>
      <c r="LAA4" s="484"/>
      <c r="LAB4" s="484"/>
      <c r="LAC4" s="484"/>
      <c r="LAD4" s="484"/>
      <c r="LAE4" s="484"/>
      <c r="LAF4" s="484"/>
      <c r="LAG4" s="484"/>
      <c r="LAH4" s="484"/>
      <c r="LAI4" s="484"/>
      <c r="LAJ4" s="484"/>
      <c r="LAK4" s="484"/>
      <c r="LAL4" s="484"/>
      <c r="LAM4" s="484"/>
      <c r="LAN4" s="484"/>
      <c r="LAO4" s="484"/>
      <c r="LAP4" s="484"/>
      <c r="LAQ4" s="484"/>
      <c r="LAR4" s="484"/>
      <c r="LAS4" s="484"/>
      <c r="LAT4" s="484"/>
      <c r="LAU4" s="484"/>
      <c r="LAV4" s="484"/>
      <c r="LAW4" s="484"/>
      <c r="LAX4" s="484"/>
      <c r="LAY4" s="484"/>
      <c r="LAZ4" s="484"/>
      <c r="LBA4" s="484"/>
      <c r="LBB4" s="484"/>
      <c r="LBC4" s="484"/>
      <c r="LBD4" s="484"/>
      <c r="LBE4" s="484"/>
      <c r="LBF4" s="484"/>
      <c r="LBG4" s="484"/>
      <c r="LBH4" s="484"/>
      <c r="LBI4" s="484"/>
      <c r="LBJ4" s="484"/>
      <c r="LBK4" s="484"/>
      <c r="LBL4" s="484"/>
      <c r="LBM4" s="484"/>
      <c r="LBN4" s="484"/>
      <c r="LBO4" s="484"/>
      <c r="LBP4" s="484"/>
      <c r="LBQ4" s="484"/>
      <c r="LBR4" s="484"/>
      <c r="LBS4" s="484"/>
      <c r="LBT4" s="484"/>
      <c r="LBU4" s="484"/>
      <c r="LBV4" s="484"/>
      <c r="LBW4" s="484"/>
      <c r="LBX4" s="484"/>
      <c r="LBY4" s="484"/>
      <c r="LBZ4" s="484"/>
      <c r="LCA4" s="484"/>
      <c r="LCB4" s="484"/>
      <c r="LCC4" s="484"/>
      <c r="LCD4" s="484"/>
      <c r="LCE4" s="484"/>
      <c r="LCF4" s="484"/>
      <c r="LCG4" s="484"/>
      <c r="LCH4" s="484"/>
      <c r="LCI4" s="484"/>
      <c r="LCJ4" s="484"/>
      <c r="LCK4" s="484"/>
      <c r="LCL4" s="484"/>
      <c r="LCM4" s="484"/>
      <c r="LCN4" s="484"/>
      <c r="LCO4" s="484"/>
      <c r="LCP4" s="484"/>
      <c r="LCQ4" s="484"/>
      <c r="LCR4" s="484"/>
      <c r="LCS4" s="484"/>
      <c r="LCT4" s="484"/>
      <c r="LCU4" s="484"/>
      <c r="LCV4" s="484"/>
      <c r="LCW4" s="484"/>
      <c r="LCX4" s="484"/>
      <c r="LCY4" s="484"/>
      <c r="LCZ4" s="484"/>
      <c r="LDA4" s="484"/>
      <c r="LDB4" s="484"/>
      <c r="LDC4" s="484"/>
      <c r="LDD4" s="484"/>
      <c r="LDE4" s="484"/>
      <c r="LDF4" s="484"/>
      <c r="LDG4" s="484"/>
      <c r="LDH4" s="484"/>
      <c r="LDI4" s="484"/>
      <c r="LDJ4" s="484"/>
      <c r="LDK4" s="484"/>
      <c r="LDL4" s="484"/>
      <c r="LDM4" s="484"/>
      <c r="LDN4" s="484"/>
      <c r="LDO4" s="484"/>
      <c r="LDP4" s="484"/>
      <c r="LDQ4" s="484"/>
      <c r="LDR4" s="484"/>
      <c r="LDS4" s="484"/>
      <c r="LDT4" s="484"/>
      <c r="LDU4" s="484"/>
      <c r="LDV4" s="484"/>
      <c r="LDW4" s="484"/>
      <c r="LDX4" s="484"/>
      <c r="LDY4" s="484"/>
      <c r="LDZ4" s="484"/>
      <c r="LEA4" s="484"/>
      <c r="LEB4" s="484"/>
      <c r="LEC4" s="484"/>
      <c r="LED4" s="484"/>
      <c r="LEE4" s="484"/>
      <c r="LEF4" s="484"/>
      <c r="LEG4" s="484"/>
      <c r="LEH4" s="484"/>
      <c r="LEI4" s="484"/>
      <c r="LEJ4" s="484"/>
      <c r="LEK4" s="484"/>
      <c r="LEL4" s="484"/>
      <c r="LEM4" s="484"/>
      <c r="LEN4" s="484"/>
      <c r="LEO4" s="484"/>
      <c r="LEP4" s="484"/>
      <c r="LEQ4" s="484"/>
      <c r="LER4" s="484"/>
      <c r="LES4" s="484"/>
      <c r="LET4" s="484"/>
      <c r="LEU4" s="484"/>
      <c r="LEV4" s="484"/>
      <c r="LEW4" s="484"/>
      <c r="LEX4" s="484"/>
      <c r="LEY4" s="484"/>
      <c r="LEZ4" s="484"/>
      <c r="LFA4" s="484"/>
      <c r="LFB4" s="484"/>
      <c r="LFC4" s="484"/>
      <c r="LFD4" s="484"/>
      <c r="LFE4" s="484"/>
      <c r="LFF4" s="484"/>
      <c r="LFG4" s="484"/>
      <c r="LFH4" s="484"/>
      <c r="LFI4" s="484"/>
      <c r="LFJ4" s="484"/>
      <c r="LFK4" s="484"/>
      <c r="LFL4" s="484"/>
      <c r="LFM4" s="484"/>
      <c r="LFN4" s="484"/>
      <c r="LFO4" s="484"/>
      <c r="LFP4" s="484"/>
      <c r="LFQ4" s="484"/>
      <c r="LFR4" s="484"/>
      <c r="LFS4" s="484"/>
      <c r="LFT4" s="484"/>
      <c r="LFU4" s="484"/>
      <c r="LFV4" s="484"/>
      <c r="LFW4" s="484"/>
      <c r="LFX4" s="484"/>
      <c r="LFY4" s="484"/>
      <c r="LFZ4" s="484"/>
      <c r="LGA4" s="484"/>
      <c r="LGB4" s="484"/>
      <c r="LGC4" s="484"/>
      <c r="LGD4" s="484"/>
      <c r="LGE4" s="484"/>
      <c r="LGF4" s="484"/>
      <c r="LGG4" s="484"/>
      <c r="LGH4" s="484"/>
      <c r="LGI4" s="484"/>
      <c r="LGJ4" s="484"/>
      <c r="LGK4" s="484"/>
      <c r="LGL4" s="484"/>
      <c r="LGM4" s="484"/>
      <c r="LGN4" s="484"/>
      <c r="LGO4" s="484"/>
      <c r="LGP4" s="484"/>
      <c r="LGQ4" s="484"/>
      <c r="LGR4" s="484"/>
      <c r="LGS4" s="484"/>
      <c r="LGT4" s="484"/>
      <c r="LGU4" s="484"/>
      <c r="LGV4" s="484"/>
      <c r="LGW4" s="484"/>
      <c r="LGX4" s="484"/>
      <c r="LGY4" s="484"/>
      <c r="LGZ4" s="484"/>
      <c r="LHA4" s="484"/>
      <c r="LHB4" s="484"/>
      <c r="LHC4" s="484"/>
      <c r="LHD4" s="484"/>
      <c r="LHE4" s="484"/>
      <c r="LHF4" s="484"/>
      <c r="LHG4" s="484"/>
      <c r="LHH4" s="484"/>
      <c r="LHI4" s="484"/>
      <c r="LHJ4" s="484"/>
      <c r="LHK4" s="484"/>
      <c r="LHL4" s="484"/>
      <c r="LHM4" s="484"/>
      <c r="LHN4" s="484"/>
      <c r="LHO4" s="484"/>
      <c r="LHP4" s="484"/>
      <c r="LHQ4" s="484"/>
      <c r="LHR4" s="484"/>
      <c r="LHS4" s="484"/>
      <c r="LHT4" s="484"/>
      <c r="LHU4" s="484"/>
      <c r="LHV4" s="484"/>
      <c r="LHW4" s="484"/>
      <c r="LHX4" s="484"/>
      <c r="LHY4" s="484"/>
      <c r="LHZ4" s="484"/>
      <c r="LIA4" s="484"/>
      <c r="LIB4" s="484"/>
      <c r="LIC4" s="484"/>
      <c r="LID4" s="484"/>
      <c r="LIE4" s="484"/>
      <c r="LIF4" s="484"/>
      <c r="LIG4" s="484"/>
      <c r="LIH4" s="484"/>
      <c r="LII4" s="484"/>
      <c r="LIJ4" s="484"/>
      <c r="LIK4" s="484"/>
      <c r="LIL4" s="484"/>
      <c r="LIM4" s="484"/>
      <c r="LIN4" s="484"/>
      <c r="LIO4" s="484"/>
      <c r="LIP4" s="484"/>
      <c r="LIQ4" s="484"/>
      <c r="LIR4" s="484"/>
      <c r="LIS4" s="484"/>
      <c r="LIT4" s="484"/>
      <c r="LIU4" s="484"/>
      <c r="LIV4" s="484"/>
      <c r="LIW4" s="484"/>
      <c r="LIX4" s="484"/>
      <c r="LIY4" s="484"/>
      <c r="LIZ4" s="484"/>
      <c r="LJA4" s="484"/>
      <c r="LJB4" s="484"/>
      <c r="LJC4" s="484"/>
      <c r="LJD4" s="484"/>
      <c r="LJE4" s="484"/>
      <c r="LJF4" s="484"/>
      <c r="LJG4" s="484"/>
      <c r="LJH4" s="484"/>
      <c r="LJI4" s="484"/>
      <c r="LJJ4" s="484"/>
      <c r="LJK4" s="484"/>
      <c r="LJL4" s="484"/>
      <c r="LJM4" s="484"/>
      <c r="LJN4" s="484"/>
      <c r="LJO4" s="484"/>
      <c r="LJP4" s="484"/>
      <c r="LJQ4" s="484"/>
      <c r="LJR4" s="484"/>
      <c r="LJS4" s="484"/>
      <c r="LJT4" s="484"/>
      <c r="LJU4" s="484"/>
      <c r="LJV4" s="484"/>
      <c r="LJW4" s="484"/>
      <c r="LJX4" s="484"/>
      <c r="LJY4" s="484"/>
      <c r="LJZ4" s="484"/>
      <c r="LKA4" s="484"/>
      <c r="LKB4" s="484"/>
      <c r="LKC4" s="484"/>
      <c r="LKD4" s="484"/>
      <c r="LKE4" s="484"/>
      <c r="LKF4" s="484"/>
      <c r="LKG4" s="484"/>
      <c r="LKH4" s="484"/>
      <c r="LKI4" s="484"/>
      <c r="LKJ4" s="484"/>
      <c r="LKK4" s="484"/>
      <c r="LKL4" s="484"/>
      <c r="LKM4" s="484"/>
      <c r="LKN4" s="484"/>
      <c r="LKO4" s="484"/>
      <c r="LKP4" s="484"/>
      <c r="LKQ4" s="484"/>
      <c r="LKR4" s="484"/>
      <c r="LKS4" s="484"/>
      <c r="LKT4" s="484"/>
      <c r="LKU4" s="484"/>
      <c r="LKV4" s="484"/>
      <c r="LKW4" s="484"/>
      <c r="LKX4" s="484"/>
      <c r="LKY4" s="484"/>
      <c r="LKZ4" s="484"/>
      <c r="LLA4" s="484"/>
      <c r="LLB4" s="484"/>
      <c r="LLC4" s="484"/>
      <c r="LLD4" s="484"/>
      <c r="LLE4" s="484"/>
      <c r="LLF4" s="484"/>
      <c r="LLG4" s="484"/>
      <c r="LLH4" s="484"/>
      <c r="LLI4" s="484"/>
      <c r="LLJ4" s="484"/>
      <c r="LLK4" s="484"/>
      <c r="LLL4" s="484"/>
      <c r="LLM4" s="484"/>
      <c r="LLN4" s="484"/>
      <c r="LLO4" s="484"/>
      <c r="LLP4" s="484"/>
      <c r="LLQ4" s="484"/>
      <c r="LLR4" s="484"/>
      <c r="LLS4" s="484"/>
      <c r="LLT4" s="484"/>
      <c r="LLU4" s="484"/>
      <c r="LLV4" s="484"/>
      <c r="LLW4" s="484"/>
      <c r="LLX4" s="484"/>
      <c r="LLY4" s="484"/>
      <c r="LLZ4" s="484"/>
      <c r="LMA4" s="484"/>
      <c r="LMB4" s="484"/>
      <c r="LMC4" s="484"/>
      <c r="LMD4" s="484"/>
      <c r="LME4" s="484"/>
      <c r="LMF4" s="484"/>
      <c r="LMG4" s="484"/>
      <c r="LMH4" s="484"/>
      <c r="LMI4" s="484"/>
      <c r="LMJ4" s="484"/>
      <c r="LMK4" s="484"/>
      <c r="LML4" s="484"/>
      <c r="LMM4" s="484"/>
      <c r="LMN4" s="484"/>
      <c r="LMO4" s="484"/>
      <c r="LMP4" s="484"/>
      <c r="LMQ4" s="484"/>
      <c r="LMR4" s="484"/>
      <c r="LMS4" s="484"/>
      <c r="LMT4" s="484"/>
      <c r="LMU4" s="484"/>
      <c r="LMV4" s="484"/>
      <c r="LMW4" s="484"/>
      <c r="LMX4" s="484"/>
      <c r="LMY4" s="484"/>
      <c r="LMZ4" s="484"/>
      <c r="LNA4" s="484"/>
      <c r="LNB4" s="484"/>
      <c r="LNC4" s="484"/>
      <c r="LND4" s="484"/>
      <c r="LNE4" s="484"/>
      <c r="LNF4" s="484"/>
      <c r="LNG4" s="484"/>
      <c r="LNH4" s="484"/>
      <c r="LNI4" s="484"/>
      <c r="LNJ4" s="484"/>
      <c r="LNK4" s="484"/>
      <c r="LNL4" s="484"/>
      <c r="LNM4" s="484"/>
      <c r="LNN4" s="484"/>
      <c r="LNO4" s="484"/>
      <c r="LNP4" s="484"/>
      <c r="LNQ4" s="484"/>
      <c r="LNR4" s="484"/>
      <c r="LNS4" s="484"/>
      <c r="LNT4" s="484"/>
      <c r="LNU4" s="484"/>
      <c r="LNV4" s="484"/>
      <c r="LNW4" s="484"/>
      <c r="LNX4" s="484"/>
      <c r="LNY4" s="484"/>
      <c r="LNZ4" s="484"/>
      <c r="LOA4" s="484"/>
      <c r="LOB4" s="484"/>
      <c r="LOC4" s="484"/>
      <c r="LOD4" s="484"/>
      <c r="LOE4" s="484"/>
      <c r="LOF4" s="484"/>
      <c r="LOG4" s="484"/>
      <c r="LOH4" s="484"/>
      <c r="LOI4" s="484"/>
      <c r="LOJ4" s="484"/>
      <c r="LOK4" s="484"/>
      <c r="LOL4" s="484"/>
      <c r="LOM4" s="484"/>
      <c r="LON4" s="484"/>
      <c r="LOO4" s="484"/>
      <c r="LOP4" s="484"/>
      <c r="LOQ4" s="484"/>
      <c r="LOR4" s="484"/>
      <c r="LOS4" s="484"/>
      <c r="LOT4" s="484"/>
      <c r="LOU4" s="484"/>
      <c r="LOV4" s="484"/>
      <c r="LOW4" s="484"/>
      <c r="LOX4" s="484"/>
      <c r="LOY4" s="484"/>
      <c r="LOZ4" s="484"/>
      <c r="LPA4" s="484"/>
      <c r="LPB4" s="484"/>
      <c r="LPC4" s="484"/>
      <c r="LPD4" s="484"/>
      <c r="LPE4" s="484"/>
      <c r="LPF4" s="484"/>
      <c r="LPG4" s="484"/>
      <c r="LPH4" s="484"/>
      <c r="LPI4" s="484"/>
      <c r="LPJ4" s="484"/>
      <c r="LPK4" s="484"/>
      <c r="LPL4" s="484"/>
      <c r="LPM4" s="484"/>
      <c r="LPN4" s="484"/>
      <c r="LPO4" s="484"/>
      <c r="LPP4" s="484"/>
      <c r="LPQ4" s="484"/>
      <c r="LPR4" s="484"/>
      <c r="LPS4" s="484"/>
      <c r="LPT4" s="484"/>
      <c r="LPU4" s="484"/>
      <c r="LPV4" s="484"/>
      <c r="LPW4" s="484"/>
      <c r="LPX4" s="484"/>
      <c r="LPY4" s="484"/>
      <c r="LPZ4" s="484"/>
      <c r="LQA4" s="484"/>
      <c r="LQB4" s="484"/>
      <c r="LQC4" s="484"/>
      <c r="LQD4" s="484"/>
      <c r="LQE4" s="484"/>
      <c r="LQF4" s="484"/>
      <c r="LQG4" s="484"/>
      <c r="LQH4" s="484"/>
      <c r="LQI4" s="484"/>
      <c r="LQJ4" s="484"/>
      <c r="LQK4" s="484"/>
      <c r="LQL4" s="484"/>
      <c r="LQM4" s="484"/>
      <c r="LQN4" s="484"/>
      <c r="LQO4" s="484"/>
      <c r="LQP4" s="484"/>
      <c r="LQQ4" s="484"/>
      <c r="LQR4" s="484"/>
      <c r="LQS4" s="484"/>
      <c r="LQT4" s="484"/>
      <c r="LQU4" s="484"/>
      <c r="LQV4" s="484"/>
      <c r="LQW4" s="484"/>
      <c r="LQX4" s="484"/>
      <c r="LQY4" s="484"/>
      <c r="LQZ4" s="484"/>
      <c r="LRA4" s="484"/>
      <c r="LRB4" s="484"/>
      <c r="LRC4" s="484"/>
      <c r="LRD4" s="484"/>
      <c r="LRE4" s="484"/>
      <c r="LRF4" s="484"/>
      <c r="LRG4" s="484"/>
      <c r="LRH4" s="484"/>
      <c r="LRI4" s="484"/>
      <c r="LRJ4" s="484"/>
      <c r="LRK4" s="484"/>
      <c r="LRL4" s="484"/>
      <c r="LRM4" s="484"/>
      <c r="LRN4" s="484"/>
      <c r="LRO4" s="484"/>
      <c r="LRP4" s="484"/>
      <c r="LRQ4" s="484"/>
      <c r="LRR4" s="484"/>
      <c r="LRS4" s="484"/>
      <c r="LRT4" s="484"/>
      <c r="LRU4" s="484"/>
      <c r="LRV4" s="484"/>
      <c r="LRW4" s="484"/>
      <c r="LRX4" s="484"/>
      <c r="LRY4" s="484"/>
      <c r="LRZ4" s="484"/>
      <c r="LSA4" s="484"/>
      <c r="LSB4" s="484"/>
      <c r="LSC4" s="484"/>
      <c r="LSD4" s="484"/>
      <c r="LSE4" s="484"/>
      <c r="LSF4" s="484"/>
      <c r="LSG4" s="484"/>
      <c r="LSH4" s="484"/>
      <c r="LSI4" s="484"/>
      <c r="LSJ4" s="484"/>
      <c r="LSK4" s="484"/>
      <c r="LSL4" s="484"/>
      <c r="LSM4" s="484"/>
      <c r="LSN4" s="484"/>
      <c r="LSO4" s="484"/>
      <c r="LSP4" s="484"/>
      <c r="LSQ4" s="484"/>
      <c r="LSR4" s="484"/>
      <c r="LSS4" s="484"/>
      <c r="LST4" s="484"/>
      <c r="LSU4" s="484"/>
      <c r="LSV4" s="484"/>
      <c r="LSW4" s="484"/>
      <c r="LSX4" s="484"/>
      <c r="LSY4" s="484"/>
      <c r="LSZ4" s="484"/>
      <c r="LTA4" s="484"/>
      <c r="LTB4" s="484"/>
      <c r="LTC4" s="484"/>
      <c r="LTD4" s="484"/>
      <c r="LTE4" s="484"/>
      <c r="LTF4" s="484"/>
      <c r="LTG4" s="484"/>
      <c r="LTH4" s="484"/>
      <c r="LTI4" s="484"/>
      <c r="LTJ4" s="484"/>
      <c r="LTK4" s="484"/>
      <c r="LTL4" s="484"/>
      <c r="LTM4" s="484"/>
      <c r="LTN4" s="484"/>
      <c r="LTO4" s="484"/>
      <c r="LTP4" s="484"/>
      <c r="LTQ4" s="484"/>
      <c r="LTR4" s="484"/>
      <c r="LTS4" s="484"/>
      <c r="LTT4" s="484"/>
      <c r="LTU4" s="484"/>
      <c r="LTV4" s="484"/>
      <c r="LTW4" s="484"/>
      <c r="LTX4" s="484"/>
      <c r="LTY4" s="484"/>
      <c r="LTZ4" s="484"/>
      <c r="LUA4" s="484"/>
      <c r="LUB4" s="484"/>
      <c r="LUC4" s="484"/>
      <c r="LUD4" s="484"/>
      <c r="LUE4" s="484"/>
      <c r="LUF4" s="484"/>
      <c r="LUG4" s="484"/>
      <c r="LUH4" s="484"/>
      <c r="LUI4" s="484"/>
      <c r="LUJ4" s="484"/>
      <c r="LUK4" s="484"/>
      <c r="LUL4" s="484"/>
      <c r="LUM4" s="484"/>
      <c r="LUN4" s="484"/>
      <c r="LUO4" s="484"/>
      <c r="LUP4" s="484"/>
      <c r="LUQ4" s="484"/>
      <c r="LUR4" s="484"/>
      <c r="LUS4" s="484"/>
      <c r="LUT4" s="484"/>
      <c r="LUU4" s="484"/>
      <c r="LUV4" s="484"/>
      <c r="LUW4" s="484"/>
      <c r="LUX4" s="484"/>
      <c r="LUY4" s="484"/>
      <c r="LUZ4" s="484"/>
      <c r="LVA4" s="484"/>
      <c r="LVB4" s="484"/>
      <c r="LVC4" s="484"/>
      <c r="LVD4" s="484"/>
      <c r="LVE4" s="484"/>
      <c r="LVF4" s="484"/>
      <c r="LVG4" s="484"/>
      <c r="LVH4" s="484"/>
      <c r="LVI4" s="484"/>
      <c r="LVJ4" s="484"/>
      <c r="LVK4" s="484"/>
      <c r="LVL4" s="484"/>
      <c r="LVM4" s="484"/>
      <c r="LVN4" s="484"/>
      <c r="LVO4" s="484"/>
      <c r="LVP4" s="484"/>
      <c r="LVQ4" s="484"/>
      <c r="LVR4" s="484"/>
      <c r="LVS4" s="484"/>
      <c r="LVT4" s="484"/>
      <c r="LVU4" s="484"/>
      <c r="LVV4" s="484"/>
      <c r="LVW4" s="484"/>
      <c r="LVX4" s="484"/>
      <c r="LVY4" s="484"/>
      <c r="LVZ4" s="484"/>
      <c r="LWA4" s="484"/>
      <c r="LWB4" s="484"/>
      <c r="LWC4" s="484"/>
      <c r="LWD4" s="484"/>
      <c r="LWE4" s="484"/>
      <c r="LWF4" s="484"/>
      <c r="LWG4" s="484"/>
      <c r="LWH4" s="484"/>
      <c r="LWI4" s="484"/>
      <c r="LWJ4" s="484"/>
      <c r="LWK4" s="484"/>
      <c r="LWL4" s="484"/>
      <c r="LWM4" s="484"/>
      <c r="LWN4" s="484"/>
      <c r="LWO4" s="484"/>
      <c r="LWP4" s="484"/>
      <c r="LWQ4" s="484"/>
      <c r="LWR4" s="484"/>
      <c r="LWS4" s="484"/>
      <c r="LWT4" s="484"/>
      <c r="LWU4" s="484"/>
      <c r="LWV4" s="484"/>
      <c r="LWW4" s="484"/>
      <c r="LWX4" s="484"/>
      <c r="LWY4" s="484"/>
      <c r="LWZ4" s="484"/>
      <c r="LXA4" s="484"/>
      <c r="LXB4" s="484"/>
      <c r="LXC4" s="484"/>
      <c r="LXD4" s="484"/>
      <c r="LXE4" s="484"/>
      <c r="LXF4" s="484"/>
      <c r="LXG4" s="484"/>
      <c r="LXH4" s="484"/>
      <c r="LXI4" s="484"/>
      <c r="LXJ4" s="484"/>
      <c r="LXK4" s="484"/>
      <c r="LXL4" s="484"/>
      <c r="LXM4" s="484"/>
      <c r="LXN4" s="484"/>
      <c r="LXO4" s="484"/>
      <c r="LXP4" s="484"/>
      <c r="LXQ4" s="484"/>
      <c r="LXR4" s="484"/>
      <c r="LXS4" s="484"/>
      <c r="LXT4" s="484"/>
      <c r="LXU4" s="484"/>
      <c r="LXV4" s="484"/>
      <c r="LXW4" s="484"/>
      <c r="LXX4" s="484"/>
      <c r="LXY4" s="484"/>
      <c r="LXZ4" s="484"/>
      <c r="LYA4" s="484"/>
      <c r="LYB4" s="484"/>
      <c r="LYC4" s="484"/>
      <c r="LYD4" s="484"/>
      <c r="LYE4" s="484"/>
      <c r="LYF4" s="484"/>
      <c r="LYG4" s="484"/>
      <c r="LYH4" s="484"/>
      <c r="LYI4" s="484"/>
      <c r="LYJ4" s="484"/>
      <c r="LYK4" s="484"/>
      <c r="LYL4" s="484"/>
      <c r="LYM4" s="484"/>
      <c r="LYN4" s="484"/>
      <c r="LYO4" s="484"/>
      <c r="LYP4" s="484"/>
      <c r="LYQ4" s="484"/>
      <c r="LYR4" s="484"/>
      <c r="LYS4" s="484"/>
      <c r="LYT4" s="484"/>
      <c r="LYU4" s="484"/>
      <c r="LYV4" s="484"/>
      <c r="LYW4" s="484"/>
      <c r="LYX4" s="484"/>
      <c r="LYY4" s="484"/>
      <c r="LYZ4" s="484"/>
      <c r="LZA4" s="484"/>
      <c r="LZB4" s="484"/>
      <c r="LZC4" s="484"/>
      <c r="LZD4" s="484"/>
      <c r="LZE4" s="484"/>
      <c r="LZF4" s="484"/>
      <c r="LZG4" s="484"/>
      <c r="LZH4" s="484"/>
      <c r="LZI4" s="484"/>
      <c r="LZJ4" s="484"/>
      <c r="LZK4" s="484"/>
      <c r="LZL4" s="484"/>
      <c r="LZM4" s="484"/>
      <c r="LZN4" s="484"/>
      <c r="LZO4" s="484"/>
      <c r="LZP4" s="484"/>
      <c r="LZQ4" s="484"/>
      <c r="LZR4" s="484"/>
      <c r="LZS4" s="484"/>
      <c r="LZT4" s="484"/>
      <c r="LZU4" s="484"/>
      <c r="LZV4" s="484"/>
      <c r="LZW4" s="484"/>
      <c r="LZX4" s="484"/>
      <c r="LZY4" s="484"/>
      <c r="LZZ4" s="484"/>
      <c r="MAA4" s="484"/>
      <c r="MAB4" s="484"/>
      <c r="MAC4" s="484"/>
      <c r="MAD4" s="484"/>
      <c r="MAE4" s="484"/>
      <c r="MAF4" s="484"/>
      <c r="MAG4" s="484"/>
      <c r="MAH4" s="484"/>
      <c r="MAI4" s="484"/>
      <c r="MAJ4" s="484"/>
      <c r="MAK4" s="484"/>
      <c r="MAL4" s="484"/>
      <c r="MAM4" s="484"/>
      <c r="MAN4" s="484"/>
      <c r="MAO4" s="484"/>
      <c r="MAP4" s="484"/>
      <c r="MAQ4" s="484"/>
      <c r="MAR4" s="484"/>
      <c r="MAS4" s="484"/>
      <c r="MAT4" s="484"/>
      <c r="MAU4" s="484"/>
      <c r="MAV4" s="484"/>
      <c r="MAW4" s="484"/>
      <c r="MAX4" s="484"/>
      <c r="MAY4" s="484"/>
      <c r="MAZ4" s="484"/>
      <c r="MBA4" s="484"/>
      <c r="MBB4" s="484"/>
      <c r="MBC4" s="484"/>
      <c r="MBD4" s="484"/>
      <c r="MBE4" s="484"/>
      <c r="MBF4" s="484"/>
      <c r="MBG4" s="484"/>
      <c r="MBH4" s="484"/>
      <c r="MBI4" s="484"/>
      <c r="MBJ4" s="484"/>
      <c r="MBK4" s="484"/>
      <c r="MBL4" s="484"/>
      <c r="MBM4" s="484"/>
      <c r="MBN4" s="484"/>
      <c r="MBO4" s="484"/>
      <c r="MBP4" s="484"/>
      <c r="MBQ4" s="484"/>
      <c r="MBR4" s="484"/>
      <c r="MBS4" s="484"/>
      <c r="MBT4" s="484"/>
      <c r="MBU4" s="484"/>
      <c r="MBV4" s="484"/>
      <c r="MBW4" s="484"/>
      <c r="MBX4" s="484"/>
      <c r="MBY4" s="484"/>
      <c r="MBZ4" s="484"/>
      <c r="MCA4" s="484"/>
      <c r="MCB4" s="484"/>
      <c r="MCC4" s="484"/>
      <c r="MCD4" s="484"/>
      <c r="MCE4" s="484"/>
      <c r="MCF4" s="484"/>
      <c r="MCG4" s="484"/>
      <c r="MCH4" s="484"/>
      <c r="MCI4" s="484"/>
      <c r="MCJ4" s="484"/>
      <c r="MCK4" s="484"/>
      <c r="MCL4" s="484"/>
      <c r="MCM4" s="484"/>
      <c r="MCN4" s="484"/>
      <c r="MCO4" s="484"/>
      <c r="MCP4" s="484"/>
      <c r="MCQ4" s="484"/>
      <c r="MCR4" s="484"/>
      <c r="MCS4" s="484"/>
      <c r="MCT4" s="484"/>
      <c r="MCU4" s="484"/>
      <c r="MCV4" s="484"/>
      <c r="MCW4" s="484"/>
      <c r="MCX4" s="484"/>
      <c r="MCY4" s="484"/>
      <c r="MCZ4" s="484"/>
      <c r="MDA4" s="484"/>
      <c r="MDB4" s="484"/>
      <c r="MDC4" s="484"/>
      <c r="MDD4" s="484"/>
      <c r="MDE4" s="484"/>
      <c r="MDF4" s="484"/>
      <c r="MDG4" s="484"/>
      <c r="MDH4" s="484"/>
      <c r="MDI4" s="484"/>
      <c r="MDJ4" s="484"/>
      <c r="MDK4" s="484"/>
      <c r="MDL4" s="484"/>
      <c r="MDM4" s="484"/>
      <c r="MDN4" s="484"/>
      <c r="MDO4" s="484"/>
      <c r="MDP4" s="484"/>
      <c r="MDQ4" s="484"/>
      <c r="MDR4" s="484"/>
      <c r="MDS4" s="484"/>
      <c r="MDT4" s="484"/>
      <c r="MDU4" s="484"/>
      <c r="MDV4" s="484"/>
      <c r="MDW4" s="484"/>
      <c r="MDX4" s="484"/>
      <c r="MDY4" s="484"/>
      <c r="MDZ4" s="484"/>
      <c r="MEA4" s="484"/>
      <c r="MEB4" s="484"/>
      <c r="MEC4" s="484"/>
      <c r="MED4" s="484"/>
      <c r="MEE4" s="484"/>
      <c r="MEF4" s="484"/>
      <c r="MEG4" s="484"/>
      <c r="MEH4" s="484"/>
      <c r="MEI4" s="484"/>
      <c r="MEJ4" s="484"/>
      <c r="MEK4" s="484"/>
      <c r="MEL4" s="484"/>
      <c r="MEM4" s="484"/>
      <c r="MEN4" s="484"/>
      <c r="MEO4" s="484"/>
      <c r="MEP4" s="484"/>
      <c r="MEQ4" s="484"/>
      <c r="MER4" s="484"/>
      <c r="MES4" s="484"/>
      <c r="MET4" s="484"/>
      <c r="MEU4" s="484"/>
      <c r="MEV4" s="484"/>
      <c r="MEW4" s="484"/>
      <c r="MEX4" s="484"/>
      <c r="MEY4" s="484"/>
      <c r="MEZ4" s="484"/>
      <c r="MFA4" s="484"/>
      <c r="MFB4" s="484"/>
      <c r="MFC4" s="484"/>
      <c r="MFD4" s="484"/>
      <c r="MFE4" s="484"/>
      <c r="MFF4" s="484"/>
      <c r="MFG4" s="484"/>
      <c r="MFH4" s="484"/>
      <c r="MFI4" s="484"/>
      <c r="MFJ4" s="484"/>
      <c r="MFK4" s="484"/>
      <c r="MFL4" s="484"/>
      <c r="MFM4" s="484"/>
      <c r="MFN4" s="484"/>
      <c r="MFO4" s="484"/>
      <c r="MFP4" s="484"/>
      <c r="MFQ4" s="484"/>
      <c r="MFR4" s="484"/>
      <c r="MFS4" s="484"/>
      <c r="MFT4" s="484"/>
      <c r="MFU4" s="484"/>
      <c r="MFV4" s="484"/>
      <c r="MFW4" s="484"/>
      <c r="MFX4" s="484"/>
      <c r="MFY4" s="484"/>
      <c r="MFZ4" s="484"/>
      <c r="MGA4" s="484"/>
      <c r="MGB4" s="484"/>
      <c r="MGC4" s="484"/>
      <c r="MGD4" s="484"/>
      <c r="MGE4" s="484"/>
      <c r="MGF4" s="484"/>
      <c r="MGG4" s="484"/>
      <c r="MGH4" s="484"/>
      <c r="MGI4" s="484"/>
      <c r="MGJ4" s="484"/>
      <c r="MGK4" s="484"/>
      <c r="MGL4" s="484"/>
      <c r="MGM4" s="484"/>
      <c r="MGN4" s="484"/>
      <c r="MGO4" s="484"/>
      <c r="MGP4" s="484"/>
      <c r="MGQ4" s="484"/>
      <c r="MGR4" s="484"/>
      <c r="MGS4" s="484"/>
      <c r="MGT4" s="484"/>
      <c r="MGU4" s="484"/>
      <c r="MGV4" s="484"/>
      <c r="MGW4" s="484"/>
      <c r="MGX4" s="484"/>
      <c r="MGY4" s="484"/>
      <c r="MGZ4" s="484"/>
      <c r="MHA4" s="484"/>
      <c r="MHB4" s="484"/>
      <c r="MHC4" s="484"/>
      <c r="MHD4" s="484"/>
      <c r="MHE4" s="484"/>
      <c r="MHF4" s="484"/>
      <c r="MHG4" s="484"/>
      <c r="MHH4" s="484"/>
      <c r="MHI4" s="484"/>
      <c r="MHJ4" s="484"/>
      <c r="MHK4" s="484"/>
      <c r="MHL4" s="484"/>
      <c r="MHM4" s="484"/>
      <c r="MHN4" s="484"/>
      <c r="MHO4" s="484"/>
      <c r="MHP4" s="484"/>
      <c r="MHQ4" s="484"/>
      <c r="MHR4" s="484"/>
      <c r="MHS4" s="484"/>
      <c r="MHT4" s="484"/>
      <c r="MHU4" s="484"/>
      <c r="MHV4" s="484"/>
      <c r="MHW4" s="484"/>
      <c r="MHX4" s="484"/>
      <c r="MHY4" s="484"/>
      <c r="MHZ4" s="484"/>
      <c r="MIA4" s="484"/>
      <c r="MIB4" s="484"/>
      <c r="MIC4" s="484"/>
      <c r="MID4" s="484"/>
      <c r="MIE4" s="484"/>
      <c r="MIF4" s="484"/>
      <c r="MIG4" s="484"/>
      <c r="MIH4" s="484"/>
      <c r="MII4" s="484"/>
      <c r="MIJ4" s="484"/>
      <c r="MIK4" s="484"/>
      <c r="MIL4" s="484"/>
      <c r="MIM4" s="484"/>
      <c r="MIN4" s="484"/>
      <c r="MIO4" s="484"/>
      <c r="MIP4" s="484"/>
      <c r="MIQ4" s="484"/>
      <c r="MIR4" s="484"/>
      <c r="MIS4" s="484"/>
      <c r="MIT4" s="484"/>
      <c r="MIU4" s="484"/>
      <c r="MIV4" s="484"/>
      <c r="MIW4" s="484"/>
      <c r="MIX4" s="484"/>
      <c r="MIY4" s="484"/>
      <c r="MIZ4" s="484"/>
      <c r="MJA4" s="484"/>
      <c r="MJB4" s="484"/>
      <c r="MJC4" s="484"/>
      <c r="MJD4" s="484"/>
      <c r="MJE4" s="484"/>
      <c r="MJF4" s="484"/>
      <c r="MJG4" s="484"/>
      <c r="MJH4" s="484"/>
      <c r="MJI4" s="484"/>
      <c r="MJJ4" s="484"/>
      <c r="MJK4" s="484"/>
      <c r="MJL4" s="484"/>
      <c r="MJM4" s="484"/>
      <c r="MJN4" s="484"/>
      <c r="MJO4" s="484"/>
      <c r="MJP4" s="484"/>
      <c r="MJQ4" s="484"/>
      <c r="MJR4" s="484"/>
      <c r="MJS4" s="484"/>
      <c r="MJT4" s="484"/>
      <c r="MJU4" s="484"/>
      <c r="MJV4" s="484"/>
      <c r="MJW4" s="484"/>
      <c r="MJX4" s="484"/>
      <c r="MJY4" s="484"/>
      <c r="MJZ4" s="484"/>
      <c r="MKA4" s="484"/>
      <c r="MKB4" s="484"/>
      <c r="MKC4" s="484"/>
      <c r="MKD4" s="484"/>
      <c r="MKE4" s="484"/>
      <c r="MKF4" s="484"/>
      <c r="MKG4" s="484"/>
      <c r="MKH4" s="484"/>
      <c r="MKI4" s="484"/>
      <c r="MKJ4" s="484"/>
      <c r="MKK4" s="484"/>
      <c r="MKL4" s="484"/>
      <c r="MKM4" s="484"/>
      <c r="MKN4" s="484"/>
      <c r="MKO4" s="484"/>
      <c r="MKP4" s="484"/>
      <c r="MKQ4" s="484"/>
      <c r="MKR4" s="484"/>
      <c r="MKS4" s="484"/>
      <c r="MKT4" s="484"/>
      <c r="MKU4" s="484"/>
      <c r="MKV4" s="484"/>
      <c r="MKW4" s="484"/>
      <c r="MKX4" s="484"/>
      <c r="MKY4" s="484"/>
      <c r="MKZ4" s="484"/>
      <c r="MLA4" s="484"/>
      <c r="MLB4" s="484"/>
      <c r="MLC4" s="484"/>
      <c r="MLD4" s="484"/>
      <c r="MLE4" s="484"/>
      <c r="MLF4" s="484"/>
      <c r="MLG4" s="484"/>
      <c r="MLH4" s="484"/>
      <c r="MLI4" s="484"/>
      <c r="MLJ4" s="484"/>
      <c r="MLK4" s="484"/>
      <c r="MLL4" s="484"/>
      <c r="MLM4" s="484"/>
      <c r="MLN4" s="484"/>
      <c r="MLO4" s="484"/>
      <c r="MLP4" s="484"/>
      <c r="MLQ4" s="484"/>
      <c r="MLR4" s="484"/>
      <c r="MLS4" s="484"/>
      <c r="MLT4" s="484"/>
      <c r="MLU4" s="484"/>
      <c r="MLV4" s="484"/>
      <c r="MLW4" s="484"/>
      <c r="MLX4" s="484"/>
      <c r="MLY4" s="484"/>
      <c r="MLZ4" s="484"/>
      <c r="MMA4" s="484"/>
      <c r="MMB4" s="484"/>
      <c r="MMC4" s="484"/>
      <c r="MMD4" s="484"/>
      <c r="MME4" s="484"/>
      <c r="MMF4" s="484"/>
      <c r="MMG4" s="484"/>
      <c r="MMH4" s="484"/>
      <c r="MMI4" s="484"/>
      <c r="MMJ4" s="484"/>
      <c r="MMK4" s="484"/>
      <c r="MML4" s="484"/>
      <c r="MMM4" s="484"/>
      <c r="MMN4" s="484"/>
      <c r="MMO4" s="484"/>
      <c r="MMP4" s="484"/>
      <c r="MMQ4" s="484"/>
      <c r="MMR4" s="484"/>
      <c r="MMS4" s="484"/>
      <c r="MMT4" s="484"/>
      <c r="MMU4" s="484"/>
      <c r="MMV4" s="484"/>
      <c r="MMW4" s="484"/>
      <c r="MMX4" s="484"/>
      <c r="MMY4" s="484"/>
      <c r="MMZ4" s="484"/>
      <c r="MNA4" s="484"/>
      <c r="MNB4" s="484"/>
      <c r="MNC4" s="484"/>
      <c r="MND4" s="484"/>
      <c r="MNE4" s="484"/>
      <c r="MNF4" s="484"/>
      <c r="MNG4" s="484"/>
      <c r="MNH4" s="484"/>
      <c r="MNI4" s="484"/>
      <c r="MNJ4" s="484"/>
      <c r="MNK4" s="484"/>
      <c r="MNL4" s="484"/>
      <c r="MNM4" s="484"/>
      <c r="MNN4" s="484"/>
      <c r="MNO4" s="484"/>
      <c r="MNP4" s="484"/>
      <c r="MNQ4" s="484"/>
      <c r="MNR4" s="484"/>
      <c r="MNS4" s="484"/>
      <c r="MNT4" s="484"/>
      <c r="MNU4" s="484"/>
      <c r="MNV4" s="484"/>
      <c r="MNW4" s="484"/>
      <c r="MNX4" s="484"/>
      <c r="MNY4" s="484"/>
      <c r="MNZ4" s="484"/>
      <c r="MOA4" s="484"/>
      <c r="MOB4" s="484"/>
      <c r="MOC4" s="484"/>
      <c r="MOD4" s="484"/>
      <c r="MOE4" s="484"/>
      <c r="MOF4" s="484"/>
      <c r="MOG4" s="484"/>
      <c r="MOH4" s="484"/>
      <c r="MOI4" s="484"/>
      <c r="MOJ4" s="484"/>
      <c r="MOK4" s="484"/>
      <c r="MOL4" s="484"/>
      <c r="MOM4" s="484"/>
      <c r="MON4" s="484"/>
      <c r="MOO4" s="484"/>
      <c r="MOP4" s="484"/>
      <c r="MOQ4" s="484"/>
      <c r="MOR4" s="484"/>
      <c r="MOS4" s="484"/>
      <c r="MOT4" s="484"/>
      <c r="MOU4" s="484"/>
      <c r="MOV4" s="484"/>
      <c r="MOW4" s="484"/>
      <c r="MOX4" s="484"/>
      <c r="MOY4" s="484"/>
      <c r="MOZ4" s="484"/>
      <c r="MPA4" s="484"/>
      <c r="MPB4" s="484"/>
      <c r="MPC4" s="484"/>
      <c r="MPD4" s="484"/>
      <c r="MPE4" s="484"/>
      <c r="MPF4" s="484"/>
      <c r="MPG4" s="484"/>
      <c r="MPH4" s="484"/>
      <c r="MPI4" s="484"/>
      <c r="MPJ4" s="484"/>
      <c r="MPK4" s="484"/>
      <c r="MPL4" s="484"/>
      <c r="MPM4" s="484"/>
      <c r="MPN4" s="484"/>
      <c r="MPO4" s="484"/>
      <c r="MPP4" s="484"/>
      <c r="MPQ4" s="484"/>
      <c r="MPR4" s="484"/>
      <c r="MPS4" s="484"/>
      <c r="MPT4" s="484"/>
      <c r="MPU4" s="484"/>
      <c r="MPV4" s="484"/>
      <c r="MPW4" s="484"/>
      <c r="MPX4" s="484"/>
      <c r="MPY4" s="484"/>
      <c r="MPZ4" s="484"/>
      <c r="MQA4" s="484"/>
      <c r="MQB4" s="484"/>
      <c r="MQC4" s="484"/>
      <c r="MQD4" s="484"/>
      <c r="MQE4" s="484"/>
      <c r="MQF4" s="484"/>
      <c r="MQG4" s="484"/>
      <c r="MQH4" s="484"/>
      <c r="MQI4" s="484"/>
      <c r="MQJ4" s="484"/>
      <c r="MQK4" s="484"/>
      <c r="MQL4" s="484"/>
      <c r="MQM4" s="484"/>
      <c r="MQN4" s="484"/>
      <c r="MQO4" s="484"/>
      <c r="MQP4" s="484"/>
      <c r="MQQ4" s="484"/>
      <c r="MQR4" s="484"/>
      <c r="MQS4" s="484"/>
      <c r="MQT4" s="484"/>
      <c r="MQU4" s="484"/>
      <c r="MQV4" s="484"/>
      <c r="MQW4" s="484"/>
      <c r="MQX4" s="484"/>
      <c r="MQY4" s="484"/>
      <c r="MQZ4" s="484"/>
      <c r="MRA4" s="484"/>
      <c r="MRB4" s="484"/>
      <c r="MRC4" s="484"/>
      <c r="MRD4" s="484"/>
      <c r="MRE4" s="484"/>
      <c r="MRF4" s="484"/>
      <c r="MRG4" s="484"/>
      <c r="MRH4" s="484"/>
      <c r="MRI4" s="484"/>
      <c r="MRJ4" s="484"/>
      <c r="MRK4" s="484"/>
      <c r="MRL4" s="484"/>
      <c r="MRM4" s="484"/>
      <c r="MRN4" s="484"/>
      <c r="MRO4" s="484"/>
      <c r="MRP4" s="484"/>
      <c r="MRQ4" s="484"/>
      <c r="MRR4" s="484"/>
      <c r="MRS4" s="484"/>
      <c r="MRT4" s="484"/>
      <c r="MRU4" s="484"/>
      <c r="MRV4" s="484"/>
      <c r="MRW4" s="484"/>
      <c r="MRX4" s="484"/>
      <c r="MRY4" s="484"/>
      <c r="MRZ4" s="484"/>
      <c r="MSA4" s="484"/>
      <c r="MSB4" s="484"/>
      <c r="MSC4" s="484"/>
      <c r="MSD4" s="484"/>
      <c r="MSE4" s="484"/>
      <c r="MSF4" s="484"/>
      <c r="MSG4" s="484"/>
      <c r="MSH4" s="484"/>
      <c r="MSI4" s="484"/>
      <c r="MSJ4" s="484"/>
      <c r="MSK4" s="484"/>
      <c r="MSL4" s="484"/>
      <c r="MSM4" s="484"/>
      <c r="MSN4" s="484"/>
      <c r="MSO4" s="484"/>
      <c r="MSP4" s="484"/>
      <c r="MSQ4" s="484"/>
      <c r="MSR4" s="484"/>
      <c r="MSS4" s="484"/>
      <c r="MST4" s="484"/>
      <c r="MSU4" s="484"/>
      <c r="MSV4" s="484"/>
      <c r="MSW4" s="484"/>
      <c r="MSX4" s="484"/>
      <c r="MSY4" s="484"/>
      <c r="MSZ4" s="484"/>
      <c r="MTA4" s="484"/>
      <c r="MTB4" s="484"/>
      <c r="MTC4" s="484"/>
      <c r="MTD4" s="484"/>
      <c r="MTE4" s="484"/>
      <c r="MTF4" s="484"/>
      <c r="MTG4" s="484"/>
      <c r="MTH4" s="484"/>
      <c r="MTI4" s="484"/>
      <c r="MTJ4" s="484"/>
      <c r="MTK4" s="484"/>
      <c r="MTL4" s="484"/>
      <c r="MTM4" s="484"/>
      <c r="MTN4" s="484"/>
      <c r="MTO4" s="484"/>
      <c r="MTP4" s="484"/>
      <c r="MTQ4" s="484"/>
      <c r="MTR4" s="484"/>
      <c r="MTS4" s="484"/>
      <c r="MTT4" s="484"/>
      <c r="MTU4" s="484"/>
      <c r="MTV4" s="484"/>
      <c r="MTW4" s="484"/>
      <c r="MTX4" s="484"/>
      <c r="MTY4" s="484"/>
      <c r="MTZ4" s="484"/>
      <c r="MUA4" s="484"/>
      <c r="MUB4" s="484"/>
      <c r="MUC4" s="484"/>
      <c r="MUD4" s="484"/>
      <c r="MUE4" s="484"/>
      <c r="MUF4" s="484"/>
      <c r="MUG4" s="484"/>
      <c r="MUH4" s="484"/>
      <c r="MUI4" s="484"/>
      <c r="MUJ4" s="484"/>
      <c r="MUK4" s="484"/>
      <c r="MUL4" s="484"/>
      <c r="MUM4" s="484"/>
      <c r="MUN4" s="484"/>
      <c r="MUO4" s="484"/>
      <c r="MUP4" s="484"/>
      <c r="MUQ4" s="484"/>
      <c r="MUR4" s="484"/>
      <c r="MUS4" s="484"/>
      <c r="MUT4" s="484"/>
      <c r="MUU4" s="484"/>
      <c r="MUV4" s="484"/>
      <c r="MUW4" s="484"/>
      <c r="MUX4" s="484"/>
      <c r="MUY4" s="484"/>
      <c r="MUZ4" s="484"/>
      <c r="MVA4" s="484"/>
      <c r="MVB4" s="484"/>
      <c r="MVC4" s="484"/>
      <c r="MVD4" s="484"/>
      <c r="MVE4" s="484"/>
      <c r="MVF4" s="484"/>
      <c r="MVG4" s="484"/>
      <c r="MVH4" s="484"/>
      <c r="MVI4" s="484"/>
      <c r="MVJ4" s="484"/>
      <c r="MVK4" s="484"/>
      <c r="MVL4" s="484"/>
      <c r="MVM4" s="484"/>
      <c r="MVN4" s="484"/>
      <c r="MVO4" s="484"/>
      <c r="MVP4" s="484"/>
      <c r="MVQ4" s="484"/>
      <c r="MVR4" s="484"/>
      <c r="MVS4" s="484"/>
      <c r="MVT4" s="484"/>
      <c r="MVU4" s="484"/>
      <c r="MVV4" s="484"/>
      <c r="MVW4" s="484"/>
      <c r="MVX4" s="484"/>
      <c r="MVY4" s="484"/>
      <c r="MVZ4" s="484"/>
      <c r="MWA4" s="484"/>
      <c r="MWB4" s="484"/>
      <c r="MWC4" s="484"/>
      <c r="MWD4" s="484"/>
      <c r="MWE4" s="484"/>
      <c r="MWF4" s="484"/>
      <c r="MWG4" s="484"/>
      <c r="MWH4" s="484"/>
      <c r="MWI4" s="484"/>
      <c r="MWJ4" s="484"/>
      <c r="MWK4" s="484"/>
      <c r="MWL4" s="484"/>
      <c r="MWM4" s="484"/>
      <c r="MWN4" s="484"/>
      <c r="MWO4" s="484"/>
      <c r="MWP4" s="484"/>
      <c r="MWQ4" s="484"/>
      <c r="MWR4" s="484"/>
      <c r="MWS4" s="484"/>
      <c r="MWT4" s="484"/>
      <c r="MWU4" s="484"/>
      <c r="MWV4" s="484"/>
      <c r="MWW4" s="484"/>
      <c r="MWX4" s="484"/>
      <c r="MWY4" s="484"/>
      <c r="MWZ4" s="484"/>
      <c r="MXA4" s="484"/>
      <c r="MXB4" s="484"/>
      <c r="MXC4" s="484"/>
      <c r="MXD4" s="484"/>
      <c r="MXE4" s="484"/>
      <c r="MXF4" s="484"/>
      <c r="MXG4" s="484"/>
      <c r="MXH4" s="484"/>
      <c r="MXI4" s="484"/>
      <c r="MXJ4" s="484"/>
      <c r="MXK4" s="484"/>
      <c r="MXL4" s="484"/>
      <c r="MXM4" s="484"/>
      <c r="MXN4" s="484"/>
      <c r="MXO4" s="484"/>
      <c r="MXP4" s="484"/>
      <c r="MXQ4" s="484"/>
      <c r="MXR4" s="484"/>
      <c r="MXS4" s="484"/>
      <c r="MXT4" s="484"/>
      <c r="MXU4" s="484"/>
      <c r="MXV4" s="484"/>
      <c r="MXW4" s="484"/>
      <c r="MXX4" s="484"/>
      <c r="MXY4" s="484"/>
      <c r="MXZ4" s="484"/>
      <c r="MYA4" s="484"/>
      <c r="MYB4" s="484"/>
      <c r="MYC4" s="484"/>
      <c r="MYD4" s="484"/>
      <c r="MYE4" s="484"/>
      <c r="MYF4" s="484"/>
      <c r="MYG4" s="484"/>
      <c r="MYH4" s="484"/>
      <c r="MYI4" s="484"/>
      <c r="MYJ4" s="484"/>
      <c r="MYK4" s="484"/>
      <c r="MYL4" s="484"/>
      <c r="MYM4" s="484"/>
      <c r="MYN4" s="484"/>
      <c r="MYO4" s="484"/>
      <c r="MYP4" s="484"/>
      <c r="MYQ4" s="484"/>
      <c r="MYR4" s="484"/>
      <c r="MYS4" s="484"/>
      <c r="MYT4" s="484"/>
      <c r="MYU4" s="484"/>
      <c r="MYV4" s="484"/>
      <c r="MYW4" s="484"/>
      <c r="MYX4" s="484"/>
      <c r="MYY4" s="484"/>
      <c r="MYZ4" s="484"/>
      <c r="MZA4" s="484"/>
      <c r="MZB4" s="484"/>
      <c r="MZC4" s="484"/>
      <c r="MZD4" s="484"/>
      <c r="MZE4" s="484"/>
      <c r="MZF4" s="484"/>
      <c r="MZG4" s="484"/>
      <c r="MZH4" s="484"/>
      <c r="MZI4" s="484"/>
      <c r="MZJ4" s="484"/>
      <c r="MZK4" s="484"/>
      <c r="MZL4" s="484"/>
      <c r="MZM4" s="484"/>
      <c r="MZN4" s="484"/>
      <c r="MZO4" s="484"/>
      <c r="MZP4" s="484"/>
      <c r="MZQ4" s="484"/>
      <c r="MZR4" s="484"/>
      <c r="MZS4" s="484"/>
      <c r="MZT4" s="484"/>
      <c r="MZU4" s="484"/>
      <c r="MZV4" s="484"/>
      <c r="MZW4" s="484"/>
      <c r="MZX4" s="484"/>
      <c r="MZY4" s="484"/>
      <c r="MZZ4" s="484"/>
      <c r="NAA4" s="484"/>
      <c r="NAB4" s="484"/>
      <c r="NAC4" s="484"/>
      <c r="NAD4" s="484"/>
      <c r="NAE4" s="484"/>
      <c r="NAF4" s="484"/>
      <c r="NAG4" s="484"/>
      <c r="NAH4" s="484"/>
      <c r="NAI4" s="484"/>
      <c r="NAJ4" s="484"/>
      <c r="NAK4" s="484"/>
      <c r="NAL4" s="484"/>
      <c r="NAM4" s="484"/>
      <c r="NAN4" s="484"/>
      <c r="NAO4" s="484"/>
      <c r="NAP4" s="484"/>
      <c r="NAQ4" s="484"/>
      <c r="NAR4" s="484"/>
      <c r="NAS4" s="484"/>
      <c r="NAT4" s="484"/>
      <c r="NAU4" s="484"/>
      <c r="NAV4" s="484"/>
      <c r="NAW4" s="484"/>
      <c r="NAX4" s="484"/>
      <c r="NAY4" s="484"/>
      <c r="NAZ4" s="484"/>
      <c r="NBA4" s="484"/>
      <c r="NBB4" s="484"/>
      <c r="NBC4" s="484"/>
      <c r="NBD4" s="484"/>
      <c r="NBE4" s="484"/>
      <c r="NBF4" s="484"/>
      <c r="NBG4" s="484"/>
      <c r="NBH4" s="484"/>
      <c r="NBI4" s="484"/>
      <c r="NBJ4" s="484"/>
      <c r="NBK4" s="484"/>
      <c r="NBL4" s="484"/>
      <c r="NBM4" s="484"/>
      <c r="NBN4" s="484"/>
      <c r="NBO4" s="484"/>
      <c r="NBP4" s="484"/>
      <c r="NBQ4" s="484"/>
      <c r="NBR4" s="484"/>
      <c r="NBS4" s="484"/>
      <c r="NBT4" s="484"/>
      <c r="NBU4" s="484"/>
      <c r="NBV4" s="484"/>
      <c r="NBW4" s="484"/>
      <c r="NBX4" s="484"/>
      <c r="NBY4" s="484"/>
      <c r="NBZ4" s="484"/>
      <c r="NCA4" s="484"/>
      <c r="NCB4" s="484"/>
      <c r="NCC4" s="484"/>
      <c r="NCD4" s="484"/>
      <c r="NCE4" s="484"/>
      <c r="NCF4" s="484"/>
      <c r="NCG4" s="484"/>
      <c r="NCH4" s="484"/>
      <c r="NCI4" s="484"/>
      <c r="NCJ4" s="484"/>
      <c r="NCK4" s="484"/>
      <c r="NCL4" s="484"/>
      <c r="NCM4" s="484"/>
      <c r="NCN4" s="484"/>
      <c r="NCO4" s="484"/>
      <c r="NCP4" s="484"/>
      <c r="NCQ4" s="484"/>
      <c r="NCR4" s="484"/>
      <c r="NCS4" s="484"/>
      <c r="NCT4" s="484"/>
      <c r="NCU4" s="484"/>
      <c r="NCV4" s="484"/>
      <c r="NCW4" s="484"/>
      <c r="NCX4" s="484"/>
      <c r="NCY4" s="484"/>
      <c r="NCZ4" s="484"/>
      <c r="NDA4" s="484"/>
      <c r="NDB4" s="484"/>
      <c r="NDC4" s="484"/>
      <c r="NDD4" s="484"/>
      <c r="NDE4" s="484"/>
      <c r="NDF4" s="484"/>
      <c r="NDG4" s="484"/>
      <c r="NDH4" s="484"/>
      <c r="NDI4" s="484"/>
      <c r="NDJ4" s="484"/>
      <c r="NDK4" s="484"/>
      <c r="NDL4" s="484"/>
      <c r="NDM4" s="484"/>
      <c r="NDN4" s="484"/>
      <c r="NDO4" s="484"/>
      <c r="NDP4" s="484"/>
      <c r="NDQ4" s="484"/>
      <c r="NDR4" s="484"/>
      <c r="NDS4" s="484"/>
      <c r="NDT4" s="484"/>
      <c r="NDU4" s="484"/>
      <c r="NDV4" s="484"/>
      <c r="NDW4" s="484"/>
      <c r="NDX4" s="484"/>
      <c r="NDY4" s="484"/>
      <c r="NDZ4" s="484"/>
      <c r="NEA4" s="484"/>
      <c r="NEB4" s="484"/>
      <c r="NEC4" s="484"/>
      <c r="NED4" s="484"/>
      <c r="NEE4" s="484"/>
      <c r="NEF4" s="484"/>
      <c r="NEG4" s="484"/>
      <c r="NEH4" s="484"/>
      <c r="NEI4" s="484"/>
      <c r="NEJ4" s="484"/>
      <c r="NEK4" s="484"/>
      <c r="NEL4" s="484"/>
      <c r="NEM4" s="484"/>
      <c r="NEN4" s="484"/>
      <c r="NEO4" s="484"/>
      <c r="NEP4" s="484"/>
      <c r="NEQ4" s="484"/>
      <c r="NER4" s="484"/>
      <c r="NES4" s="484"/>
      <c r="NET4" s="484"/>
      <c r="NEU4" s="484"/>
      <c r="NEV4" s="484"/>
      <c r="NEW4" s="484"/>
      <c r="NEX4" s="484"/>
      <c r="NEY4" s="484"/>
      <c r="NEZ4" s="484"/>
      <c r="NFA4" s="484"/>
      <c r="NFB4" s="484"/>
      <c r="NFC4" s="484"/>
      <c r="NFD4" s="484"/>
      <c r="NFE4" s="484"/>
      <c r="NFF4" s="484"/>
      <c r="NFG4" s="484"/>
      <c r="NFH4" s="484"/>
      <c r="NFI4" s="484"/>
      <c r="NFJ4" s="484"/>
      <c r="NFK4" s="484"/>
      <c r="NFL4" s="484"/>
      <c r="NFM4" s="484"/>
      <c r="NFN4" s="484"/>
      <c r="NFO4" s="484"/>
      <c r="NFP4" s="484"/>
      <c r="NFQ4" s="484"/>
      <c r="NFR4" s="484"/>
      <c r="NFS4" s="484"/>
      <c r="NFT4" s="484"/>
      <c r="NFU4" s="484"/>
      <c r="NFV4" s="484"/>
      <c r="NFW4" s="484"/>
      <c r="NFX4" s="484"/>
      <c r="NFY4" s="484"/>
      <c r="NFZ4" s="484"/>
      <c r="NGA4" s="484"/>
      <c r="NGB4" s="484"/>
      <c r="NGC4" s="484"/>
      <c r="NGD4" s="484"/>
      <c r="NGE4" s="484"/>
      <c r="NGF4" s="484"/>
      <c r="NGG4" s="484"/>
      <c r="NGH4" s="484"/>
      <c r="NGI4" s="484"/>
      <c r="NGJ4" s="484"/>
      <c r="NGK4" s="484"/>
      <c r="NGL4" s="484"/>
      <c r="NGM4" s="484"/>
      <c r="NGN4" s="484"/>
      <c r="NGO4" s="484"/>
      <c r="NGP4" s="484"/>
      <c r="NGQ4" s="484"/>
      <c r="NGR4" s="484"/>
      <c r="NGS4" s="484"/>
      <c r="NGT4" s="484"/>
      <c r="NGU4" s="484"/>
      <c r="NGV4" s="484"/>
      <c r="NGW4" s="484"/>
      <c r="NGX4" s="484"/>
      <c r="NGY4" s="484"/>
      <c r="NGZ4" s="484"/>
      <c r="NHA4" s="484"/>
      <c r="NHB4" s="484"/>
      <c r="NHC4" s="484"/>
      <c r="NHD4" s="484"/>
      <c r="NHE4" s="484"/>
      <c r="NHF4" s="484"/>
      <c r="NHG4" s="484"/>
      <c r="NHH4" s="484"/>
      <c r="NHI4" s="484"/>
      <c r="NHJ4" s="484"/>
      <c r="NHK4" s="484"/>
      <c r="NHL4" s="484"/>
      <c r="NHM4" s="484"/>
      <c r="NHN4" s="484"/>
      <c r="NHO4" s="484"/>
      <c r="NHP4" s="484"/>
      <c r="NHQ4" s="484"/>
      <c r="NHR4" s="484"/>
      <c r="NHS4" s="484"/>
      <c r="NHT4" s="484"/>
      <c r="NHU4" s="484"/>
      <c r="NHV4" s="484"/>
      <c r="NHW4" s="484"/>
      <c r="NHX4" s="484"/>
      <c r="NHY4" s="484"/>
      <c r="NHZ4" s="484"/>
      <c r="NIA4" s="484"/>
      <c r="NIB4" s="484"/>
      <c r="NIC4" s="484"/>
      <c r="NID4" s="484"/>
      <c r="NIE4" s="484"/>
      <c r="NIF4" s="484"/>
      <c r="NIG4" s="484"/>
      <c r="NIH4" s="484"/>
      <c r="NII4" s="484"/>
      <c r="NIJ4" s="484"/>
      <c r="NIK4" s="484"/>
      <c r="NIL4" s="484"/>
      <c r="NIM4" s="484"/>
      <c r="NIN4" s="484"/>
      <c r="NIO4" s="484"/>
      <c r="NIP4" s="484"/>
      <c r="NIQ4" s="484"/>
      <c r="NIR4" s="484"/>
      <c r="NIS4" s="484"/>
      <c r="NIT4" s="484"/>
      <c r="NIU4" s="484"/>
      <c r="NIV4" s="484"/>
      <c r="NIW4" s="484"/>
      <c r="NIX4" s="484"/>
      <c r="NIY4" s="484"/>
      <c r="NIZ4" s="484"/>
      <c r="NJA4" s="484"/>
      <c r="NJB4" s="484"/>
      <c r="NJC4" s="484"/>
      <c r="NJD4" s="484"/>
      <c r="NJE4" s="484"/>
      <c r="NJF4" s="484"/>
      <c r="NJG4" s="484"/>
      <c r="NJH4" s="484"/>
      <c r="NJI4" s="484"/>
      <c r="NJJ4" s="484"/>
      <c r="NJK4" s="484"/>
      <c r="NJL4" s="484"/>
      <c r="NJM4" s="484"/>
      <c r="NJN4" s="484"/>
      <c r="NJO4" s="484"/>
      <c r="NJP4" s="484"/>
      <c r="NJQ4" s="484"/>
      <c r="NJR4" s="484"/>
      <c r="NJS4" s="484"/>
      <c r="NJT4" s="484"/>
      <c r="NJU4" s="484"/>
      <c r="NJV4" s="484"/>
      <c r="NJW4" s="484"/>
      <c r="NJX4" s="484"/>
      <c r="NJY4" s="484"/>
      <c r="NJZ4" s="484"/>
      <c r="NKA4" s="484"/>
      <c r="NKB4" s="484"/>
      <c r="NKC4" s="484"/>
      <c r="NKD4" s="484"/>
      <c r="NKE4" s="484"/>
      <c r="NKF4" s="484"/>
      <c r="NKG4" s="484"/>
      <c r="NKH4" s="484"/>
      <c r="NKI4" s="484"/>
      <c r="NKJ4" s="484"/>
      <c r="NKK4" s="484"/>
      <c r="NKL4" s="484"/>
      <c r="NKM4" s="484"/>
      <c r="NKN4" s="484"/>
      <c r="NKO4" s="484"/>
      <c r="NKP4" s="484"/>
      <c r="NKQ4" s="484"/>
      <c r="NKR4" s="484"/>
      <c r="NKS4" s="484"/>
      <c r="NKT4" s="484"/>
      <c r="NKU4" s="484"/>
      <c r="NKV4" s="484"/>
      <c r="NKW4" s="484"/>
      <c r="NKX4" s="484"/>
      <c r="NKY4" s="484"/>
      <c r="NKZ4" s="484"/>
      <c r="NLA4" s="484"/>
      <c r="NLB4" s="484"/>
      <c r="NLC4" s="484"/>
      <c r="NLD4" s="484"/>
      <c r="NLE4" s="484"/>
      <c r="NLF4" s="484"/>
      <c r="NLG4" s="484"/>
      <c r="NLH4" s="484"/>
      <c r="NLI4" s="484"/>
      <c r="NLJ4" s="484"/>
      <c r="NLK4" s="484"/>
      <c r="NLL4" s="484"/>
      <c r="NLM4" s="484"/>
      <c r="NLN4" s="484"/>
      <c r="NLO4" s="484"/>
      <c r="NLP4" s="484"/>
      <c r="NLQ4" s="484"/>
      <c r="NLR4" s="484"/>
      <c r="NLS4" s="484"/>
      <c r="NLT4" s="484"/>
      <c r="NLU4" s="484"/>
      <c r="NLV4" s="484"/>
      <c r="NLW4" s="484"/>
      <c r="NLX4" s="484"/>
      <c r="NLY4" s="484"/>
      <c r="NLZ4" s="484"/>
      <c r="NMA4" s="484"/>
      <c r="NMB4" s="484"/>
      <c r="NMC4" s="484"/>
      <c r="NMD4" s="484"/>
      <c r="NME4" s="484"/>
      <c r="NMF4" s="484"/>
      <c r="NMG4" s="484"/>
      <c r="NMH4" s="484"/>
      <c r="NMI4" s="484"/>
      <c r="NMJ4" s="484"/>
      <c r="NMK4" s="484"/>
      <c r="NML4" s="484"/>
      <c r="NMM4" s="484"/>
      <c r="NMN4" s="484"/>
      <c r="NMO4" s="484"/>
      <c r="NMP4" s="484"/>
      <c r="NMQ4" s="484"/>
      <c r="NMR4" s="484"/>
      <c r="NMS4" s="484"/>
      <c r="NMT4" s="484"/>
      <c r="NMU4" s="484"/>
      <c r="NMV4" s="484"/>
      <c r="NMW4" s="484"/>
      <c r="NMX4" s="484"/>
      <c r="NMY4" s="484"/>
      <c r="NMZ4" s="484"/>
      <c r="NNA4" s="484"/>
      <c r="NNB4" s="484"/>
      <c r="NNC4" s="484"/>
      <c r="NND4" s="484"/>
      <c r="NNE4" s="484"/>
      <c r="NNF4" s="484"/>
      <c r="NNG4" s="484"/>
      <c r="NNH4" s="484"/>
      <c r="NNI4" s="484"/>
      <c r="NNJ4" s="484"/>
      <c r="NNK4" s="484"/>
      <c r="NNL4" s="484"/>
      <c r="NNM4" s="484"/>
      <c r="NNN4" s="484"/>
      <c r="NNO4" s="484"/>
      <c r="NNP4" s="484"/>
      <c r="NNQ4" s="484"/>
      <c r="NNR4" s="484"/>
      <c r="NNS4" s="484"/>
      <c r="NNT4" s="484"/>
      <c r="NNU4" s="484"/>
      <c r="NNV4" s="484"/>
      <c r="NNW4" s="484"/>
      <c r="NNX4" s="484"/>
      <c r="NNY4" s="484"/>
      <c r="NNZ4" s="484"/>
      <c r="NOA4" s="484"/>
      <c r="NOB4" s="484"/>
      <c r="NOC4" s="484"/>
      <c r="NOD4" s="484"/>
      <c r="NOE4" s="484"/>
      <c r="NOF4" s="484"/>
      <c r="NOG4" s="484"/>
      <c r="NOH4" s="484"/>
      <c r="NOI4" s="484"/>
      <c r="NOJ4" s="484"/>
      <c r="NOK4" s="484"/>
      <c r="NOL4" s="484"/>
      <c r="NOM4" s="484"/>
      <c r="NON4" s="484"/>
      <c r="NOO4" s="484"/>
      <c r="NOP4" s="484"/>
      <c r="NOQ4" s="484"/>
      <c r="NOR4" s="484"/>
      <c r="NOS4" s="484"/>
      <c r="NOT4" s="484"/>
      <c r="NOU4" s="484"/>
      <c r="NOV4" s="484"/>
      <c r="NOW4" s="484"/>
      <c r="NOX4" s="484"/>
      <c r="NOY4" s="484"/>
      <c r="NOZ4" s="484"/>
      <c r="NPA4" s="484"/>
      <c r="NPB4" s="484"/>
      <c r="NPC4" s="484"/>
      <c r="NPD4" s="484"/>
      <c r="NPE4" s="484"/>
      <c r="NPF4" s="484"/>
      <c r="NPG4" s="484"/>
      <c r="NPH4" s="484"/>
      <c r="NPI4" s="484"/>
      <c r="NPJ4" s="484"/>
      <c r="NPK4" s="484"/>
      <c r="NPL4" s="484"/>
      <c r="NPM4" s="484"/>
      <c r="NPN4" s="484"/>
      <c r="NPO4" s="484"/>
      <c r="NPP4" s="484"/>
      <c r="NPQ4" s="484"/>
      <c r="NPR4" s="484"/>
      <c r="NPS4" s="484"/>
      <c r="NPT4" s="484"/>
      <c r="NPU4" s="484"/>
      <c r="NPV4" s="484"/>
      <c r="NPW4" s="484"/>
      <c r="NPX4" s="484"/>
      <c r="NPY4" s="484"/>
      <c r="NPZ4" s="484"/>
      <c r="NQA4" s="484"/>
      <c r="NQB4" s="484"/>
      <c r="NQC4" s="484"/>
      <c r="NQD4" s="484"/>
      <c r="NQE4" s="484"/>
      <c r="NQF4" s="484"/>
      <c r="NQG4" s="484"/>
      <c r="NQH4" s="484"/>
      <c r="NQI4" s="484"/>
      <c r="NQJ4" s="484"/>
      <c r="NQK4" s="484"/>
      <c r="NQL4" s="484"/>
      <c r="NQM4" s="484"/>
      <c r="NQN4" s="484"/>
      <c r="NQO4" s="484"/>
      <c r="NQP4" s="484"/>
      <c r="NQQ4" s="484"/>
      <c r="NQR4" s="484"/>
      <c r="NQS4" s="484"/>
      <c r="NQT4" s="484"/>
      <c r="NQU4" s="484"/>
      <c r="NQV4" s="484"/>
      <c r="NQW4" s="484"/>
      <c r="NQX4" s="484"/>
      <c r="NQY4" s="484"/>
      <c r="NQZ4" s="484"/>
      <c r="NRA4" s="484"/>
      <c r="NRB4" s="484"/>
      <c r="NRC4" s="484"/>
      <c r="NRD4" s="484"/>
      <c r="NRE4" s="484"/>
      <c r="NRF4" s="484"/>
      <c r="NRG4" s="484"/>
      <c r="NRH4" s="484"/>
      <c r="NRI4" s="484"/>
      <c r="NRJ4" s="484"/>
      <c r="NRK4" s="484"/>
      <c r="NRL4" s="484"/>
      <c r="NRM4" s="484"/>
      <c r="NRN4" s="484"/>
      <c r="NRO4" s="484"/>
      <c r="NRP4" s="484"/>
      <c r="NRQ4" s="484"/>
      <c r="NRR4" s="484"/>
      <c r="NRS4" s="484"/>
      <c r="NRT4" s="484"/>
      <c r="NRU4" s="484"/>
      <c r="NRV4" s="484"/>
      <c r="NRW4" s="484"/>
      <c r="NRX4" s="484"/>
      <c r="NRY4" s="484"/>
      <c r="NRZ4" s="484"/>
      <c r="NSA4" s="484"/>
      <c r="NSB4" s="484"/>
      <c r="NSC4" s="484"/>
      <c r="NSD4" s="484"/>
      <c r="NSE4" s="484"/>
      <c r="NSF4" s="484"/>
      <c r="NSG4" s="484"/>
      <c r="NSH4" s="484"/>
      <c r="NSI4" s="484"/>
      <c r="NSJ4" s="484"/>
      <c r="NSK4" s="484"/>
      <c r="NSL4" s="484"/>
      <c r="NSM4" s="484"/>
      <c r="NSN4" s="484"/>
      <c r="NSO4" s="484"/>
      <c r="NSP4" s="484"/>
      <c r="NSQ4" s="484"/>
      <c r="NSR4" s="484"/>
      <c r="NSS4" s="484"/>
      <c r="NST4" s="484"/>
      <c r="NSU4" s="484"/>
      <c r="NSV4" s="484"/>
      <c r="NSW4" s="484"/>
      <c r="NSX4" s="484"/>
      <c r="NSY4" s="484"/>
      <c r="NSZ4" s="484"/>
      <c r="NTA4" s="484"/>
      <c r="NTB4" s="484"/>
      <c r="NTC4" s="484"/>
      <c r="NTD4" s="484"/>
      <c r="NTE4" s="484"/>
      <c r="NTF4" s="484"/>
      <c r="NTG4" s="484"/>
      <c r="NTH4" s="484"/>
      <c r="NTI4" s="484"/>
      <c r="NTJ4" s="484"/>
      <c r="NTK4" s="484"/>
      <c r="NTL4" s="484"/>
      <c r="NTM4" s="484"/>
      <c r="NTN4" s="484"/>
      <c r="NTO4" s="484"/>
      <c r="NTP4" s="484"/>
      <c r="NTQ4" s="484"/>
      <c r="NTR4" s="484"/>
      <c r="NTS4" s="484"/>
      <c r="NTT4" s="484"/>
      <c r="NTU4" s="484"/>
      <c r="NTV4" s="484"/>
      <c r="NTW4" s="484"/>
      <c r="NTX4" s="484"/>
      <c r="NTY4" s="484"/>
      <c r="NTZ4" s="484"/>
      <c r="NUA4" s="484"/>
      <c r="NUB4" s="484"/>
      <c r="NUC4" s="484"/>
      <c r="NUD4" s="484"/>
      <c r="NUE4" s="484"/>
      <c r="NUF4" s="484"/>
      <c r="NUG4" s="484"/>
      <c r="NUH4" s="484"/>
      <c r="NUI4" s="484"/>
      <c r="NUJ4" s="484"/>
      <c r="NUK4" s="484"/>
      <c r="NUL4" s="484"/>
      <c r="NUM4" s="484"/>
      <c r="NUN4" s="484"/>
      <c r="NUO4" s="484"/>
      <c r="NUP4" s="484"/>
      <c r="NUQ4" s="484"/>
      <c r="NUR4" s="484"/>
      <c r="NUS4" s="484"/>
      <c r="NUT4" s="484"/>
      <c r="NUU4" s="484"/>
      <c r="NUV4" s="484"/>
      <c r="NUW4" s="484"/>
      <c r="NUX4" s="484"/>
      <c r="NUY4" s="484"/>
      <c r="NUZ4" s="484"/>
      <c r="NVA4" s="484"/>
      <c r="NVB4" s="484"/>
      <c r="NVC4" s="484"/>
      <c r="NVD4" s="484"/>
      <c r="NVE4" s="484"/>
      <c r="NVF4" s="484"/>
      <c r="NVG4" s="484"/>
      <c r="NVH4" s="484"/>
      <c r="NVI4" s="484"/>
      <c r="NVJ4" s="484"/>
      <c r="NVK4" s="484"/>
      <c r="NVL4" s="484"/>
      <c r="NVM4" s="484"/>
      <c r="NVN4" s="484"/>
      <c r="NVO4" s="484"/>
      <c r="NVP4" s="484"/>
      <c r="NVQ4" s="484"/>
      <c r="NVR4" s="484"/>
      <c r="NVS4" s="484"/>
      <c r="NVT4" s="484"/>
      <c r="NVU4" s="484"/>
      <c r="NVV4" s="484"/>
      <c r="NVW4" s="484"/>
      <c r="NVX4" s="484"/>
      <c r="NVY4" s="484"/>
      <c r="NVZ4" s="484"/>
      <c r="NWA4" s="484"/>
      <c r="NWB4" s="484"/>
      <c r="NWC4" s="484"/>
      <c r="NWD4" s="484"/>
      <c r="NWE4" s="484"/>
      <c r="NWF4" s="484"/>
      <c r="NWG4" s="484"/>
      <c r="NWH4" s="484"/>
      <c r="NWI4" s="484"/>
      <c r="NWJ4" s="484"/>
      <c r="NWK4" s="484"/>
      <c r="NWL4" s="484"/>
      <c r="NWM4" s="484"/>
      <c r="NWN4" s="484"/>
      <c r="NWO4" s="484"/>
      <c r="NWP4" s="484"/>
      <c r="NWQ4" s="484"/>
      <c r="NWR4" s="484"/>
      <c r="NWS4" s="484"/>
      <c r="NWT4" s="484"/>
      <c r="NWU4" s="484"/>
      <c r="NWV4" s="484"/>
      <c r="NWW4" s="484"/>
      <c r="NWX4" s="484"/>
      <c r="NWY4" s="484"/>
      <c r="NWZ4" s="484"/>
      <c r="NXA4" s="484"/>
      <c r="NXB4" s="484"/>
      <c r="NXC4" s="484"/>
      <c r="NXD4" s="484"/>
      <c r="NXE4" s="484"/>
      <c r="NXF4" s="484"/>
      <c r="NXG4" s="484"/>
      <c r="NXH4" s="484"/>
      <c r="NXI4" s="484"/>
      <c r="NXJ4" s="484"/>
      <c r="NXK4" s="484"/>
      <c r="NXL4" s="484"/>
      <c r="NXM4" s="484"/>
      <c r="NXN4" s="484"/>
      <c r="NXO4" s="484"/>
      <c r="NXP4" s="484"/>
      <c r="NXQ4" s="484"/>
      <c r="NXR4" s="484"/>
      <c r="NXS4" s="484"/>
      <c r="NXT4" s="484"/>
      <c r="NXU4" s="484"/>
      <c r="NXV4" s="484"/>
      <c r="NXW4" s="484"/>
      <c r="NXX4" s="484"/>
      <c r="NXY4" s="484"/>
      <c r="NXZ4" s="484"/>
      <c r="NYA4" s="484"/>
      <c r="NYB4" s="484"/>
      <c r="NYC4" s="484"/>
      <c r="NYD4" s="484"/>
      <c r="NYE4" s="484"/>
      <c r="NYF4" s="484"/>
      <c r="NYG4" s="484"/>
      <c r="NYH4" s="484"/>
      <c r="NYI4" s="484"/>
      <c r="NYJ4" s="484"/>
      <c r="NYK4" s="484"/>
      <c r="NYL4" s="484"/>
      <c r="NYM4" s="484"/>
      <c r="NYN4" s="484"/>
      <c r="NYO4" s="484"/>
      <c r="NYP4" s="484"/>
      <c r="NYQ4" s="484"/>
      <c r="NYR4" s="484"/>
      <c r="NYS4" s="484"/>
      <c r="NYT4" s="484"/>
      <c r="NYU4" s="484"/>
      <c r="NYV4" s="484"/>
      <c r="NYW4" s="484"/>
      <c r="NYX4" s="484"/>
      <c r="NYY4" s="484"/>
      <c r="NYZ4" s="484"/>
      <c r="NZA4" s="484"/>
      <c r="NZB4" s="484"/>
      <c r="NZC4" s="484"/>
      <c r="NZD4" s="484"/>
      <c r="NZE4" s="484"/>
      <c r="NZF4" s="484"/>
      <c r="NZG4" s="484"/>
      <c r="NZH4" s="484"/>
      <c r="NZI4" s="484"/>
      <c r="NZJ4" s="484"/>
      <c r="NZK4" s="484"/>
      <c r="NZL4" s="484"/>
      <c r="NZM4" s="484"/>
      <c r="NZN4" s="484"/>
      <c r="NZO4" s="484"/>
      <c r="NZP4" s="484"/>
      <c r="NZQ4" s="484"/>
      <c r="NZR4" s="484"/>
      <c r="NZS4" s="484"/>
      <c r="NZT4" s="484"/>
      <c r="NZU4" s="484"/>
      <c r="NZV4" s="484"/>
      <c r="NZW4" s="484"/>
      <c r="NZX4" s="484"/>
      <c r="NZY4" s="484"/>
      <c r="NZZ4" s="484"/>
      <c r="OAA4" s="484"/>
      <c r="OAB4" s="484"/>
      <c r="OAC4" s="484"/>
      <c r="OAD4" s="484"/>
      <c r="OAE4" s="484"/>
      <c r="OAF4" s="484"/>
      <c r="OAG4" s="484"/>
      <c r="OAH4" s="484"/>
      <c r="OAI4" s="484"/>
      <c r="OAJ4" s="484"/>
      <c r="OAK4" s="484"/>
      <c r="OAL4" s="484"/>
      <c r="OAM4" s="484"/>
      <c r="OAN4" s="484"/>
      <c r="OAO4" s="484"/>
      <c r="OAP4" s="484"/>
      <c r="OAQ4" s="484"/>
      <c r="OAR4" s="484"/>
      <c r="OAS4" s="484"/>
      <c r="OAT4" s="484"/>
      <c r="OAU4" s="484"/>
      <c r="OAV4" s="484"/>
      <c r="OAW4" s="484"/>
      <c r="OAX4" s="484"/>
      <c r="OAY4" s="484"/>
      <c r="OAZ4" s="484"/>
      <c r="OBA4" s="484"/>
      <c r="OBB4" s="484"/>
      <c r="OBC4" s="484"/>
      <c r="OBD4" s="484"/>
      <c r="OBE4" s="484"/>
      <c r="OBF4" s="484"/>
      <c r="OBG4" s="484"/>
      <c r="OBH4" s="484"/>
      <c r="OBI4" s="484"/>
      <c r="OBJ4" s="484"/>
      <c r="OBK4" s="484"/>
      <c r="OBL4" s="484"/>
      <c r="OBM4" s="484"/>
      <c r="OBN4" s="484"/>
      <c r="OBO4" s="484"/>
      <c r="OBP4" s="484"/>
      <c r="OBQ4" s="484"/>
      <c r="OBR4" s="484"/>
      <c r="OBS4" s="484"/>
      <c r="OBT4" s="484"/>
      <c r="OBU4" s="484"/>
      <c r="OBV4" s="484"/>
      <c r="OBW4" s="484"/>
      <c r="OBX4" s="484"/>
      <c r="OBY4" s="484"/>
      <c r="OBZ4" s="484"/>
      <c r="OCA4" s="484"/>
      <c r="OCB4" s="484"/>
      <c r="OCC4" s="484"/>
      <c r="OCD4" s="484"/>
      <c r="OCE4" s="484"/>
      <c r="OCF4" s="484"/>
      <c r="OCG4" s="484"/>
      <c r="OCH4" s="484"/>
      <c r="OCI4" s="484"/>
      <c r="OCJ4" s="484"/>
      <c r="OCK4" s="484"/>
      <c r="OCL4" s="484"/>
      <c r="OCM4" s="484"/>
      <c r="OCN4" s="484"/>
      <c r="OCO4" s="484"/>
      <c r="OCP4" s="484"/>
      <c r="OCQ4" s="484"/>
      <c r="OCR4" s="484"/>
      <c r="OCS4" s="484"/>
      <c r="OCT4" s="484"/>
      <c r="OCU4" s="484"/>
      <c r="OCV4" s="484"/>
      <c r="OCW4" s="484"/>
      <c r="OCX4" s="484"/>
      <c r="OCY4" s="484"/>
      <c r="OCZ4" s="484"/>
      <c r="ODA4" s="484"/>
      <c r="ODB4" s="484"/>
      <c r="ODC4" s="484"/>
      <c r="ODD4" s="484"/>
      <c r="ODE4" s="484"/>
      <c r="ODF4" s="484"/>
      <c r="ODG4" s="484"/>
      <c r="ODH4" s="484"/>
      <c r="ODI4" s="484"/>
      <c r="ODJ4" s="484"/>
      <c r="ODK4" s="484"/>
      <c r="ODL4" s="484"/>
      <c r="ODM4" s="484"/>
      <c r="ODN4" s="484"/>
      <c r="ODO4" s="484"/>
      <c r="ODP4" s="484"/>
      <c r="ODQ4" s="484"/>
      <c r="ODR4" s="484"/>
      <c r="ODS4" s="484"/>
      <c r="ODT4" s="484"/>
      <c r="ODU4" s="484"/>
      <c r="ODV4" s="484"/>
      <c r="ODW4" s="484"/>
      <c r="ODX4" s="484"/>
      <c r="ODY4" s="484"/>
      <c r="ODZ4" s="484"/>
      <c r="OEA4" s="484"/>
      <c r="OEB4" s="484"/>
      <c r="OEC4" s="484"/>
      <c r="OED4" s="484"/>
      <c r="OEE4" s="484"/>
      <c r="OEF4" s="484"/>
      <c r="OEG4" s="484"/>
      <c r="OEH4" s="484"/>
      <c r="OEI4" s="484"/>
      <c r="OEJ4" s="484"/>
      <c r="OEK4" s="484"/>
      <c r="OEL4" s="484"/>
      <c r="OEM4" s="484"/>
      <c r="OEN4" s="484"/>
      <c r="OEO4" s="484"/>
      <c r="OEP4" s="484"/>
      <c r="OEQ4" s="484"/>
      <c r="OER4" s="484"/>
      <c r="OES4" s="484"/>
      <c r="OET4" s="484"/>
      <c r="OEU4" s="484"/>
      <c r="OEV4" s="484"/>
      <c r="OEW4" s="484"/>
      <c r="OEX4" s="484"/>
      <c r="OEY4" s="484"/>
      <c r="OEZ4" s="484"/>
      <c r="OFA4" s="484"/>
      <c r="OFB4" s="484"/>
      <c r="OFC4" s="484"/>
      <c r="OFD4" s="484"/>
      <c r="OFE4" s="484"/>
      <c r="OFF4" s="484"/>
      <c r="OFG4" s="484"/>
      <c r="OFH4" s="484"/>
      <c r="OFI4" s="484"/>
      <c r="OFJ4" s="484"/>
      <c r="OFK4" s="484"/>
      <c r="OFL4" s="484"/>
      <c r="OFM4" s="484"/>
      <c r="OFN4" s="484"/>
      <c r="OFO4" s="484"/>
      <c r="OFP4" s="484"/>
      <c r="OFQ4" s="484"/>
      <c r="OFR4" s="484"/>
      <c r="OFS4" s="484"/>
      <c r="OFT4" s="484"/>
      <c r="OFU4" s="484"/>
      <c r="OFV4" s="484"/>
      <c r="OFW4" s="484"/>
      <c r="OFX4" s="484"/>
      <c r="OFY4" s="484"/>
      <c r="OFZ4" s="484"/>
      <c r="OGA4" s="484"/>
      <c r="OGB4" s="484"/>
      <c r="OGC4" s="484"/>
      <c r="OGD4" s="484"/>
      <c r="OGE4" s="484"/>
      <c r="OGF4" s="484"/>
      <c r="OGG4" s="484"/>
      <c r="OGH4" s="484"/>
      <c r="OGI4" s="484"/>
      <c r="OGJ4" s="484"/>
      <c r="OGK4" s="484"/>
      <c r="OGL4" s="484"/>
      <c r="OGM4" s="484"/>
      <c r="OGN4" s="484"/>
      <c r="OGO4" s="484"/>
      <c r="OGP4" s="484"/>
      <c r="OGQ4" s="484"/>
      <c r="OGR4" s="484"/>
      <c r="OGS4" s="484"/>
      <c r="OGT4" s="484"/>
      <c r="OGU4" s="484"/>
      <c r="OGV4" s="484"/>
      <c r="OGW4" s="484"/>
      <c r="OGX4" s="484"/>
      <c r="OGY4" s="484"/>
      <c r="OGZ4" s="484"/>
      <c r="OHA4" s="484"/>
      <c r="OHB4" s="484"/>
      <c r="OHC4" s="484"/>
      <c r="OHD4" s="484"/>
      <c r="OHE4" s="484"/>
      <c r="OHF4" s="484"/>
      <c r="OHG4" s="484"/>
      <c r="OHH4" s="484"/>
      <c r="OHI4" s="484"/>
      <c r="OHJ4" s="484"/>
      <c r="OHK4" s="484"/>
      <c r="OHL4" s="484"/>
      <c r="OHM4" s="484"/>
      <c r="OHN4" s="484"/>
      <c r="OHO4" s="484"/>
      <c r="OHP4" s="484"/>
      <c r="OHQ4" s="484"/>
      <c r="OHR4" s="484"/>
      <c r="OHS4" s="484"/>
      <c r="OHT4" s="484"/>
      <c r="OHU4" s="484"/>
      <c r="OHV4" s="484"/>
      <c r="OHW4" s="484"/>
      <c r="OHX4" s="484"/>
      <c r="OHY4" s="484"/>
      <c r="OHZ4" s="484"/>
      <c r="OIA4" s="484"/>
      <c r="OIB4" s="484"/>
      <c r="OIC4" s="484"/>
      <c r="OID4" s="484"/>
      <c r="OIE4" s="484"/>
      <c r="OIF4" s="484"/>
      <c r="OIG4" s="484"/>
      <c r="OIH4" s="484"/>
      <c r="OII4" s="484"/>
      <c r="OIJ4" s="484"/>
      <c r="OIK4" s="484"/>
      <c r="OIL4" s="484"/>
      <c r="OIM4" s="484"/>
      <c r="OIN4" s="484"/>
      <c r="OIO4" s="484"/>
      <c r="OIP4" s="484"/>
      <c r="OIQ4" s="484"/>
      <c r="OIR4" s="484"/>
      <c r="OIS4" s="484"/>
      <c r="OIT4" s="484"/>
      <c r="OIU4" s="484"/>
      <c r="OIV4" s="484"/>
      <c r="OIW4" s="484"/>
      <c r="OIX4" s="484"/>
      <c r="OIY4" s="484"/>
      <c r="OIZ4" s="484"/>
      <c r="OJA4" s="484"/>
      <c r="OJB4" s="484"/>
      <c r="OJC4" s="484"/>
      <c r="OJD4" s="484"/>
      <c r="OJE4" s="484"/>
      <c r="OJF4" s="484"/>
      <c r="OJG4" s="484"/>
      <c r="OJH4" s="484"/>
      <c r="OJI4" s="484"/>
      <c r="OJJ4" s="484"/>
      <c r="OJK4" s="484"/>
      <c r="OJL4" s="484"/>
      <c r="OJM4" s="484"/>
      <c r="OJN4" s="484"/>
      <c r="OJO4" s="484"/>
      <c r="OJP4" s="484"/>
      <c r="OJQ4" s="484"/>
      <c r="OJR4" s="484"/>
      <c r="OJS4" s="484"/>
      <c r="OJT4" s="484"/>
      <c r="OJU4" s="484"/>
      <c r="OJV4" s="484"/>
      <c r="OJW4" s="484"/>
      <c r="OJX4" s="484"/>
      <c r="OJY4" s="484"/>
      <c r="OJZ4" s="484"/>
      <c r="OKA4" s="484"/>
      <c r="OKB4" s="484"/>
      <c r="OKC4" s="484"/>
      <c r="OKD4" s="484"/>
      <c r="OKE4" s="484"/>
      <c r="OKF4" s="484"/>
      <c r="OKG4" s="484"/>
      <c r="OKH4" s="484"/>
      <c r="OKI4" s="484"/>
      <c r="OKJ4" s="484"/>
      <c r="OKK4" s="484"/>
      <c r="OKL4" s="484"/>
      <c r="OKM4" s="484"/>
      <c r="OKN4" s="484"/>
      <c r="OKO4" s="484"/>
      <c r="OKP4" s="484"/>
      <c r="OKQ4" s="484"/>
      <c r="OKR4" s="484"/>
      <c r="OKS4" s="484"/>
      <c r="OKT4" s="484"/>
      <c r="OKU4" s="484"/>
      <c r="OKV4" s="484"/>
      <c r="OKW4" s="484"/>
      <c r="OKX4" s="484"/>
      <c r="OKY4" s="484"/>
      <c r="OKZ4" s="484"/>
      <c r="OLA4" s="484"/>
      <c r="OLB4" s="484"/>
      <c r="OLC4" s="484"/>
      <c r="OLD4" s="484"/>
      <c r="OLE4" s="484"/>
      <c r="OLF4" s="484"/>
      <c r="OLG4" s="484"/>
      <c r="OLH4" s="484"/>
      <c r="OLI4" s="484"/>
      <c r="OLJ4" s="484"/>
      <c r="OLK4" s="484"/>
      <c r="OLL4" s="484"/>
      <c r="OLM4" s="484"/>
      <c r="OLN4" s="484"/>
      <c r="OLO4" s="484"/>
      <c r="OLP4" s="484"/>
      <c r="OLQ4" s="484"/>
      <c r="OLR4" s="484"/>
      <c r="OLS4" s="484"/>
      <c r="OLT4" s="484"/>
      <c r="OLU4" s="484"/>
      <c r="OLV4" s="484"/>
      <c r="OLW4" s="484"/>
      <c r="OLX4" s="484"/>
      <c r="OLY4" s="484"/>
      <c r="OLZ4" s="484"/>
      <c r="OMA4" s="484"/>
      <c r="OMB4" s="484"/>
      <c r="OMC4" s="484"/>
      <c r="OMD4" s="484"/>
      <c r="OME4" s="484"/>
      <c r="OMF4" s="484"/>
      <c r="OMG4" s="484"/>
      <c r="OMH4" s="484"/>
      <c r="OMI4" s="484"/>
      <c r="OMJ4" s="484"/>
      <c r="OMK4" s="484"/>
      <c r="OML4" s="484"/>
      <c r="OMM4" s="484"/>
      <c r="OMN4" s="484"/>
      <c r="OMO4" s="484"/>
      <c r="OMP4" s="484"/>
      <c r="OMQ4" s="484"/>
      <c r="OMR4" s="484"/>
      <c r="OMS4" s="484"/>
      <c r="OMT4" s="484"/>
      <c r="OMU4" s="484"/>
      <c r="OMV4" s="484"/>
      <c r="OMW4" s="484"/>
      <c r="OMX4" s="484"/>
      <c r="OMY4" s="484"/>
      <c r="OMZ4" s="484"/>
      <c r="ONA4" s="484"/>
      <c r="ONB4" s="484"/>
      <c r="ONC4" s="484"/>
      <c r="OND4" s="484"/>
      <c r="ONE4" s="484"/>
      <c r="ONF4" s="484"/>
      <c r="ONG4" s="484"/>
      <c r="ONH4" s="484"/>
      <c r="ONI4" s="484"/>
      <c r="ONJ4" s="484"/>
      <c r="ONK4" s="484"/>
      <c r="ONL4" s="484"/>
      <c r="ONM4" s="484"/>
      <c r="ONN4" s="484"/>
      <c r="ONO4" s="484"/>
      <c r="ONP4" s="484"/>
      <c r="ONQ4" s="484"/>
      <c r="ONR4" s="484"/>
      <c r="ONS4" s="484"/>
      <c r="ONT4" s="484"/>
      <c r="ONU4" s="484"/>
      <c r="ONV4" s="484"/>
      <c r="ONW4" s="484"/>
      <c r="ONX4" s="484"/>
      <c r="ONY4" s="484"/>
      <c r="ONZ4" s="484"/>
      <c r="OOA4" s="484"/>
      <c r="OOB4" s="484"/>
      <c r="OOC4" s="484"/>
      <c r="OOD4" s="484"/>
      <c r="OOE4" s="484"/>
      <c r="OOF4" s="484"/>
      <c r="OOG4" s="484"/>
      <c r="OOH4" s="484"/>
      <c r="OOI4" s="484"/>
      <c r="OOJ4" s="484"/>
      <c r="OOK4" s="484"/>
      <c r="OOL4" s="484"/>
      <c r="OOM4" s="484"/>
      <c r="OON4" s="484"/>
      <c r="OOO4" s="484"/>
      <c r="OOP4" s="484"/>
      <c r="OOQ4" s="484"/>
      <c r="OOR4" s="484"/>
      <c r="OOS4" s="484"/>
      <c r="OOT4" s="484"/>
      <c r="OOU4" s="484"/>
      <c r="OOV4" s="484"/>
      <c r="OOW4" s="484"/>
      <c r="OOX4" s="484"/>
      <c r="OOY4" s="484"/>
      <c r="OOZ4" s="484"/>
      <c r="OPA4" s="484"/>
      <c r="OPB4" s="484"/>
      <c r="OPC4" s="484"/>
      <c r="OPD4" s="484"/>
      <c r="OPE4" s="484"/>
      <c r="OPF4" s="484"/>
      <c r="OPG4" s="484"/>
      <c r="OPH4" s="484"/>
      <c r="OPI4" s="484"/>
      <c r="OPJ4" s="484"/>
      <c r="OPK4" s="484"/>
      <c r="OPL4" s="484"/>
      <c r="OPM4" s="484"/>
      <c r="OPN4" s="484"/>
      <c r="OPO4" s="484"/>
      <c r="OPP4" s="484"/>
      <c r="OPQ4" s="484"/>
      <c r="OPR4" s="484"/>
      <c r="OPS4" s="484"/>
      <c r="OPT4" s="484"/>
      <c r="OPU4" s="484"/>
      <c r="OPV4" s="484"/>
      <c r="OPW4" s="484"/>
      <c r="OPX4" s="484"/>
      <c r="OPY4" s="484"/>
      <c r="OPZ4" s="484"/>
      <c r="OQA4" s="484"/>
      <c r="OQB4" s="484"/>
      <c r="OQC4" s="484"/>
      <c r="OQD4" s="484"/>
      <c r="OQE4" s="484"/>
      <c r="OQF4" s="484"/>
      <c r="OQG4" s="484"/>
      <c r="OQH4" s="484"/>
      <c r="OQI4" s="484"/>
      <c r="OQJ4" s="484"/>
      <c r="OQK4" s="484"/>
      <c r="OQL4" s="484"/>
      <c r="OQM4" s="484"/>
      <c r="OQN4" s="484"/>
      <c r="OQO4" s="484"/>
      <c r="OQP4" s="484"/>
      <c r="OQQ4" s="484"/>
      <c r="OQR4" s="484"/>
      <c r="OQS4" s="484"/>
      <c r="OQT4" s="484"/>
      <c r="OQU4" s="484"/>
      <c r="OQV4" s="484"/>
      <c r="OQW4" s="484"/>
      <c r="OQX4" s="484"/>
      <c r="OQY4" s="484"/>
      <c r="OQZ4" s="484"/>
      <c r="ORA4" s="484"/>
      <c r="ORB4" s="484"/>
      <c r="ORC4" s="484"/>
      <c r="ORD4" s="484"/>
      <c r="ORE4" s="484"/>
      <c r="ORF4" s="484"/>
      <c r="ORG4" s="484"/>
      <c r="ORH4" s="484"/>
      <c r="ORI4" s="484"/>
      <c r="ORJ4" s="484"/>
      <c r="ORK4" s="484"/>
      <c r="ORL4" s="484"/>
      <c r="ORM4" s="484"/>
      <c r="ORN4" s="484"/>
      <c r="ORO4" s="484"/>
      <c r="ORP4" s="484"/>
      <c r="ORQ4" s="484"/>
      <c r="ORR4" s="484"/>
      <c r="ORS4" s="484"/>
      <c r="ORT4" s="484"/>
      <c r="ORU4" s="484"/>
      <c r="ORV4" s="484"/>
      <c r="ORW4" s="484"/>
      <c r="ORX4" s="484"/>
      <c r="ORY4" s="484"/>
      <c r="ORZ4" s="484"/>
      <c r="OSA4" s="484"/>
      <c r="OSB4" s="484"/>
      <c r="OSC4" s="484"/>
      <c r="OSD4" s="484"/>
      <c r="OSE4" s="484"/>
      <c r="OSF4" s="484"/>
      <c r="OSG4" s="484"/>
      <c r="OSH4" s="484"/>
      <c r="OSI4" s="484"/>
      <c r="OSJ4" s="484"/>
      <c r="OSK4" s="484"/>
      <c r="OSL4" s="484"/>
      <c r="OSM4" s="484"/>
      <c r="OSN4" s="484"/>
      <c r="OSO4" s="484"/>
      <c r="OSP4" s="484"/>
      <c r="OSQ4" s="484"/>
      <c r="OSR4" s="484"/>
      <c r="OSS4" s="484"/>
      <c r="OST4" s="484"/>
      <c r="OSU4" s="484"/>
      <c r="OSV4" s="484"/>
      <c r="OSW4" s="484"/>
      <c r="OSX4" s="484"/>
      <c r="OSY4" s="484"/>
      <c r="OSZ4" s="484"/>
      <c r="OTA4" s="484"/>
      <c r="OTB4" s="484"/>
      <c r="OTC4" s="484"/>
      <c r="OTD4" s="484"/>
      <c r="OTE4" s="484"/>
      <c r="OTF4" s="484"/>
      <c r="OTG4" s="484"/>
      <c r="OTH4" s="484"/>
      <c r="OTI4" s="484"/>
      <c r="OTJ4" s="484"/>
      <c r="OTK4" s="484"/>
      <c r="OTL4" s="484"/>
      <c r="OTM4" s="484"/>
      <c r="OTN4" s="484"/>
      <c r="OTO4" s="484"/>
      <c r="OTP4" s="484"/>
      <c r="OTQ4" s="484"/>
      <c r="OTR4" s="484"/>
      <c r="OTS4" s="484"/>
      <c r="OTT4" s="484"/>
      <c r="OTU4" s="484"/>
      <c r="OTV4" s="484"/>
      <c r="OTW4" s="484"/>
      <c r="OTX4" s="484"/>
      <c r="OTY4" s="484"/>
      <c r="OTZ4" s="484"/>
      <c r="OUA4" s="484"/>
      <c r="OUB4" s="484"/>
      <c r="OUC4" s="484"/>
      <c r="OUD4" s="484"/>
      <c r="OUE4" s="484"/>
      <c r="OUF4" s="484"/>
      <c r="OUG4" s="484"/>
      <c r="OUH4" s="484"/>
      <c r="OUI4" s="484"/>
      <c r="OUJ4" s="484"/>
      <c r="OUK4" s="484"/>
      <c r="OUL4" s="484"/>
      <c r="OUM4" s="484"/>
      <c r="OUN4" s="484"/>
      <c r="OUO4" s="484"/>
      <c r="OUP4" s="484"/>
      <c r="OUQ4" s="484"/>
      <c r="OUR4" s="484"/>
      <c r="OUS4" s="484"/>
      <c r="OUT4" s="484"/>
      <c r="OUU4" s="484"/>
      <c r="OUV4" s="484"/>
      <c r="OUW4" s="484"/>
      <c r="OUX4" s="484"/>
      <c r="OUY4" s="484"/>
      <c r="OUZ4" s="484"/>
      <c r="OVA4" s="484"/>
      <c r="OVB4" s="484"/>
      <c r="OVC4" s="484"/>
      <c r="OVD4" s="484"/>
      <c r="OVE4" s="484"/>
      <c r="OVF4" s="484"/>
      <c r="OVG4" s="484"/>
      <c r="OVH4" s="484"/>
      <c r="OVI4" s="484"/>
      <c r="OVJ4" s="484"/>
      <c r="OVK4" s="484"/>
      <c r="OVL4" s="484"/>
      <c r="OVM4" s="484"/>
      <c r="OVN4" s="484"/>
      <c r="OVO4" s="484"/>
      <c r="OVP4" s="484"/>
      <c r="OVQ4" s="484"/>
      <c r="OVR4" s="484"/>
      <c r="OVS4" s="484"/>
      <c r="OVT4" s="484"/>
      <c r="OVU4" s="484"/>
      <c r="OVV4" s="484"/>
      <c r="OVW4" s="484"/>
      <c r="OVX4" s="484"/>
      <c r="OVY4" s="484"/>
      <c r="OVZ4" s="484"/>
      <c r="OWA4" s="484"/>
      <c r="OWB4" s="484"/>
      <c r="OWC4" s="484"/>
      <c r="OWD4" s="484"/>
      <c r="OWE4" s="484"/>
      <c r="OWF4" s="484"/>
      <c r="OWG4" s="484"/>
      <c r="OWH4" s="484"/>
      <c r="OWI4" s="484"/>
      <c r="OWJ4" s="484"/>
      <c r="OWK4" s="484"/>
      <c r="OWL4" s="484"/>
      <c r="OWM4" s="484"/>
      <c r="OWN4" s="484"/>
      <c r="OWO4" s="484"/>
      <c r="OWP4" s="484"/>
      <c r="OWQ4" s="484"/>
      <c r="OWR4" s="484"/>
      <c r="OWS4" s="484"/>
      <c r="OWT4" s="484"/>
      <c r="OWU4" s="484"/>
      <c r="OWV4" s="484"/>
      <c r="OWW4" s="484"/>
      <c r="OWX4" s="484"/>
      <c r="OWY4" s="484"/>
      <c r="OWZ4" s="484"/>
      <c r="OXA4" s="484"/>
      <c r="OXB4" s="484"/>
      <c r="OXC4" s="484"/>
      <c r="OXD4" s="484"/>
      <c r="OXE4" s="484"/>
      <c r="OXF4" s="484"/>
      <c r="OXG4" s="484"/>
      <c r="OXH4" s="484"/>
      <c r="OXI4" s="484"/>
      <c r="OXJ4" s="484"/>
      <c r="OXK4" s="484"/>
      <c r="OXL4" s="484"/>
      <c r="OXM4" s="484"/>
      <c r="OXN4" s="484"/>
      <c r="OXO4" s="484"/>
      <c r="OXP4" s="484"/>
      <c r="OXQ4" s="484"/>
      <c r="OXR4" s="484"/>
      <c r="OXS4" s="484"/>
      <c r="OXT4" s="484"/>
      <c r="OXU4" s="484"/>
      <c r="OXV4" s="484"/>
      <c r="OXW4" s="484"/>
      <c r="OXX4" s="484"/>
      <c r="OXY4" s="484"/>
      <c r="OXZ4" s="484"/>
      <c r="OYA4" s="484"/>
      <c r="OYB4" s="484"/>
      <c r="OYC4" s="484"/>
      <c r="OYD4" s="484"/>
      <c r="OYE4" s="484"/>
      <c r="OYF4" s="484"/>
      <c r="OYG4" s="484"/>
      <c r="OYH4" s="484"/>
      <c r="OYI4" s="484"/>
      <c r="OYJ4" s="484"/>
      <c r="OYK4" s="484"/>
      <c r="OYL4" s="484"/>
      <c r="OYM4" s="484"/>
      <c r="OYN4" s="484"/>
      <c r="OYO4" s="484"/>
      <c r="OYP4" s="484"/>
      <c r="OYQ4" s="484"/>
      <c r="OYR4" s="484"/>
      <c r="OYS4" s="484"/>
      <c r="OYT4" s="484"/>
      <c r="OYU4" s="484"/>
      <c r="OYV4" s="484"/>
      <c r="OYW4" s="484"/>
      <c r="OYX4" s="484"/>
      <c r="OYY4" s="484"/>
      <c r="OYZ4" s="484"/>
      <c r="OZA4" s="484"/>
      <c r="OZB4" s="484"/>
      <c r="OZC4" s="484"/>
      <c r="OZD4" s="484"/>
      <c r="OZE4" s="484"/>
      <c r="OZF4" s="484"/>
      <c r="OZG4" s="484"/>
      <c r="OZH4" s="484"/>
      <c r="OZI4" s="484"/>
      <c r="OZJ4" s="484"/>
      <c r="OZK4" s="484"/>
      <c r="OZL4" s="484"/>
      <c r="OZM4" s="484"/>
      <c r="OZN4" s="484"/>
      <c r="OZO4" s="484"/>
      <c r="OZP4" s="484"/>
      <c r="OZQ4" s="484"/>
      <c r="OZR4" s="484"/>
      <c r="OZS4" s="484"/>
      <c r="OZT4" s="484"/>
      <c r="OZU4" s="484"/>
      <c r="OZV4" s="484"/>
      <c r="OZW4" s="484"/>
      <c r="OZX4" s="484"/>
      <c r="OZY4" s="484"/>
      <c r="OZZ4" s="484"/>
      <c r="PAA4" s="484"/>
      <c r="PAB4" s="484"/>
      <c r="PAC4" s="484"/>
      <c r="PAD4" s="484"/>
      <c r="PAE4" s="484"/>
      <c r="PAF4" s="484"/>
      <c r="PAG4" s="484"/>
      <c r="PAH4" s="484"/>
      <c r="PAI4" s="484"/>
      <c r="PAJ4" s="484"/>
      <c r="PAK4" s="484"/>
      <c r="PAL4" s="484"/>
      <c r="PAM4" s="484"/>
      <c r="PAN4" s="484"/>
      <c r="PAO4" s="484"/>
      <c r="PAP4" s="484"/>
      <c r="PAQ4" s="484"/>
      <c r="PAR4" s="484"/>
      <c r="PAS4" s="484"/>
      <c r="PAT4" s="484"/>
      <c r="PAU4" s="484"/>
      <c r="PAV4" s="484"/>
      <c r="PAW4" s="484"/>
      <c r="PAX4" s="484"/>
      <c r="PAY4" s="484"/>
      <c r="PAZ4" s="484"/>
      <c r="PBA4" s="484"/>
      <c r="PBB4" s="484"/>
      <c r="PBC4" s="484"/>
      <c r="PBD4" s="484"/>
      <c r="PBE4" s="484"/>
      <c r="PBF4" s="484"/>
      <c r="PBG4" s="484"/>
      <c r="PBH4" s="484"/>
      <c r="PBI4" s="484"/>
      <c r="PBJ4" s="484"/>
      <c r="PBK4" s="484"/>
      <c r="PBL4" s="484"/>
      <c r="PBM4" s="484"/>
      <c r="PBN4" s="484"/>
      <c r="PBO4" s="484"/>
      <c r="PBP4" s="484"/>
      <c r="PBQ4" s="484"/>
      <c r="PBR4" s="484"/>
      <c r="PBS4" s="484"/>
      <c r="PBT4" s="484"/>
      <c r="PBU4" s="484"/>
      <c r="PBV4" s="484"/>
      <c r="PBW4" s="484"/>
      <c r="PBX4" s="484"/>
      <c r="PBY4" s="484"/>
      <c r="PBZ4" s="484"/>
      <c r="PCA4" s="484"/>
      <c r="PCB4" s="484"/>
      <c r="PCC4" s="484"/>
      <c r="PCD4" s="484"/>
      <c r="PCE4" s="484"/>
      <c r="PCF4" s="484"/>
      <c r="PCG4" s="484"/>
      <c r="PCH4" s="484"/>
      <c r="PCI4" s="484"/>
      <c r="PCJ4" s="484"/>
      <c r="PCK4" s="484"/>
      <c r="PCL4" s="484"/>
      <c r="PCM4" s="484"/>
      <c r="PCN4" s="484"/>
      <c r="PCO4" s="484"/>
      <c r="PCP4" s="484"/>
      <c r="PCQ4" s="484"/>
      <c r="PCR4" s="484"/>
      <c r="PCS4" s="484"/>
      <c r="PCT4" s="484"/>
      <c r="PCU4" s="484"/>
      <c r="PCV4" s="484"/>
      <c r="PCW4" s="484"/>
      <c r="PCX4" s="484"/>
      <c r="PCY4" s="484"/>
      <c r="PCZ4" s="484"/>
      <c r="PDA4" s="484"/>
      <c r="PDB4" s="484"/>
      <c r="PDC4" s="484"/>
      <c r="PDD4" s="484"/>
      <c r="PDE4" s="484"/>
      <c r="PDF4" s="484"/>
      <c r="PDG4" s="484"/>
      <c r="PDH4" s="484"/>
      <c r="PDI4" s="484"/>
      <c r="PDJ4" s="484"/>
      <c r="PDK4" s="484"/>
      <c r="PDL4" s="484"/>
      <c r="PDM4" s="484"/>
      <c r="PDN4" s="484"/>
      <c r="PDO4" s="484"/>
      <c r="PDP4" s="484"/>
      <c r="PDQ4" s="484"/>
      <c r="PDR4" s="484"/>
      <c r="PDS4" s="484"/>
      <c r="PDT4" s="484"/>
      <c r="PDU4" s="484"/>
      <c r="PDV4" s="484"/>
      <c r="PDW4" s="484"/>
      <c r="PDX4" s="484"/>
      <c r="PDY4" s="484"/>
      <c r="PDZ4" s="484"/>
      <c r="PEA4" s="484"/>
      <c r="PEB4" s="484"/>
      <c r="PEC4" s="484"/>
      <c r="PED4" s="484"/>
      <c r="PEE4" s="484"/>
      <c r="PEF4" s="484"/>
      <c r="PEG4" s="484"/>
      <c r="PEH4" s="484"/>
      <c r="PEI4" s="484"/>
      <c r="PEJ4" s="484"/>
      <c r="PEK4" s="484"/>
      <c r="PEL4" s="484"/>
      <c r="PEM4" s="484"/>
      <c r="PEN4" s="484"/>
      <c r="PEO4" s="484"/>
      <c r="PEP4" s="484"/>
      <c r="PEQ4" s="484"/>
      <c r="PER4" s="484"/>
      <c r="PES4" s="484"/>
      <c r="PET4" s="484"/>
      <c r="PEU4" s="484"/>
      <c r="PEV4" s="484"/>
      <c r="PEW4" s="484"/>
      <c r="PEX4" s="484"/>
      <c r="PEY4" s="484"/>
      <c r="PEZ4" s="484"/>
      <c r="PFA4" s="484"/>
      <c r="PFB4" s="484"/>
      <c r="PFC4" s="484"/>
      <c r="PFD4" s="484"/>
      <c r="PFE4" s="484"/>
      <c r="PFF4" s="484"/>
      <c r="PFG4" s="484"/>
      <c r="PFH4" s="484"/>
      <c r="PFI4" s="484"/>
      <c r="PFJ4" s="484"/>
      <c r="PFK4" s="484"/>
      <c r="PFL4" s="484"/>
      <c r="PFM4" s="484"/>
      <c r="PFN4" s="484"/>
      <c r="PFO4" s="484"/>
      <c r="PFP4" s="484"/>
      <c r="PFQ4" s="484"/>
      <c r="PFR4" s="484"/>
      <c r="PFS4" s="484"/>
      <c r="PFT4" s="484"/>
      <c r="PFU4" s="484"/>
      <c r="PFV4" s="484"/>
      <c r="PFW4" s="484"/>
      <c r="PFX4" s="484"/>
      <c r="PFY4" s="484"/>
      <c r="PFZ4" s="484"/>
      <c r="PGA4" s="484"/>
      <c r="PGB4" s="484"/>
      <c r="PGC4" s="484"/>
      <c r="PGD4" s="484"/>
      <c r="PGE4" s="484"/>
      <c r="PGF4" s="484"/>
      <c r="PGG4" s="484"/>
      <c r="PGH4" s="484"/>
      <c r="PGI4" s="484"/>
      <c r="PGJ4" s="484"/>
      <c r="PGK4" s="484"/>
      <c r="PGL4" s="484"/>
      <c r="PGM4" s="484"/>
      <c r="PGN4" s="484"/>
      <c r="PGO4" s="484"/>
      <c r="PGP4" s="484"/>
      <c r="PGQ4" s="484"/>
      <c r="PGR4" s="484"/>
      <c r="PGS4" s="484"/>
      <c r="PGT4" s="484"/>
      <c r="PGU4" s="484"/>
      <c r="PGV4" s="484"/>
      <c r="PGW4" s="484"/>
      <c r="PGX4" s="484"/>
      <c r="PGY4" s="484"/>
      <c r="PGZ4" s="484"/>
      <c r="PHA4" s="484"/>
      <c r="PHB4" s="484"/>
      <c r="PHC4" s="484"/>
      <c r="PHD4" s="484"/>
      <c r="PHE4" s="484"/>
      <c r="PHF4" s="484"/>
      <c r="PHG4" s="484"/>
      <c r="PHH4" s="484"/>
      <c r="PHI4" s="484"/>
      <c r="PHJ4" s="484"/>
      <c r="PHK4" s="484"/>
      <c r="PHL4" s="484"/>
      <c r="PHM4" s="484"/>
      <c r="PHN4" s="484"/>
      <c r="PHO4" s="484"/>
      <c r="PHP4" s="484"/>
      <c r="PHQ4" s="484"/>
      <c r="PHR4" s="484"/>
      <c r="PHS4" s="484"/>
      <c r="PHT4" s="484"/>
      <c r="PHU4" s="484"/>
      <c r="PHV4" s="484"/>
      <c r="PHW4" s="484"/>
      <c r="PHX4" s="484"/>
      <c r="PHY4" s="484"/>
      <c r="PHZ4" s="484"/>
      <c r="PIA4" s="484"/>
      <c r="PIB4" s="484"/>
      <c r="PIC4" s="484"/>
      <c r="PID4" s="484"/>
      <c r="PIE4" s="484"/>
      <c r="PIF4" s="484"/>
      <c r="PIG4" s="484"/>
      <c r="PIH4" s="484"/>
      <c r="PII4" s="484"/>
      <c r="PIJ4" s="484"/>
      <c r="PIK4" s="484"/>
      <c r="PIL4" s="484"/>
      <c r="PIM4" s="484"/>
      <c r="PIN4" s="484"/>
      <c r="PIO4" s="484"/>
      <c r="PIP4" s="484"/>
      <c r="PIQ4" s="484"/>
      <c r="PIR4" s="484"/>
      <c r="PIS4" s="484"/>
      <c r="PIT4" s="484"/>
      <c r="PIU4" s="484"/>
      <c r="PIV4" s="484"/>
      <c r="PIW4" s="484"/>
      <c r="PIX4" s="484"/>
      <c r="PIY4" s="484"/>
      <c r="PIZ4" s="484"/>
      <c r="PJA4" s="484"/>
      <c r="PJB4" s="484"/>
      <c r="PJC4" s="484"/>
      <c r="PJD4" s="484"/>
      <c r="PJE4" s="484"/>
      <c r="PJF4" s="484"/>
      <c r="PJG4" s="484"/>
      <c r="PJH4" s="484"/>
      <c r="PJI4" s="484"/>
      <c r="PJJ4" s="484"/>
      <c r="PJK4" s="484"/>
      <c r="PJL4" s="484"/>
      <c r="PJM4" s="484"/>
      <c r="PJN4" s="484"/>
      <c r="PJO4" s="484"/>
      <c r="PJP4" s="484"/>
      <c r="PJQ4" s="484"/>
      <c r="PJR4" s="484"/>
      <c r="PJS4" s="484"/>
      <c r="PJT4" s="484"/>
      <c r="PJU4" s="484"/>
      <c r="PJV4" s="484"/>
      <c r="PJW4" s="484"/>
      <c r="PJX4" s="484"/>
      <c r="PJY4" s="484"/>
      <c r="PJZ4" s="484"/>
      <c r="PKA4" s="484"/>
      <c r="PKB4" s="484"/>
      <c r="PKC4" s="484"/>
      <c r="PKD4" s="484"/>
      <c r="PKE4" s="484"/>
      <c r="PKF4" s="484"/>
      <c r="PKG4" s="484"/>
      <c r="PKH4" s="484"/>
      <c r="PKI4" s="484"/>
      <c r="PKJ4" s="484"/>
      <c r="PKK4" s="484"/>
      <c r="PKL4" s="484"/>
      <c r="PKM4" s="484"/>
      <c r="PKN4" s="484"/>
      <c r="PKO4" s="484"/>
      <c r="PKP4" s="484"/>
      <c r="PKQ4" s="484"/>
      <c r="PKR4" s="484"/>
      <c r="PKS4" s="484"/>
      <c r="PKT4" s="484"/>
      <c r="PKU4" s="484"/>
      <c r="PKV4" s="484"/>
      <c r="PKW4" s="484"/>
      <c r="PKX4" s="484"/>
      <c r="PKY4" s="484"/>
      <c r="PKZ4" s="484"/>
      <c r="PLA4" s="484"/>
      <c r="PLB4" s="484"/>
      <c r="PLC4" s="484"/>
      <c r="PLD4" s="484"/>
      <c r="PLE4" s="484"/>
      <c r="PLF4" s="484"/>
      <c r="PLG4" s="484"/>
      <c r="PLH4" s="484"/>
      <c r="PLI4" s="484"/>
      <c r="PLJ4" s="484"/>
      <c r="PLK4" s="484"/>
      <c r="PLL4" s="484"/>
      <c r="PLM4" s="484"/>
      <c r="PLN4" s="484"/>
      <c r="PLO4" s="484"/>
      <c r="PLP4" s="484"/>
      <c r="PLQ4" s="484"/>
      <c r="PLR4" s="484"/>
      <c r="PLS4" s="484"/>
      <c r="PLT4" s="484"/>
      <c r="PLU4" s="484"/>
      <c r="PLV4" s="484"/>
      <c r="PLW4" s="484"/>
      <c r="PLX4" s="484"/>
      <c r="PLY4" s="484"/>
      <c r="PLZ4" s="484"/>
      <c r="PMA4" s="484"/>
      <c r="PMB4" s="484"/>
      <c r="PMC4" s="484"/>
      <c r="PMD4" s="484"/>
      <c r="PME4" s="484"/>
      <c r="PMF4" s="484"/>
      <c r="PMG4" s="484"/>
      <c r="PMH4" s="484"/>
      <c r="PMI4" s="484"/>
      <c r="PMJ4" s="484"/>
      <c r="PMK4" s="484"/>
      <c r="PML4" s="484"/>
      <c r="PMM4" s="484"/>
      <c r="PMN4" s="484"/>
      <c r="PMO4" s="484"/>
      <c r="PMP4" s="484"/>
      <c r="PMQ4" s="484"/>
      <c r="PMR4" s="484"/>
      <c r="PMS4" s="484"/>
      <c r="PMT4" s="484"/>
      <c r="PMU4" s="484"/>
      <c r="PMV4" s="484"/>
      <c r="PMW4" s="484"/>
      <c r="PMX4" s="484"/>
      <c r="PMY4" s="484"/>
      <c r="PMZ4" s="484"/>
      <c r="PNA4" s="484"/>
      <c r="PNB4" s="484"/>
      <c r="PNC4" s="484"/>
      <c r="PND4" s="484"/>
      <c r="PNE4" s="484"/>
      <c r="PNF4" s="484"/>
      <c r="PNG4" s="484"/>
      <c r="PNH4" s="484"/>
      <c r="PNI4" s="484"/>
      <c r="PNJ4" s="484"/>
      <c r="PNK4" s="484"/>
      <c r="PNL4" s="484"/>
      <c r="PNM4" s="484"/>
      <c r="PNN4" s="484"/>
      <c r="PNO4" s="484"/>
      <c r="PNP4" s="484"/>
      <c r="PNQ4" s="484"/>
      <c r="PNR4" s="484"/>
      <c r="PNS4" s="484"/>
      <c r="PNT4" s="484"/>
      <c r="PNU4" s="484"/>
      <c r="PNV4" s="484"/>
      <c r="PNW4" s="484"/>
      <c r="PNX4" s="484"/>
      <c r="PNY4" s="484"/>
      <c r="PNZ4" s="484"/>
      <c r="POA4" s="484"/>
      <c r="POB4" s="484"/>
      <c r="POC4" s="484"/>
      <c r="POD4" s="484"/>
      <c r="POE4" s="484"/>
      <c r="POF4" s="484"/>
      <c r="POG4" s="484"/>
      <c r="POH4" s="484"/>
      <c r="POI4" s="484"/>
      <c r="POJ4" s="484"/>
      <c r="POK4" s="484"/>
      <c r="POL4" s="484"/>
      <c r="POM4" s="484"/>
      <c r="PON4" s="484"/>
      <c r="POO4" s="484"/>
      <c r="POP4" s="484"/>
      <c r="POQ4" s="484"/>
      <c r="POR4" s="484"/>
      <c r="POS4" s="484"/>
      <c r="POT4" s="484"/>
      <c r="POU4" s="484"/>
      <c r="POV4" s="484"/>
      <c r="POW4" s="484"/>
      <c r="POX4" s="484"/>
      <c r="POY4" s="484"/>
      <c r="POZ4" s="484"/>
      <c r="PPA4" s="484"/>
      <c r="PPB4" s="484"/>
      <c r="PPC4" s="484"/>
      <c r="PPD4" s="484"/>
      <c r="PPE4" s="484"/>
      <c r="PPF4" s="484"/>
      <c r="PPG4" s="484"/>
      <c r="PPH4" s="484"/>
      <c r="PPI4" s="484"/>
      <c r="PPJ4" s="484"/>
      <c r="PPK4" s="484"/>
      <c r="PPL4" s="484"/>
      <c r="PPM4" s="484"/>
      <c r="PPN4" s="484"/>
      <c r="PPO4" s="484"/>
      <c r="PPP4" s="484"/>
      <c r="PPQ4" s="484"/>
      <c r="PPR4" s="484"/>
      <c r="PPS4" s="484"/>
      <c r="PPT4" s="484"/>
      <c r="PPU4" s="484"/>
      <c r="PPV4" s="484"/>
      <c r="PPW4" s="484"/>
      <c r="PPX4" s="484"/>
      <c r="PPY4" s="484"/>
      <c r="PPZ4" s="484"/>
      <c r="PQA4" s="484"/>
      <c r="PQB4" s="484"/>
      <c r="PQC4" s="484"/>
      <c r="PQD4" s="484"/>
      <c r="PQE4" s="484"/>
      <c r="PQF4" s="484"/>
      <c r="PQG4" s="484"/>
      <c r="PQH4" s="484"/>
      <c r="PQI4" s="484"/>
      <c r="PQJ4" s="484"/>
      <c r="PQK4" s="484"/>
      <c r="PQL4" s="484"/>
      <c r="PQM4" s="484"/>
      <c r="PQN4" s="484"/>
      <c r="PQO4" s="484"/>
      <c r="PQP4" s="484"/>
      <c r="PQQ4" s="484"/>
      <c r="PQR4" s="484"/>
      <c r="PQS4" s="484"/>
      <c r="PQT4" s="484"/>
      <c r="PQU4" s="484"/>
      <c r="PQV4" s="484"/>
      <c r="PQW4" s="484"/>
      <c r="PQX4" s="484"/>
      <c r="PQY4" s="484"/>
      <c r="PQZ4" s="484"/>
      <c r="PRA4" s="484"/>
      <c r="PRB4" s="484"/>
      <c r="PRC4" s="484"/>
      <c r="PRD4" s="484"/>
      <c r="PRE4" s="484"/>
      <c r="PRF4" s="484"/>
      <c r="PRG4" s="484"/>
      <c r="PRH4" s="484"/>
      <c r="PRI4" s="484"/>
      <c r="PRJ4" s="484"/>
      <c r="PRK4" s="484"/>
      <c r="PRL4" s="484"/>
      <c r="PRM4" s="484"/>
      <c r="PRN4" s="484"/>
      <c r="PRO4" s="484"/>
      <c r="PRP4" s="484"/>
      <c r="PRQ4" s="484"/>
      <c r="PRR4" s="484"/>
      <c r="PRS4" s="484"/>
      <c r="PRT4" s="484"/>
      <c r="PRU4" s="484"/>
      <c r="PRV4" s="484"/>
      <c r="PRW4" s="484"/>
      <c r="PRX4" s="484"/>
      <c r="PRY4" s="484"/>
      <c r="PRZ4" s="484"/>
      <c r="PSA4" s="484"/>
      <c r="PSB4" s="484"/>
      <c r="PSC4" s="484"/>
      <c r="PSD4" s="484"/>
      <c r="PSE4" s="484"/>
      <c r="PSF4" s="484"/>
      <c r="PSG4" s="484"/>
      <c r="PSH4" s="484"/>
      <c r="PSI4" s="484"/>
      <c r="PSJ4" s="484"/>
      <c r="PSK4" s="484"/>
      <c r="PSL4" s="484"/>
      <c r="PSM4" s="484"/>
      <c r="PSN4" s="484"/>
      <c r="PSO4" s="484"/>
      <c r="PSP4" s="484"/>
      <c r="PSQ4" s="484"/>
      <c r="PSR4" s="484"/>
      <c r="PSS4" s="484"/>
      <c r="PST4" s="484"/>
      <c r="PSU4" s="484"/>
      <c r="PSV4" s="484"/>
      <c r="PSW4" s="484"/>
      <c r="PSX4" s="484"/>
      <c r="PSY4" s="484"/>
      <c r="PSZ4" s="484"/>
      <c r="PTA4" s="484"/>
      <c r="PTB4" s="484"/>
      <c r="PTC4" s="484"/>
      <c r="PTD4" s="484"/>
      <c r="PTE4" s="484"/>
      <c r="PTF4" s="484"/>
      <c r="PTG4" s="484"/>
      <c r="PTH4" s="484"/>
      <c r="PTI4" s="484"/>
      <c r="PTJ4" s="484"/>
      <c r="PTK4" s="484"/>
      <c r="PTL4" s="484"/>
      <c r="PTM4" s="484"/>
      <c r="PTN4" s="484"/>
      <c r="PTO4" s="484"/>
      <c r="PTP4" s="484"/>
      <c r="PTQ4" s="484"/>
      <c r="PTR4" s="484"/>
      <c r="PTS4" s="484"/>
      <c r="PTT4" s="484"/>
      <c r="PTU4" s="484"/>
      <c r="PTV4" s="484"/>
      <c r="PTW4" s="484"/>
      <c r="PTX4" s="484"/>
      <c r="PTY4" s="484"/>
      <c r="PTZ4" s="484"/>
      <c r="PUA4" s="484"/>
      <c r="PUB4" s="484"/>
      <c r="PUC4" s="484"/>
      <c r="PUD4" s="484"/>
      <c r="PUE4" s="484"/>
      <c r="PUF4" s="484"/>
      <c r="PUG4" s="484"/>
      <c r="PUH4" s="484"/>
      <c r="PUI4" s="484"/>
      <c r="PUJ4" s="484"/>
      <c r="PUK4" s="484"/>
      <c r="PUL4" s="484"/>
      <c r="PUM4" s="484"/>
      <c r="PUN4" s="484"/>
      <c r="PUO4" s="484"/>
      <c r="PUP4" s="484"/>
      <c r="PUQ4" s="484"/>
      <c r="PUR4" s="484"/>
      <c r="PUS4" s="484"/>
      <c r="PUT4" s="484"/>
      <c r="PUU4" s="484"/>
      <c r="PUV4" s="484"/>
      <c r="PUW4" s="484"/>
      <c r="PUX4" s="484"/>
      <c r="PUY4" s="484"/>
      <c r="PUZ4" s="484"/>
      <c r="PVA4" s="484"/>
      <c r="PVB4" s="484"/>
      <c r="PVC4" s="484"/>
      <c r="PVD4" s="484"/>
      <c r="PVE4" s="484"/>
      <c r="PVF4" s="484"/>
      <c r="PVG4" s="484"/>
      <c r="PVH4" s="484"/>
      <c r="PVI4" s="484"/>
      <c r="PVJ4" s="484"/>
      <c r="PVK4" s="484"/>
      <c r="PVL4" s="484"/>
      <c r="PVM4" s="484"/>
      <c r="PVN4" s="484"/>
      <c r="PVO4" s="484"/>
      <c r="PVP4" s="484"/>
      <c r="PVQ4" s="484"/>
      <c r="PVR4" s="484"/>
      <c r="PVS4" s="484"/>
      <c r="PVT4" s="484"/>
      <c r="PVU4" s="484"/>
      <c r="PVV4" s="484"/>
      <c r="PVW4" s="484"/>
      <c r="PVX4" s="484"/>
      <c r="PVY4" s="484"/>
      <c r="PVZ4" s="484"/>
      <c r="PWA4" s="484"/>
      <c r="PWB4" s="484"/>
      <c r="PWC4" s="484"/>
      <c r="PWD4" s="484"/>
      <c r="PWE4" s="484"/>
      <c r="PWF4" s="484"/>
      <c r="PWG4" s="484"/>
      <c r="PWH4" s="484"/>
      <c r="PWI4" s="484"/>
      <c r="PWJ4" s="484"/>
      <c r="PWK4" s="484"/>
      <c r="PWL4" s="484"/>
      <c r="PWM4" s="484"/>
      <c r="PWN4" s="484"/>
      <c r="PWO4" s="484"/>
      <c r="PWP4" s="484"/>
      <c r="PWQ4" s="484"/>
      <c r="PWR4" s="484"/>
      <c r="PWS4" s="484"/>
      <c r="PWT4" s="484"/>
      <c r="PWU4" s="484"/>
      <c r="PWV4" s="484"/>
      <c r="PWW4" s="484"/>
      <c r="PWX4" s="484"/>
      <c r="PWY4" s="484"/>
      <c r="PWZ4" s="484"/>
      <c r="PXA4" s="484"/>
      <c r="PXB4" s="484"/>
      <c r="PXC4" s="484"/>
      <c r="PXD4" s="484"/>
      <c r="PXE4" s="484"/>
      <c r="PXF4" s="484"/>
      <c r="PXG4" s="484"/>
      <c r="PXH4" s="484"/>
      <c r="PXI4" s="484"/>
      <c r="PXJ4" s="484"/>
      <c r="PXK4" s="484"/>
      <c r="PXL4" s="484"/>
      <c r="PXM4" s="484"/>
      <c r="PXN4" s="484"/>
      <c r="PXO4" s="484"/>
      <c r="PXP4" s="484"/>
      <c r="PXQ4" s="484"/>
      <c r="PXR4" s="484"/>
      <c r="PXS4" s="484"/>
      <c r="PXT4" s="484"/>
      <c r="PXU4" s="484"/>
      <c r="PXV4" s="484"/>
      <c r="PXW4" s="484"/>
      <c r="PXX4" s="484"/>
      <c r="PXY4" s="484"/>
      <c r="PXZ4" s="484"/>
      <c r="PYA4" s="484"/>
      <c r="PYB4" s="484"/>
      <c r="PYC4" s="484"/>
      <c r="PYD4" s="484"/>
      <c r="PYE4" s="484"/>
      <c r="PYF4" s="484"/>
      <c r="PYG4" s="484"/>
      <c r="PYH4" s="484"/>
      <c r="PYI4" s="484"/>
      <c r="PYJ4" s="484"/>
      <c r="PYK4" s="484"/>
      <c r="PYL4" s="484"/>
      <c r="PYM4" s="484"/>
      <c r="PYN4" s="484"/>
      <c r="PYO4" s="484"/>
      <c r="PYP4" s="484"/>
      <c r="PYQ4" s="484"/>
      <c r="PYR4" s="484"/>
      <c r="PYS4" s="484"/>
      <c r="PYT4" s="484"/>
      <c r="PYU4" s="484"/>
      <c r="PYV4" s="484"/>
      <c r="PYW4" s="484"/>
      <c r="PYX4" s="484"/>
      <c r="PYY4" s="484"/>
      <c r="PYZ4" s="484"/>
      <c r="PZA4" s="484"/>
      <c r="PZB4" s="484"/>
      <c r="PZC4" s="484"/>
      <c r="PZD4" s="484"/>
      <c r="PZE4" s="484"/>
      <c r="PZF4" s="484"/>
      <c r="PZG4" s="484"/>
      <c r="PZH4" s="484"/>
      <c r="PZI4" s="484"/>
      <c r="PZJ4" s="484"/>
      <c r="PZK4" s="484"/>
      <c r="PZL4" s="484"/>
      <c r="PZM4" s="484"/>
      <c r="PZN4" s="484"/>
      <c r="PZO4" s="484"/>
      <c r="PZP4" s="484"/>
      <c r="PZQ4" s="484"/>
      <c r="PZR4" s="484"/>
      <c r="PZS4" s="484"/>
      <c r="PZT4" s="484"/>
      <c r="PZU4" s="484"/>
      <c r="PZV4" s="484"/>
      <c r="PZW4" s="484"/>
      <c r="PZX4" s="484"/>
      <c r="PZY4" s="484"/>
      <c r="PZZ4" s="484"/>
      <c r="QAA4" s="484"/>
      <c r="QAB4" s="484"/>
      <c r="QAC4" s="484"/>
      <c r="QAD4" s="484"/>
      <c r="QAE4" s="484"/>
      <c r="QAF4" s="484"/>
      <c r="QAG4" s="484"/>
      <c r="QAH4" s="484"/>
      <c r="QAI4" s="484"/>
      <c r="QAJ4" s="484"/>
      <c r="QAK4" s="484"/>
      <c r="QAL4" s="484"/>
      <c r="QAM4" s="484"/>
      <c r="QAN4" s="484"/>
      <c r="QAO4" s="484"/>
      <c r="QAP4" s="484"/>
      <c r="QAQ4" s="484"/>
      <c r="QAR4" s="484"/>
      <c r="QAS4" s="484"/>
      <c r="QAT4" s="484"/>
      <c r="QAU4" s="484"/>
      <c r="QAV4" s="484"/>
      <c r="QAW4" s="484"/>
      <c r="QAX4" s="484"/>
      <c r="QAY4" s="484"/>
      <c r="QAZ4" s="484"/>
      <c r="QBA4" s="484"/>
      <c r="QBB4" s="484"/>
      <c r="QBC4" s="484"/>
      <c r="QBD4" s="484"/>
      <c r="QBE4" s="484"/>
      <c r="QBF4" s="484"/>
      <c r="QBG4" s="484"/>
      <c r="QBH4" s="484"/>
      <c r="QBI4" s="484"/>
      <c r="QBJ4" s="484"/>
      <c r="QBK4" s="484"/>
      <c r="QBL4" s="484"/>
      <c r="QBM4" s="484"/>
      <c r="QBN4" s="484"/>
      <c r="QBO4" s="484"/>
      <c r="QBP4" s="484"/>
      <c r="QBQ4" s="484"/>
      <c r="QBR4" s="484"/>
      <c r="QBS4" s="484"/>
      <c r="QBT4" s="484"/>
      <c r="QBU4" s="484"/>
      <c r="QBV4" s="484"/>
      <c r="QBW4" s="484"/>
      <c r="QBX4" s="484"/>
      <c r="QBY4" s="484"/>
      <c r="QBZ4" s="484"/>
      <c r="QCA4" s="484"/>
      <c r="QCB4" s="484"/>
      <c r="QCC4" s="484"/>
      <c r="QCD4" s="484"/>
      <c r="QCE4" s="484"/>
      <c r="QCF4" s="484"/>
      <c r="QCG4" s="484"/>
      <c r="QCH4" s="484"/>
      <c r="QCI4" s="484"/>
      <c r="QCJ4" s="484"/>
      <c r="QCK4" s="484"/>
      <c r="QCL4" s="484"/>
      <c r="QCM4" s="484"/>
      <c r="QCN4" s="484"/>
      <c r="QCO4" s="484"/>
      <c r="QCP4" s="484"/>
      <c r="QCQ4" s="484"/>
      <c r="QCR4" s="484"/>
      <c r="QCS4" s="484"/>
      <c r="QCT4" s="484"/>
      <c r="QCU4" s="484"/>
      <c r="QCV4" s="484"/>
      <c r="QCW4" s="484"/>
      <c r="QCX4" s="484"/>
      <c r="QCY4" s="484"/>
      <c r="QCZ4" s="484"/>
      <c r="QDA4" s="484"/>
      <c r="QDB4" s="484"/>
      <c r="QDC4" s="484"/>
      <c r="QDD4" s="484"/>
      <c r="QDE4" s="484"/>
      <c r="QDF4" s="484"/>
      <c r="QDG4" s="484"/>
      <c r="QDH4" s="484"/>
      <c r="QDI4" s="484"/>
      <c r="QDJ4" s="484"/>
      <c r="QDK4" s="484"/>
      <c r="QDL4" s="484"/>
      <c r="QDM4" s="484"/>
      <c r="QDN4" s="484"/>
      <c r="QDO4" s="484"/>
      <c r="QDP4" s="484"/>
      <c r="QDQ4" s="484"/>
      <c r="QDR4" s="484"/>
      <c r="QDS4" s="484"/>
      <c r="QDT4" s="484"/>
      <c r="QDU4" s="484"/>
      <c r="QDV4" s="484"/>
      <c r="QDW4" s="484"/>
      <c r="QDX4" s="484"/>
      <c r="QDY4" s="484"/>
      <c r="QDZ4" s="484"/>
      <c r="QEA4" s="484"/>
      <c r="QEB4" s="484"/>
      <c r="QEC4" s="484"/>
      <c r="QED4" s="484"/>
      <c r="QEE4" s="484"/>
      <c r="QEF4" s="484"/>
      <c r="QEG4" s="484"/>
      <c r="QEH4" s="484"/>
      <c r="QEI4" s="484"/>
      <c r="QEJ4" s="484"/>
      <c r="QEK4" s="484"/>
      <c r="QEL4" s="484"/>
      <c r="QEM4" s="484"/>
      <c r="QEN4" s="484"/>
      <c r="QEO4" s="484"/>
      <c r="QEP4" s="484"/>
      <c r="QEQ4" s="484"/>
      <c r="QER4" s="484"/>
      <c r="QES4" s="484"/>
      <c r="QET4" s="484"/>
      <c r="QEU4" s="484"/>
      <c r="QEV4" s="484"/>
      <c r="QEW4" s="484"/>
      <c r="QEX4" s="484"/>
      <c r="QEY4" s="484"/>
      <c r="QEZ4" s="484"/>
      <c r="QFA4" s="484"/>
      <c r="QFB4" s="484"/>
      <c r="QFC4" s="484"/>
      <c r="QFD4" s="484"/>
      <c r="QFE4" s="484"/>
      <c r="QFF4" s="484"/>
      <c r="QFG4" s="484"/>
      <c r="QFH4" s="484"/>
      <c r="QFI4" s="484"/>
      <c r="QFJ4" s="484"/>
      <c r="QFK4" s="484"/>
      <c r="QFL4" s="484"/>
      <c r="QFM4" s="484"/>
      <c r="QFN4" s="484"/>
      <c r="QFO4" s="484"/>
      <c r="QFP4" s="484"/>
      <c r="QFQ4" s="484"/>
      <c r="QFR4" s="484"/>
      <c r="QFS4" s="484"/>
      <c r="QFT4" s="484"/>
      <c r="QFU4" s="484"/>
      <c r="QFV4" s="484"/>
      <c r="QFW4" s="484"/>
      <c r="QFX4" s="484"/>
      <c r="QFY4" s="484"/>
      <c r="QFZ4" s="484"/>
      <c r="QGA4" s="484"/>
      <c r="QGB4" s="484"/>
      <c r="QGC4" s="484"/>
      <c r="QGD4" s="484"/>
      <c r="QGE4" s="484"/>
      <c r="QGF4" s="484"/>
      <c r="QGG4" s="484"/>
      <c r="QGH4" s="484"/>
      <c r="QGI4" s="484"/>
      <c r="QGJ4" s="484"/>
      <c r="QGK4" s="484"/>
      <c r="QGL4" s="484"/>
      <c r="QGM4" s="484"/>
      <c r="QGN4" s="484"/>
      <c r="QGO4" s="484"/>
      <c r="QGP4" s="484"/>
      <c r="QGQ4" s="484"/>
      <c r="QGR4" s="484"/>
      <c r="QGS4" s="484"/>
      <c r="QGT4" s="484"/>
      <c r="QGU4" s="484"/>
      <c r="QGV4" s="484"/>
      <c r="QGW4" s="484"/>
      <c r="QGX4" s="484"/>
      <c r="QGY4" s="484"/>
      <c r="QGZ4" s="484"/>
      <c r="QHA4" s="484"/>
      <c r="QHB4" s="484"/>
      <c r="QHC4" s="484"/>
      <c r="QHD4" s="484"/>
      <c r="QHE4" s="484"/>
      <c r="QHF4" s="484"/>
      <c r="QHG4" s="484"/>
      <c r="QHH4" s="484"/>
      <c r="QHI4" s="484"/>
      <c r="QHJ4" s="484"/>
      <c r="QHK4" s="484"/>
      <c r="QHL4" s="484"/>
      <c r="QHM4" s="484"/>
      <c r="QHN4" s="484"/>
      <c r="QHO4" s="484"/>
      <c r="QHP4" s="484"/>
      <c r="QHQ4" s="484"/>
      <c r="QHR4" s="484"/>
      <c r="QHS4" s="484"/>
      <c r="QHT4" s="484"/>
      <c r="QHU4" s="484"/>
      <c r="QHV4" s="484"/>
      <c r="QHW4" s="484"/>
      <c r="QHX4" s="484"/>
      <c r="QHY4" s="484"/>
      <c r="QHZ4" s="484"/>
      <c r="QIA4" s="484"/>
      <c r="QIB4" s="484"/>
      <c r="QIC4" s="484"/>
      <c r="QID4" s="484"/>
      <c r="QIE4" s="484"/>
      <c r="QIF4" s="484"/>
      <c r="QIG4" s="484"/>
      <c r="QIH4" s="484"/>
      <c r="QII4" s="484"/>
      <c r="QIJ4" s="484"/>
      <c r="QIK4" s="484"/>
      <c r="QIL4" s="484"/>
      <c r="QIM4" s="484"/>
      <c r="QIN4" s="484"/>
      <c r="QIO4" s="484"/>
      <c r="QIP4" s="484"/>
      <c r="QIQ4" s="484"/>
      <c r="QIR4" s="484"/>
      <c r="QIS4" s="484"/>
      <c r="QIT4" s="484"/>
      <c r="QIU4" s="484"/>
      <c r="QIV4" s="484"/>
      <c r="QIW4" s="484"/>
      <c r="QIX4" s="484"/>
      <c r="QIY4" s="484"/>
      <c r="QIZ4" s="484"/>
      <c r="QJA4" s="484"/>
      <c r="QJB4" s="484"/>
      <c r="QJC4" s="484"/>
      <c r="QJD4" s="484"/>
      <c r="QJE4" s="484"/>
      <c r="QJF4" s="484"/>
      <c r="QJG4" s="484"/>
      <c r="QJH4" s="484"/>
      <c r="QJI4" s="484"/>
      <c r="QJJ4" s="484"/>
      <c r="QJK4" s="484"/>
      <c r="QJL4" s="484"/>
      <c r="QJM4" s="484"/>
      <c r="QJN4" s="484"/>
      <c r="QJO4" s="484"/>
      <c r="QJP4" s="484"/>
      <c r="QJQ4" s="484"/>
      <c r="QJR4" s="484"/>
      <c r="QJS4" s="484"/>
      <c r="QJT4" s="484"/>
      <c r="QJU4" s="484"/>
      <c r="QJV4" s="484"/>
      <c r="QJW4" s="484"/>
      <c r="QJX4" s="484"/>
      <c r="QJY4" s="484"/>
      <c r="QJZ4" s="484"/>
      <c r="QKA4" s="484"/>
      <c r="QKB4" s="484"/>
      <c r="QKC4" s="484"/>
      <c r="QKD4" s="484"/>
      <c r="QKE4" s="484"/>
      <c r="QKF4" s="484"/>
      <c r="QKG4" s="484"/>
      <c r="QKH4" s="484"/>
      <c r="QKI4" s="484"/>
      <c r="QKJ4" s="484"/>
      <c r="QKK4" s="484"/>
      <c r="QKL4" s="484"/>
      <c r="QKM4" s="484"/>
      <c r="QKN4" s="484"/>
      <c r="QKO4" s="484"/>
      <c r="QKP4" s="484"/>
      <c r="QKQ4" s="484"/>
      <c r="QKR4" s="484"/>
      <c r="QKS4" s="484"/>
      <c r="QKT4" s="484"/>
      <c r="QKU4" s="484"/>
      <c r="QKV4" s="484"/>
      <c r="QKW4" s="484"/>
      <c r="QKX4" s="484"/>
      <c r="QKY4" s="484"/>
      <c r="QKZ4" s="484"/>
      <c r="QLA4" s="484"/>
      <c r="QLB4" s="484"/>
      <c r="QLC4" s="484"/>
      <c r="QLD4" s="484"/>
      <c r="QLE4" s="484"/>
      <c r="QLF4" s="484"/>
      <c r="QLG4" s="484"/>
      <c r="QLH4" s="484"/>
      <c r="QLI4" s="484"/>
      <c r="QLJ4" s="484"/>
      <c r="QLK4" s="484"/>
      <c r="QLL4" s="484"/>
      <c r="QLM4" s="484"/>
      <c r="QLN4" s="484"/>
      <c r="QLO4" s="484"/>
      <c r="QLP4" s="484"/>
      <c r="QLQ4" s="484"/>
      <c r="QLR4" s="484"/>
      <c r="QLS4" s="484"/>
      <c r="QLT4" s="484"/>
      <c r="QLU4" s="484"/>
      <c r="QLV4" s="484"/>
      <c r="QLW4" s="484"/>
      <c r="QLX4" s="484"/>
      <c r="QLY4" s="484"/>
      <c r="QLZ4" s="484"/>
      <c r="QMA4" s="484"/>
      <c r="QMB4" s="484"/>
      <c r="QMC4" s="484"/>
      <c r="QMD4" s="484"/>
      <c r="QME4" s="484"/>
      <c r="QMF4" s="484"/>
      <c r="QMG4" s="484"/>
      <c r="QMH4" s="484"/>
      <c r="QMI4" s="484"/>
      <c r="QMJ4" s="484"/>
      <c r="QMK4" s="484"/>
      <c r="QML4" s="484"/>
      <c r="QMM4" s="484"/>
      <c r="QMN4" s="484"/>
      <c r="QMO4" s="484"/>
      <c r="QMP4" s="484"/>
      <c r="QMQ4" s="484"/>
      <c r="QMR4" s="484"/>
      <c r="QMS4" s="484"/>
      <c r="QMT4" s="484"/>
      <c r="QMU4" s="484"/>
      <c r="QMV4" s="484"/>
      <c r="QMW4" s="484"/>
      <c r="QMX4" s="484"/>
      <c r="QMY4" s="484"/>
      <c r="QMZ4" s="484"/>
      <c r="QNA4" s="484"/>
      <c r="QNB4" s="484"/>
      <c r="QNC4" s="484"/>
      <c r="QND4" s="484"/>
      <c r="QNE4" s="484"/>
      <c r="QNF4" s="484"/>
      <c r="QNG4" s="484"/>
      <c r="QNH4" s="484"/>
      <c r="QNI4" s="484"/>
      <c r="QNJ4" s="484"/>
      <c r="QNK4" s="484"/>
      <c r="QNL4" s="484"/>
      <c r="QNM4" s="484"/>
      <c r="QNN4" s="484"/>
      <c r="QNO4" s="484"/>
      <c r="QNP4" s="484"/>
      <c r="QNQ4" s="484"/>
      <c r="QNR4" s="484"/>
      <c r="QNS4" s="484"/>
      <c r="QNT4" s="484"/>
      <c r="QNU4" s="484"/>
      <c r="QNV4" s="484"/>
      <c r="QNW4" s="484"/>
      <c r="QNX4" s="484"/>
      <c r="QNY4" s="484"/>
      <c r="QNZ4" s="484"/>
      <c r="QOA4" s="484"/>
      <c r="QOB4" s="484"/>
      <c r="QOC4" s="484"/>
      <c r="QOD4" s="484"/>
      <c r="QOE4" s="484"/>
      <c r="QOF4" s="484"/>
      <c r="QOG4" s="484"/>
      <c r="QOH4" s="484"/>
      <c r="QOI4" s="484"/>
      <c r="QOJ4" s="484"/>
      <c r="QOK4" s="484"/>
      <c r="QOL4" s="484"/>
      <c r="QOM4" s="484"/>
      <c r="QON4" s="484"/>
      <c r="QOO4" s="484"/>
      <c r="QOP4" s="484"/>
      <c r="QOQ4" s="484"/>
      <c r="QOR4" s="484"/>
      <c r="QOS4" s="484"/>
      <c r="QOT4" s="484"/>
      <c r="QOU4" s="484"/>
      <c r="QOV4" s="484"/>
      <c r="QOW4" s="484"/>
      <c r="QOX4" s="484"/>
      <c r="QOY4" s="484"/>
      <c r="QOZ4" s="484"/>
      <c r="QPA4" s="484"/>
      <c r="QPB4" s="484"/>
      <c r="QPC4" s="484"/>
      <c r="QPD4" s="484"/>
      <c r="QPE4" s="484"/>
      <c r="QPF4" s="484"/>
      <c r="QPG4" s="484"/>
      <c r="QPH4" s="484"/>
      <c r="QPI4" s="484"/>
      <c r="QPJ4" s="484"/>
      <c r="QPK4" s="484"/>
      <c r="QPL4" s="484"/>
      <c r="QPM4" s="484"/>
      <c r="QPN4" s="484"/>
      <c r="QPO4" s="484"/>
      <c r="QPP4" s="484"/>
      <c r="QPQ4" s="484"/>
      <c r="QPR4" s="484"/>
      <c r="QPS4" s="484"/>
      <c r="QPT4" s="484"/>
      <c r="QPU4" s="484"/>
      <c r="QPV4" s="484"/>
      <c r="QPW4" s="484"/>
      <c r="QPX4" s="484"/>
      <c r="QPY4" s="484"/>
      <c r="QPZ4" s="484"/>
      <c r="QQA4" s="484"/>
      <c r="QQB4" s="484"/>
      <c r="QQC4" s="484"/>
      <c r="QQD4" s="484"/>
      <c r="QQE4" s="484"/>
      <c r="QQF4" s="484"/>
      <c r="QQG4" s="484"/>
      <c r="QQH4" s="484"/>
      <c r="QQI4" s="484"/>
      <c r="QQJ4" s="484"/>
      <c r="QQK4" s="484"/>
      <c r="QQL4" s="484"/>
      <c r="QQM4" s="484"/>
      <c r="QQN4" s="484"/>
      <c r="QQO4" s="484"/>
      <c r="QQP4" s="484"/>
      <c r="QQQ4" s="484"/>
      <c r="QQR4" s="484"/>
      <c r="QQS4" s="484"/>
      <c r="QQT4" s="484"/>
      <c r="QQU4" s="484"/>
      <c r="QQV4" s="484"/>
      <c r="QQW4" s="484"/>
      <c r="QQX4" s="484"/>
      <c r="QQY4" s="484"/>
      <c r="QQZ4" s="484"/>
      <c r="QRA4" s="484"/>
      <c r="QRB4" s="484"/>
      <c r="QRC4" s="484"/>
      <c r="QRD4" s="484"/>
      <c r="QRE4" s="484"/>
      <c r="QRF4" s="484"/>
      <c r="QRG4" s="484"/>
      <c r="QRH4" s="484"/>
      <c r="QRI4" s="484"/>
      <c r="QRJ4" s="484"/>
      <c r="QRK4" s="484"/>
      <c r="QRL4" s="484"/>
      <c r="QRM4" s="484"/>
      <c r="QRN4" s="484"/>
      <c r="QRO4" s="484"/>
      <c r="QRP4" s="484"/>
      <c r="QRQ4" s="484"/>
      <c r="QRR4" s="484"/>
      <c r="QRS4" s="484"/>
      <c r="QRT4" s="484"/>
      <c r="QRU4" s="484"/>
      <c r="QRV4" s="484"/>
      <c r="QRW4" s="484"/>
      <c r="QRX4" s="484"/>
      <c r="QRY4" s="484"/>
      <c r="QRZ4" s="484"/>
      <c r="QSA4" s="484"/>
      <c r="QSB4" s="484"/>
      <c r="QSC4" s="484"/>
      <c r="QSD4" s="484"/>
      <c r="QSE4" s="484"/>
      <c r="QSF4" s="484"/>
      <c r="QSG4" s="484"/>
      <c r="QSH4" s="484"/>
      <c r="QSI4" s="484"/>
      <c r="QSJ4" s="484"/>
      <c r="QSK4" s="484"/>
      <c r="QSL4" s="484"/>
      <c r="QSM4" s="484"/>
      <c r="QSN4" s="484"/>
      <c r="QSO4" s="484"/>
      <c r="QSP4" s="484"/>
      <c r="QSQ4" s="484"/>
      <c r="QSR4" s="484"/>
      <c r="QSS4" s="484"/>
      <c r="QST4" s="484"/>
      <c r="QSU4" s="484"/>
      <c r="QSV4" s="484"/>
      <c r="QSW4" s="484"/>
      <c r="QSX4" s="484"/>
      <c r="QSY4" s="484"/>
      <c r="QSZ4" s="484"/>
      <c r="QTA4" s="484"/>
      <c r="QTB4" s="484"/>
      <c r="QTC4" s="484"/>
      <c r="QTD4" s="484"/>
      <c r="QTE4" s="484"/>
      <c r="QTF4" s="484"/>
      <c r="QTG4" s="484"/>
      <c r="QTH4" s="484"/>
      <c r="QTI4" s="484"/>
      <c r="QTJ4" s="484"/>
      <c r="QTK4" s="484"/>
      <c r="QTL4" s="484"/>
      <c r="QTM4" s="484"/>
      <c r="QTN4" s="484"/>
      <c r="QTO4" s="484"/>
      <c r="QTP4" s="484"/>
      <c r="QTQ4" s="484"/>
      <c r="QTR4" s="484"/>
      <c r="QTS4" s="484"/>
      <c r="QTT4" s="484"/>
      <c r="QTU4" s="484"/>
      <c r="QTV4" s="484"/>
      <c r="QTW4" s="484"/>
      <c r="QTX4" s="484"/>
      <c r="QTY4" s="484"/>
      <c r="QTZ4" s="484"/>
      <c r="QUA4" s="484"/>
      <c r="QUB4" s="484"/>
      <c r="QUC4" s="484"/>
      <c r="QUD4" s="484"/>
      <c r="QUE4" s="484"/>
      <c r="QUF4" s="484"/>
      <c r="QUG4" s="484"/>
      <c r="QUH4" s="484"/>
      <c r="QUI4" s="484"/>
      <c r="QUJ4" s="484"/>
      <c r="QUK4" s="484"/>
      <c r="QUL4" s="484"/>
      <c r="QUM4" s="484"/>
      <c r="QUN4" s="484"/>
      <c r="QUO4" s="484"/>
      <c r="QUP4" s="484"/>
      <c r="QUQ4" s="484"/>
      <c r="QUR4" s="484"/>
      <c r="QUS4" s="484"/>
      <c r="QUT4" s="484"/>
      <c r="QUU4" s="484"/>
      <c r="QUV4" s="484"/>
      <c r="QUW4" s="484"/>
      <c r="QUX4" s="484"/>
      <c r="QUY4" s="484"/>
      <c r="QUZ4" s="484"/>
      <c r="QVA4" s="484"/>
      <c r="QVB4" s="484"/>
      <c r="QVC4" s="484"/>
      <c r="QVD4" s="484"/>
      <c r="QVE4" s="484"/>
      <c r="QVF4" s="484"/>
      <c r="QVG4" s="484"/>
      <c r="QVH4" s="484"/>
      <c r="QVI4" s="484"/>
      <c r="QVJ4" s="484"/>
      <c r="QVK4" s="484"/>
      <c r="QVL4" s="484"/>
      <c r="QVM4" s="484"/>
      <c r="QVN4" s="484"/>
      <c r="QVO4" s="484"/>
      <c r="QVP4" s="484"/>
      <c r="QVQ4" s="484"/>
      <c r="QVR4" s="484"/>
      <c r="QVS4" s="484"/>
      <c r="QVT4" s="484"/>
      <c r="QVU4" s="484"/>
      <c r="QVV4" s="484"/>
      <c r="QVW4" s="484"/>
      <c r="QVX4" s="484"/>
      <c r="QVY4" s="484"/>
      <c r="QVZ4" s="484"/>
      <c r="QWA4" s="484"/>
      <c r="QWB4" s="484"/>
      <c r="QWC4" s="484"/>
      <c r="QWD4" s="484"/>
      <c r="QWE4" s="484"/>
      <c r="QWF4" s="484"/>
      <c r="QWG4" s="484"/>
      <c r="QWH4" s="484"/>
      <c r="QWI4" s="484"/>
      <c r="QWJ4" s="484"/>
      <c r="QWK4" s="484"/>
      <c r="QWL4" s="484"/>
      <c r="QWM4" s="484"/>
      <c r="QWN4" s="484"/>
      <c r="QWO4" s="484"/>
      <c r="QWP4" s="484"/>
      <c r="QWQ4" s="484"/>
      <c r="QWR4" s="484"/>
      <c r="QWS4" s="484"/>
      <c r="QWT4" s="484"/>
      <c r="QWU4" s="484"/>
      <c r="QWV4" s="484"/>
      <c r="QWW4" s="484"/>
      <c r="QWX4" s="484"/>
      <c r="QWY4" s="484"/>
      <c r="QWZ4" s="484"/>
      <c r="QXA4" s="484"/>
      <c r="QXB4" s="484"/>
      <c r="QXC4" s="484"/>
      <c r="QXD4" s="484"/>
      <c r="QXE4" s="484"/>
      <c r="QXF4" s="484"/>
      <c r="QXG4" s="484"/>
      <c r="QXH4" s="484"/>
      <c r="QXI4" s="484"/>
      <c r="QXJ4" s="484"/>
      <c r="QXK4" s="484"/>
      <c r="QXL4" s="484"/>
      <c r="QXM4" s="484"/>
      <c r="QXN4" s="484"/>
      <c r="QXO4" s="484"/>
      <c r="QXP4" s="484"/>
      <c r="QXQ4" s="484"/>
      <c r="QXR4" s="484"/>
      <c r="QXS4" s="484"/>
      <c r="QXT4" s="484"/>
      <c r="QXU4" s="484"/>
      <c r="QXV4" s="484"/>
      <c r="QXW4" s="484"/>
      <c r="QXX4" s="484"/>
      <c r="QXY4" s="484"/>
      <c r="QXZ4" s="484"/>
      <c r="QYA4" s="484"/>
      <c r="QYB4" s="484"/>
      <c r="QYC4" s="484"/>
      <c r="QYD4" s="484"/>
      <c r="QYE4" s="484"/>
      <c r="QYF4" s="484"/>
      <c r="QYG4" s="484"/>
      <c r="QYH4" s="484"/>
      <c r="QYI4" s="484"/>
      <c r="QYJ4" s="484"/>
      <c r="QYK4" s="484"/>
      <c r="QYL4" s="484"/>
      <c r="QYM4" s="484"/>
      <c r="QYN4" s="484"/>
      <c r="QYO4" s="484"/>
      <c r="QYP4" s="484"/>
      <c r="QYQ4" s="484"/>
      <c r="QYR4" s="484"/>
      <c r="QYS4" s="484"/>
      <c r="QYT4" s="484"/>
      <c r="QYU4" s="484"/>
      <c r="QYV4" s="484"/>
      <c r="QYW4" s="484"/>
      <c r="QYX4" s="484"/>
      <c r="QYY4" s="484"/>
      <c r="QYZ4" s="484"/>
      <c r="QZA4" s="484"/>
      <c r="QZB4" s="484"/>
      <c r="QZC4" s="484"/>
      <c r="QZD4" s="484"/>
      <c r="QZE4" s="484"/>
      <c r="QZF4" s="484"/>
      <c r="QZG4" s="484"/>
      <c r="QZH4" s="484"/>
      <c r="QZI4" s="484"/>
      <c r="QZJ4" s="484"/>
      <c r="QZK4" s="484"/>
      <c r="QZL4" s="484"/>
      <c r="QZM4" s="484"/>
      <c r="QZN4" s="484"/>
      <c r="QZO4" s="484"/>
      <c r="QZP4" s="484"/>
      <c r="QZQ4" s="484"/>
      <c r="QZR4" s="484"/>
      <c r="QZS4" s="484"/>
      <c r="QZT4" s="484"/>
      <c r="QZU4" s="484"/>
      <c r="QZV4" s="484"/>
      <c r="QZW4" s="484"/>
      <c r="QZX4" s="484"/>
      <c r="QZY4" s="484"/>
      <c r="QZZ4" s="484"/>
      <c r="RAA4" s="484"/>
      <c r="RAB4" s="484"/>
      <c r="RAC4" s="484"/>
      <c r="RAD4" s="484"/>
      <c r="RAE4" s="484"/>
      <c r="RAF4" s="484"/>
      <c r="RAG4" s="484"/>
      <c r="RAH4" s="484"/>
      <c r="RAI4" s="484"/>
      <c r="RAJ4" s="484"/>
      <c r="RAK4" s="484"/>
      <c r="RAL4" s="484"/>
      <c r="RAM4" s="484"/>
      <c r="RAN4" s="484"/>
      <c r="RAO4" s="484"/>
      <c r="RAP4" s="484"/>
      <c r="RAQ4" s="484"/>
      <c r="RAR4" s="484"/>
      <c r="RAS4" s="484"/>
      <c r="RAT4" s="484"/>
      <c r="RAU4" s="484"/>
      <c r="RAV4" s="484"/>
      <c r="RAW4" s="484"/>
      <c r="RAX4" s="484"/>
      <c r="RAY4" s="484"/>
      <c r="RAZ4" s="484"/>
      <c r="RBA4" s="484"/>
      <c r="RBB4" s="484"/>
      <c r="RBC4" s="484"/>
      <c r="RBD4" s="484"/>
      <c r="RBE4" s="484"/>
      <c r="RBF4" s="484"/>
      <c r="RBG4" s="484"/>
      <c r="RBH4" s="484"/>
      <c r="RBI4" s="484"/>
      <c r="RBJ4" s="484"/>
      <c r="RBK4" s="484"/>
      <c r="RBL4" s="484"/>
      <c r="RBM4" s="484"/>
      <c r="RBN4" s="484"/>
      <c r="RBO4" s="484"/>
      <c r="RBP4" s="484"/>
      <c r="RBQ4" s="484"/>
      <c r="RBR4" s="484"/>
      <c r="RBS4" s="484"/>
      <c r="RBT4" s="484"/>
      <c r="RBU4" s="484"/>
      <c r="RBV4" s="484"/>
      <c r="RBW4" s="484"/>
      <c r="RBX4" s="484"/>
      <c r="RBY4" s="484"/>
      <c r="RBZ4" s="484"/>
      <c r="RCA4" s="484"/>
      <c r="RCB4" s="484"/>
      <c r="RCC4" s="484"/>
      <c r="RCD4" s="484"/>
      <c r="RCE4" s="484"/>
      <c r="RCF4" s="484"/>
      <c r="RCG4" s="484"/>
      <c r="RCH4" s="484"/>
      <c r="RCI4" s="484"/>
      <c r="RCJ4" s="484"/>
      <c r="RCK4" s="484"/>
      <c r="RCL4" s="484"/>
      <c r="RCM4" s="484"/>
      <c r="RCN4" s="484"/>
      <c r="RCO4" s="484"/>
      <c r="RCP4" s="484"/>
      <c r="RCQ4" s="484"/>
      <c r="RCR4" s="484"/>
      <c r="RCS4" s="484"/>
      <c r="RCT4" s="484"/>
      <c r="RCU4" s="484"/>
      <c r="RCV4" s="484"/>
      <c r="RCW4" s="484"/>
      <c r="RCX4" s="484"/>
      <c r="RCY4" s="484"/>
      <c r="RCZ4" s="484"/>
      <c r="RDA4" s="484"/>
      <c r="RDB4" s="484"/>
      <c r="RDC4" s="484"/>
      <c r="RDD4" s="484"/>
      <c r="RDE4" s="484"/>
      <c r="RDF4" s="484"/>
      <c r="RDG4" s="484"/>
      <c r="RDH4" s="484"/>
      <c r="RDI4" s="484"/>
      <c r="RDJ4" s="484"/>
      <c r="RDK4" s="484"/>
      <c r="RDL4" s="484"/>
      <c r="RDM4" s="484"/>
      <c r="RDN4" s="484"/>
      <c r="RDO4" s="484"/>
      <c r="RDP4" s="484"/>
      <c r="RDQ4" s="484"/>
      <c r="RDR4" s="484"/>
      <c r="RDS4" s="484"/>
      <c r="RDT4" s="484"/>
      <c r="RDU4" s="484"/>
      <c r="RDV4" s="484"/>
      <c r="RDW4" s="484"/>
      <c r="RDX4" s="484"/>
      <c r="RDY4" s="484"/>
      <c r="RDZ4" s="484"/>
      <c r="REA4" s="484"/>
      <c r="REB4" s="484"/>
      <c r="REC4" s="484"/>
      <c r="RED4" s="484"/>
      <c r="REE4" s="484"/>
      <c r="REF4" s="484"/>
      <c r="REG4" s="484"/>
      <c r="REH4" s="484"/>
      <c r="REI4" s="484"/>
      <c r="REJ4" s="484"/>
      <c r="REK4" s="484"/>
      <c r="REL4" s="484"/>
      <c r="REM4" s="484"/>
      <c r="REN4" s="484"/>
      <c r="REO4" s="484"/>
      <c r="REP4" s="484"/>
      <c r="REQ4" s="484"/>
      <c r="RER4" s="484"/>
      <c r="RES4" s="484"/>
      <c r="RET4" s="484"/>
      <c r="REU4" s="484"/>
      <c r="REV4" s="484"/>
      <c r="REW4" s="484"/>
      <c r="REX4" s="484"/>
      <c r="REY4" s="484"/>
      <c r="REZ4" s="484"/>
      <c r="RFA4" s="484"/>
      <c r="RFB4" s="484"/>
      <c r="RFC4" s="484"/>
      <c r="RFD4" s="484"/>
      <c r="RFE4" s="484"/>
      <c r="RFF4" s="484"/>
      <c r="RFG4" s="484"/>
      <c r="RFH4" s="484"/>
      <c r="RFI4" s="484"/>
      <c r="RFJ4" s="484"/>
      <c r="RFK4" s="484"/>
      <c r="RFL4" s="484"/>
      <c r="RFM4" s="484"/>
      <c r="RFN4" s="484"/>
      <c r="RFO4" s="484"/>
      <c r="RFP4" s="484"/>
      <c r="RFQ4" s="484"/>
      <c r="RFR4" s="484"/>
      <c r="RFS4" s="484"/>
      <c r="RFT4" s="484"/>
      <c r="RFU4" s="484"/>
      <c r="RFV4" s="484"/>
      <c r="RFW4" s="484"/>
      <c r="RFX4" s="484"/>
      <c r="RFY4" s="484"/>
      <c r="RFZ4" s="484"/>
      <c r="RGA4" s="484"/>
      <c r="RGB4" s="484"/>
      <c r="RGC4" s="484"/>
      <c r="RGD4" s="484"/>
      <c r="RGE4" s="484"/>
      <c r="RGF4" s="484"/>
      <c r="RGG4" s="484"/>
      <c r="RGH4" s="484"/>
      <c r="RGI4" s="484"/>
      <c r="RGJ4" s="484"/>
      <c r="RGK4" s="484"/>
      <c r="RGL4" s="484"/>
      <c r="RGM4" s="484"/>
      <c r="RGN4" s="484"/>
      <c r="RGO4" s="484"/>
      <c r="RGP4" s="484"/>
      <c r="RGQ4" s="484"/>
      <c r="RGR4" s="484"/>
      <c r="RGS4" s="484"/>
      <c r="RGT4" s="484"/>
      <c r="RGU4" s="484"/>
      <c r="RGV4" s="484"/>
      <c r="RGW4" s="484"/>
      <c r="RGX4" s="484"/>
      <c r="RGY4" s="484"/>
      <c r="RGZ4" s="484"/>
      <c r="RHA4" s="484"/>
      <c r="RHB4" s="484"/>
      <c r="RHC4" s="484"/>
      <c r="RHD4" s="484"/>
      <c r="RHE4" s="484"/>
      <c r="RHF4" s="484"/>
      <c r="RHG4" s="484"/>
      <c r="RHH4" s="484"/>
      <c r="RHI4" s="484"/>
      <c r="RHJ4" s="484"/>
      <c r="RHK4" s="484"/>
      <c r="RHL4" s="484"/>
      <c r="RHM4" s="484"/>
      <c r="RHN4" s="484"/>
      <c r="RHO4" s="484"/>
      <c r="RHP4" s="484"/>
      <c r="RHQ4" s="484"/>
      <c r="RHR4" s="484"/>
      <c r="RHS4" s="484"/>
      <c r="RHT4" s="484"/>
      <c r="RHU4" s="484"/>
      <c r="RHV4" s="484"/>
      <c r="RHW4" s="484"/>
      <c r="RHX4" s="484"/>
      <c r="RHY4" s="484"/>
      <c r="RHZ4" s="484"/>
      <c r="RIA4" s="484"/>
      <c r="RIB4" s="484"/>
      <c r="RIC4" s="484"/>
      <c r="RID4" s="484"/>
      <c r="RIE4" s="484"/>
      <c r="RIF4" s="484"/>
      <c r="RIG4" s="484"/>
      <c r="RIH4" s="484"/>
      <c r="RII4" s="484"/>
      <c r="RIJ4" s="484"/>
      <c r="RIK4" s="484"/>
      <c r="RIL4" s="484"/>
      <c r="RIM4" s="484"/>
      <c r="RIN4" s="484"/>
      <c r="RIO4" s="484"/>
      <c r="RIP4" s="484"/>
      <c r="RIQ4" s="484"/>
      <c r="RIR4" s="484"/>
      <c r="RIS4" s="484"/>
      <c r="RIT4" s="484"/>
      <c r="RIU4" s="484"/>
      <c r="RIV4" s="484"/>
      <c r="RIW4" s="484"/>
      <c r="RIX4" s="484"/>
      <c r="RIY4" s="484"/>
      <c r="RIZ4" s="484"/>
      <c r="RJA4" s="484"/>
      <c r="RJB4" s="484"/>
      <c r="RJC4" s="484"/>
      <c r="RJD4" s="484"/>
      <c r="RJE4" s="484"/>
      <c r="RJF4" s="484"/>
      <c r="RJG4" s="484"/>
      <c r="RJH4" s="484"/>
      <c r="RJI4" s="484"/>
      <c r="RJJ4" s="484"/>
      <c r="RJK4" s="484"/>
      <c r="RJL4" s="484"/>
      <c r="RJM4" s="484"/>
      <c r="RJN4" s="484"/>
      <c r="RJO4" s="484"/>
      <c r="RJP4" s="484"/>
      <c r="RJQ4" s="484"/>
      <c r="RJR4" s="484"/>
      <c r="RJS4" s="484"/>
      <c r="RJT4" s="484"/>
      <c r="RJU4" s="484"/>
      <c r="RJV4" s="484"/>
      <c r="RJW4" s="484"/>
      <c r="RJX4" s="484"/>
      <c r="RJY4" s="484"/>
      <c r="RJZ4" s="484"/>
      <c r="RKA4" s="484"/>
      <c r="RKB4" s="484"/>
      <c r="RKC4" s="484"/>
      <c r="RKD4" s="484"/>
      <c r="RKE4" s="484"/>
      <c r="RKF4" s="484"/>
      <c r="RKG4" s="484"/>
      <c r="RKH4" s="484"/>
      <c r="RKI4" s="484"/>
      <c r="RKJ4" s="484"/>
      <c r="RKK4" s="484"/>
      <c r="RKL4" s="484"/>
      <c r="RKM4" s="484"/>
      <c r="RKN4" s="484"/>
      <c r="RKO4" s="484"/>
      <c r="RKP4" s="484"/>
      <c r="RKQ4" s="484"/>
      <c r="RKR4" s="484"/>
      <c r="RKS4" s="484"/>
      <c r="RKT4" s="484"/>
      <c r="RKU4" s="484"/>
      <c r="RKV4" s="484"/>
      <c r="RKW4" s="484"/>
      <c r="RKX4" s="484"/>
      <c r="RKY4" s="484"/>
      <c r="RKZ4" s="484"/>
      <c r="RLA4" s="484"/>
      <c r="RLB4" s="484"/>
      <c r="RLC4" s="484"/>
      <c r="RLD4" s="484"/>
      <c r="RLE4" s="484"/>
      <c r="RLF4" s="484"/>
      <c r="RLG4" s="484"/>
      <c r="RLH4" s="484"/>
      <c r="RLI4" s="484"/>
      <c r="RLJ4" s="484"/>
      <c r="RLK4" s="484"/>
      <c r="RLL4" s="484"/>
      <c r="RLM4" s="484"/>
      <c r="RLN4" s="484"/>
      <c r="RLO4" s="484"/>
      <c r="RLP4" s="484"/>
      <c r="RLQ4" s="484"/>
      <c r="RLR4" s="484"/>
      <c r="RLS4" s="484"/>
      <c r="RLT4" s="484"/>
      <c r="RLU4" s="484"/>
      <c r="RLV4" s="484"/>
      <c r="RLW4" s="484"/>
      <c r="RLX4" s="484"/>
      <c r="RLY4" s="484"/>
      <c r="RLZ4" s="484"/>
      <c r="RMA4" s="484"/>
      <c r="RMB4" s="484"/>
      <c r="RMC4" s="484"/>
      <c r="RMD4" s="484"/>
      <c r="RME4" s="484"/>
      <c r="RMF4" s="484"/>
      <c r="RMG4" s="484"/>
      <c r="RMH4" s="484"/>
      <c r="RMI4" s="484"/>
      <c r="RMJ4" s="484"/>
      <c r="RMK4" s="484"/>
      <c r="RML4" s="484"/>
      <c r="RMM4" s="484"/>
      <c r="RMN4" s="484"/>
      <c r="RMO4" s="484"/>
      <c r="RMP4" s="484"/>
      <c r="RMQ4" s="484"/>
      <c r="RMR4" s="484"/>
      <c r="RMS4" s="484"/>
      <c r="RMT4" s="484"/>
      <c r="RMU4" s="484"/>
      <c r="RMV4" s="484"/>
      <c r="RMW4" s="484"/>
      <c r="RMX4" s="484"/>
      <c r="RMY4" s="484"/>
      <c r="RMZ4" s="484"/>
      <c r="RNA4" s="484"/>
      <c r="RNB4" s="484"/>
      <c r="RNC4" s="484"/>
      <c r="RND4" s="484"/>
      <c r="RNE4" s="484"/>
      <c r="RNF4" s="484"/>
      <c r="RNG4" s="484"/>
      <c r="RNH4" s="484"/>
      <c r="RNI4" s="484"/>
      <c r="RNJ4" s="484"/>
      <c r="RNK4" s="484"/>
      <c r="RNL4" s="484"/>
      <c r="RNM4" s="484"/>
      <c r="RNN4" s="484"/>
      <c r="RNO4" s="484"/>
      <c r="RNP4" s="484"/>
      <c r="RNQ4" s="484"/>
      <c r="RNR4" s="484"/>
      <c r="RNS4" s="484"/>
      <c r="RNT4" s="484"/>
      <c r="RNU4" s="484"/>
      <c r="RNV4" s="484"/>
      <c r="RNW4" s="484"/>
      <c r="RNX4" s="484"/>
      <c r="RNY4" s="484"/>
      <c r="RNZ4" s="484"/>
      <c r="ROA4" s="484"/>
      <c r="ROB4" s="484"/>
      <c r="ROC4" s="484"/>
      <c r="ROD4" s="484"/>
      <c r="ROE4" s="484"/>
      <c r="ROF4" s="484"/>
      <c r="ROG4" s="484"/>
      <c r="ROH4" s="484"/>
      <c r="ROI4" s="484"/>
      <c r="ROJ4" s="484"/>
      <c r="ROK4" s="484"/>
      <c r="ROL4" s="484"/>
      <c r="ROM4" s="484"/>
      <c r="RON4" s="484"/>
      <c r="ROO4" s="484"/>
      <c r="ROP4" s="484"/>
      <c r="ROQ4" s="484"/>
      <c r="ROR4" s="484"/>
      <c r="ROS4" s="484"/>
      <c r="ROT4" s="484"/>
      <c r="ROU4" s="484"/>
      <c r="ROV4" s="484"/>
      <c r="ROW4" s="484"/>
      <c r="ROX4" s="484"/>
      <c r="ROY4" s="484"/>
      <c r="ROZ4" s="484"/>
      <c r="RPA4" s="484"/>
      <c r="RPB4" s="484"/>
      <c r="RPC4" s="484"/>
      <c r="RPD4" s="484"/>
      <c r="RPE4" s="484"/>
      <c r="RPF4" s="484"/>
      <c r="RPG4" s="484"/>
      <c r="RPH4" s="484"/>
      <c r="RPI4" s="484"/>
      <c r="RPJ4" s="484"/>
      <c r="RPK4" s="484"/>
      <c r="RPL4" s="484"/>
      <c r="RPM4" s="484"/>
      <c r="RPN4" s="484"/>
      <c r="RPO4" s="484"/>
      <c r="RPP4" s="484"/>
      <c r="RPQ4" s="484"/>
      <c r="RPR4" s="484"/>
      <c r="RPS4" s="484"/>
      <c r="RPT4" s="484"/>
      <c r="RPU4" s="484"/>
      <c r="RPV4" s="484"/>
      <c r="RPW4" s="484"/>
      <c r="RPX4" s="484"/>
      <c r="RPY4" s="484"/>
      <c r="RPZ4" s="484"/>
      <c r="RQA4" s="484"/>
      <c r="RQB4" s="484"/>
      <c r="RQC4" s="484"/>
      <c r="RQD4" s="484"/>
      <c r="RQE4" s="484"/>
      <c r="RQF4" s="484"/>
      <c r="RQG4" s="484"/>
      <c r="RQH4" s="484"/>
      <c r="RQI4" s="484"/>
      <c r="RQJ4" s="484"/>
      <c r="RQK4" s="484"/>
      <c r="RQL4" s="484"/>
      <c r="RQM4" s="484"/>
      <c r="RQN4" s="484"/>
      <c r="RQO4" s="484"/>
      <c r="RQP4" s="484"/>
      <c r="RQQ4" s="484"/>
      <c r="RQR4" s="484"/>
      <c r="RQS4" s="484"/>
      <c r="RQT4" s="484"/>
      <c r="RQU4" s="484"/>
      <c r="RQV4" s="484"/>
      <c r="RQW4" s="484"/>
      <c r="RQX4" s="484"/>
      <c r="RQY4" s="484"/>
      <c r="RQZ4" s="484"/>
      <c r="RRA4" s="484"/>
      <c r="RRB4" s="484"/>
      <c r="RRC4" s="484"/>
      <c r="RRD4" s="484"/>
      <c r="RRE4" s="484"/>
      <c r="RRF4" s="484"/>
      <c r="RRG4" s="484"/>
      <c r="RRH4" s="484"/>
      <c r="RRI4" s="484"/>
      <c r="RRJ4" s="484"/>
      <c r="RRK4" s="484"/>
      <c r="RRL4" s="484"/>
      <c r="RRM4" s="484"/>
      <c r="RRN4" s="484"/>
      <c r="RRO4" s="484"/>
      <c r="RRP4" s="484"/>
      <c r="RRQ4" s="484"/>
      <c r="RRR4" s="484"/>
      <c r="RRS4" s="484"/>
      <c r="RRT4" s="484"/>
      <c r="RRU4" s="484"/>
      <c r="RRV4" s="484"/>
      <c r="RRW4" s="484"/>
      <c r="RRX4" s="484"/>
      <c r="RRY4" s="484"/>
      <c r="RRZ4" s="484"/>
      <c r="RSA4" s="484"/>
      <c r="RSB4" s="484"/>
      <c r="RSC4" s="484"/>
      <c r="RSD4" s="484"/>
      <c r="RSE4" s="484"/>
      <c r="RSF4" s="484"/>
      <c r="RSG4" s="484"/>
      <c r="RSH4" s="484"/>
      <c r="RSI4" s="484"/>
      <c r="RSJ4" s="484"/>
      <c r="RSK4" s="484"/>
      <c r="RSL4" s="484"/>
      <c r="RSM4" s="484"/>
      <c r="RSN4" s="484"/>
      <c r="RSO4" s="484"/>
      <c r="RSP4" s="484"/>
      <c r="RSQ4" s="484"/>
      <c r="RSR4" s="484"/>
      <c r="RSS4" s="484"/>
      <c r="RST4" s="484"/>
      <c r="RSU4" s="484"/>
      <c r="RSV4" s="484"/>
      <c r="RSW4" s="484"/>
      <c r="RSX4" s="484"/>
      <c r="RSY4" s="484"/>
      <c r="RSZ4" s="484"/>
      <c r="RTA4" s="484"/>
      <c r="RTB4" s="484"/>
      <c r="RTC4" s="484"/>
      <c r="RTD4" s="484"/>
      <c r="RTE4" s="484"/>
      <c r="RTF4" s="484"/>
      <c r="RTG4" s="484"/>
      <c r="RTH4" s="484"/>
      <c r="RTI4" s="484"/>
      <c r="RTJ4" s="484"/>
      <c r="RTK4" s="484"/>
      <c r="RTL4" s="484"/>
      <c r="RTM4" s="484"/>
      <c r="RTN4" s="484"/>
      <c r="RTO4" s="484"/>
      <c r="RTP4" s="484"/>
      <c r="RTQ4" s="484"/>
      <c r="RTR4" s="484"/>
      <c r="RTS4" s="484"/>
      <c r="RTT4" s="484"/>
      <c r="RTU4" s="484"/>
      <c r="RTV4" s="484"/>
      <c r="RTW4" s="484"/>
      <c r="RTX4" s="484"/>
      <c r="RTY4" s="484"/>
      <c r="RTZ4" s="484"/>
      <c r="RUA4" s="484"/>
      <c r="RUB4" s="484"/>
      <c r="RUC4" s="484"/>
      <c r="RUD4" s="484"/>
      <c r="RUE4" s="484"/>
      <c r="RUF4" s="484"/>
      <c r="RUG4" s="484"/>
      <c r="RUH4" s="484"/>
      <c r="RUI4" s="484"/>
      <c r="RUJ4" s="484"/>
      <c r="RUK4" s="484"/>
      <c r="RUL4" s="484"/>
      <c r="RUM4" s="484"/>
      <c r="RUN4" s="484"/>
      <c r="RUO4" s="484"/>
      <c r="RUP4" s="484"/>
      <c r="RUQ4" s="484"/>
      <c r="RUR4" s="484"/>
      <c r="RUS4" s="484"/>
      <c r="RUT4" s="484"/>
      <c r="RUU4" s="484"/>
      <c r="RUV4" s="484"/>
      <c r="RUW4" s="484"/>
      <c r="RUX4" s="484"/>
      <c r="RUY4" s="484"/>
      <c r="RUZ4" s="484"/>
      <c r="RVA4" s="484"/>
      <c r="RVB4" s="484"/>
      <c r="RVC4" s="484"/>
      <c r="RVD4" s="484"/>
      <c r="RVE4" s="484"/>
      <c r="RVF4" s="484"/>
      <c r="RVG4" s="484"/>
      <c r="RVH4" s="484"/>
      <c r="RVI4" s="484"/>
      <c r="RVJ4" s="484"/>
      <c r="RVK4" s="484"/>
      <c r="RVL4" s="484"/>
      <c r="RVM4" s="484"/>
      <c r="RVN4" s="484"/>
      <c r="RVO4" s="484"/>
      <c r="RVP4" s="484"/>
      <c r="RVQ4" s="484"/>
      <c r="RVR4" s="484"/>
      <c r="RVS4" s="484"/>
      <c r="RVT4" s="484"/>
      <c r="RVU4" s="484"/>
      <c r="RVV4" s="484"/>
      <c r="RVW4" s="484"/>
      <c r="RVX4" s="484"/>
      <c r="RVY4" s="484"/>
      <c r="RVZ4" s="484"/>
      <c r="RWA4" s="484"/>
      <c r="RWB4" s="484"/>
      <c r="RWC4" s="484"/>
      <c r="RWD4" s="484"/>
      <c r="RWE4" s="484"/>
      <c r="RWF4" s="484"/>
      <c r="RWG4" s="484"/>
      <c r="RWH4" s="484"/>
      <c r="RWI4" s="484"/>
      <c r="RWJ4" s="484"/>
      <c r="RWK4" s="484"/>
      <c r="RWL4" s="484"/>
      <c r="RWM4" s="484"/>
      <c r="RWN4" s="484"/>
      <c r="RWO4" s="484"/>
      <c r="RWP4" s="484"/>
      <c r="RWQ4" s="484"/>
      <c r="RWR4" s="484"/>
      <c r="RWS4" s="484"/>
      <c r="RWT4" s="484"/>
      <c r="RWU4" s="484"/>
      <c r="RWV4" s="484"/>
      <c r="RWW4" s="484"/>
      <c r="RWX4" s="484"/>
      <c r="RWY4" s="484"/>
      <c r="RWZ4" s="484"/>
      <c r="RXA4" s="484"/>
      <c r="RXB4" s="484"/>
      <c r="RXC4" s="484"/>
      <c r="RXD4" s="484"/>
      <c r="RXE4" s="484"/>
      <c r="RXF4" s="484"/>
      <c r="RXG4" s="484"/>
      <c r="RXH4" s="484"/>
      <c r="RXI4" s="484"/>
      <c r="RXJ4" s="484"/>
      <c r="RXK4" s="484"/>
      <c r="RXL4" s="484"/>
      <c r="RXM4" s="484"/>
      <c r="RXN4" s="484"/>
      <c r="RXO4" s="484"/>
      <c r="RXP4" s="484"/>
      <c r="RXQ4" s="484"/>
      <c r="RXR4" s="484"/>
      <c r="RXS4" s="484"/>
      <c r="RXT4" s="484"/>
      <c r="RXU4" s="484"/>
      <c r="RXV4" s="484"/>
      <c r="RXW4" s="484"/>
      <c r="RXX4" s="484"/>
      <c r="RXY4" s="484"/>
      <c r="RXZ4" s="484"/>
      <c r="RYA4" s="484"/>
      <c r="RYB4" s="484"/>
      <c r="RYC4" s="484"/>
      <c r="RYD4" s="484"/>
      <c r="RYE4" s="484"/>
      <c r="RYF4" s="484"/>
      <c r="RYG4" s="484"/>
      <c r="RYH4" s="484"/>
      <c r="RYI4" s="484"/>
      <c r="RYJ4" s="484"/>
      <c r="RYK4" s="484"/>
      <c r="RYL4" s="484"/>
      <c r="RYM4" s="484"/>
      <c r="RYN4" s="484"/>
      <c r="RYO4" s="484"/>
      <c r="RYP4" s="484"/>
      <c r="RYQ4" s="484"/>
      <c r="RYR4" s="484"/>
      <c r="RYS4" s="484"/>
      <c r="RYT4" s="484"/>
      <c r="RYU4" s="484"/>
      <c r="RYV4" s="484"/>
      <c r="RYW4" s="484"/>
      <c r="RYX4" s="484"/>
      <c r="RYY4" s="484"/>
      <c r="RYZ4" s="484"/>
      <c r="RZA4" s="484"/>
      <c r="RZB4" s="484"/>
      <c r="RZC4" s="484"/>
      <c r="RZD4" s="484"/>
      <c r="RZE4" s="484"/>
      <c r="RZF4" s="484"/>
      <c r="RZG4" s="484"/>
      <c r="RZH4" s="484"/>
      <c r="RZI4" s="484"/>
      <c r="RZJ4" s="484"/>
      <c r="RZK4" s="484"/>
      <c r="RZL4" s="484"/>
      <c r="RZM4" s="484"/>
      <c r="RZN4" s="484"/>
      <c r="RZO4" s="484"/>
      <c r="RZP4" s="484"/>
      <c r="RZQ4" s="484"/>
      <c r="RZR4" s="484"/>
      <c r="RZS4" s="484"/>
      <c r="RZT4" s="484"/>
      <c r="RZU4" s="484"/>
      <c r="RZV4" s="484"/>
      <c r="RZW4" s="484"/>
      <c r="RZX4" s="484"/>
      <c r="RZY4" s="484"/>
      <c r="RZZ4" s="484"/>
      <c r="SAA4" s="484"/>
      <c r="SAB4" s="484"/>
      <c r="SAC4" s="484"/>
      <c r="SAD4" s="484"/>
      <c r="SAE4" s="484"/>
      <c r="SAF4" s="484"/>
      <c r="SAG4" s="484"/>
      <c r="SAH4" s="484"/>
      <c r="SAI4" s="484"/>
      <c r="SAJ4" s="484"/>
      <c r="SAK4" s="484"/>
      <c r="SAL4" s="484"/>
      <c r="SAM4" s="484"/>
      <c r="SAN4" s="484"/>
      <c r="SAO4" s="484"/>
      <c r="SAP4" s="484"/>
      <c r="SAQ4" s="484"/>
      <c r="SAR4" s="484"/>
      <c r="SAS4" s="484"/>
      <c r="SAT4" s="484"/>
      <c r="SAU4" s="484"/>
      <c r="SAV4" s="484"/>
      <c r="SAW4" s="484"/>
      <c r="SAX4" s="484"/>
      <c r="SAY4" s="484"/>
      <c r="SAZ4" s="484"/>
      <c r="SBA4" s="484"/>
      <c r="SBB4" s="484"/>
      <c r="SBC4" s="484"/>
      <c r="SBD4" s="484"/>
      <c r="SBE4" s="484"/>
      <c r="SBF4" s="484"/>
      <c r="SBG4" s="484"/>
      <c r="SBH4" s="484"/>
      <c r="SBI4" s="484"/>
      <c r="SBJ4" s="484"/>
      <c r="SBK4" s="484"/>
      <c r="SBL4" s="484"/>
      <c r="SBM4" s="484"/>
      <c r="SBN4" s="484"/>
      <c r="SBO4" s="484"/>
      <c r="SBP4" s="484"/>
      <c r="SBQ4" s="484"/>
      <c r="SBR4" s="484"/>
      <c r="SBS4" s="484"/>
      <c r="SBT4" s="484"/>
      <c r="SBU4" s="484"/>
      <c r="SBV4" s="484"/>
      <c r="SBW4" s="484"/>
      <c r="SBX4" s="484"/>
      <c r="SBY4" s="484"/>
      <c r="SBZ4" s="484"/>
      <c r="SCA4" s="484"/>
      <c r="SCB4" s="484"/>
      <c r="SCC4" s="484"/>
      <c r="SCD4" s="484"/>
      <c r="SCE4" s="484"/>
      <c r="SCF4" s="484"/>
      <c r="SCG4" s="484"/>
      <c r="SCH4" s="484"/>
      <c r="SCI4" s="484"/>
      <c r="SCJ4" s="484"/>
      <c r="SCK4" s="484"/>
      <c r="SCL4" s="484"/>
      <c r="SCM4" s="484"/>
      <c r="SCN4" s="484"/>
      <c r="SCO4" s="484"/>
      <c r="SCP4" s="484"/>
      <c r="SCQ4" s="484"/>
      <c r="SCR4" s="484"/>
      <c r="SCS4" s="484"/>
      <c r="SCT4" s="484"/>
      <c r="SCU4" s="484"/>
      <c r="SCV4" s="484"/>
      <c r="SCW4" s="484"/>
      <c r="SCX4" s="484"/>
      <c r="SCY4" s="484"/>
      <c r="SCZ4" s="484"/>
      <c r="SDA4" s="484"/>
      <c r="SDB4" s="484"/>
      <c r="SDC4" s="484"/>
      <c r="SDD4" s="484"/>
      <c r="SDE4" s="484"/>
      <c r="SDF4" s="484"/>
      <c r="SDG4" s="484"/>
      <c r="SDH4" s="484"/>
      <c r="SDI4" s="484"/>
      <c r="SDJ4" s="484"/>
      <c r="SDK4" s="484"/>
      <c r="SDL4" s="484"/>
      <c r="SDM4" s="484"/>
      <c r="SDN4" s="484"/>
      <c r="SDO4" s="484"/>
      <c r="SDP4" s="484"/>
      <c r="SDQ4" s="484"/>
      <c r="SDR4" s="484"/>
      <c r="SDS4" s="484"/>
      <c r="SDT4" s="484"/>
      <c r="SDU4" s="484"/>
      <c r="SDV4" s="484"/>
      <c r="SDW4" s="484"/>
      <c r="SDX4" s="484"/>
      <c r="SDY4" s="484"/>
      <c r="SDZ4" s="484"/>
      <c r="SEA4" s="484"/>
      <c r="SEB4" s="484"/>
      <c r="SEC4" s="484"/>
      <c r="SED4" s="484"/>
      <c r="SEE4" s="484"/>
      <c r="SEF4" s="484"/>
      <c r="SEG4" s="484"/>
      <c r="SEH4" s="484"/>
      <c r="SEI4" s="484"/>
      <c r="SEJ4" s="484"/>
      <c r="SEK4" s="484"/>
      <c r="SEL4" s="484"/>
      <c r="SEM4" s="484"/>
      <c r="SEN4" s="484"/>
      <c r="SEO4" s="484"/>
      <c r="SEP4" s="484"/>
      <c r="SEQ4" s="484"/>
      <c r="SER4" s="484"/>
      <c r="SES4" s="484"/>
      <c r="SET4" s="484"/>
      <c r="SEU4" s="484"/>
      <c r="SEV4" s="484"/>
      <c r="SEW4" s="484"/>
      <c r="SEX4" s="484"/>
      <c r="SEY4" s="484"/>
      <c r="SEZ4" s="484"/>
      <c r="SFA4" s="484"/>
      <c r="SFB4" s="484"/>
      <c r="SFC4" s="484"/>
      <c r="SFD4" s="484"/>
      <c r="SFE4" s="484"/>
      <c r="SFF4" s="484"/>
      <c r="SFG4" s="484"/>
      <c r="SFH4" s="484"/>
      <c r="SFI4" s="484"/>
      <c r="SFJ4" s="484"/>
      <c r="SFK4" s="484"/>
      <c r="SFL4" s="484"/>
      <c r="SFM4" s="484"/>
      <c r="SFN4" s="484"/>
      <c r="SFO4" s="484"/>
      <c r="SFP4" s="484"/>
      <c r="SFQ4" s="484"/>
      <c r="SFR4" s="484"/>
      <c r="SFS4" s="484"/>
      <c r="SFT4" s="484"/>
      <c r="SFU4" s="484"/>
      <c r="SFV4" s="484"/>
      <c r="SFW4" s="484"/>
      <c r="SFX4" s="484"/>
      <c r="SFY4" s="484"/>
      <c r="SFZ4" s="484"/>
      <c r="SGA4" s="484"/>
      <c r="SGB4" s="484"/>
      <c r="SGC4" s="484"/>
      <c r="SGD4" s="484"/>
      <c r="SGE4" s="484"/>
      <c r="SGF4" s="484"/>
      <c r="SGG4" s="484"/>
      <c r="SGH4" s="484"/>
      <c r="SGI4" s="484"/>
      <c r="SGJ4" s="484"/>
      <c r="SGK4" s="484"/>
      <c r="SGL4" s="484"/>
      <c r="SGM4" s="484"/>
      <c r="SGN4" s="484"/>
      <c r="SGO4" s="484"/>
      <c r="SGP4" s="484"/>
      <c r="SGQ4" s="484"/>
      <c r="SGR4" s="484"/>
      <c r="SGS4" s="484"/>
      <c r="SGT4" s="484"/>
      <c r="SGU4" s="484"/>
      <c r="SGV4" s="484"/>
      <c r="SGW4" s="484"/>
      <c r="SGX4" s="484"/>
      <c r="SGY4" s="484"/>
      <c r="SGZ4" s="484"/>
      <c r="SHA4" s="484"/>
      <c r="SHB4" s="484"/>
      <c r="SHC4" s="484"/>
      <c r="SHD4" s="484"/>
      <c r="SHE4" s="484"/>
      <c r="SHF4" s="484"/>
      <c r="SHG4" s="484"/>
      <c r="SHH4" s="484"/>
      <c r="SHI4" s="484"/>
      <c r="SHJ4" s="484"/>
      <c r="SHK4" s="484"/>
      <c r="SHL4" s="484"/>
      <c r="SHM4" s="484"/>
      <c r="SHN4" s="484"/>
      <c r="SHO4" s="484"/>
      <c r="SHP4" s="484"/>
      <c r="SHQ4" s="484"/>
      <c r="SHR4" s="484"/>
      <c r="SHS4" s="484"/>
      <c r="SHT4" s="484"/>
      <c r="SHU4" s="484"/>
      <c r="SHV4" s="484"/>
      <c r="SHW4" s="484"/>
      <c r="SHX4" s="484"/>
      <c r="SHY4" s="484"/>
      <c r="SHZ4" s="484"/>
      <c r="SIA4" s="484"/>
      <c r="SIB4" s="484"/>
      <c r="SIC4" s="484"/>
      <c r="SID4" s="484"/>
      <c r="SIE4" s="484"/>
      <c r="SIF4" s="484"/>
      <c r="SIG4" s="484"/>
      <c r="SIH4" s="484"/>
      <c r="SII4" s="484"/>
      <c r="SIJ4" s="484"/>
      <c r="SIK4" s="484"/>
      <c r="SIL4" s="484"/>
      <c r="SIM4" s="484"/>
      <c r="SIN4" s="484"/>
      <c r="SIO4" s="484"/>
      <c r="SIP4" s="484"/>
      <c r="SIQ4" s="484"/>
      <c r="SIR4" s="484"/>
      <c r="SIS4" s="484"/>
      <c r="SIT4" s="484"/>
      <c r="SIU4" s="484"/>
      <c r="SIV4" s="484"/>
      <c r="SIW4" s="484"/>
      <c r="SIX4" s="484"/>
      <c r="SIY4" s="484"/>
      <c r="SIZ4" s="484"/>
      <c r="SJA4" s="484"/>
      <c r="SJB4" s="484"/>
      <c r="SJC4" s="484"/>
      <c r="SJD4" s="484"/>
      <c r="SJE4" s="484"/>
      <c r="SJF4" s="484"/>
      <c r="SJG4" s="484"/>
      <c r="SJH4" s="484"/>
      <c r="SJI4" s="484"/>
      <c r="SJJ4" s="484"/>
      <c r="SJK4" s="484"/>
      <c r="SJL4" s="484"/>
      <c r="SJM4" s="484"/>
      <c r="SJN4" s="484"/>
      <c r="SJO4" s="484"/>
      <c r="SJP4" s="484"/>
      <c r="SJQ4" s="484"/>
      <c r="SJR4" s="484"/>
      <c r="SJS4" s="484"/>
      <c r="SJT4" s="484"/>
      <c r="SJU4" s="484"/>
      <c r="SJV4" s="484"/>
      <c r="SJW4" s="484"/>
      <c r="SJX4" s="484"/>
      <c r="SJY4" s="484"/>
      <c r="SJZ4" s="484"/>
      <c r="SKA4" s="484"/>
      <c r="SKB4" s="484"/>
      <c r="SKC4" s="484"/>
      <c r="SKD4" s="484"/>
      <c r="SKE4" s="484"/>
      <c r="SKF4" s="484"/>
      <c r="SKG4" s="484"/>
      <c r="SKH4" s="484"/>
      <c r="SKI4" s="484"/>
      <c r="SKJ4" s="484"/>
      <c r="SKK4" s="484"/>
      <c r="SKL4" s="484"/>
      <c r="SKM4" s="484"/>
      <c r="SKN4" s="484"/>
      <c r="SKO4" s="484"/>
      <c r="SKP4" s="484"/>
      <c r="SKQ4" s="484"/>
      <c r="SKR4" s="484"/>
      <c r="SKS4" s="484"/>
      <c r="SKT4" s="484"/>
      <c r="SKU4" s="484"/>
      <c r="SKV4" s="484"/>
      <c r="SKW4" s="484"/>
      <c r="SKX4" s="484"/>
      <c r="SKY4" s="484"/>
      <c r="SKZ4" s="484"/>
      <c r="SLA4" s="484"/>
      <c r="SLB4" s="484"/>
      <c r="SLC4" s="484"/>
      <c r="SLD4" s="484"/>
      <c r="SLE4" s="484"/>
      <c r="SLF4" s="484"/>
      <c r="SLG4" s="484"/>
      <c r="SLH4" s="484"/>
      <c r="SLI4" s="484"/>
      <c r="SLJ4" s="484"/>
      <c r="SLK4" s="484"/>
      <c r="SLL4" s="484"/>
      <c r="SLM4" s="484"/>
      <c r="SLN4" s="484"/>
      <c r="SLO4" s="484"/>
      <c r="SLP4" s="484"/>
      <c r="SLQ4" s="484"/>
      <c r="SLR4" s="484"/>
      <c r="SLS4" s="484"/>
      <c r="SLT4" s="484"/>
      <c r="SLU4" s="484"/>
      <c r="SLV4" s="484"/>
      <c r="SLW4" s="484"/>
      <c r="SLX4" s="484"/>
      <c r="SLY4" s="484"/>
      <c r="SLZ4" s="484"/>
      <c r="SMA4" s="484"/>
      <c r="SMB4" s="484"/>
      <c r="SMC4" s="484"/>
      <c r="SMD4" s="484"/>
      <c r="SME4" s="484"/>
      <c r="SMF4" s="484"/>
      <c r="SMG4" s="484"/>
      <c r="SMH4" s="484"/>
      <c r="SMI4" s="484"/>
      <c r="SMJ4" s="484"/>
      <c r="SMK4" s="484"/>
      <c r="SML4" s="484"/>
      <c r="SMM4" s="484"/>
      <c r="SMN4" s="484"/>
      <c r="SMO4" s="484"/>
      <c r="SMP4" s="484"/>
      <c r="SMQ4" s="484"/>
      <c r="SMR4" s="484"/>
      <c r="SMS4" s="484"/>
      <c r="SMT4" s="484"/>
      <c r="SMU4" s="484"/>
      <c r="SMV4" s="484"/>
      <c r="SMW4" s="484"/>
      <c r="SMX4" s="484"/>
      <c r="SMY4" s="484"/>
      <c r="SMZ4" s="484"/>
      <c r="SNA4" s="484"/>
      <c r="SNB4" s="484"/>
      <c r="SNC4" s="484"/>
      <c r="SND4" s="484"/>
      <c r="SNE4" s="484"/>
      <c r="SNF4" s="484"/>
      <c r="SNG4" s="484"/>
      <c r="SNH4" s="484"/>
      <c r="SNI4" s="484"/>
      <c r="SNJ4" s="484"/>
      <c r="SNK4" s="484"/>
      <c r="SNL4" s="484"/>
      <c r="SNM4" s="484"/>
      <c r="SNN4" s="484"/>
      <c r="SNO4" s="484"/>
      <c r="SNP4" s="484"/>
      <c r="SNQ4" s="484"/>
      <c r="SNR4" s="484"/>
      <c r="SNS4" s="484"/>
      <c r="SNT4" s="484"/>
      <c r="SNU4" s="484"/>
      <c r="SNV4" s="484"/>
      <c r="SNW4" s="484"/>
      <c r="SNX4" s="484"/>
      <c r="SNY4" s="484"/>
      <c r="SNZ4" s="484"/>
      <c r="SOA4" s="484"/>
      <c r="SOB4" s="484"/>
      <c r="SOC4" s="484"/>
      <c r="SOD4" s="484"/>
      <c r="SOE4" s="484"/>
      <c r="SOF4" s="484"/>
      <c r="SOG4" s="484"/>
      <c r="SOH4" s="484"/>
      <c r="SOI4" s="484"/>
      <c r="SOJ4" s="484"/>
      <c r="SOK4" s="484"/>
      <c r="SOL4" s="484"/>
      <c r="SOM4" s="484"/>
      <c r="SON4" s="484"/>
      <c r="SOO4" s="484"/>
      <c r="SOP4" s="484"/>
      <c r="SOQ4" s="484"/>
      <c r="SOR4" s="484"/>
      <c r="SOS4" s="484"/>
      <c r="SOT4" s="484"/>
      <c r="SOU4" s="484"/>
      <c r="SOV4" s="484"/>
      <c r="SOW4" s="484"/>
      <c r="SOX4" s="484"/>
      <c r="SOY4" s="484"/>
      <c r="SOZ4" s="484"/>
      <c r="SPA4" s="484"/>
      <c r="SPB4" s="484"/>
      <c r="SPC4" s="484"/>
      <c r="SPD4" s="484"/>
      <c r="SPE4" s="484"/>
      <c r="SPF4" s="484"/>
      <c r="SPG4" s="484"/>
      <c r="SPH4" s="484"/>
      <c r="SPI4" s="484"/>
      <c r="SPJ4" s="484"/>
      <c r="SPK4" s="484"/>
      <c r="SPL4" s="484"/>
      <c r="SPM4" s="484"/>
      <c r="SPN4" s="484"/>
      <c r="SPO4" s="484"/>
      <c r="SPP4" s="484"/>
      <c r="SPQ4" s="484"/>
      <c r="SPR4" s="484"/>
      <c r="SPS4" s="484"/>
      <c r="SPT4" s="484"/>
      <c r="SPU4" s="484"/>
      <c r="SPV4" s="484"/>
      <c r="SPW4" s="484"/>
      <c r="SPX4" s="484"/>
      <c r="SPY4" s="484"/>
      <c r="SPZ4" s="484"/>
      <c r="SQA4" s="484"/>
      <c r="SQB4" s="484"/>
      <c r="SQC4" s="484"/>
      <c r="SQD4" s="484"/>
      <c r="SQE4" s="484"/>
      <c r="SQF4" s="484"/>
      <c r="SQG4" s="484"/>
      <c r="SQH4" s="484"/>
      <c r="SQI4" s="484"/>
      <c r="SQJ4" s="484"/>
      <c r="SQK4" s="484"/>
      <c r="SQL4" s="484"/>
      <c r="SQM4" s="484"/>
      <c r="SQN4" s="484"/>
      <c r="SQO4" s="484"/>
      <c r="SQP4" s="484"/>
      <c r="SQQ4" s="484"/>
      <c r="SQR4" s="484"/>
      <c r="SQS4" s="484"/>
      <c r="SQT4" s="484"/>
      <c r="SQU4" s="484"/>
      <c r="SQV4" s="484"/>
      <c r="SQW4" s="484"/>
      <c r="SQX4" s="484"/>
      <c r="SQY4" s="484"/>
      <c r="SQZ4" s="484"/>
      <c r="SRA4" s="484"/>
      <c r="SRB4" s="484"/>
      <c r="SRC4" s="484"/>
      <c r="SRD4" s="484"/>
      <c r="SRE4" s="484"/>
      <c r="SRF4" s="484"/>
      <c r="SRG4" s="484"/>
      <c r="SRH4" s="484"/>
      <c r="SRI4" s="484"/>
      <c r="SRJ4" s="484"/>
      <c r="SRK4" s="484"/>
      <c r="SRL4" s="484"/>
      <c r="SRM4" s="484"/>
      <c r="SRN4" s="484"/>
      <c r="SRO4" s="484"/>
      <c r="SRP4" s="484"/>
      <c r="SRQ4" s="484"/>
      <c r="SRR4" s="484"/>
      <c r="SRS4" s="484"/>
      <c r="SRT4" s="484"/>
      <c r="SRU4" s="484"/>
      <c r="SRV4" s="484"/>
      <c r="SRW4" s="484"/>
      <c r="SRX4" s="484"/>
      <c r="SRY4" s="484"/>
      <c r="SRZ4" s="484"/>
      <c r="SSA4" s="484"/>
      <c r="SSB4" s="484"/>
      <c r="SSC4" s="484"/>
      <c r="SSD4" s="484"/>
      <c r="SSE4" s="484"/>
      <c r="SSF4" s="484"/>
      <c r="SSG4" s="484"/>
      <c r="SSH4" s="484"/>
      <c r="SSI4" s="484"/>
      <c r="SSJ4" s="484"/>
      <c r="SSK4" s="484"/>
      <c r="SSL4" s="484"/>
      <c r="SSM4" s="484"/>
      <c r="SSN4" s="484"/>
      <c r="SSO4" s="484"/>
      <c r="SSP4" s="484"/>
      <c r="SSQ4" s="484"/>
      <c r="SSR4" s="484"/>
      <c r="SSS4" s="484"/>
      <c r="SST4" s="484"/>
      <c r="SSU4" s="484"/>
      <c r="SSV4" s="484"/>
      <c r="SSW4" s="484"/>
      <c r="SSX4" s="484"/>
      <c r="SSY4" s="484"/>
      <c r="SSZ4" s="484"/>
      <c r="STA4" s="484"/>
      <c r="STB4" s="484"/>
      <c r="STC4" s="484"/>
      <c r="STD4" s="484"/>
      <c r="STE4" s="484"/>
      <c r="STF4" s="484"/>
      <c r="STG4" s="484"/>
      <c r="STH4" s="484"/>
      <c r="STI4" s="484"/>
      <c r="STJ4" s="484"/>
      <c r="STK4" s="484"/>
      <c r="STL4" s="484"/>
      <c r="STM4" s="484"/>
      <c r="STN4" s="484"/>
      <c r="STO4" s="484"/>
      <c r="STP4" s="484"/>
      <c r="STQ4" s="484"/>
      <c r="STR4" s="484"/>
      <c r="STS4" s="484"/>
      <c r="STT4" s="484"/>
      <c r="STU4" s="484"/>
      <c r="STV4" s="484"/>
      <c r="STW4" s="484"/>
      <c r="STX4" s="484"/>
      <c r="STY4" s="484"/>
      <c r="STZ4" s="484"/>
      <c r="SUA4" s="484"/>
      <c r="SUB4" s="484"/>
      <c r="SUC4" s="484"/>
      <c r="SUD4" s="484"/>
      <c r="SUE4" s="484"/>
      <c r="SUF4" s="484"/>
      <c r="SUG4" s="484"/>
      <c r="SUH4" s="484"/>
      <c r="SUI4" s="484"/>
      <c r="SUJ4" s="484"/>
      <c r="SUK4" s="484"/>
      <c r="SUL4" s="484"/>
      <c r="SUM4" s="484"/>
      <c r="SUN4" s="484"/>
      <c r="SUO4" s="484"/>
      <c r="SUP4" s="484"/>
      <c r="SUQ4" s="484"/>
      <c r="SUR4" s="484"/>
      <c r="SUS4" s="484"/>
      <c r="SUT4" s="484"/>
      <c r="SUU4" s="484"/>
      <c r="SUV4" s="484"/>
      <c r="SUW4" s="484"/>
      <c r="SUX4" s="484"/>
      <c r="SUY4" s="484"/>
      <c r="SUZ4" s="484"/>
      <c r="SVA4" s="484"/>
      <c r="SVB4" s="484"/>
      <c r="SVC4" s="484"/>
      <c r="SVD4" s="484"/>
      <c r="SVE4" s="484"/>
      <c r="SVF4" s="484"/>
      <c r="SVG4" s="484"/>
      <c r="SVH4" s="484"/>
      <c r="SVI4" s="484"/>
      <c r="SVJ4" s="484"/>
      <c r="SVK4" s="484"/>
      <c r="SVL4" s="484"/>
      <c r="SVM4" s="484"/>
      <c r="SVN4" s="484"/>
      <c r="SVO4" s="484"/>
      <c r="SVP4" s="484"/>
      <c r="SVQ4" s="484"/>
      <c r="SVR4" s="484"/>
      <c r="SVS4" s="484"/>
      <c r="SVT4" s="484"/>
      <c r="SVU4" s="484"/>
      <c r="SVV4" s="484"/>
      <c r="SVW4" s="484"/>
      <c r="SVX4" s="484"/>
      <c r="SVY4" s="484"/>
      <c r="SVZ4" s="484"/>
      <c r="SWA4" s="484"/>
      <c r="SWB4" s="484"/>
      <c r="SWC4" s="484"/>
      <c r="SWD4" s="484"/>
      <c r="SWE4" s="484"/>
      <c r="SWF4" s="484"/>
      <c r="SWG4" s="484"/>
      <c r="SWH4" s="484"/>
      <c r="SWI4" s="484"/>
      <c r="SWJ4" s="484"/>
      <c r="SWK4" s="484"/>
      <c r="SWL4" s="484"/>
      <c r="SWM4" s="484"/>
      <c r="SWN4" s="484"/>
      <c r="SWO4" s="484"/>
      <c r="SWP4" s="484"/>
      <c r="SWQ4" s="484"/>
      <c r="SWR4" s="484"/>
      <c r="SWS4" s="484"/>
      <c r="SWT4" s="484"/>
      <c r="SWU4" s="484"/>
      <c r="SWV4" s="484"/>
      <c r="SWW4" s="484"/>
      <c r="SWX4" s="484"/>
      <c r="SWY4" s="484"/>
      <c r="SWZ4" s="484"/>
      <c r="SXA4" s="484"/>
      <c r="SXB4" s="484"/>
      <c r="SXC4" s="484"/>
      <c r="SXD4" s="484"/>
      <c r="SXE4" s="484"/>
      <c r="SXF4" s="484"/>
      <c r="SXG4" s="484"/>
      <c r="SXH4" s="484"/>
      <c r="SXI4" s="484"/>
      <c r="SXJ4" s="484"/>
      <c r="SXK4" s="484"/>
      <c r="SXL4" s="484"/>
      <c r="SXM4" s="484"/>
      <c r="SXN4" s="484"/>
      <c r="SXO4" s="484"/>
      <c r="SXP4" s="484"/>
      <c r="SXQ4" s="484"/>
      <c r="SXR4" s="484"/>
      <c r="SXS4" s="484"/>
      <c r="SXT4" s="484"/>
      <c r="SXU4" s="484"/>
      <c r="SXV4" s="484"/>
      <c r="SXW4" s="484"/>
      <c r="SXX4" s="484"/>
      <c r="SXY4" s="484"/>
      <c r="SXZ4" s="484"/>
      <c r="SYA4" s="484"/>
      <c r="SYB4" s="484"/>
      <c r="SYC4" s="484"/>
      <c r="SYD4" s="484"/>
      <c r="SYE4" s="484"/>
      <c r="SYF4" s="484"/>
      <c r="SYG4" s="484"/>
      <c r="SYH4" s="484"/>
      <c r="SYI4" s="484"/>
      <c r="SYJ4" s="484"/>
      <c r="SYK4" s="484"/>
      <c r="SYL4" s="484"/>
      <c r="SYM4" s="484"/>
      <c r="SYN4" s="484"/>
      <c r="SYO4" s="484"/>
      <c r="SYP4" s="484"/>
      <c r="SYQ4" s="484"/>
      <c r="SYR4" s="484"/>
      <c r="SYS4" s="484"/>
      <c r="SYT4" s="484"/>
      <c r="SYU4" s="484"/>
      <c r="SYV4" s="484"/>
      <c r="SYW4" s="484"/>
      <c r="SYX4" s="484"/>
      <c r="SYY4" s="484"/>
      <c r="SYZ4" s="484"/>
      <c r="SZA4" s="484"/>
      <c r="SZB4" s="484"/>
      <c r="SZC4" s="484"/>
      <c r="SZD4" s="484"/>
      <c r="SZE4" s="484"/>
      <c r="SZF4" s="484"/>
      <c r="SZG4" s="484"/>
      <c r="SZH4" s="484"/>
      <c r="SZI4" s="484"/>
      <c r="SZJ4" s="484"/>
      <c r="SZK4" s="484"/>
      <c r="SZL4" s="484"/>
      <c r="SZM4" s="484"/>
      <c r="SZN4" s="484"/>
      <c r="SZO4" s="484"/>
      <c r="SZP4" s="484"/>
      <c r="SZQ4" s="484"/>
      <c r="SZR4" s="484"/>
      <c r="SZS4" s="484"/>
      <c r="SZT4" s="484"/>
      <c r="SZU4" s="484"/>
      <c r="SZV4" s="484"/>
      <c r="SZW4" s="484"/>
      <c r="SZX4" s="484"/>
      <c r="SZY4" s="484"/>
      <c r="SZZ4" s="484"/>
      <c r="TAA4" s="484"/>
      <c r="TAB4" s="484"/>
      <c r="TAC4" s="484"/>
      <c r="TAD4" s="484"/>
      <c r="TAE4" s="484"/>
      <c r="TAF4" s="484"/>
      <c r="TAG4" s="484"/>
      <c r="TAH4" s="484"/>
      <c r="TAI4" s="484"/>
      <c r="TAJ4" s="484"/>
      <c r="TAK4" s="484"/>
      <c r="TAL4" s="484"/>
      <c r="TAM4" s="484"/>
      <c r="TAN4" s="484"/>
      <c r="TAO4" s="484"/>
      <c r="TAP4" s="484"/>
      <c r="TAQ4" s="484"/>
      <c r="TAR4" s="484"/>
      <c r="TAS4" s="484"/>
      <c r="TAT4" s="484"/>
      <c r="TAU4" s="484"/>
      <c r="TAV4" s="484"/>
      <c r="TAW4" s="484"/>
      <c r="TAX4" s="484"/>
      <c r="TAY4" s="484"/>
      <c r="TAZ4" s="484"/>
      <c r="TBA4" s="484"/>
      <c r="TBB4" s="484"/>
      <c r="TBC4" s="484"/>
      <c r="TBD4" s="484"/>
      <c r="TBE4" s="484"/>
      <c r="TBF4" s="484"/>
      <c r="TBG4" s="484"/>
      <c r="TBH4" s="484"/>
      <c r="TBI4" s="484"/>
      <c r="TBJ4" s="484"/>
      <c r="TBK4" s="484"/>
      <c r="TBL4" s="484"/>
      <c r="TBM4" s="484"/>
      <c r="TBN4" s="484"/>
      <c r="TBO4" s="484"/>
      <c r="TBP4" s="484"/>
      <c r="TBQ4" s="484"/>
      <c r="TBR4" s="484"/>
      <c r="TBS4" s="484"/>
      <c r="TBT4" s="484"/>
      <c r="TBU4" s="484"/>
      <c r="TBV4" s="484"/>
      <c r="TBW4" s="484"/>
      <c r="TBX4" s="484"/>
      <c r="TBY4" s="484"/>
      <c r="TBZ4" s="484"/>
      <c r="TCA4" s="484"/>
      <c r="TCB4" s="484"/>
      <c r="TCC4" s="484"/>
      <c r="TCD4" s="484"/>
      <c r="TCE4" s="484"/>
      <c r="TCF4" s="484"/>
      <c r="TCG4" s="484"/>
      <c r="TCH4" s="484"/>
      <c r="TCI4" s="484"/>
      <c r="TCJ4" s="484"/>
      <c r="TCK4" s="484"/>
      <c r="TCL4" s="484"/>
      <c r="TCM4" s="484"/>
      <c r="TCN4" s="484"/>
      <c r="TCO4" s="484"/>
      <c r="TCP4" s="484"/>
      <c r="TCQ4" s="484"/>
      <c r="TCR4" s="484"/>
      <c r="TCS4" s="484"/>
      <c r="TCT4" s="484"/>
      <c r="TCU4" s="484"/>
      <c r="TCV4" s="484"/>
      <c r="TCW4" s="484"/>
      <c r="TCX4" s="484"/>
      <c r="TCY4" s="484"/>
      <c r="TCZ4" s="484"/>
      <c r="TDA4" s="484"/>
      <c r="TDB4" s="484"/>
      <c r="TDC4" s="484"/>
      <c r="TDD4" s="484"/>
      <c r="TDE4" s="484"/>
      <c r="TDF4" s="484"/>
      <c r="TDG4" s="484"/>
      <c r="TDH4" s="484"/>
      <c r="TDI4" s="484"/>
      <c r="TDJ4" s="484"/>
      <c r="TDK4" s="484"/>
      <c r="TDL4" s="484"/>
      <c r="TDM4" s="484"/>
      <c r="TDN4" s="484"/>
      <c r="TDO4" s="484"/>
      <c r="TDP4" s="484"/>
      <c r="TDQ4" s="484"/>
      <c r="TDR4" s="484"/>
      <c r="TDS4" s="484"/>
      <c r="TDT4" s="484"/>
      <c r="TDU4" s="484"/>
      <c r="TDV4" s="484"/>
      <c r="TDW4" s="484"/>
      <c r="TDX4" s="484"/>
      <c r="TDY4" s="484"/>
      <c r="TDZ4" s="484"/>
      <c r="TEA4" s="484"/>
      <c r="TEB4" s="484"/>
      <c r="TEC4" s="484"/>
      <c r="TED4" s="484"/>
      <c r="TEE4" s="484"/>
      <c r="TEF4" s="484"/>
      <c r="TEG4" s="484"/>
      <c r="TEH4" s="484"/>
      <c r="TEI4" s="484"/>
      <c r="TEJ4" s="484"/>
      <c r="TEK4" s="484"/>
      <c r="TEL4" s="484"/>
      <c r="TEM4" s="484"/>
      <c r="TEN4" s="484"/>
      <c r="TEO4" s="484"/>
      <c r="TEP4" s="484"/>
      <c r="TEQ4" s="484"/>
      <c r="TER4" s="484"/>
      <c r="TES4" s="484"/>
      <c r="TET4" s="484"/>
      <c r="TEU4" s="484"/>
      <c r="TEV4" s="484"/>
      <c r="TEW4" s="484"/>
      <c r="TEX4" s="484"/>
      <c r="TEY4" s="484"/>
      <c r="TEZ4" s="484"/>
      <c r="TFA4" s="484"/>
      <c r="TFB4" s="484"/>
      <c r="TFC4" s="484"/>
      <c r="TFD4" s="484"/>
      <c r="TFE4" s="484"/>
      <c r="TFF4" s="484"/>
      <c r="TFG4" s="484"/>
      <c r="TFH4" s="484"/>
      <c r="TFI4" s="484"/>
      <c r="TFJ4" s="484"/>
      <c r="TFK4" s="484"/>
      <c r="TFL4" s="484"/>
      <c r="TFM4" s="484"/>
      <c r="TFN4" s="484"/>
      <c r="TFO4" s="484"/>
      <c r="TFP4" s="484"/>
      <c r="TFQ4" s="484"/>
      <c r="TFR4" s="484"/>
      <c r="TFS4" s="484"/>
      <c r="TFT4" s="484"/>
      <c r="TFU4" s="484"/>
      <c r="TFV4" s="484"/>
      <c r="TFW4" s="484"/>
      <c r="TFX4" s="484"/>
      <c r="TFY4" s="484"/>
      <c r="TFZ4" s="484"/>
      <c r="TGA4" s="484"/>
      <c r="TGB4" s="484"/>
      <c r="TGC4" s="484"/>
      <c r="TGD4" s="484"/>
      <c r="TGE4" s="484"/>
      <c r="TGF4" s="484"/>
      <c r="TGG4" s="484"/>
      <c r="TGH4" s="484"/>
      <c r="TGI4" s="484"/>
      <c r="TGJ4" s="484"/>
      <c r="TGK4" s="484"/>
      <c r="TGL4" s="484"/>
      <c r="TGM4" s="484"/>
      <c r="TGN4" s="484"/>
      <c r="TGO4" s="484"/>
      <c r="TGP4" s="484"/>
      <c r="TGQ4" s="484"/>
      <c r="TGR4" s="484"/>
      <c r="TGS4" s="484"/>
      <c r="TGT4" s="484"/>
      <c r="TGU4" s="484"/>
      <c r="TGV4" s="484"/>
      <c r="TGW4" s="484"/>
      <c r="TGX4" s="484"/>
      <c r="TGY4" s="484"/>
      <c r="TGZ4" s="484"/>
      <c r="THA4" s="484"/>
      <c r="THB4" s="484"/>
      <c r="THC4" s="484"/>
      <c r="THD4" s="484"/>
      <c r="THE4" s="484"/>
      <c r="THF4" s="484"/>
      <c r="THG4" s="484"/>
      <c r="THH4" s="484"/>
      <c r="THI4" s="484"/>
      <c r="THJ4" s="484"/>
      <c r="THK4" s="484"/>
      <c r="THL4" s="484"/>
      <c r="THM4" s="484"/>
      <c r="THN4" s="484"/>
      <c r="THO4" s="484"/>
      <c r="THP4" s="484"/>
      <c r="THQ4" s="484"/>
      <c r="THR4" s="484"/>
      <c r="THS4" s="484"/>
      <c r="THT4" s="484"/>
      <c r="THU4" s="484"/>
      <c r="THV4" s="484"/>
      <c r="THW4" s="484"/>
      <c r="THX4" s="484"/>
      <c r="THY4" s="484"/>
      <c r="THZ4" s="484"/>
      <c r="TIA4" s="484"/>
      <c r="TIB4" s="484"/>
      <c r="TIC4" s="484"/>
      <c r="TID4" s="484"/>
      <c r="TIE4" s="484"/>
      <c r="TIF4" s="484"/>
      <c r="TIG4" s="484"/>
      <c r="TIH4" s="484"/>
      <c r="TII4" s="484"/>
      <c r="TIJ4" s="484"/>
      <c r="TIK4" s="484"/>
      <c r="TIL4" s="484"/>
      <c r="TIM4" s="484"/>
      <c r="TIN4" s="484"/>
      <c r="TIO4" s="484"/>
      <c r="TIP4" s="484"/>
      <c r="TIQ4" s="484"/>
      <c r="TIR4" s="484"/>
      <c r="TIS4" s="484"/>
      <c r="TIT4" s="484"/>
      <c r="TIU4" s="484"/>
      <c r="TIV4" s="484"/>
      <c r="TIW4" s="484"/>
      <c r="TIX4" s="484"/>
      <c r="TIY4" s="484"/>
      <c r="TIZ4" s="484"/>
      <c r="TJA4" s="484"/>
      <c r="TJB4" s="484"/>
      <c r="TJC4" s="484"/>
      <c r="TJD4" s="484"/>
      <c r="TJE4" s="484"/>
      <c r="TJF4" s="484"/>
      <c r="TJG4" s="484"/>
      <c r="TJH4" s="484"/>
      <c r="TJI4" s="484"/>
      <c r="TJJ4" s="484"/>
      <c r="TJK4" s="484"/>
      <c r="TJL4" s="484"/>
      <c r="TJM4" s="484"/>
      <c r="TJN4" s="484"/>
      <c r="TJO4" s="484"/>
      <c r="TJP4" s="484"/>
      <c r="TJQ4" s="484"/>
      <c r="TJR4" s="484"/>
      <c r="TJS4" s="484"/>
      <c r="TJT4" s="484"/>
      <c r="TJU4" s="484"/>
      <c r="TJV4" s="484"/>
      <c r="TJW4" s="484"/>
      <c r="TJX4" s="484"/>
      <c r="TJY4" s="484"/>
      <c r="TJZ4" s="484"/>
      <c r="TKA4" s="484"/>
      <c r="TKB4" s="484"/>
      <c r="TKC4" s="484"/>
      <c r="TKD4" s="484"/>
      <c r="TKE4" s="484"/>
      <c r="TKF4" s="484"/>
      <c r="TKG4" s="484"/>
      <c r="TKH4" s="484"/>
      <c r="TKI4" s="484"/>
      <c r="TKJ4" s="484"/>
      <c r="TKK4" s="484"/>
      <c r="TKL4" s="484"/>
      <c r="TKM4" s="484"/>
      <c r="TKN4" s="484"/>
      <c r="TKO4" s="484"/>
      <c r="TKP4" s="484"/>
      <c r="TKQ4" s="484"/>
      <c r="TKR4" s="484"/>
      <c r="TKS4" s="484"/>
      <c r="TKT4" s="484"/>
      <c r="TKU4" s="484"/>
      <c r="TKV4" s="484"/>
      <c r="TKW4" s="484"/>
      <c r="TKX4" s="484"/>
      <c r="TKY4" s="484"/>
      <c r="TKZ4" s="484"/>
      <c r="TLA4" s="484"/>
      <c r="TLB4" s="484"/>
      <c r="TLC4" s="484"/>
      <c r="TLD4" s="484"/>
      <c r="TLE4" s="484"/>
      <c r="TLF4" s="484"/>
      <c r="TLG4" s="484"/>
      <c r="TLH4" s="484"/>
      <c r="TLI4" s="484"/>
      <c r="TLJ4" s="484"/>
      <c r="TLK4" s="484"/>
      <c r="TLL4" s="484"/>
      <c r="TLM4" s="484"/>
      <c r="TLN4" s="484"/>
      <c r="TLO4" s="484"/>
      <c r="TLP4" s="484"/>
      <c r="TLQ4" s="484"/>
      <c r="TLR4" s="484"/>
      <c r="TLS4" s="484"/>
      <c r="TLT4" s="484"/>
      <c r="TLU4" s="484"/>
      <c r="TLV4" s="484"/>
      <c r="TLW4" s="484"/>
      <c r="TLX4" s="484"/>
      <c r="TLY4" s="484"/>
      <c r="TLZ4" s="484"/>
      <c r="TMA4" s="484"/>
      <c r="TMB4" s="484"/>
      <c r="TMC4" s="484"/>
      <c r="TMD4" s="484"/>
      <c r="TME4" s="484"/>
      <c r="TMF4" s="484"/>
      <c r="TMG4" s="484"/>
      <c r="TMH4" s="484"/>
      <c r="TMI4" s="484"/>
      <c r="TMJ4" s="484"/>
      <c r="TMK4" s="484"/>
      <c r="TML4" s="484"/>
      <c r="TMM4" s="484"/>
      <c r="TMN4" s="484"/>
      <c r="TMO4" s="484"/>
      <c r="TMP4" s="484"/>
      <c r="TMQ4" s="484"/>
      <c r="TMR4" s="484"/>
      <c r="TMS4" s="484"/>
      <c r="TMT4" s="484"/>
      <c r="TMU4" s="484"/>
      <c r="TMV4" s="484"/>
      <c r="TMW4" s="484"/>
      <c r="TMX4" s="484"/>
      <c r="TMY4" s="484"/>
      <c r="TMZ4" s="484"/>
      <c r="TNA4" s="484"/>
      <c r="TNB4" s="484"/>
      <c r="TNC4" s="484"/>
      <c r="TND4" s="484"/>
      <c r="TNE4" s="484"/>
      <c r="TNF4" s="484"/>
      <c r="TNG4" s="484"/>
      <c r="TNH4" s="484"/>
      <c r="TNI4" s="484"/>
      <c r="TNJ4" s="484"/>
      <c r="TNK4" s="484"/>
      <c r="TNL4" s="484"/>
      <c r="TNM4" s="484"/>
      <c r="TNN4" s="484"/>
      <c r="TNO4" s="484"/>
      <c r="TNP4" s="484"/>
      <c r="TNQ4" s="484"/>
      <c r="TNR4" s="484"/>
      <c r="TNS4" s="484"/>
      <c r="TNT4" s="484"/>
      <c r="TNU4" s="484"/>
      <c r="TNV4" s="484"/>
      <c r="TNW4" s="484"/>
      <c r="TNX4" s="484"/>
      <c r="TNY4" s="484"/>
      <c r="TNZ4" s="484"/>
      <c r="TOA4" s="484"/>
      <c r="TOB4" s="484"/>
      <c r="TOC4" s="484"/>
      <c r="TOD4" s="484"/>
      <c r="TOE4" s="484"/>
      <c r="TOF4" s="484"/>
      <c r="TOG4" s="484"/>
      <c r="TOH4" s="484"/>
      <c r="TOI4" s="484"/>
      <c r="TOJ4" s="484"/>
      <c r="TOK4" s="484"/>
      <c r="TOL4" s="484"/>
      <c r="TOM4" s="484"/>
      <c r="TON4" s="484"/>
      <c r="TOO4" s="484"/>
      <c r="TOP4" s="484"/>
      <c r="TOQ4" s="484"/>
      <c r="TOR4" s="484"/>
      <c r="TOS4" s="484"/>
      <c r="TOT4" s="484"/>
      <c r="TOU4" s="484"/>
      <c r="TOV4" s="484"/>
      <c r="TOW4" s="484"/>
      <c r="TOX4" s="484"/>
      <c r="TOY4" s="484"/>
      <c r="TOZ4" s="484"/>
      <c r="TPA4" s="484"/>
      <c r="TPB4" s="484"/>
      <c r="TPC4" s="484"/>
      <c r="TPD4" s="484"/>
      <c r="TPE4" s="484"/>
      <c r="TPF4" s="484"/>
      <c r="TPG4" s="484"/>
      <c r="TPH4" s="484"/>
      <c r="TPI4" s="484"/>
      <c r="TPJ4" s="484"/>
      <c r="TPK4" s="484"/>
      <c r="TPL4" s="484"/>
      <c r="TPM4" s="484"/>
      <c r="TPN4" s="484"/>
      <c r="TPO4" s="484"/>
      <c r="TPP4" s="484"/>
      <c r="TPQ4" s="484"/>
      <c r="TPR4" s="484"/>
      <c r="TPS4" s="484"/>
      <c r="TPT4" s="484"/>
      <c r="TPU4" s="484"/>
      <c r="TPV4" s="484"/>
      <c r="TPW4" s="484"/>
      <c r="TPX4" s="484"/>
      <c r="TPY4" s="484"/>
      <c r="TPZ4" s="484"/>
      <c r="TQA4" s="484"/>
      <c r="TQB4" s="484"/>
      <c r="TQC4" s="484"/>
      <c r="TQD4" s="484"/>
      <c r="TQE4" s="484"/>
      <c r="TQF4" s="484"/>
      <c r="TQG4" s="484"/>
      <c r="TQH4" s="484"/>
      <c r="TQI4" s="484"/>
      <c r="TQJ4" s="484"/>
      <c r="TQK4" s="484"/>
      <c r="TQL4" s="484"/>
      <c r="TQM4" s="484"/>
      <c r="TQN4" s="484"/>
      <c r="TQO4" s="484"/>
      <c r="TQP4" s="484"/>
      <c r="TQQ4" s="484"/>
      <c r="TQR4" s="484"/>
      <c r="TQS4" s="484"/>
      <c r="TQT4" s="484"/>
      <c r="TQU4" s="484"/>
      <c r="TQV4" s="484"/>
      <c r="TQW4" s="484"/>
      <c r="TQX4" s="484"/>
      <c r="TQY4" s="484"/>
      <c r="TQZ4" s="484"/>
      <c r="TRA4" s="484"/>
      <c r="TRB4" s="484"/>
      <c r="TRC4" s="484"/>
      <c r="TRD4" s="484"/>
      <c r="TRE4" s="484"/>
      <c r="TRF4" s="484"/>
      <c r="TRG4" s="484"/>
      <c r="TRH4" s="484"/>
      <c r="TRI4" s="484"/>
      <c r="TRJ4" s="484"/>
      <c r="TRK4" s="484"/>
      <c r="TRL4" s="484"/>
      <c r="TRM4" s="484"/>
      <c r="TRN4" s="484"/>
      <c r="TRO4" s="484"/>
      <c r="TRP4" s="484"/>
      <c r="TRQ4" s="484"/>
      <c r="TRR4" s="484"/>
      <c r="TRS4" s="484"/>
      <c r="TRT4" s="484"/>
      <c r="TRU4" s="484"/>
      <c r="TRV4" s="484"/>
      <c r="TRW4" s="484"/>
      <c r="TRX4" s="484"/>
      <c r="TRY4" s="484"/>
      <c r="TRZ4" s="484"/>
      <c r="TSA4" s="484"/>
      <c r="TSB4" s="484"/>
      <c r="TSC4" s="484"/>
      <c r="TSD4" s="484"/>
      <c r="TSE4" s="484"/>
      <c r="TSF4" s="484"/>
      <c r="TSG4" s="484"/>
      <c r="TSH4" s="484"/>
      <c r="TSI4" s="484"/>
      <c r="TSJ4" s="484"/>
      <c r="TSK4" s="484"/>
      <c r="TSL4" s="484"/>
      <c r="TSM4" s="484"/>
      <c r="TSN4" s="484"/>
      <c r="TSO4" s="484"/>
      <c r="TSP4" s="484"/>
      <c r="TSQ4" s="484"/>
      <c r="TSR4" s="484"/>
      <c r="TSS4" s="484"/>
      <c r="TST4" s="484"/>
      <c r="TSU4" s="484"/>
      <c r="TSV4" s="484"/>
      <c r="TSW4" s="484"/>
      <c r="TSX4" s="484"/>
      <c r="TSY4" s="484"/>
      <c r="TSZ4" s="484"/>
      <c r="TTA4" s="484"/>
      <c r="TTB4" s="484"/>
      <c r="TTC4" s="484"/>
      <c r="TTD4" s="484"/>
      <c r="TTE4" s="484"/>
      <c r="TTF4" s="484"/>
      <c r="TTG4" s="484"/>
      <c r="TTH4" s="484"/>
      <c r="TTI4" s="484"/>
      <c r="TTJ4" s="484"/>
      <c r="TTK4" s="484"/>
      <c r="TTL4" s="484"/>
      <c r="TTM4" s="484"/>
      <c r="TTN4" s="484"/>
      <c r="TTO4" s="484"/>
      <c r="TTP4" s="484"/>
      <c r="TTQ4" s="484"/>
      <c r="TTR4" s="484"/>
      <c r="TTS4" s="484"/>
      <c r="TTT4" s="484"/>
      <c r="TTU4" s="484"/>
      <c r="TTV4" s="484"/>
      <c r="TTW4" s="484"/>
      <c r="TTX4" s="484"/>
      <c r="TTY4" s="484"/>
      <c r="TTZ4" s="484"/>
      <c r="TUA4" s="484"/>
      <c r="TUB4" s="484"/>
      <c r="TUC4" s="484"/>
      <c r="TUD4" s="484"/>
      <c r="TUE4" s="484"/>
      <c r="TUF4" s="484"/>
      <c r="TUG4" s="484"/>
      <c r="TUH4" s="484"/>
      <c r="TUI4" s="484"/>
      <c r="TUJ4" s="484"/>
      <c r="TUK4" s="484"/>
      <c r="TUL4" s="484"/>
      <c r="TUM4" s="484"/>
      <c r="TUN4" s="484"/>
      <c r="TUO4" s="484"/>
      <c r="TUP4" s="484"/>
      <c r="TUQ4" s="484"/>
      <c r="TUR4" s="484"/>
      <c r="TUS4" s="484"/>
      <c r="TUT4" s="484"/>
      <c r="TUU4" s="484"/>
      <c r="TUV4" s="484"/>
      <c r="TUW4" s="484"/>
      <c r="TUX4" s="484"/>
      <c r="TUY4" s="484"/>
      <c r="TUZ4" s="484"/>
      <c r="TVA4" s="484"/>
      <c r="TVB4" s="484"/>
      <c r="TVC4" s="484"/>
      <c r="TVD4" s="484"/>
      <c r="TVE4" s="484"/>
      <c r="TVF4" s="484"/>
      <c r="TVG4" s="484"/>
      <c r="TVH4" s="484"/>
      <c r="TVI4" s="484"/>
      <c r="TVJ4" s="484"/>
      <c r="TVK4" s="484"/>
      <c r="TVL4" s="484"/>
      <c r="TVM4" s="484"/>
      <c r="TVN4" s="484"/>
      <c r="TVO4" s="484"/>
      <c r="TVP4" s="484"/>
      <c r="TVQ4" s="484"/>
      <c r="TVR4" s="484"/>
      <c r="TVS4" s="484"/>
      <c r="TVT4" s="484"/>
      <c r="TVU4" s="484"/>
      <c r="TVV4" s="484"/>
      <c r="TVW4" s="484"/>
      <c r="TVX4" s="484"/>
      <c r="TVY4" s="484"/>
      <c r="TVZ4" s="484"/>
      <c r="TWA4" s="484"/>
      <c r="TWB4" s="484"/>
      <c r="TWC4" s="484"/>
      <c r="TWD4" s="484"/>
      <c r="TWE4" s="484"/>
      <c r="TWF4" s="484"/>
      <c r="TWG4" s="484"/>
      <c r="TWH4" s="484"/>
      <c r="TWI4" s="484"/>
      <c r="TWJ4" s="484"/>
      <c r="TWK4" s="484"/>
      <c r="TWL4" s="484"/>
      <c r="TWM4" s="484"/>
      <c r="TWN4" s="484"/>
      <c r="TWO4" s="484"/>
      <c r="TWP4" s="484"/>
      <c r="TWQ4" s="484"/>
      <c r="TWR4" s="484"/>
      <c r="TWS4" s="484"/>
      <c r="TWT4" s="484"/>
      <c r="TWU4" s="484"/>
      <c r="TWV4" s="484"/>
      <c r="TWW4" s="484"/>
      <c r="TWX4" s="484"/>
      <c r="TWY4" s="484"/>
      <c r="TWZ4" s="484"/>
      <c r="TXA4" s="484"/>
      <c r="TXB4" s="484"/>
      <c r="TXC4" s="484"/>
      <c r="TXD4" s="484"/>
      <c r="TXE4" s="484"/>
      <c r="TXF4" s="484"/>
      <c r="TXG4" s="484"/>
      <c r="TXH4" s="484"/>
      <c r="TXI4" s="484"/>
      <c r="TXJ4" s="484"/>
      <c r="TXK4" s="484"/>
      <c r="TXL4" s="484"/>
      <c r="TXM4" s="484"/>
      <c r="TXN4" s="484"/>
      <c r="TXO4" s="484"/>
      <c r="TXP4" s="484"/>
      <c r="TXQ4" s="484"/>
      <c r="TXR4" s="484"/>
      <c r="TXS4" s="484"/>
      <c r="TXT4" s="484"/>
      <c r="TXU4" s="484"/>
      <c r="TXV4" s="484"/>
      <c r="TXW4" s="484"/>
      <c r="TXX4" s="484"/>
      <c r="TXY4" s="484"/>
      <c r="TXZ4" s="484"/>
      <c r="TYA4" s="484"/>
      <c r="TYB4" s="484"/>
      <c r="TYC4" s="484"/>
      <c r="TYD4" s="484"/>
      <c r="TYE4" s="484"/>
      <c r="TYF4" s="484"/>
      <c r="TYG4" s="484"/>
      <c r="TYH4" s="484"/>
      <c r="TYI4" s="484"/>
      <c r="TYJ4" s="484"/>
      <c r="TYK4" s="484"/>
      <c r="TYL4" s="484"/>
      <c r="TYM4" s="484"/>
      <c r="TYN4" s="484"/>
      <c r="TYO4" s="484"/>
      <c r="TYP4" s="484"/>
      <c r="TYQ4" s="484"/>
      <c r="TYR4" s="484"/>
      <c r="TYS4" s="484"/>
      <c r="TYT4" s="484"/>
      <c r="TYU4" s="484"/>
      <c r="TYV4" s="484"/>
      <c r="TYW4" s="484"/>
      <c r="TYX4" s="484"/>
      <c r="TYY4" s="484"/>
      <c r="TYZ4" s="484"/>
      <c r="TZA4" s="484"/>
      <c r="TZB4" s="484"/>
      <c r="TZC4" s="484"/>
      <c r="TZD4" s="484"/>
      <c r="TZE4" s="484"/>
      <c r="TZF4" s="484"/>
      <c r="TZG4" s="484"/>
      <c r="TZH4" s="484"/>
      <c r="TZI4" s="484"/>
      <c r="TZJ4" s="484"/>
      <c r="TZK4" s="484"/>
      <c r="TZL4" s="484"/>
      <c r="TZM4" s="484"/>
      <c r="TZN4" s="484"/>
      <c r="TZO4" s="484"/>
      <c r="TZP4" s="484"/>
      <c r="TZQ4" s="484"/>
      <c r="TZR4" s="484"/>
      <c r="TZS4" s="484"/>
      <c r="TZT4" s="484"/>
      <c r="TZU4" s="484"/>
      <c r="TZV4" s="484"/>
      <c r="TZW4" s="484"/>
      <c r="TZX4" s="484"/>
      <c r="TZY4" s="484"/>
      <c r="TZZ4" s="484"/>
      <c r="UAA4" s="484"/>
      <c r="UAB4" s="484"/>
      <c r="UAC4" s="484"/>
      <c r="UAD4" s="484"/>
      <c r="UAE4" s="484"/>
      <c r="UAF4" s="484"/>
      <c r="UAG4" s="484"/>
      <c r="UAH4" s="484"/>
      <c r="UAI4" s="484"/>
      <c r="UAJ4" s="484"/>
      <c r="UAK4" s="484"/>
      <c r="UAL4" s="484"/>
      <c r="UAM4" s="484"/>
      <c r="UAN4" s="484"/>
      <c r="UAO4" s="484"/>
      <c r="UAP4" s="484"/>
      <c r="UAQ4" s="484"/>
      <c r="UAR4" s="484"/>
      <c r="UAS4" s="484"/>
      <c r="UAT4" s="484"/>
      <c r="UAU4" s="484"/>
      <c r="UAV4" s="484"/>
      <c r="UAW4" s="484"/>
      <c r="UAX4" s="484"/>
      <c r="UAY4" s="484"/>
      <c r="UAZ4" s="484"/>
      <c r="UBA4" s="484"/>
      <c r="UBB4" s="484"/>
      <c r="UBC4" s="484"/>
      <c r="UBD4" s="484"/>
      <c r="UBE4" s="484"/>
      <c r="UBF4" s="484"/>
      <c r="UBG4" s="484"/>
      <c r="UBH4" s="484"/>
      <c r="UBI4" s="484"/>
      <c r="UBJ4" s="484"/>
      <c r="UBK4" s="484"/>
      <c r="UBL4" s="484"/>
      <c r="UBM4" s="484"/>
      <c r="UBN4" s="484"/>
      <c r="UBO4" s="484"/>
      <c r="UBP4" s="484"/>
      <c r="UBQ4" s="484"/>
      <c r="UBR4" s="484"/>
      <c r="UBS4" s="484"/>
      <c r="UBT4" s="484"/>
      <c r="UBU4" s="484"/>
      <c r="UBV4" s="484"/>
      <c r="UBW4" s="484"/>
      <c r="UBX4" s="484"/>
      <c r="UBY4" s="484"/>
      <c r="UBZ4" s="484"/>
      <c r="UCA4" s="484"/>
      <c r="UCB4" s="484"/>
      <c r="UCC4" s="484"/>
      <c r="UCD4" s="484"/>
      <c r="UCE4" s="484"/>
      <c r="UCF4" s="484"/>
      <c r="UCG4" s="484"/>
      <c r="UCH4" s="484"/>
      <c r="UCI4" s="484"/>
      <c r="UCJ4" s="484"/>
      <c r="UCK4" s="484"/>
      <c r="UCL4" s="484"/>
      <c r="UCM4" s="484"/>
      <c r="UCN4" s="484"/>
      <c r="UCO4" s="484"/>
      <c r="UCP4" s="484"/>
      <c r="UCQ4" s="484"/>
      <c r="UCR4" s="484"/>
      <c r="UCS4" s="484"/>
      <c r="UCT4" s="484"/>
      <c r="UCU4" s="484"/>
      <c r="UCV4" s="484"/>
      <c r="UCW4" s="484"/>
      <c r="UCX4" s="484"/>
      <c r="UCY4" s="484"/>
      <c r="UCZ4" s="484"/>
      <c r="UDA4" s="484"/>
      <c r="UDB4" s="484"/>
      <c r="UDC4" s="484"/>
      <c r="UDD4" s="484"/>
      <c r="UDE4" s="484"/>
      <c r="UDF4" s="484"/>
      <c r="UDG4" s="484"/>
      <c r="UDH4" s="484"/>
      <c r="UDI4" s="484"/>
      <c r="UDJ4" s="484"/>
      <c r="UDK4" s="484"/>
      <c r="UDL4" s="484"/>
      <c r="UDM4" s="484"/>
      <c r="UDN4" s="484"/>
      <c r="UDO4" s="484"/>
      <c r="UDP4" s="484"/>
      <c r="UDQ4" s="484"/>
      <c r="UDR4" s="484"/>
      <c r="UDS4" s="484"/>
      <c r="UDT4" s="484"/>
      <c r="UDU4" s="484"/>
      <c r="UDV4" s="484"/>
      <c r="UDW4" s="484"/>
      <c r="UDX4" s="484"/>
      <c r="UDY4" s="484"/>
      <c r="UDZ4" s="484"/>
      <c r="UEA4" s="484"/>
      <c r="UEB4" s="484"/>
      <c r="UEC4" s="484"/>
      <c r="UED4" s="484"/>
      <c r="UEE4" s="484"/>
      <c r="UEF4" s="484"/>
      <c r="UEG4" s="484"/>
      <c r="UEH4" s="484"/>
      <c r="UEI4" s="484"/>
      <c r="UEJ4" s="484"/>
      <c r="UEK4" s="484"/>
      <c r="UEL4" s="484"/>
      <c r="UEM4" s="484"/>
      <c r="UEN4" s="484"/>
      <c r="UEO4" s="484"/>
      <c r="UEP4" s="484"/>
      <c r="UEQ4" s="484"/>
      <c r="UER4" s="484"/>
      <c r="UES4" s="484"/>
      <c r="UET4" s="484"/>
      <c r="UEU4" s="484"/>
      <c r="UEV4" s="484"/>
      <c r="UEW4" s="484"/>
      <c r="UEX4" s="484"/>
      <c r="UEY4" s="484"/>
      <c r="UEZ4" s="484"/>
      <c r="UFA4" s="484"/>
      <c r="UFB4" s="484"/>
      <c r="UFC4" s="484"/>
      <c r="UFD4" s="484"/>
      <c r="UFE4" s="484"/>
      <c r="UFF4" s="484"/>
      <c r="UFG4" s="484"/>
      <c r="UFH4" s="484"/>
      <c r="UFI4" s="484"/>
      <c r="UFJ4" s="484"/>
      <c r="UFK4" s="484"/>
      <c r="UFL4" s="484"/>
      <c r="UFM4" s="484"/>
      <c r="UFN4" s="484"/>
      <c r="UFO4" s="484"/>
      <c r="UFP4" s="484"/>
      <c r="UFQ4" s="484"/>
      <c r="UFR4" s="484"/>
      <c r="UFS4" s="484"/>
      <c r="UFT4" s="484"/>
      <c r="UFU4" s="484"/>
      <c r="UFV4" s="484"/>
      <c r="UFW4" s="484"/>
      <c r="UFX4" s="484"/>
      <c r="UFY4" s="484"/>
      <c r="UFZ4" s="484"/>
      <c r="UGA4" s="484"/>
      <c r="UGB4" s="484"/>
      <c r="UGC4" s="484"/>
      <c r="UGD4" s="484"/>
      <c r="UGE4" s="484"/>
      <c r="UGF4" s="484"/>
      <c r="UGG4" s="484"/>
      <c r="UGH4" s="484"/>
      <c r="UGI4" s="484"/>
      <c r="UGJ4" s="484"/>
      <c r="UGK4" s="484"/>
      <c r="UGL4" s="484"/>
      <c r="UGM4" s="484"/>
      <c r="UGN4" s="484"/>
      <c r="UGO4" s="484"/>
      <c r="UGP4" s="484"/>
      <c r="UGQ4" s="484"/>
      <c r="UGR4" s="484"/>
      <c r="UGS4" s="484"/>
      <c r="UGT4" s="484"/>
      <c r="UGU4" s="484"/>
      <c r="UGV4" s="484"/>
      <c r="UGW4" s="484"/>
      <c r="UGX4" s="484"/>
      <c r="UGY4" s="484"/>
      <c r="UGZ4" s="484"/>
      <c r="UHA4" s="484"/>
      <c r="UHB4" s="484"/>
      <c r="UHC4" s="484"/>
      <c r="UHD4" s="484"/>
      <c r="UHE4" s="484"/>
      <c r="UHF4" s="484"/>
      <c r="UHG4" s="484"/>
      <c r="UHH4" s="484"/>
      <c r="UHI4" s="484"/>
      <c r="UHJ4" s="484"/>
      <c r="UHK4" s="484"/>
      <c r="UHL4" s="484"/>
      <c r="UHM4" s="484"/>
      <c r="UHN4" s="484"/>
      <c r="UHO4" s="484"/>
      <c r="UHP4" s="484"/>
      <c r="UHQ4" s="484"/>
      <c r="UHR4" s="484"/>
      <c r="UHS4" s="484"/>
      <c r="UHT4" s="484"/>
      <c r="UHU4" s="484"/>
      <c r="UHV4" s="484"/>
      <c r="UHW4" s="484"/>
      <c r="UHX4" s="484"/>
      <c r="UHY4" s="484"/>
      <c r="UHZ4" s="484"/>
      <c r="UIA4" s="484"/>
      <c r="UIB4" s="484"/>
      <c r="UIC4" s="484"/>
      <c r="UID4" s="484"/>
      <c r="UIE4" s="484"/>
      <c r="UIF4" s="484"/>
      <c r="UIG4" s="484"/>
      <c r="UIH4" s="484"/>
      <c r="UII4" s="484"/>
      <c r="UIJ4" s="484"/>
      <c r="UIK4" s="484"/>
      <c r="UIL4" s="484"/>
      <c r="UIM4" s="484"/>
      <c r="UIN4" s="484"/>
      <c r="UIO4" s="484"/>
      <c r="UIP4" s="484"/>
      <c r="UIQ4" s="484"/>
      <c r="UIR4" s="484"/>
      <c r="UIS4" s="484"/>
      <c r="UIT4" s="484"/>
      <c r="UIU4" s="484"/>
      <c r="UIV4" s="484"/>
      <c r="UIW4" s="484"/>
      <c r="UIX4" s="484"/>
      <c r="UIY4" s="484"/>
      <c r="UIZ4" s="484"/>
      <c r="UJA4" s="484"/>
      <c r="UJB4" s="484"/>
      <c r="UJC4" s="484"/>
      <c r="UJD4" s="484"/>
      <c r="UJE4" s="484"/>
      <c r="UJF4" s="484"/>
      <c r="UJG4" s="484"/>
      <c r="UJH4" s="484"/>
      <c r="UJI4" s="484"/>
      <c r="UJJ4" s="484"/>
      <c r="UJK4" s="484"/>
      <c r="UJL4" s="484"/>
      <c r="UJM4" s="484"/>
      <c r="UJN4" s="484"/>
      <c r="UJO4" s="484"/>
      <c r="UJP4" s="484"/>
      <c r="UJQ4" s="484"/>
      <c r="UJR4" s="484"/>
      <c r="UJS4" s="484"/>
      <c r="UJT4" s="484"/>
      <c r="UJU4" s="484"/>
      <c r="UJV4" s="484"/>
      <c r="UJW4" s="484"/>
      <c r="UJX4" s="484"/>
      <c r="UJY4" s="484"/>
      <c r="UJZ4" s="484"/>
      <c r="UKA4" s="484"/>
      <c r="UKB4" s="484"/>
      <c r="UKC4" s="484"/>
      <c r="UKD4" s="484"/>
      <c r="UKE4" s="484"/>
      <c r="UKF4" s="484"/>
      <c r="UKG4" s="484"/>
      <c r="UKH4" s="484"/>
      <c r="UKI4" s="484"/>
      <c r="UKJ4" s="484"/>
      <c r="UKK4" s="484"/>
      <c r="UKL4" s="484"/>
      <c r="UKM4" s="484"/>
      <c r="UKN4" s="484"/>
      <c r="UKO4" s="484"/>
      <c r="UKP4" s="484"/>
      <c r="UKQ4" s="484"/>
      <c r="UKR4" s="484"/>
      <c r="UKS4" s="484"/>
      <c r="UKT4" s="484"/>
      <c r="UKU4" s="484"/>
      <c r="UKV4" s="484"/>
      <c r="UKW4" s="484"/>
      <c r="UKX4" s="484"/>
      <c r="UKY4" s="484"/>
      <c r="UKZ4" s="484"/>
      <c r="ULA4" s="484"/>
      <c r="ULB4" s="484"/>
      <c r="ULC4" s="484"/>
      <c r="ULD4" s="484"/>
      <c r="ULE4" s="484"/>
      <c r="ULF4" s="484"/>
      <c r="ULG4" s="484"/>
      <c r="ULH4" s="484"/>
      <c r="ULI4" s="484"/>
      <c r="ULJ4" s="484"/>
      <c r="ULK4" s="484"/>
      <c r="ULL4" s="484"/>
      <c r="ULM4" s="484"/>
      <c r="ULN4" s="484"/>
      <c r="ULO4" s="484"/>
      <c r="ULP4" s="484"/>
      <c r="ULQ4" s="484"/>
      <c r="ULR4" s="484"/>
      <c r="ULS4" s="484"/>
      <c r="ULT4" s="484"/>
      <c r="ULU4" s="484"/>
      <c r="ULV4" s="484"/>
      <c r="ULW4" s="484"/>
      <c r="ULX4" s="484"/>
      <c r="ULY4" s="484"/>
      <c r="ULZ4" s="484"/>
      <c r="UMA4" s="484"/>
      <c r="UMB4" s="484"/>
      <c r="UMC4" s="484"/>
      <c r="UMD4" s="484"/>
      <c r="UME4" s="484"/>
      <c r="UMF4" s="484"/>
      <c r="UMG4" s="484"/>
      <c r="UMH4" s="484"/>
      <c r="UMI4" s="484"/>
      <c r="UMJ4" s="484"/>
      <c r="UMK4" s="484"/>
      <c r="UML4" s="484"/>
      <c r="UMM4" s="484"/>
      <c r="UMN4" s="484"/>
      <c r="UMO4" s="484"/>
      <c r="UMP4" s="484"/>
      <c r="UMQ4" s="484"/>
      <c r="UMR4" s="484"/>
      <c r="UMS4" s="484"/>
      <c r="UMT4" s="484"/>
      <c r="UMU4" s="484"/>
      <c r="UMV4" s="484"/>
      <c r="UMW4" s="484"/>
      <c r="UMX4" s="484"/>
      <c r="UMY4" s="484"/>
      <c r="UMZ4" s="484"/>
      <c r="UNA4" s="484"/>
      <c r="UNB4" s="484"/>
      <c r="UNC4" s="484"/>
      <c r="UND4" s="484"/>
      <c r="UNE4" s="484"/>
      <c r="UNF4" s="484"/>
      <c r="UNG4" s="484"/>
      <c r="UNH4" s="484"/>
      <c r="UNI4" s="484"/>
      <c r="UNJ4" s="484"/>
      <c r="UNK4" s="484"/>
      <c r="UNL4" s="484"/>
      <c r="UNM4" s="484"/>
      <c r="UNN4" s="484"/>
      <c r="UNO4" s="484"/>
      <c r="UNP4" s="484"/>
      <c r="UNQ4" s="484"/>
      <c r="UNR4" s="484"/>
      <c r="UNS4" s="484"/>
      <c r="UNT4" s="484"/>
      <c r="UNU4" s="484"/>
      <c r="UNV4" s="484"/>
      <c r="UNW4" s="484"/>
      <c r="UNX4" s="484"/>
      <c r="UNY4" s="484"/>
      <c r="UNZ4" s="484"/>
      <c r="UOA4" s="484"/>
      <c r="UOB4" s="484"/>
      <c r="UOC4" s="484"/>
      <c r="UOD4" s="484"/>
      <c r="UOE4" s="484"/>
      <c r="UOF4" s="484"/>
      <c r="UOG4" s="484"/>
      <c r="UOH4" s="484"/>
      <c r="UOI4" s="484"/>
      <c r="UOJ4" s="484"/>
      <c r="UOK4" s="484"/>
      <c r="UOL4" s="484"/>
      <c r="UOM4" s="484"/>
      <c r="UON4" s="484"/>
      <c r="UOO4" s="484"/>
      <c r="UOP4" s="484"/>
      <c r="UOQ4" s="484"/>
      <c r="UOR4" s="484"/>
      <c r="UOS4" s="484"/>
      <c r="UOT4" s="484"/>
      <c r="UOU4" s="484"/>
      <c r="UOV4" s="484"/>
      <c r="UOW4" s="484"/>
      <c r="UOX4" s="484"/>
      <c r="UOY4" s="484"/>
      <c r="UOZ4" s="484"/>
      <c r="UPA4" s="484"/>
      <c r="UPB4" s="484"/>
      <c r="UPC4" s="484"/>
      <c r="UPD4" s="484"/>
      <c r="UPE4" s="484"/>
      <c r="UPF4" s="484"/>
      <c r="UPG4" s="484"/>
      <c r="UPH4" s="484"/>
      <c r="UPI4" s="484"/>
      <c r="UPJ4" s="484"/>
      <c r="UPK4" s="484"/>
      <c r="UPL4" s="484"/>
      <c r="UPM4" s="484"/>
      <c r="UPN4" s="484"/>
      <c r="UPO4" s="484"/>
      <c r="UPP4" s="484"/>
      <c r="UPQ4" s="484"/>
      <c r="UPR4" s="484"/>
      <c r="UPS4" s="484"/>
      <c r="UPT4" s="484"/>
      <c r="UPU4" s="484"/>
      <c r="UPV4" s="484"/>
      <c r="UPW4" s="484"/>
      <c r="UPX4" s="484"/>
      <c r="UPY4" s="484"/>
      <c r="UPZ4" s="484"/>
      <c r="UQA4" s="484"/>
      <c r="UQB4" s="484"/>
      <c r="UQC4" s="484"/>
      <c r="UQD4" s="484"/>
      <c r="UQE4" s="484"/>
      <c r="UQF4" s="484"/>
      <c r="UQG4" s="484"/>
      <c r="UQH4" s="484"/>
      <c r="UQI4" s="484"/>
      <c r="UQJ4" s="484"/>
      <c r="UQK4" s="484"/>
      <c r="UQL4" s="484"/>
      <c r="UQM4" s="484"/>
      <c r="UQN4" s="484"/>
      <c r="UQO4" s="484"/>
      <c r="UQP4" s="484"/>
      <c r="UQQ4" s="484"/>
      <c r="UQR4" s="484"/>
      <c r="UQS4" s="484"/>
      <c r="UQT4" s="484"/>
      <c r="UQU4" s="484"/>
      <c r="UQV4" s="484"/>
      <c r="UQW4" s="484"/>
      <c r="UQX4" s="484"/>
      <c r="UQY4" s="484"/>
      <c r="UQZ4" s="484"/>
      <c r="URA4" s="484"/>
      <c r="URB4" s="484"/>
      <c r="URC4" s="484"/>
      <c r="URD4" s="484"/>
      <c r="URE4" s="484"/>
      <c r="URF4" s="484"/>
      <c r="URG4" s="484"/>
      <c r="URH4" s="484"/>
      <c r="URI4" s="484"/>
      <c r="URJ4" s="484"/>
      <c r="URK4" s="484"/>
      <c r="URL4" s="484"/>
      <c r="URM4" s="484"/>
      <c r="URN4" s="484"/>
      <c r="URO4" s="484"/>
      <c r="URP4" s="484"/>
      <c r="URQ4" s="484"/>
      <c r="URR4" s="484"/>
      <c r="URS4" s="484"/>
      <c r="URT4" s="484"/>
      <c r="URU4" s="484"/>
      <c r="URV4" s="484"/>
      <c r="URW4" s="484"/>
      <c r="URX4" s="484"/>
      <c r="URY4" s="484"/>
      <c r="URZ4" s="484"/>
      <c r="USA4" s="484"/>
      <c r="USB4" s="484"/>
      <c r="USC4" s="484"/>
      <c r="USD4" s="484"/>
      <c r="USE4" s="484"/>
      <c r="USF4" s="484"/>
      <c r="USG4" s="484"/>
      <c r="USH4" s="484"/>
      <c r="USI4" s="484"/>
      <c r="USJ4" s="484"/>
      <c r="USK4" s="484"/>
      <c r="USL4" s="484"/>
      <c r="USM4" s="484"/>
      <c r="USN4" s="484"/>
      <c r="USO4" s="484"/>
      <c r="USP4" s="484"/>
      <c r="USQ4" s="484"/>
      <c r="USR4" s="484"/>
      <c r="USS4" s="484"/>
      <c r="UST4" s="484"/>
      <c r="USU4" s="484"/>
      <c r="USV4" s="484"/>
      <c r="USW4" s="484"/>
      <c r="USX4" s="484"/>
      <c r="USY4" s="484"/>
      <c r="USZ4" s="484"/>
      <c r="UTA4" s="484"/>
      <c r="UTB4" s="484"/>
      <c r="UTC4" s="484"/>
      <c r="UTD4" s="484"/>
      <c r="UTE4" s="484"/>
      <c r="UTF4" s="484"/>
      <c r="UTG4" s="484"/>
      <c r="UTH4" s="484"/>
      <c r="UTI4" s="484"/>
      <c r="UTJ4" s="484"/>
      <c r="UTK4" s="484"/>
      <c r="UTL4" s="484"/>
      <c r="UTM4" s="484"/>
      <c r="UTN4" s="484"/>
      <c r="UTO4" s="484"/>
      <c r="UTP4" s="484"/>
      <c r="UTQ4" s="484"/>
      <c r="UTR4" s="484"/>
      <c r="UTS4" s="484"/>
      <c r="UTT4" s="484"/>
      <c r="UTU4" s="484"/>
      <c r="UTV4" s="484"/>
      <c r="UTW4" s="484"/>
      <c r="UTX4" s="484"/>
      <c r="UTY4" s="484"/>
      <c r="UTZ4" s="484"/>
      <c r="UUA4" s="484"/>
      <c r="UUB4" s="484"/>
      <c r="UUC4" s="484"/>
      <c r="UUD4" s="484"/>
      <c r="UUE4" s="484"/>
      <c r="UUF4" s="484"/>
      <c r="UUG4" s="484"/>
      <c r="UUH4" s="484"/>
      <c r="UUI4" s="484"/>
      <c r="UUJ4" s="484"/>
      <c r="UUK4" s="484"/>
      <c r="UUL4" s="484"/>
      <c r="UUM4" s="484"/>
      <c r="UUN4" s="484"/>
      <c r="UUO4" s="484"/>
      <c r="UUP4" s="484"/>
      <c r="UUQ4" s="484"/>
      <c r="UUR4" s="484"/>
      <c r="UUS4" s="484"/>
      <c r="UUT4" s="484"/>
      <c r="UUU4" s="484"/>
      <c r="UUV4" s="484"/>
      <c r="UUW4" s="484"/>
      <c r="UUX4" s="484"/>
      <c r="UUY4" s="484"/>
      <c r="UUZ4" s="484"/>
      <c r="UVA4" s="484"/>
      <c r="UVB4" s="484"/>
      <c r="UVC4" s="484"/>
      <c r="UVD4" s="484"/>
      <c r="UVE4" s="484"/>
      <c r="UVF4" s="484"/>
      <c r="UVG4" s="484"/>
      <c r="UVH4" s="484"/>
      <c r="UVI4" s="484"/>
      <c r="UVJ4" s="484"/>
      <c r="UVK4" s="484"/>
      <c r="UVL4" s="484"/>
      <c r="UVM4" s="484"/>
      <c r="UVN4" s="484"/>
      <c r="UVO4" s="484"/>
      <c r="UVP4" s="484"/>
      <c r="UVQ4" s="484"/>
      <c r="UVR4" s="484"/>
      <c r="UVS4" s="484"/>
      <c r="UVT4" s="484"/>
      <c r="UVU4" s="484"/>
      <c r="UVV4" s="484"/>
      <c r="UVW4" s="484"/>
      <c r="UVX4" s="484"/>
      <c r="UVY4" s="484"/>
      <c r="UVZ4" s="484"/>
      <c r="UWA4" s="484"/>
      <c r="UWB4" s="484"/>
      <c r="UWC4" s="484"/>
      <c r="UWD4" s="484"/>
      <c r="UWE4" s="484"/>
      <c r="UWF4" s="484"/>
      <c r="UWG4" s="484"/>
      <c r="UWH4" s="484"/>
      <c r="UWI4" s="484"/>
      <c r="UWJ4" s="484"/>
      <c r="UWK4" s="484"/>
      <c r="UWL4" s="484"/>
      <c r="UWM4" s="484"/>
      <c r="UWN4" s="484"/>
      <c r="UWO4" s="484"/>
      <c r="UWP4" s="484"/>
      <c r="UWQ4" s="484"/>
      <c r="UWR4" s="484"/>
      <c r="UWS4" s="484"/>
      <c r="UWT4" s="484"/>
      <c r="UWU4" s="484"/>
      <c r="UWV4" s="484"/>
      <c r="UWW4" s="484"/>
      <c r="UWX4" s="484"/>
      <c r="UWY4" s="484"/>
      <c r="UWZ4" s="484"/>
      <c r="UXA4" s="484"/>
      <c r="UXB4" s="484"/>
      <c r="UXC4" s="484"/>
      <c r="UXD4" s="484"/>
      <c r="UXE4" s="484"/>
      <c r="UXF4" s="484"/>
      <c r="UXG4" s="484"/>
      <c r="UXH4" s="484"/>
      <c r="UXI4" s="484"/>
      <c r="UXJ4" s="484"/>
      <c r="UXK4" s="484"/>
      <c r="UXL4" s="484"/>
      <c r="UXM4" s="484"/>
      <c r="UXN4" s="484"/>
      <c r="UXO4" s="484"/>
      <c r="UXP4" s="484"/>
      <c r="UXQ4" s="484"/>
      <c r="UXR4" s="484"/>
      <c r="UXS4" s="484"/>
      <c r="UXT4" s="484"/>
      <c r="UXU4" s="484"/>
      <c r="UXV4" s="484"/>
      <c r="UXW4" s="484"/>
      <c r="UXX4" s="484"/>
      <c r="UXY4" s="484"/>
      <c r="UXZ4" s="484"/>
      <c r="UYA4" s="484"/>
      <c r="UYB4" s="484"/>
      <c r="UYC4" s="484"/>
      <c r="UYD4" s="484"/>
      <c r="UYE4" s="484"/>
      <c r="UYF4" s="484"/>
      <c r="UYG4" s="484"/>
      <c r="UYH4" s="484"/>
      <c r="UYI4" s="484"/>
      <c r="UYJ4" s="484"/>
      <c r="UYK4" s="484"/>
      <c r="UYL4" s="484"/>
      <c r="UYM4" s="484"/>
      <c r="UYN4" s="484"/>
      <c r="UYO4" s="484"/>
      <c r="UYP4" s="484"/>
      <c r="UYQ4" s="484"/>
      <c r="UYR4" s="484"/>
      <c r="UYS4" s="484"/>
      <c r="UYT4" s="484"/>
      <c r="UYU4" s="484"/>
      <c r="UYV4" s="484"/>
      <c r="UYW4" s="484"/>
      <c r="UYX4" s="484"/>
      <c r="UYY4" s="484"/>
      <c r="UYZ4" s="484"/>
      <c r="UZA4" s="484"/>
      <c r="UZB4" s="484"/>
      <c r="UZC4" s="484"/>
      <c r="UZD4" s="484"/>
      <c r="UZE4" s="484"/>
      <c r="UZF4" s="484"/>
      <c r="UZG4" s="484"/>
      <c r="UZH4" s="484"/>
      <c r="UZI4" s="484"/>
      <c r="UZJ4" s="484"/>
      <c r="UZK4" s="484"/>
      <c r="UZL4" s="484"/>
      <c r="UZM4" s="484"/>
      <c r="UZN4" s="484"/>
      <c r="UZO4" s="484"/>
      <c r="UZP4" s="484"/>
      <c r="UZQ4" s="484"/>
      <c r="UZR4" s="484"/>
      <c r="UZS4" s="484"/>
      <c r="UZT4" s="484"/>
      <c r="UZU4" s="484"/>
      <c r="UZV4" s="484"/>
      <c r="UZW4" s="484"/>
      <c r="UZX4" s="484"/>
      <c r="UZY4" s="484"/>
      <c r="UZZ4" s="484"/>
      <c r="VAA4" s="484"/>
      <c r="VAB4" s="484"/>
      <c r="VAC4" s="484"/>
      <c r="VAD4" s="484"/>
      <c r="VAE4" s="484"/>
      <c r="VAF4" s="484"/>
      <c r="VAG4" s="484"/>
      <c r="VAH4" s="484"/>
      <c r="VAI4" s="484"/>
      <c r="VAJ4" s="484"/>
      <c r="VAK4" s="484"/>
      <c r="VAL4" s="484"/>
      <c r="VAM4" s="484"/>
      <c r="VAN4" s="484"/>
      <c r="VAO4" s="484"/>
      <c r="VAP4" s="484"/>
      <c r="VAQ4" s="484"/>
      <c r="VAR4" s="484"/>
      <c r="VAS4" s="484"/>
      <c r="VAT4" s="484"/>
      <c r="VAU4" s="484"/>
      <c r="VAV4" s="484"/>
      <c r="VAW4" s="484"/>
      <c r="VAX4" s="484"/>
      <c r="VAY4" s="484"/>
      <c r="VAZ4" s="484"/>
      <c r="VBA4" s="484"/>
      <c r="VBB4" s="484"/>
      <c r="VBC4" s="484"/>
      <c r="VBD4" s="484"/>
      <c r="VBE4" s="484"/>
      <c r="VBF4" s="484"/>
      <c r="VBG4" s="484"/>
      <c r="VBH4" s="484"/>
      <c r="VBI4" s="484"/>
      <c r="VBJ4" s="484"/>
      <c r="VBK4" s="484"/>
      <c r="VBL4" s="484"/>
      <c r="VBM4" s="484"/>
      <c r="VBN4" s="484"/>
      <c r="VBO4" s="484"/>
      <c r="VBP4" s="484"/>
      <c r="VBQ4" s="484"/>
      <c r="VBR4" s="484"/>
      <c r="VBS4" s="484"/>
      <c r="VBT4" s="484"/>
      <c r="VBU4" s="484"/>
      <c r="VBV4" s="484"/>
      <c r="VBW4" s="484"/>
      <c r="VBX4" s="484"/>
      <c r="VBY4" s="484"/>
      <c r="VBZ4" s="484"/>
      <c r="VCA4" s="484"/>
      <c r="VCB4" s="484"/>
      <c r="VCC4" s="484"/>
      <c r="VCD4" s="484"/>
      <c r="VCE4" s="484"/>
      <c r="VCF4" s="484"/>
      <c r="VCG4" s="484"/>
      <c r="VCH4" s="484"/>
      <c r="VCI4" s="484"/>
      <c r="VCJ4" s="484"/>
      <c r="VCK4" s="484"/>
      <c r="VCL4" s="484"/>
      <c r="VCM4" s="484"/>
      <c r="VCN4" s="484"/>
      <c r="VCO4" s="484"/>
      <c r="VCP4" s="484"/>
      <c r="VCQ4" s="484"/>
      <c r="VCR4" s="484"/>
      <c r="VCS4" s="484"/>
      <c r="VCT4" s="484"/>
      <c r="VCU4" s="484"/>
      <c r="VCV4" s="484"/>
      <c r="VCW4" s="484"/>
      <c r="VCX4" s="484"/>
      <c r="VCY4" s="484"/>
      <c r="VCZ4" s="484"/>
      <c r="VDA4" s="484"/>
      <c r="VDB4" s="484"/>
      <c r="VDC4" s="484"/>
      <c r="VDD4" s="484"/>
      <c r="VDE4" s="484"/>
      <c r="VDF4" s="484"/>
      <c r="VDG4" s="484"/>
      <c r="VDH4" s="484"/>
      <c r="VDI4" s="484"/>
      <c r="VDJ4" s="484"/>
      <c r="VDK4" s="484"/>
      <c r="VDL4" s="484"/>
      <c r="VDM4" s="484"/>
      <c r="VDN4" s="484"/>
      <c r="VDO4" s="484"/>
      <c r="VDP4" s="484"/>
      <c r="VDQ4" s="484"/>
      <c r="VDR4" s="484"/>
      <c r="VDS4" s="484"/>
      <c r="VDT4" s="484"/>
      <c r="VDU4" s="484"/>
      <c r="VDV4" s="484"/>
      <c r="VDW4" s="484"/>
      <c r="VDX4" s="484"/>
      <c r="VDY4" s="484"/>
      <c r="VDZ4" s="484"/>
      <c r="VEA4" s="484"/>
      <c r="VEB4" s="484"/>
      <c r="VEC4" s="484"/>
      <c r="VED4" s="484"/>
      <c r="VEE4" s="484"/>
      <c r="VEF4" s="484"/>
      <c r="VEG4" s="484"/>
      <c r="VEH4" s="484"/>
      <c r="VEI4" s="484"/>
      <c r="VEJ4" s="484"/>
      <c r="VEK4" s="484"/>
      <c r="VEL4" s="484"/>
      <c r="VEM4" s="484"/>
      <c r="VEN4" s="484"/>
      <c r="VEO4" s="484"/>
      <c r="VEP4" s="484"/>
      <c r="VEQ4" s="484"/>
      <c r="VER4" s="484"/>
      <c r="VES4" s="484"/>
      <c r="VET4" s="484"/>
      <c r="VEU4" s="484"/>
      <c r="VEV4" s="484"/>
      <c r="VEW4" s="484"/>
      <c r="VEX4" s="484"/>
      <c r="VEY4" s="484"/>
      <c r="VEZ4" s="484"/>
      <c r="VFA4" s="484"/>
      <c r="VFB4" s="484"/>
      <c r="VFC4" s="484"/>
      <c r="VFD4" s="484"/>
      <c r="VFE4" s="484"/>
      <c r="VFF4" s="484"/>
      <c r="VFG4" s="484"/>
      <c r="VFH4" s="484"/>
      <c r="VFI4" s="484"/>
      <c r="VFJ4" s="484"/>
      <c r="VFK4" s="484"/>
      <c r="VFL4" s="484"/>
      <c r="VFM4" s="484"/>
      <c r="VFN4" s="484"/>
      <c r="VFO4" s="484"/>
      <c r="VFP4" s="484"/>
      <c r="VFQ4" s="484"/>
      <c r="VFR4" s="484"/>
      <c r="VFS4" s="484"/>
      <c r="VFT4" s="484"/>
      <c r="VFU4" s="484"/>
      <c r="VFV4" s="484"/>
      <c r="VFW4" s="484"/>
      <c r="VFX4" s="484"/>
      <c r="VFY4" s="484"/>
      <c r="VFZ4" s="484"/>
      <c r="VGA4" s="484"/>
      <c r="VGB4" s="484"/>
      <c r="VGC4" s="484"/>
      <c r="VGD4" s="484"/>
      <c r="VGE4" s="484"/>
      <c r="VGF4" s="484"/>
      <c r="VGG4" s="484"/>
      <c r="VGH4" s="484"/>
      <c r="VGI4" s="484"/>
      <c r="VGJ4" s="484"/>
      <c r="VGK4" s="484"/>
      <c r="VGL4" s="484"/>
      <c r="VGM4" s="484"/>
      <c r="VGN4" s="484"/>
      <c r="VGO4" s="484"/>
      <c r="VGP4" s="484"/>
      <c r="VGQ4" s="484"/>
      <c r="VGR4" s="484"/>
      <c r="VGS4" s="484"/>
      <c r="VGT4" s="484"/>
      <c r="VGU4" s="484"/>
      <c r="VGV4" s="484"/>
      <c r="VGW4" s="484"/>
      <c r="VGX4" s="484"/>
      <c r="VGY4" s="484"/>
      <c r="VGZ4" s="484"/>
      <c r="VHA4" s="484"/>
      <c r="VHB4" s="484"/>
      <c r="VHC4" s="484"/>
      <c r="VHD4" s="484"/>
      <c r="VHE4" s="484"/>
      <c r="VHF4" s="484"/>
      <c r="VHG4" s="484"/>
      <c r="VHH4" s="484"/>
      <c r="VHI4" s="484"/>
      <c r="VHJ4" s="484"/>
      <c r="VHK4" s="484"/>
      <c r="VHL4" s="484"/>
      <c r="VHM4" s="484"/>
      <c r="VHN4" s="484"/>
      <c r="VHO4" s="484"/>
      <c r="VHP4" s="484"/>
      <c r="VHQ4" s="484"/>
      <c r="VHR4" s="484"/>
      <c r="VHS4" s="484"/>
      <c r="VHT4" s="484"/>
      <c r="VHU4" s="484"/>
      <c r="VHV4" s="484"/>
      <c r="VHW4" s="484"/>
      <c r="VHX4" s="484"/>
      <c r="VHY4" s="484"/>
      <c r="VHZ4" s="484"/>
      <c r="VIA4" s="484"/>
      <c r="VIB4" s="484"/>
      <c r="VIC4" s="484"/>
      <c r="VID4" s="484"/>
      <c r="VIE4" s="484"/>
      <c r="VIF4" s="484"/>
      <c r="VIG4" s="484"/>
      <c r="VIH4" s="484"/>
      <c r="VII4" s="484"/>
      <c r="VIJ4" s="484"/>
      <c r="VIK4" s="484"/>
      <c r="VIL4" s="484"/>
      <c r="VIM4" s="484"/>
      <c r="VIN4" s="484"/>
      <c r="VIO4" s="484"/>
      <c r="VIP4" s="484"/>
      <c r="VIQ4" s="484"/>
      <c r="VIR4" s="484"/>
      <c r="VIS4" s="484"/>
      <c r="VIT4" s="484"/>
      <c r="VIU4" s="484"/>
      <c r="VIV4" s="484"/>
      <c r="VIW4" s="484"/>
      <c r="VIX4" s="484"/>
      <c r="VIY4" s="484"/>
      <c r="VIZ4" s="484"/>
      <c r="VJA4" s="484"/>
      <c r="VJB4" s="484"/>
      <c r="VJC4" s="484"/>
      <c r="VJD4" s="484"/>
      <c r="VJE4" s="484"/>
      <c r="VJF4" s="484"/>
      <c r="VJG4" s="484"/>
      <c r="VJH4" s="484"/>
      <c r="VJI4" s="484"/>
      <c r="VJJ4" s="484"/>
      <c r="VJK4" s="484"/>
      <c r="VJL4" s="484"/>
      <c r="VJM4" s="484"/>
      <c r="VJN4" s="484"/>
      <c r="VJO4" s="484"/>
      <c r="VJP4" s="484"/>
      <c r="VJQ4" s="484"/>
      <c r="VJR4" s="484"/>
      <c r="VJS4" s="484"/>
      <c r="VJT4" s="484"/>
      <c r="VJU4" s="484"/>
      <c r="VJV4" s="484"/>
      <c r="VJW4" s="484"/>
      <c r="VJX4" s="484"/>
      <c r="VJY4" s="484"/>
      <c r="VJZ4" s="484"/>
      <c r="VKA4" s="484"/>
      <c r="VKB4" s="484"/>
      <c r="VKC4" s="484"/>
      <c r="VKD4" s="484"/>
      <c r="VKE4" s="484"/>
      <c r="VKF4" s="484"/>
      <c r="VKG4" s="484"/>
      <c r="VKH4" s="484"/>
      <c r="VKI4" s="484"/>
      <c r="VKJ4" s="484"/>
      <c r="VKK4" s="484"/>
      <c r="VKL4" s="484"/>
      <c r="VKM4" s="484"/>
      <c r="VKN4" s="484"/>
      <c r="VKO4" s="484"/>
      <c r="VKP4" s="484"/>
      <c r="VKQ4" s="484"/>
      <c r="VKR4" s="484"/>
      <c r="VKS4" s="484"/>
      <c r="VKT4" s="484"/>
      <c r="VKU4" s="484"/>
      <c r="VKV4" s="484"/>
      <c r="VKW4" s="484"/>
      <c r="VKX4" s="484"/>
      <c r="VKY4" s="484"/>
      <c r="VKZ4" s="484"/>
      <c r="VLA4" s="484"/>
      <c r="VLB4" s="484"/>
      <c r="VLC4" s="484"/>
      <c r="VLD4" s="484"/>
      <c r="VLE4" s="484"/>
      <c r="VLF4" s="484"/>
      <c r="VLG4" s="484"/>
      <c r="VLH4" s="484"/>
      <c r="VLI4" s="484"/>
      <c r="VLJ4" s="484"/>
      <c r="VLK4" s="484"/>
      <c r="VLL4" s="484"/>
      <c r="VLM4" s="484"/>
      <c r="VLN4" s="484"/>
      <c r="VLO4" s="484"/>
      <c r="VLP4" s="484"/>
      <c r="VLQ4" s="484"/>
      <c r="VLR4" s="484"/>
      <c r="VLS4" s="484"/>
      <c r="VLT4" s="484"/>
      <c r="VLU4" s="484"/>
      <c r="VLV4" s="484"/>
      <c r="VLW4" s="484"/>
      <c r="VLX4" s="484"/>
      <c r="VLY4" s="484"/>
      <c r="VLZ4" s="484"/>
      <c r="VMA4" s="484"/>
      <c r="VMB4" s="484"/>
      <c r="VMC4" s="484"/>
      <c r="VMD4" s="484"/>
      <c r="VME4" s="484"/>
      <c r="VMF4" s="484"/>
      <c r="VMG4" s="484"/>
      <c r="VMH4" s="484"/>
      <c r="VMI4" s="484"/>
      <c r="VMJ4" s="484"/>
      <c r="VMK4" s="484"/>
      <c r="VML4" s="484"/>
      <c r="VMM4" s="484"/>
      <c r="VMN4" s="484"/>
      <c r="VMO4" s="484"/>
      <c r="VMP4" s="484"/>
      <c r="VMQ4" s="484"/>
      <c r="VMR4" s="484"/>
      <c r="VMS4" s="484"/>
      <c r="VMT4" s="484"/>
      <c r="VMU4" s="484"/>
      <c r="VMV4" s="484"/>
      <c r="VMW4" s="484"/>
      <c r="VMX4" s="484"/>
      <c r="VMY4" s="484"/>
      <c r="VMZ4" s="484"/>
      <c r="VNA4" s="484"/>
      <c r="VNB4" s="484"/>
      <c r="VNC4" s="484"/>
      <c r="VND4" s="484"/>
      <c r="VNE4" s="484"/>
      <c r="VNF4" s="484"/>
      <c r="VNG4" s="484"/>
      <c r="VNH4" s="484"/>
      <c r="VNI4" s="484"/>
      <c r="VNJ4" s="484"/>
      <c r="VNK4" s="484"/>
      <c r="VNL4" s="484"/>
      <c r="VNM4" s="484"/>
      <c r="VNN4" s="484"/>
      <c r="VNO4" s="484"/>
      <c r="VNP4" s="484"/>
      <c r="VNQ4" s="484"/>
      <c r="VNR4" s="484"/>
      <c r="VNS4" s="484"/>
      <c r="VNT4" s="484"/>
      <c r="VNU4" s="484"/>
      <c r="VNV4" s="484"/>
      <c r="VNW4" s="484"/>
      <c r="VNX4" s="484"/>
      <c r="VNY4" s="484"/>
      <c r="VNZ4" s="484"/>
      <c r="VOA4" s="484"/>
      <c r="VOB4" s="484"/>
      <c r="VOC4" s="484"/>
      <c r="VOD4" s="484"/>
      <c r="VOE4" s="484"/>
      <c r="VOF4" s="484"/>
      <c r="VOG4" s="484"/>
      <c r="VOH4" s="484"/>
      <c r="VOI4" s="484"/>
      <c r="VOJ4" s="484"/>
      <c r="VOK4" s="484"/>
      <c r="VOL4" s="484"/>
      <c r="VOM4" s="484"/>
      <c r="VON4" s="484"/>
      <c r="VOO4" s="484"/>
      <c r="VOP4" s="484"/>
      <c r="VOQ4" s="484"/>
      <c r="VOR4" s="484"/>
      <c r="VOS4" s="484"/>
      <c r="VOT4" s="484"/>
      <c r="VOU4" s="484"/>
      <c r="VOV4" s="484"/>
      <c r="VOW4" s="484"/>
      <c r="VOX4" s="484"/>
      <c r="VOY4" s="484"/>
      <c r="VOZ4" s="484"/>
      <c r="VPA4" s="484"/>
      <c r="VPB4" s="484"/>
      <c r="VPC4" s="484"/>
      <c r="VPD4" s="484"/>
      <c r="VPE4" s="484"/>
      <c r="VPF4" s="484"/>
      <c r="VPG4" s="484"/>
      <c r="VPH4" s="484"/>
      <c r="VPI4" s="484"/>
      <c r="VPJ4" s="484"/>
      <c r="VPK4" s="484"/>
      <c r="VPL4" s="484"/>
      <c r="VPM4" s="484"/>
      <c r="VPN4" s="484"/>
      <c r="VPO4" s="484"/>
      <c r="VPP4" s="484"/>
      <c r="VPQ4" s="484"/>
      <c r="VPR4" s="484"/>
      <c r="VPS4" s="484"/>
      <c r="VPT4" s="484"/>
      <c r="VPU4" s="484"/>
      <c r="VPV4" s="484"/>
      <c r="VPW4" s="484"/>
      <c r="VPX4" s="484"/>
      <c r="VPY4" s="484"/>
      <c r="VPZ4" s="484"/>
      <c r="VQA4" s="484"/>
      <c r="VQB4" s="484"/>
      <c r="VQC4" s="484"/>
      <c r="VQD4" s="484"/>
      <c r="VQE4" s="484"/>
      <c r="VQF4" s="484"/>
      <c r="VQG4" s="484"/>
      <c r="VQH4" s="484"/>
      <c r="VQI4" s="484"/>
      <c r="VQJ4" s="484"/>
      <c r="VQK4" s="484"/>
      <c r="VQL4" s="484"/>
      <c r="VQM4" s="484"/>
      <c r="VQN4" s="484"/>
      <c r="VQO4" s="484"/>
      <c r="VQP4" s="484"/>
      <c r="VQQ4" s="484"/>
      <c r="VQR4" s="484"/>
      <c r="VQS4" s="484"/>
      <c r="VQT4" s="484"/>
      <c r="VQU4" s="484"/>
      <c r="VQV4" s="484"/>
      <c r="VQW4" s="484"/>
      <c r="VQX4" s="484"/>
      <c r="VQY4" s="484"/>
      <c r="VQZ4" s="484"/>
      <c r="VRA4" s="484"/>
      <c r="VRB4" s="484"/>
      <c r="VRC4" s="484"/>
      <c r="VRD4" s="484"/>
      <c r="VRE4" s="484"/>
      <c r="VRF4" s="484"/>
      <c r="VRG4" s="484"/>
      <c r="VRH4" s="484"/>
      <c r="VRI4" s="484"/>
      <c r="VRJ4" s="484"/>
      <c r="VRK4" s="484"/>
      <c r="VRL4" s="484"/>
      <c r="VRM4" s="484"/>
      <c r="VRN4" s="484"/>
      <c r="VRO4" s="484"/>
      <c r="VRP4" s="484"/>
      <c r="VRQ4" s="484"/>
      <c r="VRR4" s="484"/>
      <c r="VRS4" s="484"/>
      <c r="VRT4" s="484"/>
      <c r="VRU4" s="484"/>
      <c r="VRV4" s="484"/>
      <c r="VRW4" s="484"/>
      <c r="VRX4" s="484"/>
      <c r="VRY4" s="484"/>
      <c r="VRZ4" s="484"/>
      <c r="VSA4" s="484"/>
      <c r="VSB4" s="484"/>
      <c r="VSC4" s="484"/>
      <c r="VSD4" s="484"/>
      <c r="VSE4" s="484"/>
      <c r="VSF4" s="484"/>
      <c r="VSG4" s="484"/>
      <c r="VSH4" s="484"/>
      <c r="VSI4" s="484"/>
      <c r="VSJ4" s="484"/>
      <c r="VSK4" s="484"/>
      <c r="VSL4" s="484"/>
      <c r="VSM4" s="484"/>
      <c r="VSN4" s="484"/>
      <c r="VSO4" s="484"/>
      <c r="VSP4" s="484"/>
      <c r="VSQ4" s="484"/>
      <c r="VSR4" s="484"/>
      <c r="VSS4" s="484"/>
      <c r="VST4" s="484"/>
      <c r="VSU4" s="484"/>
      <c r="VSV4" s="484"/>
      <c r="VSW4" s="484"/>
      <c r="VSX4" s="484"/>
      <c r="VSY4" s="484"/>
      <c r="VSZ4" s="484"/>
      <c r="VTA4" s="484"/>
      <c r="VTB4" s="484"/>
      <c r="VTC4" s="484"/>
      <c r="VTD4" s="484"/>
      <c r="VTE4" s="484"/>
      <c r="VTF4" s="484"/>
      <c r="VTG4" s="484"/>
      <c r="VTH4" s="484"/>
      <c r="VTI4" s="484"/>
      <c r="VTJ4" s="484"/>
      <c r="VTK4" s="484"/>
      <c r="VTL4" s="484"/>
      <c r="VTM4" s="484"/>
      <c r="VTN4" s="484"/>
      <c r="VTO4" s="484"/>
      <c r="VTP4" s="484"/>
      <c r="VTQ4" s="484"/>
      <c r="VTR4" s="484"/>
      <c r="VTS4" s="484"/>
      <c r="VTT4" s="484"/>
      <c r="VTU4" s="484"/>
      <c r="VTV4" s="484"/>
      <c r="VTW4" s="484"/>
      <c r="VTX4" s="484"/>
      <c r="VTY4" s="484"/>
      <c r="VTZ4" s="484"/>
      <c r="VUA4" s="484"/>
      <c r="VUB4" s="484"/>
      <c r="VUC4" s="484"/>
      <c r="VUD4" s="484"/>
      <c r="VUE4" s="484"/>
      <c r="VUF4" s="484"/>
      <c r="VUG4" s="484"/>
      <c r="VUH4" s="484"/>
      <c r="VUI4" s="484"/>
      <c r="VUJ4" s="484"/>
      <c r="VUK4" s="484"/>
      <c r="VUL4" s="484"/>
      <c r="VUM4" s="484"/>
      <c r="VUN4" s="484"/>
      <c r="VUO4" s="484"/>
      <c r="VUP4" s="484"/>
      <c r="VUQ4" s="484"/>
      <c r="VUR4" s="484"/>
      <c r="VUS4" s="484"/>
      <c r="VUT4" s="484"/>
      <c r="VUU4" s="484"/>
      <c r="VUV4" s="484"/>
      <c r="VUW4" s="484"/>
      <c r="VUX4" s="484"/>
      <c r="VUY4" s="484"/>
      <c r="VUZ4" s="484"/>
      <c r="VVA4" s="484"/>
      <c r="VVB4" s="484"/>
      <c r="VVC4" s="484"/>
      <c r="VVD4" s="484"/>
      <c r="VVE4" s="484"/>
      <c r="VVF4" s="484"/>
      <c r="VVG4" s="484"/>
      <c r="VVH4" s="484"/>
      <c r="VVI4" s="484"/>
      <c r="VVJ4" s="484"/>
      <c r="VVK4" s="484"/>
      <c r="VVL4" s="484"/>
      <c r="VVM4" s="484"/>
      <c r="VVN4" s="484"/>
      <c r="VVO4" s="484"/>
      <c r="VVP4" s="484"/>
      <c r="VVQ4" s="484"/>
      <c r="VVR4" s="484"/>
      <c r="VVS4" s="484"/>
      <c r="VVT4" s="484"/>
      <c r="VVU4" s="484"/>
      <c r="VVV4" s="484"/>
      <c r="VVW4" s="484"/>
      <c r="VVX4" s="484"/>
      <c r="VVY4" s="484"/>
      <c r="VVZ4" s="484"/>
      <c r="VWA4" s="484"/>
      <c r="VWB4" s="484"/>
      <c r="VWC4" s="484"/>
      <c r="VWD4" s="484"/>
      <c r="VWE4" s="484"/>
      <c r="VWF4" s="484"/>
      <c r="VWG4" s="484"/>
      <c r="VWH4" s="484"/>
      <c r="VWI4" s="484"/>
      <c r="VWJ4" s="484"/>
      <c r="VWK4" s="484"/>
      <c r="VWL4" s="484"/>
      <c r="VWM4" s="484"/>
      <c r="VWN4" s="484"/>
      <c r="VWO4" s="484"/>
      <c r="VWP4" s="484"/>
      <c r="VWQ4" s="484"/>
      <c r="VWR4" s="484"/>
      <c r="VWS4" s="484"/>
      <c r="VWT4" s="484"/>
      <c r="VWU4" s="484"/>
      <c r="VWV4" s="484"/>
      <c r="VWW4" s="484"/>
      <c r="VWX4" s="484"/>
      <c r="VWY4" s="484"/>
      <c r="VWZ4" s="484"/>
      <c r="VXA4" s="484"/>
      <c r="VXB4" s="484"/>
      <c r="VXC4" s="484"/>
      <c r="VXD4" s="484"/>
      <c r="VXE4" s="484"/>
      <c r="VXF4" s="484"/>
      <c r="VXG4" s="484"/>
      <c r="VXH4" s="484"/>
      <c r="VXI4" s="484"/>
      <c r="VXJ4" s="484"/>
      <c r="VXK4" s="484"/>
      <c r="VXL4" s="484"/>
      <c r="VXM4" s="484"/>
      <c r="VXN4" s="484"/>
      <c r="VXO4" s="484"/>
      <c r="VXP4" s="484"/>
      <c r="VXQ4" s="484"/>
      <c r="VXR4" s="484"/>
      <c r="VXS4" s="484"/>
      <c r="VXT4" s="484"/>
      <c r="VXU4" s="484"/>
      <c r="VXV4" s="484"/>
      <c r="VXW4" s="484"/>
      <c r="VXX4" s="484"/>
      <c r="VXY4" s="484"/>
      <c r="VXZ4" s="484"/>
      <c r="VYA4" s="484"/>
      <c r="VYB4" s="484"/>
      <c r="VYC4" s="484"/>
      <c r="VYD4" s="484"/>
      <c r="VYE4" s="484"/>
      <c r="VYF4" s="484"/>
      <c r="VYG4" s="484"/>
      <c r="VYH4" s="484"/>
      <c r="VYI4" s="484"/>
      <c r="VYJ4" s="484"/>
      <c r="VYK4" s="484"/>
      <c r="VYL4" s="484"/>
      <c r="VYM4" s="484"/>
      <c r="VYN4" s="484"/>
      <c r="VYO4" s="484"/>
      <c r="VYP4" s="484"/>
      <c r="VYQ4" s="484"/>
      <c r="VYR4" s="484"/>
      <c r="VYS4" s="484"/>
      <c r="VYT4" s="484"/>
      <c r="VYU4" s="484"/>
      <c r="VYV4" s="484"/>
      <c r="VYW4" s="484"/>
      <c r="VYX4" s="484"/>
      <c r="VYY4" s="484"/>
      <c r="VYZ4" s="484"/>
      <c r="VZA4" s="484"/>
      <c r="VZB4" s="484"/>
      <c r="VZC4" s="484"/>
      <c r="VZD4" s="484"/>
      <c r="VZE4" s="484"/>
      <c r="VZF4" s="484"/>
      <c r="VZG4" s="484"/>
      <c r="VZH4" s="484"/>
      <c r="VZI4" s="484"/>
      <c r="VZJ4" s="484"/>
      <c r="VZK4" s="484"/>
      <c r="VZL4" s="484"/>
      <c r="VZM4" s="484"/>
      <c r="VZN4" s="484"/>
      <c r="VZO4" s="484"/>
      <c r="VZP4" s="484"/>
      <c r="VZQ4" s="484"/>
      <c r="VZR4" s="484"/>
      <c r="VZS4" s="484"/>
      <c r="VZT4" s="484"/>
      <c r="VZU4" s="484"/>
      <c r="VZV4" s="484"/>
      <c r="VZW4" s="484"/>
      <c r="VZX4" s="484"/>
      <c r="VZY4" s="484"/>
      <c r="VZZ4" s="484"/>
      <c r="WAA4" s="484"/>
      <c r="WAB4" s="484"/>
      <c r="WAC4" s="484"/>
      <c r="WAD4" s="484"/>
      <c r="WAE4" s="484"/>
      <c r="WAF4" s="484"/>
      <c r="WAG4" s="484"/>
      <c r="WAH4" s="484"/>
      <c r="WAI4" s="484"/>
      <c r="WAJ4" s="484"/>
      <c r="WAK4" s="484"/>
      <c r="WAL4" s="484"/>
      <c r="WAM4" s="484"/>
      <c r="WAN4" s="484"/>
      <c r="WAO4" s="484"/>
      <c r="WAP4" s="484"/>
      <c r="WAQ4" s="484"/>
      <c r="WAR4" s="484"/>
      <c r="WAS4" s="484"/>
      <c r="WAT4" s="484"/>
      <c r="WAU4" s="484"/>
      <c r="WAV4" s="484"/>
      <c r="WAW4" s="484"/>
      <c r="WAX4" s="484"/>
      <c r="WAY4" s="484"/>
      <c r="WAZ4" s="484"/>
      <c r="WBA4" s="484"/>
      <c r="WBB4" s="484"/>
      <c r="WBC4" s="484"/>
      <c r="WBD4" s="484"/>
      <c r="WBE4" s="484"/>
      <c r="WBF4" s="484"/>
      <c r="WBG4" s="484"/>
      <c r="WBH4" s="484"/>
      <c r="WBI4" s="484"/>
      <c r="WBJ4" s="484"/>
      <c r="WBK4" s="484"/>
      <c r="WBL4" s="484"/>
      <c r="WBM4" s="484"/>
      <c r="WBN4" s="484"/>
      <c r="WBO4" s="484"/>
      <c r="WBP4" s="484"/>
      <c r="WBQ4" s="484"/>
      <c r="WBR4" s="484"/>
      <c r="WBS4" s="484"/>
      <c r="WBT4" s="484"/>
      <c r="WBU4" s="484"/>
      <c r="WBV4" s="484"/>
      <c r="WBW4" s="484"/>
      <c r="WBX4" s="484"/>
      <c r="WBY4" s="484"/>
      <c r="WBZ4" s="484"/>
      <c r="WCA4" s="484"/>
      <c r="WCB4" s="484"/>
      <c r="WCC4" s="484"/>
      <c r="WCD4" s="484"/>
      <c r="WCE4" s="484"/>
      <c r="WCF4" s="484"/>
      <c r="WCG4" s="484"/>
      <c r="WCH4" s="484"/>
      <c r="WCI4" s="484"/>
      <c r="WCJ4" s="484"/>
      <c r="WCK4" s="484"/>
      <c r="WCL4" s="484"/>
      <c r="WCM4" s="484"/>
      <c r="WCN4" s="484"/>
      <c r="WCO4" s="484"/>
      <c r="WCP4" s="484"/>
      <c r="WCQ4" s="484"/>
      <c r="WCR4" s="484"/>
      <c r="WCS4" s="484"/>
      <c r="WCT4" s="484"/>
      <c r="WCU4" s="484"/>
      <c r="WCV4" s="484"/>
      <c r="WCW4" s="484"/>
      <c r="WCX4" s="484"/>
      <c r="WCY4" s="484"/>
      <c r="WCZ4" s="484"/>
      <c r="WDA4" s="484"/>
      <c r="WDB4" s="484"/>
      <c r="WDC4" s="484"/>
      <c r="WDD4" s="484"/>
      <c r="WDE4" s="484"/>
      <c r="WDF4" s="484"/>
      <c r="WDG4" s="484"/>
      <c r="WDH4" s="484"/>
      <c r="WDI4" s="484"/>
      <c r="WDJ4" s="484"/>
      <c r="WDK4" s="484"/>
      <c r="WDL4" s="484"/>
      <c r="WDM4" s="484"/>
      <c r="WDN4" s="484"/>
      <c r="WDO4" s="484"/>
      <c r="WDP4" s="484"/>
      <c r="WDQ4" s="484"/>
      <c r="WDR4" s="484"/>
      <c r="WDS4" s="484"/>
      <c r="WDT4" s="484"/>
      <c r="WDU4" s="484"/>
      <c r="WDV4" s="484"/>
      <c r="WDW4" s="484"/>
      <c r="WDX4" s="484"/>
      <c r="WDY4" s="484"/>
      <c r="WDZ4" s="484"/>
      <c r="WEA4" s="484"/>
      <c r="WEB4" s="484"/>
      <c r="WEC4" s="484"/>
      <c r="WED4" s="484"/>
      <c r="WEE4" s="484"/>
      <c r="WEF4" s="484"/>
      <c r="WEG4" s="484"/>
      <c r="WEH4" s="484"/>
      <c r="WEI4" s="484"/>
      <c r="WEJ4" s="484"/>
      <c r="WEK4" s="484"/>
      <c r="WEL4" s="484"/>
      <c r="WEM4" s="484"/>
      <c r="WEN4" s="484"/>
      <c r="WEO4" s="484"/>
      <c r="WEP4" s="484"/>
      <c r="WEQ4" s="484"/>
      <c r="WER4" s="484"/>
      <c r="WES4" s="484"/>
      <c r="WET4" s="484"/>
      <c r="WEU4" s="484"/>
      <c r="WEV4" s="484"/>
      <c r="WEW4" s="484"/>
      <c r="WEX4" s="484"/>
      <c r="WEY4" s="484"/>
      <c r="WEZ4" s="484"/>
      <c r="WFA4" s="484"/>
      <c r="WFB4" s="484"/>
      <c r="WFC4" s="484"/>
      <c r="WFD4" s="484"/>
      <c r="WFE4" s="484"/>
      <c r="WFF4" s="484"/>
      <c r="WFG4" s="484"/>
      <c r="WFH4" s="484"/>
      <c r="WFI4" s="484"/>
      <c r="WFJ4" s="484"/>
      <c r="WFK4" s="484"/>
      <c r="WFL4" s="484"/>
      <c r="WFM4" s="484"/>
      <c r="WFN4" s="484"/>
      <c r="WFO4" s="484"/>
      <c r="WFP4" s="484"/>
      <c r="WFQ4" s="484"/>
      <c r="WFR4" s="484"/>
      <c r="WFS4" s="484"/>
      <c r="WFT4" s="484"/>
      <c r="WFU4" s="484"/>
      <c r="WFV4" s="484"/>
      <c r="WFW4" s="484"/>
      <c r="WFX4" s="484"/>
      <c r="WFY4" s="484"/>
      <c r="WFZ4" s="484"/>
      <c r="WGA4" s="484"/>
      <c r="WGB4" s="484"/>
      <c r="WGC4" s="484"/>
      <c r="WGD4" s="484"/>
      <c r="WGE4" s="484"/>
      <c r="WGF4" s="484"/>
      <c r="WGG4" s="484"/>
      <c r="WGH4" s="484"/>
      <c r="WGI4" s="484"/>
      <c r="WGJ4" s="484"/>
      <c r="WGK4" s="484"/>
      <c r="WGL4" s="484"/>
      <c r="WGM4" s="484"/>
      <c r="WGN4" s="484"/>
      <c r="WGO4" s="484"/>
      <c r="WGP4" s="484"/>
      <c r="WGQ4" s="484"/>
      <c r="WGR4" s="484"/>
      <c r="WGS4" s="484"/>
      <c r="WGT4" s="484"/>
      <c r="WGU4" s="484"/>
      <c r="WGV4" s="484"/>
      <c r="WGW4" s="484"/>
      <c r="WGX4" s="484"/>
      <c r="WGY4" s="484"/>
      <c r="WGZ4" s="484"/>
      <c r="WHA4" s="484"/>
      <c r="WHB4" s="484"/>
      <c r="WHC4" s="484"/>
      <c r="WHD4" s="484"/>
      <c r="WHE4" s="484"/>
      <c r="WHF4" s="484"/>
      <c r="WHG4" s="484"/>
      <c r="WHH4" s="484"/>
      <c r="WHI4" s="484"/>
      <c r="WHJ4" s="484"/>
      <c r="WHK4" s="484"/>
      <c r="WHL4" s="484"/>
      <c r="WHM4" s="484"/>
      <c r="WHN4" s="484"/>
      <c r="WHO4" s="484"/>
      <c r="WHP4" s="484"/>
      <c r="WHQ4" s="484"/>
      <c r="WHR4" s="484"/>
      <c r="WHS4" s="484"/>
      <c r="WHT4" s="484"/>
      <c r="WHU4" s="484"/>
      <c r="WHV4" s="484"/>
      <c r="WHW4" s="484"/>
      <c r="WHX4" s="484"/>
      <c r="WHY4" s="484"/>
      <c r="WHZ4" s="484"/>
      <c r="WIA4" s="484"/>
      <c r="WIB4" s="484"/>
      <c r="WIC4" s="484"/>
      <c r="WID4" s="484"/>
      <c r="WIE4" s="484"/>
      <c r="WIF4" s="484"/>
      <c r="WIG4" s="484"/>
      <c r="WIH4" s="484"/>
      <c r="WII4" s="484"/>
      <c r="WIJ4" s="484"/>
      <c r="WIK4" s="484"/>
      <c r="WIL4" s="484"/>
      <c r="WIM4" s="484"/>
      <c r="WIN4" s="484"/>
      <c r="WIO4" s="484"/>
      <c r="WIP4" s="484"/>
      <c r="WIQ4" s="484"/>
      <c r="WIR4" s="484"/>
      <c r="WIS4" s="484"/>
      <c r="WIT4" s="484"/>
      <c r="WIU4" s="484"/>
      <c r="WIV4" s="484"/>
      <c r="WIW4" s="484"/>
      <c r="WIX4" s="484"/>
      <c r="WIY4" s="484"/>
      <c r="WIZ4" s="484"/>
      <c r="WJA4" s="484"/>
      <c r="WJB4" s="484"/>
      <c r="WJC4" s="484"/>
      <c r="WJD4" s="484"/>
      <c r="WJE4" s="484"/>
      <c r="WJF4" s="484"/>
      <c r="WJG4" s="484"/>
      <c r="WJH4" s="484"/>
      <c r="WJI4" s="484"/>
      <c r="WJJ4" s="484"/>
      <c r="WJK4" s="484"/>
      <c r="WJL4" s="484"/>
      <c r="WJM4" s="484"/>
      <c r="WJN4" s="484"/>
      <c r="WJO4" s="484"/>
      <c r="WJP4" s="484"/>
      <c r="WJQ4" s="484"/>
      <c r="WJR4" s="484"/>
      <c r="WJS4" s="484"/>
      <c r="WJT4" s="484"/>
      <c r="WJU4" s="484"/>
      <c r="WJV4" s="484"/>
      <c r="WJW4" s="484"/>
      <c r="WJX4" s="484"/>
      <c r="WJY4" s="484"/>
      <c r="WJZ4" s="484"/>
      <c r="WKA4" s="484"/>
      <c r="WKB4" s="484"/>
      <c r="WKC4" s="484"/>
      <c r="WKD4" s="484"/>
      <c r="WKE4" s="484"/>
      <c r="WKF4" s="484"/>
      <c r="WKG4" s="484"/>
      <c r="WKH4" s="484"/>
      <c r="WKI4" s="484"/>
      <c r="WKJ4" s="484"/>
      <c r="WKK4" s="484"/>
      <c r="WKL4" s="484"/>
      <c r="WKM4" s="484"/>
      <c r="WKN4" s="484"/>
      <c r="WKO4" s="484"/>
      <c r="WKP4" s="484"/>
      <c r="WKQ4" s="484"/>
      <c r="WKR4" s="484"/>
      <c r="WKS4" s="484"/>
      <c r="WKT4" s="484"/>
      <c r="WKU4" s="484"/>
      <c r="WKV4" s="484"/>
      <c r="WKW4" s="484"/>
      <c r="WKX4" s="484"/>
      <c r="WKY4" s="484"/>
      <c r="WKZ4" s="484"/>
      <c r="WLA4" s="484"/>
      <c r="WLB4" s="484"/>
      <c r="WLC4" s="484"/>
      <c r="WLD4" s="484"/>
      <c r="WLE4" s="484"/>
      <c r="WLF4" s="484"/>
      <c r="WLG4" s="484"/>
      <c r="WLH4" s="484"/>
      <c r="WLI4" s="484"/>
      <c r="WLJ4" s="484"/>
      <c r="WLK4" s="484"/>
      <c r="WLL4" s="484"/>
      <c r="WLM4" s="484"/>
      <c r="WLN4" s="484"/>
      <c r="WLO4" s="484"/>
      <c r="WLP4" s="484"/>
      <c r="WLQ4" s="484"/>
      <c r="WLR4" s="484"/>
      <c r="WLS4" s="484"/>
      <c r="WLT4" s="484"/>
      <c r="WLU4" s="484"/>
      <c r="WLV4" s="484"/>
      <c r="WLW4" s="484"/>
      <c r="WLX4" s="484"/>
      <c r="WLY4" s="484"/>
      <c r="WLZ4" s="484"/>
      <c r="WMA4" s="484"/>
      <c r="WMB4" s="484"/>
      <c r="WMC4" s="484"/>
      <c r="WMD4" s="484"/>
      <c r="WME4" s="484"/>
      <c r="WMF4" s="484"/>
      <c r="WMG4" s="484"/>
      <c r="WMH4" s="484"/>
      <c r="WMI4" s="484"/>
      <c r="WMJ4" s="484"/>
      <c r="WMK4" s="484"/>
      <c r="WML4" s="484"/>
      <c r="WMM4" s="484"/>
      <c r="WMN4" s="484"/>
      <c r="WMO4" s="484"/>
      <c r="WMP4" s="484"/>
      <c r="WMQ4" s="484"/>
      <c r="WMR4" s="484"/>
      <c r="WMS4" s="484"/>
      <c r="WMT4" s="484"/>
      <c r="WMU4" s="484"/>
      <c r="WMV4" s="484"/>
      <c r="WMW4" s="484"/>
      <c r="WMX4" s="484"/>
      <c r="WMY4" s="484"/>
      <c r="WMZ4" s="484"/>
      <c r="WNA4" s="484"/>
      <c r="WNB4" s="484"/>
      <c r="WNC4" s="484"/>
      <c r="WND4" s="484"/>
      <c r="WNE4" s="484"/>
      <c r="WNF4" s="484"/>
      <c r="WNG4" s="484"/>
      <c r="WNH4" s="484"/>
      <c r="WNI4" s="484"/>
      <c r="WNJ4" s="484"/>
      <c r="WNK4" s="484"/>
      <c r="WNL4" s="484"/>
      <c r="WNM4" s="484"/>
      <c r="WNN4" s="484"/>
      <c r="WNO4" s="484"/>
      <c r="WNP4" s="484"/>
      <c r="WNQ4" s="484"/>
      <c r="WNR4" s="484"/>
      <c r="WNS4" s="484"/>
      <c r="WNT4" s="484"/>
      <c r="WNU4" s="484"/>
      <c r="WNV4" s="484"/>
      <c r="WNW4" s="484"/>
      <c r="WNX4" s="484"/>
      <c r="WNY4" s="484"/>
      <c r="WNZ4" s="484"/>
      <c r="WOA4" s="484"/>
      <c r="WOB4" s="484"/>
      <c r="WOC4" s="484"/>
      <c r="WOD4" s="484"/>
      <c r="WOE4" s="484"/>
      <c r="WOF4" s="484"/>
      <c r="WOG4" s="484"/>
      <c r="WOH4" s="484"/>
      <c r="WOI4" s="484"/>
      <c r="WOJ4" s="484"/>
      <c r="WOK4" s="484"/>
      <c r="WOL4" s="484"/>
      <c r="WOM4" s="484"/>
      <c r="WON4" s="484"/>
      <c r="WOO4" s="484"/>
      <c r="WOP4" s="484"/>
      <c r="WOQ4" s="484"/>
      <c r="WOR4" s="484"/>
      <c r="WOS4" s="484"/>
      <c r="WOT4" s="484"/>
      <c r="WOU4" s="484"/>
      <c r="WOV4" s="484"/>
      <c r="WOW4" s="484"/>
      <c r="WOX4" s="484"/>
      <c r="WOY4" s="484"/>
      <c r="WOZ4" s="484"/>
      <c r="WPA4" s="484"/>
      <c r="WPB4" s="484"/>
      <c r="WPC4" s="484"/>
      <c r="WPD4" s="484"/>
      <c r="WPE4" s="484"/>
      <c r="WPF4" s="484"/>
      <c r="WPG4" s="484"/>
      <c r="WPH4" s="484"/>
      <c r="WPI4" s="484"/>
      <c r="WPJ4" s="484"/>
      <c r="WPK4" s="484"/>
      <c r="WPL4" s="484"/>
      <c r="WPM4" s="484"/>
      <c r="WPN4" s="484"/>
      <c r="WPO4" s="484"/>
      <c r="WPP4" s="484"/>
      <c r="WPQ4" s="484"/>
      <c r="WPR4" s="484"/>
      <c r="WPS4" s="484"/>
      <c r="WPT4" s="484"/>
      <c r="WPU4" s="484"/>
      <c r="WPV4" s="484"/>
      <c r="WPW4" s="484"/>
      <c r="WPX4" s="484"/>
      <c r="WPY4" s="484"/>
      <c r="WPZ4" s="484"/>
      <c r="WQA4" s="484"/>
      <c r="WQB4" s="484"/>
      <c r="WQC4" s="484"/>
      <c r="WQD4" s="484"/>
      <c r="WQE4" s="484"/>
      <c r="WQF4" s="484"/>
      <c r="WQG4" s="484"/>
      <c r="WQH4" s="484"/>
      <c r="WQI4" s="484"/>
      <c r="WQJ4" s="484"/>
      <c r="WQK4" s="484"/>
      <c r="WQL4" s="484"/>
      <c r="WQM4" s="484"/>
      <c r="WQN4" s="484"/>
      <c r="WQO4" s="484"/>
      <c r="WQP4" s="484"/>
      <c r="WQQ4" s="484"/>
      <c r="WQR4" s="484"/>
      <c r="WQS4" s="484"/>
      <c r="WQT4" s="484"/>
      <c r="WQU4" s="484"/>
      <c r="WQV4" s="484"/>
      <c r="WQW4" s="484"/>
      <c r="WQX4" s="484"/>
      <c r="WQY4" s="484"/>
      <c r="WQZ4" s="484"/>
      <c r="WRA4" s="484"/>
      <c r="WRB4" s="484"/>
      <c r="WRC4" s="484"/>
      <c r="WRD4" s="484"/>
      <c r="WRE4" s="484"/>
      <c r="WRF4" s="484"/>
      <c r="WRG4" s="484"/>
      <c r="WRH4" s="484"/>
      <c r="WRI4" s="484"/>
      <c r="WRJ4" s="484"/>
      <c r="WRK4" s="484"/>
      <c r="WRL4" s="484"/>
      <c r="WRM4" s="484"/>
      <c r="WRN4" s="484"/>
      <c r="WRO4" s="484"/>
      <c r="WRP4" s="484"/>
      <c r="WRQ4" s="484"/>
      <c r="WRR4" s="484"/>
      <c r="WRS4" s="484"/>
      <c r="WRT4" s="484"/>
      <c r="WRU4" s="484"/>
      <c r="WRV4" s="484"/>
      <c r="WRW4" s="484"/>
      <c r="WRX4" s="484"/>
      <c r="WRY4" s="484"/>
      <c r="WRZ4" s="484"/>
      <c r="WSA4" s="484"/>
      <c r="WSB4" s="484"/>
      <c r="WSC4" s="484"/>
      <c r="WSD4" s="484"/>
      <c r="WSE4" s="484"/>
      <c r="WSF4" s="484"/>
      <c r="WSG4" s="484"/>
      <c r="WSH4" s="484"/>
      <c r="WSI4" s="484"/>
      <c r="WSJ4" s="484"/>
      <c r="WSK4" s="484"/>
      <c r="WSL4" s="484"/>
      <c r="WSM4" s="484"/>
      <c r="WSN4" s="484"/>
      <c r="WSO4" s="484"/>
      <c r="WSP4" s="484"/>
      <c r="WSQ4" s="484"/>
      <c r="WSR4" s="484"/>
      <c r="WSS4" s="484"/>
      <c r="WST4" s="484"/>
      <c r="WSU4" s="484"/>
      <c r="WSV4" s="484"/>
      <c r="WSW4" s="484"/>
      <c r="WSX4" s="484"/>
      <c r="WSY4" s="484"/>
      <c r="WSZ4" s="484"/>
      <c r="WTA4" s="484"/>
      <c r="WTB4" s="484"/>
      <c r="WTC4" s="484"/>
      <c r="WTD4" s="484"/>
      <c r="WTE4" s="484"/>
      <c r="WTF4" s="484"/>
      <c r="WTG4" s="484"/>
      <c r="WTH4" s="484"/>
      <c r="WTI4" s="484"/>
      <c r="WTJ4" s="484"/>
      <c r="WTK4" s="484"/>
      <c r="WTL4" s="484"/>
      <c r="WTM4" s="484"/>
      <c r="WTN4" s="484"/>
      <c r="WTO4" s="484"/>
      <c r="WTP4" s="484"/>
      <c r="WTQ4" s="484"/>
      <c r="WTR4" s="484"/>
      <c r="WTS4" s="484"/>
      <c r="WTT4" s="484"/>
      <c r="WTU4" s="484"/>
      <c r="WTV4" s="484"/>
      <c r="WTW4" s="484"/>
      <c r="WTX4" s="484"/>
      <c r="WTY4" s="484"/>
      <c r="WTZ4" s="484"/>
      <c r="WUA4" s="484"/>
      <c r="WUB4" s="484"/>
      <c r="WUC4" s="484"/>
      <c r="WUD4" s="484"/>
      <c r="WUE4" s="484"/>
      <c r="WUF4" s="484"/>
      <c r="WUG4" s="484"/>
      <c r="WUH4" s="484"/>
      <c r="WUI4" s="484"/>
      <c r="WUJ4" s="484"/>
      <c r="WUK4" s="484"/>
      <c r="WUL4" s="484"/>
      <c r="WUM4" s="484"/>
      <c r="WUN4" s="484"/>
      <c r="WUO4" s="484"/>
      <c r="WUP4" s="484"/>
      <c r="WUQ4" s="484"/>
      <c r="WUR4" s="484"/>
      <c r="WUS4" s="484"/>
      <c r="WUT4" s="484"/>
      <c r="WUU4" s="484"/>
      <c r="WUV4" s="484"/>
      <c r="WUW4" s="484"/>
      <c r="WUX4" s="484"/>
      <c r="WUY4" s="484"/>
      <c r="WUZ4" s="484"/>
      <c r="WVA4" s="484"/>
      <c r="WVB4" s="484"/>
      <c r="WVC4" s="484"/>
      <c r="WVD4" s="484"/>
      <c r="WVE4" s="484"/>
      <c r="WVF4" s="484"/>
      <c r="WVG4" s="484"/>
      <c r="WVH4" s="484"/>
      <c r="WVI4" s="484"/>
      <c r="WVJ4" s="484"/>
      <c r="WVK4" s="484"/>
      <c r="WVL4" s="484"/>
      <c r="WVM4" s="484"/>
      <c r="WVN4" s="484"/>
      <c r="WVO4" s="484"/>
      <c r="WVP4" s="484"/>
      <c r="WVQ4" s="484"/>
      <c r="WVR4" s="484"/>
      <c r="WVS4" s="484"/>
      <c r="WVT4" s="484"/>
      <c r="WVU4" s="484"/>
      <c r="WVV4" s="484"/>
      <c r="WVW4" s="484"/>
      <c r="WVX4" s="484"/>
      <c r="WVY4" s="484"/>
      <c r="WVZ4" s="484"/>
      <c r="WWA4" s="484"/>
      <c r="WWB4" s="484"/>
      <c r="WWC4" s="484"/>
      <c r="WWD4" s="484"/>
      <c r="WWE4" s="484"/>
      <c r="WWF4" s="484"/>
      <c r="WWG4" s="484"/>
      <c r="WWH4" s="484"/>
      <c r="WWI4" s="484"/>
      <c r="WWJ4" s="484"/>
      <c r="WWK4" s="484"/>
      <c r="WWL4" s="484"/>
      <c r="WWM4" s="484"/>
      <c r="WWN4" s="484"/>
      <c r="WWO4" s="484"/>
      <c r="WWP4" s="484"/>
      <c r="WWQ4" s="484"/>
      <c r="WWR4" s="484"/>
      <c r="WWS4" s="484"/>
      <c r="WWT4" s="484"/>
      <c r="WWU4" s="484"/>
      <c r="WWV4" s="484"/>
      <c r="WWW4" s="484"/>
      <c r="WWX4" s="484"/>
      <c r="WWY4" s="484"/>
      <c r="WWZ4" s="484"/>
      <c r="WXA4" s="484"/>
      <c r="WXB4" s="484"/>
      <c r="WXC4" s="484"/>
      <c r="WXD4" s="484"/>
      <c r="WXE4" s="484"/>
      <c r="WXF4" s="484"/>
      <c r="WXG4" s="484"/>
      <c r="WXH4" s="484"/>
      <c r="WXI4" s="484"/>
      <c r="WXJ4" s="484"/>
      <c r="WXK4" s="484"/>
      <c r="WXL4" s="484"/>
      <c r="WXM4" s="484"/>
      <c r="WXN4" s="484"/>
      <c r="WXO4" s="484"/>
      <c r="WXP4" s="484"/>
      <c r="WXQ4" s="484"/>
      <c r="WXR4" s="484"/>
      <c r="WXS4" s="484"/>
      <c r="WXT4" s="484"/>
      <c r="WXU4" s="484"/>
      <c r="WXV4" s="484"/>
      <c r="WXW4" s="484"/>
      <c r="WXX4" s="484"/>
      <c r="WXY4" s="484"/>
      <c r="WXZ4" s="484"/>
      <c r="WYA4" s="484"/>
      <c r="WYB4" s="484"/>
      <c r="WYC4" s="484"/>
      <c r="WYD4" s="484"/>
      <c r="WYE4" s="484"/>
      <c r="WYF4" s="484"/>
      <c r="WYG4" s="484"/>
      <c r="WYH4" s="484"/>
      <c r="WYI4" s="484"/>
      <c r="WYJ4" s="484"/>
      <c r="WYK4" s="484"/>
      <c r="WYL4" s="484"/>
      <c r="WYM4" s="484"/>
      <c r="WYN4" s="484"/>
      <c r="WYO4" s="484"/>
      <c r="WYP4" s="484"/>
      <c r="WYQ4" s="484"/>
      <c r="WYR4" s="484"/>
      <c r="WYS4" s="484"/>
      <c r="WYT4" s="484"/>
      <c r="WYU4" s="484"/>
      <c r="WYV4" s="484"/>
      <c r="WYW4" s="484"/>
      <c r="WYX4" s="484"/>
      <c r="WYY4" s="484"/>
      <c r="WYZ4" s="484"/>
      <c r="WZA4" s="484"/>
      <c r="WZB4" s="484"/>
      <c r="WZC4" s="484"/>
      <c r="WZD4" s="484"/>
      <c r="WZE4" s="484"/>
      <c r="WZF4" s="484"/>
      <c r="WZG4" s="484"/>
      <c r="WZH4" s="484"/>
      <c r="WZI4" s="484"/>
      <c r="WZJ4" s="484"/>
      <c r="WZK4" s="484"/>
      <c r="WZL4" s="484"/>
      <c r="WZM4" s="484"/>
      <c r="WZN4" s="484"/>
      <c r="WZO4" s="484"/>
      <c r="WZP4" s="484"/>
      <c r="WZQ4" s="484"/>
      <c r="WZR4" s="484"/>
      <c r="WZS4" s="484"/>
      <c r="WZT4" s="484"/>
      <c r="WZU4" s="484"/>
      <c r="WZV4" s="484"/>
      <c r="WZW4" s="484"/>
      <c r="WZX4" s="484"/>
      <c r="WZY4" s="484"/>
      <c r="WZZ4" s="484"/>
      <c r="XAA4" s="484"/>
      <c r="XAB4" s="484"/>
      <c r="XAC4" s="484"/>
      <c r="XAD4" s="484"/>
      <c r="XAE4" s="484"/>
      <c r="XAF4" s="484"/>
      <c r="XAG4" s="484"/>
      <c r="XAH4" s="484"/>
      <c r="XAI4" s="484"/>
      <c r="XAJ4" s="484"/>
      <c r="XAK4" s="484"/>
      <c r="XAL4" s="484"/>
      <c r="XAM4" s="484"/>
      <c r="XAN4" s="484"/>
      <c r="XAO4" s="484"/>
      <c r="XAP4" s="484"/>
      <c r="XAQ4" s="484"/>
      <c r="XAR4" s="484"/>
      <c r="XAS4" s="484"/>
      <c r="XAT4" s="484"/>
      <c r="XAU4" s="484"/>
      <c r="XAV4" s="484"/>
      <c r="XAW4" s="484"/>
      <c r="XAX4" s="484"/>
      <c r="XAY4" s="484"/>
      <c r="XAZ4" s="484"/>
      <c r="XBA4" s="484"/>
      <c r="XBB4" s="484"/>
      <c r="XBC4" s="484"/>
      <c r="XBD4" s="484"/>
      <c r="XBE4" s="484"/>
      <c r="XBF4" s="484"/>
      <c r="XBG4" s="484"/>
      <c r="XBH4" s="484"/>
      <c r="XBI4" s="484"/>
      <c r="XBJ4" s="484"/>
      <c r="XBK4" s="484"/>
      <c r="XBL4" s="484"/>
      <c r="XBM4" s="484"/>
      <c r="XBN4" s="484"/>
      <c r="XBO4" s="484"/>
      <c r="XBP4" s="484"/>
      <c r="XBQ4" s="484"/>
      <c r="XBR4" s="484"/>
      <c r="XBS4" s="484"/>
      <c r="XBT4" s="484"/>
      <c r="XBU4" s="484"/>
      <c r="XBV4" s="484"/>
      <c r="XBW4" s="484"/>
      <c r="XBX4" s="484"/>
      <c r="XBY4" s="484"/>
      <c r="XBZ4" s="484"/>
      <c r="XCA4" s="484"/>
      <c r="XCB4" s="484"/>
      <c r="XCC4" s="484"/>
      <c r="XCD4" s="484"/>
      <c r="XCE4" s="484"/>
      <c r="XCF4" s="484"/>
      <c r="XCG4" s="484"/>
      <c r="XCH4" s="484"/>
      <c r="XCI4" s="484"/>
      <c r="XCJ4" s="484"/>
      <c r="XCK4" s="484"/>
      <c r="XCL4" s="484"/>
      <c r="XCM4" s="484"/>
      <c r="XCN4" s="484"/>
      <c r="XCO4" s="484"/>
      <c r="XCP4" s="484"/>
      <c r="XCQ4" s="484"/>
      <c r="XCR4" s="484"/>
      <c r="XCS4" s="484"/>
      <c r="XCT4" s="484"/>
      <c r="XCU4" s="484"/>
      <c r="XCV4" s="484"/>
      <c r="XCW4" s="484"/>
      <c r="XCX4" s="484"/>
      <c r="XCY4" s="484"/>
      <c r="XCZ4" s="484"/>
      <c r="XDA4" s="484"/>
      <c r="XDB4" s="484"/>
      <c r="XDC4" s="484"/>
      <c r="XDD4" s="484"/>
      <c r="XDE4" s="484"/>
      <c r="XDF4" s="484"/>
      <c r="XDG4" s="484"/>
      <c r="XDH4" s="484"/>
      <c r="XDI4" s="484"/>
      <c r="XDJ4" s="484"/>
      <c r="XDK4" s="484"/>
      <c r="XDL4" s="484"/>
      <c r="XDM4" s="484"/>
      <c r="XDN4" s="484"/>
      <c r="XDO4" s="484"/>
      <c r="XDP4" s="484"/>
    </row>
    <row r="5" spans="1:16344">
      <c r="A5" s="485" t="s">
        <v>223</v>
      </c>
      <c r="B5" s="486" t="s">
        <v>69</v>
      </c>
      <c r="C5" s="488" t="s">
        <v>596</v>
      </c>
      <c r="D5" s="500" t="s">
        <v>596</v>
      </c>
      <c r="E5" s="486" t="s">
        <v>1146</v>
      </c>
      <c r="F5" s="488" t="s">
        <v>596</v>
      </c>
      <c r="G5" s="488" t="s">
        <v>596</v>
      </c>
      <c r="H5" s="488" t="s">
        <v>596</v>
      </c>
      <c r="I5" s="487">
        <f>'Auswertung_neu (2)'!I18</f>
        <v>11.703124999999968</v>
      </c>
      <c r="J5" s="488" t="s">
        <v>1168</v>
      </c>
      <c r="K5" s="486" t="s">
        <v>1210</v>
      </c>
      <c r="L5" s="486" t="s">
        <v>1210</v>
      </c>
      <c r="M5" s="486" t="s">
        <v>1210</v>
      </c>
      <c r="N5" s="486" t="s">
        <v>1210</v>
      </c>
      <c r="O5" s="486" t="s">
        <v>1210</v>
      </c>
      <c r="P5" s="486" t="s">
        <v>1210</v>
      </c>
      <c r="Q5" s="488" t="s">
        <v>1254</v>
      </c>
      <c r="R5" s="485">
        <f>IF(LEFT(K5,1)="N",0,LEFT(K5,1))</f>
        <v>0</v>
      </c>
      <c r="S5" s="485">
        <f t="shared" ref="S5" si="0">IF(LEFT(L5,1)="N",0,LEFT(L5,1))</f>
        <v>0</v>
      </c>
      <c r="T5" s="485">
        <f t="shared" ref="T5" si="1">IF(LEFT(M5,1)="N",0,LEFT(M5,1))</f>
        <v>0</v>
      </c>
      <c r="U5" s="485">
        <f t="shared" ref="U5" si="2">IF(LEFT(N5,1)="N",0,LEFT(N5,1))</f>
        <v>0</v>
      </c>
      <c r="V5" s="508">
        <f t="shared" ref="V5" si="3">IF(LEFT(O5,1)="N",0,LEFT(O5,1))</f>
        <v>0</v>
      </c>
      <c r="W5" s="508">
        <f t="shared" ref="W5:X5" si="4">IF(LEFT(P5,1)="N",0,LEFT(P5,1))</f>
        <v>0</v>
      </c>
      <c r="X5" s="508" t="str">
        <f t="shared" si="4"/>
        <v>2</v>
      </c>
      <c r="Y5" s="568">
        <f>IF(X5=0, (SQRT((($R$3*EXP($Y$3*(R5)))^2)+(($S$3*EXP($Y$3*(1-S5)))^2)+(($T$3*EXP($Y$3*(T5)))^2)+(($U$3*EXP($Y$3*(U5-1)))^2)+(($V$3*EXP($Y$3*(V5-1)))^2)+(($W$3*EXP($Y$3*(W5)))^2)))/100, $X$3*EXP($Y$3*X5)/100)</f>
        <v>0.2278929098260076</v>
      </c>
      <c r="Z5" s="485" t="s">
        <v>223</v>
      </c>
      <c r="AA5" s="486" t="s">
        <v>1459</v>
      </c>
      <c r="AB5" s="486" t="s">
        <v>1445</v>
      </c>
    </row>
    <row r="6" spans="1:16344">
      <c r="A6" s="494" t="s">
        <v>200</v>
      </c>
      <c r="B6" s="495" t="s">
        <v>69</v>
      </c>
      <c r="C6" s="495" t="s">
        <v>476</v>
      </c>
      <c r="D6" s="496">
        <v>1.5</v>
      </c>
      <c r="E6" s="495" t="s">
        <v>1097</v>
      </c>
      <c r="F6" s="495">
        <v>1.6</v>
      </c>
      <c r="G6" s="495">
        <v>365</v>
      </c>
      <c r="H6" s="497">
        <v>4.383561643835617E-3</v>
      </c>
      <c r="I6" s="497">
        <v>12.000000000000009</v>
      </c>
      <c r="J6" s="495" t="s">
        <v>1062</v>
      </c>
      <c r="K6" s="498" t="s">
        <v>1209</v>
      </c>
      <c r="L6" s="504" t="s">
        <v>1211</v>
      </c>
      <c r="M6" s="498" t="s">
        <v>1215</v>
      </c>
      <c r="N6" s="498" t="s">
        <v>1238</v>
      </c>
      <c r="O6" s="495" t="s">
        <v>1282</v>
      </c>
      <c r="P6" s="495" t="s">
        <v>1293</v>
      </c>
      <c r="Q6" s="495" t="s">
        <v>1210</v>
      </c>
      <c r="R6" s="485" t="str">
        <f t="shared" ref="R6:R69" si="5">IF(LEFT(K6,1)="N",0,LEFT(K6,1))</f>
        <v>1</v>
      </c>
      <c r="S6" s="485" t="str">
        <f t="shared" ref="S6:S69" si="6">IF(LEFT(L6,1)="N",0,LEFT(L6,1))</f>
        <v>1</v>
      </c>
      <c r="T6" s="485" t="str">
        <f t="shared" ref="T6:T69" si="7">IF(LEFT(M6,1)="N",0,LEFT(M6,1))</f>
        <v>4</v>
      </c>
      <c r="U6" s="485" t="str">
        <f t="shared" ref="U6:U69" si="8">IF(LEFT(N6,1)="N",0,LEFT(N6,1))</f>
        <v>3</v>
      </c>
      <c r="V6" s="508" t="str">
        <f t="shared" ref="V6:V69" si="9">IF(LEFT(O6,1)="N",0,LEFT(O6,1))</f>
        <v>3</v>
      </c>
      <c r="W6" s="508" t="str">
        <f t="shared" ref="W6:W69" si="10">IF(LEFT(P6,1)="N",0,LEFT(P6,1))</f>
        <v>3</v>
      </c>
      <c r="X6" s="508">
        <f t="shared" ref="X6:X69" si="11">IF(LEFT(Q6,1)="N",0,LEFT(Q6,1))</f>
        <v>0</v>
      </c>
      <c r="Y6" s="568">
        <f>IF(X6=0, (SQRT((($R$3*EXP($Y$3*(R6)))^2)+(($S$3*EXP($Y$3*(1-S6)))^2)+(($T$3*EXP($Y$3*(T6)))^2)+(($U$3*EXP($Y$3*(U6-1)))^2)+(($V$3*EXP($Y$3*(V6-1)))^2)+(($W$3*EXP($Y$3*(W6)))^2)))/100, $X$3*EXP($Y$3*X6)/100)</f>
        <v>1.3208557064418265</v>
      </c>
      <c r="Z6" s="485" t="s">
        <v>200</v>
      </c>
      <c r="AA6" s="486" t="s">
        <v>1447</v>
      </c>
      <c r="AB6" s="486" t="s">
        <v>1447</v>
      </c>
    </row>
    <row r="7" spans="1:16344">
      <c r="A7" s="494" t="s">
        <v>200</v>
      </c>
      <c r="B7" s="495" t="s">
        <v>69</v>
      </c>
      <c r="C7" s="495" t="s">
        <v>288</v>
      </c>
      <c r="D7" s="496">
        <v>1.5</v>
      </c>
      <c r="E7" s="495" t="s">
        <v>1097</v>
      </c>
      <c r="F7" s="495">
        <v>0.75</v>
      </c>
      <c r="G7" s="495">
        <v>180</v>
      </c>
      <c r="H7" s="497">
        <v>4.1666666666666666E-3</v>
      </c>
      <c r="I7" s="497">
        <v>11.406249999999927</v>
      </c>
      <c r="J7" s="495" t="s">
        <v>277</v>
      </c>
      <c r="K7" s="498" t="s">
        <v>1209</v>
      </c>
      <c r="L7" s="505" t="s">
        <v>1211</v>
      </c>
      <c r="M7" s="498" t="s">
        <v>1215</v>
      </c>
      <c r="N7" s="498" t="s">
        <v>1238</v>
      </c>
      <c r="O7" s="495" t="s">
        <v>1284</v>
      </c>
      <c r="P7" s="495" t="s">
        <v>1293</v>
      </c>
      <c r="Q7" s="495" t="s">
        <v>1210</v>
      </c>
      <c r="R7" s="485" t="str">
        <f t="shared" si="5"/>
        <v>1</v>
      </c>
      <c r="S7" s="485" t="str">
        <f t="shared" si="6"/>
        <v>1</v>
      </c>
      <c r="T7" s="485" t="str">
        <f t="shared" si="7"/>
        <v>4</v>
      </c>
      <c r="U7" s="485" t="str">
        <f t="shared" si="8"/>
        <v>3</v>
      </c>
      <c r="V7" s="508" t="str">
        <f t="shared" si="9"/>
        <v>3</v>
      </c>
      <c r="W7" s="508" t="str">
        <f t="shared" si="10"/>
        <v>3</v>
      </c>
      <c r="X7" s="508">
        <f t="shared" si="11"/>
        <v>0</v>
      </c>
      <c r="Y7" s="568">
        <f t="shared" ref="Y7:Y69" si="12">IF(X7=0, (SQRT((($R$3*EXP($Y$3*(R7)))^2)+(($S$3*EXP($Y$3*(1-S7)))^2)+(($T$3*EXP($Y$3*(T7)))^2)+(($U$3*EXP($Y$3*(U7-1)))^2)+(($V$3*EXP($Y$3*(V7-1)))^2)+(($W$3*EXP($Y$3*(W7)))^2)))/100, $X$3*EXP($Y$3*X7)/100)</f>
        <v>1.3208557064418265</v>
      </c>
      <c r="Z7" s="485" t="s">
        <v>200</v>
      </c>
      <c r="AA7" s="486" t="s">
        <v>1447</v>
      </c>
      <c r="AB7" s="486" t="s">
        <v>1447</v>
      </c>
    </row>
    <row r="8" spans="1:16344">
      <c r="A8" s="494" t="s">
        <v>223</v>
      </c>
      <c r="B8" s="495" t="s">
        <v>69</v>
      </c>
      <c r="C8" s="498" t="s">
        <v>596</v>
      </c>
      <c r="D8" s="502" t="s">
        <v>596</v>
      </c>
      <c r="E8" s="495" t="s">
        <v>1143</v>
      </c>
      <c r="F8" s="498" t="s">
        <v>596</v>
      </c>
      <c r="G8" s="498" t="s">
        <v>596</v>
      </c>
      <c r="H8" s="498" t="s">
        <v>596</v>
      </c>
      <c r="I8" s="497">
        <f>'Auswertung_neu (2)'!I17</f>
        <v>11.703124999999968</v>
      </c>
      <c r="J8" s="498" t="s">
        <v>1168</v>
      </c>
      <c r="K8" s="495" t="s">
        <v>1210</v>
      </c>
      <c r="L8" s="495" t="s">
        <v>1210</v>
      </c>
      <c r="M8" s="495" t="s">
        <v>1210</v>
      </c>
      <c r="N8" s="495" t="s">
        <v>1210</v>
      </c>
      <c r="O8" s="495" t="s">
        <v>1210</v>
      </c>
      <c r="P8" s="495" t="s">
        <v>1210</v>
      </c>
      <c r="Q8" s="498" t="s">
        <v>1254</v>
      </c>
      <c r="R8" s="485">
        <f t="shared" si="5"/>
        <v>0</v>
      </c>
      <c r="S8" s="485">
        <f t="shared" si="6"/>
        <v>0</v>
      </c>
      <c r="T8" s="485">
        <f t="shared" si="7"/>
        <v>0</v>
      </c>
      <c r="U8" s="485">
        <f t="shared" si="8"/>
        <v>0</v>
      </c>
      <c r="V8" s="508">
        <f t="shared" si="9"/>
        <v>0</v>
      </c>
      <c r="W8" s="508">
        <f t="shared" si="10"/>
        <v>0</v>
      </c>
      <c r="X8" s="508" t="str">
        <f t="shared" si="11"/>
        <v>2</v>
      </c>
      <c r="Y8" s="568">
        <f t="shared" si="12"/>
        <v>0.2278929098260076</v>
      </c>
      <c r="Z8" s="485" t="s">
        <v>223</v>
      </c>
      <c r="AA8" s="486" t="s">
        <v>1459</v>
      </c>
      <c r="AB8" s="486" t="s">
        <v>1445</v>
      </c>
    </row>
    <row r="9" spans="1:16344">
      <c r="A9" s="494" t="s">
        <v>223</v>
      </c>
      <c r="B9" s="495" t="s">
        <v>69</v>
      </c>
      <c r="C9" s="498" t="s">
        <v>596</v>
      </c>
      <c r="D9" s="502" t="s">
        <v>596</v>
      </c>
      <c r="E9" s="495" t="s">
        <v>1019</v>
      </c>
      <c r="F9" s="498" t="s">
        <v>596</v>
      </c>
      <c r="G9" s="498" t="s">
        <v>596</v>
      </c>
      <c r="H9" s="498" t="s">
        <v>596</v>
      </c>
      <c r="I9" s="497">
        <f>'Auswertung_neu (2)'!I16</f>
        <v>11.703124999999968</v>
      </c>
      <c r="J9" s="498" t="s">
        <v>1168</v>
      </c>
      <c r="K9" s="495" t="s">
        <v>1210</v>
      </c>
      <c r="L9" s="495" t="s">
        <v>1210</v>
      </c>
      <c r="M9" s="495" t="s">
        <v>1210</v>
      </c>
      <c r="N9" s="495" t="s">
        <v>1210</v>
      </c>
      <c r="O9" s="495" t="s">
        <v>1210</v>
      </c>
      <c r="P9" s="495" t="s">
        <v>1210</v>
      </c>
      <c r="Q9" s="498" t="s">
        <v>1254</v>
      </c>
      <c r="R9" s="485">
        <f t="shared" si="5"/>
        <v>0</v>
      </c>
      <c r="S9" s="485">
        <f t="shared" si="6"/>
        <v>0</v>
      </c>
      <c r="T9" s="485">
        <f t="shared" si="7"/>
        <v>0</v>
      </c>
      <c r="U9" s="485">
        <f t="shared" si="8"/>
        <v>0</v>
      </c>
      <c r="V9" s="508">
        <f t="shared" si="9"/>
        <v>0</v>
      </c>
      <c r="W9" s="508">
        <f t="shared" si="10"/>
        <v>0</v>
      </c>
      <c r="X9" s="508" t="str">
        <f t="shared" si="11"/>
        <v>2</v>
      </c>
      <c r="Y9" s="568">
        <f t="shared" si="12"/>
        <v>0.2278929098260076</v>
      </c>
      <c r="Z9" s="485" t="s">
        <v>223</v>
      </c>
      <c r="AA9" s="486" t="s">
        <v>1459</v>
      </c>
      <c r="AB9" s="486" t="s">
        <v>1445</v>
      </c>
    </row>
    <row r="10" spans="1:16344" ht="16.5">
      <c r="A10" s="494" t="s">
        <v>200</v>
      </c>
      <c r="B10" s="495" t="s">
        <v>67</v>
      </c>
      <c r="C10" s="498" t="s">
        <v>996</v>
      </c>
      <c r="D10" s="502">
        <v>0.03</v>
      </c>
      <c r="E10" s="495" t="s">
        <v>1146</v>
      </c>
      <c r="F10" s="498">
        <v>0</v>
      </c>
      <c r="G10" s="498">
        <v>248</v>
      </c>
      <c r="H10" s="548">
        <v>0</v>
      </c>
      <c r="I10" s="503">
        <v>0</v>
      </c>
      <c r="J10" s="498" t="s">
        <v>1366</v>
      </c>
      <c r="K10" s="489" t="s">
        <v>1429</v>
      </c>
      <c r="L10" s="489" t="s">
        <v>1430</v>
      </c>
      <c r="M10" s="498" t="s">
        <v>1215</v>
      </c>
      <c r="N10" s="498" t="s">
        <v>1224</v>
      </c>
      <c r="O10" s="489" t="s">
        <v>1386</v>
      </c>
      <c r="P10" s="495" t="s">
        <v>1255</v>
      </c>
      <c r="Q10" s="495" t="s">
        <v>1210</v>
      </c>
      <c r="R10" s="485" t="str">
        <f t="shared" si="5"/>
        <v>2</v>
      </c>
      <c r="S10" s="485" t="str">
        <f t="shared" si="6"/>
        <v>3</v>
      </c>
      <c r="T10" s="485" t="str">
        <f t="shared" si="7"/>
        <v>4</v>
      </c>
      <c r="U10" s="485" t="str">
        <f t="shared" si="8"/>
        <v>1</v>
      </c>
      <c r="V10" s="508" t="str">
        <f t="shared" si="9"/>
        <v>2</v>
      </c>
      <c r="W10" s="508" t="str">
        <f t="shared" si="10"/>
        <v>2</v>
      </c>
      <c r="X10" s="508">
        <f t="shared" si="11"/>
        <v>0</v>
      </c>
      <c r="Y10" s="568">
        <f>IF(X10=0, (SQRT((($R$3*EXP($Y$3*(R10)))^2)+(($S$3*EXP($Y$3*(1-S10)))^2)+(($T$3*EXP($Y$3*(T10)))^2)+(($U$3*EXP($Y$3*(U10-1)))^2)+(($V$3*EXP($Y$3*(V10-1)))^2)+(($W$3*EXP($Y$3*(W10)))^2)))/100, $X$3*EXP($Y$3*X10)/100)</f>
        <v>1.2566073295694538</v>
      </c>
      <c r="Z10" s="485" t="s">
        <v>200</v>
      </c>
      <c r="AA10" s="486" t="s">
        <v>1447</v>
      </c>
      <c r="AB10" s="486" t="s">
        <v>1447</v>
      </c>
    </row>
    <row r="11" spans="1:16344" ht="16.5">
      <c r="A11" s="494" t="s">
        <v>200</v>
      </c>
      <c r="B11" s="495" t="s">
        <v>67</v>
      </c>
      <c r="C11" s="498" t="s">
        <v>996</v>
      </c>
      <c r="D11" s="502">
        <v>0.03</v>
      </c>
      <c r="E11" s="495" t="s">
        <v>1146</v>
      </c>
      <c r="F11" s="498">
        <v>0</v>
      </c>
      <c r="G11" s="498">
        <v>210</v>
      </c>
      <c r="H11" s="548">
        <v>0</v>
      </c>
      <c r="I11" s="503">
        <v>0</v>
      </c>
      <c r="J11" s="498" t="s">
        <v>1366</v>
      </c>
      <c r="K11" s="489" t="s">
        <v>1429</v>
      </c>
      <c r="L11" s="489" t="s">
        <v>1430</v>
      </c>
      <c r="M11" s="498" t="s">
        <v>1215</v>
      </c>
      <c r="N11" s="498" t="s">
        <v>1224</v>
      </c>
      <c r="O11" s="489" t="s">
        <v>1386</v>
      </c>
      <c r="P11" s="495" t="s">
        <v>1255</v>
      </c>
      <c r="Q11" s="495" t="s">
        <v>1210</v>
      </c>
      <c r="R11" s="485" t="str">
        <f t="shared" si="5"/>
        <v>2</v>
      </c>
      <c r="S11" s="485" t="str">
        <f t="shared" si="6"/>
        <v>3</v>
      </c>
      <c r="T11" s="485" t="str">
        <f t="shared" si="7"/>
        <v>4</v>
      </c>
      <c r="U11" s="485" t="str">
        <f t="shared" si="8"/>
        <v>1</v>
      </c>
      <c r="V11" s="508" t="str">
        <f t="shared" si="9"/>
        <v>2</v>
      </c>
      <c r="W11" s="508" t="str">
        <f t="shared" si="10"/>
        <v>2</v>
      </c>
      <c r="X11" s="508">
        <f t="shared" si="11"/>
        <v>0</v>
      </c>
      <c r="Y11" s="568">
        <f t="shared" si="12"/>
        <v>1.2566073295694538</v>
      </c>
      <c r="Z11" s="485" t="s">
        <v>200</v>
      </c>
      <c r="AA11" s="486" t="s">
        <v>1447</v>
      </c>
      <c r="AB11" s="486" t="s">
        <v>1447</v>
      </c>
    </row>
    <row r="12" spans="1:16344">
      <c r="A12" s="494" t="s">
        <v>200</v>
      </c>
      <c r="B12" s="489" t="s">
        <v>67</v>
      </c>
      <c r="C12" s="489" t="s">
        <v>996</v>
      </c>
      <c r="D12" s="490">
        <v>0.03</v>
      </c>
      <c r="E12" s="495" t="s">
        <v>1146</v>
      </c>
      <c r="F12" s="489">
        <v>0</v>
      </c>
      <c r="G12" s="489">
        <v>678</v>
      </c>
      <c r="H12" s="491">
        <v>0</v>
      </c>
      <c r="I12" s="491">
        <v>0</v>
      </c>
      <c r="J12" s="489" t="s">
        <v>1076</v>
      </c>
      <c r="K12" s="498" t="s">
        <v>1209</v>
      </c>
      <c r="L12" s="505" t="s">
        <v>1211</v>
      </c>
      <c r="M12" s="498" t="s">
        <v>1215</v>
      </c>
      <c r="N12" s="489" t="s">
        <v>1301</v>
      </c>
      <c r="O12" s="489" t="s">
        <v>1287</v>
      </c>
      <c r="P12" s="495" t="s">
        <v>1428</v>
      </c>
      <c r="Q12" s="495" t="s">
        <v>1210</v>
      </c>
      <c r="R12" s="485" t="str">
        <f t="shared" si="5"/>
        <v>1</v>
      </c>
      <c r="S12" s="485" t="str">
        <f t="shared" si="6"/>
        <v>1</v>
      </c>
      <c r="T12" s="485" t="str">
        <f t="shared" si="7"/>
        <v>4</v>
      </c>
      <c r="U12" s="485" t="str">
        <f t="shared" si="8"/>
        <v>2</v>
      </c>
      <c r="V12" s="508" t="str">
        <f t="shared" si="9"/>
        <v>2</v>
      </c>
      <c r="W12" s="508" t="str">
        <f t="shared" si="10"/>
        <v>4</v>
      </c>
      <c r="X12" s="508">
        <f t="shared" si="11"/>
        <v>0</v>
      </c>
      <c r="Y12" s="568">
        <f t="shared" si="12"/>
        <v>1.7635656135106521</v>
      </c>
      <c r="Z12" s="485" t="s">
        <v>200</v>
      </c>
      <c r="AA12" s="486" t="s">
        <v>223</v>
      </c>
      <c r="AB12" s="486" t="s">
        <v>1450</v>
      </c>
    </row>
    <row r="13" spans="1:16344" ht="16.5">
      <c r="A13" s="494" t="s">
        <v>200</v>
      </c>
      <c r="B13" s="495" t="s">
        <v>67</v>
      </c>
      <c r="C13" s="498" t="s">
        <v>996</v>
      </c>
      <c r="D13" s="502">
        <v>0.03</v>
      </c>
      <c r="E13" s="495" t="s">
        <v>1146</v>
      </c>
      <c r="F13" s="498">
        <v>4</v>
      </c>
      <c r="G13" s="498">
        <v>313</v>
      </c>
      <c r="H13" s="548">
        <v>1.2779552715654952E-2</v>
      </c>
      <c r="I13" s="503">
        <v>0.69968051118210928</v>
      </c>
      <c r="J13" s="498" t="s">
        <v>1366</v>
      </c>
      <c r="K13" s="489" t="s">
        <v>1429</v>
      </c>
      <c r="L13" s="489" t="s">
        <v>1430</v>
      </c>
      <c r="M13" s="498" t="s">
        <v>1215</v>
      </c>
      <c r="N13" s="498" t="s">
        <v>1224</v>
      </c>
      <c r="O13" s="489" t="s">
        <v>1386</v>
      </c>
      <c r="P13" s="495" t="s">
        <v>1255</v>
      </c>
      <c r="Q13" s="495" t="s">
        <v>1210</v>
      </c>
      <c r="R13" s="485" t="str">
        <f t="shared" si="5"/>
        <v>2</v>
      </c>
      <c r="S13" s="485" t="str">
        <f t="shared" si="6"/>
        <v>3</v>
      </c>
      <c r="T13" s="485" t="str">
        <f t="shared" si="7"/>
        <v>4</v>
      </c>
      <c r="U13" s="485" t="str">
        <f t="shared" si="8"/>
        <v>1</v>
      </c>
      <c r="V13" s="508" t="str">
        <f t="shared" si="9"/>
        <v>2</v>
      </c>
      <c r="W13" s="508" t="str">
        <f t="shared" si="10"/>
        <v>2</v>
      </c>
      <c r="X13" s="508">
        <f t="shared" si="11"/>
        <v>0</v>
      </c>
      <c r="Y13" s="568">
        <f t="shared" si="12"/>
        <v>1.2566073295694538</v>
      </c>
      <c r="Z13" s="485" t="s">
        <v>200</v>
      </c>
      <c r="AA13" s="486" t="s">
        <v>1447</v>
      </c>
      <c r="AB13" s="486" t="s">
        <v>1447</v>
      </c>
    </row>
    <row r="14" spans="1:16344" s="492" customFormat="1" ht="16.5">
      <c r="A14" s="494" t="s">
        <v>200</v>
      </c>
      <c r="B14" s="495" t="s">
        <v>67</v>
      </c>
      <c r="C14" s="498" t="s">
        <v>996</v>
      </c>
      <c r="D14" s="502">
        <v>0.03</v>
      </c>
      <c r="E14" s="495" t="s">
        <v>1146</v>
      </c>
      <c r="F14" s="498">
        <v>0</v>
      </c>
      <c r="G14" s="498">
        <v>240</v>
      </c>
      <c r="H14" s="548">
        <v>0</v>
      </c>
      <c r="I14" s="503">
        <v>0</v>
      </c>
      <c r="J14" s="498" t="s">
        <v>1366</v>
      </c>
      <c r="K14" s="489" t="s">
        <v>1429</v>
      </c>
      <c r="L14" s="489" t="s">
        <v>1430</v>
      </c>
      <c r="M14" s="498" t="s">
        <v>1215</v>
      </c>
      <c r="N14" s="498" t="s">
        <v>1224</v>
      </c>
      <c r="O14" s="489" t="s">
        <v>1387</v>
      </c>
      <c r="P14" s="495" t="s">
        <v>1255</v>
      </c>
      <c r="Q14" s="495" t="s">
        <v>1210</v>
      </c>
      <c r="R14" s="485" t="str">
        <f t="shared" si="5"/>
        <v>2</v>
      </c>
      <c r="S14" s="485" t="str">
        <f t="shared" si="6"/>
        <v>3</v>
      </c>
      <c r="T14" s="485" t="str">
        <f t="shared" si="7"/>
        <v>4</v>
      </c>
      <c r="U14" s="485" t="str">
        <f t="shared" si="8"/>
        <v>1</v>
      </c>
      <c r="V14" s="508" t="str">
        <f t="shared" si="9"/>
        <v>2</v>
      </c>
      <c r="W14" s="508" t="str">
        <f t="shared" si="10"/>
        <v>2</v>
      </c>
      <c r="X14" s="508">
        <f t="shared" si="11"/>
        <v>0</v>
      </c>
      <c r="Y14" s="568">
        <f t="shared" si="12"/>
        <v>1.2566073295694538</v>
      </c>
      <c r="Z14" s="485" t="s">
        <v>200</v>
      </c>
      <c r="AA14" s="486" t="s">
        <v>1447</v>
      </c>
      <c r="AB14" s="486" t="s">
        <v>1447</v>
      </c>
    </row>
    <row r="15" spans="1:16344" ht="16.5">
      <c r="A15" s="494" t="s">
        <v>200</v>
      </c>
      <c r="B15" s="495" t="s">
        <v>67</v>
      </c>
      <c r="C15" s="498" t="s">
        <v>996</v>
      </c>
      <c r="D15" s="502">
        <v>0.03</v>
      </c>
      <c r="E15" s="495" t="s">
        <v>1146</v>
      </c>
      <c r="F15" s="498">
        <v>1.8</v>
      </c>
      <c r="G15" s="498">
        <v>134</v>
      </c>
      <c r="H15" s="548">
        <v>1.3432835820895522E-2</v>
      </c>
      <c r="I15" s="503">
        <v>0.73544776119403044</v>
      </c>
      <c r="J15" s="498" t="s">
        <v>1366</v>
      </c>
      <c r="K15" s="489" t="s">
        <v>1429</v>
      </c>
      <c r="L15" s="489" t="s">
        <v>1430</v>
      </c>
      <c r="M15" s="498" t="s">
        <v>1215</v>
      </c>
      <c r="N15" s="498" t="s">
        <v>1224</v>
      </c>
      <c r="O15" s="489" t="s">
        <v>1387</v>
      </c>
      <c r="P15" s="495" t="s">
        <v>1255</v>
      </c>
      <c r="Q15" s="495" t="s">
        <v>1210</v>
      </c>
      <c r="R15" s="485" t="str">
        <f t="shared" si="5"/>
        <v>2</v>
      </c>
      <c r="S15" s="485" t="str">
        <f t="shared" si="6"/>
        <v>3</v>
      </c>
      <c r="T15" s="485" t="str">
        <f t="shared" si="7"/>
        <v>4</v>
      </c>
      <c r="U15" s="485" t="str">
        <f t="shared" si="8"/>
        <v>1</v>
      </c>
      <c r="V15" s="508" t="str">
        <f t="shared" si="9"/>
        <v>2</v>
      </c>
      <c r="W15" s="508" t="str">
        <f t="shared" si="10"/>
        <v>2</v>
      </c>
      <c r="X15" s="508">
        <f t="shared" si="11"/>
        <v>0</v>
      </c>
      <c r="Y15" s="568">
        <f t="shared" si="12"/>
        <v>1.2566073295694538</v>
      </c>
      <c r="Z15" s="485" t="s">
        <v>200</v>
      </c>
      <c r="AA15" s="486" t="s">
        <v>1447</v>
      </c>
      <c r="AB15" s="486" t="s">
        <v>1447</v>
      </c>
    </row>
    <row r="16" spans="1:16344" ht="16.5">
      <c r="A16" s="494" t="s">
        <v>200</v>
      </c>
      <c r="B16" s="495" t="s">
        <v>67</v>
      </c>
      <c r="C16" s="498" t="s">
        <v>996</v>
      </c>
      <c r="D16" s="502">
        <v>0.03</v>
      </c>
      <c r="E16" s="495" t="s">
        <v>1146</v>
      </c>
      <c r="F16" s="498">
        <v>2.74</v>
      </c>
      <c r="G16" s="498">
        <v>224</v>
      </c>
      <c r="H16" s="548">
        <v>1.2232142857142858E-2</v>
      </c>
      <c r="I16" s="503">
        <v>0.66970982142857094</v>
      </c>
      <c r="J16" s="498" t="s">
        <v>1366</v>
      </c>
      <c r="K16" s="489" t="s">
        <v>1429</v>
      </c>
      <c r="L16" s="489" t="s">
        <v>1430</v>
      </c>
      <c r="M16" s="498" t="s">
        <v>1215</v>
      </c>
      <c r="N16" s="498" t="s">
        <v>1224</v>
      </c>
      <c r="O16" s="489" t="s">
        <v>1387</v>
      </c>
      <c r="P16" s="495" t="s">
        <v>1255</v>
      </c>
      <c r="Q16" s="495" t="s">
        <v>1210</v>
      </c>
      <c r="R16" s="485" t="str">
        <f t="shared" si="5"/>
        <v>2</v>
      </c>
      <c r="S16" s="485" t="str">
        <f t="shared" si="6"/>
        <v>3</v>
      </c>
      <c r="T16" s="485" t="str">
        <f t="shared" si="7"/>
        <v>4</v>
      </c>
      <c r="U16" s="485" t="str">
        <f t="shared" si="8"/>
        <v>1</v>
      </c>
      <c r="V16" s="508" t="str">
        <f t="shared" si="9"/>
        <v>2</v>
      </c>
      <c r="W16" s="508" t="str">
        <f t="shared" si="10"/>
        <v>2</v>
      </c>
      <c r="X16" s="508">
        <f t="shared" si="11"/>
        <v>0</v>
      </c>
      <c r="Y16" s="568">
        <f t="shared" si="12"/>
        <v>1.2566073295694538</v>
      </c>
      <c r="Z16" s="485" t="s">
        <v>200</v>
      </c>
      <c r="AA16" s="486" t="s">
        <v>1447</v>
      </c>
      <c r="AB16" s="486" t="s">
        <v>1447</v>
      </c>
    </row>
    <row r="17" spans="1:28" ht="16.5">
      <c r="A17" s="494" t="s">
        <v>200</v>
      </c>
      <c r="B17" s="495" t="s">
        <v>67</v>
      </c>
      <c r="C17" s="498" t="s">
        <v>996</v>
      </c>
      <c r="D17" s="502">
        <v>0.03</v>
      </c>
      <c r="E17" s="495" t="s">
        <v>1146</v>
      </c>
      <c r="F17" s="498">
        <v>3.4</v>
      </c>
      <c r="G17" s="498">
        <v>257</v>
      </c>
      <c r="H17" s="548">
        <v>1.3229571984435798E-2</v>
      </c>
      <c r="I17" s="503">
        <v>0.72431906614786057</v>
      </c>
      <c r="J17" s="498" t="s">
        <v>1366</v>
      </c>
      <c r="K17" s="489" t="s">
        <v>1429</v>
      </c>
      <c r="L17" s="489" t="s">
        <v>1430</v>
      </c>
      <c r="M17" s="498" t="s">
        <v>1215</v>
      </c>
      <c r="N17" s="498" t="s">
        <v>1224</v>
      </c>
      <c r="O17" s="489" t="s">
        <v>1387</v>
      </c>
      <c r="P17" s="495" t="s">
        <v>1255</v>
      </c>
      <c r="Q17" s="495" t="s">
        <v>1210</v>
      </c>
      <c r="R17" s="485" t="str">
        <f t="shared" si="5"/>
        <v>2</v>
      </c>
      <c r="S17" s="485" t="str">
        <f t="shared" si="6"/>
        <v>3</v>
      </c>
      <c r="T17" s="485" t="str">
        <f t="shared" si="7"/>
        <v>4</v>
      </c>
      <c r="U17" s="485" t="str">
        <f t="shared" si="8"/>
        <v>1</v>
      </c>
      <c r="V17" s="508" t="str">
        <f t="shared" si="9"/>
        <v>2</v>
      </c>
      <c r="W17" s="508" t="str">
        <f t="shared" si="10"/>
        <v>2</v>
      </c>
      <c r="X17" s="508">
        <f t="shared" si="11"/>
        <v>0</v>
      </c>
      <c r="Y17" s="568">
        <f t="shared" si="12"/>
        <v>1.2566073295694538</v>
      </c>
      <c r="Z17" s="485" t="s">
        <v>200</v>
      </c>
      <c r="AA17" s="486" t="s">
        <v>1447</v>
      </c>
      <c r="AB17" s="486" t="s">
        <v>1447</v>
      </c>
    </row>
    <row r="18" spans="1:28" ht="16.5">
      <c r="A18" s="494" t="s">
        <v>200</v>
      </c>
      <c r="B18" s="495" t="s">
        <v>67</v>
      </c>
      <c r="C18" s="498" t="s">
        <v>996</v>
      </c>
      <c r="D18" s="502">
        <v>0.03</v>
      </c>
      <c r="E18" s="495" t="s">
        <v>1097</v>
      </c>
      <c r="F18" s="498">
        <v>0</v>
      </c>
      <c r="G18" s="498">
        <v>180</v>
      </c>
      <c r="H18" s="548">
        <v>0</v>
      </c>
      <c r="I18" s="503">
        <v>0</v>
      </c>
      <c r="J18" s="498" t="s">
        <v>1366</v>
      </c>
      <c r="K18" s="489" t="s">
        <v>1429</v>
      </c>
      <c r="L18" s="489" t="s">
        <v>1431</v>
      </c>
      <c r="M18" s="498" t="s">
        <v>1215</v>
      </c>
      <c r="N18" s="498" t="s">
        <v>1224</v>
      </c>
      <c r="O18" s="489" t="s">
        <v>1386</v>
      </c>
      <c r="P18" s="495" t="s">
        <v>1255</v>
      </c>
      <c r="Q18" s="495" t="s">
        <v>1210</v>
      </c>
      <c r="R18" s="485" t="str">
        <f t="shared" si="5"/>
        <v>2</v>
      </c>
      <c r="S18" s="485" t="str">
        <f t="shared" si="6"/>
        <v>3</v>
      </c>
      <c r="T18" s="485" t="str">
        <f t="shared" si="7"/>
        <v>4</v>
      </c>
      <c r="U18" s="485" t="str">
        <f t="shared" si="8"/>
        <v>1</v>
      </c>
      <c r="V18" s="508" t="str">
        <f t="shared" si="9"/>
        <v>2</v>
      </c>
      <c r="W18" s="508" t="str">
        <f t="shared" si="10"/>
        <v>2</v>
      </c>
      <c r="X18" s="508">
        <f t="shared" si="11"/>
        <v>0</v>
      </c>
      <c r="Y18" s="568">
        <f t="shared" si="12"/>
        <v>1.2566073295694538</v>
      </c>
      <c r="Z18" s="485" t="s">
        <v>200</v>
      </c>
      <c r="AA18" s="486" t="s">
        <v>223</v>
      </c>
      <c r="AB18" s="486" t="s">
        <v>1450</v>
      </c>
    </row>
    <row r="19" spans="1:28" ht="16.5">
      <c r="A19" s="494" t="s">
        <v>200</v>
      </c>
      <c r="B19" s="495" t="s">
        <v>67</v>
      </c>
      <c r="C19" s="498" t="s">
        <v>996</v>
      </c>
      <c r="D19" s="502">
        <v>0.03</v>
      </c>
      <c r="E19" s="495" t="s">
        <v>1097</v>
      </c>
      <c r="F19" s="498">
        <v>0</v>
      </c>
      <c r="G19" s="498">
        <v>175</v>
      </c>
      <c r="H19" s="548">
        <v>0</v>
      </c>
      <c r="I19" s="503">
        <v>0</v>
      </c>
      <c r="J19" s="498" t="s">
        <v>1366</v>
      </c>
      <c r="K19" s="489" t="s">
        <v>1429</v>
      </c>
      <c r="L19" s="489" t="s">
        <v>1431</v>
      </c>
      <c r="M19" s="498" t="s">
        <v>1215</v>
      </c>
      <c r="N19" s="498" t="s">
        <v>1224</v>
      </c>
      <c r="O19" s="489" t="s">
        <v>1386</v>
      </c>
      <c r="P19" s="495" t="s">
        <v>1255</v>
      </c>
      <c r="Q19" s="495" t="s">
        <v>1210</v>
      </c>
      <c r="R19" s="485" t="str">
        <f t="shared" si="5"/>
        <v>2</v>
      </c>
      <c r="S19" s="485" t="str">
        <f t="shared" si="6"/>
        <v>3</v>
      </c>
      <c r="T19" s="485" t="str">
        <f t="shared" si="7"/>
        <v>4</v>
      </c>
      <c r="U19" s="485" t="str">
        <f t="shared" si="8"/>
        <v>1</v>
      </c>
      <c r="V19" s="508" t="str">
        <f t="shared" si="9"/>
        <v>2</v>
      </c>
      <c r="W19" s="508" t="str">
        <f t="shared" si="10"/>
        <v>2</v>
      </c>
      <c r="X19" s="508">
        <f t="shared" si="11"/>
        <v>0</v>
      </c>
      <c r="Y19" s="568">
        <f t="shared" si="12"/>
        <v>1.2566073295694538</v>
      </c>
      <c r="Z19" s="485" t="s">
        <v>200</v>
      </c>
      <c r="AA19" s="486" t="s">
        <v>223</v>
      </c>
      <c r="AB19" s="486" t="s">
        <v>1450</v>
      </c>
    </row>
    <row r="20" spans="1:28" ht="16.5">
      <c r="A20" s="494" t="s">
        <v>200</v>
      </c>
      <c r="B20" s="495" t="s">
        <v>67</v>
      </c>
      <c r="C20" s="498" t="s">
        <v>996</v>
      </c>
      <c r="D20" s="502">
        <v>0.03</v>
      </c>
      <c r="E20" s="495" t="s">
        <v>1097</v>
      </c>
      <c r="F20" s="498">
        <v>6.1</v>
      </c>
      <c r="G20" s="498">
        <v>220</v>
      </c>
      <c r="H20" s="548">
        <v>2.7727272727272725E-2</v>
      </c>
      <c r="I20" s="503">
        <v>1.5180681818181807</v>
      </c>
      <c r="J20" s="498" t="s">
        <v>1366</v>
      </c>
      <c r="K20" s="489" t="s">
        <v>1429</v>
      </c>
      <c r="L20" s="489" t="s">
        <v>1431</v>
      </c>
      <c r="M20" s="498" t="s">
        <v>1215</v>
      </c>
      <c r="N20" s="498" t="s">
        <v>1224</v>
      </c>
      <c r="O20" s="489" t="s">
        <v>1386</v>
      </c>
      <c r="P20" s="495" t="s">
        <v>1255</v>
      </c>
      <c r="Q20" s="495" t="s">
        <v>1210</v>
      </c>
      <c r="R20" s="485" t="str">
        <f t="shared" si="5"/>
        <v>2</v>
      </c>
      <c r="S20" s="485" t="str">
        <f t="shared" si="6"/>
        <v>3</v>
      </c>
      <c r="T20" s="485" t="str">
        <f t="shared" si="7"/>
        <v>4</v>
      </c>
      <c r="U20" s="485" t="str">
        <f t="shared" si="8"/>
        <v>1</v>
      </c>
      <c r="V20" s="508" t="str">
        <f t="shared" si="9"/>
        <v>2</v>
      </c>
      <c r="W20" s="508" t="str">
        <f t="shared" si="10"/>
        <v>2</v>
      </c>
      <c r="X20" s="508">
        <f t="shared" si="11"/>
        <v>0</v>
      </c>
      <c r="Y20" s="568">
        <f t="shared" si="12"/>
        <v>1.2566073295694538</v>
      </c>
      <c r="Z20" s="485" t="s">
        <v>200</v>
      </c>
      <c r="AA20" s="486" t="s">
        <v>223</v>
      </c>
      <c r="AB20" s="486" t="s">
        <v>1450</v>
      </c>
    </row>
    <row r="21" spans="1:28">
      <c r="A21" s="494" t="s">
        <v>200</v>
      </c>
      <c r="B21" s="495" t="s">
        <v>67</v>
      </c>
      <c r="C21" s="495" t="s">
        <v>996</v>
      </c>
      <c r="D21" s="496">
        <v>0.03</v>
      </c>
      <c r="E21" s="495" t="s">
        <v>1097</v>
      </c>
      <c r="F21" s="495">
        <v>0</v>
      </c>
      <c r="G21" s="495">
        <v>678</v>
      </c>
      <c r="H21" s="497">
        <v>0</v>
      </c>
      <c r="I21" s="497">
        <v>0</v>
      </c>
      <c r="J21" s="495" t="s">
        <v>1076</v>
      </c>
      <c r="K21" s="498" t="s">
        <v>1209</v>
      </c>
      <c r="L21" s="505" t="s">
        <v>1211</v>
      </c>
      <c r="M21" s="498" t="s">
        <v>1215</v>
      </c>
      <c r="N21" s="489" t="s">
        <v>1301</v>
      </c>
      <c r="O21" s="489" t="s">
        <v>1287</v>
      </c>
      <c r="P21" s="495" t="s">
        <v>1428</v>
      </c>
      <c r="Q21" s="495" t="s">
        <v>1210</v>
      </c>
      <c r="R21" s="485" t="str">
        <f t="shared" si="5"/>
        <v>1</v>
      </c>
      <c r="S21" s="485" t="str">
        <f t="shared" si="6"/>
        <v>1</v>
      </c>
      <c r="T21" s="485" t="str">
        <f t="shared" si="7"/>
        <v>4</v>
      </c>
      <c r="U21" s="485" t="str">
        <f t="shared" si="8"/>
        <v>2</v>
      </c>
      <c r="V21" s="508" t="str">
        <f t="shared" si="9"/>
        <v>2</v>
      </c>
      <c r="W21" s="508" t="str">
        <f t="shared" si="10"/>
        <v>4</v>
      </c>
      <c r="X21" s="508">
        <f t="shared" si="11"/>
        <v>0</v>
      </c>
      <c r="Y21" s="568">
        <f t="shared" si="12"/>
        <v>1.7635656135106521</v>
      </c>
      <c r="Z21" s="485" t="s">
        <v>200</v>
      </c>
      <c r="AA21" s="486" t="s">
        <v>223</v>
      </c>
      <c r="AB21" s="486" t="s">
        <v>1450</v>
      </c>
    </row>
    <row r="22" spans="1:28">
      <c r="A22" s="494" t="s">
        <v>200</v>
      </c>
      <c r="B22" s="495" t="s">
        <v>67</v>
      </c>
      <c r="C22" s="495" t="s">
        <v>996</v>
      </c>
      <c r="D22" s="496">
        <v>0.03</v>
      </c>
      <c r="E22" s="495" t="s">
        <v>1097</v>
      </c>
      <c r="F22" s="495">
        <v>0</v>
      </c>
      <c r="G22" s="495">
        <v>678</v>
      </c>
      <c r="H22" s="497">
        <v>0</v>
      </c>
      <c r="I22" s="497">
        <v>0</v>
      </c>
      <c r="J22" s="495" t="s">
        <v>1076</v>
      </c>
      <c r="K22" s="498" t="s">
        <v>1209</v>
      </c>
      <c r="L22" s="505" t="s">
        <v>1211</v>
      </c>
      <c r="M22" s="498" t="s">
        <v>1215</v>
      </c>
      <c r="N22" s="489" t="s">
        <v>1301</v>
      </c>
      <c r="O22" s="489" t="s">
        <v>1287</v>
      </c>
      <c r="P22" s="495" t="s">
        <v>1428</v>
      </c>
      <c r="Q22" s="495" t="s">
        <v>1210</v>
      </c>
      <c r="R22" s="485" t="str">
        <f t="shared" si="5"/>
        <v>1</v>
      </c>
      <c r="S22" s="485" t="str">
        <f t="shared" si="6"/>
        <v>1</v>
      </c>
      <c r="T22" s="485" t="str">
        <f t="shared" si="7"/>
        <v>4</v>
      </c>
      <c r="U22" s="485" t="str">
        <f t="shared" si="8"/>
        <v>2</v>
      </c>
      <c r="V22" s="508" t="str">
        <f t="shared" si="9"/>
        <v>2</v>
      </c>
      <c r="W22" s="508" t="str">
        <f t="shared" si="10"/>
        <v>4</v>
      </c>
      <c r="X22" s="508">
        <f t="shared" si="11"/>
        <v>0</v>
      </c>
      <c r="Y22" s="568">
        <f t="shared" si="12"/>
        <v>1.7635656135106521</v>
      </c>
      <c r="Z22" s="485" t="s">
        <v>200</v>
      </c>
      <c r="AA22" s="486" t="s">
        <v>223</v>
      </c>
      <c r="AB22" s="486" t="s">
        <v>1450</v>
      </c>
    </row>
    <row r="23" spans="1:28" ht="16.5">
      <c r="A23" s="494" t="s">
        <v>200</v>
      </c>
      <c r="B23" s="495" t="s">
        <v>67</v>
      </c>
      <c r="C23" s="498" t="s">
        <v>996</v>
      </c>
      <c r="D23" s="502">
        <v>0.03</v>
      </c>
      <c r="E23" s="495" t="s">
        <v>1097</v>
      </c>
      <c r="F23" s="498">
        <v>0</v>
      </c>
      <c r="G23" s="498">
        <v>180</v>
      </c>
      <c r="H23" s="548">
        <v>0</v>
      </c>
      <c r="I23" s="503">
        <v>0</v>
      </c>
      <c r="J23" s="498" t="s">
        <v>1366</v>
      </c>
      <c r="K23" s="489" t="s">
        <v>1429</v>
      </c>
      <c r="L23" s="489" t="s">
        <v>1431</v>
      </c>
      <c r="M23" s="498" t="s">
        <v>1215</v>
      </c>
      <c r="N23" s="498" t="s">
        <v>1224</v>
      </c>
      <c r="O23" s="489" t="s">
        <v>1387</v>
      </c>
      <c r="P23" s="495" t="s">
        <v>1255</v>
      </c>
      <c r="Q23" s="495" t="s">
        <v>1210</v>
      </c>
      <c r="R23" s="485" t="str">
        <f t="shared" si="5"/>
        <v>2</v>
      </c>
      <c r="S23" s="485" t="str">
        <f t="shared" si="6"/>
        <v>3</v>
      </c>
      <c r="T23" s="485" t="str">
        <f t="shared" si="7"/>
        <v>4</v>
      </c>
      <c r="U23" s="485" t="str">
        <f t="shared" si="8"/>
        <v>1</v>
      </c>
      <c r="V23" s="508" t="str">
        <f t="shared" si="9"/>
        <v>2</v>
      </c>
      <c r="W23" s="508" t="str">
        <f t="shared" si="10"/>
        <v>2</v>
      </c>
      <c r="X23" s="508">
        <f t="shared" si="11"/>
        <v>0</v>
      </c>
      <c r="Y23" s="568">
        <f t="shared" si="12"/>
        <v>1.2566073295694538</v>
      </c>
      <c r="Z23" s="485" t="s">
        <v>200</v>
      </c>
      <c r="AA23" s="486" t="s">
        <v>223</v>
      </c>
      <c r="AB23" s="486" t="s">
        <v>1450</v>
      </c>
    </row>
    <row r="24" spans="1:28" ht="16.5">
      <c r="A24" s="494" t="s">
        <v>200</v>
      </c>
      <c r="B24" s="495" t="s">
        <v>67</v>
      </c>
      <c r="C24" s="498" t="s">
        <v>996</v>
      </c>
      <c r="D24" s="502">
        <v>0.03</v>
      </c>
      <c r="E24" s="495" t="s">
        <v>1097</v>
      </c>
      <c r="F24" s="498">
        <v>0</v>
      </c>
      <c r="G24" s="498">
        <v>180</v>
      </c>
      <c r="H24" s="548">
        <v>0</v>
      </c>
      <c r="I24" s="503">
        <v>0</v>
      </c>
      <c r="J24" s="498" t="s">
        <v>1366</v>
      </c>
      <c r="K24" s="489" t="s">
        <v>1429</v>
      </c>
      <c r="L24" s="489" t="s">
        <v>1431</v>
      </c>
      <c r="M24" s="498" t="s">
        <v>1215</v>
      </c>
      <c r="N24" s="498" t="s">
        <v>1224</v>
      </c>
      <c r="O24" s="489" t="s">
        <v>1387</v>
      </c>
      <c r="P24" s="495" t="s">
        <v>1255</v>
      </c>
      <c r="Q24" s="495" t="s">
        <v>1210</v>
      </c>
      <c r="R24" s="485" t="str">
        <f t="shared" si="5"/>
        <v>2</v>
      </c>
      <c r="S24" s="485" t="str">
        <f t="shared" si="6"/>
        <v>3</v>
      </c>
      <c r="T24" s="485" t="str">
        <f t="shared" si="7"/>
        <v>4</v>
      </c>
      <c r="U24" s="485" t="str">
        <f t="shared" si="8"/>
        <v>1</v>
      </c>
      <c r="V24" s="508" t="str">
        <f t="shared" si="9"/>
        <v>2</v>
      </c>
      <c r="W24" s="508" t="str">
        <f t="shared" si="10"/>
        <v>2</v>
      </c>
      <c r="X24" s="508">
        <f t="shared" si="11"/>
        <v>0</v>
      </c>
      <c r="Y24" s="568">
        <f t="shared" si="12"/>
        <v>1.2566073295694538</v>
      </c>
      <c r="Z24" s="485" t="s">
        <v>200</v>
      </c>
      <c r="AA24" s="486" t="s">
        <v>223</v>
      </c>
      <c r="AB24" s="486" t="s">
        <v>1450</v>
      </c>
    </row>
    <row r="25" spans="1:28" ht="16.5">
      <c r="A25" s="494" t="s">
        <v>200</v>
      </c>
      <c r="B25" s="495" t="s">
        <v>67</v>
      </c>
      <c r="C25" s="498" t="s">
        <v>996</v>
      </c>
      <c r="D25" s="502">
        <v>0.03</v>
      </c>
      <c r="E25" s="495" t="s">
        <v>1097</v>
      </c>
      <c r="F25" s="498">
        <v>12.4</v>
      </c>
      <c r="G25" s="498">
        <v>120</v>
      </c>
      <c r="H25" s="548">
        <v>0.10333333333333333</v>
      </c>
      <c r="I25" s="503">
        <v>5.6574999999999998</v>
      </c>
      <c r="J25" s="498" t="s">
        <v>1366</v>
      </c>
      <c r="K25" s="489" t="s">
        <v>1429</v>
      </c>
      <c r="L25" s="489" t="s">
        <v>1431</v>
      </c>
      <c r="M25" s="498" t="s">
        <v>1214</v>
      </c>
      <c r="N25" s="498" t="s">
        <v>1224</v>
      </c>
      <c r="O25" s="489" t="s">
        <v>1387</v>
      </c>
      <c r="P25" s="495" t="s">
        <v>1255</v>
      </c>
      <c r="Q25" s="495" t="s">
        <v>1210</v>
      </c>
      <c r="R25" s="485" t="str">
        <f t="shared" si="5"/>
        <v>2</v>
      </c>
      <c r="S25" s="485" t="str">
        <f t="shared" si="6"/>
        <v>3</v>
      </c>
      <c r="T25" s="485" t="str">
        <f t="shared" si="7"/>
        <v>3</v>
      </c>
      <c r="U25" s="485" t="str">
        <f t="shared" si="8"/>
        <v>1</v>
      </c>
      <c r="V25" s="508" t="str">
        <f t="shared" si="9"/>
        <v>2</v>
      </c>
      <c r="W25" s="508" t="str">
        <f t="shared" si="10"/>
        <v>2</v>
      </c>
      <c r="X25" s="508">
        <f t="shared" si="11"/>
        <v>0</v>
      </c>
      <c r="Y25" s="568">
        <f t="shared" si="12"/>
        <v>0.44257442881637366</v>
      </c>
      <c r="Z25" s="485" t="s">
        <v>200</v>
      </c>
      <c r="AA25" s="486" t="s">
        <v>200</v>
      </c>
      <c r="AB25" s="486" t="s">
        <v>1448</v>
      </c>
    </row>
    <row r="26" spans="1:28">
      <c r="A26" s="494" t="s">
        <v>200</v>
      </c>
      <c r="B26" s="495" t="s">
        <v>67</v>
      </c>
      <c r="C26" s="495" t="s">
        <v>476</v>
      </c>
      <c r="D26" s="496">
        <v>1.5</v>
      </c>
      <c r="E26" s="495" t="s">
        <v>1097</v>
      </c>
      <c r="F26" s="495">
        <v>1.9</v>
      </c>
      <c r="G26" s="495">
        <v>365</v>
      </c>
      <c r="H26" s="497">
        <v>5.2054794520547945E-3</v>
      </c>
      <c r="I26" s="497">
        <v>14.250000000000011</v>
      </c>
      <c r="J26" s="495" t="s">
        <v>1062</v>
      </c>
      <c r="K26" s="498" t="s">
        <v>1209</v>
      </c>
      <c r="L26" s="504" t="s">
        <v>1211</v>
      </c>
      <c r="M26" s="498" t="s">
        <v>1215</v>
      </c>
      <c r="N26" s="498" t="s">
        <v>1238</v>
      </c>
      <c r="O26" s="495" t="s">
        <v>1282</v>
      </c>
      <c r="P26" s="495" t="s">
        <v>1293</v>
      </c>
      <c r="Q26" s="495" t="s">
        <v>1210</v>
      </c>
      <c r="R26" s="485" t="str">
        <f t="shared" si="5"/>
        <v>1</v>
      </c>
      <c r="S26" s="485" t="str">
        <f t="shared" si="6"/>
        <v>1</v>
      </c>
      <c r="T26" s="485" t="str">
        <f t="shared" si="7"/>
        <v>4</v>
      </c>
      <c r="U26" s="485" t="str">
        <f t="shared" si="8"/>
        <v>3</v>
      </c>
      <c r="V26" s="508" t="str">
        <f t="shared" si="9"/>
        <v>3</v>
      </c>
      <c r="W26" s="508" t="str">
        <f t="shared" si="10"/>
        <v>3</v>
      </c>
      <c r="X26" s="508">
        <f t="shared" si="11"/>
        <v>0</v>
      </c>
      <c r="Y26" s="568">
        <f t="shared" si="12"/>
        <v>1.3208557064418265</v>
      </c>
      <c r="Z26" s="485" t="s">
        <v>200</v>
      </c>
      <c r="AA26" s="486" t="s">
        <v>223</v>
      </c>
      <c r="AB26" s="486" t="s">
        <v>1450</v>
      </c>
    </row>
    <row r="27" spans="1:28">
      <c r="A27" s="494" t="s">
        <v>200</v>
      </c>
      <c r="B27" s="495" t="s">
        <v>67</v>
      </c>
      <c r="C27" s="495" t="s">
        <v>288</v>
      </c>
      <c r="D27" s="496">
        <v>1.5</v>
      </c>
      <c r="E27" s="495" t="s">
        <v>1097</v>
      </c>
      <c r="F27" s="495">
        <v>2.5</v>
      </c>
      <c r="G27" s="495">
        <v>180</v>
      </c>
      <c r="H27" s="497">
        <v>1.3888888888888888E-2</v>
      </c>
      <c r="I27" s="497">
        <v>38.020833333333371</v>
      </c>
      <c r="J27" s="495" t="s">
        <v>277</v>
      </c>
      <c r="K27" s="498" t="s">
        <v>1209</v>
      </c>
      <c r="L27" s="505" t="s">
        <v>1211</v>
      </c>
      <c r="M27" s="498" t="s">
        <v>1215</v>
      </c>
      <c r="N27" s="498" t="s">
        <v>1238</v>
      </c>
      <c r="O27" s="495" t="s">
        <v>1282</v>
      </c>
      <c r="P27" s="495" t="s">
        <v>1293</v>
      </c>
      <c r="Q27" s="495" t="s">
        <v>1210</v>
      </c>
      <c r="R27" s="485" t="str">
        <f t="shared" si="5"/>
        <v>1</v>
      </c>
      <c r="S27" s="485" t="str">
        <f t="shared" si="6"/>
        <v>1</v>
      </c>
      <c r="T27" s="485" t="str">
        <f t="shared" si="7"/>
        <v>4</v>
      </c>
      <c r="U27" s="485" t="str">
        <f t="shared" si="8"/>
        <v>3</v>
      </c>
      <c r="V27" s="508" t="str">
        <f t="shared" si="9"/>
        <v>3</v>
      </c>
      <c r="W27" s="508" t="str">
        <f t="shared" si="10"/>
        <v>3</v>
      </c>
      <c r="X27" s="508">
        <f t="shared" si="11"/>
        <v>0</v>
      </c>
      <c r="Y27" s="568">
        <f t="shared" si="12"/>
        <v>1.3208557064418265</v>
      </c>
      <c r="Z27" s="485" t="s">
        <v>200</v>
      </c>
      <c r="AA27" s="486" t="s">
        <v>223</v>
      </c>
      <c r="AB27" s="486" t="s">
        <v>1450</v>
      </c>
    </row>
    <row r="28" spans="1:28">
      <c r="A28" s="494" t="s">
        <v>223</v>
      </c>
      <c r="B28" s="495" t="s">
        <v>67</v>
      </c>
      <c r="C28" s="498" t="s">
        <v>596</v>
      </c>
      <c r="D28" s="502" t="s">
        <v>596</v>
      </c>
      <c r="E28" s="495" t="s">
        <v>1143</v>
      </c>
      <c r="F28" s="498" t="s">
        <v>596</v>
      </c>
      <c r="G28" s="498" t="s">
        <v>596</v>
      </c>
      <c r="H28" s="498" t="s">
        <v>596</v>
      </c>
      <c r="I28" s="503">
        <f>'Auswertung_neu (2)'!I22</f>
        <v>0.33485491071428547</v>
      </c>
      <c r="J28" s="498" t="s">
        <v>1168</v>
      </c>
      <c r="K28" s="495" t="s">
        <v>1210</v>
      </c>
      <c r="L28" s="495" t="s">
        <v>1210</v>
      </c>
      <c r="M28" s="495" t="s">
        <v>1210</v>
      </c>
      <c r="N28" s="495" t="s">
        <v>1210</v>
      </c>
      <c r="O28" s="495" t="s">
        <v>1210</v>
      </c>
      <c r="P28" s="495" t="s">
        <v>1210</v>
      </c>
      <c r="Q28" s="489" t="s">
        <v>1254</v>
      </c>
      <c r="R28" s="485">
        <f t="shared" si="5"/>
        <v>0</v>
      </c>
      <c r="S28" s="485">
        <f t="shared" si="6"/>
        <v>0</v>
      </c>
      <c r="T28" s="485">
        <f t="shared" si="7"/>
        <v>0</v>
      </c>
      <c r="U28" s="485">
        <f t="shared" si="8"/>
        <v>0</v>
      </c>
      <c r="V28" s="508">
        <f t="shared" si="9"/>
        <v>0</v>
      </c>
      <c r="W28" s="508">
        <f t="shared" si="10"/>
        <v>0</v>
      </c>
      <c r="X28" s="508" t="str">
        <f t="shared" si="11"/>
        <v>2</v>
      </c>
      <c r="Y28" s="568">
        <f t="shared" si="12"/>
        <v>0.2278929098260076</v>
      </c>
      <c r="Z28" s="485" t="s">
        <v>223</v>
      </c>
      <c r="AA28" s="486" t="s">
        <v>1460</v>
      </c>
      <c r="AB28" s="486" t="s">
        <v>1455</v>
      </c>
    </row>
    <row r="29" spans="1:28">
      <c r="A29" s="494" t="s">
        <v>223</v>
      </c>
      <c r="B29" s="495" t="s">
        <v>67</v>
      </c>
      <c r="C29" s="498" t="s">
        <v>596</v>
      </c>
      <c r="D29" s="502" t="s">
        <v>596</v>
      </c>
      <c r="E29" s="495" t="s">
        <v>1019</v>
      </c>
      <c r="F29" s="498" t="s">
        <v>596</v>
      </c>
      <c r="G29" s="498" t="s">
        <v>596</v>
      </c>
      <c r="H29" s="498" t="s">
        <v>596</v>
      </c>
      <c r="I29" s="503">
        <v>5.66</v>
      </c>
      <c r="J29" s="498" t="s">
        <v>1168</v>
      </c>
      <c r="K29" s="495" t="s">
        <v>1210</v>
      </c>
      <c r="L29" s="495" t="s">
        <v>1210</v>
      </c>
      <c r="M29" s="495" t="s">
        <v>1210</v>
      </c>
      <c r="N29" s="495" t="s">
        <v>1210</v>
      </c>
      <c r="O29" s="495" t="s">
        <v>1210</v>
      </c>
      <c r="P29" s="495" t="s">
        <v>1210</v>
      </c>
      <c r="Q29" s="489" t="s">
        <v>1254</v>
      </c>
      <c r="R29" s="485">
        <f t="shared" si="5"/>
        <v>0</v>
      </c>
      <c r="S29" s="485">
        <f t="shared" si="6"/>
        <v>0</v>
      </c>
      <c r="T29" s="485">
        <f t="shared" si="7"/>
        <v>0</v>
      </c>
      <c r="U29" s="485">
        <f t="shared" si="8"/>
        <v>0</v>
      </c>
      <c r="V29" s="508">
        <f t="shared" si="9"/>
        <v>0</v>
      </c>
      <c r="W29" s="508">
        <f t="shared" si="10"/>
        <v>0</v>
      </c>
      <c r="X29" s="508" t="str">
        <f t="shared" si="11"/>
        <v>2</v>
      </c>
      <c r="Y29" s="568">
        <f t="shared" si="12"/>
        <v>0.2278929098260076</v>
      </c>
      <c r="Z29" s="485" t="s">
        <v>223</v>
      </c>
      <c r="AA29" s="486" t="s">
        <v>1459</v>
      </c>
      <c r="AB29" s="486" t="s">
        <v>1445</v>
      </c>
    </row>
    <row r="30" spans="1:28">
      <c r="A30" s="501" t="s">
        <v>223</v>
      </c>
      <c r="B30" s="495" t="s">
        <v>191</v>
      </c>
      <c r="C30" s="498" t="s">
        <v>596</v>
      </c>
      <c r="D30" s="502" t="s">
        <v>596</v>
      </c>
      <c r="E30" s="495" t="s">
        <v>1146</v>
      </c>
      <c r="F30" s="498" t="s">
        <v>596</v>
      </c>
      <c r="G30" s="498" t="s">
        <v>596</v>
      </c>
      <c r="H30" s="498" t="s">
        <v>596</v>
      </c>
      <c r="I30" s="503">
        <f>'Auswertung_neu (2)'!I48</f>
        <v>43.650000000000013</v>
      </c>
      <c r="J30" s="498" t="s">
        <v>1168</v>
      </c>
      <c r="K30" s="495" t="s">
        <v>1210</v>
      </c>
      <c r="L30" s="495" t="s">
        <v>1210</v>
      </c>
      <c r="M30" s="495" t="s">
        <v>1210</v>
      </c>
      <c r="N30" s="495" t="s">
        <v>1210</v>
      </c>
      <c r="O30" s="495" t="s">
        <v>1210</v>
      </c>
      <c r="P30" s="495" t="s">
        <v>1210</v>
      </c>
      <c r="Q30" s="489" t="s">
        <v>1254</v>
      </c>
      <c r="R30" s="485">
        <f t="shared" si="5"/>
        <v>0</v>
      </c>
      <c r="S30" s="485">
        <f t="shared" si="6"/>
        <v>0</v>
      </c>
      <c r="T30" s="485">
        <f t="shared" si="7"/>
        <v>0</v>
      </c>
      <c r="U30" s="485">
        <f t="shared" si="8"/>
        <v>0</v>
      </c>
      <c r="V30" s="508">
        <f t="shared" si="9"/>
        <v>0</v>
      </c>
      <c r="W30" s="508">
        <f t="shared" si="10"/>
        <v>0</v>
      </c>
      <c r="X30" s="508" t="str">
        <f t="shared" si="11"/>
        <v>2</v>
      </c>
      <c r="Y30" s="568">
        <f t="shared" si="12"/>
        <v>0.2278929098260076</v>
      </c>
      <c r="Z30" s="485" t="s">
        <v>223</v>
      </c>
      <c r="AA30" s="486" t="s">
        <v>1459</v>
      </c>
      <c r="AB30" s="486" t="s">
        <v>1445</v>
      </c>
    </row>
    <row r="31" spans="1:28">
      <c r="A31" s="494" t="s">
        <v>200</v>
      </c>
      <c r="B31" s="495" t="s">
        <v>191</v>
      </c>
      <c r="C31" s="495" t="s">
        <v>288</v>
      </c>
      <c r="D31" s="496">
        <v>3</v>
      </c>
      <c r="E31" s="495" t="s">
        <v>1097</v>
      </c>
      <c r="F31" s="495">
        <v>2.91</v>
      </c>
      <c r="G31" s="495">
        <v>365</v>
      </c>
      <c r="H31" s="497">
        <v>7.9726027397260275E-3</v>
      </c>
      <c r="I31" s="497">
        <v>43.650000000000013</v>
      </c>
      <c r="J31" s="495" t="s">
        <v>303</v>
      </c>
      <c r="K31" s="498" t="s">
        <v>1209</v>
      </c>
      <c r="L31" s="505" t="s">
        <v>1211</v>
      </c>
      <c r="M31" s="498" t="s">
        <v>1215</v>
      </c>
      <c r="N31" s="495" t="s">
        <v>1240</v>
      </c>
      <c r="O31" s="495" t="s">
        <v>1282</v>
      </c>
      <c r="P31" s="495" t="s">
        <v>1293</v>
      </c>
      <c r="Q31" s="495" t="s">
        <v>1210</v>
      </c>
      <c r="R31" s="485" t="str">
        <f t="shared" si="5"/>
        <v>1</v>
      </c>
      <c r="S31" s="485" t="str">
        <f t="shared" si="6"/>
        <v>1</v>
      </c>
      <c r="T31" s="485" t="str">
        <f t="shared" si="7"/>
        <v>4</v>
      </c>
      <c r="U31" s="485" t="str">
        <f t="shared" si="8"/>
        <v>2</v>
      </c>
      <c r="V31" s="508" t="str">
        <f t="shared" si="9"/>
        <v>3</v>
      </c>
      <c r="W31" s="508" t="str">
        <f t="shared" si="10"/>
        <v>3</v>
      </c>
      <c r="X31" s="508">
        <f t="shared" si="11"/>
        <v>0</v>
      </c>
      <c r="Y31" s="568">
        <f t="shared" si="12"/>
        <v>1.3204618303793796</v>
      </c>
      <c r="Z31" s="485" t="s">
        <v>200</v>
      </c>
      <c r="AA31" s="486" t="s">
        <v>200</v>
      </c>
      <c r="AB31" s="486" t="s">
        <v>1449</v>
      </c>
    </row>
    <row r="32" spans="1:28">
      <c r="A32" s="501" t="s">
        <v>223</v>
      </c>
      <c r="B32" s="495" t="s">
        <v>191</v>
      </c>
      <c r="C32" s="498" t="s">
        <v>596</v>
      </c>
      <c r="D32" s="502" t="s">
        <v>596</v>
      </c>
      <c r="E32" s="495" t="s">
        <v>1143</v>
      </c>
      <c r="F32" s="498" t="s">
        <v>596</v>
      </c>
      <c r="G32" s="498" t="s">
        <v>596</v>
      </c>
      <c r="H32" s="498" t="s">
        <v>596</v>
      </c>
      <c r="I32" s="503">
        <f>'Auswertung_neu (2)'!I47</f>
        <v>43.650000000000013</v>
      </c>
      <c r="J32" s="498" t="s">
        <v>1168</v>
      </c>
      <c r="K32" s="495" t="s">
        <v>1210</v>
      </c>
      <c r="L32" s="495" t="s">
        <v>1210</v>
      </c>
      <c r="M32" s="495" t="s">
        <v>1210</v>
      </c>
      <c r="N32" s="495" t="s">
        <v>1210</v>
      </c>
      <c r="O32" s="495" t="s">
        <v>1210</v>
      </c>
      <c r="P32" s="495" t="s">
        <v>1210</v>
      </c>
      <c r="Q32" s="489" t="s">
        <v>1254</v>
      </c>
      <c r="R32" s="485">
        <f t="shared" si="5"/>
        <v>0</v>
      </c>
      <c r="S32" s="485">
        <f t="shared" si="6"/>
        <v>0</v>
      </c>
      <c r="T32" s="485">
        <f t="shared" si="7"/>
        <v>0</v>
      </c>
      <c r="U32" s="485">
        <f t="shared" si="8"/>
        <v>0</v>
      </c>
      <c r="V32" s="508">
        <f t="shared" si="9"/>
        <v>0</v>
      </c>
      <c r="W32" s="508">
        <f t="shared" si="10"/>
        <v>0</v>
      </c>
      <c r="X32" s="508" t="str">
        <f t="shared" si="11"/>
        <v>2</v>
      </c>
      <c r="Y32" s="568">
        <f t="shared" si="12"/>
        <v>0.2278929098260076</v>
      </c>
      <c r="Z32" s="485" t="s">
        <v>223</v>
      </c>
      <c r="AA32" s="486" t="s">
        <v>1459</v>
      </c>
      <c r="AB32" s="486" t="s">
        <v>1445</v>
      </c>
    </row>
    <row r="33" spans="1:28">
      <c r="A33" s="501" t="s">
        <v>223</v>
      </c>
      <c r="B33" s="495" t="s">
        <v>191</v>
      </c>
      <c r="C33" s="498" t="s">
        <v>596</v>
      </c>
      <c r="D33" s="502" t="s">
        <v>596</v>
      </c>
      <c r="E33" s="495" t="s">
        <v>1019</v>
      </c>
      <c r="F33" s="498" t="s">
        <v>596</v>
      </c>
      <c r="G33" s="498" t="s">
        <v>596</v>
      </c>
      <c r="H33" s="498" t="s">
        <v>596</v>
      </c>
      <c r="I33" s="503">
        <f>'Auswertung_neu (2)'!I46</f>
        <v>43.650000000000013</v>
      </c>
      <c r="J33" s="498" t="s">
        <v>1168</v>
      </c>
      <c r="K33" s="495" t="s">
        <v>1210</v>
      </c>
      <c r="L33" s="495" t="s">
        <v>1210</v>
      </c>
      <c r="M33" s="495" t="s">
        <v>1210</v>
      </c>
      <c r="N33" s="495" t="s">
        <v>1210</v>
      </c>
      <c r="O33" s="495" t="s">
        <v>1210</v>
      </c>
      <c r="P33" s="495" t="s">
        <v>1210</v>
      </c>
      <c r="Q33" s="489" t="s">
        <v>1254</v>
      </c>
      <c r="R33" s="485">
        <f t="shared" si="5"/>
        <v>0</v>
      </c>
      <c r="S33" s="485">
        <f t="shared" si="6"/>
        <v>0</v>
      </c>
      <c r="T33" s="485">
        <f t="shared" si="7"/>
        <v>0</v>
      </c>
      <c r="U33" s="485">
        <f t="shared" si="8"/>
        <v>0</v>
      </c>
      <c r="V33" s="508">
        <f t="shared" si="9"/>
        <v>0</v>
      </c>
      <c r="W33" s="508">
        <f t="shared" si="10"/>
        <v>0</v>
      </c>
      <c r="X33" s="508" t="str">
        <f t="shared" si="11"/>
        <v>2</v>
      </c>
      <c r="Y33" s="568">
        <f t="shared" si="12"/>
        <v>0.2278929098260076</v>
      </c>
      <c r="Z33" s="485" t="s">
        <v>223</v>
      </c>
      <c r="AA33" s="486" t="s">
        <v>1459</v>
      </c>
      <c r="AB33" s="486" t="s">
        <v>1445</v>
      </c>
    </row>
    <row r="34" spans="1:28">
      <c r="A34" s="501" t="s">
        <v>223</v>
      </c>
      <c r="B34" s="495" t="s">
        <v>188</v>
      </c>
      <c r="C34" s="498" t="s">
        <v>596</v>
      </c>
      <c r="D34" s="502" t="s">
        <v>596</v>
      </c>
      <c r="E34" s="495" t="s">
        <v>1146</v>
      </c>
      <c r="F34" s="498" t="s">
        <v>596</v>
      </c>
      <c r="G34" s="498" t="s">
        <v>596</v>
      </c>
      <c r="H34" s="498" t="s">
        <v>596</v>
      </c>
      <c r="I34" s="503">
        <f>'Auswertung_neu (2)'!I33</f>
        <v>292</v>
      </c>
      <c r="J34" s="498" t="s">
        <v>1168</v>
      </c>
      <c r="K34" s="495" t="s">
        <v>1210</v>
      </c>
      <c r="L34" s="495" t="s">
        <v>1210</v>
      </c>
      <c r="M34" s="495" t="s">
        <v>1210</v>
      </c>
      <c r="N34" s="495" t="s">
        <v>1210</v>
      </c>
      <c r="O34" s="495" t="s">
        <v>1210</v>
      </c>
      <c r="P34" s="495" t="s">
        <v>1210</v>
      </c>
      <c r="Q34" s="489" t="s">
        <v>1254</v>
      </c>
      <c r="R34" s="485">
        <f t="shared" si="5"/>
        <v>0</v>
      </c>
      <c r="S34" s="485">
        <f t="shared" si="6"/>
        <v>0</v>
      </c>
      <c r="T34" s="485">
        <f t="shared" si="7"/>
        <v>0</v>
      </c>
      <c r="U34" s="485">
        <f t="shared" si="8"/>
        <v>0</v>
      </c>
      <c r="V34" s="508">
        <f t="shared" si="9"/>
        <v>0</v>
      </c>
      <c r="W34" s="508">
        <f t="shared" si="10"/>
        <v>0</v>
      </c>
      <c r="X34" s="508" t="str">
        <f t="shared" si="11"/>
        <v>2</v>
      </c>
      <c r="Y34" s="568">
        <f t="shared" si="12"/>
        <v>0.2278929098260076</v>
      </c>
      <c r="Z34" s="485" t="s">
        <v>223</v>
      </c>
      <c r="AA34" s="486" t="s">
        <v>1459</v>
      </c>
      <c r="AB34" s="486" t="s">
        <v>1445</v>
      </c>
    </row>
    <row r="35" spans="1:28">
      <c r="A35" s="494" t="s">
        <v>200</v>
      </c>
      <c r="B35" s="495" t="s">
        <v>188</v>
      </c>
      <c r="C35" s="495" t="s">
        <v>288</v>
      </c>
      <c r="D35" s="496">
        <v>0.05</v>
      </c>
      <c r="E35" s="495" t="s">
        <v>1097</v>
      </c>
      <c r="F35" s="495">
        <v>80</v>
      </c>
      <c r="G35" s="495">
        <v>25</v>
      </c>
      <c r="H35" s="497">
        <v>3.2</v>
      </c>
      <c r="I35" s="497">
        <v>292</v>
      </c>
      <c r="J35" s="495" t="s">
        <v>113</v>
      </c>
      <c r="K35" s="498" t="s">
        <v>1209</v>
      </c>
      <c r="L35" s="505" t="s">
        <v>1211</v>
      </c>
      <c r="M35" s="498" t="s">
        <v>1212</v>
      </c>
      <c r="N35" s="495" t="s">
        <v>1240</v>
      </c>
      <c r="O35" s="489" t="s">
        <v>1304</v>
      </c>
      <c r="P35" s="495" t="s">
        <v>1223</v>
      </c>
      <c r="Q35" s="495" t="s">
        <v>1210</v>
      </c>
      <c r="R35" s="485" t="str">
        <f t="shared" si="5"/>
        <v>1</v>
      </c>
      <c r="S35" s="485" t="str">
        <f t="shared" si="6"/>
        <v>1</v>
      </c>
      <c r="T35" s="485" t="str">
        <f t="shared" si="7"/>
        <v>1</v>
      </c>
      <c r="U35" s="485" t="str">
        <f t="shared" si="8"/>
        <v>2</v>
      </c>
      <c r="V35" s="508" t="str">
        <f t="shared" si="9"/>
        <v>2</v>
      </c>
      <c r="W35" s="508" t="str">
        <f t="shared" si="10"/>
        <v>2</v>
      </c>
      <c r="X35" s="508">
        <f t="shared" si="11"/>
        <v>0</v>
      </c>
      <c r="Y35" s="568">
        <f t="shared" si="12"/>
        <v>0.15383330390842267</v>
      </c>
      <c r="Z35" s="485" t="s">
        <v>200</v>
      </c>
      <c r="AA35" s="486" t="s">
        <v>200</v>
      </c>
      <c r="AB35" s="486" t="s">
        <v>1449</v>
      </c>
    </row>
    <row r="36" spans="1:28">
      <c r="A36" s="501" t="s">
        <v>223</v>
      </c>
      <c r="B36" s="495" t="s">
        <v>188</v>
      </c>
      <c r="C36" s="498" t="s">
        <v>596</v>
      </c>
      <c r="D36" s="502" t="s">
        <v>596</v>
      </c>
      <c r="E36" s="495" t="s">
        <v>1143</v>
      </c>
      <c r="F36" s="498" t="s">
        <v>596</v>
      </c>
      <c r="G36" s="498" t="s">
        <v>596</v>
      </c>
      <c r="H36" s="498" t="s">
        <v>596</v>
      </c>
      <c r="I36" s="503">
        <f>'Auswertung_neu (2)'!I32</f>
        <v>292</v>
      </c>
      <c r="J36" s="498" t="s">
        <v>1168</v>
      </c>
      <c r="K36" s="495" t="s">
        <v>1210</v>
      </c>
      <c r="L36" s="495" t="s">
        <v>1210</v>
      </c>
      <c r="M36" s="495" t="s">
        <v>1210</v>
      </c>
      <c r="N36" s="495" t="s">
        <v>1210</v>
      </c>
      <c r="O36" s="495" t="s">
        <v>1210</v>
      </c>
      <c r="P36" s="495" t="s">
        <v>1210</v>
      </c>
      <c r="Q36" s="489" t="s">
        <v>1254</v>
      </c>
      <c r="R36" s="485">
        <f t="shared" si="5"/>
        <v>0</v>
      </c>
      <c r="S36" s="485">
        <f t="shared" si="6"/>
        <v>0</v>
      </c>
      <c r="T36" s="485">
        <f t="shared" si="7"/>
        <v>0</v>
      </c>
      <c r="U36" s="485">
        <f t="shared" si="8"/>
        <v>0</v>
      </c>
      <c r="V36" s="508">
        <f t="shared" si="9"/>
        <v>0</v>
      </c>
      <c r="W36" s="508">
        <f t="shared" si="10"/>
        <v>0</v>
      </c>
      <c r="X36" s="508" t="str">
        <f t="shared" si="11"/>
        <v>2</v>
      </c>
      <c r="Y36" s="568">
        <f t="shared" si="12"/>
        <v>0.2278929098260076</v>
      </c>
      <c r="Z36" s="485" t="s">
        <v>223</v>
      </c>
      <c r="AA36" s="486" t="s">
        <v>1459</v>
      </c>
      <c r="AB36" s="486" t="s">
        <v>1445</v>
      </c>
    </row>
    <row r="37" spans="1:28">
      <c r="A37" s="501" t="s">
        <v>223</v>
      </c>
      <c r="B37" s="495" t="s">
        <v>188</v>
      </c>
      <c r="C37" s="498" t="s">
        <v>596</v>
      </c>
      <c r="D37" s="502" t="s">
        <v>596</v>
      </c>
      <c r="E37" s="495" t="s">
        <v>1019</v>
      </c>
      <c r="F37" s="498" t="s">
        <v>596</v>
      </c>
      <c r="G37" s="498" t="s">
        <v>596</v>
      </c>
      <c r="H37" s="498" t="s">
        <v>596</v>
      </c>
      <c r="I37" s="503">
        <f>'Auswertung_neu (2)'!I31</f>
        <v>292</v>
      </c>
      <c r="J37" s="498" t="s">
        <v>1168</v>
      </c>
      <c r="K37" s="495" t="s">
        <v>1210</v>
      </c>
      <c r="L37" s="495" t="s">
        <v>1210</v>
      </c>
      <c r="M37" s="495" t="s">
        <v>1210</v>
      </c>
      <c r="N37" s="495" t="s">
        <v>1210</v>
      </c>
      <c r="O37" s="495" t="s">
        <v>1210</v>
      </c>
      <c r="P37" s="495" t="s">
        <v>1210</v>
      </c>
      <c r="Q37" s="489" t="s">
        <v>1254</v>
      </c>
      <c r="R37" s="485">
        <f t="shared" si="5"/>
        <v>0</v>
      </c>
      <c r="S37" s="485">
        <f t="shared" si="6"/>
        <v>0</v>
      </c>
      <c r="T37" s="485">
        <f t="shared" si="7"/>
        <v>0</v>
      </c>
      <c r="U37" s="485">
        <f t="shared" si="8"/>
        <v>0</v>
      </c>
      <c r="V37" s="508">
        <f t="shared" si="9"/>
        <v>0</v>
      </c>
      <c r="W37" s="508">
        <f t="shared" si="10"/>
        <v>0</v>
      </c>
      <c r="X37" s="508" t="str">
        <f t="shared" si="11"/>
        <v>2</v>
      </c>
      <c r="Y37" s="568">
        <f t="shared" si="12"/>
        <v>0.2278929098260076</v>
      </c>
      <c r="Z37" s="485" t="s">
        <v>223</v>
      </c>
      <c r="AA37" s="486" t="s">
        <v>1459</v>
      </c>
      <c r="AB37" s="486" t="s">
        <v>1445</v>
      </c>
    </row>
    <row r="38" spans="1:28">
      <c r="A38" s="501" t="s">
        <v>223</v>
      </c>
      <c r="B38" s="495" t="s">
        <v>177</v>
      </c>
      <c r="C38" s="498" t="s">
        <v>596</v>
      </c>
      <c r="D38" s="502" t="s">
        <v>596</v>
      </c>
      <c r="E38" s="495" t="s">
        <v>1146</v>
      </c>
      <c r="F38" s="498" t="s">
        <v>596</v>
      </c>
      <c r="G38" s="498" t="s">
        <v>596</v>
      </c>
      <c r="H38" s="498" t="s">
        <v>596</v>
      </c>
      <c r="I38" s="503">
        <v>8.48</v>
      </c>
      <c r="J38" s="498" t="s">
        <v>1168</v>
      </c>
      <c r="K38" s="495" t="s">
        <v>1210</v>
      </c>
      <c r="L38" s="495" t="s">
        <v>1210</v>
      </c>
      <c r="M38" s="495" t="s">
        <v>1210</v>
      </c>
      <c r="N38" s="495" t="s">
        <v>1210</v>
      </c>
      <c r="O38" s="495" t="s">
        <v>1210</v>
      </c>
      <c r="P38" s="495" t="s">
        <v>1210</v>
      </c>
      <c r="Q38" s="489" t="s">
        <v>1254</v>
      </c>
      <c r="R38" s="485">
        <f t="shared" si="5"/>
        <v>0</v>
      </c>
      <c r="S38" s="485">
        <f t="shared" si="6"/>
        <v>0</v>
      </c>
      <c r="T38" s="485">
        <f t="shared" si="7"/>
        <v>0</v>
      </c>
      <c r="U38" s="485">
        <f t="shared" si="8"/>
        <v>0</v>
      </c>
      <c r="V38" s="508">
        <f t="shared" si="9"/>
        <v>0</v>
      </c>
      <c r="W38" s="508">
        <f t="shared" si="10"/>
        <v>0</v>
      </c>
      <c r="X38" s="508" t="str">
        <f t="shared" si="11"/>
        <v>2</v>
      </c>
      <c r="Y38" s="568">
        <f t="shared" si="12"/>
        <v>0.2278929098260076</v>
      </c>
      <c r="Z38" s="485" t="s">
        <v>223</v>
      </c>
      <c r="AA38" s="486" t="s">
        <v>1452</v>
      </c>
      <c r="AB38" s="486" t="s">
        <v>1453</v>
      </c>
    </row>
    <row r="39" spans="1:28" s="493" customFormat="1" ht="16.5">
      <c r="A39" s="501" t="s">
        <v>200</v>
      </c>
      <c r="B39" s="495" t="s">
        <v>177</v>
      </c>
      <c r="C39" s="498" t="s">
        <v>241</v>
      </c>
      <c r="D39" s="502">
        <v>0.3</v>
      </c>
      <c r="E39" s="495" t="s">
        <v>1097</v>
      </c>
      <c r="F39" s="498">
        <v>0</v>
      </c>
      <c r="G39" s="498">
        <v>1400</v>
      </c>
      <c r="H39" s="548">
        <v>0</v>
      </c>
      <c r="I39" s="503">
        <v>0</v>
      </c>
      <c r="J39" s="498" t="s">
        <v>1309</v>
      </c>
      <c r="K39" s="489" t="s">
        <v>1433</v>
      </c>
      <c r="L39" s="506" t="s">
        <v>1217</v>
      </c>
      <c r="M39" s="498" t="s">
        <v>1215</v>
      </c>
      <c r="N39" s="498" t="s">
        <v>1238</v>
      </c>
      <c r="O39" s="489" t="s">
        <v>1440</v>
      </c>
      <c r="P39" s="495" t="s">
        <v>1255</v>
      </c>
      <c r="Q39" s="495" t="s">
        <v>1210</v>
      </c>
      <c r="R39" s="485" t="str">
        <f t="shared" si="5"/>
        <v>2</v>
      </c>
      <c r="S39" s="485" t="str">
        <f t="shared" si="6"/>
        <v>2</v>
      </c>
      <c r="T39" s="485" t="str">
        <f t="shared" si="7"/>
        <v>4</v>
      </c>
      <c r="U39" s="485" t="str">
        <f t="shared" si="8"/>
        <v>3</v>
      </c>
      <c r="V39" s="508" t="str">
        <f t="shared" si="9"/>
        <v>4</v>
      </c>
      <c r="W39" s="508" t="str">
        <f t="shared" si="10"/>
        <v>2</v>
      </c>
      <c r="X39" s="508">
        <f t="shared" si="11"/>
        <v>0</v>
      </c>
      <c r="Y39" s="568">
        <f t="shared" si="12"/>
        <v>1.3223542970362181</v>
      </c>
      <c r="Z39" s="485" t="s">
        <v>200</v>
      </c>
      <c r="AA39" s="486" t="s">
        <v>223</v>
      </c>
      <c r="AB39" s="486" t="s">
        <v>1450</v>
      </c>
    </row>
    <row r="40" spans="1:28" ht="16.5">
      <c r="A40" s="501" t="s">
        <v>200</v>
      </c>
      <c r="B40" s="495" t="s">
        <v>177</v>
      </c>
      <c r="C40" s="498" t="s">
        <v>241</v>
      </c>
      <c r="D40" s="502">
        <v>0.3</v>
      </c>
      <c r="E40" s="495" t="s">
        <v>1097</v>
      </c>
      <c r="F40" s="498">
        <v>0</v>
      </c>
      <c r="G40" s="498">
        <v>1400</v>
      </c>
      <c r="H40" s="548">
        <v>0</v>
      </c>
      <c r="I40" s="503">
        <v>0</v>
      </c>
      <c r="J40" s="498" t="s">
        <v>1309</v>
      </c>
      <c r="K40" s="489" t="s">
        <v>1433</v>
      </c>
      <c r="L40" s="506" t="s">
        <v>1217</v>
      </c>
      <c r="M40" s="498" t="s">
        <v>1215</v>
      </c>
      <c r="N40" s="498" t="s">
        <v>1238</v>
      </c>
      <c r="O40" s="489" t="s">
        <v>1440</v>
      </c>
      <c r="P40" s="495" t="s">
        <v>1255</v>
      </c>
      <c r="Q40" s="495" t="s">
        <v>1210</v>
      </c>
      <c r="R40" s="485" t="str">
        <f t="shared" si="5"/>
        <v>2</v>
      </c>
      <c r="S40" s="485" t="str">
        <f t="shared" si="6"/>
        <v>2</v>
      </c>
      <c r="T40" s="485" t="str">
        <f t="shared" si="7"/>
        <v>4</v>
      </c>
      <c r="U40" s="485" t="str">
        <f t="shared" si="8"/>
        <v>3</v>
      </c>
      <c r="V40" s="508" t="str">
        <f t="shared" si="9"/>
        <v>4</v>
      </c>
      <c r="W40" s="508" t="str">
        <f t="shared" si="10"/>
        <v>2</v>
      </c>
      <c r="X40" s="508">
        <f t="shared" si="11"/>
        <v>0</v>
      </c>
      <c r="Y40" s="568">
        <f t="shared" si="12"/>
        <v>1.3223542970362181</v>
      </c>
      <c r="Z40" s="485" t="s">
        <v>200</v>
      </c>
      <c r="AA40" s="486" t="s">
        <v>223</v>
      </c>
      <c r="AB40" s="486" t="s">
        <v>1450</v>
      </c>
    </row>
    <row r="41" spans="1:28" ht="16.5">
      <c r="A41" s="501" t="s">
        <v>200</v>
      </c>
      <c r="B41" s="495" t="s">
        <v>177</v>
      </c>
      <c r="C41" s="498" t="s">
        <v>241</v>
      </c>
      <c r="D41" s="502">
        <v>0.3</v>
      </c>
      <c r="E41" s="495" t="s">
        <v>1097</v>
      </c>
      <c r="F41" s="498">
        <v>0</v>
      </c>
      <c r="G41" s="498">
        <v>1400</v>
      </c>
      <c r="H41" s="548">
        <v>0</v>
      </c>
      <c r="I41" s="503">
        <v>0</v>
      </c>
      <c r="J41" s="498" t="s">
        <v>1309</v>
      </c>
      <c r="K41" s="489" t="s">
        <v>1433</v>
      </c>
      <c r="L41" s="506" t="s">
        <v>1217</v>
      </c>
      <c r="M41" s="498" t="s">
        <v>1215</v>
      </c>
      <c r="N41" s="498" t="s">
        <v>1238</v>
      </c>
      <c r="O41" s="489" t="s">
        <v>1440</v>
      </c>
      <c r="P41" s="495" t="s">
        <v>1255</v>
      </c>
      <c r="Q41" s="495" t="s">
        <v>1210</v>
      </c>
      <c r="R41" s="485" t="str">
        <f t="shared" si="5"/>
        <v>2</v>
      </c>
      <c r="S41" s="485" t="str">
        <f t="shared" si="6"/>
        <v>2</v>
      </c>
      <c r="T41" s="485" t="str">
        <f t="shared" si="7"/>
        <v>4</v>
      </c>
      <c r="U41" s="485" t="str">
        <f t="shared" si="8"/>
        <v>3</v>
      </c>
      <c r="V41" s="508" t="str">
        <f t="shared" si="9"/>
        <v>4</v>
      </c>
      <c r="W41" s="508" t="str">
        <f t="shared" si="10"/>
        <v>2</v>
      </c>
      <c r="X41" s="508">
        <f t="shared" si="11"/>
        <v>0</v>
      </c>
      <c r="Y41" s="568">
        <f t="shared" si="12"/>
        <v>1.3223542970362181</v>
      </c>
      <c r="Z41" s="485" t="s">
        <v>200</v>
      </c>
      <c r="AA41" s="486" t="s">
        <v>223</v>
      </c>
      <c r="AB41" s="486" t="s">
        <v>1450</v>
      </c>
    </row>
    <row r="42" spans="1:28" ht="16.5">
      <c r="A42" s="501" t="s">
        <v>200</v>
      </c>
      <c r="B42" s="495" t="s">
        <v>177</v>
      </c>
      <c r="C42" s="498" t="s">
        <v>241</v>
      </c>
      <c r="D42" s="502">
        <v>0.3</v>
      </c>
      <c r="E42" s="495" t="s">
        <v>1097</v>
      </c>
      <c r="F42" s="498">
        <v>0</v>
      </c>
      <c r="G42" s="498">
        <v>1400</v>
      </c>
      <c r="H42" s="548">
        <v>0</v>
      </c>
      <c r="I42" s="503">
        <v>0</v>
      </c>
      <c r="J42" s="498" t="s">
        <v>1309</v>
      </c>
      <c r="K42" s="489" t="s">
        <v>1433</v>
      </c>
      <c r="L42" s="506" t="s">
        <v>1217</v>
      </c>
      <c r="M42" s="498" t="s">
        <v>1215</v>
      </c>
      <c r="N42" s="498" t="s">
        <v>1238</v>
      </c>
      <c r="O42" s="489" t="s">
        <v>1440</v>
      </c>
      <c r="P42" s="495" t="s">
        <v>1255</v>
      </c>
      <c r="Q42" s="495" t="s">
        <v>1210</v>
      </c>
      <c r="R42" s="485" t="str">
        <f t="shared" si="5"/>
        <v>2</v>
      </c>
      <c r="S42" s="485" t="str">
        <f t="shared" si="6"/>
        <v>2</v>
      </c>
      <c r="T42" s="485" t="str">
        <f t="shared" si="7"/>
        <v>4</v>
      </c>
      <c r="U42" s="485" t="str">
        <f t="shared" si="8"/>
        <v>3</v>
      </c>
      <c r="V42" s="508" t="str">
        <f t="shared" si="9"/>
        <v>4</v>
      </c>
      <c r="W42" s="508" t="str">
        <f t="shared" si="10"/>
        <v>2</v>
      </c>
      <c r="X42" s="508">
        <f t="shared" si="11"/>
        <v>0</v>
      </c>
      <c r="Y42" s="568">
        <f t="shared" si="12"/>
        <v>1.3223542970362181</v>
      </c>
      <c r="Z42" s="485" t="s">
        <v>200</v>
      </c>
      <c r="AA42" s="486" t="s">
        <v>223</v>
      </c>
      <c r="AB42" s="486" t="s">
        <v>1450</v>
      </c>
    </row>
    <row r="43" spans="1:28" ht="16.5">
      <c r="A43" s="501" t="s">
        <v>200</v>
      </c>
      <c r="B43" s="495" t="s">
        <v>177</v>
      </c>
      <c r="C43" s="498" t="s">
        <v>241</v>
      </c>
      <c r="D43" s="502">
        <v>0.3</v>
      </c>
      <c r="E43" s="495" t="s">
        <v>1097</v>
      </c>
      <c r="F43" s="498">
        <v>50</v>
      </c>
      <c r="G43" s="498">
        <v>840</v>
      </c>
      <c r="H43" s="491">
        <v>5.9523809523809521E-2</v>
      </c>
      <c r="I43" s="503">
        <v>13.446305002822067</v>
      </c>
      <c r="J43" s="498" t="s">
        <v>1309</v>
      </c>
      <c r="K43" s="489" t="s">
        <v>1433</v>
      </c>
      <c r="L43" s="506" t="s">
        <v>1217</v>
      </c>
      <c r="M43" s="498" t="s">
        <v>1212</v>
      </c>
      <c r="N43" s="498" t="s">
        <v>1238</v>
      </c>
      <c r="O43" s="489" t="s">
        <v>1440</v>
      </c>
      <c r="P43" s="495" t="s">
        <v>1255</v>
      </c>
      <c r="Q43" s="495" t="s">
        <v>1210</v>
      </c>
      <c r="R43" s="485" t="str">
        <f t="shared" si="5"/>
        <v>2</v>
      </c>
      <c r="S43" s="485" t="str">
        <f t="shared" si="6"/>
        <v>2</v>
      </c>
      <c r="T43" s="485" t="str">
        <f t="shared" si="7"/>
        <v>1</v>
      </c>
      <c r="U43" s="485" t="str">
        <f t="shared" si="8"/>
        <v>3</v>
      </c>
      <c r="V43" s="508" t="str">
        <f t="shared" si="9"/>
        <v>4</v>
      </c>
      <c r="W43" s="508" t="str">
        <f t="shared" si="10"/>
        <v>2</v>
      </c>
      <c r="X43" s="508">
        <f t="shared" si="11"/>
        <v>0</v>
      </c>
      <c r="Y43" s="568">
        <f t="shared" si="12"/>
        <v>0.44390154200976034</v>
      </c>
      <c r="Z43" s="485" t="s">
        <v>200</v>
      </c>
      <c r="AA43" s="486" t="s">
        <v>1447</v>
      </c>
      <c r="AB43" s="486" t="s">
        <v>1447</v>
      </c>
    </row>
    <row r="44" spans="1:28" ht="16.5">
      <c r="A44" s="501" t="s">
        <v>200</v>
      </c>
      <c r="B44" s="495" t="s">
        <v>177</v>
      </c>
      <c r="C44" s="498" t="s">
        <v>241</v>
      </c>
      <c r="D44" s="502">
        <v>0.3</v>
      </c>
      <c r="E44" s="495" t="s">
        <v>1097</v>
      </c>
      <c r="F44" s="498">
        <v>50</v>
      </c>
      <c r="G44" s="498">
        <v>1100</v>
      </c>
      <c r="H44" s="491">
        <v>4.5454545454545456E-2</v>
      </c>
      <c r="I44" s="503">
        <v>10.268087456700489</v>
      </c>
      <c r="J44" s="498" t="s">
        <v>1309</v>
      </c>
      <c r="K44" s="489" t="s">
        <v>1433</v>
      </c>
      <c r="L44" s="506" t="s">
        <v>1217</v>
      </c>
      <c r="M44" s="498" t="s">
        <v>1212</v>
      </c>
      <c r="N44" s="498" t="s">
        <v>1238</v>
      </c>
      <c r="O44" s="489" t="s">
        <v>1440</v>
      </c>
      <c r="P44" s="495" t="s">
        <v>1255</v>
      </c>
      <c r="Q44" s="495" t="s">
        <v>1210</v>
      </c>
      <c r="R44" s="485" t="str">
        <f t="shared" si="5"/>
        <v>2</v>
      </c>
      <c r="S44" s="485" t="str">
        <f t="shared" si="6"/>
        <v>2</v>
      </c>
      <c r="T44" s="485" t="str">
        <f t="shared" si="7"/>
        <v>1</v>
      </c>
      <c r="U44" s="485" t="str">
        <f t="shared" si="8"/>
        <v>3</v>
      </c>
      <c r="V44" s="508" t="str">
        <f t="shared" si="9"/>
        <v>4</v>
      </c>
      <c r="W44" s="508" t="str">
        <f t="shared" si="10"/>
        <v>2</v>
      </c>
      <c r="X44" s="508">
        <f t="shared" si="11"/>
        <v>0</v>
      </c>
      <c r="Y44" s="568">
        <f t="shared" si="12"/>
        <v>0.44390154200976034</v>
      </c>
      <c r="Z44" s="485" t="s">
        <v>200</v>
      </c>
      <c r="AA44" s="486" t="s">
        <v>1447</v>
      </c>
      <c r="AB44" s="486" t="s">
        <v>1447</v>
      </c>
    </row>
    <row r="45" spans="1:28">
      <c r="A45" s="501" t="s">
        <v>223</v>
      </c>
      <c r="B45" s="495" t="s">
        <v>177</v>
      </c>
      <c r="C45" s="498" t="s">
        <v>596</v>
      </c>
      <c r="D45" s="502" t="s">
        <v>596</v>
      </c>
      <c r="E45" s="495" t="s">
        <v>1143</v>
      </c>
      <c r="F45" s="498" t="s">
        <v>596</v>
      </c>
      <c r="G45" s="498" t="s">
        <v>596</v>
      </c>
      <c r="H45" s="498" t="s">
        <v>596</v>
      </c>
      <c r="I45" s="503">
        <v>8.48</v>
      </c>
      <c r="J45" s="498" t="s">
        <v>1168</v>
      </c>
      <c r="K45" s="495" t="s">
        <v>1210</v>
      </c>
      <c r="L45" s="495" t="s">
        <v>1210</v>
      </c>
      <c r="M45" s="495" t="s">
        <v>1210</v>
      </c>
      <c r="N45" s="495" t="s">
        <v>1210</v>
      </c>
      <c r="O45" s="495" t="s">
        <v>1210</v>
      </c>
      <c r="P45" s="495" t="s">
        <v>1210</v>
      </c>
      <c r="Q45" s="489" t="s">
        <v>1254</v>
      </c>
      <c r="R45" s="485">
        <f t="shared" si="5"/>
        <v>0</v>
      </c>
      <c r="S45" s="485">
        <f t="shared" si="6"/>
        <v>0</v>
      </c>
      <c r="T45" s="485">
        <f t="shared" si="7"/>
        <v>0</v>
      </c>
      <c r="U45" s="485">
        <f t="shared" si="8"/>
        <v>0</v>
      </c>
      <c r="V45" s="508">
        <f t="shared" si="9"/>
        <v>0</v>
      </c>
      <c r="W45" s="508">
        <f t="shared" si="10"/>
        <v>0</v>
      </c>
      <c r="X45" s="508" t="str">
        <f t="shared" si="11"/>
        <v>2</v>
      </c>
      <c r="Y45" s="568">
        <f t="shared" si="12"/>
        <v>0.2278929098260076</v>
      </c>
      <c r="Z45" s="485" t="s">
        <v>223</v>
      </c>
      <c r="AA45" s="486" t="s">
        <v>1452</v>
      </c>
      <c r="AB45" s="486" t="s">
        <v>1453</v>
      </c>
    </row>
    <row r="46" spans="1:28">
      <c r="A46" s="494" t="s">
        <v>200</v>
      </c>
      <c r="B46" s="495" t="s">
        <v>177</v>
      </c>
      <c r="C46" s="495" t="s">
        <v>288</v>
      </c>
      <c r="D46" s="496">
        <v>4.3999999999999997E-2</v>
      </c>
      <c r="E46" s="495" t="s">
        <v>1019</v>
      </c>
      <c r="F46" s="495">
        <v>2.2999999999999998</v>
      </c>
      <c r="G46" s="495">
        <v>94</v>
      </c>
      <c r="H46" s="497">
        <v>2.4468085106382976E-2</v>
      </c>
      <c r="I46" s="497">
        <v>1.9647872340425547</v>
      </c>
      <c r="J46" s="495" t="s">
        <v>180</v>
      </c>
      <c r="K46" s="498" t="s">
        <v>1209</v>
      </c>
      <c r="L46" s="505" t="s">
        <v>1211</v>
      </c>
      <c r="M46" s="498" t="s">
        <v>1215</v>
      </c>
      <c r="N46" s="495" t="s">
        <v>1300</v>
      </c>
      <c r="O46" s="489" t="s">
        <v>1285</v>
      </c>
      <c r="P46" s="495" t="s">
        <v>1293</v>
      </c>
      <c r="Q46" s="495" t="s">
        <v>1210</v>
      </c>
      <c r="R46" s="485" t="str">
        <f t="shared" si="5"/>
        <v>1</v>
      </c>
      <c r="S46" s="485" t="str">
        <f t="shared" si="6"/>
        <v>1</v>
      </c>
      <c r="T46" s="485" t="str">
        <f t="shared" si="7"/>
        <v>4</v>
      </c>
      <c r="U46" s="485" t="str">
        <f t="shared" si="8"/>
        <v>2</v>
      </c>
      <c r="V46" s="508" t="str">
        <f t="shared" si="9"/>
        <v>3</v>
      </c>
      <c r="W46" s="508" t="str">
        <f t="shared" si="10"/>
        <v>3</v>
      </c>
      <c r="X46" s="508">
        <f t="shared" si="11"/>
        <v>0</v>
      </c>
      <c r="Y46" s="568">
        <f t="shared" si="12"/>
        <v>1.3204618303793796</v>
      </c>
      <c r="Z46" s="485" t="s">
        <v>200</v>
      </c>
      <c r="AA46" s="486" t="s">
        <v>200</v>
      </c>
      <c r="AB46" s="486" t="s">
        <v>1448</v>
      </c>
    </row>
    <row r="47" spans="1:28" ht="16.5">
      <c r="A47" s="494" t="s">
        <v>200</v>
      </c>
      <c r="B47" s="495" t="s">
        <v>177</v>
      </c>
      <c r="C47" s="495" t="s">
        <v>198</v>
      </c>
      <c r="D47" s="496">
        <v>0.06</v>
      </c>
      <c r="E47" s="495" t="s">
        <v>1019</v>
      </c>
      <c r="F47" s="495" t="s">
        <v>550</v>
      </c>
      <c r="G47" s="495">
        <v>365</v>
      </c>
      <c r="H47" s="497">
        <v>0.13698630136986301</v>
      </c>
      <c r="I47" s="497">
        <v>15</v>
      </c>
      <c r="J47" s="495" t="s">
        <v>381</v>
      </c>
      <c r="K47" s="498" t="s">
        <v>1209</v>
      </c>
      <c r="L47" s="505" t="s">
        <v>1211</v>
      </c>
      <c r="M47" s="489" t="s">
        <v>1298</v>
      </c>
      <c r="N47" s="495" t="s">
        <v>1241</v>
      </c>
      <c r="O47" s="489" t="s">
        <v>1440</v>
      </c>
      <c r="P47" s="495" t="s">
        <v>1255</v>
      </c>
      <c r="Q47" s="495" t="s">
        <v>1210</v>
      </c>
      <c r="R47" s="485" t="str">
        <f t="shared" si="5"/>
        <v>1</v>
      </c>
      <c r="S47" s="485" t="str">
        <f t="shared" si="6"/>
        <v>1</v>
      </c>
      <c r="T47" s="485" t="str">
        <f t="shared" si="7"/>
        <v>4</v>
      </c>
      <c r="U47" s="485" t="str">
        <f t="shared" si="8"/>
        <v>4</v>
      </c>
      <c r="V47" s="508" t="str">
        <f t="shared" si="9"/>
        <v>4</v>
      </c>
      <c r="W47" s="508" t="str">
        <f t="shared" si="10"/>
        <v>2</v>
      </c>
      <c r="X47" s="508">
        <f t="shared" si="11"/>
        <v>0</v>
      </c>
      <c r="Y47" s="568">
        <f t="shared" si="12"/>
        <v>1.324440768306282</v>
      </c>
      <c r="Z47" s="485" t="s">
        <v>200</v>
      </c>
      <c r="AA47" s="486" t="s">
        <v>223</v>
      </c>
      <c r="AB47" s="486" t="s">
        <v>1450</v>
      </c>
    </row>
    <row r="48" spans="1:28" ht="16.5">
      <c r="A48" s="501" t="s">
        <v>200</v>
      </c>
      <c r="B48" s="495" t="s">
        <v>42</v>
      </c>
      <c r="C48" s="498" t="s">
        <v>996</v>
      </c>
      <c r="D48" s="496">
        <v>0.1</v>
      </c>
      <c r="E48" s="495" t="s">
        <v>1147</v>
      </c>
      <c r="F48" s="498">
        <v>50</v>
      </c>
      <c r="G48" s="498">
        <v>92</v>
      </c>
      <c r="H48" s="497">
        <v>0.54347826086956519</v>
      </c>
      <c r="I48" s="503">
        <v>99.184782608695642</v>
      </c>
      <c r="J48" s="498" t="s">
        <v>1411</v>
      </c>
      <c r="K48" s="564" t="s">
        <v>1413</v>
      </c>
      <c r="L48" s="504" t="s">
        <v>1211</v>
      </c>
      <c r="M48" s="498" t="s">
        <v>1212</v>
      </c>
      <c r="N48" s="495" t="s">
        <v>1240</v>
      </c>
      <c r="O48" s="489" t="s">
        <v>1304</v>
      </c>
      <c r="P48" s="495" t="s">
        <v>1255</v>
      </c>
      <c r="Q48" s="495" t="s">
        <v>1210</v>
      </c>
      <c r="R48" s="485" t="str">
        <f t="shared" si="5"/>
        <v>3</v>
      </c>
      <c r="S48" s="485" t="str">
        <f t="shared" si="6"/>
        <v>1</v>
      </c>
      <c r="T48" s="485" t="str">
        <f t="shared" si="7"/>
        <v>1</v>
      </c>
      <c r="U48" s="485" t="str">
        <f t="shared" si="8"/>
        <v>2</v>
      </c>
      <c r="V48" s="508" t="str">
        <f t="shared" si="9"/>
        <v>2</v>
      </c>
      <c r="W48" s="508" t="str">
        <f t="shared" si="10"/>
        <v>2</v>
      </c>
      <c r="X48" s="508">
        <f t="shared" si="11"/>
        <v>0</v>
      </c>
      <c r="Y48" s="568">
        <f t="shared" si="12"/>
        <v>0.25643770869915827</v>
      </c>
      <c r="Z48" s="485" t="s">
        <v>200</v>
      </c>
      <c r="AA48" s="486" t="s">
        <v>223</v>
      </c>
      <c r="AB48" s="486" t="s">
        <v>1451</v>
      </c>
    </row>
    <row r="49" spans="1:28">
      <c r="A49" s="494" t="s">
        <v>200</v>
      </c>
      <c r="B49" s="495" t="s">
        <v>42</v>
      </c>
      <c r="C49" s="495" t="s">
        <v>198</v>
      </c>
      <c r="D49" s="496">
        <v>0.1</v>
      </c>
      <c r="E49" s="495" t="s">
        <v>1147</v>
      </c>
      <c r="F49" s="495">
        <v>2</v>
      </c>
      <c r="G49" s="495">
        <v>28</v>
      </c>
      <c r="H49" s="497">
        <v>7.1428571428571425E-2</v>
      </c>
      <c r="I49" s="497">
        <v>13.035714285714299</v>
      </c>
      <c r="J49" s="495" t="s">
        <v>699</v>
      </c>
      <c r="K49" s="498" t="s">
        <v>1209</v>
      </c>
      <c r="L49" s="506" t="s">
        <v>1217</v>
      </c>
      <c r="M49" s="495" t="s">
        <v>1215</v>
      </c>
      <c r="N49" s="495" t="s">
        <v>1241</v>
      </c>
      <c r="O49" s="489" t="s">
        <v>1305</v>
      </c>
      <c r="P49" s="495" t="s">
        <v>1293</v>
      </c>
      <c r="Q49" s="495" t="s">
        <v>1210</v>
      </c>
      <c r="R49" s="485" t="str">
        <f t="shared" si="5"/>
        <v>1</v>
      </c>
      <c r="S49" s="485" t="str">
        <f t="shared" si="6"/>
        <v>2</v>
      </c>
      <c r="T49" s="485" t="str">
        <f t="shared" si="7"/>
        <v>4</v>
      </c>
      <c r="U49" s="485" t="str">
        <f t="shared" si="8"/>
        <v>4</v>
      </c>
      <c r="V49" s="508" t="str">
        <f t="shared" si="9"/>
        <v>2</v>
      </c>
      <c r="W49" s="508" t="str">
        <f t="shared" si="10"/>
        <v>3</v>
      </c>
      <c r="X49" s="508">
        <f t="shared" si="11"/>
        <v>0</v>
      </c>
      <c r="Y49" s="568">
        <f t="shared" si="12"/>
        <v>1.3180657811279592</v>
      </c>
      <c r="Z49" s="485" t="s">
        <v>200</v>
      </c>
      <c r="AA49" s="486" t="s">
        <v>223</v>
      </c>
      <c r="AB49" s="486" t="s">
        <v>1451</v>
      </c>
    </row>
    <row r="50" spans="1:28">
      <c r="A50" s="494" t="s">
        <v>200</v>
      </c>
      <c r="B50" s="495" t="s">
        <v>42</v>
      </c>
      <c r="C50" s="495" t="s">
        <v>198</v>
      </c>
      <c r="D50" s="496">
        <v>0.1</v>
      </c>
      <c r="E50" s="495" t="s">
        <v>1147</v>
      </c>
      <c r="F50" s="495">
        <v>3</v>
      </c>
      <c r="G50" s="495">
        <v>28</v>
      </c>
      <c r="H50" s="497">
        <v>0.10714285714285714</v>
      </c>
      <c r="I50" s="497">
        <v>19.553571428571448</v>
      </c>
      <c r="J50" s="495" t="s">
        <v>699</v>
      </c>
      <c r="K50" s="498" t="s">
        <v>1209</v>
      </c>
      <c r="L50" s="506" t="s">
        <v>1217</v>
      </c>
      <c r="M50" s="495" t="s">
        <v>1215</v>
      </c>
      <c r="N50" s="495" t="s">
        <v>1241</v>
      </c>
      <c r="O50" s="489" t="s">
        <v>1305</v>
      </c>
      <c r="P50" s="495" t="s">
        <v>1223</v>
      </c>
      <c r="Q50" s="495" t="s">
        <v>1210</v>
      </c>
      <c r="R50" s="485" t="str">
        <f t="shared" si="5"/>
        <v>1</v>
      </c>
      <c r="S50" s="485" t="str">
        <f t="shared" si="6"/>
        <v>2</v>
      </c>
      <c r="T50" s="485" t="str">
        <f t="shared" si="7"/>
        <v>4</v>
      </c>
      <c r="U50" s="485" t="str">
        <f t="shared" si="8"/>
        <v>4</v>
      </c>
      <c r="V50" s="508" t="str">
        <f t="shared" si="9"/>
        <v>2</v>
      </c>
      <c r="W50" s="508" t="str">
        <f t="shared" si="10"/>
        <v>2</v>
      </c>
      <c r="X50" s="508">
        <f t="shared" si="11"/>
        <v>0</v>
      </c>
      <c r="Y50" s="568">
        <f t="shared" si="12"/>
        <v>1.2591904459579091</v>
      </c>
      <c r="Z50" s="485" t="s">
        <v>200</v>
      </c>
      <c r="AA50" s="486" t="s">
        <v>223</v>
      </c>
      <c r="AB50" s="486" t="s">
        <v>1451</v>
      </c>
    </row>
    <row r="51" spans="1:28">
      <c r="A51" s="494" t="s">
        <v>200</v>
      </c>
      <c r="B51" s="495" t="s">
        <v>42</v>
      </c>
      <c r="C51" s="495" t="s">
        <v>198</v>
      </c>
      <c r="D51" s="496">
        <v>0.1</v>
      </c>
      <c r="E51" s="495" t="s">
        <v>1147</v>
      </c>
      <c r="F51" s="495">
        <v>12</v>
      </c>
      <c r="G51" s="495">
        <v>28</v>
      </c>
      <c r="H51" s="497">
        <v>0.42857142857142855</v>
      </c>
      <c r="I51" s="497">
        <v>78.214285714285722</v>
      </c>
      <c r="J51" s="495" t="s">
        <v>699</v>
      </c>
      <c r="K51" s="498" t="s">
        <v>1209</v>
      </c>
      <c r="L51" s="506" t="s">
        <v>1217</v>
      </c>
      <c r="M51" s="498" t="s">
        <v>1214</v>
      </c>
      <c r="N51" s="495" t="s">
        <v>1241</v>
      </c>
      <c r="O51" s="489" t="s">
        <v>1305</v>
      </c>
      <c r="P51" s="495" t="s">
        <v>1223</v>
      </c>
      <c r="Q51" s="495" t="s">
        <v>1210</v>
      </c>
      <c r="R51" s="485" t="str">
        <f t="shared" si="5"/>
        <v>1</v>
      </c>
      <c r="S51" s="485" t="str">
        <f t="shared" si="6"/>
        <v>2</v>
      </c>
      <c r="T51" s="485" t="str">
        <f t="shared" si="7"/>
        <v>3</v>
      </c>
      <c r="U51" s="485" t="str">
        <f t="shared" si="8"/>
        <v>4</v>
      </c>
      <c r="V51" s="508" t="str">
        <f t="shared" si="9"/>
        <v>2</v>
      </c>
      <c r="W51" s="508" t="str">
        <f t="shared" si="10"/>
        <v>2</v>
      </c>
      <c r="X51" s="508">
        <f t="shared" si="11"/>
        <v>0</v>
      </c>
      <c r="Y51" s="568">
        <f t="shared" si="12"/>
        <v>0.44985633651883072</v>
      </c>
      <c r="Z51" s="485" t="s">
        <v>200</v>
      </c>
      <c r="AA51" s="486" t="s">
        <v>223</v>
      </c>
      <c r="AB51" s="486" t="s">
        <v>1451</v>
      </c>
    </row>
    <row r="52" spans="1:28" s="492" customFormat="1">
      <c r="A52" s="494" t="s">
        <v>200</v>
      </c>
      <c r="B52" s="495" t="s">
        <v>42</v>
      </c>
      <c r="C52" s="495" t="s">
        <v>198</v>
      </c>
      <c r="D52" s="496">
        <v>0.1</v>
      </c>
      <c r="E52" s="495" t="s">
        <v>1147</v>
      </c>
      <c r="F52" s="495">
        <v>22</v>
      </c>
      <c r="G52" s="495">
        <v>28</v>
      </c>
      <c r="H52" s="497">
        <v>0.7857142857142857</v>
      </c>
      <c r="I52" s="497">
        <v>143.39285714285714</v>
      </c>
      <c r="J52" s="495" t="s">
        <v>699</v>
      </c>
      <c r="K52" s="498" t="s">
        <v>1209</v>
      </c>
      <c r="L52" s="506" t="s">
        <v>1217</v>
      </c>
      <c r="M52" s="489" t="str">
        <f>CONCATENATE("3 - at least 10% (",F52,")")</f>
        <v>3 - at least 10% (22)</v>
      </c>
      <c r="N52" s="495" t="s">
        <v>1241</v>
      </c>
      <c r="O52" s="489" t="s">
        <v>1305</v>
      </c>
      <c r="P52" s="495" t="s">
        <v>1293</v>
      </c>
      <c r="Q52" s="495" t="s">
        <v>1210</v>
      </c>
      <c r="R52" s="485" t="str">
        <f t="shared" si="5"/>
        <v>1</v>
      </c>
      <c r="S52" s="485" t="str">
        <f t="shared" si="6"/>
        <v>2</v>
      </c>
      <c r="T52" s="485" t="str">
        <f t="shared" si="7"/>
        <v>3</v>
      </c>
      <c r="U52" s="485" t="str">
        <f t="shared" si="8"/>
        <v>4</v>
      </c>
      <c r="V52" s="508" t="str">
        <f t="shared" si="9"/>
        <v>2</v>
      </c>
      <c r="W52" s="508" t="str">
        <f t="shared" si="10"/>
        <v>3</v>
      </c>
      <c r="X52" s="508">
        <f t="shared" si="11"/>
        <v>0</v>
      </c>
      <c r="Y52" s="568">
        <f t="shared" si="12"/>
        <v>0.59506936376772346</v>
      </c>
      <c r="Z52" s="485" t="s">
        <v>200</v>
      </c>
      <c r="AA52" s="486" t="s">
        <v>223</v>
      </c>
      <c r="AB52" s="486" t="s">
        <v>1451</v>
      </c>
    </row>
    <row r="53" spans="1:28" s="492" customFormat="1">
      <c r="A53" s="501" t="s">
        <v>223</v>
      </c>
      <c r="B53" s="495" t="s">
        <v>42</v>
      </c>
      <c r="C53" s="498" t="s">
        <v>596</v>
      </c>
      <c r="D53" s="502" t="s">
        <v>596</v>
      </c>
      <c r="E53" s="495" t="s">
        <v>1146</v>
      </c>
      <c r="F53" s="498" t="s">
        <v>596</v>
      </c>
      <c r="G53" s="498" t="s">
        <v>596</v>
      </c>
      <c r="H53" s="498" t="s">
        <v>596</v>
      </c>
      <c r="I53" s="503">
        <v>6.3368055555555562</v>
      </c>
      <c r="J53" s="498" t="s">
        <v>1168</v>
      </c>
      <c r="K53" s="489" t="s">
        <v>1210</v>
      </c>
      <c r="L53" s="495" t="s">
        <v>1210</v>
      </c>
      <c r="M53" s="495" t="s">
        <v>1210</v>
      </c>
      <c r="N53" s="495" t="s">
        <v>1210</v>
      </c>
      <c r="O53" s="495" t="s">
        <v>1210</v>
      </c>
      <c r="P53" s="495" t="s">
        <v>1210</v>
      </c>
      <c r="Q53" s="489" t="s">
        <v>1254</v>
      </c>
      <c r="R53" s="485">
        <f t="shared" si="5"/>
        <v>0</v>
      </c>
      <c r="S53" s="485">
        <f t="shared" si="6"/>
        <v>0</v>
      </c>
      <c r="T53" s="485">
        <f t="shared" si="7"/>
        <v>0</v>
      </c>
      <c r="U53" s="485">
        <f t="shared" si="8"/>
        <v>0</v>
      </c>
      <c r="V53" s="508">
        <f t="shared" si="9"/>
        <v>0</v>
      </c>
      <c r="W53" s="508">
        <f t="shared" si="10"/>
        <v>0</v>
      </c>
      <c r="X53" s="508" t="str">
        <f t="shared" si="11"/>
        <v>2</v>
      </c>
      <c r="Y53" s="568">
        <f t="shared" si="12"/>
        <v>0.2278929098260076</v>
      </c>
      <c r="Z53" s="485" t="s">
        <v>223</v>
      </c>
      <c r="AA53" s="486" t="s">
        <v>1459</v>
      </c>
      <c r="AB53" s="486" t="s">
        <v>1445</v>
      </c>
    </row>
    <row r="54" spans="1:28" s="492" customFormat="1" ht="16.5">
      <c r="A54" s="501" t="s">
        <v>200</v>
      </c>
      <c r="B54" s="495" t="s">
        <v>42</v>
      </c>
      <c r="C54" s="498" t="s">
        <v>996</v>
      </c>
      <c r="D54" s="496">
        <v>0.1</v>
      </c>
      <c r="E54" s="495" t="s">
        <v>1097</v>
      </c>
      <c r="F54" s="498">
        <v>12.5</v>
      </c>
      <c r="G54" s="498">
        <v>360</v>
      </c>
      <c r="H54" s="497">
        <v>3.4722222222222224E-2</v>
      </c>
      <c r="I54" s="503">
        <v>6.3368055555555562</v>
      </c>
      <c r="J54" s="498" t="s">
        <v>1411</v>
      </c>
      <c r="K54" s="564" t="s">
        <v>1413</v>
      </c>
      <c r="L54" s="504" t="s">
        <v>1211</v>
      </c>
      <c r="M54" s="495" t="s">
        <v>1214</v>
      </c>
      <c r="N54" s="495" t="s">
        <v>1240</v>
      </c>
      <c r="O54" s="489" t="s">
        <v>1304</v>
      </c>
      <c r="P54" s="495" t="s">
        <v>1255</v>
      </c>
      <c r="Q54" s="495" t="s">
        <v>1210</v>
      </c>
      <c r="R54" s="485" t="str">
        <f t="shared" si="5"/>
        <v>3</v>
      </c>
      <c r="S54" s="485" t="str">
        <f t="shared" si="6"/>
        <v>1</v>
      </c>
      <c r="T54" s="485" t="str">
        <f t="shared" si="7"/>
        <v>3</v>
      </c>
      <c r="U54" s="485" t="str">
        <f t="shared" si="8"/>
        <v>2</v>
      </c>
      <c r="V54" s="508" t="str">
        <f t="shared" si="9"/>
        <v>2</v>
      </c>
      <c r="W54" s="508" t="str">
        <f t="shared" si="10"/>
        <v>2</v>
      </c>
      <c r="X54" s="508">
        <f t="shared" si="11"/>
        <v>0</v>
      </c>
      <c r="Y54" s="568">
        <f t="shared" si="12"/>
        <v>0.48388299272535645</v>
      </c>
      <c r="Z54" s="485" t="s">
        <v>200</v>
      </c>
      <c r="AA54" s="486" t="s">
        <v>200</v>
      </c>
      <c r="AB54" s="486" t="s">
        <v>1448</v>
      </c>
    </row>
    <row r="55" spans="1:28" s="492" customFormat="1" ht="16.5">
      <c r="A55" s="494" t="s">
        <v>200</v>
      </c>
      <c r="B55" s="495" t="s">
        <v>42</v>
      </c>
      <c r="C55" s="495" t="s">
        <v>996</v>
      </c>
      <c r="D55" s="496">
        <v>0.1</v>
      </c>
      <c r="E55" s="495" t="s">
        <v>1097</v>
      </c>
      <c r="F55" s="495">
        <v>3</v>
      </c>
      <c r="G55" s="495">
        <v>28</v>
      </c>
      <c r="H55" s="497">
        <v>0.10714285714285714</v>
      </c>
      <c r="I55" s="497">
        <v>19.553571428571448</v>
      </c>
      <c r="J55" s="495" t="s">
        <v>1310</v>
      </c>
      <c r="K55" s="564" t="s">
        <v>1404</v>
      </c>
      <c r="L55" s="506" t="s">
        <v>1217</v>
      </c>
      <c r="M55" s="489" t="str">
        <f>CONCATENATE("4 - less than 10% (",F55,")")</f>
        <v>4 - less than 10% (3)</v>
      </c>
      <c r="N55" s="498" t="s">
        <v>1224</v>
      </c>
      <c r="O55" s="489" t="s">
        <v>1304</v>
      </c>
      <c r="P55" s="495" t="s">
        <v>1255</v>
      </c>
      <c r="Q55" s="495" t="s">
        <v>1210</v>
      </c>
      <c r="R55" s="485" t="str">
        <f t="shared" si="5"/>
        <v>3</v>
      </c>
      <c r="S55" s="485" t="str">
        <f t="shared" si="6"/>
        <v>2</v>
      </c>
      <c r="T55" s="485" t="str">
        <f t="shared" si="7"/>
        <v>4</v>
      </c>
      <c r="U55" s="485" t="str">
        <f t="shared" si="8"/>
        <v>1</v>
      </c>
      <c r="V55" s="508" t="str">
        <f t="shared" si="9"/>
        <v>2</v>
      </c>
      <c r="W55" s="508" t="str">
        <f t="shared" si="10"/>
        <v>2</v>
      </c>
      <c r="X55" s="508">
        <f t="shared" si="11"/>
        <v>0</v>
      </c>
      <c r="Y55" s="568">
        <f t="shared" si="12"/>
        <v>1.2716202899130387</v>
      </c>
      <c r="Z55" s="485" t="s">
        <v>200</v>
      </c>
      <c r="AA55" s="486" t="s">
        <v>223</v>
      </c>
      <c r="AB55" s="486" t="s">
        <v>1450</v>
      </c>
    </row>
    <row r="56" spans="1:28" s="492" customFormat="1">
      <c r="A56" s="494" t="s">
        <v>200</v>
      </c>
      <c r="B56" s="495" t="s">
        <v>42</v>
      </c>
      <c r="C56" s="495" t="s">
        <v>198</v>
      </c>
      <c r="D56" s="496">
        <v>0.1</v>
      </c>
      <c r="E56" s="495" t="s">
        <v>1097</v>
      </c>
      <c r="F56" s="495">
        <v>1</v>
      </c>
      <c r="G56" s="495">
        <v>28</v>
      </c>
      <c r="H56" s="497">
        <v>3.5714285714285712E-2</v>
      </c>
      <c r="I56" s="497">
        <v>6.5178571428571495</v>
      </c>
      <c r="J56" s="495" t="s">
        <v>699</v>
      </c>
      <c r="K56" s="498" t="s">
        <v>1209</v>
      </c>
      <c r="L56" s="506" t="s">
        <v>1217</v>
      </c>
      <c r="M56" s="495" t="s">
        <v>1215</v>
      </c>
      <c r="N56" s="495" t="s">
        <v>1241</v>
      </c>
      <c r="O56" s="489" t="s">
        <v>1306</v>
      </c>
      <c r="P56" s="495" t="s">
        <v>1223</v>
      </c>
      <c r="Q56" s="495" t="s">
        <v>1210</v>
      </c>
      <c r="R56" s="485" t="str">
        <f t="shared" si="5"/>
        <v>1</v>
      </c>
      <c r="S56" s="485" t="str">
        <f t="shared" si="6"/>
        <v>2</v>
      </c>
      <c r="T56" s="485" t="str">
        <f t="shared" si="7"/>
        <v>4</v>
      </c>
      <c r="U56" s="485" t="str">
        <f t="shared" si="8"/>
        <v>4</v>
      </c>
      <c r="V56" s="508" t="str">
        <f t="shared" si="9"/>
        <v>2</v>
      </c>
      <c r="W56" s="508" t="str">
        <f t="shared" si="10"/>
        <v>2</v>
      </c>
      <c r="X56" s="508">
        <f t="shared" si="11"/>
        <v>0</v>
      </c>
      <c r="Y56" s="568">
        <f t="shared" si="12"/>
        <v>1.2591904459579091</v>
      </c>
      <c r="Z56" s="485" t="s">
        <v>200</v>
      </c>
      <c r="AA56" s="486" t="s">
        <v>223</v>
      </c>
      <c r="AB56" s="486" t="s">
        <v>1450</v>
      </c>
    </row>
    <row r="57" spans="1:28" s="492" customFormat="1">
      <c r="A57" s="494" t="s">
        <v>200</v>
      </c>
      <c r="B57" s="495" t="s">
        <v>42</v>
      </c>
      <c r="C57" s="495" t="s">
        <v>198</v>
      </c>
      <c r="D57" s="496">
        <v>0.1</v>
      </c>
      <c r="E57" s="495" t="s">
        <v>1097</v>
      </c>
      <c r="F57" s="495">
        <v>2</v>
      </c>
      <c r="G57" s="495">
        <v>28</v>
      </c>
      <c r="H57" s="497">
        <v>7.1428571428571425E-2</v>
      </c>
      <c r="I57" s="497">
        <v>13.035714285714299</v>
      </c>
      <c r="J57" s="495" t="s">
        <v>699</v>
      </c>
      <c r="K57" s="498" t="s">
        <v>1209</v>
      </c>
      <c r="L57" s="506" t="s">
        <v>1217</v>
      </c>
      <c r="M57" s="498" t="s">
        <v>1215</v>
      </c>
      <c r="N57" s="495" t="s">
        <v>1241</v>
      </c>
      <c r="O57" s="489" t="s">
        <v>1306</v>
      </c>
      <c r="P57" s="495" t="s">
        <v>1223</v>
      </c>
      <c r="Q57" s="495" t="s">
        <v>1210</v>
      </c>
      <c r="R57" s="485" t="str">
        <f t="shared" si="5"/>
        <v>1</v>
      </c>
      <c r="S57" s="485" t="str">
        <f t="shared" si="6"/>
        <v>2</v>
      </c>
      <c r="T57" s="485" t="str">
        <f t="shared" si="7"/>
        <v>4</v>
      </c>
      <c r="U57" s="485" t="str">
        <f t="shared" si="8"/>
        <v>4</v>
      </c>
      <c r="V57" s="508" t="str">
        <f t="shared" si="9"/>
        <v>2</v>
      </c>
      <c r="W57" s="508" t="str">
        <f t="shared" si="10"/>
        <v>2</v>
      </c>
      <c r="X57" s="508">
        <f t="shared" si="11"/>
        <v>0</v>
      </c>
      <c r="Y57" s="568">
        <f t="shared" si="12"/>
        <v>1.2591904459579091</v>
      </c>
      <c r="Z57" s="485" t="s">
        <v>200</v>
      </c>
      <c r="AA57" s="486" t="s">
        <v>223</v>
      </c>
      <c r="AB57" s="486" t="s">
        <v>1450</v>
      </c>
    </row>
    <row r="58" spans="1:28" s="492" customFormat="1">
      <c r="A58" s="494" t="s">
        <v>200</v>
      </c>
      <c r="B58" s="495" t="s">
        <v>42</v>
      </c>
      <c r="C58" s="495" t="s">
        <v>198</v>
      </c>
      <c r="D58" s="496">
        <v>0.1</v>
      </c>
      <c r="E58" s="495" t="s">
        <v>1097</v>
      </c>
      <c r="F58" s="495">
        <v>2</v>
      </c>
      <c r="G58" s="495">
        <v>28</v>
      </c>
      <c r="H58" s="497">
        <v>7.1428571428571425E-2</v>
      </c>
      <c r="I58" s="497">
        <v>13.035714285714299</v>
      </c>
      <c r="J58" s="495" t="s">
        <v>699</v>
      </c>
      <c r="K58" s="498" t="s">
        <v>1209</v>
      </c>
      <c r="L58" s="506" t="s">
        <v>1217</v>
      </c>
      <c r="M58" s="495" t="s">
        <v>1215</v>
      </c>
      <c r="N58" s="495" t="s">
        <v>1241</v>
      </c>
      <c r="O58" s="489" t="s">
        <v>1306</v>
      </c>
      <c r="P58" s="495" t="s">
        <v>1293</v>
      </c>
      <c r="Q58" s="495" t="s">
        <v>1210</v>
      </c>
      <c r="R58" s="485" t="str">
        <f t="shared" si="5"/>
        <v>1</v>
      </c>
      <c r="S58" s="485" t="str">
        <f t="shared" si="6"/>
        <v>2</v>
      </c>
      <c r="T58" s="485" t="str">
        <f t="shared" si="7"/>
        <v>4</v>
      </c>
      <c r="U58" s="485" t="str">
        <f t="shared" si="8"/>
        <v>4</v>
      </c>
      <c r="V58" s="508" t="str">
        <f t="shared" si="9"/>
        <v>2</v>
      </c>
      <c r="W58" s="508" t="str">
        <f t="shared" si="10"/>
        <v>3</v>
      </c>
      <c r="X58" s="508">
        <f t="shared" si="11"/>
        <v>0</v>
      </c>
      <c r="Y58" s="568">
        <f t="shared" si="12"/>
        <v>1.3180657811279592</v>
      </c>
      <c r="Z58" s="485" t="s">
        <v>200</v>
      </c>
      <c r="AA58" s="486" t="s">
        <v>223</v>
      </c>
      <c r="AB58" s="486" t="s">
        <v>1450</v>
      </c>
    </row>
    <row r="59" spans="1:28" s="492" customFormat="1">
      <c r="A59" s="494" t="s">
        <v>200</v>
      </c>
      <c r="B59" s="495" t="s">
        <v>42</v>
      </c>
      <c r="C59" s="495" t="s">
        <v>198</v>
      </c>
      <c r="D59" s="496">
        <v>0.1</v>
      </c>
      <c r="E59" s="495" t="s">
        <v>1097</v>
      </c>
      <c r="F59" s="495">
        <v>2</v>
      </c>
      <c r="G59" s="495">
        <v>28</v>
      </c>
      <c r="H59" s="497">
        <v>7.1428571428571425E-2</v>
      </c>
      <c r="I59" s="497">
        <v>13.035714285714299</v>
      </c>
      <c r="J59" s="495" t="s">
        <v>699</v>
      </c>
      <c r="K59" s="498" t="s">
        <v>1209</v>
      </c>
      <c r="L59" s="506" t="s">
        <v>1217</v>
      </c>
      <c r="M59" s="495" t="s">
        <v>1215</v>
      </c>
      <c r="N59" s="495" t="s">
        <v>1241</v>
      </c>
      <c r="O59" s="489" t="s">
        <v>1306</v>
      </c>
      <c r="P59" s="495" t="s">
        <v>1293</v>
      </c>
      <c r="Q59" s="495" t="s">
        <v>1210</v>
      </c>
      <c r="R59" s="485" t="str">
        <f t="shared" si="5"/>
        <v>1</v>
      </c>
      <c r="S59" s="485" t="str">
        <f t="shared" si="6"/>
        <v>2</v>
      </c>
      <c r="T59" s="485" t="str">
        <f t="shared" si="7"/>
        <v>4</v>
      </c>
      <c r="U59" s="485" t="str">
        <f t="shared" si="8"/>
        <v>4</v>
      </c>
      <c r="V59" s="508" t="str">
        <f t="shared" si="9"/>
        <v>2</v>
      </c>
      <c r="W59" s="508" t="str">
        <f t="shared" si="10"/>
        <v>3</v>
      </c>
      <c r="X59" s="508">
        <f t="shared" si="11"/>
        <v>0</v>
      </c>
      <c r="Y59" s="568">
        <f t="shared" si="12"/>
        <v>1.3180657811279592</v>
      </c>
      <c r="Z59" s="485" t="s">
        <v>200</v>
      </c>
      <c r="AA59" s="486" t="s">
        <v>223</v>
      </c>
      <c r="AB59" s="486" t="s">
        <v>1450</v>
      </c>
    </row>
    <row r="60" spans="1:28" s="492" customFormat="1">
      <c r="A60" s="501" t="s">
        <v>223</v>
      </c>
      <c r="B60" s="495" t="s">
        <v>42</v>
      </c>
      <c r="C60" s="498" t="s">
        <v>596</v>
      </c>
      <c r="D60" s="502" t="s">
        <v>596</v>
      </c>
      <c r="E60" s="495" t="s">
        <v>1143</v>
      </c>
      <c r="F60" s="498" t="s">
        <v>596</v>
      </c>
      <c r="G60" s="498" t="s">
        <v>596</v>
      </c>
      <c r="H60" s="498" t="s">
        <v>596</v>
      </c>
      <c r="I60" s="503">
        <v>6.3368055555555562</v>
      </c>
      <c r="J60" s="498" t="s">
        <v>1168</v>
      </c>
      <c r="K60" s="489" t="s">
        <v>1210</v>
      </c>
      <c r="L60" s="495" t="s">
        <v>1210</v>
      </c>
      <c r="M60" s="495" t="s">
        <v>1210</v>
      </c>
      <c r="N60" s="495" t="s">
        <v>1210</v>
      </c>
      <c r="O60" s="495" t="s">
        <v>1210</v>
      </c>
      <c r="P60" s="495" t="s">
        <v>1210</v>
      </c>
      <c r="Q60" s="489" t="s">
        <v>1254</v>
      </c>
      <c r="R60" s="485">
        <f t="shared" si="5"/>
        <v>0</v>
      </c>
      <c r="S60" s="485">
        <f t="shared" si="6"/>
        <v>0</v>
      </c>
      <c r="T60" s="485">
        <f t="shared" si="7"/>
        <v>0</v>
      </c>
      <c r="U60" s="485">
        <f t="shared" si="8"/>
        <v>0</v>
      </c>
      <c r="V60" s="508">
        <f t="shared" si="9"/>
        <v>0</v>
      </c>
      <c r="W60" s="508">
        <f t="shared" si="10"/>
        <v>0</v>
      </c>
      <c r="X60" s="508" t="str">
        <f t="shared" si="11"/>
        <v>2</v>
      </c>
      <c r="Y60" s="568">
        <f t="shared" si="12"/>
        <v>0.2278929098260076</v>
      </c>
      <c r="Z60" s="485" t="s">
        <v>223</v>
      </c>
      <c r="AA60" s="486" t="s">
        <v>1459</v>
      </c>
      <c r="AB60" s="486" t="s">
        <v>1445</v>
      </c>
    </row>
    <row r="61" spans="1:28" s="492" customFormat="1" ht="16.5">
      <c r="A61" s="501" t="s">
        <v>200</v>
      </c>
      <c r="B61" s="495" t="s">
        <v>42</v>
      </c>
      <c r="C61" s="498" t="s">
        <v>996</v>
      </c>
      <c r="D61" s="496">
        <v>0.1</v>
      </c>
      <c r="E61" s="495" t="s">
        <v>1019</v>
      </c>
      <c r="F61" s="498">
        <v>50</v>
      </c>
      <c r="G61" s="498">
        <v>230</v>
      </c>
      <c r="H61" s="497">
        <v>0.21739130434782608</v>
      </c>
      <c r="I61" s="503">
        <v>39.673913043478265</v>
      </c>
      <c r="J61" s="498" t="s">
        <v>1411</v>
      </c>
      <c r="K61" s="564" t="s">
        <v>1413</v>
      </c>
      <c r="L61" s="504" t="s">
        <v>1211</v>
      </c>
      <c r="M61" s="498" t="s">
        <v>1212</v>
      </c>
      <c r="N61" s="495" t="s">
        <v>1240</v>
      </c>
      <c r="O61" s="489" t="s">
        <v>1304</v>
      </c>
      <c r="P61" s="495" t="s">
        <v>1255</v>
      </c>
      <c r="Q61" s="495" t="s">
        <v>1210</v>
      </c>
      <c r="R61" s="485" t="str">
        <f t="shared" si="5"/>
        <v>3</v>
      </c>
      <c r="S61" s="485" t="str">
        <f t="shared" si="6"/>
        <v>1</v>
      </c>
      <c r="T61" s="485" t="str">
        <f t="shared" si="7"/>
        <v>1</v>
      </c>
      <c r="U61" s="485" t="str">
        <f t="shared" si="8"/>
        <v>2</v>
      </c>
      <c r="V61" s="508" t="str">
        <f t="shared" si="9"/>
        <v>2</v>
      </c>
      <c r="W61" s="508" t="str">
        <f t="shared" si="10"/>
        <v>2</v>
      </c>
      <c r="X61" s="508">
        <f t="shared" si="11"/>
        <v>0</v>
      </c>
      <c r="Y61" s="568">
        <f t="shared" si="12"/>
        <v>0.25643770869915827</v>
      </c>
      <c r="Z61" s="485" t="s">
        <v>200</v>
      </c>
      <c r="AA61" s="486" t="s">
        <v>223</v>
      </c>
      <c r="AB61" s="486" t="s">
        <v>1450</v>
      </c>
    </row>
    <row r="62" spans="1:28" s="492" customFormat="1">
      <c r="A62" s="494" t="s">
        <v>200</v>
      </c>
      <c r="B62" s="495" t="s">
        <v>42</v>
      </c>
      <c r="C62" s="495" t="s">
        <v>288</v>
      </c>
      <c r="D62" s="496">
        <v>2</v>
      </c>
      <c r="E62" s="495" t="s">
        <v>1019</v>
      </c>
      <c r="F62" s="495">
        <v>1</v>
      </c>
      <c r="G62" s="495">
        <v>28</v>
      </c>
      <c r="H62" s="497">
        <v>3.5714285714285712E-2</v>
      </c>
      <c r="I62" s="497">
        <v>130.35714285714297</v>
      </c>
      <c r="J62" s="495" t="s">
        <v>139</v>
      </c>
      <c r="K62" s="498" t="s">
        <v>1209</v>
      </c>
      <c r="L62" s="504" t="s">
        <v>1211</v>
      </c>
      <c r="M62" s="498" t="s">
        <v>1215</v>
      </c>
      <c r="N62" s="498" t="s">
        <v>1224</v>
      </c>
      <c r="O62" s="489" t="s">
        <v>1302</v>
      </c>
      <c r="P62" s="495" t="s">
        <v>1222</v>
      </c>
      <c r="Q62" s="495" t="s">
        <v>1210</v>
      </c>
      <c r="R62" s="485" t="str">
        <f t="shared" si="5"/>
        <v>1</v>
      </c>
      <c r="S62" s="485" t="str">
        <f t="shared" si="6"/>
        <v>1</v>
      </c>
      <c r="T62" s="485" t="str">
        <f t="shared" si="7"/>
        <v>4</v>
      </c>
      <c r="U62" s="485" t="str">
        <f t="shared" si="8"/>
        <v>1</v>
      </c>
      <c r="V62" s="508" t="str">
        <f t="shared" si="9"/>
        <v>2</v>
      </c>
      <c r="W62" s="508" t="str">
        <f t="shared" si="10"/>
        <v>2</v>
      </c>
      <c r="X62" s="508">
        <f t="shared" si="11"/>
        <v>0</v>
      </c>
      <c r="Y62" s="568">
        <f t="shared" si="12"/>
        <v>1.2550389898409975</v>
      </c>
      <c r="Z62" s="485" t="s">
        <v>200</v>
      </c>
      <c r="AA62" s="486" t="s">
        <v>223</v>
      </c>
      <c r="AB62" s="486" t="s">
        <v>1450</v>
      </c>
    </row>
    <row r="63" spans="1:28" s="492" customFormat="1">
      <c r="A63" s="494" t="s">
        <v>200</v>
      </c>
      <c r="B63" s="495" t="s">
        <v>42</v>
      </c>
      <c r="C63" s="495" t="s">
        <v>241</v>
      </c>
      <c r="D63" s="496">
        <v>0.25</v>
      </c>
      <c r="E63" s="495" t="s">
        <v>1019</v>
      </c>
      <c r="F63" s="495">
        <v>16.8</v>
      </c>
      <c r="G63" s="495">
        <v>28</v>
      </c>
      <c r="H63" s="497">
        <v>0.6</v>
      </c>
      <c r="I63" s="497">
        <v>96.897926753434859</v>
      </c>
      <c r="J63" s="495" t="s">
        <v>139</v>
      </c>
      <c r="K63" s="498" t="s">
        <v>1209</v>
      </c>
      <c r="L63" s="504" t="s">
        <v>1211</v>
      </c>
      <c r="M63" s="498" t="s">
        <v>1214</v>
      </c>
      <c r="N63" s="498" t="s">
        <v>1224</v>
      </c>
      <c r="O63" s="489" t="s">
        <v>1302</v>
      </c>
      <c r="P63" s="495" t="s">
        <v>1222</v>
      </c>
      <c r="Q63" s="495" t="s">
        <v>1210</v>
      </c>
      <c r="R63" s="485" t="str">
        <f t="shared" si="5"/>
        <v>1</v>
      </c>
      <c r="S63" s="485" t="str">
        <f t="shared" si="6"/>
        <v>1</v>
      </c>
      <c r="T63" s="485" t="str">
        <f t="shared" si="7"/>
        <v>3</v>
      </c>
      <c r="U63" s="485" t="str">
        <f t="shared" si="8"/>
        <v>1</v>
      </c>
      <c r="V63" s="508" t="str">
        <f t="shared" si="9"/>
        <v>2</v>
      </c>
      <c r="W63" s="508" t="str">
        <f t="shared" si="10"/>
        <v>2</v>
      </c>
      <c r="X63" s="508">
        <f t="shared" si="11"/>
        <v>0</v>
      </c>
      <c r="Y63" s="568">
        <f t="shared" si="12"/>
        <v>0.43810159818879568</v>
      </c>
      <c r="Z63" s="485" t="s">
        <v>200</v>
      </c>
      <c r="AA63" s="486" t="s">
        <v>223</v>
      </c>
      <c r="AB63" s="486" t="s">
        <v>1450</v>
      </c>
    </row>
    <row r="64" spans="1:28" s="492" customFormat="1" ht="16.5">
      <c r="A64" s="494" t="s">
        <v>200</v>
      </c>
      <c r="B64" s="495" t="s">
        <v>42</v>
      </c>
      <c r="C64" s="495" t="s">
        <v>241</v>
      </c>
      <c r="D64" s="496">
        <v>0.1</v>
      </c>
      <c r="E64" s="495" t="s">
        <v>1019</v>
      </c>
      <c r="F64" s="495">
        <v>50</v>
      </c>
      <c r="G64" s="495">
        <v>120</v>
      </c>
      <c r="H64" s="497">
        <v>0.5625</v>
      </c>
      <c r="I64" s="497">
        <v>61.119377366604233</v>
      </c>
      <c r="J64" s="495" t="s">
        <v>153</v>
      </c>
      <c r="K64" s="498" t="s">
        <v>1209</v>
      </c>
      <c r="L64" s="504" t="s">
        <v>1211</v>
      </c>
      <c r="M64" s="498" t="s">
        <v>1212</v>
      </c>
      <c r="N64" s="495" t="s">
        <v>1240</v>
      </c>
      <c r="O64" s="489" t="s">
        <v>1285</v>
      </c>
      <c r="P64" s="495" t="s">
        <v>1255</v>
      </c>
      <c r="Q64" s="495" t="s">
        <v>1210</v>
      </c>
      <c r="R64" s="485" t="str">
        <f t="shared" si="5"/>
        <v>1</v>
      </c>
      <c r="S64" s="485" t="str">
        <f t="shared" si="6"/>
        <v>1</v>
      </c>
      <c r="T64" s="485" t="str">
        <f t="shared" si="7"/>
        <v>1</v>
      </c>
      <c r="U64" s="485" t="str">
        <f t="shared" si="8"/>
        <v>2</v>
      </c>
      <c r="V64" s="508" t="str">
        <f t="shared" si="9"/>
        <v>3</v>
      </c>
      <c r="W64" s="508" t="str">
        <f t="shared" si="10"/>
        <v>2</v>
      </c>
      <c r="X64" s="508">
        <f t="shared" si="11"/>
        <v>0</v>
      </c>
      <c r="Y64" s="568">
        <f t="shared" si="12"/>
        <v>0.20077428472933082</v>
      </c>
      <c r="Z64" s="485" t="s">
        <v>200</v>
      </c>
      <c r="AA64" s="486" t="s">
        <v>200</v>
      </c>
      <c r="AB64" s="486" t="s">
        <v>1448</v>
      </c>
    </row>
    <row r="65" spans="1:28" s="492" customFormat="1" ht="16.5">
      <c r="A65" s="501" t="s">
        <v>200</v>
      </c>
      <c r="B65" s="495" t="s">
        <v>654</v>
      </c>
      <c r="C65" s="498" t="s">
        <v>996</v>
      </c>
      <c r="D65" s="496">
        <v>0.1</v>
      </c>
      <c r="E65" s="495" t="s">
        <v>1147</v>
      </c>
      <c r="F65" s="498">
        <v>50</v>
      </c>
      <c r="G65" s="498">
        <v>45</v>
      </c>
      <c r="H65" s="497">
        <v>1.1111111111111112</v>
      </c>
      <c r="I65" s="503">
        <v>202.7777777777778</v>
      </c>
      <c r="J65" s="498" t="s">
        <v>1411</v>
      </c>
      <c r="K65" s="564" t="s">
        <v>1413</v>
      </c>
      <c r="L65" s="504" t="s">
        <v>1211</v>
      </c>
      <c r="M65" s="498" t="s">
        <v>1212</v>
      </c>
      <c r="N65" s="495" t="s">
        <v>1240</v>
      </c>
      <c r="O65" s="489" t="s">
        <v>1304</v>
      </c>
      <c r="P65" s="495" t="s">
        <v>1255</v>
      </c>
      <c r="Q65" s="495" t="s">
        <v>1210</v>
      </c>
      <c r="R65" s="485" t="str">
        <f t="shared" si="5"/>
        <v>3</v>
      </c>
      <c r="S65" s="485" t="str">
        <f t="shared" si="6"/>
        <v>1</v>
      </c>
      <c r="T65" s="485" t="str">
        <f t="shared" si="7"/>
        <v>1</v>
      </c>
      <c r="U65" s="485" t="str">
        <f t="shared" si="8"/>
        <v>2</v>
      </c>
      <c r="V65" s="508" t="str">
        <f t="shared" si="9"/>
        <v>2</v>
      </c>
      <c r="W65" s="508" t="str">
        <f t="shared" si="10"/>
        <v>2</v>
      </c>
      <c r="X65" s="508">
        <f t="shared" si="11"/>
        <v>0</v>
      </c>
      <c r="Y65" s="568">
        <f t="shared" si="12"/>
        <v>0.25643770869915827</v>
      </c>
      <c r="Z65" s="485" t="s">
        <v>200</v>
      </c>
      <c r="AA65" s="486" t="s">
        <v>223</v>
      </c>
      <c r="AB65" s="486" t="s">
        <v>1451</v>
      </c>
    </row>
    <row r="66" spans="1:28" s="492" customFormat="1">
      <c r="A66" s="494" t="s">
        <v>200</v>
      </c>
      <c r="B66" s="495" t="s">
        <v>654</v>
      </c>
      <c r="C66" s="495" t="s">
        <v>198</v>
      </c>
      <c r="D66" s="496">
        <v>0.1</v>
      </c>
      <c r="E66" s="495" t="s">
        <v>1147</v>
      </c>
      <c r="F66" s="495">
        <v>20</v>
      </c>
      <c r="G66" s="495">
        <v>28</v>
      </c>
      <c r="H66" s="497">
        <v>0.7142857142857143</v>
      </c>
      <c r="I66" s="497">
        <v>130.35714285714283</v>
      </c>
      <c r="J66" s="495" t="s">
        <v>699</v>
      </c>
      <c r="K66" s="498" t="s">
        <v>1209</v>
      </c>
      <c r="L66" s="506" t="s">
        <v>1217</v>
      </c>
      <c r="M66" s="495" t="s">
        <v>1214</v>
      </c>
      <c r="N66" s="495" t="s">
        <v>1241</v>
      </c>
      <c r="O66" s="489" t="s">
        <v>1305</v>
      </c>
      <c r="P66" s="495" t="s">
        <v>1223</v>
      </c>
      <c r="Q66" s="495" t="s">
        <v>1210</v>
      </c>
      <c r="R66" s="485" t="str">
        <f t="shared" si="5"/>
        <v>1</v>
      </c>
      <c r="S66" s="485" t="str">
        <f t="shared" si="6"/>
        <v>2</v>
      </c>
      <c r="T66" s="485" t="str">
        <f t="shared" si="7"/>
        <v>3</v>
      </c>
      <c r="U66" s="485" t="str">
        <f t="shared" si="8"/>
        <v>4</v>
      </c>
      <c r="V66" s="508" t="str">
        <f t="shared" si="9"/>
        <v>2</v>
      </c>
      <c r="W66" s="508" t="str">
        <f t="shared" si="10"/>
        <v>2</v>
      </c>
      <c r="X66" s="508">
        <f t="shared" si="11"/>
        <v>0</v>
      </c>
      <c r="Y66" s="568">
        <f t="shared" si="12"/>
        <v>0.44985633651883072</v>
      </c>
      <c r="Z66" s="485" t="s">
        <v>200</v>
      </c>
      <c r="AA66" s="486" t="s">
        <v>223</v>
      </c>
      <c r="AB66" s="486" t="s">
        <v>1451</v>
      </c>
    </row>
    <row r="67" spans="1:28">
      <c r="A67" s="494" t="s">
        <v>200</v>
      </c>
      <c r="B67" s="495" t="s">
        <v>654</v>
      </c>
      <c r="C67" s="495" t="s">
        <v>198</v>
      </c>
      <c r="D67" s="496">
        <v>0.1</v>
      </c>
      <c r="E67" s="495" t="s">
        <v>1147</v>
      </c>
      <c r="F67" s="495">
        <v>24</v>
      </c>
      <c r="G67" s="495">
        <v>28</v>
      </c>
      <c r="H67" s="497">
        <v>0.8571428571428571</v>
      </c>
      <c r="I67" s="497">
        <v>156.42857142857144</v>
      </c>
      <c r="J67" s="495" t="s">
        <v>699</v>
      </c>
      <c r="K67" s="498" t="s">
        <v>1209</v>
      </c>
      <c r="L67" s="506" t="s">
        <v>1217</v>
      </c>
      <c r="M67" s="489" t="s">
        <v>1299</v>
      </c>
      <c r="N67" s="495" t="s">
        <v>1241</v>
      </c>
      <c r="O67" s="489" t="s">
        <v>1305</v>
      </c>
      <c r="P67" s="495" t="s">
        <v>1293</v>
      </c>
      <c r="Q67" s="495" t="s">
        <v>1210</v>
      </c>
      <c r="R67" s="485" t="str">
        <f t="shared" si="5"/>
        <v>1</v>
      </c>
      <c r="S67" s="485" t="str">
        <f t="shared" si="6"/>
        <v>2</v>
      </c>
      <c r="T67" s="485" t="str">
        <f t="shared" si="7"/>
        <v>3</v>
      </c>
      <c r="U67" s="485" t="str">
        <f t="shared" si="8"/>
        <v>4</v>
      </c>
      <c r="V67" s="508" t="str">
        <f t="shared" si="9"/>
        <v>2</v>
      </c>
      <c r="W67" s="508" t="str">
        <f t="shared" si="10"/>
        <v>3</v>
      </c>
      <c r="X67" s="508">
        <f t="shared" si="11"/>
        <v>0</v>
      </c>
      <c r="Y67" s="568">
        <f t="shared" si="12"/>
        <v>0.59506936376772346</v>
      </c>
      <c r="Z67" s="485" t="s">
        <v>200</v>
      </c>
      <c r="AA67" s="486" t="s">
        <v>223</v>
      </c>
      <c r="AB67" s="486" t="s">
        <v>1451</v>
      </c>
    </row>
    <row r="68" spans="1:28">
      <c r="A68" s="494" t="s">
        <v>200</v>
      </c>
      <c r="B68" s="495" t="s">
        <v>654</v>
      </c>
      <c r="C68" s="495" t="s">
        <v>198</v>
      </c>
      <c r="D68" s="496">
        <v>0.1</v>
      </c>
      <c r="E68" s="495" t="s">
        <v>1147</v>
      </c>
      <c r="F68" s="495">
        <v>50</v>
      </c>
      <c r="G68" s="495">
        <v>28</v>
      </c>
      <c r="H68" s="497">
        <v>1.7857142857142858</v>
      </c>
      <c r="I68" s="497">
        <v>325.89285714285722</v>
      </c>
      <c r="J68" s="495" t="s">
        <v>699</v>
      </c>
      <c r="K68" s="498" t="s">
        <v>1209</v>
      </c>
      <c r="L68" s="506" t="s">
        <v>1217</v>
      </c>
      <c r="M68" s="498" t="s">
        <v>1212</v>
      </c>
      <c r="N68" s="495" t="s">
        <v>1241</v>
      </c>
      <c r="O68" s="489" t="s">
        <v>1305</v>
      </c>
      <c r="P68" s="495" t="s">
        <v>1223</v>
      </c>
      <c r="Q68" s="495" t="s">
        <v>1210</v>
      </c>
      <c r="R68" s="485" t="str">
        <f t="shared" si="5"/>
        <v>1</v>
      </c>
      <c r="S68" s="485" t="str">
        <f t="shared" si="6"/>
        <v>2</v>
      </c>
      <c r="T68" s="485" t="str">
        <f t="shared" si="7"/>
        <v>1</v>
      </c>
      <c r="U68" s="485" t="str">
        <f t="shared" si="8"/>
        <v>4</v>
      </c>
      <c r="V68" s="508" t="str">
        <f t="shared" si="9"/>
        <v>2</v>
      </c>
      <c r="W68" s="508" t="str">
        <f t="shared" si="10"/>
        <v>2</v>
      </c>
      <c r="X68" s="508">
        <f t="shared" si="11"/>
        <v>0</v>
      </c>
      <c r="Y68" s="568">
        <f t="shared" si="12"/>
        <v>0.18435908249980643</v>
      </c>
      <c r="Z68" s="485" t="s">
        <v>200</v>
      </c>
      <c r="AA68" s="486" t="s">
        <v>223</v>
      </c>
      <c r="AB68" s="486" t="s">
        <v>1451</v>
      </c>
    </row>
    <row r="69" spans="1:28">
      <c r="A69" s="494" t="s">
        <v>200</v>
      </c>
      <c r="B69" s="495" t="s">
        <v>654</v>
      </c>
      <c r="C69" s="495" t="s">
        <v>198</v>
      </c>
      <c r="D69" s="496">
        <v>0.1</v>
      </c>
      <c r="E69" s="495" t="s">
        <v>1147</v>
      </c>
      <c r="F69" s="495">
        <v>80</v>
      </c>
      <c r="G69" s="495">
        <v>28</v>
      </c>
      <c r="H69" s="497">
        <v>2.8571428571428572</v>
      </c>
      <c r="I69" s="497">
        <v>521.42857142857144</v>
      </c>
      <c r="J69" s="495" t="s">
        <v>699</v>
      </c>
      <c r="K69" s="564" t="s">
        <v>1209</v>
      </c>
      <c r="L69" s="506" t="s">
        <v>1217</v>
      </c>
      <c r="M69" s="498" t="s">
        <v>1212</v>
      </c>
      <c r="N69" s="495" t="s">
        <v>1241</v>
      </c>
      <c r="O69" s="489" t="s">
        <v>1305</v>
      </c>
      <c r="P69" s="495" t="s">
        <v>1293</v>
      </c>
      <c r="Q69" s="495" t="s">
        <v>1210</v>
      </c>
      <c r="R69" s="485" t="str">
        <f t="shared" si="5"/>
        <v>1</v>
      </c>
      <c r="S69" s="485" t="str">
        <f t="shared" si="6"/>
        <v>2</v>
      </c>
      <c r="T69" s="485" t="str">
        <f t="shared" si="7"/>
        <v>1</v>
      </c>
      <c r="U69" s="485" t="str">
        <f t="shared" si="8"/>
        <v>4</v>
      </c>
      <c r="V69" s="508" t="str">
        <f t="shared" si="9"/>
        <v>2</v>
      </c>
      <c r="W69" s="508" t="str">
        <f t="shared" si="10"/>
        <v>3</v>
      </c>
      <c r="X69" s="508">
        <f t="shared" si="11"/>
        <v>0</v>
      </c>
      <c r="Y69" s="568">
        <f t="shared" si="12"/>
        <v>0.43095834542209543</v>
      </c>
      <c r="Z69" s="485" t="s">
        <v>200</v>
      </c>
      <c r="AA69" s="486" t="s">
        <v>223</v>
      </c>
      <c r="AB69" s="486" t="s">
        <v>1451</v>
      </c>
    </row>
    <row r="70" spans="1:28">
      <c r="A70" s="501" t="s">
        <v>223</v>
      </c>
      <c r="B70" s="495" t="s">
        <v>654</v>
      </c>
      <c r="C70" s="498" t="s">
        <v>596</v>
      </c>
      <c r="D70" s="502" t="s">
        <v>596</v>
      </c>
      <c r="E70" s="495" t="s">
        <v>1146</v>
      </c>
      <c r="F70" s="498" t="s">
        <v>596</v>
      </c>
      <c r="G70" s="498" t="s">
        <v>596</v>
      </c>
      <c r="H70" s="498" t="s">
        <v>596</v>
      </c>
      <c r="I70" s="503">
        <v>33.547794117647058</v>
      </c>
      <c r="J70" s="498" t="s">
        <v>1168</v>
      </c>
      <c r="K70" s="489" t="s">
        <v>1210</v>
      </c>
      <c r="L70" s="495" t="s">
        <v>1210</v>
      </c>
      <c r="M70" s="495" t="s">
        <v>1210</v>
      </c>
      <c r="N70" s="495" t="s">
        <v>1210</v>
      </c>
      <c r="O70" s="495" t="s">
        <v>1210</v>
      </c>
      <c r="P70" s="495" t="s">
        <v>1210</v>
      </c>
      <c r="Q70" s="489" t="s">
        <v>1254</v>
      </c>
      <c r="R70" s="485">
        <f t="shared" ref="R70:R133" si="13">IF(LEFT(K70,1)="N",0,LEFT(K70,1))</f>
        <v>0</v>
      </c>
      <c r="S70" s="485">
        <f t="shared" ref="S70:S133" si="14">IF(LEFT(L70,1)="N",0,LEFT(L70,1))</f>
        <v>0</v>
      </c>
      <c r="T70" s="485">
        <f t="shared" ref="T70:T133" si="15">IF(LEFT(M70,1)="N",0,LEFT(M70,1))</f>
        <v>0</v>
      </c>
      <c r="U70" s="485">
        <f t="shared" ref="U70:U133" si="16">IF(LEFT(N70,1)="N",0,LEFT(N70,1))</f>
        <v>0</v>
      </c>
      <c r="V70" s="508">
        <f t="shared" ref="V70:V133" si="17">IF(LEFT(O70,1)="N",0,LEFT(O70,1))</f>
        <v>0</v>
      </c>
      <c r="W70" s="508">
        <f t="shared" ref="W70:W133" si="18">IF(LEFT(P70,1)="N",0,LEFT(P70,1))</f>
        <v>0</v>
      </c>
      <c r="X70" s="508" t="str">
        <f t="shared" ref="X70:X133" si="19">IF(LEFT(Q70,1)="N",0,LEFT(Q70,1))</f>
        <v>2</v>
      </c>
      <c r="Y70" s="568">
        <f t="shared" ref="Y70:Y133" si="20">IF(X70=0, (SQRT((($R$3*EXP($Y$3*(R70)))^2)+(($S$3*EXP($Y$3*(1-S70)))^2)+(($T$3*EXP($Y$3*(T70)))^2)+(($U$3*EXP($Y$3*(U70-1)))^2)+(($V$3*EXP($Y$3*(V70-1)))^2)+(($W$3*EXP($Y$3*(W70)))^2)))/100, $X$3*EXP($Y$3*X70)/100)</f>
        <v>0.2278929098260076</v>
      </c>
      <c r="Z70" s="485" t="s">
        <v>223</v>
      </c>
      <c r="AA70" s="486" t="s">
        <v>1459</v>
      </c>
      <c r="AB70" s="486" t="s">
        <v>1445</v>
      </c>
    </row>
    <row r="71" spans="1:28" ht="16.5">
      <c r="A71" s="501" t="s">
        <v>200</v>
      </c>
      <c r="B71" s="495" t="s">
        <v>654</v>
      </c>
      <c r="C71" s="498" t="s">
        <v>996</v>
      </c>
      <c r="D71" s="502">
        <v>0.1</v>
      </c>
      <c r="E71" s="495" t="s">
        <v>1097</v>
      </c>
      <c r="F71" s="498">
        <v>50</v>
      </c>
      <c r="G71" s="498">
        <v>272</v>
      </c>
      <c r="H71" s="497">
        <v>0.18382352941176472</v>
      </c>
      <c r="I71" s="503">
        <v>33.547794117647058</v>
      </c>
      <c r="J71" s="498" t="s">
        <v>1411</v>
      </c>
      <c r="K71" s="564" t="s">
        <v>1413</v>
      </c>
      <c r="L71" s="504" t="s">
        <v>1211</v>
      </c>
      <c r="M71" s="498" t="s">
        <v>1212</v>
      </c>
      <c r="N71" s="495" t="s">
        <v>1240</v>
      </c>
      <c r="O71" s="489" t="s">
        <v>1304</v>
      </c>
      <c r="P71" s="495" t="s">
        <v>1255</v>
      </c>
      <c r="Q71" s="495" t="s">
        <v>1210</v>
      </c>
      <c r="R71" s="485" t="str">
        <f t="shared" si="13"/>
        <v>3</v>
      </c>
      <c r="S71" s="485" t="str">
        <f t="shared" si="14"/>
        <v>1</v>
      </c>
      <c r="T71" s="485" t="str">
        <f t="shared" si="15"/>
        <v>1</v>
      </c>
      <c r="U71" s="485" t="str">
        <f t="shared" si="16"/>
        <v>2</v>
      </c>
      <c r="V71" s="508" t="str">
        <f t="shared" si="17"/>
        <v>2</v>
      </c>
      <c r="W71" s="508" t="str">
        <f t="shared" si="18"/>
        <v>2</v>
      </c>
      <c r="X71" s="508">
        <f t="shared" si="19"/>
        <v>0</v>
      </c>
      <c r="Y71" s="568">
        <f t="shared" si="20"/>
        <v>0.25643770869915827</v>
      </c>
      <c r="Z71" s="485" t="s">
        <v>200</v>
      </c>
      <c r="AA71" s="486" t="s">
        <v>200</v>
      </c>
      <c r="AB71" s="486" t="s">
        <v>1448</v>
      </c>
    </row>
    <row r="72" spans="1:28" s="492" customFormat="1" ht="16.5">
      <c r="A72" s="494" t="s">
        <v>200</v>
      </c>
      <c r="B72" s="495" t="s">
        <v>654</v>
      </c>
      <c r="C72" s="495" t="s">
        <v>198</v>
      </c>
      <c r="D72" s="496">
        <v>0.1</v>
      </c>
      <c r="E72" s="495" t="s">
        <v>1097</v>
      </c>
      <c r="F72" s="495">
        <v>4</v>
      </c>
      <c r="G72" s="495">
        <v>28</v>
      </c>
      <c r="H72" s="497">
        <v>0.14285714285714285</v>
      </c>
      <c r="I72" s="497">
        <v>26.071428571428598</v>
      </c>
      <c r="J72" s="495" t="s">
        <v>1310</v>
      </c>
      <c r="K72" s="564" t="s">
        <v>1404</v>
      </c>
      <c r="L72" s="506" t="s">
        <v>1217</v>
      </c>
      <c r="M72" s="489" t="str">
        <f>CONCATENATE("4 - less than 10% (",F72,")")</f>
        <v>4 - less than 10% (4)</v>
      </c>
      <c r="N72" s="498" t="s">
        <v>1224</v>
      </c>
      <c r="O72" s="489" t="s">
        <v>1304</v>
      </c>
      <c r="P72" s="495" t="s">
        <v>1255</v>
      </c>
      <c r="Q72" s="495" t="s">
        <v>1210</v>
      </c>
      <c r="R72" s="485" t="str">
        <f t="shared" si="13"/>
        <v>3</v>
      </c>
      <c r="S72" s="485" t="str">
        <f t="shared" si="14"/>
        <v>2</v>
      </c>
      <c r="T72" s="485" t="str">
        <f t="shared" si="15"/>
        <v>4</v>
      </c>
      <c r="U72" s="485" t="str">
        <f t="shared" si="16"/>
        <v>1</v>
      </c>
      <c r="V72" s="508" t="str">
        <f t="shared" si="17"/>
        <v>2</v>
      </c>
      <c r="W72" s="508" t="str">
        <f t="shared" si="18"/>
        <v>2</v>
      </c>
      <c r="X72" s="508">
        <f t="shared" si="19"/>
        <v>0</v>
      </c>
      <c r="Y72" s="568">
        <f t="shared" si="20"/>
        <v>1.2716202899130387</v>
      </c>
      <c r="Z72" s="485" t="s">
        <v>200</v>
      </c>
      <c r="AA72" s="486" t="s">
        <v>223</v>
      </c>
      <c r="AB72" s="486" t="s">
        <v>1450</v>
      </c>
    </row>
    <row r="73" spans="1:28" s="492" customFormat="1">
      <c r="A73" s="494" t="s">
        <v>200</v>
      </c>
      <c r="B73" s="495" t="s">
        <v>654</v>
      </c>
      <c r="C73" s="495" t="s">
        <v>198</v>
      </c>
      <c r="D73" s="496">
        <v>0.1</v>
      </c>
      <c r="E73" s="495" t="s">
        <v>1097</v>
      </c>
      <c r="F73" s="495">
        <v>10</v>
      </c>
      <c r="G73" s="495">
        <v>28</v>
      </c>
      <c r="H73" s="497">
        <v>0.35714285714285715</v>
      </c>
      <c r="I73" s="497">
        <v>65.178571428571416</v>
      </c>
      <c r="J73" s="495" t="s">
        <v>699</v>
      </c>
      <c r="K73" s="498" t="s">
        <v>1209</v>
      </c>
      <c r="L73" s="506" t="s">
        <v>1217</v>
      </c>
      <c r="M73" s="498" t="s">
        <v>1214</v>
      </c>
      <c r="N73" s="495" t="s">
        <v>1241</v>
      </c>
      <c r="O73" s="489" t="s">
        <v>1306</v>
      </c>
      <c r="P73" s="495" t="s">
        <v>1223</v>
      </c>
      <c r="Q73" s="495" t="s">
        <v>1210</v>
      </c>
      <c r="R73" s="485" t="str">
        <f t="shared" si="13"/>
        <v>1</v>
      </c>
      <c r="S73" s="485" t="str">
        <f t="shared" si="14"/>
        <v>2</v>
      </c>
      <c r="T73" s="485" t="str">
        <f t="shared" si="15"/>
        <v>3</v>
      </c>
      <c r="U73" s="485" t="str">
        <f t="shared" si="16"/>
        <v>4</v>
      </c>
      <c r="V73" s="508" t="str">
        <f t="shared" si="17"/>
        <v>2</v>
      </c>
      <c r="W73" s="508" t="str">
        <f t="shared" si="18"/>
        <v>2</v>
      </c>
      <c r="X73" s="508">
        <f t="shared" si="19"/>
        <v>0</v>
      </c>
      <c r="Y73" s="568">
        <f t="shared" si="20"/>
        <v>0.44985633651883072</v>
      </c>
      <c r="Z73" s="485" t="s">
        <v>200</v>
      </c>
      <c r="AA73" s="486" t="s">
        <v>223</v>
      </c>
      <c r="AB73" s="486" t="s">
        <v>1450</v>
      </c>
    </row>
    <row r="74" spans="1:28" s="492" customFormat="1">
      <c r="A74" s="494" t="s">
        <v>200</v>
      </c>
      <c r="B74" s="495" t="s">
        <v>654</v>
      </c>
      <c r="C74" s="495" t="s">
        <v>198</v>
      </c>
      <c r="D74" s="496">
        <v>0.1</v>
      </c>
      <c r="E74" s="495" t="s">
        <v>1097</v>
      </c>
      <c r="F74" s="495">
        <v>11</v>
      </c>
      <c r="G74" s="495">
        <v>28</v>
      </c>
      <c r="H74" s="497">
        <v>0.39285714285714285</v>
      </c>
      <c r="I74" s="497">
        <v>71.696428571428569</v>
      </c>
      <c r="J74" s="495" t="s">
        <v>699</v>
      </c>
      <c r="K74" s="498" t="s">
        <v>1209</v>
      </c>
      <c r="L74" s="506" t="s">
        <v>1217</v>
      </c>
      <c r="M74" s="498" t="s">
        <v>1214</v>
      </c>
      <c r="N74" s="495" t="s">
        <v>1241</v>
      </c>
      <c r="O74" s="489" t="s">
        <v>1306</v>
      </c>
      <c r="P74" s="495" t="s">
        <v>1293</v>
      </c>
      <c r="Q74" s="495" t="s">
        <v>1210</v>
      </c>
      <c r="R74" s="485" t="str">
        <f t="shared" si="13"/>
        <v>1</v>
      </c>
      <c r="S74" s="485" t="str">
        <f t="shared" si="14"/>
        <v>2</v>
      </c>
      <c r="T74" s="485" t="str">
        <f t="shared" si="15"/>
        <v>3</v>
      </c>
      <c r="U74" s="485" t="str">
        <f t="shared" si="16"/>
        <v>4</v>
      </c>
      <c r="V74" s="508" t="str">
        <f t="shared" si="17"/>
        <v>2</v>
      </c>
      <c r="W74" s="508" t="str">
        <f t="shared" si="18"/>
        <v>3</v>
      </c>
      <c r="X74" s="508">
        <f t="shared" si="19"/>
        <v>0</v>
      </c>
      <c r="Y74" s="568">
        <f t="shared" si="20"/>
        <v>0.59506936376772346</v>
      </c>
      <c r="Z74" s="485" t="s">
        <v>200</v>
      </c>
      <c r="AA74" s="486" t="s">
        <v>223</v>
      </c>
      <c r="AB74" s="486" t="s">
        <v>1450</v>
      </c>
    </row>
    <row r="75" spans="1:28" s="492" customFormat="1">
      <c r="A75" s="494" t="s">
        <v>200</v>
      </c>
      <c r="B75" s="495" t="s">
        <v>654</v>
      </c>
      <c r="C75" s="495" t="s">
        <v>198</v>
      </c>
      <c r="D75" s="496">
        <v>0.1</v>
      </c>
      <c r="E75" s="495" t="s">
        <v>1097</v>
      </c>
      <c r="F75" s="495">
        <v>20</v>
      </c>
      <c r="G75" s="495">
        <v>28</v>
      </c>
      <c r="H75" s="497">
        <v>0.7142857142857143</v>
      </c>
      <c r="I75" s="497">
        <v>130.35714285714283</v>
      </c>
      <c r="J75" s="495" t="s">
        <v>699</v>
      </c>
      <c r="K75" s="498" t="s">
        <v>1209</v>
      </c>
      <c r="L75" s="506" t="s">
        <v>1217</v>
      </c>
      <c r="M75" s="495" t="s">
        <v>1214</v>
      </c>
      <c r="N75" s="495" t="s">
        <v>1241</v>
      </c>
      <c r="O75" s="489" t="s">
        <v>1306</v>
      </c>
      <c r="P75" s="495" t="s">
        <v>1223</v>
      </c>
      <c r="Q75" s="495" t="s">
        <v>1210</v>
      </c>
      <c r="R75" s="485" t="str">
        <f t="shared" si="13"/>
        <v>1</v>
      </c>
      <c r="S75" s="485" t="str">
        <f t="shared" si="14"/>
        <v>2</v>
      </c>
      <c r="T75" s="485" t="str">
        <f t="shared" si="15"/>
        <v>3</v>
      </c>
      <c r="U75" s="485" t="str">
        <f t="shared" si="16"/>
        <v>4</v>
      </c>
      <c r="V75" s="508" t="str">
        <f t="shared" si="17"/>
        <v>2</v>
      </c>
      <c r="W75" s="508" t="str">
        <f t="shared" si="18"/>
        <v>2</v>
      </c>
      <c r="X75" s="508">
        <f t="shared" si="19"/>
        <v>0</v>
      </c>
      <c r="Y75" s="568">
        <f t="shared" si="20"/>
        <v>0.44985633651883072</v>
      </c>
      <c r="Z75" s="485" t="s">
        <v>200</v>
      </c>
      <c r="AA75" s="486" t="s">
        <v>223</v>
      </c>
      <c r="AB75" s="486" t="s">
        <v>1450</v>
      </c>
    </row>
    <row r="76" spans="1:28" s="492" customFormat="1">
      <c r="A76" s="494" t="s">
        <v>200</v>
      </c>
      <c r="B76" s="495" t="s">
        <v>654</v>
      </c>
      <c r="C76" s="495" t="s">
        <v>198</v>
      </c>
      <c r="D76" s="496">
        <v>0.1</v>
      </c>
      <c r="E76" s="495" t="s">
        <v>1097</v>
      </c>
      <c r="F76" s="495">
        <v>34</v>
      </c>
      <c r="G76" s="495">
        <v>28</v>
      </c>
      <c r="H76" s="497">
        <v>1.2142857142857142</v>
      </c>
      <c r="I76" s="497">
        <v>221.60714285714286</v>
      </c>
      <c r="J76" s="495" t="s">
        <v>699</v>
      </c>
      <c r="K76" s="498" t="s">
        <v>1209</v>
      </c>
      <c r="L76" s="506" t="s">
        <v>1217</v>
      </c>
      <c r="M76" s="495" t="s">
        <v>1213</v>
      </c>
      <c r="N76" s="495" t="s">
        <v>1241</v>
      </c>
      <c r="O76" s="489" t="s">
        <v>1306</v>
      </c>
      <c r="P76" s="495" t="s">
        <v>1293</v>
      </c>
      <c r="Q76" s="495" t="s">
        <v>1210</v>
      </c>
      <c r="R76" s="485" t="str">
        <f t="shared" si="13"/>
        <v>1</v>
      </c>
      <c r="S76" s="485" t="str">
        <f t="shared" si="14"/>
        <v>2</v>
      </c>
      <c r="T76" s="485" t="str">
        <f t="shared" si="15"/>
        <v>2</v>
      </c>
      <c r="U76" s="485" t="str">
        <f t="shared" si="16"/>
        <v>4</v>
      </c>
      <c r="V76" s="508" t="str">
        <f t="shared" si="17"/>
        <v>2</v>
      </c>
      <c r="W76" s="508" t="str">
        <f t="shared" si="18"/>
        <v>3</v>
      </c>
      <c r="X76" s="508">
        <f t="shared" si="19"/>
        <v>0</v>
      </c>
      <c r="Y76" s="568">
        <f t="shared" si="20"/>
        <v>0.44985633651883072</v>
      </c>
      <c r="Z76" s="485" t="s">
        <v>200</v>
      </c>
      <c r="AA76" s="486" t="s">
        <v>223</v>
      </c>
      <c r="AB76" s="486" t="s">
        <v>1450</v>
      </c>
    </row>
    <row r="77" spans="1:28">
      <c r="A77" s="501" t="s">
        <v>223</v>
      </c>
      <c r="B77" s="495" t="s">
        <v>654</v>
      </c>
      <c r="C77" s="498" t="s">
        <v>596</v>
      </c>
      <c r="D77" s="502" t="s">
        <v>596</v>
      </c>
      <c r="E77" s="495" t="s">
        <v>1143</v>
      </c>
      <c r="F77" s="498" t="s">
        <v>596</v>
      </c>
      <c r="G77" s="498" t="s">
        <v>596</v>
      </c>
      <c r="H77" s="498" t="s">
        <v>596</v>
      </c>
      <c r="I77" s="503">
        <v>33.547794117647058</v>
      </c>
      <c r="J77" s="498" t="s">
        <v>1168</v>
      </c>
      <c r="K77" s="489" t="s">
        <v>1210</v>
      </c>
      <c r="L77" s="495" t="s">
        <v>1210</v>
      </c>
      <c r="M77" s="495" t="s">
        <v>1210</v>
      </c>
      <c r="N77" s="495" t="s">
        <v>1210</v>
      </c>
      <c r="O77" s="495" t="s">
        <v>1210</v>
      </c>
      <c r="P77" s="495" t="s">
        <v>1210</v>
      </c>
      <c r="Q77" s="489" t="s">
        <v>1254</v>
      </c>
      <c r="R77" s="485">
        <f t="shared" si="13"/>
        <v>0</v>
      </c>
      <c r="S77" s="485">
        <f t="shared" si="14"/>
        <v>0</v>
      </c>
      <c r="T77" s="485">
        <f t="shared" si="15"/>
        <v>0</v>
      </c>
      <c r="U77" s="485">
        <f t="shared" si="16"/>
        <v>0</v>
      </c>
      <c r="V77" s="508">
        <f t="shared" si="17"/>
        <v>0</v>
      </c>
      <c r="W77" s="508">
        <f t="shared" si="18"/>
        <v>0</v>
      </c>
      <c r="X77" s="508" t="str">
        <f t="shared" si="19"/>
        <v>2</v>
      </c>
      <c r="Y77" s="568">
        <f t="shared" si="20"/>
        <v>0.2278929098260076</v>
      </c>
      <c r="Z77" s="485" t="s">
        <v>223</v>
      </c>
      <c r="AA77" s="486" t="s">
        <v>1459</v>
      </c>
      <c r="AB77" s="486" t="s">
        <v>1445</v>
      </c>
    </row>
    <row r="78" spans="1:28" s="492" customFormat="1" ht="16.5">
      <c r="A78" s="501" t="s">
        <v>200</v>
      </c>
      <c r="B78" s="495" t="s">
        <v>654</v>
      </c>
      <c r="C78" s="498" t="s">
        <v>996</v>
      </c>
      <c r="D78" s="496">
        <v>0.1</v>
      </c>
      <c r="E78" s="495" t="s">
        <v>1019</v>
      </c>
      <c r="F78" s="498">
        <v>50</v>
      </c>
      <c r="G78" s="498">
        <v>181</v>
      </c>
      <c r="H78" s="497">
        <v>0.27624309392265195</v>
      </c>
      <c r="I78" s="503">
        <v>50.414364640883996</v>
      </c>
      <c r="J78" s="498" t="s">
        <v>1411</v>
      </c>
      <c r="K78" s="564" t="s">
        <v>1413</v>
      </c>
      <c r="L78" s="504" t="s">
        <v>1211</v>
      </c>
      <c r="M78" s="498" t="s">
        <v>1212</v>
      </c>
      <c r="N78" s="495" t="s">
        <v>1240</v>
      </c>
      <c r="O78" s="489" t="s">
        <v>1304</v>
      </c>
      <c r="P78" s="495" t="s">
        <v>1255</v>
      </c>
      <c r="Q78" s="495" t="s">
        <v>1210</v>
      </c>
      <c r="R78" s="485" t="str">
        <f t="shared" si="13"/>
        <v>3</v>
      </c>
      <c r="S78" s="485" t="str">
        <f t="shared" si="14"/>
        <v>1</v>
      </c>
      <c r="T78" s="485" t="str">
        <f t="shared" si="15"/>
        <v>1</v>
      </c>
      <c r="U78" s="485" t="str">
        <f t="shared" si="16"/>
        <v>2</v>
      </c>
      <c r="V78" s="508" t="str">
        <f t="shared" si="17"/>
        <v>2</v>
      </c>
      <c r="W78" s="508" t="str">
        <f t="shared" si="18"/>
        <v>2</v>
      </c>
      <c r="X78" s="508">
        <f t="shared" si="19"/>
        <v>0</v>
      </c>
      <c r="Y78" s="568">
        <f t="shared" si="20"/>
        <v>0.25643770869915827</v>
      </c>
      <c r="Z78" s="485" t="s">
        <v>200</v>
      </c>
      <c r="AA78" s="486" t="s">
        <v>200</v>
      </c>
      <c r="AB78" s="486" t="s">
        <v>1449</v>
      </c>
    </row>
    <row r="79" spans="1:28" s="492" customFormat="1" ht="16.5">
      <c r="A79" s="494" t="s">
        <v>200</v>
      </c>
      <c r="B79" s="489" t="s">
        <v>1078</v>
      </c>
      <c r="C79" s="489" t="s">
        <v>198</v>
      </c>
      <c r="D79" s="490">
        <v>2.5000000000000001E-2</v>
      </c>
      <c r="E79" s="495" t="s">
        <v>1146</v>
      </c>
      <c r="F79" s="489">
        <v>50</v>
      </c>
      <c r="G79" s="489">
        <v>909</v>
      </c>
      <c r="H79" s="491">
        <v>5.5005500550055007E-2</v>
      </c>
      <c r="I79" s="491">
        <v>2.5096259625962598</v>
      </c>
      <c r="J79" s="495" t="s">
        <v>1166</v>
      </c>
      <c r="K79" s="564" t="s">
        <v>1257</v>
      </c>
      <c r="L79" s="504" t="s">
        <v>1211</v>
      </c>
      <c r="M79" s="498" t="s">
        <v>1212</v>
      </c>
      <c r="N79" s="495" t="s">
        <v>1224</v>
      </c>
      <c r="O79" s="489" t="s">
        <v>1280</v>
      </c>
      <c r="P79" s="495" t="s">
        <v>1256</v>
      </c>
      <c r="Q79" s="495" t="s">
        <v>1210</v>
      </c>
      <c r="R79" s="485" t="str">
        <f t="shared" si="13"/>
        <v>2</v>
      </c>
      <c r="S79" s="485" t="str">
        <f t="shared" si="14"/>
        <v>1</v>
      </c>
      <c r="T79" s="485" t="str">
        <f t="shared" si="15"/>
        <v>1</v>
      </c>
      <c r="U79" s="485" t="str">
        <f t="shared" si="16"/>
        <v>1</v>
      </c>
      <c r="V79" s="508" t="str">
        <f t="shared" si="17"/>
        <v>2</v>
      </c>
      <c r="W79" s="508" t="str">
        <f t="shared" si="18"/>
        <v>1</v>
      </c>
      <c r="X79" s="508">
        <f t="shared" si="19"/>
        <v>0</v>
      </c>
      <c r="Y79" s="568">
        <f t="shared" si="20"/>
        <v>0.10519665924690309</v>
      </c>
      <c r="Z79" s="485" t="s">
        <v>200</v>
      </c>
      <c r="AA79" s="486" t="s">
        <v>200</v>
      </c>
      <c r="AB79" s="486" t="s">
        <v>1448</v>
      </c>
    </row>
    <row r="80" spans="1:28" s="492" customFormat="1" ht="16.5">
      <c r="A80" s="501" t="s">
        <v>200</v>
      </c>
      <c r="B80" s="489" t="s">
        <v>1078</v>
      </c>
      <c r="C80" s="498" t="s">
        <v>996</v>
      </c>
      <c r="D80" s="502">
        <v>2.5000000000000001E-2</v>
      </c>
      <c r="E80" s="495" t="s">
        <v>1146</v>
      </c>
      <c r="F80" s="498">
        <v>37.4</v>
      </c>
      <c r="G80" s="498">
        <v>248</v>
      </c>
      <c r="H80" s="548">
        <v>0.15080645161290321</v>
      </c>
      <c r="I80" s="503">
        <v>6.8805443548387064</v>
      </c>
      <c r="J80" s="498" t="s">
        <v>1366</v>
      </c>
      <c r="K80" s="489" t="s">
        <v>1429</v>
      </c>
      <c r="L80" s="489" t="s">
        <v>1430</v>
      </c>
      <c r="M80" s="489" t="str">
        <f>CONCATENATE("2 - at least 30% (",F80,")")</f>
        <v>2 - at least 30% (37,4)</v>
      </c>
      <c r="N80" s="495" t="s">
        <v>1224</v>
      </c>
      <c r="O80" s="489" t="s">
        <v>1392</v>
      </c>
      <c r="P80" s="495" t="s">
        <v>1255</v>
      </c>
      <c r="Q80" s="495" t="s">
        <v>1210</v>
      </c>
      <c r="R80" s="485" t="str">
        <f t="shared" si="13"/>
        <v>2</v>
      </c>
      <c r="S80" s="485" t="str">
        <f t="shared" si="14"/>
        <v>3</v>
      </c>
      <c r="T80" s="485" t="str">
        <f t="shared" si="15"/>
        <v>2</v>
      </c>
      <c r="U80" s="485" t="str">
        <f t="shared" si="16"/>
        <v>1</v>
      </c>
      <c r="V80" s="508" t="str">
        <f t="shared" si="17"/>
        <v>3</v>
      </c>
      <c r="W80" s="508" t="str">
        <f t="shared" si="18"/>
        <v>2</v>
      </c>
      <c r="X80" s="508">
        <f t="shared" si="19"/>
        <v>0</v>
      </c>
      <c r="Y80" s="568">
        <f t="shared" si="20"/>
        <v>0.24653788526421841</v>
      </c>
      <c r="Z80" s="485" t="s">
        <v>200</v>
      </c>
      <c r="AA80" s="486" t="s">
        <v>223</v>
      </c>
      <c r="AB80" s="486" t="s">
        <v>1450</v>
      </c>
    </row>
    <row r="81" spans="1:28" s="492" customFormat="1" ht="16.5">
      <c r="A81" s="501" t="s">
        <v>200</v>
      </c>
      <c r="B81" s="489" t="s">
        <v>1078</v>
      </c>
      <c r="C81" s="498" t="s">
        <v>996</v>
      </c>
      <c r="D81" s="502">
        <v>2.5000000000000001E-2</v>
      </c>
      <c r="E81" s="495" t="s">
        <v>1146</v>
      </c>
      <c r="F81" s="498">
        <v>41.5</v>
      </c>
      <c r="G81" s="498">
        <v>134</v>
      </c>
      <c r="H81" s="548">
        <v>0.30970149253731344</v>
      </c>
      <c r="I81" s="503">
        <v>14.130130597014929</v>
      </c>
      <c r="J81" s="498" t="s">
        <v>1366</v>
      </c>
      <c r="K81" s="489" t="s">
        <v>1429</v>
      </c>
      <c r="L81" s="489" t="s">
        <v>1430</v>
      </c>
      <c r="M81" s="489" t="str">
        <f>CONCATENATE("2 - at least 30% (",F81,")")</f>
        <v>2 - at least 30% (41,5)</v>
      </c>
      <c r="N81" s="495" t="s">
        <v>1224</v>
      </c>
      <c r="O81" s="489" t="s">
        <v>1392</v>
      </c>
      <c r="P81" s="495" t="s">
        <v>1255</v>
      </c>
      <c r="Q81" s="495" t="s">
        <v>1210</v>
      </c>
      <c r="R81" s="485" t="str">
        <f t="shared" si="13"/>
        <v>2</v>
      </c>
      <c r="S81" s="485" t="str">
        <f t="shared" si="14"/>
        <v>3</v>
      </c>
      <c r="T81" s="485" t="str">
        <f t="shared" si="15"/>
        <v>2</v>
      </c>
      <c r="U81" s="485" t="str">
        <f t="shared" si="16"/>
        <v>1</v>
      </c>
      <c r="V81" s="508" t="str">
        <f t="shared" si="17"/>
        <v>3</v>
      </c>
      <c r="W81" s="508" t="str">
        <f t="shared" si="18"/>
        <v>2</v>
      </c>
      <c r="X81" s="508">
        <f t="shared" si="19"/>
        <v>0</v>
      </c>
      <c r="Y81" s="568">
        <f t="shared" si="20"/>
        <v>0.24653788526421841</v>
      </c>
      <c r="Z81" s="485" t="s">
        <v>200</v>
      </c>
      <c r="AA81" s="486" t="s">
        <v>223</v>
      </c>
      <c r="AB81" s="486" t="s">
        <v>1450</v>
      </c>
    </row>
    <row r="82" spans="1:28" s="492" customFormat="1" ht="16.5">
      <c r="A82" s="501" t="s">
        <v>200</v>
      </c>
      <c r="B82" s="489" t="s">
        <v>1078</v>
      </c>
      <c r="C82" s="498" t="s">
        <v>996</v>
      </c>
      <c r="D82" s="502">
        <v>2.5000000000000001E-2</v>
      </c>
      <c r="E82" s="495" t="s">
        <v>1146</v>
      </c>
      <c r="F82" s="498">
        <v>46</v>
      </c>
      <c r="G82" s="498">
        <v>224</v>
      </c>
      <c r="H82" s="548">
        <v>0.20535714285714285</v>
      </c>
      <c r="I82" s="503">
        <v>9.3694196428571423</v>
      </c>
      <c r="J82" s="498" t="s">
        <v>1366</v>
      </c>
      <c r="K82" s="489" t="s">
        <v>1429</v>
      </c>
      <c r="L82" s="489" t="s">
        <v>1430</v>
      </c>
      <c r="M82" s="489" t="str">
        <f>CONCATENATE("2 - at least 30% (",F82,")")</f>
        <v>2 - at least 30% (46)</v>
      </c>
      <c r="N82" s="495" t="s">
        <v>1224</v>
      </c>
      <c r="O82" s="489" t="s">
        <v>1392</v>
      </c>
      <c r="P82" s="495" t="s">
        <v>1255</v>
      </c>
      <c r="Q82" s="495" t="s">
        <v>1210</v>
      </c>
      <c r="R82" s="485" t="str">
        <f t="shared" si="13"/>
        <v>2</v>
      </c>
      <c r="S82" s="485" t="str">
        <f t="shared" si="14"/>
        <v>3</v>
      </c>
      <c r="T82" s="485" t="str">
        <f t="shared" si="15"/>
        <v>2</v>
      </c>
      <c r="U82" s="485" t="str">
        <f t="shared" si="16"/>
        <v>1</v>
      </c>
      <c r="V82" s="508" t="str">
        <f t="shared" si="17"/>
        <v>3</v>
      </c>
      <c r="W82" s="508" t="str">
        <f t="shared" si="18"/>
        <v>2</v>
      </c>
      <c r="X82" s="508">
        <f t="shared" si="19"/>
        <v>0</v>
      </c>
      <c r="Y82" s="568">
        <f t="shared" si="20"/>
        <v>0.24653788526421841</v>
      </c>
      <c r="Z82" s="485" t="s">
        <v>200</v>
      </c>
      <c r="AA82" s="486" t="s">
        <v>223</v>
      </c>
      <c r="AB82" s="486" t="s">
        <v>1450</v>
      </c>
    </row>
    <row r="83" spans="1:28" s="492" customFormat="1" ht="16.5">
      <c r="A83" s="501" t="s">
        <v>200</v>
      </c>
      <c r="B83" s="489" t="s">
        <v>1078</v>
      </c>
      <c r="C83" s="498" t="s">
        <v>996</v>
      </c>
      <c r="D83" s="502">
        <v>2.5000000000000001E-2</v>
      </c>
      <c r="E83" s="495" t="s">
        <v>1146</v>
      </c>
      <c r="F83" s="498">
        <v>54.4</v>
      </c>
      <c r="G83" s="498">
        <v>313</v>
      </c>
      <c r="H83" s="548">
        <v>0.17380191693290734</v>
      </c>
      <c r="I83" s="503">
        <v>7.9297124600638966</v>
      </c>
      <c r="J83" s="498" t="s">
        <v>1366</v>
      </c>
      <c r="K83" s="489" t="s">
        <v>1429</v>
      </c>
      <c r="L83" s="489" t="s">
        <v>1430</v>
      </c>
      <c r="M83" s="498" t="s">
        <v>1212</v>
      </c>
      <c r="N83" s="495" t="s">
        <v>1224</v>
      </c>
      <c r="O83" s="489" t="s">
        <v>1392</v>
      </c>
      <c r="P83" s="495" t="s">
        <v>1255</v>
      </c>
      <c r="Q83" s="495" t="s">
        <v>1210</v>
      </c>
      <c r="R83" s="485" t="str">
        <f t="shared" si="13"/>
        <v>2</v>
      </c>
      <c r="S83" s="485" t="str">
        <f t="shared" si="14"/>
        <v>3</v>
      </c>
      <c r="T83" s="485" t="str">
        <f t="shared" si="15"/>
        <v>1</v>
      </c>
      <c r="U83" s="485" t="str">
        <f t="shared" si="16"/>
        <v>1</v>
      </c>
      <c r="V83" s="508" t="str">
        <f t="shared" si="17"/>
        <v>3</v>
      </c>
      <c r="W83" s="508" t="str">
        <f t="shared" si="18"/>
        <v>2</v>
      </c>
      <c r="X83" s="508">
        <f t="shared" si="19"/>
        <v>0</v>
      </c>
      <c r="Y83" s="568">
        <f t="shared" si="20"/>
        <v>0.21008403283771865</v>
      </c>
      <c r="Z83" s="485" t="s">
        <v>200</v>
      </c>
      <c r="AA83" s="486" t="s">
        <v>223</v>
      </c>
      <c r="AB83" s="486" t="s">
        <v>1450</v>
      </c>
    </row>
    <row r="84" spans="1:28" s="492" customFormat="1" ht="16.5">
      <c r="A84" s="501" t="s">
        <v>200</v>
      </c>
      <c r="B84" s="489" t="s">
        <v>1078</v>
      </c>
      <c r="C84" s="498" t="s">
        <v>996</v>
      </c>
      <c r="D84" s="502">
        <v>2.5000000000000001E-2</v>
      </c>
      <c r="E84" s="495" t="s">
        <v>1146</v>
      </c>
      <c r="F84" s="498">
        <v>59.4</v>
      </c>
      <c r="G84" s="498">
        <v>240</v>
      </c>
      <c r="H84" s="548">
        <v>0.2475</v>
      </c>
      <c r="I84" s="503">
        <v>11.292187500000001</v>
      </c>
      <c r="J84" s="498" t="s">
        <v>1366</v>
      </c>
      <c r="K84" s="489" t="s">
        <v>1429</v>
      </c>
      <c r="L84" s="489" t="s">
        <v>1430</v>
      </c>
      <c r="M84" s="498" t="s">
        <v>1212</v>
      </c>
      <c r="N84" s="495" t="s">
        <v>1224</v>
      </c>
      <c r="O84" s="489" t="s">
        <v>1392</v>
      </c>
      <c r="P84" s="495" t="s">
        <v>1255</v>
      </c>
      <c r="Q84" s="495" t="s">
        <v>1210</v>
      </c>
      <c r="R84" s="485" t="str">
        <f t="shared" si="13"/>
        <v>2</v>
      </c>
      <c r="S84" s="485" t="str">
        <f t="shared" si="14"/>
        <v>3</v>
      </c>
      <c r="T84" s="485" t="str">
        <f t="shared" si="15"/>
        <v>1</v>
      </c>
      <c r="U84" s="485" t="str">
        <f t="shared" si="16"/>
        <v>1</v>
      </c>
      <c r="V84" s="508" t="str">
        <f t="shared" si="17"/>
        <v>3</v>
      </c>
      <c r="W84" s="508" t="str">
        <f t="shared" si="18"/>
        <v>2</v>
      </c>
      <c r="X84" s="508">
        <f t="shared" si="19"/>
        <v>0</v>
      </c>
      <c r="Y84" s="568">
        <f t="shared" si="20"/>
        <v>0.21008403283771865</v>
      </c>
      <c r="Z84" s="485" t="s">
        <v>200</v>
      </c>
      <c r="AA84" s="486" t="s">
        <v>223</v>
      </c>
      <c r="AB84" s="486" t="s">
        <v>1450</v>
      </c>
    </row>
    <row r="85" spans="1:28" s="492" customFormat="1" ht="16.5">
      <c r="A85" s="501" t="s">
        <v>200</v>
      </c>
      <c r="B85" s="489" t="s">
        <v>1078</v>
      </c>
      <c r="C85" s="498" t="s">
        <v>996</v>
      </c>
      <c r="D85" s="502">
        <v>2.5000000000000001E-2</v>
      </c>
      <c r="E85" s="495" t="s">
        <v>1146</v>
      </c>
      <c r="F85" s="498">
        <v>64.8</v>
      </c>
      <c r="G85" s="498">
        <v>210</v>
      </c>
      <c r="H85" s="548">
        <v>0.30857142857142855</v>
      </c>
      <c r="I85" s="503">
        <v>14.078571428571426</v>
      </c>
      <c r="J85" s="498" t="s">
        <v>1366</v>
      </c>
      <c r="K85" s="489" t="s">
        <v>1429</v>
      </c>
      <c r="L85" s="489" t="s">
        <v>1430</v>
      </c>
      <c r="M85" s="498" t="s">
        <v>1212</v>
      </c>
      <c r="N85" s="495" t="s">
        <v>1224</v>
      </c>
      <c r="O85" s="489" t="s">
        <v>1392</v>
      </c>
      <c r="P85" s="495" t="s">
        <v>1255</v>
      </c>
      <c r="Q85" s="495" t="s">
        <v>1210</v>
      </c>
      <c r="R85" s="485" t="str">
        <f t="shared" si="13"/>
        <v>2</v>
      </c>
      <c r="S85" s="485" t="str">
        <f t="shared" si="14"/>
        <v>3</v>
      </c>
      <c r="T85" s="485" t="str">
        <f t="shared" si="15"/>
        <v>1</v>
      </c>
      <c r="U85" s="485" t="str">
        <f t="shared" si="16"/>
        <v>1</v>
      </c>
      <c r="V85" s="508" t="str">
        <f t="shared" si="17"/>
        <v>3</v>
      </c>
      <c r="W85" s="508" t="str">
        <f t="shared" si="18"/>
        <v>2</v>
      </c>
      <c r="X85" s="508">
        <f t="shared" si="19"/>
        <v>0</v>
      </c>
      <c r="Y85" s="568">
        <f t="shared" si="20"/>
        <v>0.21008403283771865</v>
      </c>
      <c r="Z85" s="485" t="s">
        <v>200</v>
      </c>
      <c r="AA85" s="486" t="s">
        <v>223</v>
      </c>
      <c r="AB85" s="486" t="s">
        <v>1450</v>
      </c>
    </row>
    <row r="86" spans="1:28" s="492" customFormat="1" ht="16.5">
      <c r="A86" s="501" t="s">
        <v>200</v>
      </c>
      <c r="B86" s="489" t="s">
        <v>1078</v>
      </c>
      <c r="C86" s="498" t="s">
        <v>996</v>
      </c>
      <c r="D86" s="502">
        <v>2.5000000000000001E-2</v>
      </c>
      <c r="E86" s="495" t="s">
        <v>1146</v>
      </c>
      <c r="F86" s="498">
        <v>73.5</v>
      </c>
      <c r="G86" s="498">
        <v>257</v>
      </c>
      <c r="H86" s="548">
        <v>0.28599221789883267</v>
      </c>
      <c r="I86" s="503">
        <v>13.048394941634241</v>
      </c>
      <c r="J86" s="498" t="s">
        <v>1366</v>
      </c>
      <c r="K86" s="489" t="s">
        <v>1429</v>
      </c>
      <c r="L86" s="489" t="s">
        <v>1430</v>
      </c>
      <c r="M86" s="498" t="s">
        <v>1212</v>
      </c>
      <c r="N86" s="495" t="s">
        <v>1224</v>
      </c>
      <c r="O86" s="489" t="s">
        <v>1392</v>
      </c>
      <c r="P86" s="495" t="s">
        <v>1255</v>
      </c>
      <c r="Q86" s="495" t="s">
        <v>1210</v>
      </c>
      <c r="R86" s="485" t="str">
        <f t="shared" si="13"/>
        <v>2</v>
      </c>
      <c r="S86" s="485" t="str">
        <f t="shared" si="14"/>
        <v>3</v>
      </c>
      <c r="T86" s="485" t="str">
        <f t="shared" si="15"/>
        <v>1</v>
      </c>
      <c r="U86" s="485" t="str">
        <f t="shared" si="16"/>
        <v>1</v>
      </c>
      <c r="V86" s="508" t="str">
        <f t="shared" si="17"/>
        <v>3</v>
      </c>
      <c r="W86" s="508" t="str">
        <f t="shared" si="18"/>
        <v>2</v>
      </c>
      <c r="X86" s="508">
        <f t="shared" si="19"/>
        <v>0</v>
      </c>
      <c r="Y86" s="568">
        <f t="shared" si="20"/>
        <v>0.21008403283771865</v>
      </c>
      <c r="Z86" s="485" t="s">
        <v>200</v>
      </c>
      <c r="AA86" s="486" t="s">
        <v>223</v>
      </c>
      <c r="AB86" s="486" t="s">
        <v>1450</v>
      </c>
    </row>
    <row r="87" spans="1:28" s="492" customFormat="1" ht="16.5">
      <c r="A87" s="494" t="s">
        <v>200</v>
      </c>
      <c r="B87" s="489" t="s">
        <v>1078</v>
      </c>
      <c r="C87" s="489" t="s">
        <v>198</v>
      </c>
      <c r="D87" s="490">
        <v>2.5000000000000001E-2</v>
      </c>
      <c r="E87" s="495" t="s">
        <v>1146</v>
      </c>
      <c r="F87" s="489">
        <v>50</v>
      </c>
      <c r="G87" s="489">
        <v>89</v>
      </c>
      <c r="H87" s="491">
        <v>0.5617977528089888</v>
      </c>
      <c r="I87" s="491">
        <v>25.632022471910123</v>
      </c>
      <c r="J87" s="495" t="s">
        <v>1166</v>
      </c>
      <c r="K87" s="564" t="s">
        <v>1257</v>
      </c>
      <c r="L87" s="504" t="s">
        <v>1211</v>
      </c>
      <c r="M87" s="498" t="s">
        <v>1212</v>
      </c>
      <c r="N87" s="495" t="s">
        <v>1224</v>
      </c>
      <c r="O87" s="489" t="s">
        <v>1281</v>
      </c>
      <c r="P87" s="495" t="s">
        <v>1256</v>
      </c>
      <c r="Q87" s="495" t="s">
        <v>1210</v>
      </c>
      <c r="R87" s="485" t="str">
        <f t="shared" si="13"/>
        <v>2</v>
      </c>
      <c r="S87" s="485" t="str">
        <f t="shared" si="14"/>
        <v>1</v>
      </c>
      <c r="T87" s="485" t="str">
        <f t="shared" si="15"/>
        <v>1</v>
      </c>
      <c r="U87" s="485" t="str">
        <f t="shared" si="16"/>
        <v>1</v>
      </c>
      <c r="V87" s="508" t="str">
        <f t="shared" si="17"/>
        <v>3</v>
      </c>
      <c r="W87" s="508" t="str">
        <f t="shared" si="18"/>
        <v>1</v>
      </c>
      <c r="X87" s="508">
        <f t="shared" si="19"/>
        <v>0</v>
      </c>
      <c r="Y87" s="568">
        <f t="shared" si="20"/>
        <v>0.16646911165108777</v>
      </c>
      <c r="Z87" s="485" t="s">
        <v>200</v>
      </c>
      <c r="AA87" s="486" t="s">
        <v>223</v>
      </c>
      <c r="AB87" s="486" t="s">
        <v>1450</v>
      </c>
    </row>
    <row r="88" spans="1:28" s="492" customFormat="1" ht="16.5">
      <c r="A88" s="494" t="s">
        <v>200</v>
      </c>
      <c r="B88" s="495" t="s">
        <v>1078</v>
      </c>
      <c r="C88" s="495" t="s">
        <v>198</v>
      </c>
      <c r="D88" s="496">
        <v>2.5000000000000001E-2</v>
      </c>
      <c r="E88" s="495" t="s">
        <v>1097</v>
      </c>
      <c r="F88" s="495">
        <v>50</v>
      </c>
      <c r="G88" s="495">
        <v>511</v>
      </c>
      <c r="H88" s="497">
        <v>9.7847358121330719E-2</v>
      </c>
      <c r="I88" s="497">
        <v>4.4642857142857144</v>
      </c>
      <c r="J88" s="495" t="s">
        <v>1166</v>
      </c>
      <c r="K88" s="564" t="s">
        <v>1257</v>
      </c>
      <c r="L88" s="504" t="s">
        <v>1211</v>
      </c>
      <c r="M88" s="498" t="s">
        <v>1212</v>
      </c>
      <c r="N88" s="495" t="s">
        <v>1224</v>
      </c>
      <c r="O88" s="489" t="s">
        <v>1280</v>
      </c>
      <c r="P88" s="495" t="s">
        <v>1256</v>
      </c>
      <c r="Q88" s="495" t="s">
        <v>1210</v>
      </c>
      <c r="R88" s="485" t="str">
        <f t="shared" si="13"/>
        <v>2</v>
      </c>
      <c r="S88" s="485" t="str">
        <f t="shared" si="14"/>
        <v>1</v>
      </c>
      <c r="T88" s="485" t="str">
        <f t="shared" si="15"/>
        <v>1</v>
      </c>
      <c r="U88" s="485" t="str">
        <f t="shared" si="16"/>
        <v>1</v>
      </c>
      <c r="V88" s="508" t="str">
        <f t="shared" si="17"/>
        <v>2</v>
      </c>
      <c r="W88" s="508" t="str">
        <f t="shared" si="18"/>
        <v>1</v>
      </c>
      <c r="X88" s="508">
        <f t="shared" si="19"/>
        <v>0</v>
      </c>
      <c r="Y88" s="568">
        <f t="shared" si="20"/>
        <v>0.10519665924690309</v>
      </c>
      <c r="Z88" s="485" t="s">
        <v>200</v>
      </c>
      <c r="AA88" s="486" t="s">
        <v>1447</v>
      </c>
      <c r="AB88" s="486" t="s">
        <v>1447</v>
      </c>
    </row>
    <row r="89" spans="1:28" s="492" customFormat="1" ht="16.5">
      <c r="A89" s="494" t="s">
        <v>200</v>
      </c>
      <c r="B89" s="489" t="s">
        <v>1078</v>
      </c>
      <c r="C89" s="489" t="s">
        <v>198</v>
      </c>
      <c r="D89" s="490">
        <v>2.5000000000000001E-2</v>
      </c>
      <c r="E89" s="495" t="s">
        <v>1097</v>
      </c>
      <c r="F89" s="489">
        <v>50</v>
      </c>
      <c r="G89" s="489">
        <v>1564</v>
      </c>
      <c r="H89" s="491">
        <v>3.1969309462915603E-2</v>
      </c>
      <c r="I89" s="491">
        <v>1.4585997442455243</v>
      </c>
      <c r="J89" s="495" t="s">
        <v>1166</v>
      </c>
      <c r="K89" s="564" t="s">
        <v>1257</v>
      </c>
      <c r="L89" s="504" t="s">
        <v>1211</v>
      </c>
      <c r="M89" s="498" t="s">
        <v>1212</v>
      </c>
      <c r="N89" s="495" t="s">
        <v>1224</v>
      </c>
      <c r="O89" s="489" t="s">
        <v>1280</v>
      </c>
      <c r="P89" s="495" t="s">
        <v>1256</v>
      </c>
      <c r="Q89" s="495" t="s">
        <v>1210</v>
      </c>
      <c r="R89" s="485" t="str">
        <f t="shared" si="13"/>
        <v>2</v>
      </c>
      <c r="S89" s="485" t="str">
        <f t="shared" si="14"/>
        <v>1</v>
      </c>
      <c r="T89" s="485" t="str">
        <f t="shared" si="15"/>
        <v>1</v>
      </c>
      <c r="U89" s="485" t="str">
        <f t="shared" si="16"/>
        <v>1</v>
      </c>
      <c r="V89" s="508" t="str">
        <f t="shared" si="17"/>
        <v>2</v>
      </c>
      <c r="W89" s="508" t="str">
        <f t="shared" si="18"/>
        <v>1</v>
      </c>
      <c r="X89" s="508">
        <f t="shared" si="19"/>
        <v>0</v>
      </c>
      <c r="Y89" s="568">
        <f t="shared" si="20"/>
        <v>0.10519665924690309</v>
      </c>
      <c r="Z89" s="485" t="s">
        <v>200</v>
      </c>
      <c r="AA89" s="486" t="s">
        <v>1447</v>
      </c>
      <c r="AB89" s="486" t="s">
        <v>1447</v>
      </c>
    </row>
    <row r="90" spans="1:28" s="492" customFormat="1" ht="16.5">
      <c r="A90" s="501" t="s">
        <v>200</v>
      </c>
      <c r="B90" s="489" t="s">
        <v>1078</v>
      </c>
      <c r="C90" s="498" t="s">
        <v>996</v>
      </c>
      <c r="D90" s="502">
        <v>2.5000000000000001E-2</v>
      </c>
      <c r="E90" s="495" t="s">
        <v>1097</v>
      </c>
      <c r="F90" s="498">
        <v>31.8</v>
      </c>
      <c r="G90" s="498">
        <v>175</v>
      </c>
      <c r="H90" s="548">
        <v>0.18171428571428572</v>
      </c>
      <c r="I90" s="503">
        <v>8.290714285714289</v>
      </c>
      <c r="J90" s="498" t="s">
        <v>1366</v>
      </c>
      <c r="K90" s="489" t="s">
        <v>1429</v>
      </c>
      <c r="L90" s="489" t="s">
        <v>1431</v>
      </c>
      <c r="M90" s="489" t="str">
        <f>CONCATENATE("2 - at least 30% (",F90,")")</f>
        <v>2 - at least 30% (31,8)</v>
      </c>
      <c r="N90" s="495" t="s">
        <v>1224</v>
      </c>
      <c r="O90" s="489" t="s">
        <v>1392</v>
      </c>
      <c r="P90" s="495" t="s">
        <v>1255</v>
      </c>
      <c r="Q90" s="495" t="s">
        <v>1210</v>
      </c>
      <c r="R90" s="485" t="str">
        <f t="shared" si="13"/>
        <v>2</v>
      </c>
      <c r="S90" s="485" t="str">
        <f t="shared" si="14"/>
        <v>3</v>
      </c>
      <c r="T90" s="485" t="str">
        <f t="shared" si="15"/>
        <v>2</v>
      </c>
      <c r="U90" s="485" t="str">
        <f t="shared" si="16"/>
        <v>1</v>
      </c>
      <c r="V90" s="508" t="str">
        <f t="shared" si="17"/>
        <v>3</v>
      </c>
      <c r="W90" s="508" t="str">
        <f t="shared" si="18"/>
        <v>2</v>
      </c>
      <c r="X90" s="508">
        <f t="shared" si="19"/>
        <v>0</v>
      </c>
      <c r="Y90" s="568">
        <f t="shared" si="20"/>
        <v>0.24653788526421841</v>
      </c>
      <c r="Z90" s="485" t="s">
        <v>200</v>
      </c>
      <c r="AA90" s="486" t="s">
        <v>223</v>
      </c>
      <c r="AB90" s="486" t="s">
        <v>1450</v>
      </c>
    </row>
    <row r="91" spans="1:28" s="492" customFormat="1" ht="16.5">
      <c r="A91" s="501" t="s">
        <v>200</v>
      </c>
      <c r="B91" s="489" t="s">
        <v>1078</v>
      </c>
      <c r="C91" s="498" t="s">
        <v>996</v>
      </c>
      <c r="D91" s="502">
        <v>2.5000000000000001E-2</v>
      </c>
      <c r="E91" s="495" t="s">
        <v>1097</v>
      </c>
      <c r="F91" s="498">
        <v>64</v>
      </c>
      <c r="G91" s="498">
        <v>180</v>
      </c>
      <c r="H91" s="548">
        <v>0.35555555555555557</v>
      </c>
      <c r="I91" s="503">
        <v>16.222222222222225</v>
      </c>
      <c r="J91" s="498" t="s">
        <v>1366</v>
      </c>
      <c r="K91" s="489" t="s">
        <v>1429</v>
      </c>
      <c r="L91" s="489" t="s">
        <v>1431</v>
      </c>
      <c r="M91" s="498" t="s">
        <v>1212</v>
      </c>
      <c r="N91" s="495" t="s">
        <v>1224</v>
      </c>
      <c r="O91" s="489" t="s">
        <v>1392</v>
      </c>
      <c r="P91" s="495" t="s">
        <v>1255</v>
      </c>
      <c r="Q91" s="495" t="s">
        <v>1210</v>
      </c>
      <c r="R91" s="485" t="str">
        <f t="shared" si="13"/>
        <v>2</v>
      </c>
      <c r="S91" s="485" t="str">
        <f t="shared" si="14"/>
        <v>3</v>
      </c>
      <c r="T91" s="485" t="str">
        <f t="shared" si="15"/>
        <v>1</v>
      </c>
      <c r="U91" s="485" t="str">
        <f t="shared" si="16"/>
        <v>1</v>
      </c>
      <c r="V91" s="508" t="str">
        <f t="shared" si="17"/>
        <v>3</v>
      </c>
      <c r="W91" s="508" t="str">
        <f t="shared" si="18"/>
        <v>2</v>
      </c>
      <c r="X91" s="508">
        <f t="shared" si="19"/>
        <v>0</v>
      </c>
      <c r="Y91" s="568">
        <f t="shared" si="20"/>
        <v>0.21008403283771865</v>
      </c>
      <c r="Z91" s="485" t="s">
        <v>200</v>
      </c>
      <c r="AA91" s="486" t="s">
        <v>223</v>
      </c>
      <c r="AB91" s="486" t="s">
        <v>1450</v>
      </c>
    </row>
    <row r="92" spans="1:28" s="492" customFormat="1" ht="16.5">
      <c r="A92" s="501" t="s">
        <v>200</v>
      </c>
      <c r="B92" s="489" t="s">
        <v>1078</v>
      </c>
      <c r="C92" s="498" t="s">
        <v>996</v>
      </c>
      <c r="D92" s="502">
        <v>2.5000000000000001E-2</v>
      </c>
      <c r="E92" s="495" t="s">
        <v>1097</v>
      </c>
      <c r="F92" s="498">
        <v>78.2</v>
      </c>
      <c r="G92" s="498">
        <v>180</v>
      </c>
      <c r="H92" s="548">
        <v>0.43444444444444447</v>
      </c>
      <c r="I92" s="503">
        <v>19.821527777777785</v>
      </c>
      <c r="J92" s="498" t="s">
        <v>1366</v>
      </c>
      <c r="K92" s="489" t="s">
        <v>1429</v>
      </c>
      <c r="L92" s="489" t="s">
        <v>1431</v>
      </c>
      <c r="M92" s="498" t="s">
        <v>1212</v>
      </c>
      <c r="N92" s="495" t="s">
        <v>1224</v>
      </c>
      <c r="O92" s="489" t="s">
        <v>1392</v>
      </c>
      <c r="P92" s="495" t="s">
        <v>1255</v>
      </c>
      <c r="Q92" s="495" t="s">
        <v>1210</v>
      </c>
      <c r="R92" s="485" t="str">
        <f t="shared" si="13"/>
        <v>2</v>
      </c>
      <c r="S92" s="485" t="str">
        <f t="shared" si="14"/>
        <v>3</v>
      </c>
      <c r="T92" s="485" t="str">
        <f t="shared" si="15"/>
        <v>1</v>
      </c>
      <c r="U92" s="485" t="str">
        <f t="shared" si="16"/>
        <v>1</v>
      </c>
      <c r="V92" s="508" t="str">
        <f t="shared" si="17"/>
        <v>3</v>
      </c>
      <c r="W92" s="508" t="str">
        <f t="shared" si="18"/>
        <v>2</v>
      </c>
      <c r="X92" s="508">
        <f t="shared" si="19"/>
        <v>0</v>
      </c>
      <c r="Y92" s="568">
        <f t="shared" si="20"/>
        <v>0.21008403283771865</v>
      </c>
      <c r="Z92" s="485" t="s">
        <v>200</v>
      </c>
      <c r="AA92" s="486" t="s">
        <v>223</v>
      </c>
      <c r="AB92" s="486" t="s">
        <v>1450</v>
      </c>
    </row>
    <row r="93" spans="1:28" s="492" customFormat="1" ht="16.5">
      <c r="A93" s="501" t="s">
        <v>200</v>
      </c>
      <c r="B93" s="489" t="s">
        <v>1078</v>
      </c>
      <c r="C93" s="498" t="s">
        <v>996</v>
      </c>
      <c r="D93" s="502">
        <v>2.5000000000000001E-2</v>
      </c>
      <c r="E93" s="495" t="s">
        <v>1097</v>
      </c>
      <c r="F93" s="498">
        <v>78.599999999999994</v>
      </c>
      <c r="G93" s="498">
        <v>220</v>
      </c>
      <c r="H93" s="548">
        <v>0.35727272727272724</v>
      </c>
      <c r="I93" s="503">
        <v>16.300568181818178</v>
      </c>
      <c r="J93" s="498" t="s">
        <v>1366</v>
      </c>
      <c r="K93" s="489" t="s">
        <v>1429</v>
      </c>
      <c r="L93" s="489" t="s">
        <v>1431</v>
      </c>
      <c r="M93" s="498" t="s">
        <v>1212</v>
      </c>
      <c r="N93" s="495" t="s">
        <v>1224</v>
      </c>
      <c r="O93" s="489" t="s">
        <v>1392</v>
      </c>
      <c r="P93" s="495" t="s">
        <v>1255</v>
      </c>
      <c r="Q93" s="495" t="s">
        <v>1210</v>
      </c>
      <c r="R93" s="485" t="str">
        <f t="shared" si="13"/>
        <v>2</v>
      </c>
      <c r="S93" s="485" t="str">
        <f t="shared" si="14"/>
        <v>3</v>
      </c>
      <c r="T93" s="485" t="str">
        <f t="shared" si="15"/>
        <v>1</v>
      </c>
      <c r="U93" s="485" t="str">
        <f t="shared" si="16"/>
        <v>1</v>
      </c>
      <c r="V93" s="508" t="str">
        <f t="shared" si="17"/>
        <v>3</v>
      </c>
      <c r="W93" s="508" t="str">
        <f t="shared" si="18"/>
        <v>2</v>
      </c>
      <c r="X93" s="508">
        <f t="shared" si="19"/>
        <v>0</v>
      </c>
      <c r="Y93" s="568">
        <f t="shared" si="20"/>
        <v>0.21008403283771865</v>
      </c>
      <c r="Z93" s="485" t="s">
        <v>200</v>
      </c>
      <c r="AA93" s="486" t="s">
        <v>223</v>
      </c>
      <c r="AB93" s="486" t="s">
        <v>1450</v>
      </c>
    </row>
    <row r="94" spans="1:28" s="492" customFormat="1" ht="16.5">
      <c r="A94" s="501" t="s">
        <v>200</v>
      </c>
      <c r="B94" s="489" t="s">
        <v>1078</v>
      </c>
      <c r="C94" s="498" t="s">
        <v>996</v>
      </c>
      <c r="D94" s="502">
        <v>2.5000000000000001E-2</v>
      </c>
      <c r="E94" s="495" t="s">
        <v>1097</v>
      </c>
      <c r="F94" s="498">
        <v>92.3</v>
      </c>
      <c r="G94" s="498">
        <v>180</v>
      </c>
      <c r="H94" s="548">
        <v>0.51277777777777778</v>
      </c>
      <c r="I94" s="503">
        <v>23.395486111111115</v>
      </c>
      <c r="J94" s="498" t="s">
        <v>1366</v>
      </c>
      <c r="K94" s="489" t="s">
        <v>1429</v>
      </c>
      <c r="L94" s="489" t="s">
        <v>1431</v>
      </c>
      <c r="M94" s="498" t="s">
        <v>1212</v>
      </c>
      <c r="N94" s="495" t="s">
        <v>1224</v>
      </c>
      <c r="O94" s="489" t="s">
        <v>1392</v>
      </c>
      <c r="P94" s="495" t="s">
        <v>1255</v>
      </c>
      <c r="Q94" s="495" t="s">
        <v>1210</v>
      </c>
      <c r="R94" s="485" t="str">
        <f t="shared" si="13"/>
        <v>2</v>
      </c>
      <c r="S94" s="485" t="str">
        <f t="shared" si="14"/>
        <v>3</v>
      </c>
      <c r="T94" s="485" t="str">
        <f t="shared" si="15"/>
        <v>1</v>
      </c>
      <c r="U94" s="485" t="str">
        <f t="shared" si="16"/>
        <v>1</v>
      </c>
      <c r="V94" s="508" t="str">
        <f t="shared" si="17"/>
        <v>3</v>
      </c>
      <c r="W94" s="508" t="str">
        <f t="shared" si="18"/>
        <v>2</v>
      </c>
      <c r="X94" s="508">
        <f t="shared" si="19"/>
        <v>0</v>
      </c>
      <c r="Y94" s="568">
        <f t="shared" si="20"/>
        <v>0.21008403283771865</v>
      </c>
      <c r="Z94" s="485" t="s">
        <v>200</v>
      </c>
      <c r="AA94" s="486" t="s">
        <v>223</v>
      </c>
      <c r="AB94" s="486" t="s">
        <v>1450</v>
      </c>
    </row>
    <row r="95" spans="1:28" s="492" customFormat="1" ht="16.5">
      <c r="A95" s="501" t="s">
        <v>200</v>
      </c>
      <c r="B95" s="489" t="s">
        <v>1078</v>
      </c>
      <c r="C95" s="498" t="s">
        <v>996</v>
      </c>
      <c r="D95" s="502">
        <v>2.5000000000000001E-2</v>
      </c>
      <c r="E95" s="495" t="s">
        <v>1097</v>
      </c>
      <c r="F95" s="498">
        <v>100</v>
      </c>
      <c r="G95" s="498">
        <v>120</v>
      </c>
      <c r="H95" s="548">
        <v>0.83333333333333337</v>
      </c>
      <c r="I95" s="503">
        <v>38.020833333333336</v>
      </c>
      <c r="J95" s="498" t="s">
        <v>1366</v>
      </c>
      <c r="K95" s="489" t="s">
        <v>1429</v>
      </c>
      <c r="L95" s="489" t="s">
        <v>1431</v>
      </c>
      <c r="M95" s="498" t="s">
        <v>1212</v>
      </c>
      <c r="N95" s="495" t="s">
        <v>1224</v>
      </c>
      <c r="O95" s="489" t="s">
        <v>1392</v>
      </c>
      <c r="P95" s="495" t="s">
        <v>1255</v>
      </c>
      <c r="Q95" s="495" t="s">
        <v>1210</v>
      </c>
      <c r="R95" s="485" t="str">
        <f t="shared" si="13"/>
        <v>2</v>
      </c>
      <c r="S95" s="485" t="str">
        <f t="shared" si="14"/>
        <v>3</v>
      </c>
      <c r="T95" s="485" t="str">
        <f t="shared" si="15"/>
        <v>1</v>
      </c>
      <c r="U95" s="485" t="str">
        <f t="shared" si="16"/>
        <v>1</v>
      </c>
      <c r="V95" s="508" t="str">
        <f t="shared" si="17"/>
        <v>3</v>
      </c>
      <c r="W95" s="508" t="str">
        <f t="shared" si="18"/>
        <v>2</v>
      </c>
      <c r="X95" s="508">
        <f t="shared" si="19"/>
        <v>0</v>
      </c>
      <c r="Y95" s="568">
        <f t="shared" si="20"/>
        <v>0.21008403283771865</v>
      </c>
      <c r="Z95" s="485" t="s">
        <v>200</v>
      </c>
      <c r="AA95" s="486" t="s">
        <v>223</v>
      </c>
      <c r="AB95" s="486" t="s">
        <v>1450</v>
      </c>
    </row>
    <row r="96" spans="1:28" s="492" customFormat="1">
      <c r="A96" s="501" t="s">
        <v>223</v>
      </c>
      <c r="B96" s="489" t="s">
        <v>1078</v>
      </c>
      <c r="C96" s="498" t="s">
        <v>596</v>
      </c>
      <c r="D96" s="502" t="s">
        <v>596</v>
      </c>
      <c r="E96" s="495" t="s">
        <v>1143</v>
      </c>
      <c r="F96" s="498" t="s">
        <v>596</v>
      </c>
      <c r="G96" s="498" t="s">
        <v>596</v>
      </c>
      <c r="H96" s="498" t="s">
        <v>596</v>
      </c>
      <c r="I96" s="491">
        <v>2.5096259625962598</v>
      </c>
      <c r="J96" s="498" t="s">
        <v>1168</v>
      </c>
      <c r="K96" s="489" t="s">
        <v>1210</v>
      </c>
      <c r="L96" s="495" t="s">
        <v>1210</v>
      </c>
      <c r="M96" s="495" t="s">
        <v>1210</v>
      </c>
      <c r="N96" s="495" t="s">
        <v>1210</v>
      </c>
      <c r="O96" s="495" t="s">
        <v>1210</v>
      </c>
      <c r="P96" s="495" t="s">
        <v>1210</v>
      </c>
      <c r="Q96" s="489" t="s">
        <v>1254</v>
      </c>
      <c r="R96" s="485">
        <f t="shared" si="13"/>
        <v>0</v>
      </c>
      <c r="S96" s="485">
        <f t="shared" si="14"/>
        <v>0</v>
      </c>
      <c r="T96" s="485">
        <f t="shared" si="15"/>
        <v>0</v>
      </c>
      <c r="U96" s="485">
        <f t="shared" si="16"/>
        <v>0</v>
      </c>
      <c r="V96" s="508">
        <f t="shared" si="17"/>
        <v>0</v>
      </c>
      <c r="W96" s="508">
        <f t="shared" si="18"/>
        <v>0</v>
      </c>
      <c r="X96" s="508" t="str">
        <f t="shared" si="19"/>
        <v>2</v>
      </c>
      <c r="Y96" s="568">
        <f t="shared" si="20"/>
        <v>0.2278929098260076</v>
      </c>
      <c r="Z96" s="485" t="s">
        <v>223</v>
      </c>
      <c r="AA96" s="486" t="s">
        <v>1460</v>
      </c>
      <c r="AB96" s="486" t="s">
        <v>1455</v>
      </c>
    </row>
    <row r="97" spans="1:28" s="492" customFormat="1" ht="16.5">
      <c r="A97" s="501" t="s">
        <v>200</v>
      </c>
      <c r="B97" s="489" t="s">
        <v>1078</v>
      </c>
      <c r="C97" s="498" t="s">
        <v>241</v>
      </c>
      <c r="D97" s="502">
        <v>2.5000000000000001E-2</v>
      </c>
      <c r="E97" s="495" t="s">
        <v>1019</v>
      </c>
      <c r="F97" s="498">
        <v>50</v>
      </c>
      <c r="G97" s="498">
        <v>42</v>
      </c>
      <c r="H97" s="548">
        <v>1.1904761904761905</v>
      </c>
      <c r="I97" s="503">
        <v>22.410508338036781</v>
      </c>
      <c r="J97" s="498" t="s">
        <v>1208</v>
      </c>
      <c r="K97" s="489" t="s">
        <v>1389</v>
      </c>
      <c r="L97" s="506" t="s">
        <v>1217</v>
      </c>
      <c r="M97" s="498" t="s">
        <v>1212</v>
      </c>
      <c r="N97" s="495" t="s">
        <v>1224</v>
      </c>
      <c r="O97" s="489" t="s">
        <v>1391</v>
      </c>
      <c r="P97" s="495" t="s">
        <v>1255</v>
      </c>
      <c r="Q97" s="495" t="s">
        <v>1210</v>
      </c>
      <c r="R97" s="485" t="str">
        <f t="shared" si="13"/>
        <v>2</v>
      </c>
      <c r="S97" s="485" t="str">
        <f t="shared" si="14"/>
        <v>2</v>
      </c>
      <c r="T97" s="485" t="str">
        <f t="shared" si="15"/>
        <v>1</v>
      </c>
      <c r="U97" s="485" t="str">
        <f t="shared" si="16"/>
        <v>1</v>
      </c>
      <c r="V97" s="508" t="str">
        <f t="shared" si="17"/>
        <v>3</v>
      </c>
      <c r="W97" s="508" t="str">
        <f t="shared" si="18"/>
        <v>2</v>
      </c>
      <c r="X97" s="508">
        <f t="shared" si="19"/>
        <v>0</v>
      </c>
      <c r="Y97" s="568">
        <f t="shared" si="20"/>
        <v>0.21013632669534218</v>
      </c>
      <c r="Z97" s="485" t="s">
        <v>200</v>
      </c>
      <c r="AA97" s="486" t="s">
        <v>1447</v>
      </c>
      <c r="AB97" s="486" t="s">
        <v>1447</v>
      </c>
    </row>
    <row r="98" spans="1:28" s="492" customFormat="1" ht="16.5">
      <c r="A98" s="501" t="s">
        <v>200</v>
      </c>
      <c r="B98" s="489" t="s">
        <v>1078</v>
      </c>
      <c r="C98" s="498" t="s">
        <v>198</v>
      </c>
      <c r="D98" s="502">
        <v>2.5000000000000001E-2</v>
      </c>
      <c r="E98" s="495" t="s">
        <v>1019</v>
      </c>
      <c r="F98" s="498">
        <v>87.39</v>
      </c>
      <c r="G98" s="498">
        <v>210</v>
      </c>
      <c r="H98" s="548">
        <v>0.41614285714285715</v>
      </c>
      <c r="I98" s="503">
        <v>18.986517857142854</v>
      </c>
      <c r="J98" s="498" t="s">
        <v>1183</v>
      </c>
      <c r="K98" s="489" t="s">
        <v>1389</v>
      </c>
      <c r="L98" s="489" t="s">
        <v>1432</v>
      </c>
      <c r="M98" s="498" t="s">
        <v>1212</v>
      </c>
      <c r="N98" s="495" t="s">
        <v>1224</v>
      </c>
      <c r="O98" s="489" t="s">
        <v>1390</v>
      </c>
      <c r="P98" s="495" t="s">
        <v>1255</v>
      </c>
      <c r="Q98" s="495" t="s">
        <v>1210</v>
      </c>
      <c r="R98" s="485" t="str">
        <f t="shared" si="13"/>
        <v>2</v>
      </c>
      <c r="S98" s="485" t="str">
        <f t="shared" si="14"/>
        <v>2</v>
      </c>
      <c r="T98" s="485" t="str">
        <f t="shared" si="15"/>
        <v>1</v>
      </c>
      <c r="U98" s="485" t="str">
        <f t="shared" si="16"/>
        <v>1</v>
      </c>
      <c r="V98" s="508" t="str">
        <f t="shared" si="17"/>
        <v>3</v>
      </c>
      <c r="W98" s="508" t="str">
        <f t="shared" si="18"/>
        <v>2</v>
      </c>
      <c r="X98" s="508">
        <f t="shared" si="19"/>
        <v>0</v>
      </c>
      <c r="Y98" s="568">
        <f t="shared" si="20"/>
        <v>0.21013632669534218</v>
      </c>
      <c r="Z98" s="485" t="s">
        <v>200</v>
      </c>
      <c r="AA98" s="486" t="s">
        <v>1447</v>
      </c>
      <c r="AB98" s="486" t="s">
        <v>1447</v>
      </c>
    </row>
    <row r="99" spans="1:28" s="492" customFormat="1" ht="16.5">
      <c r="A99" s="501" t="s">
        <v>200</v>
      </c>
      <c r="B99" s="489" t="s">
        <v>1078</v>
      </c>
      <c r="C99" s="498" t="s">
        <v>198</v>
      </c>
      <c r="D99" s="502">
        <v>2.5000000000000001E-2</v>
      </c>
      <c r="E99" s="495" t="s">
        <v>1019</v>
      </c>
      <c r="F99" s="498">
        <v>91.7</v>
      </c>
      <c r="G99" s="498">
        <v>120</v>
      </c>
      <c r="H99" s="548">
        <v>0.76416666666666666</v>
      </c>
      <c r="I99" s="503">
        <v>34.865104166666669</v>
      </c>
      <c r="J99" s="498" t="s">
        <v>1183</v>
      </c>
      <c r="K99" s="489" t="s">
        <v>1389</v>
      </c>
      <c r="L99" s="489" t="s">
        <v>1432</v>
      </c>
      <c r="M99" s="498" t="s">
        <v>1212</v>
      </c>
      <c r="N99" s="495" t="s">
        <v>1224</v>
      </c>
      <c r="O99" s="489" t="s">
        <v>1390</v>
      </c>
      <c r="P99" s="495" t="s">
        <v>1255</v>
      </c>
      <c r="Q99" s="495" t="s">
        <v>1210</v>
      </c>
      <c r="R99" s="485" t="str">
        <f t="shared" si="13"/>
        <v>2</v>
      </c>
      <c r="S99" s="485" t="str">
        <f t="shared" si="14"/>
        <v>2</v>
      </c>
      <c r="T99" s="485" t="str">
        <f t="shared" si="15"/>
        <v>1</v>
      </c>
      <c r="U99" s="485" t="str">
        <f t="shared" si="16"/>
        <v>1</v>
      </c>
      <c r="V99" s="508" t="str">
        <f t="shared" si="17"/>
        <v>3</v>
      </c>
      <c r="W99" s="508" t="str">
        <f t="shared" si="18"/>
        <v>2</v>
      </c>
      <c r="X99" s="508">
        <f t="shared" si="19"/>
        <v>0</v>
      </c>
      <c r="Y99" s="568">
        <f t="shared" si="20"/>
        <v>0.21013632669534218</v>
      </c>
      <c r="Z99" s="485" t="s">
        <v>200</v>
      </c>
      <c r="AA99" s="486" t="s">
        <v>1447</v>
      </c>
      <c r="AB99" s="486" t="s">
        <v>1447</v>
      </c>
    </row>
    <row r="100" spans="1:28" s="492" customFormat="1" ht="16.5">
      <c r="A100" s="494" t="s">
        <v>200</v>
      </c>
      <c r="B100" s="489" t="s">
        <v>1077</v>
      </c>
      <c r="C100" s="489" t="s">
        <v>198</v>
      </c>
      <c r="D100" s="490">
        <v>2.5000000000000001E-2</v>
      </c>
      <c r="E100" s="495" t="s">
        <v>1146</v>
      </c>
      <c r="F100" s="489">
        <v>50</v>
      </c>
      <c r="G100" s="489">
        <v>1071</v>
      </c>
      <c r="H100" s="491">
        <v>4.6685340802987862E-2</v>
      </c>
      <c r="I100" s="491">
        <v>2.1300186741363212</v>
      </c>
      <c r="J100" s="495" t="s">
        <v>1166</v>
      </c>
      <c r="K100" s="564" t="s">
        <v>1257</v>
      </c>
      <c r="L100" s="504" t="s">
        <v>1211</v>
      </c>
      <c r="M100" s="498" t="s">
        <v>1212</v>
      </c>
      <c r="N100" s="495" t="s">
        <v>1224</v>
      </c>
      <c r="O100" s="489" t="s">
        <v>1280</v>
      </c>
      <c r="P100" s="495" t="s">
        <v>1256</v>
      </c>
      <c r="Q100" s="495" t="s">
        <v>1210</v>
      </c>
      <c r="R100" s="485" t="str">
        <f t="shared" si="13"/>
        <v>2</v>
      </c>
      <c r="S100" s="485" t="str">
        <f t="shared" si="14"/>
        <v>1</v>
      </c>
      <c r="T100" s="485" t="str">
        <f t="shared" si="15"/>
        <v>1</v>
      </c>
      <c r="U100" s="485" t="str">
        <f t="shared" si="16"/>
        <v>1</v>
      </c>
      <c r="V100" s="508" t="str">
        <f t="shared" si="17"/>
        <v>2</v>
      </c>
      <c r="W100" s="508" t="str">
        <f t="shared" si="18"/>
        <v>1</v>
      </c>
      <c r="X100" s="508">
        <f t="shared" si="19"/>
        <v>0</v>
      </c>
      <c r="Y100" s="568">
        <f t="shared" si="20"/>
        <v>0.10519665924690309</v>
      </c>
      <c r="Z100" s="485" t="s">
        <v>200</v>
      </c>
      <c r="AA100" s="486" t="s">
        <v>200</v>
      </c>
      <c r="AB100" s="486" t="s">
        <v>1448</v>
      </c>
    </row>
    <row r="101" spans="1:28" s="492" customFormat="1" ht="16.5">
      <c r="A101" s="501" t="s">
        <v>200</v>
      </c>
      <c r="B101" s="489" t="s">
        <v>1077</v>
      </c>
      <c r="C101" s="498" t="s">
        <v>996</v>
      </c>
      <c r="D101" s="502">
        <v>2.5000000000000001E-2</v>
      </c>
      <c r="E101" s="495" t="s">
        <v>1146</v>
      </c>
      <c r="F101" s="498">
        <v>39.1</v>
      </c>
      <c r="G101" s="498">
        <v>240</v>
      </c>
      <c r="H101" s="548">
        <v>0.16291666666666668</v>
      </c>
      <c r="I101" s="503">
        <v>7.4330729166666671</v>
      </c>
      <c r="J101" s="498" t="s">
        <v>1366</v>
      </c>
      <c r="K101" s="489" t="s">
        <v>1429</v>
      </c>
      <c r="L101" s="489" t="s">
        <v>1430</v>
      </c>
      <c r="M101" s="489" t="str">
        <f>CONCATENATE("2 - at least 30% (",F101,")")</f>
        <v>2 - at least 30% (39,1)</v>
      </c>
      <c r="N101" s="495" t="s">
        <v>1224</v>
      </c>
      <c r="O101" s="489" t="s">
        <v>1392</v>
      </c>
      <c r="P101" s="495" t="s">
        <v>1255</v>
      </c>
      <c r="Q101" s="495" t="s">
        <v>1210</v>
      </c>
      <c r="R101" s="485" t="str">
        <f t="shared" si="13"/>
        <v>2</v>
      </c>
      <c r="S101" s="485" t="str">
        <f t="shared" si="14"/>
        <v>3</v>
      </c>
      <c r="T101" s="485" t="str">
        <f t="shared" si="15"/>
        <v>2</v>
      </c>
      <c r="U101" s="485" t="str">
        <f t="shared" si="16"/>
        <v>1</v>
      </c>
      <c r="V101" s="508" t="str">
        <f t="shared" si="17"/>
        <v>3</v>
      </c>
      <c r="W101" s="508" t="str">
        <f t="shared" si="18"/>
        <v>2</v>
      </c>
      <c r="X101" s="508">
        <f t="shared" si="19"/>
        <v>0</v>
      </c>
      <c r="Y101" s="568">
        <f t="shared" si="20"/>
        <v>0.24653788526421841</v>
      </c>
      <c r="Z101" s="485" t="s">
        <v>200</v>
      </c>
      <c r="AA101" s="486" t="s">
        <v>223</v>
      </c>
      <c r="AB101" s="486" t="s">
        <v>1450</v>
      </c>
    </row>
    <row r="102" spans="1:28" s="492" customFormat="1" ht="16.5">
      <c r="A102" s="501" t="s">
        <v>200</v>
      </c>
      <c r="B102" s="489" t="s">
        <v>1077</v>
      </c>
      <c r="C102" s="498" t="s">
        <v>996</v>
      </c>
      <c r="D102" s="502">
        <v>2.5000000000000001E-2</v>
      </c>
      <c r="E102" s="495" t="s">
        <v>1146</v>
      </c>
      <c r="F102" s="498">
        <v>40.5</v>
      </c>
      <c r="G102" s="498">
        <v>224</v>
      </c>
      <c r="H102" s="548">
        <v>0.18080357142857142</v>
      </c>
      <c r="I102" s="503">
        <v>8.249162946428573</v>
      </c>
      <c r="J102" s="498" t="s">
        <v>1366</v>
      </c>
      <c r="K102" s="489" t="s">
        <v>1429</v>
      </c>
      <c r="L102" s="489" t="s">
        <v>1430</v>
      </c>
      <c r="M102" s="489" t="str">
        <f>CONCATENATE("2 - at least 30% (",F102,")")</f>
        <v>2 - at least 30% (40,5)</v>
      </c>
      <c r="N102" s="495" t="s">
        <v>1224</v>
      </c>
      <c r="O102" s="489" t="s">
        <v>1392</v>
      </c>
      <c r="P102" s="495" t="s">
        <v>1255</v>
      </c>
      <c r="Q102" s="495" t="s">
        <v>1210</v>
      </c>
      <c r="R102" s="485" t="str">
        <f t="shared" si="13"/>
        <v>2</v>
      </c>
      <c r="S102" s="485" t="str">
        <f t="shared" si="14"/>
        <v>3</v>
      </c>
      <c r="T102" s="485" t="str">
        <f t="shared" si="15"/>
        <v>2</v>
      </c>
      <c r="U102" s="485" t="str">
        <f t="shared" si="16"/>
        <v>1</v>
      </c>
      <c r="V102" s="508" t="str">
        <f t="shared" si="17"/>
        <v>3</v>
      </c>
      <c r="W102" s="508" t="str">
        <f t="shared" si="18"/>
        <v>2</v>
      </c>
      <c r="X102" s="508">
        <f t="shared" si="19"/>
        <v>0</v>
      </c>
      <c r="Y102" s="568">
        <f t="shared" si="20"/>
        <v>0.24653788526421841</v>
      </c>
      <c r="Z102" s="485" t="s">
        <v>200</v>
      </c>
      <c r="AA102" s="486" t="s">
        <v>223</v>
      </c>
      <c r="AB102" s="486" t="s">
        <v>1450</v>
      </c>
    </row>
    <row r="103" spans="1:28" ht="16.5">
      <c r="A103" s="501" t="s">
        <v>200</v>
      </c>
      <c r="B103" s="489" t="s">
        <v>1077</v>
      </c>
      <c r="C103" s="498" t="s">
        <v>996</v>
      </c>
      <c r="D103" s="502">
        <v>2.5000000000000001E-2</v>
      </c>
      <c r="E103" s="495" t="s">
        <v>1146</v>
      </c>
      <c r="F103" s="498">
        <v>44.2</v>
      </c>
      <c r="G103" s="498">
        <v>210</v>
      </c>
      <c r="H103" s="548">
        <v>0.21047619047619048</v>
      </c>
      <c r="I103" s="503">
        <v>9.6029761904761894</v>
      </c>
      <c r="J103" s="498" t="s">
        <v>1366</v>
      </c>
      <c r="K103" s="489" t="s">
        <v>1429</v>
      </c>
      <c r="L103" s="489" t="s">
        <v>1430</v>
      </c>
      <c r="M103" s="489" t="str">
        <f>CONCATENATE("2 - at least 30% (",F103,")")</f>
        <v>2 - at least 30% (44,2)</v>
      </c>
      <c r="N103" s="495" t="s">
        <v>1224</v>
      </c>
      <c r="O103" s="489" t="s">
        <v>1392</v>
      </c>
      <c r="P103" s="495" t="s">
        <v>1255</v>
      </c>
      <c r="Q103" s="495" t="s">
        <v>1210</v>
      </c>
      <c r="R103" s="485" t="str">
        <f t="shared" si="13"/>
        <v>2</v>
      </c>
      <c r="S103" s="485" t="str">
        <f t="shared" si="14"/>
        <v>3</v>
      </c>
      <c r="T103" s="485" t="str">
        <f t="shared" si="15"/>
        <v>2</v>
      </c>
      <c r="U103" s="485" t="str">
        <f t="shared" si="16"/>
        <v>1</v>
      </c>
      <c r="V103" s="508" t="str">
        <f t="shared" si="17"/>
        <v>3</v>
      </c>
      <c r="W103" s="508" t="str">
        <f t="shared" si="18"/>
        <v>2</v>
      </c>
      <c r="X103" s="508">
        <f t="shared" si="19"/>
        <v>0</v>
      </c>
      <c r="Y103" s="568">
        <f t="shared" si="20"/>
        <v>0.24653788526421841</v>
      </c>
      <c r="Z103" s="485" t="s">
        <v>200</v>
      </c>
      <c r="AA103" s="486" t="s">
        <v>223</v>
      </c>
      <c r="AB103" s="486" t="s">
        <v>1450</v>
      </c>
    </row>
    <row r="104" spans="1:28" ht="16.5">
      <c r="A104" s="501" t="s">
        <v>200</v>
      </c>
      <c r="B104" s="489" t="s">
        <v>1077</v>
      </c>
      <c r="C104" s="498" t="s">
        <v>996</v>
      </c>
      <c r="D104" s="502">
        <v>2.5000000000000001E-2</v>
      </c>
      <c r="E104" s="495" t="s">
        <v>1146</v>
      </c>
      <c r="F104" s="498">
        <v>50.2</v>
      </c>
      <c r="G104" s="498">
        <v>134</v>
      </c>
      <c r="H104" s="548">
        <v>0.37462686567164183</v>
      </c>
      <c r="I104" s="503">
        <v>17.092350746268661</v>
      </c>
      <c r="J104" s="498" t="s">
        <v>1366</v>
      </c>
      <c r="K104" s="489" t="s">
        <v>1429</v>
      </c>
      <c r="L104" s="489" t="s">
        <v>1430</v>
      </c>
      <c r="M104" s="498" t="s">
        <v>1212</v>
      </c>
      <c r="N104" s="495" t="s">
        <v>1224</v>
      </c>
      <c r="O104" s="489" t="s">
        <v>1392</v>
      </c>
      <c r="P104" s="495" t="s">
        <v>1255</v>
      </c>
      <c r="Q104" s="495" t="s">
        <v>1210</v>
      </c>
      <c r="R104" s="485" t="str">
        <f t="shared" si="13"/>
        <v>2</v>
      </c>
      <c r="S104" s="485" t="str">
        <f t="shared" si="14"/>
        <v>3</v>
      </c>
      <c r="T104" s="485" t="str">
        <f t="shared" si="15"/>
        <v>1</v>
      </c>
      <c r="U104" s="485" t="str">
        <f t="shared" si="16"/>
        <v>1</v>
      </c>
      <c r="V104" s="508" t="str">
        <f t="shared" si="17"/>
        <v>3</v>
      </c>
      <c r="W104" s="508" t="str">
        <f t="shared" si="18"/>
        <v>2</v>
      </c>
      <c r="X104" s="508">
        <f t="shared" si="19"/>
        <v>0</v>
      </c>
      <c r="Y104" s="568">
        <f t="shared" si="20"/>
        <v>0.21008403283771865</v>
      </c>
      <c r="Z104" s="485" t="s">
        <v>200</v>
      </c>
      <c r="AA104" s="486" t="s">
        <v>223</v>
      </c>
      <c r="AB104" s="486" t="s">
        <v>1450</v>
      </c>
    </row>
    <row r="105" spans="1:28" ht="16.5">
      <c r="A105" s="501" t="s">
        <v>200</v>
      </c>
      <c r="B105" s="489" t="s">
        <v>1077</v>
      </c>
      <c r="C105" s="498" t="s">
        <v>996</v>
      </c>
      <c r="D105" s="502">
        <v>2.5000000000000001E-2</v>
      </c>
      <c r="E105" s="495" t="s">
        <v>1146</v>
      </c>
      <c r="F105" s="498">
        <v>51.8</v>
      </c>
      <c r="G105" s="498">
        <v>313</v>
      </c>
      <c r="H105" s="548">
        <v>0.16549520766773163</v>
      </c>
      <c r="I105" s="503">
        <v>7.5507188498402558</v>
      </c>
      <c r="J105" s="498" t="s">
        <v>1366</v>
      </c>
      <c r="K105" s="489" t="s">
        <v>1429</v>
      </c>
      <c r="L105" s="489" t="s">
        <v>1430</v>
      </c>
      <c r="M105" s="498" t="s">
        <v>1212</v>
      </c>
      <c r="N105" s="495" t="s">
        <v>1224</v>
      </c>
      <c r="O105" s="489" t="s">
        <v>1392</v>
      </c>
      <c r="P105" s="495" t="s">
        <v>1255</v>
      </c>
      <c r="Q105" s="495" t="s">
        <v>1210</v>
      </c>
      <c r="R105" s="485" t="str">
        <f t="shared" si="13"/>
        <v>2</v>
      </c>
      <c r="S105" s="485" t="str">
        <f t="shared" si="14"/>
        <v>3</v>
      </c>
      <c r="T105" s="485" t="str">
        <f t="shared" si="15"/>
        <v>1</v>
      </c>
      <c r="U105" s="485" t="str">
        <f t="shared" si="16"/>
        <v>1</v>
      </c>
      <c r="V105" s="508" t="str">
        <f t="shared" si="17"/>
        <v>3</v>
      </c>
      <c r="W105" s="508" t="str">
        <f t="shared" si="18"/>
        <v>2</v>
      </c>
      <c r="X105" s="508">
        <f t="shared" si="19"/>
        <v>0</v>
      </c>
      <c r="Y105" s="568">
        <f t="shared" si="20"/>
        <v>0.21008403283771865</v>
      </c>
      <c r="Z105" s="485" t="s">
        <v>200</v>
      </c>
      <c r="AA105" s="486" t="s">
        <v>223</v>
      </c>
      <c r="AB105" s="486" t="s">
        <v>1450</v>
      </c>
    </row>
    <row r="106" spans="1:28" ht="16.5">
      <c r="A106" s="501" t="s">
        <v>200</v>
      </c>
      <c r="B106" s="489" t="s">
        <v>1077</v>
      </c>
      <c r="C106" s="498" t="s">
        <v>996</v>
      </c>
      <c r="D106" s="502">
        <v>2.5000000000000001E-2</v>
      </c>
      <c r="E106" s="495" t="s">
        <v>1146</v>
      </c>
      <c r="F106" s="498">
        <v>54.8</v>
      </c>
      <c r="G106" s="498">
        <v>248</v>
      </c>
      <c r="H106" s="548">
        <v>0.22096774193548385</v>
      </c>
      <c r="I106" s="503">
        <v>10.081653225806448</v>
      </c>
      <c r="J106" s="498" t="s">
        <v>1366</v>
      </c>
      <c r="K106" s="489" t="s">
        <v>1429</v>
      </c>
      <c r="L106" s="489" t="s">
        <v>1430</v>
      </c>
      <c r="M106" s="498" t="s">
        <v>1212</v>
      </c>
      <c r="N106" s="495" t="s">
        <v>1224</v>
      </c>
      <c r="O106" s="489" t="s">
        <v>1392</v>
      </c>
      <c r="P106" s="495" t="s">
        <v>1255</v>
      </c>
      <c r="Q106" s="495" t="s">
        <v>1210</v>
      </c>
      <c r="R106" s="485" t="str">
        <f t="shared" si="13"/>
        <v>2</v>
      </c>
      <c r="S106" s="485" t="str">
        <f t="shared" si="14"/>
        <v>3</v>
      </c>
      <c r="T106" s="485" t="str">
        <f t="shared" si="15"/>
        <v>1</v>
      </c>
      <c r="U106" s="485" t="str">
        <f t="shared" si="16"/>
        <v>1</v>
      </c>
      <c r="V106" s="508" t="str">
        <f t="shared" si="17"/>
        <v>3</v>
      </c>
      <c r="W106" s="508" t="str">
        <f t="shared" si="18"/>
        <v>2</v>
      </c>
      <c r="X106" s="508">
        <f t="shared" si="19"/>
        <v>0</v>
      </c>
      <c r="Y106" s="568">
        <f t="shared" si="20"/>
        <v>0.21008403283771865</v>
      </c>
      <c r="Z106" s="485" t="s">
        <v>200</v>
      </c>
      <c r="AA106" s="486" t="s">
        <v>223</v>
      </c>
      <c r="AB106" s="486" t="s">
        <v>1450</v>
      </c>
    </row>
    <row r="107" spans="1:28" ht="16.5">
      <c r="A107" s="501" t="s">
        <v>200</v>
      </c>
      <c r="B107" s="489" t="s">
        <v>1077</v>
      </c>
      <c r="C107" s="498" t="s">
        <v>996</v>
      </c>
      <c r="D107" s="502">
        <v>2.5000000000000001E-2</v>
      </c>
      <c r="E107" s="495" t="s">
        <v>1146</v>
      </c>
      <c r="F107" s="498">
        <v>69.099999999999994</v>
      </c>
      <c r="G107" s="498">
        <v>257</v>
      </c>
      <c r="H107" s="548">
        <v>0.26887159533073929</v>
      </c>
      <c r="I107" s="503">
        <v>12.26726653696498</v>
      </c>
      <c r="J107" s="498" t="s">
        <v>1366</v>
      </c>
      <c r="K107" s="489" t="s">
        <v>1429</v>
      </c>
      <c r="L107" s="489" t="s">
        <v>1430</v>
      </c>
      <c r="M107" s="498" t="s">
        <v>1212</v>
      </c>
      <c r="N107" s="495" t="s">
        <v>1224</v>
      </c>
      <c r="O107" s="489" t="s">
        <v>1392</v>
      </c>
      <c r="P107" s="495" t="s">
        <v>1255</v>
      </c>
      <c r="Q107" s="495" t="s">
        <v>1210</v>
      </c>
      <c r="R107" s="485" t="str">
        <f t="shared" si="13"/>
        <v>2</v>
      </c>
      <c r="S107" s="485" t="str">
        <f t="shared" si="14"/>
        <v>3</v>
      </c>
      <c r="T107" s="485" t="str">
        <f t="shared" si="15"/>
        <v>1</v>
      </c>
      <c r="U107" s="485" t="str">
        <f t="shared" si="16"/>
        <v>1</v>
      </c>
      <c r="V107" s="508" t="str">
        <f t="shared" si="17"/>
        <v>3</v>
      </c>
      <c r="W107" s="508" t="str">
        <f t="shared" si="18"/>
        <v>2</v>
      </c>
      <c r="X107" s="508">
        <f t="shared" si="19"/>
        <v>0</v>
      </c>
      <c r="Y107" s="568">
        <f t="shared" si="20"/>
        <v>0.21008403283771865</v>
      </c>
      <c r="Z107" s="485" t="s">
        <v>200</v>
      </c>
      <c r="AA107" s="486" t="s">
        <v>223</v>
      </c>
      <c r="AB107" s="486" t="s">
        <v>1450</v>
      </c>
    </row>
    <row r="108" spans="1:28" ht="16.5">
      <c r="A108" s="494" t="s">
        <v>200</v>
      </c>
      <c r="B108" s="489" t="s">
        <v>1077</v>
      </c>
      <c r="C108" s="489" t="s">
        <v>198</v>
      </c>
      <c r="D108" s="490">
        <v>2.5000000000000001E-2</v>
      </c>
      <c r="E108" s="495" t="s">
        <v>1146</v>
      </c>
      <c r="F108" s="489">
        <v>50</v>
      </c>
      <c r="G108" s="489">
        <v>156</v>
      </c>
      <c r="H108" s="491">
        <v>0.32051282051282054</v>
      </c>
      <c r="I108" s="491">
        <v>14.623397435897438</v>
      </c>
      <c r="J108" s="495" t="s">
        <v>1166</v>
      </c>
      <c r="K108" s="564" t="s">
        <v>1257</v>
      </c>
      <c r="L108" s="504" t="s">
        <v>1211</v>
      </c>
      <c r="M108" s="498" t="s">
        <v>1212</v>
      </c>
      <c r="N108" s="495" t="s">
        <v>1224</v>
      </c>
      <c r="O108" s="489" t="s">
        <v>1281</v>
      </c>
      <c r="P108" s="495" t="s">
        <v>1256</v>
      </c>
      <c r="Q108" s="495" t="s">
        <v>1210</v>
      </c>
      <c r="R108" s="485" t="str">
        <f t="shared" si="13"/>
        <v>2</v>
      </c>
      <c r="S108" s="485" t="str">
        <f t="shared" si="14"/>
        <v>1</v>
      </c>
      <c r="T108" s="485" t="str">
        <f t="shared" si="15"/>
        <v>1</v>
      </c>
      <c r="U108" s="485" t="str">
        <f t="shared" si="16"/>
        <v>1</v>
      </c>
      <c r="V108" s="508" t="str">
        <f t="shared" si="17"/>
        <v>3</v>
      </c>
      <c r="W108" s="508" t="str">
        <f t="shared" si="18"/>
        <v>1</v>
      </c>
      <c r="X108" s="508">
        <f t="shared" si="19"/>
        <v>0</v>
      </c>
      <c r="Y108" s="568">
        <f t="shared" si="20"/>
        <v>0.16646911165108777</v>
      </c>
      <c r="Z108" s="485" t="s">
        <v>200</v>
      </c>
      <c r="AA108" s="486" t="s">
        <v>223</v>
      </c>
      <c r="AB108" s="486" t="s">
        <v>1450</v>
      </c>
    </row>
    <row r="109" spans="1:28" ht="16.5">
      <c r="A109" s="494" t="s">
        <v>200</v>
      </c>
      <c r="B109" s="489" t="s">
        <v>1077</v>
      </c>
      <c r="C109" s="489" t="s">
        <v>198</v>
      </c>
      <c r="D109" s="490">
        <v>2.5000000000000001E-2</v>
      </c>
      <c r="E109" s="495" t="s">
        <v>1097</v>
      </c>
      <c r="F109" s="489">
        <v>50</v>
      </c>
      <c r="G109" s="489">
        <v>753</v>
      </c>
      <c r="H109" s="491">
        <v>6.6401062416998669E-2</v>
      </c>
      <c r="I109" s="491">
        <v>3.0295484727755642</v>
      </c>
      <c r="J109" s="495" t="s">
        <v>1166</v>
      </c>
      <c r="K109" s="564" t="s">
        <v>1257</v>
      </c>
      <c r="L109" s="504" t="s">
        <v>1211</v>
      </c>
      <c r="M109" s="498" t="s">
        <v>1212</v>
      </c>
      <c r="N109" s="495" t="s">
        <v>1224</v>
      </c>
      <c r="O109" s="489" t="s">
        <v>1280</v>
      </c>
      <c r="P109" s="495" t="s">
        <v>1256</v>
      </c>
      <c r="Q109" s="495" t="s">
        <v>1210</v>
      </c>
      <c r="R109" s="485" t="str">
        <f t="shared" si="13"/>
        <v>2</v>
      </c>
      <c r="S109" s="485" t="str">
        <f t="shared" si="14"/>
        <v>1</v>
      </c>
      <c r="T109" s="485" t="str">
        <f t="shared" si="15"/>
        <v>1</v>
      </c>
      <c r="U109" s="485" t="str">
        <f t="shared" si="16"/>
        <v>1</v>
      </c>
      <c r="V109" s="508" t="str">
        <f t="shared" si="17"/>
        <v>2</v>
      </c>
      <c r="W109" s="508" t="str">
        <f t="shared" si="18"/>
        <v>1</v>
      </c>
      <c r="X109" s="508">
        <f t="shared" si="19"/>
        <v>0</v>
      </c>
      <c r="Y109" s="568">
        <f t="shared" si="20"/>
        <v>0.10519665924690309</v>
      </c>
      <c r="Z109" s="485" t="s">
        <v>200</v>
      </c>
      <c r="AA109" s="486" t="s">
        <v>1447</v>
      </c>
      <c r="AB109" s="486" t="s">
        <v>1447</v>
      </c>
    </row>
    <row r="110" spans="1:28" ht="16.5">
      <c r="A110" s="494" t="s">
        <v>200</v>
      </c>
      <c r="B110" s="489" t="s">
        <v>1077</v>
      </c>
      <c r="C110" s="489" t="s">
        <v>198</v>
      </c>
      <c r="D110" s="490">
        <v>2.5000000000000001E-2</v>
      </c>
      <c r="E110" s="495" t="s">
        <v>1097</v>
      </c>
      <c r="F110" s="489">
        <v>50</v>
      </c>
      <c r="G110" s="489">
        <v>2347</v>
      </c>
      <c r="H110" s="491">
        <v>2.1303792074989347E-2</v>
      </c>
      <c r="I110" s="491">
        <v>0.97198551342138906</v>
      </c>
      <c r="J110" s="495" t="s">
        <v>1166</v>
      </c>
      <c r="K110" s="564" t="s">
        <v>1257</v>
      </c>
      <c r="L110" s="504" t="s">
        <v>1211</v>
      </c>
      <c r="M110" s="498" t="s">
        <v>1212</v>
      </c>
      <c r="N110" s="495" t="s">
        <v>1224</v>
      </c>
      <c r="O110" s="489" t="s">
        <v>1280</v>
      </c>
      <c r="P110" s="495" t="s">
        <v>1256</v>
      </c>
      <c r="Q110" s="495" t="s">
        <v>1210</v>
      </c>
      <c r="R110" s="485" t="str">
        <f t="shared" si="13"/>
        <v>2</v>
      </c>
      <c r="S110" s="485" t="str">
        <f t="shared" si="14"/>
        <v>1</v>
      </c>
      <c r="T110" s="485" t="str">
        <f t="shared" si="15"/>
        <v>1</v>
      </c>
      <c r="U110" s="485" t="str">
        <f t="shared" si="16"/>
        <v>1</v>
      </c>
      <c r="V110" s="508" t="str">
        <f t="shared" si="17"/>
        <v>2</v>
      </c>
      <c r="W110" s="508" t="str">
        <f t="shared" si="18"/>
        <v>1</v>
      </c>
      <c r="X110" s="508">
        <f t="shared" si="19"/>
        <v>0</v>
      </c>
      <c r="Y110" s="568">
        <f t="shared" si="20"/>
        <v>0.10519665924690309</v>
      </c>
      <c r="Z110" s="485" t="s">
        <v>200</v>
      </c>
      <c r="AA110" s="486" t="s">
        <v>1447</v>
      </c>
      <c r="AB110" s="486" t="s">
        <v>1447</v>
      </c>
    </row>
    <row r="111" spans="1:28" ht="16.5">
      <c r="A111" s="501" t="s">
        <v>200</v>
      </c>
      <c r="B111" s="489" t="s">
        <v>1077</v>
      </c>
      <c r="C111" s="498" t="s">
        <v>996</v>
      </c>
      <c r="D111" s="502">
        <v>2.5000000000000001E-2</v>
      </c>
      <c r="E111" s="495" t="s">
        <v>1097</v>
      </c>
      <c r="F111" s="498">
        <v>2.6</v>
      </c>
      <c r="G111" s="498">
        <v>175</v>
      </c>
      <c r="H111" s="548">
        <v>1.4857142857142857E-2</v>
      </c>
      <c r="I111" s="503">
        <v>0.6778571428571436</v>
      </c>
      <c r="J111" s="498" t="s">
        <v>1366</v>
      </c>
      <c r="K111" s="489" t="s">
        <v>1429</v>
      </c>
      <c r="L111" s="489" t="s">
        <v>1431</v>
      </c>
      <c r="M111" s="498" t="s">
        <v>1215</v>
      </c>
      <c r="N111" s="495" t="s">
        <v>1224</v>
      </c>
      <c r="O111" s="489" t="s">
        <v>1392</v>
      </c>
      <c r="P111" s="495" t="s">
        <v>1255</v>
      </c>
      <c r="Q111" s="495" t="s">
        <v>1210</v>
      </c>
      <c r="R111" s="485" t="str">
        <f t="shared" si="13"/>
        <v>2</v>
      </c>
      <c r="S111" s="485" t="str">
        <f t="shared" si="14"/>
        <v>3</v>
      </c>
      <c r="T111" s="485" t="str">
        <f t="shared" si="15"/>
        <v>4</v>
      </c>
      <c r="U111" s="485" t="str">
        <f t="shared" si="16"/>
        <v>1</v>
      </c>
      <c r="V111" s="508" t="str">
        <f t="shared" si="17"/>
        <v>3</v>
      </c>
      <c r="W111" s="508" t="str">
        <f t="shared" si="18"/>
        <v>2</v>
      </c>
      <c r="X111" s="508">
        <f t="shared" si="19"/>
        <v>0</v>
      </c>
      <c r="Y111" s="568">
        <f t="shared" si="20"/>
        <v>1.2632132079521916</v>
      </c>
      <c r="Z111" s="485" t="s">
        <v>200</v>
      </c>
      <c r="AA111" s="486" t="s">
        <v>223</v>
      </c>
      <c r="AB111" s="486" t="s">
        <v>1450</v>
      </c>
    </row>
    <row r="112" spans="1:28" ht="16.5">
      <c r="A112" s="501" t="s">
        <v>200</v>
      </c>
      <c r="B112" s="489" t="s">
        <v>1077</v>
      </c>
      <c r="C112" s="498" t="s">
        <v>996</v>
      </c>
      <c r="D112" s="502">
        <v>2.5000000000000001E-2</v>
      </c>
      <c r="E112" s="495" t="s">
        <v>1097</v>
      </c>
      <c r="F112" s="498">
        <v>18</v>
      </c>
      <c r="G112" s="498">
        <v>180</v>
      </c>
      <c r="H112" s="548">
        <v>0.1</v>
      </c>
      <c r="I112" s="503">
        <v>4.5624999999999991</v>
      </c>
      <c r="J112" s="498" t="s">
        <v>1366</v>
      </c>
      <c r="K112" s="489" t="s">
        <v>1429</v>
      </c>
      <c r="L112" s="489" t="s">
        <v>1431</v>
      </c>
      <c r="M112" s="489" t="str">
        <f>CONCATENATE("3 - at least 10% (",F112,")")</f>
        <v>3 - at least 10% (18)</v>
      </c>
      <c r="N112" s="495" t="s">
        <v>1224</v>
      </c>
      <c r="O112" s="489" t="s">
        <v>1392</v>
      </c>
      <c r="P112" s="495" t="s">
        <v>1255</v>
      </c>
      <c r="Q112" s="495" t="s">
        <v>1210</v>
      </c>
      <c r="R112" s="485" t="str">
        <f t="shared" si="13"/>
        <v>2</v>
      </c>
      <c r="S112" s="485" t="str">
        <f t="shared" si="14"/>
        <v>3</v>
      </c>
      <c r="T112" s="485" t="str">
        <f t="shared" si="15"/>
        <v>3</v>
      </c>
      <c r="U112" s="485" t="str">
        <f t="shared" si="16"/>
        <v>1</v>
      </c>
      <c r="V112" s="508" t="str">
        <f t="shared" si="17"/>
        <v>3</v>
      </c>
      <c r="W112" s="508" t="str">
        <f t="shared" si="18"/>
        <v>2</v>
      </c>
      <c r="X112" s="508">
        <f t="shared" si="19"/>
        <v>0</v>
      </c>
      <c r="Y112" s="568">
        <f t="shared" si="20"/>
        <v>0.46099647835892704</v>
      </c>
      <c r="Z112" s="485" t="s">
        <v>200</v>
      </c>
      <c r="AA112" s="486" t="s">
        <v>223</v>
      </c>
      <c r="AB112" s="486" t="s">
        <v>1450</v>
      </c>
    </row>
    <row r="113" spans="1:28" ht="16.5">
      <c r="A113" s="501" t="s">
        <v>200</v>
      </c>
      <c r="B113" s="489" t="s">
        <v>1077</v>
      </c>
      <c r="C113" s="498" t="s">
        <v>996</v>
      </c>
      <c r="D113" s="502">
        <v>2.5000000000000001E-2</v>
      </c>
      <c r="E113" s="495" t="s">
        <v>1097</v>
      </c>
      <c r="F113" s="498">
        <v>30.1</v>
      </c>
      <c r="G113" s="498">
        <v>180</v>
      </c>
      <c r="H113" s="548">
        <v>0.16722222222222222</v>
      </c>
      <c r="I113" s="503">
        <v>7.629513888888888</v>
      </c>
      <c r="J113" s="498" t="s">
        <v>1366</v>
      </c>
      <c r="K113" s="489" t="s">
        <v>1429</v>
      </c>
      <c r="L113" s="489" t="s">
        <v>1431</v>
      </c>
      <c r="M113" s="489" t="str">
        <f>CONCATENATE("2 - at least 30% (",F113,")")</f>
        <v>2 - at least 30% (30,1)</v>
      </c>
      <c r="N113" s="495" t="s">
        <v>1224</v>
      </c>
      <c r="O113" s="489" t="s">
        <v>1392</v>
      </c>
      <c r="P113" s="495" t="s">
        <v>1255</v>
      </c>
      <c r="Q113" s="495" t="s">
        <v>1210</v>
      </c>
      <c r="R113" s="485" t="str">
        <f t="shared" si="13"/>
        <v>2</v>
      </c>
      <c r="S113" s="485" t="str">
        <f t="shared" si="14"/>
        <v>3</v>
      </c>
      <c r="T113" s="485" t="str">
        <f t="shared" si="15"/>
        <v>2</v>
      </c>
      <c r="U113" s="485" t="str">
        <f t="shared" si="16"/>
        <v>1</v>
      </c>
      <c r="V113" s="508" t="str">
        <f t="shared" si="17"/>
        <v>3</v>
      </c>
      <c r="W113" s="508" t="str">
        <f t="shared" si="18"/>
        <v>2</v>
      </c>
      <c r="X113" s="508">
        <f t="shared" si="19"/>
        <v>0</v>
      </c>
      <c r="Y113" s="568">
        <f t="shared" si="20"/>
        <v>0.24653788526421841</v>
      </c>
      <c r="Z113" s="485" t="s">
        <v>200</v>
      </c>
      <c r="AA113" s="486" t="s">
        <v>223</v>
      </c>
      <c r="AB113" s="486" t="s">
        <v>1450</v>
      </c>
    </row>
    <row r="114" spans="1:28" ht="16.5">
      <c r="A114" s="501" t="s">
        <v>200</v>
      </c>
      <c r="B114" s="489" t="s">
        <v>1077</v>
      </c>
      <c r="C114" s="498" t="s">
        <v>996</v>
      </c>
      <c r="D114" s="502">
        <v>2.5000000000000001E-2</v>
      </c>
      <c r="E114" s="495" t="s">
        <v>1097</v>
      </c>
      <c r="F114" s="498">
        <v>44.8</v>
      </c>
      <c r="G114" s="498">
        <v>220</v>
      </c>
      <c r="H114" s="548">
        <v>0.20363636363636362</v>
      </c>
      <c r="I114" s="503">
        <v>9.2909090909090892</v>
      </c>
      <c r="J114" s="498" t="s">
        <v>1366</v>
      </c>
      <c r="K114" s="489" t="s">
        <v>1429</v>
      </c>
      <c r="L114" s="489" t="s">
        <v>1431</v>
      </c>
      <c r="M114" s="489" t="str">
        <f>CONCATENATE("2 - at least 30% (",F114,")")</f>
        <v>2 - at least 30% (44,8)</v>
      </c>
      <c r="N114" s="495" t="s">
        <v>1224</v>
      </c>
      <c r="O114" s="489" t="s">
        <v>1392</v>
      </c>
      <c r="P114" s="495" t="s">
        <v>1255</v>
      </c>
      <c r="Q114" s="495" t="s">
        <v>1210</v>
      </c>
      <c r="R114" s="485" t="str">
        <f t="shared" si="13"/>
        <v>2</v>
      </c>
      <c r="S114" s="485" t="str">
        <f t="shared" si="14"/>
        <v>3</v>
      </c>
      <c r="T114" s="485" t="str">
        <f t="shared" si="15"/>
        <v>2</v>
      </c>
      <c r="U114" s="485" t="str">
        <f t="shared" si="16"/>
        <v>1</v>
      </c>
      <c r="V114" s="508" t="str">
        <f t="shared" si="17"/>
        <v>3</v>
      </c>
      <c r="W114" s="508" t="str">
        <f t="shared" si="18"/>
        <v>2</v>
      </c>
      <c r="X114" s="508">
        <f t="shared" si="19"/>
        <v>0</v>
      </c>
      <c r="Y114" s="568">
        <f t="shared" si="20"/>
        <v>0.24653788526421841</v>
      </c>
      <c r="Z114" s="485" t="s">
        <v>200</v>
      </c>
      <c r="AA114" s="486" t="s">
        <v>223</v>
      </c>
      <c r="AB114" s="486" t="s">
        <v>1450</v>
      </c>
    </row>
    <row r="115" spans="1:28" ht="16.5">
      <c r="A115" s="501" t="s">
        <v>200</v>
      </c>
      <c r="B115" s="489" t="s">
        <v>1077</v>
      </c>
      <c r="C115" s="498" t="s">
        <v>996</v>
      </c>
      <c r="D115" s="502">
        <v>2.5000000000000001E-2</v>
      </c>
      <c r="E115" s="495" t="s">
        <v>1097</v>
      </c>
      <c r="F115" s="498">
        <v>78.2</v>
      </c>
      <c r="G115" s="498">
        <v>120</v>
      </c>
      <c r="H115" s="548">
        <v>0.65166666666666673</v>
      </c>
      <c r="I115" s="503">
        <v>29.732291666666669</v>
      </c>
      <c r="J115" s="498" t="s">
        <v>1366</v>
      </c>
      <c r="K115" s="489" t="s">
        <v>1429</v>
      </c>
      <c r="L115" s="489" t="s">
        <v>1431</v>
      </c>
      <c r="M115" s="498" t="s">
        <v>1212</v>
      </c>
      <c r="N115" s="495" t="s">
        <v>1224</v>
      </c>
      <c r="O115" s="489" t="s">
        <v>1392</v>
      </c>
      <c r="P115" s="495" t="s">
        <v>1255</v>
      </c>
      <c r="Q115" s="495" t="s">
        <v>1210</v>
      </c>
      <c r="R115" s="485" t="str">
        <f t="shared" si="13"/>
        <v>2</v>
      </c>
      <c r="S115" s="485" t="str">
        <f t="shared" si="14"/>
        <v>3</v>
      </c>
      <c r="T115" s="485" t="str">
        <f t="shared" si="15"/>
        <v>1</v>
      </c>
      <c r="U115" s="485" t="str">
        <f t="shared" si="16"/>
        <v>1</v>
      </c>
      <c r="V115" s="508" t="str">
        <f t="shared" si="17"/>
        <v>3</v>
      </c>
      <c r="W115" s="508" t="str">
        <f t="shared" si="18"/>
        <v>2</v>
      </c>
      <c r="X115" s="508">
        <f t="shared" si="19"/>
        <v>0</v>
      </c>
      <c r="Y115" s="568">
        <f t="shared" si="20"/>
        <v>0.21008403283771865</v>
      </c>
      <c r="Z115" s="485" t="s">
        <v>200</v>
      </c>
      <c r="AA115" s="486" t="s">
        <v>223</v>
      </c>
      <c r="AB115" s="486" t="s">
        <v>1450</v>
      </c>
    </row>
    <row r="116" spans="1:28" ht="16.5">
      <c r="A116" s="501" t="s">
        <v>200</v>
      </c>
      <c r="B116" s="489" t="s">
        <v>1077</v>
      </c>
      <c r="C116" s="498" t="s">
        <v>996</v>
      </c>
      <c r="D116" s="502">
        <v>2.5000000000000001E-2</v>
      </c>
      <c r="E116" s="495" t="s">
        <v>1097</v>
      </c>
      <c r="F116" s="498">
        <v>78.400000000000006</v>
      </c>
      <c r="G116" s="498">
        <v>180</v>
      </c>
      <c r="H116" s="548">
        <v>0.43555555555555558</v>
      </c>
      <c r="I116" s="503">
        <v>19.872222222222227</v>
      </c>
      <c r="J116" s="498" t="s">
        <v>1366</v>
      </c>
      <c r="K116" s="489" t="s">
        <v>1429</v>
      </c>
      <c r="L116" s="489" t="s">
        <v>1431</v>
      </c>
      <c r="M116" s="498" t="s">
        <v>1212</v>
      </c>
      <c r="N116" s="495" t="s">
        <v>1224</v>
      </c>
      <c r="O116" s="489" t="s">
        <v>1392</v>
      </c>
      <c r="P116" s="495" t="s">
        <v>1255</v>
      </c>
      <c r="Q116" s="495" t="s">
        <v>1210</v>
      </c>
      <c r="R116" s="485" t="str">
        <f t="shared" si="13"/>
        <v>2</v>
      </c>
      <c r="S116" s="485" t="str">
        <f t="shared" si="14"/>
        <v>3</v>
      </c>
      <c r="T116" s="485" t="str">
        <f t="shared" si="15"/>
        <v>1</v>
      </c>
      <c r="U116" s="485" t="str">
        <f t="shared" si="16"/>
        <v>1</v>
      </c>
      <c r="V116" s="508" t="str">
        <f t="shared" si="17"/>
        <v>3</v>
      </c>
      <c r="W116" s="508" t="str">
        <f t="shared" si="18"/>
        <v>2</v>
      </c>
      <c r="X116" s="508">
        <f t="shared" si="19"/>
        <v>0</v>
      </c>
      <c r="Y116" s="568">
        <f t="shared" si="20"/>
        <v>0.21008403283771865</v>
      </c>
      <c r="Z116" s="485" t="s">
        <v>200</v>
      </c>
      <c r="AA116" s="486" t="s">
        <v>223</v>
      </c>
      <c r="AB116" s="486" t="s">
        <v>1450</v>
      </c>
    </row>
    <row r="117" spans="1:28">
      <c r="A117" s="501" t="s">
        <v>223</v>
      </c>
      <c r="B117" s="489" t="s">
        <v>1077</v>
      </c>
      <c r="C117" s="498" t="s">
        <v>596</v>
      </c>
      <c r="D117" s="502" t="s">
        <v>596</v>
      </c>
      <c r="E117" s="495" t="s">
        <v>1143</v>
      </c>
      <c r="F117" s="498" t="s">
        <v>596</v>
      </c>
      <c r="G117" s="498" t="s">
        <v>596</v>
      </c>
      <c r="H117" s="498" t="s">
        <v>596</v>
      </c>
      <c r="I117" s="503">
        <f>'Auswertung_neu (2)'!I129</f>
        <v>9.6029761904761894</v>
      </c>
      <c r="J117" s="498" t="s">
        <v>1168</v>
      </c>
      <c r="K117" s="489" t="s">
        <v>1210</v>
      </c>
      <c r="L117" s="495" t="s">
        <v>1210</v>
      </c>
      <c r="M117" s="495" t="s">
        <v>1210</v>
      </c>
      <c r="N117" s="495" t="s">
        <v>1210</v>
      </c>
      <c r="O117" s="495" t="s">
        <v>1210</v>
      </c>
      <c r="P117" s="495" t="s">
        <v>1210</v>
      </c>
      <c r="Q117" s="489" t="s">
        <v>1254</v>
      </c>
      <c r="R117" s="485">
        <f t="shared" si="13"/>
        <v>0</v>
      </c>
      <c r="S117" s="485">
        <f t="shared" si="14"/>
        <v>0</v>
      </c>
      <c r="T117" s="485">
        <f t="shared" si="15"/>
        <v>0</v>
      </c>
      <c r="U117" s="485">
        <f t="shared" si="16"/>
        <v>0</v>
      </c>
      <c r="V117" s="508">
        <f t="shared" si="17"/>
        <v>0</v>
      </c>
      <c r="W117" s="508">
        <f t="shared" si="18"/>
        <v>0</v>
      </c>
      <c r="X117" s="508" t="str">
        <f t="shared" si="19"/>
        <v>2</v>
      </c>
      <c r="Y117" s="568">
        <f t="shared" si="20"/>
        <v>0.2278929098260076</v>
      </c>
      <c r="Z117" s="485" t="s">
        <v>223</v>
      </c>
      <c r="AA117" s="486" t="s">
        <v>1460</v>
      </c>
      <c r="AB117" s="486" t="s">
        <v>1455</v>
      </c>
    </row>
    <row r="118" spans="1:28" ht="16.5">
      <c r="A118" s="501" t="s">
        <v>200</v>
      </c>
      <c r="B118" s="489" t="s">
        <v>1077</v>
      </c>
      <c r="C118" s="498" t="s">
        <v>198</v>
      </c>
      <c r="D118" s="502">
        <v>2.5000000000000001E-2</v>
      </c>
      <c r="E118" s="495" t="s">
        <v>1019</v>
      </c>
      <c r="F118" s="498">
        <v>37.200000000000003</v>
      </c>
      <c r="G118" s="498">
        <v>120</v>
      </c>
      <c r="H118" s="548">
        <v>0.31</v>
      </c>
      <c r="I118" s="503">
        <v>14.143750000000001</v>
      </c>
      <c r="J118" s="498" t="s">
        <v>1183</v>
      </c>
      <c r="K118" s="489" t="s">
        <v>1389</v>
      </c>
      <c r="L118" s="489" t="s">
        <v>1432</v>
      </c>
      <c r="M118" s="489" t="str">
        <f>CONCATENATE("2 - at least 30% (",F118,")")</f>
        <v>2 - at least 30% (37,2)</v>
      </c>
      <c r="N118" s="495" t="s">
        <v>1224</v>
      </c>
      <c r="O118" s="489" t="s">
        <v>1390</v>
      </c>
      <c r="P118" s="495" t="s">
        <v>1255</v>
      </c>
      <c r="Q118" s="495" t="s">
        <v>1210</v>
      </c>
      <c r="R118" s="485" t="str">
        <f t="shared" si="13"/>
        <v>2</v>
      </c>
      <c r="S118" s="485" t="str">
        <f t="shared" si="14"/>
        <v>2</v>
      </c>
      <c r="T118" s="485" t="str">
        <f t="shared" si="15"/>
        <v>2</v>
      </c>
      <c r="U118" s="485" t="str">
        <f t="shared" si="16"/>
        <v>1</v>
      </c>
      <c r="V118" s="508" t="str">
        <f t="shared" si="17"/>
        <v>3</v>
      </c>
      <c r="W118" s="508" t="str">
        <f t="shared" si="18"/>
        <v>2</v>
      </c>
      <c r="X118" s="508">
        <f t="shared" si="19"/>
        <v>0</v>
      </c>
      <c r="Y118" s="568">
        <f t="shared" si="20"/>
        <v>0.24658244830929238</v>
      </c>
      <c r="Z118" s="485" t="s">
        <v>200</v>
      </c>
      <c r="AA118" s="486" t="s">
        <v>223</v>
      </c>
      <c r="AB118" s="486" t="s">
        <v>1450</v>
      </c>
    </row>
    <row r="119" spans="1:28" ht="16.5">
      <c r="A119" s="501" t="s">
        <v>200</v>
      </c>
      <c r="B119" s="489" t="s">
        <v>1077</v>
      </c>
      <c r="C119" s="498" t="s">
        <v>198</v>
      </c>
      <c r="D119" s="502">
        <v>2.5000000000000001E-2</v>
      </c>
      <c r="E119" s="495" t="s">
        <v>1019</v>
      </c>
      <c r="F119" s="498">
        <v>90.47</v>
      </c>
      <c r="G119" s="498">
        <v>210</v>
      </c>
      <c r="H119" s="548">
        <v>0.43080952380952381</v>
      </c>
      <c r="I119" s="503">
        <v>19.655684523809523</v>
      </c>
      <c r="J119" s="498" t="s">
        <v>1183</v>
      </c>
      <c r="K119" s="489" t="s">
        <v>1389</v>
      </c>
      <c r="L119" s="489" t="s">
        <v>1432</v>
      </c>
      <c r="M119" s="498" t="s">
        <v>1212</v>
      </c>
      <c r="N119" s="495" t="s">
        <v>1224</v>
      </c>
      <c r="O119" s="489" t="s">
        <v>1390</v>
      </c>
      <c r="P119" s="495" t="s">
        <v>1255</v>
      </c>
      <c r="Q119" s="495" t="s">
        <v>1210</v>
      </c>
      <c r="R119" s="485" t="str">
        <f t="shared" si="13"/>
        <v>2</v>
      </c>
      <c r="S119" s="485" t="str">
        <f t="shared" si="14"/>
        <v>2</v>
      </c>
      <c r="T119" s="485" t="str">
        <f t="shared" si="15"/>
        <v>1</v>
      </c>
      <c r="U119" s="485" t="str">
        <f t="shared" si="16"/>
        <v>1</v>
      </c>
      <c r="V119" s="508" t="str">
        <f t="shared" si="17"/>
        <v>3</v>
      </c>
      <c r="W119" s="508" t="str">
        <f t="shared" si="18"/>
        <v>2</v>
      </c>
      <c r="X119" s="508">
        <f t="shared" si="19"/>
        <v>0</v>
      </c>
      <c r="Y119" s="568">
        <f t="shared" si="20"/>
        <v>0.21013632669534218</v>
      </c>
      <c r="Z119" s="485" t="s">
        <v>200</v>
      </c>
      <c r="AA119" s="486" t="s">
        <v>200</v>
      </c>
      <c r="AB119" s="486" t="s">
        <v>1448</v>
      </c>
    </row>
    <row r="120" spans="1:28" s="493" customFormat="1">
      <c r="A120" s="501" t="s">
        <v>223</v>
      </c>
      <c r="B120" s="495" t="s">
        <v>773</v>
      </c>
      <c r="C120" s="498" t="s">
        <v>596</v>
      </c>
      <c r="D120" s="502" t="s">
        <v>596</v>
      </c>
      <c r="E120" s="495" t="s">
        <v>1146</v>
      </c>
      <c r="F120" s="498" t="s">
        <v>596</v>
      </c>
      <c r="G120" s="498" t="s">
        <v>596</v>
      </c>
      <c r="H120" s="498" t="s">
        <v>596</v>
      </c>
      <c r="I120" s="503">
        <f>'Auswertung_neu (2)'!I110</f>
        <v>5.1750000000000123</v>
      </c>
      <c r="J120" s="498" t="s">
        <v>1168</v>
      </c>
      <c r="K120" s="489" t="s">
        <v>1210</v>
      </c>
      <c r="L120" s="495" t="s">
        <v>1210</v>
      </c>
      <c r="M120" s="495" t="s">
        <v>1210</v>
      </c>
      <c r="N120" s="495" t="s">
        <v>1210</v>
      </c>
      <c r="O120" s="495" t="s">
        <v>1210</v>
      </c>
      <c r="P120" s="495" t="s">
        <v>1210</v>
      </c>
      <c r="Q120" s="498" t="s">
        <v>1254</v>
      </c>
      <c r="R120" s="485">
        <f t="shared" si="13"/>
        <v>0</v>
      </c>
      <c r="S120" s="485">
        <f t="shared" si="14"/>
        <v>0</v>
      </c>
      <c r="T120" s="485">
        <f t="shared" si="15"/>
        <v>0</v>
      </c>
      <c r="U120" s="485">
        <f t="shared" si="16"/>
        <v>0</v>
      </c>
      <c r="V120" s="508">
        <f t="shared" si="17"/>
        <v>0</v>
      </c>
      <c r="W120" s="508">
        <f t="shared" si="18"/>
        <v>0</v>
      </c>
      <c r="X120" s="508" t="str">
        <f t="shared" si="19"/>
        <v>2</v>
      </c>
      <c r="Y120" s="568">
        <f t="shared" si="20"/>
        <v>0.2278929098260076</v>
      </c>
      <c r="Z120" s="485" t="s">
        <v>223</v>
      </c>
      <c r="AA120" s="486" t="s">
        <v>1459</v>
      </c>
      <c r="AB120" s="486" t="s">
        <v>1445</v>
      </c>
    </row>
    <row r="121" spans="1:28" s="493" customFormat="1">
      <c r="A121" s="494" t="s">
        <v>200</v>
      </c>
      <c r="B121" s="489" t="s">
        <v>773</v>
      </c>
      <c r="C121" s="489" t="s">
        <v>476</v>
      </c>
      <c r="D121" s="490">
        <v>1.5</v>
      </c>
      <c r="E121" s="495" t="s">
        <v>1097</v>
      </c>
      <c r="F121" s="489">
        <v>0.69</v>
      </c>
      <c r="G121" s="489">
        <v>365</v>
      </c>
      <c r="H121" s="491">
        <v>1.8904109589041095E-3</v>
      </c>
      <c r="I121" s="491">
        <v>5.1750000000000123</v>
      </c>
      <c r="J121" s="489" t="s">
        <v>1062</v>
      </c>
      <c r="K121" s="564" t="s">
        <v>1209</v>
      </c>
      <c r="L121" s="504" t="s">
        <v>1211</v>
      </c>
      <c r="M121" s="498" t="s">
        <v>1215</v>
      </c>
      <c r="N121" s="498" t="s">
        <v>1238</v>
      </c>
      <c r="O121" s="495" t="s">
        <v>1282</v>
      </c>
      <c r="P121" s="495" t="s">
        <v>1293</v>
      </c>
      <c r="Q121" s="495" t="s">
        <v>1210</v>
      </c>
      <c r="R121" s="485" t="str">
        <f t="shared" si="13"/>
        <v>1</v>
      </c>
      <c r="S121" s="485" t="str">
        <f t="shared" si="14"/>
        <v>1</v>
      </c>
      <c r="T121" s="485" t="str">
        <f t="shared" si="15"/>
        <v>4</v>
      </c>
      <c r="U121" s="485" t="str">
        <f t="shared" si="16"/>
        <v>3</v>
      </c>
      <c r="V121" s="508" t="str">
        <f t="shared" si="17"/>
        <v>3</v>
      </c>
      <c r="W121" s="508" t="str">
        <f t="shared" si="18"/>
        <v>3</v>
      </c>
      <c r="X121" s="508">
        <f t="shared" si="19"/>
        <v>0</v>
      </c>
      <c r="Y121" s="568">
        <f t="shared" si="20"/>
        <v>1.3208557064418265</v>
      </c>
      <c r="Z121" s="485" t="s">
        <v>200</v>
      </c>
      <c r="AA121" s="486" t="s">
        <v>200</v>
      </c>
      <c r="AB121" s="486" t="s">
        <v>1449</v>
      </c>
    </row>
    <row r="122" spans="1:28" s="493" customFormat="1">
      <c r="A122" s="501" t="s">
        <v>223</v>
      </c>
      <c r="B122" s="495" t="s">
        <v>773</v>
      </c>
      <c r="C122" s="498" t="s">
        <v>596</v>
      </c>
      <c r="D122" s="502" t="s">
        <v>596</v>
      </c>
      <c r="E122" s="495" t="s">
        <v>1143</v>
      </c>
      <c r="F122" s="498" t="s">
        <v>596</v>
      </c>
      <c r="G122" s="498" t="s">
        <v>596</v>
      </c>
      <c r="H122" s="498" t="s">
        <v>596</v>
      </c>
      <c r="I122" s="503">
        <f>'Auswertung_neu (2)'!I109</f>
        <v>5.1750000000000123</v>
      </c>
      <c r="J122" s="498" t="s">
        <v>1168</v>
      </c>
      <c r="K122" s="489" t="s">
        <v>1210</v>
      </c>
      <c r="L122" s="495" t="s">
        <v>1210</v>
      </c>
      <c r="M122" s="495" t="s">
        <v>1210</v>
      </c>
      <c r="N122" s="495" t="s">
        <v>1210</v>
      </c>
      <c r="O122" s="495" t="s">
        <v>1210</v>
      </c>
      <c r="P122" s="495" t="s">
        <v>1210</v>
      </c>
      <c r="Q122" s="498" t="s">
        <v>1254</v>
      </c>
      <c r="R122" s="485">
        <f t="shared" si="13"/>
        <v>0</v>
      </c>
      <c r="S122" s="485">
        <f t="shared" si="14"/>
        <v>0</v>
      </c>
      <c r="T122" s="485">
        <f t="shared" si="15"/>
        <v>0</v>
      </c>
      <c r="U122" s="485">
        <f t="shared" si="16"/>
        <v>0</v>
      </c>
      <c r="V122" s="508">
        <f t="shared" si="17"/>
        <v>0</v>
      </c>
      <c r="W122" s="508">
        <f t="shared" si="18"/>
        <v>0</v>
      </c>
      <c r="X122" s="508" t="str">
        <f t="shared" si="19"/>
        <v>2</v>
      </c>
      <c r="Y122" s="568">
        <f t="shared" si="20"/>
        <v>0.2278929098260076</v>
      </c>
      <c r="Z122" s="485" t="s">
        <v>223</v>
      </c>
      <c r="AA122" s="486" t="s">
        <v>1459</v>
      </c>
      <c r="AB122" s="486" t="s">
        <v>1445</v>
      </c>
    </row>
    <row r="123" spans="1:28" s="493" customFormat="1">
      <c r="A123" s="501" t="s">
        <v>223</v>
      </c>
      <c r="B123" s="495" t="s">
        <v>773</v>
      </c>
      <c r="C123" s="498" t="s">
        <v>596</v>
      </c>
      <c r="D123" s="502" t="s">
        <v>596</v>
      </c>
      <c r="E123" s="495" t="s">
        <v>1019</v>
      </c>
      <c r="F123" s="498" t="s">
        <v>596</v>
      </c>
      <c r="G123" s="498" t="s">
        <v>596</v>
      </c>
      <c r="H123" s="498" t="s">
        <v>596</v>
      </c>
      <c r="I123" s="503">
        <f>'Auswertung_neu (2)'!I108</f>
        <v>5.1750000000000123</v>
      </c>
      <c r="J123" s="498" t="s">
        <v>1168</v>
      </c>
      <c r="K123" s="489" t="s">
        <v>1210</v>
      </c>
      <c r="L123" s="495" t="s">
        <v>1210</v>
      </c>
      <c r="M123" s="495" t="s">
        <v>1210</v>
      </c>
      <c r="N123" s="495" t="s">
        <v>1210</v>
      </c>
      <c r="O123" s="495" t="s">
        <v>1210</v>
      </c>
      <c r="P123" s="495" t="s">
        <v>1210</v>
      </c>
      <c r="Q123" s="498" t="s">
        <v>1254</v>
      </c>
      <c r="R123" s="485">
        <f t="shared" si="13"/>
        <v>0</v>
      </c>
      <c r="S123" s="485">
        <f t="shared" si="14"/>
        <v>0</v>
      </c>
      <c r="T123" s="485">
        <f t="shared" si="15"/>
        <v>0</v>
      </c>
      <c r="U123" s="485">
        <f t="shared" si="16"/>
        <v>0</v>
      </c>
      <c r="V123" s="508">
        <f t="shared" si="17"/>
        <v>0</v>
      </c>
      <c r="W123" s="508">
        <f t="shared" si="18"/>
        <v>0</v>
      </c>
      <c r="X123" s="508" t="str">
        <f t="shared" si="19"/>
        <v>2</v>
      </c>
      <c r="Y123" s="568">
        <f t="shared" si="20"/>
        <v>0.2278929098260076</v>
      </c>
      <c r="Z123" s="485" t="s">
        <v>223</v>
      </c>
      <c r="AA123" s="486" t="s">
        <v>1459</v>
      </c>
      <c r="AB123" s="486" t="s">
        <v>1445</v>
      </c>
    </row>
    <row r="124" spans="1:28">
      <c r="A124" s="494" t="s">
        <v>200</v>
      </c>
      <c r="B124" s="495" t="s">
        <v>48</v>
      </c>
      <c r="C124" s="495" t="s">
        <v>428</v>
      </c>
      <c r="D124" s="496">
        <v>0.06</v>
      </c>
      <c r="E124" s="495" t="s">
        <v>1147</v>
      </c>
      <c r="F124" s="495">
        <v>39</v>
      </c>
      <c r="G124" s="495">
        <v>294</v>
      </c>
      <c r="H124" s="497">
        <v>0.1326530612244898</v>
      </c>
      <c r="I124" s="497">
        <v>14.52551020408163</v>
      </c>
      <c r="J124" s="495" t="s">
        <v>434</v>
      </c>
      <c r="K124" s="564" t="s">
        <v>1209</v>
      </c>
      <c r="L124" s="505" t="s">
        <v>1211</v>
      </c>
      <c r="M124" s="498" t="s">
        <v>1213</v>
      </c>
      <c r="N124" s="498" t="s">
        <v>1224</v>
      </c>
      <c r="O124" s="489" t="s">
        <v>1297</v>
      </c>
      <c r="P124" s="495" t="s">
        <v>1293</v>
      </c>
      <c r="Q124" s="495" t="s">
        <v>1210</v>
      </c>
      <c r="R124" s="485" t="str">
        <f t="shared" si="13"/>
        <v>1</v>
      </c>
      <c r="S124" s="485" t="str">
        <f t="shared" si="14"/>
        <v>1</v>
      </c>
      <c r="T124" s="485" t="str">
        <f t="shared" si="15"/>
        <v>2</v>
      </c>
      <c r="U124" s="485" t="str">
        <f t="shared" si="16"/>
        <v>1</v>
      </c>
      <c r="V124" s="508" t="str">
        <f t="shared" si="17"/>
        <v>2</v>
      </c>
      <c r="W124" s="508" t="str">
        <f t="shared" si="18"/>
        <v>3</v>
      </c>
      <c r="X124" s="508">
        <f t="shared" si="19"/>
        <v>0</v>
      </c>
      <c r="Y124" s="568">
        <f t="shared" si="20"/>
        <v>0.43810159818879568</v>
      </c>
      <c r="Z124" s="485" t="s">
        <v>200</v>
      </c>
      <c r="AA124" s="486" t="s">
        <v>223</v>
      </c>
      <c r="AB124" s="486" t="s">
        <v>1451</v>
      </c>
    </row>
    <row r="125" spans="1:28">
      <c r="A125" s="494" t="s">
        <v>200</v>
      </c>
      <c r="B125" s="495" t="s">
        <v>48</v>
      </c>
      <c r="C125" s="495" t="s">
        <v>198</v>
      </c>
      <c r="D125" s="496">
        <v>0.1</v>
      </c>
      <c r="E125" s="495" t="s">
        <v>1147</v>
      </c>
      <c r="F125" s="495">
        <v>75</v>
      </c>
      <c r="G125" s="495">
        <v>28</v>
      </c>
      <c r="H125" s="497">
        <v>2.6785714285714284</v>
      </c>
      <c r="I125" s="497">
        <v>488.83928571428578</v>
      </c>
      <c r="J125" s="495" t="s">
        <v>699</v>
      </c>
      <c r="K125" s="564" t="s">
        <v>1209</v>
      </c>
      <c r="L125" s="506" t="s">
        <v>1217</v>
      </c>
      <c r="M125" s="498" t="s">
        <v>1212</v>
      </c>
      <c r="N125" s="495" t="s">
        <v>1241</v>
      </c>
      <c r="O125" s="489" t="s">
        <v>1305</v>
      </c>
      <c r="P125" s="495" t="s">
        <v>1223</v>
      </c>
      <c r="Q125" s="495" t="s">
        <v>1210</v>
      </c>
      <c r="R125" s="485" t="str">
        <f t="shared" si="13"/>
        <v>1</v>
      </c>
      <c r="S125" s="485" t="str">
        <f t="shared" si="14"/>
        <v>2</v>
      </c>
      <c r="T125" s="485" t="str">
        <f t="shared" si="15"/>
        <v>1</v>
      </c>
      <c r="U125" s="485" t="str">
        <f t="shared" si="16"/>
        <v>4</v>
      </c>
      <c r="V125" s="508" t="str">
        <f t="shared" si="17"/>
        <v>2</v>
      </c>
      <c r="W125" s="508" t="str">
        <f t="shared" si="18"/>
        <v>2</v>
      </c>
      <c r="X125" s="508">
        <f t="shared" si="19"/>
        <v>0</v>
      </c>
      <c r="Y125" s="568">
        <f t="shared" si="20"/>
        <v>0.18435908249980643</v>
      </c>
      <c r="Z125" s="485" t="s">
        <v>200</v>
      </c>
      <c r="AA125" s="486" t="s">
        <v>223</v>
      </c>
      <c r="AB125" s="486" t="s">
        <v>1451</v>
      </c>
    </row>
    <row r="126" spans="1:28">
      <c r="A126" s="494" t="s">
        <v>200</v>
      </c>
      <c r="B126" s="495" t="s">
        <v>48</v>
      </c>
      <c r="C126" s="495" t="s">
        <v>198</v>
      </c>
      <c r="D126" s="496">
        <v>0.1</v>
      </c>
      <c r="E126" s="495" t="s">
        <v>1147</v>
      </c>
      <c r="F126" s="495">
        <v>77</v>
      </c>
      <c r="G126" s="495">
        <v>28</v>
      </c>
      <c r="H126" s="497">
        <v>2.75</v>
      </c>
      <c r="I126" s="497">
        <v>501.87500000000006</v>
      </c>
      <c r="J126" s="495" t="s">
        <v>699</v>
      </c>
      <c r="K126" s="564" t="s">
        <v>1209</v>
      </c>
      <c r="L126" s="506" t="s">
        <v>1217</v>
      </c>
      <c r="M126" s="498" t="s">
        <v>1212</v>
      </c>
      <c r="N126" s="495" t="s">
        <v>1241</v>
      </c>
      <c r="O126" s="489" t="s">
        <v>1305</v>
      </c>
      <c r="P126" s="495" t="s">
        <v>1223</v>
      </c>
      <c r="Q126" s="495" t="s">
        <v>1210</v>
      </c>
      <c r="R126" s="485" t="str">
        <f t="shared" si="13"/>
        <v>1</v>
      </c>
      <c r="S126" s="485" t="str">
        <f t="shared" si="14"/>
        <v>2</v>
      </c>
      <c r="T126" s="485" t="str">
        <f t="shared" si="15"/>
        <v>1</v>
      </c>
      <c r="U126" s="485" t="str">
        <f t="shared" si="16"/>
        <v>4</v>
      </c>
      <c r="V126" s="508" t="str">
        <f t="shared" si="17"/>
        <v>2</v>
      </c>
      <c r="W126" s="508" t="str">
        <f t="shared" si="18"/>
        <v>2</v>
      </c>
      <c r="X126" s="508">
        <f t="shared" si="19"/>
        <v>0</v>
      </c>
      <c r="Y126" s="568">
        <f t="shared" si="20"/>
        <v>0.18435908249980643</v>
      </c>
      <c r="Z126" s="485" t="s">
        <v>200</v>
      </c>
      <c r="AA126" s="486" t="s">
        <v>223</v>
      </c>
      <c r="AB126" s="486" t="s">
        <v>1451</v>
      </c>
    </row>
    <row r="127" spans="1:28">
      <c r="A127" s="494" t="s">
        <v>200</v>
      </c>
      <c r="B127" s="495" t="s">
        <v>48</v>
      </c>
      <c r="C127" s="495" t="s">
        <v>198</v>
      </c>
      <c r="D127" s="496">
        <v>0.1</v>
      </c>
      <c r="E127" s="495" t="s">
        <v>1147</v>
      </c>
      <c r="F127" s="495">
        <v>100</v>
      </c>
      <c r="G127" s="495">
        <v>28</v>
      </c>
      <c r="H127" s="497">
        <v>3.5714285714285716</v>
      </c>
      <c r="I127" s="497">
        <v>651.78571428571445</v>
      </c>
      <c r="J127" s="495" t="s">
        <v>699</v>
      </c>
      <c r="K127" s="564" t="s">
        <v>1209</v>
      </c>
      <c r="L127" s="506" t="s">
        <v>1217</v>
      </c>
      <c r="M127" s="498" t="s">
        <v>1212</v>
      </c>
      <c r="N127" s="495" t="s">
        <v>1241</v>
      </c>
      <c r="O127" s="489" t="s">
        <v>1305</v>
      </c>
      <c r="P127" s="495" t="s">
        <v>1293</v>
      </c>
      <c r="Q127" s="495" t="s">
        <v>1210</v>
      </c>
      <c r="R127" s="485" t="str">
        <f t="shared" si="13"/>
        <v>1</v>
      </c>
      <c r="S127" s="485" t="str">
        <f t="shared" si="14"/>
        <v>2</v>
      </c>
      <c r="T127" s="485" t="str">
        <f t="shared" si="15"/>
        <v>1</v>
      </c>
      <c r="U127" s="485" t="str">
        <f t="shared" si="16"/>
        <v>4</v>
      </c>
      <c r="V127" s="508" t="str">
        <f t="shared" si="17"/>
        <v>2</v>
      </c>
      <c r="W127" s="508" t="str">
        <f t="shared" si="18"/>
        <v>3</v>
      </c>
      <c r="X127" s="508">
        <f t="shared" si="19"/>
        <v>0</v>
      </c>
      <c r="Y127" s="568">
        <f t="shared" si="20"/>
        <v>0.43095834542209543</v>
      </c>
      <c r="Z127" s="485" t="s">
        <v>200</v>
      </c>
      <c r="AA127" s="486" t="s">
        <v>223</v>
      </c>
      <c r="AB127" s="486" t="s">
        <v>1451</v>
      </c>
    </row>
    <row r="128" spans="1:28">
      <c r="A128" s="494" t="s">
        <v>200</v>
      </c>
      <c r="B128" s="495" t="s">
        <v>48</v>
      </c>
      <c r="C128" s="495" t="s">
        <v>198</v>
      </c>
      <c r="D128" s="496">
        <v>0.1</v>
      </c>
      <c r="E128" s="495" t="s">
        <v>1147</v>
      </c>
      <c r="F128" s="495">
        <v>100</v>
      </c>
      <c r="G128" s="495">
        <v>28</v>
      </c>
      <c r="H128" s="497">
        <v>3.5714285714285716</v>
      </c>
      <c r="I128" s="497">
        <v>651.78571428571445</v>
      </c>
      <c r="J128" s="495" t="s">
        <v>699</v>
      </c>
      <c r="K128" s="564" t="s">
        <v>1209</v>
      </c>
      <c r="L128" s="506" t="s">
        <v>1217</v>
      </c>
      <c r="M128" s="498" t="s">
        <v>1212</v>
      </c>
      <c r="N128" s="495" t="s">
        <v>1241</v>
      </c>
      <c r="O128" s="489" t="s">
        <v>1305</v>
      </c>
      <c r="P128" s="495" t="s">
        <v>1293</v>
      </c>
      <c r="Q128" s="495" t="s">
        <v>1210</v>
      </c>
      <c r="R128" s="485" t="str">
        <f t="shared" si="13"/>
        <v>1</v>
      </c>
      <c r="S128" s="485" t="str">
        <f t="shared" si="14"/>
        <v>2</v>
      </c>
      <c r="T128" s="485" t="str">
        <f t="shared" si="15"/>
        <v>1</v>
      </c>
      <c r="U128" s="485" t="str">
        <f t="shared" si="16"/>
        <v>4</v>
      </c>
      <c r="V128" s="508" t="str">
        <f t="shared" si="17"/>
        <v>2</v>
      </c>
      <c r="W128" s="508" t="str">
        <f t="shared" si="18"/>
        <v>3</v>
      </c>
      <c r="X128" s="508">
        <f t="shared" si="19"/>
        <v>0</v>
      </c>
      <c r="Y128" s="568">
        <f t="shared" si="20"/>
        <v>0.43095834542209543</v>
      </c>
      <c r="Z128" s="485" t="s">
        <v>200</v>
      </c>
      <c r="AA128" s="486" t="s">
        <v>223</v>
      </c>
      <c r="AB128" s="486" t="s">
        <v>1451</v>
      </c>
    </row>
    <row r="129" spans="1:28">
      <c r="A129" s="501" t="s">
        <v>223</v>
      </c>
      <c r="B129" s="495" t="s">
        <v>48</v>
      </c>
      <c r="C129" s="498" t="s">
        <v>596</v>
      </c>
      <c r="D129" s="502" t="s">
        <v>596</v>
      </c>
      <c r="E129" s="495" t="s">
        <v>1146</v>
      </c>
      <c r="F129" s="498" t="s">
        <v>596</v>
      </c>
      <c r="G129" s="498" t="s">
        <v>596</v>
      </c>
      <c r="H129" s="498" t="s">
        <v>596</v>
      </c>
      <c r="I129" s="503">
        <v>439.96</v>
      </c>
      <c r="J129" s="498" t="s">
        <v>1168</v>
      </c>
      <c r="K129" s="489" t="s">
        <v>1210</v>
      </c>
      <c r="L129" s="495" t="s">
        <v>1210</v>
      </c>
      <c r="M129" s="495" t="s">
        <v>1210</v>
      </c>
      <c r="N129" s="495" t="s">
        <v>1210</v>
      </c>
      <c r="O129" s="495" t="s">
        <v>1210</v>
      </c>
      <c r="P129" s="495" t="s">
        <v>1210</v>
      </c>
      <c r="Q129" s="498" t="s">
        <v>1254</v>
      </c>
      <c r="R129" s="485">
        <f t="shared" si="13"/>
        <v>0</v>
      </c>
      <c r="S129" s="485">
        <f t="shared" si="14"/>
        <v>0</v>
      </c>
      <c r="T129" s="485">
        <f t="shared" si="15"/>
        <v>0</v>
      </c>
      <c r="U129" s="485">
        <f t="shared" si="16"/>
        <v>0</v>
      </c>
      <c r="V129" s="508">
        <f t="shared" si="17"/>
        <v>0</v>
      </c>
      <c r="W129" s="508">
        <f t="shared" si="18"/>
        <v>0</v>
      </c>
      <c r="X129" s="508" t="str">
        <f t="shared" si="19"/>
        <v>2</v>
      </c>
      <c r="Y129" s="568">
        <f t="shared" si="20"/>
        <v>0.2278929098260076</v>
      </c>
      <c r="Z129" s="485" t="s">
        <v>223</v>
      </c>
      <c r="AA129" s="486" t="s">
        <v>1459</v>
      </c>
      <c r="AB129" s="486" t="s">
        <v>1445</v>
      </c>
    </row>
    <row r="130" spans="1:28" ht="16.5">
      <c r="A130" s="494" t="s">
        <v>200</v>
      </c>
      <c r="B130" s="495" t="s">
        <v>48</v>
      </c>
      <c r="C130" s="495" t="s">
        <v>996</v>
      </c>
      <c r="D130" s="496">
        <v>0.1</v>
      </c>
      <c r="E130" s="495" t="s">
        <v>1097</v>
      </c>
      <c r="F130" s="495">
        <v>14</v>
      </c>
      <c r="G130" s="495">
        <v>28</v>
      </c>
      <c r="H130" s="497">
        <v>0.5</v>
      </c>
      <c r="I130" s="497">
        <v>91.250000000000014</v>
      </c>
      <c r="J130" s="495" t="s">
        <v>1310</v>
      </c>
      <c r="K130" s="564" t="s">
        <v>1404</v>
      </c>
      <c r="L130" s="506" t="s">
        <v>1217</v>
      </c>
      <c r="M130" s="498" t="s">
        <v>1405</v>
      </c>
      <c r="N130" s="498" t="s">
        <v>1224</v>
      </c>
      <c r="O130" s="489" t="s">
        <v>1304</v>
      </c>
      <c r="P130" s="495" t="s">
        <v>1255</v>
      </c>
      <c r="Q130" s="495" t="s">
        <v>1210</v>
      </c>
      <c r="R130" s="485" t="str">
        <f t="shared" si="13"/>
        <v>3</v>
      </c>
      <c r="S130" s="485" t="str">
        <f t="shared" si="14"/>
        <v>2</v>
      </c>
      <c r="T130" s="485" t="str">
        <f t="shared" si="15"/>
        <v>3</v>
      </c>
      <c r="U130" s="485" t="str">
        <f t="shared" si="16"/>
        <v>1</v>
      </c>
      <c r="V130" s="508" t="str">
        <f t="shared" si="17"/>
        <v>2</v>
      </c>
      <c r="W130" s="508" t="str">
        <f t="shared" si="18"/>
        <v>2</v>
      </c>
      <c r="X130" s="508">
        <f t="shared" si="19"/>
        <v>0</v>
      </c>
      <c r="Y130" s="568">
        <f t="shared" si="20"/>
        <v>0.48355796553565972</v>
      </c>
      <c r="Z130" s="485" t="s">
        <v>200</v>
      </c>
      <c r="AA130" s="486" t="s">
        <v>223</v>
      </c>
      <c r="AB130" s="486" t="s">
        <v>1450</v>
      </c>
    </row>
    <row r="131" spans="1:28">
      <c r="A131" s="494" t="s">
        <v>200</v>
      </c>
      <c r="B131" s="489" t="s">
        <v>48</v>
      </c>
      <c r="C131" s="489" t="s">
        <v>198</v>
      </c>
      <c r="D131" s="490">
        <v>0.1</v>
      </c>
      <c r="E131" s="495" t="s">
        <v>1097</v>
      </c>
      <c r="F131" s="489">
        <v>56</v>
      </c>
      <c r="G131" s="489">
        <v>28</v>
      </c>
      <c r="H131" s="491">
        <v>2</v>
      </c>
      <c r="I131" s="491">
        <v>365.00000000000006</v>
      </c>
      <c r="J131" s="489" t="s">
        <v>699</v>
      </c>
      <c r="K131" s="564" t="s">
        <v>1209</v>
      </c>
      <c r="L131" s="506" t="s">
        <v>1217</v>
      </c>
      <c r="M131" s="498" t="s">
        <v>1212</v>
      </c>
      <c r="N131" s="495" t="s">
        <v>1241</v>
      </c>
      <c r="O131" s="489" t="s">
        <v>1306</v>
      </c>
      <c r="P131" s="495" t="s">
        <v>1223</v>
      </c>
      <c r="Q131" s="495" t="s">
        <v>1210</v>
      </c>
      <c r="R131" s="485" t="str">
        <f t="shared" si="13"/>
        <v>1</v>
      </c>
      <c r="S131" s="485" t="str">
        <f t="shared" si="14"/>
        <v>2</v>
      </c>
      <c r="T131" s="485" t="str">
        <f t="shared" si="15"/>
        <v>1</v>
      </c>
      <c r="U131" s="485" t="str">
        <f t="shared" si="16"/>
        <v>4</v>
      </c>
      <c r="V131" s="508" t="str">
        <f t="shared" si="17"/>
        <v>2</v>
      </c>
      <c r="W131" s="508" t="str">
        <f t="shared" si="18"/>
        <v>2</v>
      </c>
      <c r="X131" s="508">
        <f t="shared" si="19"/>
        <v>0</v>
      </c>
      <c r="Y131" s="568">
        <f t="shared" si="20"/>
        <v>0.18435908249980643</v>
      </c>
      <c r="Z131" s="485" t="s">
        <v>200</v>
      </c>
      <c r="AA131" s="486" t="s">
        <v>1447</v>
      </c>
      <c r="AB131" s="486" t="s">
        <v>1447</v>
      </c>
    </row>
    <row r="132" spans="1:28">
      <c r="A132" s="494" t="s">
        <v>200</v>
      </c>
      <c r="B132" s="489" t="s">
        <v>48</v>
      </c>
      <c r="C132" s="489" t="s">
        <v>198</v>
      </c>
      <c r="D132" s="490">
        <v>0.1</v>
      </c>
      <c r="E132" s="495" t="s">
        <v>1097</v>
      </c>
      <c r="F132" s="489">
        <v>67</v>
      </c>
      <c r="G132" s="489">
        <v>28</v>
      </c>
      <c r="H132" s="491">
        <v>2.3928571428571428</v>
      </c>
      <c r="I132" s="491">
        <v>436.69642857142856</v>
      </c>
      <c r="J132" s="489" t="s">
        <v>699</v>
      </c>
      <c r="K132" s="564" t="s">
        <v>1209</v>
      </c>
      <c r="L132" s="506" t="s">
        <v>1217</v>
      </c>
      <c r="M132" s="498" t="s">
        <v>1212</v>
      </c>
      <c r="N132" s="495" t="s">
        <v>1241</v>
      </c>
      <c r="O132" s="489" t="s">
        <v>1306</v>
      </c>
      <c r="P132" s="495" t="s">
        <v>1293</v>
      </c>
      <c r="Q132" s="495" t="s">
        <v>1210</v>
      </c>
      <c r="R132" s="485" t="str">
        <f t="shared" si="13"/>
        <v>1</v>
      </c>
      <c r="S132" s="485" t="str">
        <f t="shared" si="14"/>
        <v>2</v>
      </c>
      <c r="T132" s="485" t="str">
        <f t="shared" si="15"/>
        <v>1</v>
      </c>
      <c r="U132" s="485" t="str">
        <f t="shared" si="16"/>
        <v>4</v>
      </c>
      <c r="V132" s="508" t="str">
        <f t="shared" si="17"/>
        <v>2</v>
      </c>
      <c r="W132" s="508" t="str">
        <f t="shared" si="18"/>
        <v>3</v>
      </c>
      <c r="X132" s="508">
        <f t="shared" si="19"/>
        <v>0</v>
      </c>
      <c r="Y132" s="568">
        <f t="shared" si="20"/>
        <v>0.43095834542209543</v>
      </c>
      <c r="Z132" s="485" t="s">
        <v>200</v>
      </c>
      <c r="AA132" s="486" t="s">
        <v>223</v>
      </c>
      <c r="AB132" s="486" t="s">
        <v>1450</v>
      </c>
    </row>
    <row r="133" spans="1:28">
      <c r="A133" s="494" t="s">
        <v>200</v>
      </c>
      <c r="B133" s="489" t="s">
        <v>48</v>
      </c>
      <c r="C133" s="489" t="s">
        <v>198</v>
      </c>
      <c r="D133" s="490">
        <v>0.1</v>
      </c>
      <c r="E133" s="495" t="s">
        <v>1097</v>
      </c>
      <c r="F133" s="489">
        <v>79</v>
      </c>
      <c r="G133" s="489">
        <v>28</v>
      </c>
      <c r="H133" s="491">
        <v>2.8214285714285716</v>
      </c>
      <c r="I133" s="491">
        <v>514.91071428571433</v>
      </c>
      <c r="J133" s="489" t="s">
        <v>699</v>
      </c>
      <c r="K133" s="564" t="s">
        <v>1209</v>
      </c>
      <c r="L133" s="506" t="s">
        <v>1217</v>
      </c>
      <c r="M133" s="498" t="s">
        <v>1212</v>
      </c>
      <c r="N133" s="495" t="s">
        <v>1241</v>
      </c>
      <c r="O133" s="489" t="s">
        <v>1306</v>
      </c>
      <c r="P133" s="495" t="s">
        <v>1223</v>
      </c>
      <c r="Q133" s="495" t="s">
        <v>1210</v>
      </c>
      <c r="R133" s="485" t="str">
        <f t="shared" si="13"/>
        <v>1</v>
      </c>
      <c r="S133" s="485" t="str">
        <f t="shared" si="14"/>
        <v>2</v>
      </c>
      <c r="T133" s="485" t="str">
        <f t="shared" si="15"/>
        <v>1</v>
      </c>
      <c r="U133" s="485" t="str">
        <f t="shared" si="16"/>
        <v>4</v>
      </c>
      <c r="V133" s="508" t="str">
        <f t="shared" si="17"/>
        <v>2</v>
      </c>
      <c r="W133" s="508" t="str">
        <f t="shared" si="18"/>
        <v>2</v>
      </c>
      <c r="X133" s="508">
        <f t="shared" si="19"/>
        <v>0</v>
      </c>
      <c r="Y133" s="568">
        <f t="shared" si="20"/>
        <v>0.18435908249980643</v>
      </c>
      <c r="Z133" s="485" t="s">
        <v>200</v>
      </c>
      <c r="AA133" s="486" t="s">
        <v>1447</v>
      </c>
      <c r="AB133" s="486" t="s">
        <v>1447</v>
      </c>
    </row>
    <row r="134" spans="1:28">
      <c r="A134" s="494" t="s">
        <v>200</v>
      </c>
      <c r="B134" s="489" t="s">
        <v>48</v>
      </c>
      <c r="C134" s="489" t="s">
        <v>428</v>
      </c>
      <c r="D134" s="490">
        <v>0.06</v>
      </c>
      <c r="E134" s="495" t="s">
        <v>1097</v>
      </c>
      <c r="F134" s="489">
        <v>100</v>
      </c>
      <c r="G134" s="489">
        <v>42</v>
      </c>
      <c r="H134" s="491">
        <v>2.3809523809523809</v>
      </c>
      <c r="I134" s="491">
        <v>260.71428571428572</v>
      </c>
      <c r="J134" s="489" t="s">
        <v>434</v>
      </c>
      <c r="K134" s="564" t="s">
        <v>1209</v>
      </c>
      <c r="L134" s="505" t="s">
        <v>1211</v>
      </c>
      <c r="M134" s="489" t="s">
        <v>1212</v>
      </c>
      <c r="N134" s="498" t="s">
        <v>1224</v>
      </c>
      <c r="O134" s="489" t="s">
        <v>1292</v>
      </c>
      <c r="P134" s="495" t="s">
        <v>1293</v>
      </c>
      <c r="Q134" s="495" t="s">
        <v>1210</v>
      </c>
      <c r="R134" s="485" t="str">
        <f t="shared" ref="R134:R173" si="21">IF(LEFT(K134,1)="N",0,LEFT(K134,1))</f>
        <v>1</v>
      </c>
      <c r="S134" s="485" t="str">
        <f t="shared" ref="S134:S173" si="22">IF(LEFT(L134,1)="N",0,LEFT(L134,1))</f>
        <v>1</v>
      </c>
      <c r="T134" s="485" t="str">
        <f t="shared" ref="T134:T173" si="23">IF(LEFT(M134,1)="N",0,LEFT(M134,1))</f>
        <v>1</v>
      </c>
      <c r="U134" s="485" t="str">
        <f t="shared" ref="U134:U173" si="24">IF(LEFT(N134,1)="N",0,LEFT(N134,1))</f>
        <v>1</v>
      </c>
      <c r="V134" s="508" t="str">
        <f t="shared" ref="V134:V173" si="25">IF(LEFT(O134,1)="N",0,LEFT(O134,1))</f>
        <v>1</v>
      </c>
      <c r="W134" s="508" t="str">
        <f t="shared" ref="W134:W173" si="26">IF(LEFT(P134,1)="N",0,LEFT(P134,1))</f>
        <v>3</v>
      </c>
      <c r="X134" s="508">
        <f t="shared" ref="X134:X173" si="27">IF(LEFT(Q134,1)="N",0,LEFT(Q134,1))</f>
        <v>0</v>
      </c>
      <c r="Y134" s="568">
        <f t="shared" ref="Y134:Y173" si="28">IF(X134=0, (SQRT((($R$3*EXP($Y$3*(R134)))^2)+(($S$3*EXP($Y$3*(1-S134)))^2)+(($T$3*EXP($Y$3*(T134)))^2)+(($U$3*EXP($Y$3*(U134-1)))^2)+(($V$3*EXP($Y$3*(V134-1)))^2)+(($W$3*EXP($Y$3*(W134)))^2)))/100, $X$3*EXP($Y$3*X134)/100)</f>
        <v>0.41648690991428489</v>
      </c>
      <c r="Z134" s="485" t="s">
        <v>200</v>
      </c>
      <c r="AA134" s="486" t="s">
        <v>223</v>
      </c>
      <c r="AB134" s="486" t="s">
        <v>1450</v>
      </c>
    </row>
    <row r="135" spans="1:28">
      <c r="A135" s="494" t="s">
        <v>200</v>
      </c>
      <c r="B135" s="489" t="s">
        <v>48</v>
      </c>
      <c r="C135" s="489" t="s">
        <v>198</v>
      </c>
      <c r="D135" s="490">
        <v>0.1</v>
      </c>
      <c r="E135" s="495" t="s">
        <v>1097</v>
      </c>
      <c r="F135" s="489">
        <v>100</v>
      </c>
      <c r="G135" s="489">
        <v>28</v>
      </c>
      <c r="H135" s="491">
        <v>3.5714285714285716</v>
      </c>
      <c r="I135" s="491">
        <v>651.78571428571445</v>
      </c>
      <c r="J135" s="489" t="s">
        <v>699</v>
      </c>
      <c r="K135" s="564" t="s">
        <v>1209</v>
      </c>
      <c r="L135" s="506" t="s">
        <v>1217</v>
      </c>
      <c r="M135" s="498" t="s">
        <v>1212</v>
      </c>
      <c r="N135" s="495" t="s">
        <v>1241</v>
      </c>
      <c r="O135" s="489" t="s">
        <v>1306</v>
      </c>
      <c r="P135" s="495" t="s">
        <v>1293</v>
      </c>
      <c r="Q135" s="495" t="s">
        <v>1210</v>
      </c>
      <c r="R135" s="485" t="str">
        <f t="shared" si="21"/>
        <v>1</v>
      </c>
      <c r="S135" s="485" t="str">
        <f t="shared" si="22"/>
        <v>2</v>
      </c>
      <c r="T135" s="485" t="str">
        <f t="shared" si="23"/>
        <v>1</v>
      </c>
      <c r="U135" s="485" t="str">
        <f t="shared" si="24"/>
        <v>4</v>
      </c>
      <c r="V135" s="508" t="str">
        <f t="shared" si="25"/>
        <v>2</v>
      </c>
      <c r="W135" s="508" t="str">
        <f t="shared" si="26"/>
        <v>3</v>
      </c>
      <c r="X135" s="508">
        <f t="shared" si="27"/>
        <v>0</v>
      </c>
      <c r="Y135" s="568">
        <f t="shared" si="28"/>
        <v>0.43095834542209543</v>
      </c>
      <c r="Z135" s="485" t="s">
        <v>200</v>
      </c>
      <c r="AA135" s="486" t="s">
        <v>223</v>
      </c>
      <c r="AB135" s="486" t="s">
        <v>1450</v>
      </c>
    </row>
    <row r="136" spans="1:28" s="373" customFormat="1">
      <c r="A136" s="501" t="s">
        <v>223</v>
      </c>
      <c r="B136" s="495" t="s">
        <v>48</v>
      </c>
      <c r="C136" s="498" t="s">
        <v>596</v>
      </c>
      <c r="D136" s="502" t="s">
        <v>596</v>
      </c>
      <c r="E136" s="495" t="s">
        <v>1143</v>
      </c>
      <c r="F136" s="498" t="s">
        <v>596</v>
      </c>
      <c r="G136" s="498" t="s">
        <v>596</v>
      </c>
      <c r="H136" s="498" t="s">
        <v>596</v>
      </c>
      <c r="I136" s="503">
        <v>439.96</v>
      </c>
      <c r="J136" s="498" t="s">
        <v>1168</v>
      </c>
      <c r="K136" s="489" t="s">
        <v>1210</v>
      </c>
      <c r="L136" s="495" t="s">
        <v>1210</v>
      </c>
      <c r="M136" s="495" t="s">
        <v>1210</v>
      </c>
      <c r="N136" s="495" t="s">
        <v>1210</v>
      </c>
      <c r="O136" s="495" t="s">
        <v>1210</v>
      </c>
      <c r="P136" s="495" t="s">
        <v>1210</v>
      </c>
      <c r="Q136" s="498" t="s">
        <v>1254</v>
      </c>
      <c r="R136" s="485">
        <f t="shared" si="21"/>
        <v>0</v>
      </c>
      <c r="S136" s="485">
        <f t="shared" si="22"/>
        <v>0</v>
      </c>
      <c r="T136" s="485">
        <f t="shared" si="23"/>
        <v>0</v>
      </c>
      <c r="U136" s="485">
        <f t="shared" si="24"/>
        <v>0</v>
      </c>
      <c r="V136" s="508">
        <f t="shared" si="25"/>
        <v>0</v>
      </c>
      <c r="W136" s="508">
        <f t="shared" si="26"/>
        <v>0</v>
      </c>
      <c r="X136" s="508" t="str">
        <f t="shared" si="27"/>
        <v>2</v>
      </c>
      <c r="Y136" s="568">
        <f t="shared" si="28"/>
        <v>0.2278929098260076</v>
      </c>
      <c r="Z136" s="485" t="s">
        <v>223</v>
      </c>
      <c r="AA136" s="486" t="s">
        <v>1459</v>
      </c>
      <c r="AB136" s="486" t="s">
        <v>1445</v>
      </c>
    </row>
    <row r="137" spans="1:28">
      <c r="A137" s="501" t="s">
        <v>223</v>
      </c>
      <c r="B137" s="495" t="s">
        <v>48</v>
      </c>
      <c r="C137" s="498" t="s">
        <v>596</v>
      </c>
      <c r="D137" s="502" t="s">
        <v>596</v>
      </c>
      <c r="E137" s="495" t="s">
        <v>1019</v>
      </c>
      <c r="F137" s="498" t="s">
        <v>596</v>
      </c>
      <c r="G137" s="498" t="s">
        <v>596</v>
      </c>
      <c r="H137" s="498" t="s">
        <v>596</v>
      </c>
      <c r="I137" s="503">
        <v>439.96</v>
      </c>
      <c r="J137" s="498" t="s">
        <v>1168</v>
      </c>
      <c r="K137" s="489" t="s">
        <v>1210</v>
      </c>
      <c r="L137" s="495" t="s">
        <v>1210</v>
      </c>
      <c r="M137" s="495" t="s">
        <v>1210</v>
      </c>
      <c r="N137" s="495" t="s">
        <v>1210</v>
      </c>
      <c r="O137" s="495" t="s">
        <v>1210</v>
      </c>
      <c r="P137" s="495" t="s">
        <v>1210</v>
      </c>
      <c r="Q137" s="498" t="s">
        <v>1254</v>
      </c>
      <c r="R137" s="485">
        <f t="shared" si="21"/>
        <v>0</v>
      </c>
      <c r="S137" s="485">
        <f t="shared" si="22"/>
        <v>0</v>
      </c>
      <c r="T137" s="485">
        <f t="shared" si="23"/>
        <v>0</v>
      </c>
      <c r="U137" s="485">
        <f t="shared" si="24"/>
        <v>0</v>
      </c>
      <c r="V137" s="508">
        <f t="shared" si="25"/>
        <v>0</v>
      </c>
      <c r="W137" s="508">
        <f t="shared" si="26"/>
        <v>0</v>
      </c>
      <c r="X137" s="508" t="str">
        <f t="shared" si="27"/>
        <v>2</v>
      </c>
      <c r="Y137" s="568">
        <f t="shared" si="28"/>
        <v>0.2278929098260076</v>
      </c>
      <c r="Z137" s="485" t="s">
        <v>223</v>
      </c>
      <c r="AA137" s="486" t="s">
        <v>1459</v>
      </c>
      <c r="AB137" s="486" t="s">
        <v>1445</v>
      </c>
    </row>
    <row r="138" spans="1:28">
      <c r="A138" s="494" t="s">
        <v>223</v>
      </c>
      <c r="B138" s="495" t="s">
        <v>77</v>
      </c>
      <c r="C138" s="498" t="s">
        <v>596</v>
      </c>
      <c r="D138" s="502" t="s">
        <v>596</v>
      </c>
      <c r="E138" s="495" t="s">
        <v>1146</v>
      </c>
      <c r="F138" s="498" t="s">
        <v>596</v>
      </c>
      <c r="G138" s="498" t="s">
        <v>596</v>
      </c>
      <c r="H138" s="498" t="s">
        <v>596</v>
      </c>
      <c r="I138" s="497">
        <f>'Auswertung_neu (2)'!I13</f>
        <v>0</v>
      </c>
      <c r="J138" s="498" t="s">
        <v>1168</v>
      </c>
      <c r="K138" s="489" t="s">
        <v>1210</v>
      </c>
      <c r="L138" s="495" t="s">
        <v>1210</v>
      </c>
      <c r="M138" s="495" t="s">
        <v>1210</v>
      </c>
      <c r="N138" s="495" t="s">
        <v>1210</v>
      </c>
      <c r="O138" s="495" t="s">
        <v>1210</v>
      </c>
      <c r="P138" s="495" t="s">
        <v>1210</v>
      </c>
      <c r="Q138" s="498" t="s">
        <v>1254</v>
      </c>
      <c r="R138" s="485">
        <f t="shared" si="21"/>
        <v>0</v>
      </c>
      <c r="S138" s="485">
        <f t="shared" si="22"/>
        <v>0</v>
      </c>
      <c r="T138" s="485">
        <f t="shared" si="23"/>
        <v>0</v>
      </c>
      <c r="U138" s="485">
        <f t="shared" si="24"/>
        <v>0</v>
      </c>
      <c r="V138" s="508">
        <f t="shared" si="25"/>
        <v>0</v>
      </c>
      <c r="W138" s="508">
        <f t="shared" si="26"/>
        <v>0</v>
      </c>
      <c r="X138" s="508" t="str">
        <f t="shared" si="27"/>
        <v>2</v>
      </c>
      <c r="Y138" s="568">
        <f t="shared" si="28"/>
        <v>0.2278929098260076</v>
      </c>
      <c r="Z138" s="485" t="s">
        <v>223</v>
      </c>
      <c r="AA138" s="486" t="s">
        <v>1459</v>
      </c>
      <c r="AB138" s="486" t="s">
        <v>1445</v>
      </c>
    </row>
    <row r="139" spans="1:28">
      <c r="A139" s="494" t="s">
        <v>200</v>
      </c>
      <c r="B139" s="489" t="s">
        <v>77</v>
      </c>
      <c r="C139" s="489" t="s">
        <v>288</v>
      </c>
      <c r="D139" s="490">
        <v>0.08</v>
      </c>
      <c r="E139" s="495" t="s">
        <v>1097</v>
      </c>
      <c r="F139" s="489">
        <v>0.1</v>
      </c>
      <c r="G139" s="489">
        <v>608</v>
      </c>
      <c r="H139" s="491">
        <v>1.6447368421052631E-4</v>
      </c>
      <c r="I139" s="491">
        <v>0</v>
      </c>
      <c r="J139" s="489" t="s">
        <v>1157</v>
      </c>
      <c r="K139" s="564" t="s">
        <v>1209</v>
      </c>
      <c r="L139" s="505" t="s">
        <v>1211</v>
      </c>
      <c r="M139" s="498" t="s">
        <v>1215</v>
      </c>
      <c r="N139" s="495" t="s">
        <v>1241</v>
      </c>
      <c r="O139" s="489" t="s">
        <v>1292</v>
      </c>
      <c r="P139" s="495" t="s">
        <v>1293</v>
      </c>
      <c r="Q139" s="495" t="s">
        <v>1210</v>
      </c>
      <c r="R139" s="485" t="str">
        <f t="shared" si="21"/>
        <v>1</v>
      </c>
      <c r="S139" s="485" t="str">
        <f t="shared" si="22"/>
        <v>1</v>
      </c>
      <c r="T139" s="485" t="str">
        <f t="shared" si="23"/>
        <v>4</v>
      </c>
      <c r="U139" s="485" t="str">
        <f t="shared" si="24"/>
        <v>4</v>
      </c>
      <c r="V139" s="508" t="str">
        <f t="shared" si="25"/>
        <v>1</v>
      </c>
      <c r="W139" s="508" t="str">
        <f t="shared" si="26"/>
        <v>3</v>
      </c>
      <c r="X139" s="508">
        <f t="shared" si="27"/>
        <v>0</v>
      </c>
      <c r="Y139" s="568">
        <f t="shared" si="28"/>
        <v>1.3174489305267616</v>
      </c>
      <c r="Z139" s="485" t="s">
        <v>200</v>
      </c>
      <c r="AA139" s="486" t="s">
        <v>200</v>
      </c>
      <c r="AB139" s="486" t="s">
        <v>1449</v>
      </c>
    </row>
    <row r="140" spans="1:28">
      <c r="A140" s="494" t="s">
        <v>223</v>
      </c>
      <c r="B140" s="495" t="s">
        <v>77</v>
      </c>
      <c r="C140" s="498" t="s">
        <v>596</v>
      </c>
      <c r="D140" s="502" t="s">
        <v>596</v>
      </c>
      <c r="E140" s="495" t="s">
        <v>1143</v>
      </c>
      <c r="F140" s="498" t="s">
        <v>596</v>
      </c>
      <c r="G140" s="498" t="s">
        <v>596</v>
      </c>
      <c r="H140" s="498" t="s">
        <v>596</v>
      </c>
      <c r="I140" s="497">
        <f>'Auswertung_neu (2)'!I12</f>
        <v>0</v>
      </c>
      <c r="J140" s="498" t="s">
        <v>1168</v>
      </c>
      <c r="K140" s="489" t="s">
        <v>1210</v>
      </c>
      <c r="L140" s="495" t="s">
        <v>1210</v>
      </c>
      <c r="M140" s="495" t="s">
        <v>1210</v>
      </c>
      <c r="N140" s="495" t="s">
        <v>1210</v>
      </c>
      <c r="O140" s="495" t="s">
        <v>1210</v>
      </c>
      <c r="P140" s="495" t="s">
        <v>1210</v>
      </c>
      <c r="Q140" s="498" t="s">
        <v>1254</v>
      </c>
      <c r="R140" s="485">
        <f t="shared" si="21"/>
        <v>0</v>
      </c>
      <c r="S140" s="485">
        <f t="shared" si="22"/>
        <v>0</v>
      </c>
      <c r="T140" s="485">
        <f t="shared" si="23"/>
        <v>0</v>
      </c>
      <c r="U140" s="485">
        <f t="shared" si="24"/>
        <v>0</v>
      </c>
      <c r="V140" s="508">
        <f t="shared" si="25"/>
        <v>0</v>
      </c>
      <c r="W140" s="508">
        <f t="shared" si="26"/>
        <v>0</v>
      </c>
      <c r="X140" s="508" t="str">
        <f t="shared" si="27"/>
        <v>2</v>
      </c>
      <c r="Y140" s="568">
        <f t="shared" si="28"/>
        <v>0.2278929098260076</v>
      </c>
      <c r="Z140" s="485" t="s">
        <v>223</v>
      </c>
      <c r="AA140" s="486" t="s">
        <v>1459</v>
      </c>
      <c r="AB140" s="486" t="s">
        <v>1445</v>
      </c>
    </row>
    <row r="141" spans="1:28">
      <c r="A141" s="494" t="s">
        <v>200</v>
      </c>
      <c r="B141" s="489" t="s">
        <v>77</v>
      </c>
      <c r="C141" s="489" t="s">
        <v>578</v>
      </c>
      <c r="D141" s="490">
        <v>3.5999999999999997E-2</v>
      </c>
      <c r="E141" s="495" t="s">
        <v>1019</v>
      </c>
      <c r="F141" s="489">
        <v>1.2</v>
      </c>
      <c r="G141" s="489">
        <v>84</v>
      </c>
      <c r="H141" s="491">
        <v>1.4285714285714285E-2</v>
      </c>
      <c r="I141" s="491">
        <v>0.31411698162144208</v>
      </c>
      <c r="J141" s="489" t="s">
        <v>164</v>
      </c>
      <c r="K141" s="564" t="s">
        <v>1209</v>
      </c>
      <c r="L141" s="499" t="s">
        <v>1220</v>
      </c>
      <c r="M141" s="498" t="s">
        <v>1215</v>
      </c>
      <c r="N141" s="495" t="s">
        <v>1241</v>
      </c>
      <c r="O141" s="489" t="s">
        <v>1289</v>
      </c>
      <c r="P141" s="495" t="s">
        <v>1293</v>
      </c>
      <c r="Q141" s="495" t="s">
        <v>1210</v>
      </c>
      <c r="R141" s="485" t="str">
        <f t="shared" si="21"/>
        <v>1</v>
      </c>
      <c r="S141" s="485" t="str">
        <f t="shared" si="22"/>
        <v>3</v>
      </c>
      <c r="T141" s="485" t="str">
        <f t="shared" si="23"/>
        <v>4</v>
      </c>
      <c r="U141" s="485" t="str">
        <f t="shared" si="24"/>
        <v>4</v>
      </c>
      <c r="V141" s="508" t="str">
        <f t="shared" si="25"/>
        <v>2</v>
      </c>
      <c r="W141" s="508" t="str">
        <f t="shared" si="26"/>
        <v>3</v>
      </c>
      <c r="X141" s="508">
        <f t="shared" si="27"/>
        <v>0</v>
      </c>
      <c r="Y141" s="568">
        <f t="shared" si="28"/>
        <v>1.318057445044337</v>
      </c>
      <c r="Z141" s="485" t="s">
        <v>200</v>
      </c>
      <c r="AA141" s="486" t="s">
        <v>223</v>
      </c>
      <c r="AB141" s="486" t="s">
        <v>1450</v>
      </c>
    </row>
    <row r="142" spans="1:28">
      <c r="A142" s="494" t="s">
        <v>200</v>
      </c>
      <c r="B142" s="489" t="s">
        <v>77</v>
      </c>
      <c r="C142" s="489" t="s">
        <v>578</v>
      </c>
      <c r="D142" s="490">
        <v>3.5999999999999997E-2</v>
      </c>
      <c r="E142" s="495" t="s">
        <v>1019</v>
      </c>
      <c r="F142" s="489">
        <v>1.5</v>
      </c>
      <c r="G142" s="489">
        <v>84</v>
      </c>
      <c r="H142" s="491">
        <v>1.7857142857142856E-2</v>
      </c>
      <c r="I142" s="491">
        <v>0.39304324511714689</v>
      </c>
      <c r="J142" s="489" t="s">
        <v>164</v>
      </c>
      <c r="K142" s="564" t="s">
        <v>1209</v>
      </c>
      <c r="L142" s="499" t="s">
        <v>1220</v>
      </c>
      <c r="M142" s="498" t="s">
        <v>1215</v>
      </c>
      <c r="N142" s="495" t="s">
        <v>1241</v>
      </c>
      <c r="O142" s="489" t="s">
        <v>1289</v>
      </c>
      <c r="P142" s="495" t="s">
        <v>1293</v>
      </c>
      <c r="Q142" s="495" t="s">
        <v>1210</v>
      </c>
      <c r="R142" s="485" t="str">
        <f t="shared" si="21"/>
        <v>1</v>
      </c>
      <c r="S142" s="485" t="str">
        <f t="shared" si="22"/>
        <v>3</v>
      </c>
      <c r="T142" s="485" t="str">
        <f t="shared" si="23"/>
        <v>4</v>
      </c>
      <c r="U142" s="485" t="str">
        <f t="shared" si="24"/>
        <v>4</v>
      </c>
      <c r="V142" s="508" t="str">
        <f t="shared" si="25"/>
        <v>2</v>
      </c>
      <c r="W142" s="508" t="str">
        <f t="shared" si="26"/>
        <v>3</v>
      </c>
      <c r="X142" s="508">
        <f t="shared" si="27"/>
        <v>0</v>
      </c>
      <c r="Y142" s="568">
        <f t="shared" si="28"/>
        <v>1.318057445044337</v>
      </c>
      <c r="Z142" s="485" t="s">
        <v>200</v>
      </c>
      <c r="AA142" s="486" t="s">
        <v>223</v>
      </c>
      <c r="AB142" s="486" t="s">
        <v>1450</v>
      </c>
    </row>
    <row r="143" spans="1:28">
      <c r="A143" s="494" t="s">
        <v>200</v>
      </c>
      <c r="B143" s="489" t="s">
        <v>77</v>
      </c>
      <c r="C143" s="489" t="s">
        <v>578</v>
      </c>
      <c r="D143" s="490">
        <v>3.5999999999999997E-2</v>
      </c>
      <c r="E143" s="495" t="s">
        <v>1019</v>
      </c>
      <c r="F143" s="489">
        <v>3.2</v>
      </c>
      <c r="G143" s="489">
        <v>160</v>
      </c>
      <c r="H143" s="491">
        <v>0.02</v>
      </c>
      <c r="I143" s="491">
        <v>0.44275687232004596</v>
      </c>
      <c r="J143" s="489" t="s">
        <v>164</v>
      </c>
      <c r="K143" s="564" t="s">
        <v>1209</v>
      </c>
      <c r="L143" s="499" t="s">
        <v>1220</v>
      </c>
      <c r="M143" s="498" t="s">
        <v>1215</v>
      </c>
      <c r="N143" s="495" t="s">
        <v>1241</v>
      </c>
      <c r="O143" s="489" t="s">
        <v>1289</v>
      </c>
      <c r="P143" s="495" t="s">
        <v>1293</v>
      </c>
      <c r="Q143" s="495" t="s">
        <v>1210</v>
      </c>
      <c r="R143" s="485" t="str">
        <f t="shared" si="21"/>
        <v>1</v>
      </c>
      <c r="S143" s="485" t="str">
        <f t="shared" si="22"/>
        <v>3</v>
      </c>
      <c r="T143" s="485" t="str">
        <f t="shared" si="23"/>
        <v>4</v>
      </c>
      <c r="U143" s="485" t="str">
        <f t="shared" si="24"/>
        <v>4</v>
      </c>
      <c r="V143" s="508" t="str">
        <f t="shared" si="25"/>
        <v>2</v>
      </c>
      <c r="W143" s="508" t="str">
        <f t="shared" si="26"/>
        <v>3</v>
      </c>
      <c r="X143" s="508">
        <f t="shared" si="27"/>
        <v>0</v>
      </c>
      <c r="Y143" s="568">
        <f t="shared" si="28"/>
        <v>1.318057445044337</v>
      </c>
      <c r="Z143" s="485" t="s">
        <v>200</v>
      </c>
      <c r="AA143" s="486" t="s">
        <v>223</v>
      </c>
      <c r="AB143" s="486" t="s">
        <v>1450</v>
      </c>
    </row>
    <row r="144" spans="1:28" ht="16.5">
      <c r="A144" s="494" t="s">
        <v>200</v>
      </c>
      <c r="B144" s="489" t="s">
        <v>77</v>
      </c>
      <c r="C144" s="489" t="s">
        <v>578</v>
      </c>
      <c r="D144" s="490">
        <v>3.5999999999999997E-2</v>
      </c>
      <c r="E144" s="495" t="s">
        <v>1019</v>
      </c>
      <c r="F144" s="489">
        <v>4.5</v>
      </c>
      <c r="G144" s="489">
        <v>160</v>
      </c>
      <c r="H144" s="491">
        <v>2.8125000000000001E-2</v>
      </c>
      <c r="I144" s="491">
        <v>0.62541470533243171</v>
      </c>
      <c r="J144" s="489" t="s">
        <v>164</v>
      </c>
      <c r="K144" s="564" t="s">
        <v>1209</v>
      </c>
      <c r="L144" s="499" t="s">
        <v>1220</v>
      </c>
      <c r="M144" s="498" t="s">
        <v>1215</v>
      </c>
      <c r="N144" s="495" t="s">
        <v>1241</v>
      </c>
      <c r="O144" s="489" t="s">
        <v>1289</v>
      </c>
      <c r="P144" s="495" t="s">
        <v>1255</v>
      </c>
      <c r="Q144" s="495" t="s">
        <v>1210</v>
      </c>
      <c r="R144" s="485" t="str">
        <f t="shared" si="21"/>
        <v>1</v>
      </c>
      <c r="S144" s="485" t="str">
        <f t="shared" si="22"/>
        <v>3</v>
      </c>
      <c r="T144" s="485" t="str">
        <f t="shared" si="23"/>
        <v>4</v>
      </c>
      <c r="U144" s="485" t="str">
        <f t="shared" si="24"/>
        <v>4</v>
      </c>
      <c r="V144" s="508" t="str">
        <f t="shared" si="25"/>
        <v>2</v>
      </c>
      <c r="W144" s="508" t="str">
        <f t="shared" si="26"/>
        <v>2</v>
      </c>
      <c r="X144" s="508">
        <f t="shared" si="27"/>
        <v>0</v>
      </c>
      <c r="Y144" s="568">
        <f t="shared" si="28"/>
        <v>1.2591817201055715</v>
      </c>
      <c r="Z144" s="485" t="s">
        <v>200</v>
      </c>
      <c r="AA144" s="486" t="s">
        <v>200</v>
      </c>
      <c r="AB144" s="486" t="s">
        <v>1448</v>
      </c>
    </row>
    <row r="145" spans="1:28">
      <c r="A145" s="494" t="s">
        <v>200</v>
      </c>
      <c r="B145" s="489" t="s">
        <v>77</v>
      </c>
      <c r="C145" s="489" t="s">
        <v>288</v>
      </c>
      <c r="D145" s="490">
        <v>0.1</v>
      </c>
      <c r="E145" s="495" t="s">
        <v>1019</v>
      </c>
      <c r="F145" s="489">
        <v>0</v>
      </c>
      <c r="G145" s="489">
        <v>300</v>
      </c>
      <c r="H145" s="491">
        <v>0</v>
      </c>
      <c r="I145" s="491">
        <v>0</v>
      </c>
      <c r="J145" s="489" t="s">
        <v>143</v>
      </c>
      <c r="K145" s="564" t="s">
        <v>1209</v>
      </c>
      <c r="L145" s="504" t="s">
        <v>1211</v>
      </c>
      <c r="M145" s="498" t="s">
        <v>1215</v>
      </c>
      <c r="N145" s="495" t="s">
        <v>1240</v>
      </c>
      <c r="O145" s="489" t="s">
        <v>1283</v>
      </c>
      <c r="P145" s="495" t="s">
        <v>1293</v>
      </c>
      <c r="Q145" s="495" t="s">
        <v>1210</v>
      </c>
      <c r="R145" s="485" t="str">
        <f t="shared" si="21"/>
        <v>1</v>
      </c>
      <c r="S145" s="485" t="str">
        <f t="shared" si="22"/>
        <v>1</v>
      </c>
      <c r="T145" s="485" t="str">
        <f t="shared" si="23"/>
        <v>4</v>
      </c>
      <c r="U145" s="485" t="str">
        <f t="shared" si="24"/>
        <v>2</v>
      </c>
      <c r="V145" s="508" t="str">
        <f t="shared" si="25"/>
        <v>3</v>
      </c>
      <c r="W145" s="508" t="str">
        <f t="shared" si="26"/>
        <v>3</v>
      </c>
      <c r="X145" s="508">
        <f t="shared" si="27"/>
        <v>0</v>
      </c>
      <c r="Y145" s="568">
        <f t="shared" si="28"/>
        <v>1.3204618303793796</v>
      </c>
      <c r="Z145" s="485" t="s">
        <v>200</v>
      </c>
      <c r="AA145" s="486" t="s">
        <v>223</v>
      </c>
      <c r="AB145" s="486" t="s">
        <v>1450</v>
      </c>
    </row>
    <row r="146" spans="1:28">
      <c r="A146" s="494" t="s">
        <v>200</v>
      </c>
      <c r="B146" s="495" t="s">
        <v>647</v>
      </c>
      <c r="C146" s="495" t="s">
        <v>198</v>
      </c>
      <c r="D146" s="496">
        <v>0.1</v>
      </c>
      <c r="E146" s="495" t="s">
        <v>1147</v>
      </c>
      <c r="F146" s="495">
        <v>68</v>
      </c>
      <c r="G146" s="495">
        <v>28</v>
      </c>
      <c r="H146" s="497">
        <v>2.4285714285714284</v>
      </c>
      <c r="I146" s="497">
        <v>443.21428571428572</v>
      </c>
      <c r="J146" s="495" t="s">
        <v>699</v>
      </c>
      <c r="K146" s="564" t="s">
        <v>1209</v>
      </c>
      <c r="L146" s="506" t="s">
        <v>1217</v>
      </c>
      <c r="M146" s="498" t="s">
        <v>1212</v>
      </c>
      <c r="N146" s="495" t="s">
        <v>1241</v>
      </c>
      <c r="O146" s="489" t="s">
        <v>1305</v>
      </c>
      <c r="P146" s="495" t="s">
        <v>1223</v>
      </c>
      <c r="Q146" s="495" t="s">
        <v>1210</v>
      </c>
      <c r="R146" s="485" t="str">
        <f t="shared" si="21"/>
        <v>1</v>
      </c>
      <c r="S146" s="485" t="str">
        <f t="shared" si="22"/>
        <v>2</v>
      </c>
      <c r="T146" s="485" t="str">
        <f t="shared" si="23"/>
        <v>1</v>
      </c>
      <c r="U146" s="485" t="str">
        <f t="shared" si="24"/>
        <v>4</v>
      </c>
      <c r="V146" s="508" t="str">
        <f t="shared" si="25"/>
        <v>2</v>
      </c>
      <c r="W146" s="508" t="str">
        <f t="shared" si="26"/>
        <v>2</v>
      </c>
      <c r="X146" s="508">
        <f t="shared" si="27"/>
        <v>0</v>
      </c>
      <c r="Y146" s="568">
        <f t="shared" si="28"/>
        <v>0.18435908249980643</v>
      </c>
      <c r="Z146" s="485" t="s">
        <v>200</v>
      </c>
      <c r="AA146" s="486" t="s">
        <v>223</v>
      </c>
      <c r="AB146" s="486" t="s">
        <v>1451</v>
      </c>
    </row>
    <row r="147" spans="1:28">
      <c r="A147" s="494" t="s">
        <v>200</v>
      </c>
      <c r="B147" s="495" t="s">
        <v>647</v>
      </c>
      <c r="C147" s="495" t="s">
        <v>198</v>
      </c>
      <c r="D147" s="496">
        <v>0.1</v>
      </c>
      <c r="E147" s="495" t="s">
        <v>1147</v>
      </c>
      <c r="F147" s="495">
        <v>70</v>
      </c>
      <c r="G147" s="495">
        <v>28</v>
      </c>
      <c r="H147" s="497">
        <v>2.5</v>
      </c>
      <c r="I147" s="497">
        <v>456.25000000000006</v>
      </c>
      <c r="J147" s="495" t="s">
        <v>699</v>
      </c>
      <c r="K147" s="564" t="s">
        <v>1209</v>
      </c>
      <c r="L147" s="506" t="s">
        <v>1217</v>
      </c>
      <c r="M147" s="498" t="s">
        <v>1212</v>
      </c>
      <c r="N147" s="495" t="s">
        <v>1241</v>
      </c>
      <c r="O147" s="489" t="s">
        <v>1305</v>
      </c>
      <c r="P147" s="495" t="s">
        <v>1223</v>
      </c>
      <c r="Q147" s="495" t="s">
        <v>1210</v>
      </c>
      <c r="R147" s="485" t="str">
        <f t="shared" si="21"/>
        <v>1</v>
      </c>
      <c r="S147" s="485" t="str">
        <f t="shared" si="22"/>
        <v>2</v>
      </c>
      <c r="T147" s="485" t="str">
        <f t="shared" si="23"/>
        <v>1</v>
      </c>
      <c r="U147" s="485" t="str">
        <f t="shared" si="24"/>
        <v>4</v>
      </c>
      <c r="V147" s="508" t="str">
        <f t="shared" si="25"/>
        <v>2</v>
      </c>
      <c r="W147" s="508" t="str">
        <f t="shared" si="26"/>
        <v>2</v>
      </c>
      <c r="X147" s="508">
        <f t="shared" si="27"/>
        <v>0</v>
      </c>
      <c r="Y147" s="568">
        <f t="shared" si="28"/>
        <v>0.18435908249980643</v>
      </c>
      <c r="Z147" s="485" t="s">
        <v>200</v>
      </c>
      <c r="AA147" s="486" t="s">
        <v>223</v>
      </c>
      <c r="AB147" s="486" t="s">
        <v>1451</v>
      </c>
    </row>
    <row r="148" spans="1:28">
      <c r="A148" s="494" t="s">
        <v>200</v>
      </c>
      <c r="B148" s="495" t="s">
        <v>647</v>
      </c>
      <c r="C148" s="495" t="s">
        <v>198</v>
      </c>
      <c r="D148" s="496">
        <v>0.1</v>
      </c>
      <c r="E148" s="495" t="s">
        <v>1147</v>
      </c>
      <c r="F148" s="495">
        <v>95</v>
      </c>
      <c r="G148" s="495">
        <v>28</v>
      </c>
      <c r="H148" s="497">
        <v>3.3928571428571428</v>
      </c>
      <c r="I148" s="497">
        <v>619.19642857142856</v>
      </c>
      <c r="J148" s="495" t="s">
        <v>699</v>
      </c>
      <c r="K148" s="564" t="s">
        <v>1209</v>
      </c>
      <c r="L148" s="506" t="s">
        <v>1217</v>
      </c>
      <c r="M148" s="498" t="s">
        <v>1212</v>
      </c>
      <c r="N148" s="495" t="s">
        <v>1241</v>
      </c>
      <c r="O148" s="489" t="s">
        <v>1305</v>
      </c>
      <c r="P148" s="495" t="s">
        <v>1293</v>
      </c>
      <c r="Q148" s="495" t="s">
        <v>1210</v>
      </c>
      <c r="R148" s="485" t="str">
        <f t="shared" si="21"/>
        <v>1</v>
      </c>
      <c r="S148" s="485" t="str">
        <f t="shared" si="22"/>
        <v>2</v>
      </c>
      <c r="T148" s="485" t="str">
        <f t="shared" si="23"/>
        <v>1</v>
      </c>
      <c r="U148" s="485" t="str">
        <f t="shared" si="24"/>
        <v>4</v>
      </c>
      <c r="V148" s="508" t="str">
        <f t="shared" si="25"/>
        <v>2</v>
      </c>
      <c r="W148" s="508" t="str">
        <f t="shared" si="26"/>
        <v>3</v>
      </c>
      <c r="X148" s="508">
        <f t="shared" si="27"/>
        <v>0</v>
      </c>
      <c r="Y148" s="568">
        <f t="shared" si="28"/>
        <v>0.43095834542209543</v>
      </c>
      <c r="Z148" s="485" t="s">
        <v>200</v>
      </c>
      <c r="AA148" s="486" t="s">
        <v>223</v>
      </c>
      <c r="AB148" s="486" t="s">
        <v>1451</v>
      </c>
    </row>
    <row r="149" spans="1:28">
      <c r="A149" s="494" t="s">
        <v>200</v>
      </c>
      <c r="B149" s="495" t="s">
        <v>647</v>
      </c>
      <c r="C149" s="495" t="s">
        <v>198</v>
      </c>
      <c r="D149" s="496">
        <v>0.1</v>
      </c>
      <c r="E149" s="495" t="s">
        <v>1147</v>
      </c>
      <c r="F149" s="495">
        <v>100</v>
      </c>
      <c r="G149" s="495">
        <v>28</v>
      </c>
      <c r="H149" s="497">
        <v>3.5714285714285716</v>
      </c>
      <c r="I149" s="497">
        <v>651.78571428571445</v>
      </c>
      <c r="J149" s="495" t="s">
        <v>699</v>
      </c>
      <c r="K149" s="564" t="s">
        <v>1209</v>
      </c>
      <c r="L149" s="506" t="s">
        <v>1217</v>
      </c>
      <c r="M149" s="498" t="s">
        <v>1212</v>
      </c>
      <c r="N149" s="495" t="s">
        <v>1241</v>
      </c>
      <c r="O149" s="489" t="s">
        <v>1305</v>
      </c>
      <c r="P149" s="495" t="s">
        <v>1293</v>
      </c>
      <c r="Q149" s="495" t="s">
        <v>1210</v>
      </c>
      <c r="R149" s="485" t="str">
        <f t="shared" si="21"/>
        <v>1</v>
      </c>
      <c r="S149" s="485" t="str">
        <f t="shared" si="22"/>
        <v>2</v>
      </c>
      <c r="T149" s="485" t="str">
        <f t="shared" si="23"/>
        <v>1</v>
      </c>
      <c r="U149" s="485" t="str">
        <f t="shared" si="24"/>
        <v>4</v>
      </c>
      <c r="V149" s="508" t="str">
        <f t="shared" si="25"/>
        <v>2</v>
      </c>
      <c r="W149" s="508" t="str">
        <f t="shared" si="26"/>
        <v>3</v>
      </c>
      <c r="X149" s="508">
        <f t="shared" si="27"/>
        <v>0</v>
      </c>
      <c r="Y149" s="568">
        <f t="shared" si="28"/>
        <v>0.43095834542209543</v>
      </c>
      <c r="Z149" s="485" t="s">
        <v>200</v>
      </c>
      <c r="AA149" s="486" t="s">
        <v>223</v>
      </c>
      <c r="AB149" s="486" t="s">
        <v>1451</v>
      </c>
    </row>
    <row r="150" spans="1:28">
      <c r="A150" s="494" t="s">
        <v>223</v>
      </c>
      <c r="B150" s="495" t="s">
        <v>647</v>
      </c>
      <c r="C150" s="498" t="s">
        <v>596</v>
      </c>
      <c r="D150" s="502" t="s">
        <v>596</v>
      </c>
      <c r="E150" s="495" t="s">
        <v>1146</v>
      </c>
      <c r="F150" s="498" t="s">
        <v>596</v>
      </c>
      <c r="G150" s="498" t="s">
        <v>596</v>
      </c>
      <c r="H150" s="498" t="s">
        <v>596</v>
      </c>
      <c r="I150" s="497">
        <v>423.66071428571433</v>
      </c>
      <c r="J150" s="498" t="s">
        <v>1168</v>
      </c>
      <c r="K150" s="489" t="s">
        <v>1210</v>
      </c>
      <c r="L150" s="495" t="s">
        <v>1210</v>
      </c>
      <c r="M150" s="495" t="s">
        <v>1210</v>
      </c>
      <c r="N150" s="495" t="s">
        <v>1210</v>
      </c>
      <c r="O150" s="495" t="s">
        <v>1210</v>
      </c>
      <c r="P150" s="495" t="s">
        <v>1210</v>
      </c>
      <c r="Q150" s="498" t="s">
        <v>1254</v>
      </c>
      <c r="R150" s="485">
        <f t="shared" si="21"/>
        <v>0</v>
      </c>
      <c r="S150" s="485">
        <f t="shared" si="22"/>
        <v>0</v>
      </c>
      <c r="T150" s="485">
        <f t="shared" si="23"/>
        <v>0</v>
      </c>
      <c r="U150" s="485">
        <f t="shared" si="24"/>
        <v>0</v>
      </c>
      <c r="V150" s="508">
        <f t="shared" si="25"/>
        <v>0</v>
      </c>
      <c r="W150" s="508">
        <f t="shared" si="26"/>
        <v>0</v>
      </c>
      <c r="X150" s="508" t="str">
        <f t="shared" si="27"/>
        <v>2</v>
      </c>
      <c r="Y150" s="568">
        <f t="shared" si="28"/>
        <v>0.2278929098260076</v>
      </c>
      <c r="Z150" s="485" t="s">
        <v>223</v>
      </c>
      <c r="AA150" s="486" t="s">
        <v>1459</v>
      </c>
      <c r="AB150" s="486" t="s">
        <v>1445</v>
      </c>
    </row>
    <row r="151" spans="1:28">
      <c r="A151" s="494" t="s">
        <v>200</v>
      </c>
      <c r="B151" s="495" t="s">
        <v>647</v>
      </c>
      <c r="C151" s="495" t="s">
        <v>198</v>
      </c>
      <c r="D151" s="496">
        <v>0.1</v>
      </c>
      <c r="E151" s="495" t="s">
        <v>1097</v>
      </c>
      <c r="F151" s="495">
        <v>46</v>
      </c>
      <c r="G151" s="495">
        <v>28</v>
      </c>
      <c r="H151" s="497">
        <v>1.6428571428571428</v>
      </c>
      <c r="I151" s="497">
        <v>299.82142857142856</v>
      </c>
      <c r="J151" s="495" t="s">
        <v>699</v>
      </c>
      <c r="K151" s="564" t="s">
        <v>1209</v>
      </c>
      <c r="L151" s="506" t="s">
        <v>1217</v>
      </c>
      <c r="M151" s="495" t="s">
        <v>1213</v>
      </c>
      <c r="N151" s="495" t="s">
        <v>1241</v>
      </c>
      <c r="O151" s="489" t="s">
        <v>1306</v>
      </c>
      <c r="P151" s="495" t="s">
        <v>1223</v>
      </c>
      <c r="Q151" s="495" t="s">
        <v>1210</v>
      </c>
      <c r="R151" s="485" t="str">
        <f t="shared" si="21"/>
        <v>1</v>
      </c>
      <c r="S151" s="485" t="str">
        <f t="shared" si="22"/>
        <v>2</v>
      </c>
      <c r="T151" s="485" t="str">
        <f t="shared" si="23"/>
        <v>2</v>
      </c>
      <c r="U151" s="485" t="str">
        <f t="shared" si="24"/>
        <v>4</v>
      </c>
      <c r="V151" s="508" t="str">
        <f t="shared" si="25"/>
        <v>2</v>
      </c>
      <c r="W151" s="508" t="str">
        <f t="shared" si="26"/>
        <v>2</v>
      </c>
      <c r="X151" s="508">
        <f t="shared" si="27"/>
        <v>0</v>
      </c>
      <c r="Y151" s="568">
        <f t="shared" si="28"/>
        <v>0.2250197753917724</v>
      </c>
      <c r="Z151" s="485" t="s">
        <v>200</v>
      </c>
      <c r="AA151" s="486" t="s">
        <v>223</v>
      </c>
      <c r="AB151" s="486" t="s">
        <v>1450</v>
      </c>
    </row>
    <row r="152" spans="1:28">
      <c r="A152" s="494" t="s">
        <v>200</v>
      </c>
      <c r="B152" s="495" t="s">
        <v>647</v>
      </c>
      <c r="C152" s="495" t="s">
        <v>198</v>
      </c>
      <c r="D152" s="496">
        <v>0.1</v>
      </c>
      <c r="E152" s="495" t="s">
        <v>1097</v>
      </c>
      <c r="F152" s="495">
        <v>57</v>
      </c>
      <c r="G152" s="495">
        <v>28</v>
      </c>
      <c r="H152" s="497">
        <v>1.8571428571428572</v>
      </c>
      <c r="I152" s="497">
        <v>338.92857142857144</v>
      </c>
      <c r="J152" s="495" t="s">
        <v>699</v>
      </c>
      <c r="K152" s="564" t="s">
        <v>1209</v>
      </c>
      <c r="L152" s="506" t="s">
        <v>1217</v>
      </c>
      <c r="M152" s="498" t="s">
        <v>1212</v>
      </c>
      <c r="N152" s="495" t="s">
        <v>1241</v>
      </c>
      <c r="O152" s="489" t="s">
        <v>1306</v>
      </c>
      <c r="P152" s="495" t="s">
        <v>1293</v>
      </c>
      <c r="Q152" s="495" t="s">
        <v>1210</v>
      </c>
      <c r="R152" s="485" t="str">
        <f t="shared" si="21"/>
        <v>1</v>
      </c>
      <c r="S152" s="485" t="str">
        <f t="shared" si="22"/>
        <v>2</v>
      </c>
      <c r="T152" s="485" t="str">
        <f t="shared" si="23"/>
        <v>1</v>
      </c>
      <c r="U152" s="485" t="str">
        <f t="shared" si="24"/>
        <v>4</v>
      </c>
      <c r="V152" s="508" t="str">
        <f t="shared" si="25"/>
        <v>2</v>
      </c>
      <c r="W152" s="508" t="str">
        <f t="shared" si="26"/>
        <v>3</v>
      </c>
      <c r="X152" s="508">
        <f t="shared" si="27"/>
        <v>0</v>
      </c>
      <c r="Y152" s="568">
        <f t="shared" si="28"/>
        <v>0.43095834542209543</v>
      </c>
      <c r="Z152" s="485" t="s">
        <v>200</v>
      </c>
      <c r="AA152" s="486" t="s">
        <v>223</v>
      </c>
      <c r="AB152" s="486" t="s">
        <v>1450</v>
      </c>
    </row>
    <row r="153" spans="1:28">
      <c r="A153" s="494" t="s">
        <v>200</v>
      </c>
      <c r="B153" s="495" t="s">
        <v>647</v>
      </c>
      <c r="C153" s="495" t="s">
        <v>198</v>
      </c>
      <c r="D153" s="496">
        <v>0.1</v>
      </c>
      <c r="E153" s="495" t="s">
        <v>1097</v>
      </c>
      <c r="F153" s="495">
        <v>65</v>
      </c>
      <c r="G153" s="495">
        <v>28</v>
      </c>
      <c r="H153" s="497">
        <v>2.3214285714285716</v>
      </c>
      <c r="I153" s="497">
        <v>423.66071428571433</v>
      </c>
      <c r="J153" s="495" t="s">
        <v>699</v>
      </c>
      <c r="K153" s="564" t="s">
        <v>1209</v>
      </c>
      <c r="L153" s="506" t="s">
        <v>1217</v>
      </c>
      <c r="M153" s="495" t="s">
        <v>1212</v>
      </c>
      <c r="N153" s="495" t="s">
        <v>1241</v>
      </c>
      <c r="O153" s="489" t="s">
        <v>1306</v>
      </c>
      <c r="P153" s="495" t="s">
        <v>1223</v>
      </c>
      <c r="Q153" s="495" t="s">
        <v>1210</v>
      </c>
      <c r="R153" s="485" t="str">
        <f t="shared" si="21"/>
        <v>1</v>
      </c>
      <c r="S153" s="485" t="str">
        <f t="shared" si="22"/>
        <v>2</v>
      </c>
      <c r="T153" s="485" t="str">
        <f t="shared" si="23"/>
        <v>1</v>
      </c>
      <c r="U153" s="485" t="str">
        <f t="shared" si="24"/>
        <v>4</v>
      </c>
      <c r="V153" s="508" t="str">
        <f t="shared" si="25"/>
        <v>2</v>
      </c>
      <c r="W153" s="508" t="str">
        <f t="shared" si="26"/>
        <v>2</v>
      </c>
      <c r="X153" s="508">
        <f t="shared" si="27"/>
        <v>0</v>
      </c>
      <c r="Y153" s="568">
        <f t="shared" si="28"/>
        <v>0.18435908249980643</v>
      </c>
      <c r="Z153" s="485" t="s">
        <v>200</v>
      </c>
      <c r="AA153" s="486" t="s">
        <v>200</v>
      </c>
      <c r="AB153" s="486" t="s">
        <v>1448</v>
      </c>
    </row>
    <row r="154" spans="1:28">
      <c r="A154" s="494" t="s">
        <v>200</v>
      </c>
      <c r="B154" s="495" t="s">
        <v>647</v>
      </c>
      <c r="C154" s="495" t="s">
        <v>198</v>
      </c>
      <c r="D154" s="496">
        <v>0.1</v>
      </c>
      <c r="E154" s="495" t="s">
        <v>1097</v>
      </c>
      <c r="F154" s="495">
        <v>100</v>
      </c>
      <c r="G154" s="495">
        <v>28</v>
      </c>
      <c r="H154" s="497">
        <v>3.5714285714285716</v>
      </c>
      <c r="I154" s="497">
        <v>651.78571428571445</v>
      </c>
      <c r="J154" s="495" t="s">
        <v>699</v>
      </c>
      <c r="K154" s="564" t="s">
        <v>1209</v>
      </c>
      <c r="L154" s="506" t="s">
        <v>1217</v>
      </c>
      <c r="M154" s="498" t="s">
        <v>1212</v>
      </c>
      <c r="N154" s="495" t="s">
        <v>1241</v>
      </c>
      <c r="O154" s="489" t="s">
        <v>1306</v>
      </c>
      <c r="P154" s="495" t="s">
        <v>1293</v>
      </c>
      <c r="Q154" s="495" t="s">
        <v>1210</v>
      </c>
      <c r="R154" s="485" t="str">
        <f t="shared" si="21"/>
        <v>1</v>
      </c>
      <c r="S154" s="485" t="str">
        <f t="shared" si="22"/>
        <v>2</v>
      </c>
      <c r="T154" s="485" t="str">
        <f t="shared" si="23"/>
        <v>1</v>
      </c>
      <c r="U154" s="485" t="str">
        <f t="shared" si="24"/>
        <v>4</v>
      </c>
      <c r="V154" s="508" t="str">
        <f t="shared" si="25"/>
        <v>2</v>
      </c>
      <c r="W154" s="508" t="str">
        <f t="shared" si="26"/>
        <v>3</v>
      </c>
      <c r="X154" s="508">
        <f t="shared" si="27"/>
        <v>0</v>
      </c>
      <c r="Y154" s="568">
        <f t="shared" si="28"/>
        <v>0.43095834542209543</v>
      </c>
      <c r="Z154" s="485" t="s">
        <v>200</v>
      </c>
      <c r="AA154" s="486" t="s">
        <v>223</v>
      </c>
      <c r="AB154" s="486" t="s">
        <v>1450</v>
      </c>
    </row>
    <row r="155" spans="1:28">
      <c r="A155" s="494" t="s">
        <v>223</v>
      </c>
      <c r="B155" s="495" t="s">
        <v>647</v>
      </c>
      <c r="C155" s="498" t="s">
        <v>596</v>
      </c>
      <c r="D155" s="502" t="s">
        <v>596</v>
      </c>
      <c r="E155" s="495" t="s">
        <v>1143</v>
      </c>
      <c r="F155" s="498" t="s">
        <v>596</v>
      </c>
      <c r="G155" s="498" t="s">
        <v>596</v>
      </c>
      <c r="H155" s="498" t="s">
        <v>596</v>
      </c>
      <c r="I155" s="497">
        <v>423.66071428571433</v>
      </c>
      <c r="J155" s="498" t="s">
        <v>1168</v>
      </c>
      <c r="K155" s="489" t="s">
        <v>1210</v>
      </c>
      <c r="L155" s="495" t="s">
        <v>1210</v>
      </c>
      <c r="M155" s="495" t="s">
        <v>1210</v>
      </c>
      <c r="N155" s="495" t="s">
        <v>1210</v>
      </c>
      <c r="O155" s="495" t="s">
        <v>1210</v>
      </c>
      <c r="P155" s="495" t="s">
        <v>1210</v>
      </c>
      <c r="Q155" s="498" t="s">
        <v>1254</v>
      </c>
      <c r="R155" s="485">
        <f t="shared" si="21"/>
        <v>0</v>
      </c>
      <c r="S155" s="485">
        <f t="shared" si="22"/>
        <v>0</v>
      </c>
      <c r="T155" s="485">
        <f t="shared" si="23"/>
        <v>0</v>
      </c>
      <c r="U155" s="485">
        <f t="shared" si="24"/>
        <v>0</v>
      </c>
      <c r="V155" s="508">
        <f t="shared" si="25"/>
        <v>0</v>
      </c>
      <c r="W155" s="508">
        <f t="shared" si="26"/>
        <v>0</v>
      </c>
      <c r="X155" s="508" t="str">
        <f t="shared" si="27"/>
        <v>2</v>
      </c>
      <c r="Y155" s="568">
        <f t="shared" si="28"/>
        <v>0.2278929098260076</v>
      </c>
      <c r="Z155" s="485" t="s">
        <v>223</v>
      </c>
      <c r="AA155" s="486" t="s">
        <v>1459</v>
      </c>
      <c r="AB155" s="486" t="s">
        <v>1445</v>
      </c>
    </row>
    <row r="156" spans="1:28">
      <c r="A156" s="494" t="s">
        <v>223</v>
      </c>
      <c r="B156" s="495" t="s">
        <v>647</v>
      </c>
      <c r="C156" s="498" t="s">
        <v>596</v>
      </c>
      <c r="D156" s="502" t="s">
        <v>596</v>
      </c>
      <c r="E156" s="495" t="s">
        <v>1019</v>
      </c>
      <c r="F156" s="498" t="s">
        <v>596</v>
      </c>
      <c r="G156" s="498" t="s">
        <v>596</v>
      </c>
      <c r="H156" s="498" t="s">
        <v>596</v>
      </c>
      <c r="I156" s="497">
        <v>423.66071428571433</v>
      </c>
      <c r="J156" s="498" t="s">
        <v>1168</v>
      </c>
      <c r="K156" s="489" t="s">
        <v>1210</v>
      </c>
      <c r="L156" s="495" t="s">
        <v>1210</v>
      </c>
      <c r="M156" s="495" t="s">
        <v>1210</v>
      </c>
      <c r="N156" s="495" t="s">
        <v>1210</v>
      </c>
      <c r="O156" s="495" t="s">
        <v>1210</v>
      </c>
      <c r="P156" s="495" t="s">
        <v>1210</v>
      </c>
      <c r="Q156" s="498" t="s">
        <v>1254</v>
      </c>
      <c r="R156" s="485">
        <f t="shared" si="21"/>
        <v>0</v>
      </c>
      <c r="S156" s="485">
        <f t="shared" si="22"/>
        <v>0</v>
      </c>
      <c r="T156" s="485">
        <f t="shared" si="23"/>
        <v>0</v>
      </c>
      <c r="U156" s="485">
        <f t="shared" si="24"/>
        <v>0</v>
      </c>
      <c r="V156" s="508">
        <f t="shared" si="25"/>
        <v>0</v>
      </c>
      <c r="W156" s="508">
        <f t="shared" si="26"/>
        <v>0</v>
      </c>
      <c r="X156" s="508" t="str">
        <f t="shared" si="27"/>
        <v>2</v>
      </c>
      <c r="Y156" s="568">
        <f t="shared" si="28"/>
        <v>0.2278929098260076</v>
      </c>
      <c r="Z156" s="485" t="s">
        <v>223</v>
      </c>
      <c r="AA156" s="486" t="s">
        <v>1459</v>
      </c>
      <c r="AB156" s="486" t="s">
        <v>1445</v>
      </c>
    </row>
    <row r="157" spans="1:28">
      <c r="A157" s="494" t="s">
        <v>200</v>
      </c>
      <c r="B157" s="495" t="s">
        <v>771</v>
      </c>
      <c r="C157" s="495" t="s">
        <v>198</v>
      </c>
      <c r="D157" s="496">
        <v>0.1</v>
      </c>
      <c r="E157" s="495" t="s">
        <v>1147</v>
      </c>
      <c r="F157" s="495">
        <v>77</v>
      </c>
      <c r="G157" s="495">
        <v>28</v>
      </c>
      <c r="H157" s="497">
        <v>2.75</v>
      </c>
      <c r="I157" s="497">
        <v>501.87500000000006</v>
      </c>
      <c r="J157" s="495" t="s">
        <v>699</v>
      </c>
      <c r="K157" s="564" t="s">
        <v>1209</v>
      </c>
      <c r="L157" s="506" t="s">
        <v>1217</v>
      </c>
      <c r="M157" s="498" t="s">
        <v>1212</v>
      </c>
      <c r="N157" s="495" t="s">
        <v>1241</v>
      </c>
      <c r="O157" s="489" t="s">
        <v>1305</v>
      </c>
      <c r="P157" s="495" t="s">
        <v>1223</v>
      </c>
      <c r="Q157" s="495" t="s">
        <v>1210</v>
      </c>
      <c r="R157" s="485" t="str">
        <f t="shared" si="21"/>
        <v>1</v>
      </c>
      <c r="S157" s="485" t="str">
        <f t="shared" si="22"/>
        <v>2</v>
      </c>
      <c r="T157" s="485" t="str">
        <f t="shared" si="23"/>
        <v>1</v>
      </c>
      <c r="U157" s="485" t="str">
        <f t="shared" si="24"/>
        <v>4</v>
      </c>
      <c r="V157" s="508" t="str">
        <f t="shared" si="25"/>
        <v>2</v>
      </c>
      <c r="W157" s="508" t="str">
        <f t="shared" si="26"/>
        <v>2</v>
      </c>
      <c r="X157" s="508">
        <f t="shared" si="27"/>
        <v>0</v>
      </c>
      <c r="Y157" s="568">
        <f t="shared" si="28"/>
        <v>0.18435908249980643</v>
      </c>
      <c r="Z157" s="485" t="s">
        <v>200</v>
      </c>
      <c r="AA157" s="486" t="s">
        <v>223</v>
      </c>
      <c r="AB157" s="486" t="s">
        <v>1451</v>
      </c>
    </row>
    <row r="158" spans="1:28">
      <c r="A158" s="494" t="s">
        <v>200</v>
      </c>
      <c r="B158" s="495" t="s">
        <v>771</v>
      </c>
      <c r="C158" s="495" t="s">
        <v>198</v>
      </c>
      <c r="D158" s="496">
        <v>0.1</v>
      </c>
      <c r="E158" s="495" t="s">
        <v>1147</v>
      </c>
      <c r="F158" s="495">
        <v>83</v>
      </c>
      <c r="G158" s="495">
        <v>28</v>
      </c>
      <c r="H158" s="497">
        <v>2.9642857142857144</v>
      </c>
      <c r="I158" s="497">
        <v>540.98214285714289</v>
      </c>
      <c r="J158" s="495" t="s">
        <v>699</v>
      </c>
      <c r="K158" s="564" t="s">
        <v>1209</v>
      </c>
      <c r="L158" s="506" t="s">
        <v>1217</v>
      </c>
      <c r="M158" s="498" t="s">
        <v>1212</v>
      </c>
      <c r="N158" s="495" t="s">
        <v>1241</v>
      </c>
      <c r="O158" s="489" t="s">
        <v>1305</v>
      </c>
      <c r="P158" s="495" t="s">
        <v>1223</v>
      </c>
      <c r="Q158" s="495" t="s">
        <v>1210</v>
      </c>
      <c r="R158" s="485" t="str">
        <f t="shared" si="21"/>
        <v>1</v>
      </c>
      <c r="S158" s="485" t="str">
        <f t="shared" si="22"/>
        <v>2</v>
      </c>
      <c r="T158" s="485" t="str">
        <f t="shared" si="23"/>
        <v>1</v>
      </c>
      <c r="U158" s="485" t="str">
        <f t="shared" si="24"/>
        <v>4</v>
      </c>
      <c r="V158" s="508" t="str">
        <f t="shared" si="25"/>
        <v>2</v>
      </c>
      <c r="W158" s="508" t="str">
        <f t="shared" si="26"/>
        <v>2</v>
      </c>
      <c r="X158" s="508">
        <f t="shared" si="27"/>
        <v>0</v>
      </c>
      <c r="Y158" s="568">
        <f t="shared" si="28"/>
        <v>0.18435908249980643</v>
      </c>
      <c r="Z158" s="485" t="s">
        <v>200</v>
      </c>
      <c r="AA158" s="486" t="s">
        <v>223</v>
      </c>
      <c r="AB158" s="486" t="s">
        <v>1451</v>
      </c>
    </row>
    <row r="159" spans="1:28">
      <c r="A159" s="494" t="s">
        <v>200</v>
      </c>
      <c r="B159" s="495" t="s">
        <v>771</v>
      </c>
      <c r="C159" s="495" t="s">
        <v>198</v>
      </c>
      <c r="D159" s="496">
        <v>0.1</v>
      </c>
      <c r="E159" s="495" t="s">
        <v>1147</v>
      </c>
      <c r="F159" s="495">
        <v>100</v>
      </c>
      <c r="G159" s="495">
        <v>28</v>
      </c>
      <c r="H159" s="497">
        <v>3.5714285714285716</v>
      </c>
      <c r="I159" s="497">
        <v>651.78571428571445</v>
      </c>
      <c r="J159" s="495" t="s">
        <v>699</v>
      </c>
      <c r="K159" s="564" t="s">
        <v>1209</v>
      </c>
      <c r="L159" s="506" t="s">
        <v>1217</v>
      </c>
      <c r="M159" s="498" t="s">
        <v>1212</v>
      </c>
      <c r="N159" s="495" t="s">
        <v>1241</v>
      </c>
      <c r="O159" s="489" t="s">
        <v>1305</v>
      </c>
      <c r="P159" s="495" t="s">
        <v>1293</v>
      </c>
      <c r="Q159" s="495" t="s">
        <v>1210</v>
      </c>
      <c r="R159" s="485" t="str">
        <f t="shared" si="21"/>
        <v>1</v>
      </c>
      <c r="S159" s="485" t="str">
        <f t="shared" si="22"/>
        <v>2</v>
      </c>
      <c r="T159" s="485" t="str">
        <f t="shared" si="23"/>
        <v>1</v>
      </c>
      <c r="U159" s="485" t="str">
        <f t="shared" si="24"/>
        <v>4</v>
      </c>
      <c r="V159" s="508" t="str">
        <f t="shared" si="25"/>
        <v>2</v>
      </c>
      <c r="W159" s="508" t="str">
        <f t="shared" si="26"/>
        <v>3</v>
      </c>
      <c r="X159" s="508">
        <f t="shared" si="27"/>
        <v>0</v>
      </c>
      <c r="Y159" s="568">
        <f t="shared" si="28"/>
        <v>0.43095834542209543</v>
      </c>
      <c r="Z159" s="485" t="s">
        <v>200</v>
      </c>
      <c r="AA159" s="486" t="s">
        <v>223</v>
      </c>
      <c r="AB159" s="486" t="s">
        <v>1451</v>
      </c>
    </row>
    <row r="160" spans="1:28">
      <c r="A160" s="494" t="s">
        <v>200</v>
      </c>
      <c r="B160" s="495" t="s">
        <v>771</v>
      </c>
      <c r="C160" s="495" t="s">
        <v>198</v>
      </c>
      <c r="D160" s="496">
        <v>0.1</v>
      </c>
      <c r="E160" s="495" t="s">
        <v>1147</v>
      </c>
      <c r="F160" s="495">
        <v>100</v>
      </c>
      <c r="G160" s="495">
        <v>28</v>
      </c>
      <c r="H160" s="497">
        <v>3.5714285714285716</v>
      </c>
      <c r="I160" s="497">
        <v>651.78571428571445</v>
      </c>
      <c r="J160" s="495" t="s">
        <v>699</v>
      </c>
      <c r="K160" s="564" t="s">
        <v>1209</v>
      </c>
      <c r="L160" s="506" t="s">
        <v>1217</v>
      </c>
      <c r="M160" s="498" t="s">
        <v>1212</v>
      </c>
      <c r="N160" s="495" t="s">
        <v>1241</v>
      </c>
      <c r="O160" s="489" t="s">
        <v>1305</v>
      </c>
      <c r="P160" s="495" t="s">
        <v>1293</v>
      </c>
      <c r="Q160" s="495" t="s">
        <v>1210</v>
      </c>
      <c r="R160" s="485" t="str">
        <f t="shared" si="21"/>
        <v>1</v>
      </c>
      <c r="S160" s="485" t="str">
        <f t="shared" si="22"/>
        <v>2</v>
      </c>
      <c r="T160" s="485" t="str">
        <f t="shared" si="23"/>
        <v>1</v>
      </c>
      <c r="U160" s="485" t="str">
        <f t="shared" si="24"/>
        <v>4</v>
      </c>
      <c r="V160" s="508" t="str">
        <f t="shared" si="25"/>
        <v>2</v>
      </c>
      <c r="W160" s="508" t="str">
        <f t="shared" si="26"/>
        <v>3</v>
      </c>
      <c r="X160" s="508">
        <f t="shared" si="27"/>
        <v>0</v>
      </c>
      <c r="Y160" s="568">
        <f t="shared" si="28"/>
        <v>0.43095834542209543</v>
      </c>
      <c r="Z160" s="485" t="s">
        <v>200</v>
      </c>
      <c r="AA160" s="486" t="s">
        <v>223</v>
      </c>
      <c r="AB160" s="486" t="s">
        <v>1451</v>
      </c>
    </row>
    <row r="161" spans="1:28">
      <c r="A161" s="494" t="s">
        <v>223</v>
      </c>
      <c r="B161" s="495" t="s">
        <v>771</v>
      </c>
      <c r="C161" s="498" t="s">
        <v>596</v>
      </c>
      <c r="D161" s="502" t="s">
        <v>596</v>
      </c>
      <c r="E161" s="495" t="s">
        <v>1146</v>
      </c>
      <c r="F161" s="498" t="s">
        <v>596</v>
      </c>
      <c r="G161" s="498" t="s">
        <v>596</v>
      </c>
      <c r="H161" s="498" t="s">
        <v>596</v>
      </c>
      <c r="I161" s="503">
        <v>13.04</v>
      </c>
      <c r="J161" s="498" t="s">
        <v>1168</v>
      </c>
      <c r="K161" s="489" t="s">
        <v>1210</v>
      </c>
      <c r="L161" s="495" t="s">
        <v>1210</v>
      </c>
      <c r="M161" s="495" t="s">
        <v>1210</v>
      </c>
      <c r="N161" s="495" t="s">
        <v>1210</v>
      </c>
      <c r="O161" s="495" t="s">
        <v>1210</v>
      </c>
      <c r="P161" s="495" t="s">
        <v>1210</v>
      </c>
      <c r="Q161" s="498" t="s">
        <v>1254</v>
      </c>
      <c r="R161" s="485">
        <f t="shared" si="21"/>
        <v>0</v>
      </c>
      <c r="S161" s="485">
        <f t="shared" si="22"/>
        <v>0</v>
      </c>
      <c r="T161" s="485">
        <f t="shared" si="23"/>
        <v>0</v>
      </c>
      <c r="U161" s="485">
        <f t="shared" si="24"/>
        <v>0</v>
      </c>
      <c r="V161" s="508">
        <f t="shared" si="25"/>
        <v>0</v>
      </c>
      <c r="W161" s="508">
        <f t="shared" si="26"/>
        <v>0</v>
      </c>
      <c r="X161" s="508" t="str">
        <f t="shared" si="27"/>
        <v>2</v>
      </c>
      <c r="Y161" s="568">
        <f t="shared" si="28"/>
        <v>0.2278929098260076</v>
      </c>
      <c r="Z161" s="485" t="s">
        <v>223</v>
      </c>
      <c r="AA161" s="486" t="s">
        <v>1459</v>
      </c>
      <c r="AB161" s="486" t="s">
        <v>1445</v>
      </c>
    </row>
    <row r="162" spans="1:28">
      <c r="A162" s="494" t="s">
        <v>200</v>
      </c>
      <c r="B162" s="495" t="s">
        <v>771</v>
      </c>
      <c r="C162" s="495" t="s">
        <v>198</v>
      </c>
      <c r="D162" s="496">
        <v>0.1</v>
      </c>
      <c r="E162" s="495" t="s">
        <v>1097</v>
      </c>
      <c r="F162" s="495">
        <v>1</v>
      </c>
      <c r="G162" s="495">
        <v>28</v>
      </c>
      <c r="H162" s="497">
        <v>3.5714285714285712E-2</v>
      </c>
      <c r="I162" s="497">
        <v>6.5178571428571495</v>
      </c>
      <c r="J162" s="495" t="s">
        <v>699</v>
      </c>
      <c r="K162" s="564" t="s">
        <v>1209</v>
      </c>
      <c r="L162" s="506" t="s">
        <v>1217</v>
      </c>
      <c r="M162" s="495" t="s">
        <v>1215</v>
      </c>
      <c r="N162" s="495" t="s">
        <v>1241</v>
      </c>
      <c r="O162" s="489" t="s">
        <v>1306</v>
      </c>
      <c r="P162" s="495" t="s">
        <v>1223</v>
      </c>
      <c r="Q162" s="495" t="s">
        <v>1210</v>
      </c>
      <c r="R162" s="485" t="str">
        <f t="shared" si="21"/>
        <v>1</v>
      </c>
      <c r="S162" s="485" t="str">
        <f t="shared" si="22"/>
        <v>2</v>
      </c>
      <c r="T162" s="485" t="str">
        <f t="shared" si="23"/>
        <v>4</v>
      </c>
      <c r="U162" s="485" t="str">
        <f t="shared" si="24"/>
        <v>4</v>
      </c>
      <c r="V162" s="508" t="str">
        <f t="shared" si="25"/>
        <v>2</v>
      </c>
      <c r="W162" s="508" t="str">
        <f t="shared" si="26"/>
        <v>2</v>
      </c>
      <c r="X162" s="508">
        <f t="shared" si="27"/>
        <v>0</v>
      </c>
      <c r="Y162" s="568">
        <f t="shared" si="28"/>
        <v>1.2591904459579091</v>
      </c>
      <c r="Z162" s="485" t="s">
        <v>200</v>
      </c>
      <c r="AA162" s="486" t="s">
        <v>1447</v>
      </c>
      <c r="AB162" s="486" t="s">
        <v>1447</v>
      </c>
    </row>
    <row r="163" spans="1:28">
      <c r="A163" s="494" t="s">
        <v>200</v>
      </c>
      <c r="B163" s="495" t="s">
        <v>771</v>
      </c>
      <c r="C163" s="495" t="s">
        <v>198</v>
      </c>
      <c r="D163" s="496">
        <v>0.1</v>
      </c>
      <c r="E163" s="495" t="s">
        <v>1097</v>
      </c>
      <c r="F163" s="495">
        <v>2</v>
      </c>
      <c r="G163" s="495">
        <v>28</v>
      </c>
      <c r="H163" s="497">
        <v>7.1428571428571425E-2</v>
      </c>
      <c r="I163" s="497">
        <v>13.035714285714299</v>
      </c>
      <c r="J163" s="495" t="s">
        <v>699</v>
      </c>
      <c r="K163" s="564" t="s">
        <v>1209</v>
      </c>
      <c r="L163" s="506" t="s">
        <v>1217</v>
      </c>
      <c r="M163" s="495" t="s">
        <v>1215</v>
      </c>
      <c r="N163" s="495" t="s">
        <v>1241</v>
      </c>
      <c r="O163" s="489" t="s">
        <v>1306</v>
      </c>
      <c r="P163" s="495" t="s">
        <v>1293</v>
      </c>
      <c r="Q163" s="495" t="s">
        <v>1210</v>
      </c>
      <c r="R163" s="485" t="str">
        <f t="shared" si="21"/>
        <v>1</v>
      </c>
      <c r="S163" s="485" t="str">
        <f t="shared" si="22"/>
        <v>2</v>
      </c>
      <c r="T163" s="485" t="str">
        <f t="shared" si="23"/>
        <v>4</v>
      </c>
      <c r="U163" s="485" t="str">
        <f t="shared" si="24"/>
        <v>4</v>
      </c>
      <c r="V163" s="508" t="str">
        <f t="shared" si="25"/>
        <v>2</v>
      </c>
      <c r="W163" s="508" t="str">
        <f t="shared" si="26"/>
        <v>3</v>
      </c>
      <c r="X163" s="508">
        <f t="shared" si="27"/>
        <v>0</v>
      </c>
      <c r="Y163" s="568">
        <f t="shared" si="28"/>
        <v>1.3180657811279592</v>
      </c>
      <c r="Z163" s="485" t="s">
        <v>200</v>
      </c>
      <c r="AA163" s="486" t="s">
        <v>223</v>
      </c>
      <c r="AB163" s="486" t="s">
        <v>1450</v>
      </c>
    </row>
    <row r="164" spans="1:28">
      <c r="A164" s="494" t="s">
        <v>200</v>
      </c>
      <c r="B164" s="495" t="s">
        <v>771</v>
      </c>
      <c r="C164" s="495" t="s">
        <v>198</v>
      </c>
      <c r="D164" s="496">
        <v>0.1</v>
      </c>
      <c r="E164" s="495" t="s">
        <v>1097</v>
      </c>
      <c r="F164" s="495">
        <v>3</v>
      </c>
      <c r="G164" s="495">
        <v>28</v>
      </c>
      <c r="H164" s="497">
        <v>0.10714285714285714</v>
      </c>
      <c r="I164" s="497">
        <v>19.553571428571448</v>
      </c>
      <c r="J164" s="495" t="s">
        <v>699</v>
      </c>
      <c r="K164" s="564" t="s">
        <v>1209</v>
      </c>
      <c r="L164" s="506" t="s">
        <v>1217</v>
      </c>
      <c r="M164" s="495" t="s">
        <v>1215</v>
      </c>
      <c r="N164" s="495" t="s">
        <v>1241</v>
      </c>
      <c r="O164" s="489" t="s">
        <v>1306</v>
      </c>
      <c r="P164" s="495" t="s">
        <v>1223</v>
      </c>
      <c r="Q164" s="495" t="s">
        <v>1210</v>
      </c>
      <c r="R164" s="485" t="str">
        <f t="shared" si="21"/>
        <v>1</v>
      </c>
      <c r="S164" s="485" t="str">
        <f t="shared" si="22"/>
        <v>2</v>
      </c>
      <c r="T164" s="485" t="str">
        <f t="shared" si="23"/>
        <v>4</v>
      </c>
      <c r="U164" s="485" t="str">
        <f t="shared" si="24"/>
        <v>4</v>
      </c>
      <c r="V164" s="508" t="str">
        <f t="shared" si="25"/>
        <v>2</v>
      </c>
      <c r="W164" s="508" t="str">
        <f t="shared" si="26"/>
        <v>2</v>
      </c>
      <c r="X164" s="508">
        <f t="shared" si="27"/>
        <v>0</v>
      </c>
      <c r="Y164" s="568">
        <f t="shared" si="28"/>
        <v>1.2591904459579091</v>
      </c>
      <c r="Z164" s="485" t="s">
        <v>200</v>
      </c>
      <c r="AA164" s="486" t="s">
        <v>1447</v>
      </c>
      <c r="AB164" s="486" t="s">
        <v>1447</v>
      </c>
    </row>
    <row r="165" spans="1:28">
      <c r="A165" s="494" t="s">
        <v>200</v>
      </c>
      <c r="B165" s="495" t="s">
        <v>771</v>
      </c>
      <c r="C165" s="495" t="s">
        <v>198</v>
      </c>
      <c r="D165" s="496">
        <v>0.1</v>
      </c>
      <c r="E165" s="495" t="s">
        <v>1097</v>
      </c>
      <c r="F165" s="495">
        <v>5</v>
      </c>
      <c r="G165" s="495">
        <v>28</v>
      </c>
      <c r="H165" s="497">
        <v>0.17857142857142858</v>
      </c>
      <c r="I165" s="497">
        <v>32.589285714285744</v>
      </c>
      <c r="J165" s="495" t="s">
        <v>699</v>
      </c>
      <c r="K165" s="564" t="s">
        <v>1209</v>
      </c>
      <c r="L165" s="506" t="s">
        <v>1217</v>
      </c>
      <c r="M165" s="498" t="s">
        <v>1215</v>
      </c>
      <c r="N165" s="495" t="s">
        <v>1241</v>
      </c>
      <c r="O165" s="489" t="s">
        <v>1306</v>
      </c>
      <c r="P165" s="495" t="s">
        <v>1293</v>
      </c>
      <c r="Q165" s="495" t="s">
        <v>1210</v>
      </c>
      <c r="R165" s="485" t="str">
        <f t="shared" si="21"/>
        <v>1</v>
      </c>
      <c r="S165" s="485" t="str">
        <f t="shared" si="22"/>
        <v>2</v>
      </c>
      <c r="T165" s="485" t="str">
        <f t="shared" si="23"/>
        <v>4</v>
      </c>
      <c r="U165" s="485" t="str">
        <f t="shared" si="24"/>
        <v>4</v>
      </c>
      <c r="V165" s="508" t="str">
        <f t="shared" si="25"/>
        <v>2</v>
      </c>
      <c r="W165" s="508" t="str">
        <f t="shared" si="26"/>
        <v>3</v>
      </c>
      <c r="X165" s="508">
        <f t="shared" si="27"/>
        <v>0</v>
      </c>
      <c r="Y165" s="568">
        <f t="shared" si="28"/>
        <v>1.3180657811279592</v>
      </c>
      <c r="Z165" s="485" t="s">
        <v>200</v>
      </c>
      <c r="AA165" s="486" t="s">
        <v>223</v>
      </c>
      <c r="AB165" s="486" t="s">
        <v>1450</v>
      </c>
    </row>
    <row r="166" spans="1:28">
      <c r="A166" s="494" t="s">
        <v>223</v>
      </c>
      <c r="B166" s="495" t="s">
        <v>771</v>
      </c>
      <c r="C166" s="498" t="s">
        <v>596</v>
      </c>
      <c r="D166" s="502" t="s">
        <v>596</v>
      </c>
      <c r="E166" s="495" t="s">
        <v>1143</v>
      </c>
      <c r="F166" s="498" t="s">
        <v>596</v>
      </c>
      <c r="G166" s="498" t="s">
        <v>596</v>
      </c>
      <c r="H166" s="498" t="s">
        <v>596</v>
      </c>
      <c r="I166" s="503">
        <v>13.04</v>
      </c>
      <c r="J166" s="498" t="s">
        <v>1168</v>
      </c>
      <c r="K166" s="489" t="s">
        <v>1210</v>
      </c>
      <c r="L166" s="495" t="s">
        <v>1210</v>
      </c>
      <c r="M166" s="495" t="s">
        <v>1210</v>
      </c>
      <c r="N166" s="495" t="s">
        <v>1210</v>
      </c>
      <c r="O166" s="495" t="s">
        <v>1210</v>
      </c>
      <c r="P166" s="495" t="s">
        <v>1210</v>
      </c>
      <c r="Q166" s="498" t="s">
        <v>1254</v>
      </c>
      <c r="R166" s="485">
        <f t="shared" si="21"/>
        <v>0</v>
      </c>
      <c r="S166" s="485">
        <f t="shared" si="22"/>
        <v>0</v>
      </c>
      <c r="T166" s="485">
        <f t="shared" si="23"/>
        <v>0</v>
      </c>
      <c r="U166" s="485">
        <f t="shared" si="24"/>
        <v>0</v>
      </c>
      <c r="V166" s="508">
        <f t="shared" si="25"/>
        <v>0</v>
      </c>
      <c r="W166" s="508">
        <f t="shared" si="26"/>
        <v>0</v>
      </c>
      <c r="X166" s="508" t="str">
        <f t="shared" si="27"/>
        <v>2</v>
      </c>
      <c r="Y166" s="568">
        <f t="shared" si="28"/>
        <v>0.2278929098260076</v>
      </c>
      <c r="Z166" s="485" t="s">
        <v>223</v>
      </c>
      <c r="AA166" s="486" t="s">
        <v>1459</v>
      </c>
      <c r="AB166" s="486" t="s">
        <v>1445</v>
      </c>
    </row>
    <row r="167" spans="1:28">
      <c r="A167" s="494" t="s">
        <v>223</v>
      </c>
      <c r="B167" s="495" t="s">
        <v>771</v>
      </c>
      <c r="C167" s="498" t="s">
        <v>596</v>
      </c>
      <c r="D167" s="502" t="s">
        <v>596</v>
      </c>
      <c r="E167" s="495" t="s">
        <v>1019</v>
      </c>
      <c r="F167" s="498" t="s">
        <v>596</v>
      </c>
      <c r="G167" s="498" t="s">
        <v>596</v>
      </c>
      <c r="H167" s="498" t="s">
        <v>596</v>
      </c>
      <c r="I167" s="503">
        <v>13.04</v>
      </c>
      <c r="J167" s="498" t="s">
        <v>1168</v>
      </c>
      <c r="K167" s="489" t="s">
        <v>1210</v>
      </c>
      <c r="L167" s="495" t="s">
        <v>1210</v>
      </c>
      <c r="M167" s="495" t="s">
        <v>1210</v>
      </c>
      <c r="N167" s="495" t="s">
        <v>1210</v>
      </c>
      <c r="O167" s="495" t="s">
        <v>1210</v>
      </c>
      <c r="P167" s="495" t="s">
        <v>1210</v>
      </c>
      <c r="Q167" s="498" t="s">
        <v>1254</v>
      </c>
      <c r="R167" s="485">
        <f t="shared" si="21"/>
        <v>0</v>
      </c>
      <c r="S167" s="485">
        <f t="shared" si="22"/>
        <v>0</v>
      </c>
      <c r="T167" s="485">
        <f t="shared" si="23"/>
        <v>0</v>
      </c>
      <c r="U167" s="485">
        <f t="shared" si="24"/>
        <v>0</v>
      </c>
      <c r="V167" s="508">
        <f t="shared" si="25"/>
        <v>0</v>
      </c>
      <c r="W167" s="508">
        <f t="shared" si="26"/>
        <v>0</v>
      </c>
      <c r="X167" s="508" t="str">
        <f t="shared" si="27"/>
        <v>2</v>
      </c>
      <c r="Y167" s="568">
        <f t="shared" si="28"/>
        <v>0.2278929098260076</v>
      </c>
      <c r="Z167" s="485" t="s">
        <v>223</v>
      </c>
      <c r="AA167" s="486" t="s">
        <v>1459</v>
      </c>
      <c r="AB167" s="486" t="s">
        <v>1445</v>
      </c>
    </row>
    <row r="168" spans="1:28">
      <c r="A168" s="501" t="s">
        <v>223</v>
      </c>
      <c r="B168" s="489" t="s">
        <v>78</v>
      </c>
      <c r="C168" s="498" t="s">
        <v>596</v>
      </c>
      <c r="D168" s="502" t="s">
        <v>596</v>
      </c>
      <c r="E168" s="495" t="s">
        <v>1146</v>
      </c>
      <c r="F168" s="498" t="s">
        <v>596</v>
      </c>
      <c r="G168" s="498" t="s">
        <v>596</v>
      </c>
      <c r="H168" s="498" t="s">
        <v>596</v>
      </c>
      <c r="I168" s="491">
        <v>0.6944444444444452</v>
      </c>
      <c r="J168" s="498" t="s">
        <v>1168</v>
      </c>
      <c r="K168" s="489" t="s">
        <v>1210</v>
      </c>
      <c r="L168" s="495" t="s">
        <v>1210</v>
      </c>
      <c r="M168" s="495" t="s">
        <v>1210</v>
      </c>
      <c r="N168" s="495" t="s">
        <v>1210</v>
      </c>
      <c r="O168" s="495" t="s">
        <v>1210</v>
      </c>
      <c r="P168" s="495" t="s">
        <v>1210</v>
      </c>
      <c r="Q168" s="498" t="s">
        <v>1254</v>
      </c>
      <c r="R168" s="485">
        <f t="shared" si="21"/>
        <v>0</v>
      </c>
      <c r="S168" s="485">
        <f t="shared" si="22"/>
        <v>0</v>
      </c>
      <c r="T168" s="485">
        <f t="shared" si="23"/>
        <v>0</v>
      </c>
      <c r="U168" s="485">
        <f t="shared" si="24"/>
        <v>0</v>
      </c>
      <c r="V168" s="508">
        <f t="shared" si="25"/>
        <v>0</v>
      </c>
      <c r="W168" s="508">
        <f t="shared" si="26"/>
        <v>0</v>
      </c>
      <c r="X168" s="508" t="str">
        <f t="shared" si="27"/>
        <v>2</v>
      </c>
      <c r="Y168" s="568">
        <f t="shared" si="28"/>
        <v>0.2278929098260076</v>
      </c>
      <c r="Z168" s="485" t="s">
        <v>223</v>
      </c>
      <c r="AA168" s="486" t="s">
        <v>1459</v>
      </c>
      <c r="AB168" s="486" t="s">
        <v>1445</v>
      </c>
    </row>
    <row r="169" spans="1:28">
      <c r="A169" s="565" t="s">
        <v>200</v>
      </c>
      <c r="B169" s="489" t="s">
        <v>78</v>
      </c>
      <c r="C169" s="489" t="s">
        <v>198</v>
      </c>
      <c r="D169" s="490">
        <v>0.5</v>
      </c>
      <c r="E169" s="489" t="s">
        <v>1097</v>
      </c>
      <c r="F169" s="489">
        <v>5</v>
      </c>
      <c r="G169" s="552">
        <v>6570</v>
      </c>
      <c r="H169" s="491">
        <v>7.6103500761035003E-4</v>
      </c>
      <c r="I169" s="491">
        <v>0.6944444444444452</v>
      </c>
      <c r="J169" s="553" t="s">
        <v>1180</v>
      </c>
      <c r="K169" s="564" t="s">
        <v>1210</v>
      </c>
      <c r="L169" s="505" t="s">
        <v>1210</v>
      </c>
      <c r="M169" s="498" t="s">
        <v>1210</v>
      </c>
      <c r="N169" s="489" t="s">
        <v>1210</v>
      </c>
      <c r="O169" s="489" t="s">
        <v>1210</v>
      </c>
      <c r="P169" s="489" t="s">
        <v>1210</v>
      </c>
      <c r="Q169" s="495" t="s">
        <v>1254</v>
      </c>
      <c r="R169" s="485">
        <f t="shared" si="21"/>
        <v>0</v>
      </c>
      <c r="S169" s="485">
        <f t="shared" si="22"/>
        <v>0</v>
      </c>
      <c r="T169" s="485">
        <f t="shared" si="23"/>
        <v>0</v>
      </c>
      <c r="U169" s="485">
        <f t="shared" si="24"/>
        <v>0</v>
      </c>
      <c r="V169" s="508">
        <f t="shared" si="25"/>
        <v>0</v>
      </c>
      <c r="W169" s="508">
        <f t="shared" si="26"/>
        <v>0</v>
      </c>
      <c r="X169" s="508" t="str">
        <f t="shared" si="27"/>
        <v>2</v>
      </c>
      <c r="Y169" s="568">
        <f t="shared" si="28"/>
        <v>0.2278929098260076</v>
      </c>
      <c r="Z169" s="485" t="s">
        <v>200</v>
      </c>
      <c r="AA169" s="486" t="s">
        <v>200</v>
      </c>
      <c r="AB169" s="486" t="s">
        <v>1449</v>
      </c>
    </row>
    <row r="170" spans="1:28">
      <c r="A170" s="501" t="s">
        <v>223</v>
      </c>
      <c r="B170" s="489" t="s">
        <v>78</v>
      </c>
      <c r="C170" s="498" t="s">
        <v>596</v>
      </c>
      <c r="D170" s="502" t="s">
        <v>596</v>
      </c>
      <c r="E170" s="495" t="s">
        <v>1143</v>
      </c>
      <c r="F170" s="498" t="s">
        <v>596</v>
      </c>
      <c r="G170" s="498" t="s">
        <v>596</v>
      </c>
      <c r="H170" s="498" t="s">
        <v>596</v>
      </c>
      <c r="I170" s="491">
        <v>0.6944444444444452</v>
      </c>
      <c r="J170" s="498" t="s">
        <v>1168</v>
      </c>
      <c r="K170" s="489" t="s">
        <v>1210</v>
      </c>
      <c r="L170" s="495" t="s">
        <v>1210</v>
      </c>
      <c r="M170" s="495" t="s">
        <v>1210</v>
      </c>
      <c r="N170" s="495" t="s">
        <v>1210</v>
      </c>
      <c r="O170" s="495" t="s">
        <v>1210</v>
      </c>
      <c r="P170" s="495" t="s">
        <v>1210</v>
      </c>
      <c r="Q170" s="498" t="s">
        <v>1254</v>
      </c>
      <c r="R170" s="485">
        <f t="shared" si="21"/>
        <v>0</v>
      </c>
      <c r="S170" s="485">
        <f t="shared" si="22"/>
        <v>0</v>
      </c>
      <c r="T170" s="485">
        <f t="shared" si="23"/>
        <v>0</v>
      </c>
      <c r="U170" s="485">
        <f t="shared" si="24"/>
        <v>0</v>
      </c>
      <c r="V170" s="508">
        <f t="shared" si="25"/>
        <v>0</v>
      </c>
      <c r="W170" s="508">
        <f t="shared" si="26"/>
        <v>0</v>
      </c>
      <c r="X170" s="508" t="str">
        <f t="shared" si="27"/>
        <v>2</v>
      </c>
      <c r="Y170" s="568">
        <f t="shared" si="28"/>
        <v>0.2278929098260076</v>
      </c>
      <c r="Z170" s="485" t="s">
        <v>223</v>
      </c>
      <c r="AA170" s="486" t="s">
        <v>1459</v>
      </c>
      <c r="AB170" s="486" t="s">
        <v>1445</v>
      </c>
    </row>
    <row r="171" spans="1:28">
      <c r="A171" s="566" t="s">
        <v>200</v>
      </c>
      <c r="B171" s="489" t="s">
        <v>78</v>
      </c>
      <c r="C171" s="489" t="s">
        <v>198</v>
      </c>
      <c r="D171" s="489">
        <v>0.3</v>
      </c>
      <c r="E171" s="489" t="s">
        <v>1019</v>
      </c>
      <c r="F171" s="489">
        <v>5</v>
      </c>
      <c r="G171" s="552">
        <f>35*365</f>
        <v>12775</v>
      </c>
      <c r="H171" s="491">
        <f>F171/G171</f>
        <v>3.9138943248532291E-4</v>
      </c>
      <c r="I171" s="491">
        <v>0.21428571428571452</v>
      </c>
      <c r="J171" s="489" t="s">
        <v>1181</v>
      </c>
      <c r="K171" s="564" t="s">
        <v>1209</v>
      </c>
      <c r="L171" s="489" t="s">
        <v>1437</v>
      </c>
      <c r="M171" s="498" t="s">
        <v>1215</v>
      </c>
      <c r="N171" s="495" t="s">
        <v>1241</v>
      </c>
      <c r="O171" s="489" t="s">
        <v>1438</v>
      </c>
      <c r="P171" s="489" t="s">
        <v>1439</v>
      </c>
      <c r="Q171" s="495" t="s">
        <v>1210</v>
      </c>
      <c r="R171" s="485" t="str">
        <f t="shared" si="21"/>
        <v>1</v>
      </c>
      <c r="S171" s="485" t="str">
        <f t="shared" si="22"/>
        <v>4</v>
      </c>
      <c r="T171" s="485" t="str">
        <f t="shared" si="23"/>
        <v>4</v>
      </c>
      <c r="U171" s="485" t="str">
        <f t="shared" si="24"/>
        <v>4</v>
      </c>
      <c r="V171" s="508" t="str">
        <f t="shared" si="25"/>
        <v>2</v>
      </c>
      <c r="W171" s="508" t="str">
        <f t="shared" si="26"/>
        <v>4</v>
      </c>
      <c r="X171" s="508">
        <f t="shared" si="27"/>
        <v>0</v>
      </c>
      <c r="Y171" s="568">
        <f t="shared" si="28"/>
        <v>1.7664831936525098</v>
      </c>
      <c r="Z171" s="485" t="s">
        <v>200</v>
      </c>
      <c r="AA171" s="486" t="s">
        <v>223</v>
      </c>
      <c r="AB171" s="486" t="s">
        <v>1450</v>
      </c>
    </row>
    <row r="172" spans="1:28">
      <c r="A172" s="566" t="s">
        <v>200</v>
      </c>
      <c r="B172" s="489" t="s">
        <v>78</v>
      </c>
      <c r="C172" s="489" t="s">
        <v>198</v>
      </c>
      <c r="D172" s="489">
        <v>0.3</v>
      </c>
      <c r="E172" s="489" t="s">
        <v>1019</v>
      </c>
      <c r="F172" s="489">
        <v>50</v>
      </c>
      <c r="G172" s="489">
        <v>65700</v>
      </c>
      <c r="H172" s="491">
        <v>7.6103500761035003E-4</v>
      </c>
      <c r="I172" s="491">
        <v>0.41666666666666663</v>
      </c>
      <c r="J172" s="489" t="s">
        <v>910</v>
      </c>
      <c r="K172" s="564" t="s">
        <v>1209</v>
      </c>
      <c r="L172" s="489" t="s">
        <v>1437</v>
      </c>
      <c r="M172" s="498" t="s">
        <v>1212</v>
      </c>
      <c r="N172" s="495" t="s">
        <v>1241</v>
      </c>
      <c r="O172" s="489" t="s">
        <v>1438</v>
      </c>
      <c r="P172" s="489" t="s">
        <v>1439</v>
      </c>
      <c r="Q172" s="495" t="s">
        <v>1210</v>
      </c>
      <c r="R172" s="485" t="str">
        <f t="shared" si="21"/>
        <v>1</v>
      </c>
      <c r="S172" s="485" t="str">
        <f t="shared" si="22"/>
        <v>4</v>
      </c>
      <c r="T172" s="485" t="str">
        <f t="shared" si="23"/>
        <v>1</v>
      </c>
      <c r="U172" s="485" t="str">
        <f t="shared" si="24"/>
        <v>4</v>
      </c>
      <c r="V172" s="508" t="str">
        <f t="shared" si="25"/>
        <v>2</v>
      </c>
      <c r="W172" s="508" t="str">
        <f t="shared" si="26"/>
        <v>4</v>
      </c>
      <c r="X172" s="508">
        <f t="shared" si="27"/>
        <v>0</v>
      </c>
      <c r="Y172" s="568">
        <f t="shared" si="28"/>
        <v>1.252553617840475</v>
      </c>
      <c r="Z172" s="485" t="s">
        <v>200</v>
      </c>
      <c r="AA172" s="486" t="s">
        <v>1447</v>
      </c>
      <c r="AB172" s="486" t="s">
        <v>1447</v>
      </c>
    </row>
    <row r="173" spans="1:28">
      <c r="A173" s="566" t="s">
        <v>200</v>
      </c>
      <c r="B173" s="489" t="s">
        <v>78</v>
      </c>
      <c r="C173" s="489" t="s">
        <v>198</v>
      </c>
      <c r="D173" s="489">
        <v>0.2</v>
      </c>
      <c r="E173" s="489" t="s">
        <v>1019</v>
      </c>
      <c r="F173" s="489">
        <v>50</v>
      </c>
      <c r="G173" s="489">
        <v>10950</v>
      </c>
      <c r="H173" s="491">
        <v>4.5662100456621002E-3</v>
      </c>
      <c r="I173" s="491">
        <v>1.6666666666666665</v>
      </c>
      <c r="J173" s="489" t="s">
        <v>1182</v>
      </c>
      <c r="K173" s="564" t="s">
        <v>1209</v>
      </c>
      <c r="L173" s="489" t="s">
        <v>1437</v>
      </c>
      <c r="M173" s="498" t="s">
        <v>1212</v>
      </c>
      <c r="N173" s="495" t="s">
        <v>1241</v>
      </c>
      <c r="O173" s="489" t="s">
        <v>1438</v>
      </c>
      <c r="P173" s="489" t="s">
        <v>1439</v>
      </c>
      <c r="Q173" s="495" t="s">
        <v>1210</v>
      </c>
      <c r="R173" s="485" t="str">
        <f t="shared" si="21"/>
        <v>1</v>
      </c>
      <c r="S173" s="485" t="str">
        <f t="shared" si="22"/>
        <v>4</v>
      </c>
      <c r="T173" s="485" t="str">
        <f t="shared" si="23"/>
        <v>1</v>
      </c>
      <c r="U173" s="485" t="str">
        <f t="shared" si="24"/>
        <v>4</v>
      </c>
      <c r="V173" s="508" t="str">
        <f t="shared" si="25"/>
        <v>2</v>
      </c>
      <c r="W173" s="508" t="str">
        <f t="shared" si="26"/>
        <v>4</v>
      </c>
      <c r="X173" s="508">
        <f t="shared" si="27"/>
        <v>0</v>
      </c>
      <c r="Y173" s="568">
        <f t="shared" si="28"/>
        <v>1.252553617840475</v>
      </c>
      <c r="Z173" s="485" t="s">
        <v>200</v>
      </c>
      <c r="AA173" s="486" t="s">
        <v>1447</v>
      </c>
      <c r="AB173" s="486" t="s">
        <v>1447</v>
      </c>
    </row>
    <row r="174" spans="1:28" ht="16.5">
      <c r="A174" s="494" t="s">
        <v>200</v>
      </c>
      <c r="B174" s="495" t="s">
        <v>20</v>
      </c>
      <c r="C174" s="495" t="s">
        <v>198</v>
      </c>
      <c r="D174" s="496">
        <v>0.1</v>
      </c>
      <c r="E174" s="495" t="s">
        <v>1146</v>
      </c>
      <c r="F174" s="495">
        <v>50</v>
      </c>
      <c r="G174" s="495">
        <v>738</v>
      </c>
      <c r="H174" s="497">
        <v>6.7750677506775062E-2</v>
      </c>
      <c r="I174" s="497">
        <v>12.364498644986449</v>
      </c>
      <c r="J174" s="495" t="s">
        <v>1166</v>
      </c>
      <c r="K174" s="564" t="s">
        <v>1257</v>
      </c>
      <c r="L174" s="504" t="s">
        <v>1211</v>
      </c>
      <c r="M174" s="498" t="s">
        <v>1212</v>
      </c>
      <c r="N174" s="495" t="s">
        <v>1224</v>
      </c>
      <c r="O174" s="489" t="s">
        <v>1280</v>
      </c>
      <c r="P174" s="495" t="s">
        <v>1256</v>
      </c>
      <c r="Q174" s="495" t="s">
        <v>1210</v>
      </c>
      <c r="R174" s="485" t="str">
        <f t="shared" ref="R174:R205" si="29">IF(LEFT(K174,1)="N",0,LEFT(K174,1))</f>
        <v>2</v>
      </c>
      <c r="S174" s="485" t="str">
        <f t="shared" ref="S174:S205" si="30">IF(LEFT(L174,1)="N",0,LEFT(L174,1))</f>
        <v>1</v>
      </c>
      <c r="T174" s="485" t="str">
        <f t="shared" ref="T174:T205" si="31">IF(LEFT(M174,1)="N",0,LEFT(M174,1))</f>
        <v>1</v>
      </c>
      <c r="U174" s="485" t="str">
        <f t="shared" ref="U174:U205" si="32">IF(LEFT(N174,1)="N",0,LEFT(N174,1))</f>
        <v>1</v>
      </c>
      <c r="V174" s="508" t="str">
        <f t="shared" ref="V174:V205" si="33">IF(LEFT(O174,1)="N",0,LEFT(O174,1))</f>
        <v>2</v>
      </c>
      <c r="W174" s="508" t="str">
        <f t="shared" ref="W174:W205" si="34">IF(LEFT(P174,1)="N",0,LEFT(P174,1))</f>
        <v>1</v>
      </c>
      <c r="X174" s="508">
        <f t="shared" ref="X174:X205" si="35">IF(LEFT(Q174,1)="N",0,LEFT(Q174,1))</f>
        <v>0</v>
      </c>
      <c r="Y174" s="568">
        <f t="shared" ref="Y174:Y205" si="36">IF(X174=0, (SQRT((($R$3*EXP($Y$3*(R174)))^2)+(($S$3*EXP($Y$3*(1-S174)))^2)+(($T$3*EXP($Y$3*(T174)))^2)+(($U$3*EXP($Y$3*(U174-1)))^2)+(($V$3*EXP($Y$3*(V174-1)))^2)+(($W$3*EXP($Y$3*(W174)))^2)))/100, $X$3*EXP($Y$3*X174)/100)</f>
        <v>0.10519665924690309</v>
      </c>
      <c r="Z174" s="485" t="s">
        <v>200</v>
      </c>
      <c r="AA174" s="486" t="s">
        <v>200</v>
      </c>
      <c r="AB174" s="486" t="s">
        <v>1448</v>
      </c>
    </row>
    <row r="175" spans="1:28" ht="16.5">
      <c r="A175" s="494" t="s">
        <v>200</v>
      </c>
      <c r="B175" s="495" t="s">
        <v>20</v>
      </c>
      <c r="C175" s="495" t="s">
        <v>198</v>
      </c>
      <c r="D175" s="496">
        <v>0.1</v>
      </c>
      <c r="E175" s="495" t="s">
        <v>1146</v>
      </c>
      <c r="F175" s="495">
        <v>50</v>
      </c>
      <c r="G175" s="495">
        <v>55</v>
      </c>
      <c r="H175" s="497">
        <v>0.90909090909090906</v>
      </c>
      <c r="I175" s="497">
        <v>165.90909090909091</v>
      </c>
      <c r="J175" s="495" t="s">
        <v>1166</v>
      </c>
      <c r="K175" s="564" t="s">
        <v>1257</v>
      </c>
      <c r="L175" s="504" t="s">
        <v>1211</v>
      </c>
      <c r="M175" s="498" t="s">
        <v>1212</v>
      </c>
      <c r="N175" s="495" t="s">
        <v>1224</v>
      </c>
      <c r="O175" s="489" t="s">
        <v>1281</v>
      </c>
      <c r="P175" s="495" t="s">
        <v>1256</v>
      </c>
      <c r="Q175" s="495" t="s">
        <v>1210</v>
      </c>
      <c r="R175" s="485" t="str">
        <f t="shared" si="29"/>
        <v>2</v>
      </c>
      <c r="S175" s="485" t="str">
        <f t="shared" si="30"/>
        <v>1</v>
      </c>
      <c r="T175" s="485" t="str">
        <f t="shared" si="31"/>
        <v>1</v>
      </c>
      <c r="U175" s="485" t="str">
        <f t="shared" si="32"/>
        <v>1</v>
      </c>
      <c r="V175" s="508" t="str">
        <f t="shared" si="33"/>
        <v>3</v>
      </c>
      <c r="W175" s="508" t="str">
        <f t="shared" si="34"/>
        <v>1</v>
      </c>
      <c r="X175" s="508">
        <f t="shared" si="35"/>
        <v>0</v>
      </c>
      <c r="Y175" s="568">
        <f t="shared" si="36"/>
        <v>0.16646911165108777</v>
      </c>
      <c r="Z175" s="485" t="s">
        <v>200</v>
      </c>
      <c r="AA175" s="486" t="s">
        <v>223</v>
      </c>
      <c r="AB175" s="486" t="s">
        <v>1450</v>
      </c>
    </row>
    <row r="176" spans="1:28">
      <c r="A176" s="494" t="s">
        <v>200</v>
      </c>
      <c r="B176" s="495" t="s">
        <v>20</v>
      </c>
      <c r="C176" s="495" t="s">
        <v>198</v>
      </c>
      <c r="D176" s="496">
        <v>8.5000000000000006E-2</v>
      </c>
      <c r="E176" s="495" t="s">
        <v>1146</v>
      </c>
      <c r="F176" s="495">
        <v>61.2</v>
      </c>
      <c r="G176" s="495">
        <v>64</v>
      </c>
      <c r="H176" s="497">
        <v>0.95625000000000004</v>
      </c>
      <c r="I176" s="497">
        <v>148.33828124999999</v>
      </c>
      <c r="J176" s="495" t="s">
        <v>1076</v>
      </c>
      <c r="K176" s="564" t="s">
        <v>1209</v>
      </c>
      <c r="L176" s="505" t="s">
        <v>1211</v>
      </c>
      <c r="M176" s="498" t="s">
        <v>1212</v>
      </c>
      <c r="N176" s="498" t="s">
        <v>1239</v>
      </c>
      <c r="O176" s="489" t="s">
        <v>1286</v>
      </c>
      <c r="P176" s="495" t="s">
        <v>1428</v>
      </c>
      <c r="Q176" s="495" t="s">
        <v>1210</v>
      </c>
      <c r="R176" s="485" t="str">
        <f t="shared" si="29"/>
        <v>1</v>
      </c>
      <c r="S176" s="485" t="str">
        <f t="shared" si="30"/>
        <v>1</v>
      </c>
      <c r="T176" s="485" t="str">
        <f t="shared" si="31"/>
        <v>1</v>
      </c>
      <c r="U176" s="485" t="str">
        <f t="shared" si="32"/>
        <v>1</v>
      </c>
      <c r="V176" s="508" t="str">
        <f t="shared" si="33"/>
        <v>3</v>
      </c>
      <c r="W176" s="508" t="str">
        <f t="shared" si="34"/>
        <v>4</v>
      </c>
      <c r="X176" s="508">
        <f t="shared" si="35"/>
        <v>0</v>
      </c>
      <c r="Y176" s="568">
        <f t="shared" si="36"/>
        <v>1.2550389898409975</v>
      </c>
      <c r="Z176" s="485" t="s">
        <v>200</v>
      </c>
      <c r="AA176" s="486" t="s">
        <v>223</v>
      </c>
      <c r="AB176" s="486" t="s">
        <v>1450</v>
      </c>
    </row>
    <row r="177" spans="1:28">
      <c r="A177" s="494" t="s">
        <v>200</v>
      </c>
      <c r="B177" s="495" t="s">
        <v>20</v>
      </c>
      <c r="C177" s="495" t="s">
        <v>198</v>
      </c>
      <c r="D177" s="496">
        <v>8.5000000000000006E-2</v>
      </c>
      <c r="E177" s="495" t="s">
        <v>1146</v>
      </c>
      <c r="F177" s="495">
        <v>1</v>
      </c>
      <c r="G177" s="495">
        <v>678</v>
      </c>
      <c r="H177" s="497">
        <v>1.4749262536873156E-3</v>
      </c>
      <c r="I177" s="497">
        <v>0.22879793510324506</v>
      </c>
      <c r="J177" s="495" t="s">
        <v>1076</v>
      </c>
      <c r="K177" s="564" t="s">
        <v>1209</v>
      </c>
      <c r="L177" s="505" t="s">
        <v>1211</v>
      </c>
      <c r="M177" s="498" t="s">
        <v>1215</v>
      </c>
      <c r="N177" s="489" t="s">
        <v>1301</v>
      </c>
      <c r="O177" s="489" t="s">
        <v>1287</v>
      </c>
      <c r="P177" s="495" t="s">
        <v>1428</v>
      </c>
      <c r="Q177" s="495" t="s">
        <v>1210</v>
      </c>
      <c r="R177" s="485" t="str">
        <f t="shared" si="29"/>
        <v>1</v>
      </c>
      <c r="S177" s="485" t="str">
        <f t="shared" si="30"/>
        <v>1</v>
      </c>
      <c r="T177" s="485" t="str">
        <f t="shared" si="31"/>
        <v>4</v>
      </c>
      <c r="U177" s="485" t="str">
        <f t="shared" si="32"/>
        <v>2</v>
      </c>
      <c r="V177" s="508" t="str">
        <f t="shared" si="33"/>
        <v>2</v>
      </c>
      <c r="W177" s="508" t="str">
        <f t="shared" si="34"/>
        <v>4</v>
      </c>
      <c r="X177" s="508">
        <f t="shared" si="35"/>
        <v>0</v>
      </c>
      <c r="Y177" s="568">
        <f t="shared" si="36"/>
        <v>1.7635656135106521</v>
      </c>
      <c r="Z177" s="485" t="s">
        <v>200</v>
      </c>
      <c r="AA177" s="486" t="s">
        <v>223</v>
      </c>
      <c r="AB177" s="486" t="s">
        <v>1450</v>
      </c>
    </row>
    <row r="178" spans="1:28" ht="16.5">
      <c r="A178" s="494" t="s">
        <v>200</v>
      </c>
      <c r="B178" s="495" t="s">
        <v>20</v>
      </c>
      <c r="C178" s="495" t="s">
        <v>198</v>
      </c>
      <c r="D178" s="496">
        <v>0.1</v>
      </c>
      <c r="E178" s="495" t="s">
        <v>1097</v>
      </c>
      <c r="F178" s="495">
        <v>50</v>
      </c>
      <c r="G178" s="495">
        <v>429</v>
      </c>
      <c r="H178" s="497">
        <v>0.11655011655011654</v>
      </c>
      <c r="I178" s="497">
        <v>21.270396270396269</v>
      </c>
      <c r="J178" s="495" t="s">
        <v>1166</v>
      </c>
      <c r="K178" s="564" t="s">
        <v>1257</v>
      </c>
      <c r="L178" s="504" t="s">
        <v>1211</v>
      </c>
      <c r="M178" s="498" t="s">
        <v>1212</v>
      </c>
      <c r="N178" s="495" t="s">
        <v>1224</v>
      </c>
      <c r="O178" s="489" t="s">
        <v>1280</v>
      </c>
      <c r="P178" s="495" t="s">
        <v>1256</v>
      </c>
      <c r="Q178" s="495" t="s">
        <v>1210</v>
      </c>
      <c r="R178" s="485" t="str">
        <f t="shared" si="29"/>
        <v>2</v>
      </c>
      <c r="S178" s="485" t="str">
        <f t="shared" si="30"/>
        <v>1</v>
      </c>
      <c r="T178" s="485" t="str">
        <f t="shared" si="31"/>
        <v>1</v>
      </c>
      <c r="U178" s="485" t="str">
        <f t="shared" si="32"/>
        <v>1</v>
      </c>
      <c r="V178" s="508" t="str">
        <f t="shared" si="33"/>
        <v>2</v>
      </c>
      <c r="W178" s="508" t="str">
        <f t="shared" si="34"/>
        <v>1</v>
      </c>
      <c r="X178" s="508">
        <f t="shared" si="35"/>
        <v>0</v>
      </c>
      <c r="Y178" s="568">
        <f t="shared" si="36"/>
        <v>0.10519665924690309</v>
      </c>
      <c r="Z178" s="485" t="s">
        <v>200</v>
      </c>
      <c r="AA178" s="486" t="s">
        <v>200</v>
      </c>
      <c r="AB178" s="486" t="s">
        <v>1448</v>
      </c>
    </row>
    <row r="179" spans="1:28">
      <c r="A179" s="494" t="s">
        <v>200</v>
      </c>
      <c r="B179" s="495" t="s">
        <v>20</v>
      </c>
      <c r="C179" s="495" t="s">
        <v>198</v>
      </c>
      <c r="D179" s="496">
        <v>0.1</v>
      </c>
      <c r="E179" s="495" t="s">
        <v>1097</v>
      </c>
      <c r="F179" s="495">
        <v>70</v>
      </c>
      <c r="G179" s="495">
        <v>7</v>
      </c>
      <c r="H179" s="497">
        <v>10</v>
      </c>
      <c r="I179" s="497">
        <v>1825.0000000000002</v>
      </c>
      <c r="J179" s="495" t="s">
        <v>1416</v>
      </c>
      <c r="K179" s="564" t="s">
        <v>1409</v>
      </c>
      <c r="L179" s="557" t="s">
        <v>1211</v>
      </c>
      <c r="M179" s="498" t="s">
        <v>1212</v>
      </c>
      <c r="N179" s="495" t="s">
        <v>1240</v>
      </c>
      <c r="O179" s="489" t="s">
        <v>1304</v>
      </c>
      <c r="P179" s="495" t="s">
        <v>1410</v>
      </c>
      <c r="Q179" s="495" t="s">
        <v>1210</v>
      </c>
      <c r="R179" s="485" t="str">
        <f t="shared" si="29"/>
        <v>3</v>
      </c>
      <c r="S179" s="485" t="str">
        <f t="shared" si="30"/>
        <v>1</v>
      </c>
      <c r="T179" s="485" t="str">
        <f t="shared" si="31"/>
        <v>1</v>
      </c>
      <c r="U179" s="485" t="str">
        <f t="shared" si="32"/>
        <v>2</v>
      </c>
      <c r="V179" s="508" t="str">
        <f t="shared" si="33"/>
        <v>2</v>
      </c>
      <c r="W179" s="508" t="str">
        <f t="shared" si="34"/>
        <v>2</v>
      </c>
      <c r="X179" s="508">
        <f t="shared" si="35"/>
        <v>0</v>
      </c>
      <c r="Y179" s="568">
        <f t="shared" si="36"/>
        <v>0.25643770869915827</v>
      </c>
      <c r="Z179" s="485" t="s">
        <v>200</v>
      </c>
      <c r="AA179" s="486" t="s">
        <v>223</v>
      </c>
      <c r="AB179" s="486" t="s">
        <v>1450</v>
      </c>
    </row>
    <row r="180" spans="1:28">
      <c r="A180" s="494" t="s">
        <v>200</v>
      </c>
      <c r="B180" s="495" t="s">
        <v>20</v>
      </c>
      <c r="C180" s="495" t="s">
        <v>198</v>
      </c>
      <c r="D180" s="496">
        <v>8.5000000000000006E-2</v>
      </c>
      <c r="E180" s="495" t="s">
        <v>1097</v>
      </c>
      <c r="F180" s="495">
        <v>65</v>
      </c>
      <c r="G180" s="495">
        <v>678</v>
      </c>
      <c r="H180" s="497">
        <v>9.5870206489675522E-2</v>
      </c>
      <c r="I180" s="497">
        <v>14.871865781710916</v>
      </c>
      <c r="J180" s="495" t="s">
        <v>1076</v>
      </c>
      <c r="K180" s="564" t="s">
        <v>1209</v>
      </c>
      <c r="L180" s="505" t="s">
        <v>1211</v>
      </c>
      <c r="M180" s="498" t="s">
        <v>1212</v>
      </c>
      <c r="N180" s="489" t="s">
        <v>1301</v>
      </c>
      <c r="O180" s="489" t="s">
        <v>1287</v>
      </c>
      <c r="P180" s="495" t="s">
        <v>1428</v>
      </c>
      <c r="Q180" s="495" t="s">
        <v>1210</v>
      </c>
      <c r="R180" s="485" t="str">
        <f t="shared" si="29"/>
        <v>1</v>
      </c>
      <c r="S180" s="485" t="str">
        <f t="shared" si="30"/>
        <v>1</v>
      </c>
      <c r="T180" s="485" t="str">
        <f t="shared" si="31"/>
        <v>1</v>
      </c>
      <c r="U180" s="485" t="str">
        <f t="shared" si="32"/>
        <v>2</v>
      </c>
      <c r="V180" s="508" t="str">
        <f t="shared" si="33"/>
        <v>2</v>
      </c>
      <c r="W180" s="508" t="str">
        <f t="shared" si="34"/>
        <v>4</v>
      </c>
      <c r="X180" s="508">
        <f t="shared" si="35"/>
        <v>0</v>
      </c>
      <c r="Y180" s="568">
        <f t="shared" si="36"/>
        <v>1.2484355671261915</v>
      </c>
      <c r="Z180" s="485" t="s">
        <v>200</v>
      </c>
      <c r="AA180" s="486" t="s">
        <v>223</v>
      </c>
      <c r="AB180" s="486" t="s">
        <v>1450</v>
      </c>
    </row>
    <row r="181" spans="1:28">
      <c r="A181" s="494" t="s">
        <v>200</v>
      </c>
      <c r="B181" s="495" t="s">
        <v>20</v>
      </c>
      <c r="C181" s="495" t="s">
        <v>198</v>
      </c>
      <c r="D181" s="496">
        <v>8.5000000000000006E-2</v>
      </c>
      <c r="E181" s="495" t="s">
        <v>1097</v>
      </c>
      <c r="F181" s="495">
        <v>75</v>
      </c>
      <c r="G181" s="495">
        <v>678</v>
      </c>
      <c r="H181" s="497">
        <v>0.11061946902654868</v>
      </c>
      <c r="I181" s="497">
        <v>17.159845132743364</v>
      </c>
      <c r="J181" s="495" t="s">
        <v>1076</v>
      </c>
      <c r="K181" s="564" t="s">
        <v>1209</v>
      </c>
      <c r="L181" s="505" t="s">
        <v>1211</v>
      </c>
      <c r="M181" s="498" t="s">
        <v>1212</v>
      </c>
      <c r="N181" s="489" t="s">
        <v>1301</v>
      </c>
      <c r="O181" s="489" t="s">
        <v>1287</v>
      </c>
      <c r="P181" s="495" t="s">
        <v>1428</v>
      </c>
      <c r="Q181" s="495" t="s">
        <v>1210</v>
      </c>
      <c r="R181" s="485" t="str">
        <f t="shared" si="29"/>
        <v>1</v>
      </c>
      <c r="S181" s="485" t="str">
        <f t="shared" si="30"/>
        <v>1</v>
      </c>
      <c r="T181" s="485" t="str">
        <f t="shared" si="31"/>
        <v>1</v>
      </c>
      <c r="U181" s="485" t="str">
        <f t="shared" si="32"/>
        <v>2</v>
      </c>
      <c r="V181" s="508" t="str">
        <f t="shared" si="33"/>
        <v>2</v>
      </c>
      <c r="W181" s="508" t="str">
        <f t="shared" si="34"/>
        <v>4</v>
      </c>
      <c r="X181" s="508">
        <f t="shared" si="35"/>
        <v>0</v>
      </c>
      <c r="Y181" s="568">
        <f t="shared" si="36"/>
        <v>1.2484355671261915</v>
      </c>
      <c r="Z181" s="485" t="s">
        <v>200</v>
      </c>
      <c r="AA181" s="486" t="s">
        <v>223</v>
      </c>
      <c r="AB181" s="486" t="s">
        <v>1450</v>
      </c>
    </row>
    <row r="182" spans="1:28">
      <c r="A182" s="567" t="s">
        <v>200</v>
      </c>
      <c r="B182" s="486" t="s">
        <v>20</v>
      </c>
      <c r="C182" s="495" t="s">
        <v>198</v>
      </c>
      <c r="D182" s="496">
        <v>8.5000000000000006E-2</v>
      </c>
      <c r="E182" s="495" t="s">
        <v>1097</v>
      </c>
      <c r="F182" s="486">
        <v>96.2</v>
      </c>
      <c r="G182" s="486">
        <v>210</v>
      </c>
      <c r="H182" s="548">
        <v>0.45809523809523811</v>
      </c>
      <c r="I182" s="548">
        <v>71.062023809523808</v>
      </c>
      <c r="J182" s="495" t="s">
        <v>1076</v>
      </c>
      <c r="K182" s="564" t="s">
        <v>1209</v>
      </c>
      <c r="L182" s="505" t="s">
        <v>1211</v>
      </c>
      <c r="M182" s="498" t="s">
        <v>1212</v>
      </c>
      <c r="N182" s="498" t="s">
        <v>1239</v>
      </c>
      <c r="O182" s="489" t="s">
        <v>1286</v>
      </c>
      <c r="P182" s="495" t="s">
        <v>1428</v>
      </c>
      <c r="Q182" s="495" t="s">
        <v>1210</v>
      </c>
      <c r="R182" s="485" t="str">
        <f t="shared" si="29"/>
        <v>1</v>
      </c>
      <c r="S182" s="485" t="str">
        <f t="shared" si="30"/>
        <v>1</v>
      </c>
      <c r="T182" s="485" t="str">
        <f t="shared" si="31"/>
        <v>1</v>
      </c>
      <c r="U182" s="485" t="str">
        <f t="shared" si="32"/>
        <v>1</v>
      </c>
      <c r="V182" s="508" t="str">
        <f t="shared" si="33"/>
        <v>3</v>
      </c>
      <c r="W182" s="508" t="str">
        <f t="shared" si="34"/>
        <v>4</v>
      </c>
      <c r="X182" s="508">
        <f t="shared" si="35"/>
        <v>0</v>
      </c>
      <c r="Y182" s="568">
        <f t="shared" si="36"/>
        <v>1.2550389898409975</v>
      </c>
      <c r="Z182" s="485" t="s">
        <v>200</v>
      </c>
      <c r="AA182" s="486" t="s">
        <v>223</v>
      </c>
      <c r="AB182" s="486" t="s">
        <v>1450</v>
      </c>
    </row>
    <row r="183" spans="1:28">
      <c r="A183" s="494" t="s">
        <v>223</v>
      </c>
      <c r="B183" s="495" t="s">
        <v>20</v>
      </c>
      <c r="C183" s="498" t="s">
        <v>596</v>
      </c>
      <c r="D183" s="502" t="s">
        <v>596</v>
      </c>
      <c r="E183" s="495" t="s">
        <v>1143</v>
      </c>
      <c r="F183" s="498" t="s">
        <v>596</v>
      </c>
      <c r="G183" s="498" t="s">
        <v>596</v>
      </c>
      <c r="H183" s="498" t="s">
        <v>596</v>
      </c>
      <c r="I183" s="497">
        <v>12.364498644986449</v>
      </c>
      <c r="J183" s="498" t="s">
        <v>1168</v>
      </c>
      <c r="K183" s="495" t="s">
        <v>1210</v>
      </c>
      <c r="L183" s="495" t="s">
        <v>1210</v>
      </c>
      <c r="M183" s="495" t="s">
        <v>1210</v>
      </c>
      <c r="N183" s="495" t="s">
        <v>1210</v>
      </c>
      <c r="O183" s="495" t="s">
        <v>1210</v>
      </c>
      <c r="P183" s="495" t="s">
        <v>1210</v>
      </c>
      <c r="Q183" s="498" t="s">
        <v>1254</v>
      </c>
      <c r="R183" s="485">
        <f t="shared" si="29"/>
        <v>0</v>
      </c>
      <c r="S183" s="485">
        <f t="shared" si="30"/>
        <v>0</v>
      </c>
      <c r="T183" s="485">
        <f t="shared" si="31"/>
        <v>0</v>
      </c>
      <c r="U183" s="485">
        <f t="shared" si="32"/>
        <v>0</v>
      </c>
      <c r="V183" s="508">
        <f t="shared" si="33"/>
        <v>0</v>
      </c>
      <c r="W183" s="508">
        <f t="shared" si="34"/>
        <v>0</v>
      </c>
      <c r="X183" s="508" t="str">
        <f t="shared" si="35"/>
        <v>2</v>
      </c>
      <c r="Y183" s="568">
        <f t="shared" si="36"/>
        <v>0.2278929098260076</v>
      </c>
      <c r="Z183" s="485" t="s">
        <v>223</v>
      </c>
      <c r="AA183" s="486" t="s">
        <v>1460</v>
      </c>
      <c r="AB183" s="486" t="s">
        <v>1455</v>
      </c>
    </row>
    <row r="184" spans="1:28">
      <c r="A184" s="494" t="s">
        <v>200</v>
      </c>
      <c r="B184" s="495" t="s">
        <v>20</v>
      </c>
      <c r="C184" s="495" t="s">
        <v>198</v>
      </c>
      <c r="D184" s="496">
        <v>0.1</v>
      </c>
      <c r="E184" s="495" t="s">
        <v>1019</v>
      </c>
      <c r="F184" s="495">
        <v>60</v>
      </c>
      <c r="G184" s="495">
        <v>7</v>
      </c>
      <c r="H184" s="497">
        <v>8.5714285714285712</v>
      </c>
      <c r="I184" s="497">
        <v>1564.2857142857144</v>
      </c>
      <c r="J184" s="495" t="s">
        <v>1416</v>
      </c>
      <c r="K184" s="564" t="s">
        <v>1409</v>
      </c>
      <c r="L184" s="557" t="s">
        <v>1211</v>
      </c>
      <c r="M184" s="498" t="s">
        <v>1212</v>
      </c>
      <c r="N184" s="495" t="s">
        <v>1240</v>
      </c>
      <c r="O184" s="489" t="s">
        <v>1304</v>
      </c>
      <c r="P184" s="495" t="s">
        <v>1410</v>
      </c>
      <c r="Q184" s="495" t="s">
        <v>1210</v>
      </c>
      <c r="R184" s="485" t="str">
        <f t="shared" si="29"/>
        <v>3</v>
      </c>
      <c r="S184" s="485" t="str">
        <f t="shared" si="30"/>
        <v>1</v>
      </c>
      <c r="T184" s="485" t="str">
        <f t="shared" si="31"/>
        <v>1</v>
      </c>
      <c r="U184" s="485" t="str">
        <f t="shared" si="32"/>
        <v>2</v>
      </c>
      <c r="V184" s="508" t="str">
        <f t="shared" si="33"/>
        <v>2</v>
      </c>
      <c r="W184" s="508" t="str">
        <f t="shared" si="34"/>
        <v>2</v>
      </c>
      <c r="X184" s="508">
        <f t="shared" si="35"/>
        <v>0</v>
      </c>
      <c r="Y184" s="568">
        <f t="shared" si="36"/>
        <v>0.25643770869915827</v>
      </c>
      <c r="Z184" s="485" t="s">
        <v>200</v>
      </c>
      <c r="AA184" s="486" t="s">
        <v>200</v>
      </c>
      <c r="AB184" s="486" t="s">
        <v>1448</v>
      </c>
    </row>
    <row r="185" spans="1:28">
      <c r="A185" s="494" t="s">
        <v>200</v>
      </c>
      <c r="B185" s="495" t="s">
        <v>20</v>
      </c>
      <c r="C185" s="498" t="s">
        <v>288</v>
      </c>
      <c r="D185" s="502">
        <v>1</v>
      </c>
      <c r="E185" s="495" t="s">
        <v>1019</v>
      </c>
      <c r="F185" s="498">
        <v>30</v>
      </c>
      <c r="G185" s="498">
        <v>60</v>
      </c>
      <c r="H185" s="498">
        <v>0.5</v>
      </c>
      <c r="I185" s="503">
        <v>912.50000000000023</v>
      </c>
      <c r="J185" s="498" t="s">
        <v>156</v>
      </c>
      <c r="K185" s="498" t="s">
        <v>1209</v>
      </c>
      <c r="L185" s="489" t="s">
        <v>1441</v>
      </c>
      <c r="M185" s="498" t="s">
        <v>1213</v>
      </c>
      <c r="N185" s="489" t="s">
        <v>1301</v>
      </c>
      <c r="O185" s="489" t="s">
        <v>1440</v>
      </c>
      <c r="P185" s="495" t="s">
        <v>1293</v>
      </c>
      <c r="Q185" s="495" t="s">
        <v>1210</v>
      </c>
      <c r="R185" s="485" t="str">
        <f t="shared" si="29"/>
        <v>1</v>
      </c>
      <c r="S185" s="485" t="str">
        <f t="shared" si="30"/>
        <v>2</v>
      </c>
      <c r="T185" s="485" t="str">
        <f t="shared" si="31"/>
        <v>2</v>
      </c>
      <c r="U185" s="485" t="str">
        <f t="shared" si="32"/>
        <v>2</v>
      </c>
      <c r="V185" s="508" t="str">
        <f t="shared" si="33"/>
        <v>4</v>
      </c>
      <c r="W185" s="508" t="str">
        <f t="shared" si="34"/>
        <v>3</v>
      </c>
      <c r="X185" s="508">
        <f t="shared" si="35"/>
        <v>0</v>
      </c>
      <c r="Y185" s="568">
        <f t="shared" si="36"/>
        <v>0.60019102996399665</v>
      </c>
      <c r="Z185" s="485" t="s">
        <v>200</v>
      </c>
      <c r="AA185" s="486" t="s">
        <v>223</v>
      </c>
      <c r="AB185" s="486" t="s">
        <v>1450</v>
      </c>
    </row>
    <row r="186" spans="1:28">
      <c r="A186" s="494" t="s">
        <v>200</v>
      </c>
      <c r="B186" s="495" t="s">
        <v>18</v>
      </c>
      <c r="C186" s="495" t="s">
        <v>198</v>
      </c>
      <c r="D186" s="496">
        <v>0.1</v>
      </c>
      <c r="E186" s="495" t="s">
        <v>1147</v>
      </c>
      <c r="F186" s="495">
        <v>52</v>
      </c>
      <c r="G186" s="495">
        <v>28</v>
      </c>
      <c r="H186" s="497">
        <v>1.8571428571428572</v>
      </c>
      <c r="I186" s="497">
        <v>338.92857142857144</v>
      </c>
      <c r="J186" s="495" t="s">
        <v>699</v>
      </c>
      <c r="K186" s="498" t="s">
        <v>1209</v>
      </c>
      <c r="L186" s="506" t="s">
        <v>1217</v>
      </c>
      <c r="M186" s="498" t="s">
        <v>1212</v>
      </c>
      <c r="N186" s="495" t="s">
        <v>1241</v>
      </c>
      <c r="O186" s="489" t="s">
        <v>1305</v>
      </c>
      <c r="P186" s="495" t="s">
        <v>1223</v>
      </c>
      <c r="Q186" s="495" t="s">
        <v>1210</v>
      </c>
      <c r="R186" s="485" t="str">
        <f t="shared" si="29"/>
        <v>1</v>
      </c>
      <c r="S186" s="485" t="str">
        <f t="shared" si="30"/>
        <v>2</v>
      </c>
      <c r="T186" s="485" t="str">
        <f t="shared" si="31"/>
        <v>1</v>
      </c>
      <c r="U186" s="485" t="str">
        <f t="shared" si="32"/>
        <v>4</v>
      </c>
      <c r="V186" s="508" t="str">
        <f t="shared" si="33"/>
        <v>2</v>
      </c>
      <c r="W186" s="508" t="str">
        <f t="shared" si="34"/>
        <v>2</v>
      </c>
      <c r="X186" s="508">
        <f t="shared" si="35"/>
        <v>0</v>
      </c>
      <c r="Y186" s="568">
        <f t="shared" si="36"/>
        <v>0.18435908249980643</v>
      </c>
      <c r="Z186" s="485" t="s">
        <v>200</v>
      </c>
      <c r="AA186" s="486" t="s">
        <v>223</v>
      </c>
      <c r="AB186" s="486" t="s">
        <v>1451</v>
      </c>
    </row>
    <row r="187" spans="1:28">
      <c r="A187" s="494" t="s">
        <v>200</v>
      </c>
      <c r="B187" s="495" t="s">
        <v>18</v>
      </c>
      <c r="C187" s="495" t="s">
        <v>198</v>
      </c>
      <c r="D187" s="496">
        <v>0.1</v>
      </c>
      <c r="E187" s="495" t="s">
        <v>1147</v>
      </c>
      <c r="F187" s="495">
        <v>75</v>
      </c>
      <c r="G187" s="495">
        <v>28</v>
      </c>
      <c r="H187" s="497">
        <v>2.6785714285714284</v>
      </c>
      <c r="I187" s="497">
        <v>488.83928571428578</v>
      </c>
      <c r="J187" s="495" t="s">
        <v>699</v>
      </c>
      <c r="K187" s="498" t="s">
        <v>1209</v>
      </c>
      <c r="L187" s="506" t="s">
        <v>1217</v>
      </c>
      <c r="M187" s="498" t="s">
        <v>1212</v>
      </c>
      <c r="N187" s="495" t="s">
        <v>1241</v>
      </c>
      <c r="O187" s="489" t="s">
        <v>1305</v>
      </c>
      <c r="P187" s="495" t="s">
        <v>1223</v>
      </c>
      <c r="Q187" s="495" t="s">
        <v>1210</v>
      </c>
      <c r="R187" s="485" t="str">
        <f t="shared" si="29"/>
        <v>1</v>
      </c>
      <c r="S187" s="485" t="str">
        <f t="shared" si="30"/>
        <v>2</v>
      </c>
      <c r="T187" s="485" t="str">
        <f t="shared" si="31"/>
        <v>1</v>
      </c>
      <c r="U187" s="485" t="str">
        <f t="shared" si="32"/>
        <v>4</v>
      </c>
      <c r="V187" s="508" t="str">
        <f t="shared" si="33"/>
        <v>2</v>
      </c>
      <c r="W187" s="508" t="str">
        <f t="shared" si="34"/>
        <v>2</v>
      </c>
      <c r="X187" s="508">
        <f t="shared" si="35"/>
        <v>0</v>
      </c>
      <c r="Y187" s="568">
        <f t="shared" si="36"/>
        <v>0.18435908249980643</v>
      </c>
      <c r="Z187" s="485" t="s">
        <v>200</v>
      </c>
      <c r="AA187" s="486" t="s">
        <v>223</v>
      </c>
      <c r="AB187" s="486" t="s">
        <v>1451</v>
      </c>
    </row>
    <row r="188" spans="1:28">
      <c r="A188" s="494" t="s">
        <v>200</v>
      </c>
      <c r="B188" s="495" t="s">
        <v>18</v>
      </c>
      <c r="C188" s="495" t="s">
        <v>198</v>
      </c>
      <c r="D188" s="496">
        <v>0.1</v>
      </c>
      <c r="E188" s="495" t="s">
        <v>1147</v>
      </c>
      <c r="F188" s="495">
        <v>93</v>
      </c>
      <c r="G188" s="495">
        <v>28</v>
      </c>
      <c r="H188" s="497">
        <v>3.3214285714285716</v>
      </c>
      <c r="I188" s="497">
        <v>606.16071428571433</v>
      </c>
      <c r="J188" s="495" t="s">
        <v>699</v>
      </c>
      <c r="K188" s="498" t="s">
        <v>1209</v>
      </c>
      <c r="L188" s="506" t="s">
        <v>1217</v>
      </c>
      <c r="M188" s="498" t="s">
        <v>1212</v>
      </c>
      <c r="N188" s="495" t="s">
        <v>1241</v>
      </c>
      <c r="O188" s="489" t="s">
        <v>1305</v>
      </c>
      <c r="P188" s="495" t="s">
        <v>1293</v>
      </c>
      <c r="Q188" s="495" t="s">
        <v>1210</v>
      </c>
      <c r="R188" s="485" t="str">
        <f t="shared" si="29"/>
        <v>1</v>
      </c>
      <c r="S188" s="485" t="str">
        <f t="shared" si="30"/>
        <v>2</v>
      </c>
      <c r="T188" s="485" t="str">
        <f t="shared" si="31"/>
        <v>1</v>
      </c>
      <c r="U188" s="485" t="str">
        <f t="shared" si="32"/>
        <v>4</v>
      </c>
      <c r="V188" s="508" t="str">
        <f t="shared" si="33"/>
        <v>2</v>
      </c>
      <c r="W188" s="508" t="str">
        <f t="shared" si="34"/>
        <v>3</v>
      </c>
      <c r="X188" s="508">
        <f t="shared" si="35"/>
        <v>0</v>
      </c>
      <c r="Y188" s="568">
        <f t="shared" si="36"/>
        <v>0.43095834542209543</v>
      </c>
      <c r="Z188" s="485" t="s">
        <v>200</v>
      </c>
      <c r="AA188" s="486" t="s">
        <v>223</v>
      </c>
      <c r="AB188" s="486" t="s">
        <v>1451</v>
      </c>
    </row>
    <row r="189" spans="1:28">
      <c r="A189" s="494" t="s">
        <v>200</v>
      </c>
      <c r="B189" s="495" t="s">
        <v>18</v>
      </c>
      <c r="C189" s="495" t="s">
        <v>198</v>
      </c>
      <c r="D189" s="496">
        <v>0.1</v>
      </c>
      <c r="E189" s="495" t="s">
        <v>1147</v>
      </c>
      <c r="F189" s="495">
        <v>100</v>
      </c>
      <c r="G189" s="495">
        <v>28</v>
      </c>
      <c r="H189" s="497">
        <v>3.5714285714285716</v>
      </c>
      <c r="I189" s="497">
        <v>651.78571428571445</v>
      </c>
      <c r="J189" s="495" t="s">
        <v>699</v>
      </c>
      <c r="K189" s="498" t="s">
        <v>1209</v>
      </c>
      <c r="L189" s="506" t="s">
        <v>1217</v>
      </c>
      <c r="M189" s="498" t="s">
        <v>1212</v>
      </c>
      <c r="N189" s="495" t="s">
        <v>1241</v>
      </c>
      <c r="O189" s="489" t="s">
        <v>1305</v>
      </c>
      <c r="P189" s="495" t="s">
        <v>1293</v>
      </c>
      <c r="Q189" s="495" t="s">
        <v>1210</v>
      </c>
      <c r="R189" s="485" t="str">
        <f t="shared" si="29"/>
        <v>1</v>
      </c>
      <c r="S189" s="485" t="str">
        <f t="shared" si="30"/>
        <v>2</v>
      </c>
      <c r="T189" s="485" t="str">
        <f t="shared" si="31"/>
        <v>1</v>
      </c>
      <c r="U189" s="485" t="str">
        <f t="shared" si="32"/>
        <v>4</v>
      </c>
      <c r="V189" s="508" t="str">
        <f t="shared" si="33"/>
        <v>2</v>
      </c>
      <c r="W189" s="508" t="str">
        <f t="shared" si="34"/>
        <v>3</v>
      </c>
      <c r="X189" s="508">
        <f t="shared" si="35"/>
        <v>0</v>
      </c>
      <c r="Y189" s="568">
        <f t="shared" si="36"/>
        <v>0.43095834542209543</v>
      </c>
      <c r="Z189" s="485" t="s">
        <v>200</v>
      </c>
      <c r="AA189" s="486" t="s">
        <v>223</v>
      </c>
      <c r="AB189" s="486" t="s">
        <v>1451</v>
      </c>
    </row>
    <row r="190" spans="1:28">
      <c r="A190" s="494" t="s">
        <v>223</v>
      </c>
      <c r="B190" s="495" t="s">
        <v>18</v>
      </c>
      <c r="C190" s="498" t="s">
        <v>596</v>
      </c>
      <c r="D190" s="502" t="s">
        <v>596</v>
      </c>
      <c r="E190" s="495" t="s">
        <v>1146</v>
      </c>
      <c r="F190" s="498" t="s">
        <v>596</v>
      </c>
      <c r="G190" s="498" t="s">
        <v>596</v>
      </c>
      <c r="H190" s="498" t="s">
        <v>596</v>
      </c>
      <c r="I190" s="503">
        <f>'Auswertung_neu (2)'!I65</f>
        <v>175.98214285714289</v>
      </c>
      <c r="J190" s="498" t="s">
        <v>1168</v>
      </c>
      <c r="K190" s="495" t="s">
        <v>1210</v>
      </c>
      <c r="L190" s="495" t="s">
        <v>1210</v>
      </c>
      <c r="M190" s="495" t="s">
        <v>1210</v>
      </c>
      <c r="N190" s="495" t="s">
        <v>1210</v>
      </c>
      <c r="O190" s="495" t="s">
        <v>1210</v>
      </c>
      <c r="P190" s="495" t="s">
        <v>1210</v>
      </c>
      <c r="Q190" s="498" t="s">
        <v>1254</v>
      </c>
      <c r="R190" s="485">
        <f t="shared" si="29"/>
        <v>0</v>
      </c>
      <c r="S190" s="485">
        <f t="shared" si="30"/>
        <v>0</v>
      </c>
      <c r="T190" s="485">
        <f t="shared" si="31"/>
        <v>0</v>
      </c>
      <c r="U190" s="485">
        <f t="shared" si="32"/>
        <v>0</v>
      </c>
      <c r="V190" s="508">
        <f t="shared" si="33"/>
        <v>0</v>
      </c>
      <c r="W190" s="508">
        <f t="shared" si="34"/>
        <v>0</v>
      </c>
      <c r="X190" s="508" t="str">
        <f t="shared" si="35"/>
        <v>2</v>
      </c>
      <c r="Y190" s="568">
        <f t="shared" si="36"/>
        <v>0.2278929098260076</v>
      </c>
      <c r="Z190" s="485" t="s">
        <v>223</v>
      </c>
      <c r="AA190" s="486" t="s">
        <v>1459</v>
      </c>
      <c r="AB190" s="486" t="s">
        <v>1445</v>
      </c>
    </row>
    <row r="191" spans="1:28">
      <c r="A191" s="494" t="s">
        <v>200</v>
      </c>
      <c r="B191" s="495" t="s">
        <v>18</v>
      </c>
      <c r="C191" s="495" t="s">
        <v>288</v>
      </c>
      <c r="D191" s="496">
        <v>0.05</v>
      </c>
      <c r="E191" s="495" t="s">
        <v>1097</v>
      </c>
      <c r="F191" s="495">
        <v>80</v>
      </c>
      <c r="G191" s="495">
        <v>14</v>
      </c>
      <c r="H191" s="497">
        <v>5.7142857142857144</v>
      </c>
      <c r="I191" s="497">
        <v>521.42857142857144</v>
      </c>
      <c r="J191" s="495" t="s">
        <v>113</v>
      </c>
      <c r="K191" s="498" t="s">
        <v>1209</v>
      </c>
      <c r="L191" s="506" t="s">
        <v>1217</v>
      </c>
      <c r="M191" s="498" t="s">
        <v>1212</v>
      </c>
      <c r="N191" s="495" t="s">
        <v>1240</v>
      </c>
      <c r="O191" s="489" t="s">
        <v>1304</v>
      </c>
      <c r="P191" s="495" t="s">
        <v>1223</v>
      </c>
      <c r="Q191" s="495" t="s">
        <v>1210</v>
      </c>
      <c r="R191" s="485" t="str">
        <f t="shared" si="29"/>
        <v>1</v>
      </c>
      <c r="S191" s="485" t="str">
        <f t="shared" si="30"/>
        <v>2</v>
      </c>
      <c r="T191" s="485" t="str">
        <f t="shared" si="31"/>
        <v>1</v>
      </c>
      <c r="U191" s="485" t="str">
        <f t="shared" si="32"/>
        <v>2</v>
      </c>
      <c r="V191" s="508" t="str">
        <f t="shared" si="33"/>
        <v>2</v>
      </c>
      <c r="W191" s="508" t="str">
        <f t="shared" si="34"/>
        <v>2</v>
      </c>
      <c r="X191" s="508">
        <f t="shared" si="35"/>
        <v>0</v>
      </c>
      <c r="Y191" s="568">
        <f t="shared" si="36"/>
        <v>0.15318083443204347</v>
      </c>
      <c r="Z191" s="485" t="s">
        <v>200</v>
      </c>
      <c r="AA191" s="486" t="s">
        <v>200</v>
      </c>
      <c r="AB191" s="486" t="s">
        <v>1448</v>
      </c>
    </row>
    <row r="192" spans="1:28">
      <c r="A192" s="494" t="s">
        <v>200</v>
      </c>
      <c r="B192" s="495" t="s">
        <v>18</v>
      </c>
      <c r="C192" s="495" t="s">
        <v>288</v>
      </c>
      <c r="D192" s="496">
        <v>0.17099999999999999</v>
      </c>
      <c r="E192" s="495" t="s">
        <v>1097</v>
      </c>
      <c r="F192" s="495">
        <v>90</v>
      </c>
      <c r="G192" s="495">
        <v>18</v>
      </c>
      <c r="H192" s="497">
        <v>5</v>
      </c>
      <c r="I192" s="497">
        <v>1560.375</v>
      </c>
      <c r="J192" s="495" t="s">
        <v>146</v>
      </c>
      <c r="K192" s="498" t="s">
        <v>1209</v>
      </c>
      <c r="L192" s="506" t="s">
        <v>1219</v>
      </c>
      <c r="M192" s="498" t="s">
        <v>1212</v>
      </c>
      <c r="N192" s="498" t="s">
        <v>1238</v>
      </c>
      <c r="O192" s="495" t="s">
        <v>1284</v>
      </c>
      <c r="P192" s="495" t="s">
        <v>1293</v>
      </c>
      <c r="Q192" s="495" t="s">
        <v>1210</v>
      </c>
      <c r="R192" s="485" t="str">
        <f t="shared" si="29"/>
        <v>1</v>
      </c>
      <c r="S192" s="485" t="str">
        <f t="shared" si="30"/>
        <v>2</v>
      </c>
      <c r="T192" s="485" t="str">
        <f t="shared" si="31"/>
        <v>1</v>
      </c>
      <c r="U192" s="485" t="str">
        <f t="shared" si="32"/>
        <v>3</v>
      </c>
      <c r="V192" s="508" t="str">
        <f t="shared" si="33"/>
        <v>3</v>
      </c>
      <c r="W192" s="508" t="str">
        <f t="shared" si="34"/>
        <v>3</v>
      </c>
      <c r="X192" s="508">
        <f t="shared" si="35"/>
        <v>0</v>
      </c>
      <c r="Y192" s="568">
        <f t="shared" si="36"/>
        <v>0.43918922117277048</v>
      </c>
      <c r="Z192" s="485" t="s">
        <v>200</v>
      </c>
      <c r="AA192" s="486" t="s">
        <v>223</v>
      </c>
      <c r="AB192" s="486" t="s">
        <v>1450</v>
      </c>
    </row>
    <row r="193" spans="1:28">
      <c r="A193" s="494" t="s">
        <v>200</v>
      </c>
      <c r="B193" s="495" t="s">
        <v>18</v>
      </c>
      <c r="C193" s="495" t="s">
        <v>288</v>
      </c>
      <c r="D193" s="496">
        <v>0.1</v>
      </c>
      <c r="E193" s="495" t="s">
        <v>1097</v>
      </c>
      <c r="F193" s="495">
        <v>58</v>
      </c>
      <c r="G193" s="495">
        <v>160</v>
      </c>
      <c r="H193" s="497">
        <v>0.36249999999999999</v>
      </c>
      <c r="I193" s="497">
        <v>66.15625</v>
      </c>
      <c r="J193" s="495" t="s">
        <v>147</v>
      </c>
      <c r="K193" s="498" t="s">
        <v>1209</v>
      </c>
      <c r="L193" s="505" t="s">
        <v>1211</v>
      </c>
      <c r="M193" s="498" t="s">
        <v>1212</v>
      </c>
      <c r="N193" s="498" t="s">
        <v>1238</v>
      </c>
      <c r="O193" s="489" t="s">
        <v>1290</v>
      </c>
      <c r="P193" s="495" t="s">
        <v>1293</v>
      </c>
      <c r="Q193" s="495" t="s">
        <v>1210</v>
      </c>
      <c r="R193" s="485" t="str">
        <f t="shared" si="29"/>
        <v>1</v>
      </c>
      <c r="S193" s="485" t="str">
        <f t="shared" si="30"/>
        <v>1</v>
      </c>
      <c r="T193" s="485" t="str">
        <f t="shared" si="31"/>
        <v>1</v>
      </c>
      <c r="U193" s="485" t="str">
        <f t="shared" si="32"/>
        <v>3</v>
      </c>
      <c r="V193" s="508" t="str">
        <f t="shared" si="33"/>
        <v>3</v>
      </c>
      <c r="W193" s="508" t="str">
        <f t="shared" si="34"/>
        <v>3</v>
      </c>
      <c r="X193" s="508">
        <f t="shared" si="35"/>
        <v>0</v>
      </c>
      <c r="Y193" s="568">
        <f t="shared" si="36"/>
        <v>0.43941721558039654</v>
      </c>
      <c r="Z193" s="485" t="s">
        <v>200</v>
      </c>
      <c r="AA193" s="486" t="s">
        <v>223</v>
      </c>
      <c r="AB193" s="486" t="s">
        <v>1450</v>
      </c>
    </row>
    <row r="194" spans="1:28">
      <c r="A194" s="494" t="s">
        <v>200</v>
      </c>
      <c r="B194" s="495" t="s">
        <v>18</v>
      </c>
      <c r="C194" s="495" t="s">
        <v>198</v>
      </c>
      <c r="D194" s="496">
        <v>0.1</v>
      </c>
      <c r="E194" s="495" t="s">
        <v>1097</v>
      </c>
      <c r="F194" s="495">
        <v>14</v>
      </c>
      <c r="G194" s="495">
        <v>28</v>
      </c>
      <c r="H194" s="497">
        <v>0.5</v>
      </c>
      <c r="I194" s="497">
        <v>91.250000000000014</v>
      </c>
      <c r="J194" s="495" t="s">
        <v>699</v>
      </c>
      <c r="K194" s="498" t="s">
        <v>1209</v>
      </c>
      <c r="L194" s="506" t="s">
        <v>1217</v>
      </c>
      <c r="M194" s="498" t="s">
        <v>1214</v>
      </c>
      <c r="N194" s="495" t="s">
        <v>1241</v>
      </c>
      <c r="O194" s="489" t="s">
        <v>1306</v>
      </c>
      <c r="P194" s="495" t="s">
        <v>1223</v>
      </c>
      <c r="Q194" s="495" t="s">
        <v>1210</v>
      </c>
      <c r="R194" s="485" t="str">
        <f t="shared" si="29"/>
        <v>1</v>
      </c>
      <c r="S194" s="485" t="str">
        <f t="shared" si="30"/>
        <v>2</v>
      </c>
      <c r="T194" s="485" t="str">
        <f t="shared" si="31"/>
        <v>3</v>
      </c>
      <c r="U194" s="485" t="str">
        <f t="shared" si="32"/>
        <v>4</v>
      </c>
      <c r="V194" s="508" t="str">
        <f t="shared" si="33"/>
        <v>2</v>
      </c>
      <c r="W194" s="508" t="str">
        <f t="shared" si="34"/>
        <v>2</v>
      </c>
      <c r="X194" s="508">
        <f t="shared" si="35"/>
        <v>0</v>
      </c>
      <c r="Y194" s="568">
        <f t="shared" si="36"/>
        <v>0.44985633651883072</v>
      </c>
      <c r="Z194" s="485" t="s">
        <v>200</v>
      </c>
      <c r="AA194" s="486" t="s">
        <v>223</v>
      </c>
      <c r="AB194" s="486" t="s">
        <v>1450</v>
      </c>
    </row>
    <row r="195" spans="1:28">
      <c r="A195" s="494" t="s">
        <v>200</v>
      </c>
      <c r="B195" s="495" t="s">
        <v>18</v>
      </c>
      <c r="C195" s="495" t="s">
        <v>198</v>
      </c>
      <c r="D195" s="496">
        <v>0.1</v>
      </c>
      <c r="E195" s="495" t="s">
        <v>1097</v>
      </c>
      <c r="F195" s="495">
        <v>27</v>
      </c>
      <c r="G195" s="495">
        <v>28</v>
      </c>
      <c r="H195" s="497">
        <v>0.9642857142857143</v>
      </c>
      <c r="I195" s="497">
        <v>175.98214285714289</v>
      </c>
      <c r="J195" s="495" t="s">
        <v>699</v>
      </c>
      <c r="K195" s="498" t="s">
        <v>1209</v>
      </c>
      <c r="L195" s="506" t="s">
        <v>1217</v>
      </c>
      <c r="M195" s="489" t="str">
        <f>CONCATENATE("3 - at least 10% (",F195,")")</f>
        <v>3 - at least 10% (27)</v>
      </c>
      <c r="N195" s="495" t="s">
        <v>1241</v>
      </c>
      <c r="O195" s="489" t="s">
        <v>1306</v>
      </c>
      <c r="P195" s="495" t="s">
        <v>1223</v>
      </c>
      <c r="Q195" s="495" t="s">
        <v>1210</v>
      </c>
      <c r="R195" s="485" t="str">
        <f t="shared" si="29"/>
        <v>1</v>
      </c>
      <c r="S195" s="485" t="str">
        <f t="shared" si="30"/>
        <v>2</v>
      </c>
      <c r="T195" s="485" t="str">
        <f t="shared" si="31"/>
        <v>3</v>
      </c>
      <c r="U195" s="485" t="str">
        <f t="shared" si="32"/>
        <v>4</v>
      </c>
      <c r="V195" s="508" t="str">
        <f t="shared" si="33"/>
        <v>2</v>
      </c>
      <c r="W195" s="508" t="str">
        <f t="shared" si="34"/>
        <v>2</v>
      </c>
      <c r="X195" s="508">
        <f t="shared" si="35"/>
        <v>0</v>
      </c>
      <c r="Y195" s="568">
        <f t="shared" si="36"/>
        <v>0.44985633651883072</v>
      </c>
      <c r="Z195" s="485" t="s">
        <v>200</v>
      </c>
      <c r="AA195" s="486" t="s">
        <v>223</v>
      </c>
      <c r="AB195" s="486" t="s">
        <v>1450</v>
      </c>
    </row>
    <row r="196" spans="1:28">
      <c r="A196" s="494" t="s">
        <v>200</v>
      </c>
      <c r="B196" s="495" t="s">
        <v>18</v>
      </c>
      <c r="C196" s="495" t="s">
        <v>198</v>
      </c>
      <c r="D196" s="496">
        <v>0.1</v>
      </c>
      <c r="E196" s="495" t="s">
        <v>1097</v>
      </c>
      <c r="F196" s="495">
        <v>41</v>
      </c>
      <c r="G196" s="495">
        <v>28</v>
      </c>
      <c r="H196" s="497">
        <v>1.4642857142857142</v>
      </c>
      <c r="I196" s="497">
        <v>267.23214285714283</v>
      </c>
      <c r="J196" s="495" t="s">
        <v>699</v>
      </c>
      <c r="K196" s="498" t="s">
        <v>1209</v>
      </c>
      <c r="L196" s="506" t="s">
        <v>1217</v>
      </c>
      <c r="M196" s="489" t="str">
        <f>CONCATENATE("2 - at least 30% (",F196,")")</f>
        <v>2 - at least 30% (41)</v>
      </c>
      <c r="N196" s="495" t="s">
        <v>1241</v>
      </c>
      <c r="O196" s="489" t="s">
        <v>1306</v>
      </c>
      <c r="P196" s="495" t="s">
        <v>1293</v>
      </c>
      <c r="Q196" s="495" t="s">
        <v>1210</v>
      </c>
      <c r="R196" s="485" t="str">
        <f t="shared" si="29"/>
        <v>1</v>
      </c>
      <c r="S196" s="485" t="str">
        <f t="shared" si="30"/>
        <v>2</v>
      </c>
      <c r="T196" s="485" t="str">
        <f t="shared" si="31"/>
        <v>2</v>
      </c>
      <c r="U196" s="485" t="str">
        <f t="shared" si="32"/>
        <v>4</v>
      </c>
      <c r="V196" s="508" t="str">
        <f t="shared" si="33"/>
        <v>2</v>
      </c>
      <c r="W196" s="508" t="str">
        <f t="shared" si="34"/>
        <v>3</v>
      </c>
      <c r="X196" s="508">
        <f t="shared" si="35"/>
        <v>0</v>
      </c>
      <c r="Y196" s="568">
        <f t="shared" si="36"/>
        <v>0.44985633651883072</v>
      </c>
      <c r="Z196" s="485" t="s">
        <v>200</v>
      </c>
      <c r="AA196" s="486" t="s">
        <v>223</v>
      </c>
      <c r="AB196" s="486" t="s">
        <v>1450</v>
      </c>
    </row>
    <row r="197" spans="1:28">
      <c r="A197" s="494" t="s">
        <v>200</v>
      </c>
      <c r="B197" s="495" t="s">
        <v>18</v>
      </c>
      <c r="C197" s="495" t="s">
        <v>198</v>
      </c>
      <c r="D197" s="496">
        <v>0.17099999999999999</v>
      </c>
      <c r="E197" s="495" t="s">
        <v>1097</v>
      </c>
      <c r="F197" s="495">
        <v>30</v>
      </c>
      <c r="G197" s="495">
        <v>90</v>
      </c>
      <c r="H197" s="497">
        <v>0.33333333333333331</v>
      </c>
      <c r="I197" s="497">
        <v>104.02499999999999</v>
      </c>
      <c r="J197" s="495" t="s">
        <v>146</v>
      </c>
      <c r="K197" s="498" t="s">
        <v>1209</v>
      </c>
      <c r="L197" s="506" t="s">
        <v>1219</v>
      </c>
      <c r="M197" s="498" t="s">
        <v>1213</v>
      </c>
      <c r="N197" s="498" t="s">
        <v>1238</v>
      </c>
      <c r="O197" s="495" t="s">
        <v>1284</v>
      </c>
      <c r="P197" s="495" t="s">
        <v>1293</v>
      </c>
      <c r="Q197" s="495" t="s">
        <v>1210</v>
      </c>
      <c r="R197" s="485" t="str">
        <f t="shared" si="29"/>
        <v>1</v>
      </c>
      <c r="S197" s="485" t="str">
        <f t="shared" si="30"/>
        <v>2</v>
      </c>
      <c r="T197" s="485" t="str">
        <f t="shared" si="31"/>
        <v>2</v>
      </c>
      <c r="U197" s="485" t="str">
        <f t="shared" si="32"/>
        <v>3</v>
      </c>
      <c r="V197" s="508" t="str">
        <f t="shared" si="33"/>
        <v>3</v>
      </c>
      <c r="W197" s="508" t="str">
        <f t="shared" si="34"/>
        <v>3</v>
      </c>
      <c r="X197" s="508">
        <f t="shared" si="35"/>
        <v>0</v>
      </c>
      <c r="Y197" s="568">
        <f t="shared" si="36"/>
        <v>0.45774752867878815</v>
      </c>
      <c r="Z197" s="485" t="s">
        <v>200</v>
      </c>
      <c r="AA197" s="486" t="s">
        <v>223</v>
      </c>
      <c r="AB197" s="486" t="s">
        <v>1450</v>
      </c>
    </row>
    <row r="198" spans="1:28">
      <c r="A198" s="494" t="s">
        <v>200</v>
      </c>
      <c r="B198" s="495" t="s">
        <v>18</v>
      </c>
      <c r="C198" s="495" t="s">
        <v>331</v>
      </c>
      <c r="D198" s="496">
        <v>10</v>
      </c>
      <c r="E198" s="495" t="s">
        <v>1097</v>
      </c>
      <c r="F198" s="495">
        <v>38</v>
      </c>
      <c r="G198" s="495">
        <v>160</v>
      </c>
      <c r="H198" s="497">
        <v>0.23749999999999999</v>
      </c>
      <c r="I198" s="497">
        <v>1680.1189721944274</v>
      </c>
      <c r="J198" s="495" t="s">
        <v>147</v>
      </c>
      <c r="K198" s="498" t="s">
        <v>1209</v>
      </c>
      <c r="L198" s="505" t="s">
        <v>1211</v>
      </c>
      <c r="M198" s="498" t="s">
        <v>1213</v>
      </c>
      <c r="N198" s="498" t="s">
        <v>1238</v>
      </c>
      <c r="O198" s="489" t="s">
        <v>1290</v>
      </c>
      <c r="P198" s="495" t="s">
        <v>1293</v>
      </c>
      <c r="Q198" s="495" t="s">
        <v>1210</v>
      </c>
      <c r="R198" s="485" t="str">
        <f t="shared" si="29"/>
        <v>1</v>
      </c>
      <c r="S198" s="485" t="str">
        <f t="shared" si="30"/>
        <v>1</v>
      </c>
      <c r="T198" s="485" t="str">
        <f t="shared" si="31"/>
        <v>2</v>
      </c>
      <c r="U198" s="485" t="str">
        <f t="shared" si="32"/>
        <v>3</v>
      </c>
      <c r="V198" s="508" t="str">
        <f t="shared" si="33"/>
        <v>3</v>
      </c>
      <c r="W198" s="508" t="str">
        <f t="shared" si="34"/>
        <v>3</v>
      </c>
      <c r="X198" s="508">
        <f t="shared" si="35"/>
        <v>0</v>
      </c>
      <c r="Y198" s="568">
        <f t="shared" si="36"/>
        <v>0.45796628409264145</v>
      </c>
      <c r="Z198" s="485" t="s">
        <v>200</v>
      </c>
      <c r="AA198" s="486" t="s">
        <v>223</v>
      </c>
      <c r="AB198" s="486" t="s">
        <v>1450</v>
      </c>
    </row>
    <row r="199" spans="1:28">
      <c r="A199" s="494" t="s">
        <v>200</v>
      </c>
      <c r="B199" s="495" t="s">
        <v>18</v>
      </c>
      <c r="C199" s="495" t="s">
        <v>198</v>
      </c>
      <c r="D199" s="496">
        <v>0.1</v>
      </c>
      <c r="E199" s="495" t="s">
        <v>1097</v>
      </c>
      <c r="F199" s="495">
        <v>21</v>
      </c>
      <c r="G199" s="495">
        <v>28</v>
      </c>
      <c r="H199" s="497">
        <v>0.6428571428571429</v>
      </c>
      <c r="I199" s="497">
        <v>117.32142857142861</v>
      </c>
      <c r="J199" s="495" t="s">
        <v>699</v>
      </c>
      <c r="K199" s="498" t="s">
        <v>1209</v>
      </c>
      <c r="L199" s="506" t="s">
        <v>1217</v>
      </c>
      <c r="M199" s="489" t="str">
        <f>CONCATENATE("3 - at least 10% (",F199,")")</f>
        <v>3 - at least 10% (21)</v>
      </c>
      <c r="N199" s="495" t="s">
        <v>1241</v>
      </c>
      <c r="O199" s="489" t="s">
        <v>1306</v>
      </c>
      <c r="P199" s="495" t="s">
        <v>1293</v>
      </c>
      <c r="Q199" s="495" t="s">
        <v>1210</v>
      </c>
      <c r="R199" s="485" t="str">
        <f t="shared" si="29"/>
        <v>1</v>
      </c>
      <c r="S199" s="485" t="str">
        <f t="shared" si="30"/>
        <v>2</v>
      </c>
      <c r="T199" s="485" t="str">
        <f t="shared" si="31"/>
        <v>3</v>
      </c>
      <c r="U199" s="485" t="str">
        <f t="shared" si="32"/>
        <v>4</v>
      </c>
      <c r="V199" s="508" t="str">
        <f t="shared" si="33"/>
        <v>2</v>
      </c>
      <c r="W199" s="508" t="str">
        <f t="shared" si="34"/>
        <v>3</v>
      </c>
      <c r="X199" s="508">
        <f t="shared" si="35"/>
        <v>0</v>
      </c>
      <c r="Y199" s="568">
        <f t="shared" si="36"/>
        <v>0.59506936376772346</v>
      </c>
      <c r="Z199" s="485" t="s">
        <v>200</v>
      </c>
      <c r="AA199" s="486" t="s">
        <v>223</v>
      </c>
      <c r="AB199" s="486" t="s">
        <v>1450</v>
      </c>
    </row>
    <row r="200" spans="1:28">
      <c r="A200" s="494" t="s">
        <v>223</v>
      </c>
      <c r="B200" s="495" t="s">
        <v>18</v>
      </c>
      <c r="C200" s="498" t="s">
        <v>596</v>
      </c>
      <c r="D200" s="502" t="s">
        <v>596</v>
      </c>
      <c r="E200" s="495" t="s">
        <v>1143</v>
      </c>
      <c r="F200" s="498" t="s">
        <v>596</v>
      </c>
      <c r="G200" s="498" t="s">
        <v>596</v>
      </c>
      <c r="H200" s="498" t="s">
        <v>596</v>
      </c>
      <c r="I200" s="503">
        <f>'Auswertung_neu (2)'!I64</f>
        <v>175.98214285714289</v>
      </c>
      <c r="J200" s="498" t="s">
        <v>1168</v>
      </c>
      <c r="K200" s="495" t="s">
        <v>1210</v>
      </c>
      <c r="L200" s="495" t="s">
        <v>1210</v>
      </c>
      <c r="M200" s="495" t="s">
        <v>1210</v>
      </c>
      <c r="N200" s="495" t="s">
        <v>1210</v>
      </c>
      <c r="O200" s="495" t="s">
        <v>1210</v>
      </c>
      <c r="P200" s="495" t="s">
        <v>1210</v>
      </c>
      <c r="Q200" s="498" t="s">
        <v>1254</v>
      </c>
      <c r="R200" s="485">
        <f t="shared" si="29"/>
        <v>0</v>
      </c>
      <c r="S200" s="485">
        <f t="shared" si="30"/>
        <v>0</v>
      </c>
      <c r="T200" s="485">
        <f t="shared" si="31"/>
        <v>0</v>
      </c>
      <c r="U200" s="485">
        <f t="shared" si="32"/>
        <v>0</v>
      </c>
      <c r="V200" s="508">
        <f t="shared" si="33"/>
        <v>0</v>
      </c>
      <c r="W200" s="508">
        <f t="shared" si="34"/>
        <v>0</v>
      </c>
      <c r="X200" s="508" t="str">
        <f t="shared" si="35"/>
        <v>2</v>
      </c>
      <c r="Y200" s="568">
        <f t="shared" si="36"/>
        <v>0.2278929098260076</v>
      </c>
      <c r="Z200" s="485" t="s">
        <v>223</v>
      </c>
      <c r="AA200" s="486" t="s">
        <v>1459</v>
      </c>
      <c r="AB200" s="486" t="s">
        <v>1445</v>
      </c>
    </row>
    <row r="201" spans="1:28">
      <c r="A201" s="494" t="s">
        <v>200</v>
      </c>
      <c r="B201" s="495" t="s">
        <v>18</v>
      </c>
      <c r="C201" s="495" t="s">
        <v>331</v>
      </c>
      <c r="D201" s="496">
        <v>10</v>
      </c>
      <c r="E201" s="495" t="s">
        <v>1019</v>
      </c>
      <c r="F201" s="495">
        <v>50</v>
      </c>
      <c r="G201" s="495">
        <v>270</v>
      </c>
      <c r="H201" s="497">
        <v>0.18518518518518517</v>
      </c>
      <c r="I201" s="497">
        <v>1394.4316299222885</v>
      </c>
      <c r="J201" s="495" t="s">
        <v>143</v>
      </c>
      <c r="K201" s="498" t="s">
        <v>1209</v>
      </c>
      <c r="L201" s="504" t="s">
        <v>1211</v>
      </c>
      <c r="M201" s="498" t="s">
        <v>1212</v>
      </c>
      <c r="N201" s="495" t="s">
        <v>1240</v>
      </c>
      <c r="O201" s="489" t="s">
        <v>1283</v>
      </c>
      <c r="P201" s="495" t="s">
        <v>1293</v>
      </c>
      <c r="Q201" s="495" t="s">
        <v>1210</v>
      </c>
      <c r="R201" s="485" t="str">
        <f t="shared" si="29"/>
        <v>1</v>
      </c>
      <c r="S201" s="485" t="str">
        <f t="shared" si="30"/>
        <v>1</v>
      </c>
      <c r="T201" s="485" t="str">
        <f t="shared" si="31"/>
        <v>1</v>
      </c>
      <c r="U201" s="485" t="str">
        <f t="shared" si="32"/>
        <v>2</v>
      </c>
      <c r="V201" s="508" t="str">
        <f t="shared" si="33"/>
        <v>3</v>
      </c>
      <c r="W201" s="508" t="str">
        <f t="shared" si="34"/>
        <v>3</v>
      </c>
      <c r="X201" s="508">
        <f t="shared" si="35"/>
        <v>0</v>
      </c>
      <c r="Y201" s="568">
        <f t="shared" si="36"/>
        <v>0.4382318308810465</v>
      </c>
      <c r="Z201" s="485" t="s">
        <v>200</v>
      </c>
      <c r="AA201" s="486" t="s">
        <v>1447</v>
      </c>
      <c r="AB201" s="486" t="s">
        <v>1447</v>
      </c>
    </row>
    <row r="202" spans="1:28">
      <c r="A202" s="494" t="s">
        <v>200</v>
      </c>
      <c r="B202" s="495" t="s">
        <v>18</v>
      </c>
      <c r="C202" s="495" t="s">
        <v>288</v>
      </c>
      <c r="D202" s="496">
        <v>0.1</v>
      </c>
      <c r="E202" s="495" t="s">
        <v>1019</v>
      </c>
      <c r="F202" s="495">
        <v>61</v>
      </c>
      <c r="G202" s="495">
        <v>60</v>
      </c>
      <c r="H202" s="497">
        <v>1.0166666666666666</v>
      </c>
      <c r="I202" s="497">
        <v>185.54166666666669</v>
      </c>
      <c r="J202" s="495" t="s">
        <v>143</v>
      </c>
      <c r="K202" s="498" t="s">
        <v>1209</v>
      </c>
      <c r="L202" s="504" t="s">
        <v>1211</v>
      </c>
      <c r="M202" s="498" t="s">
        <v>1212</v>
      </c>
      <c r="N202" s="495" t="s">
        <v>1240</v>
      </c>
      <c r="O202" s="489" t="s">
        <v>1283</v>
      </c>
      <c r="P202" s="495" t="s">
        <v>1293</v>
      </c>
      <c r="Q202" s="495" t="s">
        <v>1210</v>
      </c>
      <c r="R202" s="485" t="str">
        <f t="shared" si="29"/>
        <v>1</v>
      </c>
      <c r="S202" s="485" t="str">
        <f t="shared" si="30"/>
        <v>1</v>
      </c>
      <c r="T202" s="485" t="str">
        <f t="shared" si="31"/>
        <v>1</v>
      </c>
      <c r="U202" s="485" t="str">
        <f t="shared" si="32"/>
        <v>2</v>
      </c>
      <c r="V202" s="508" t="str">
        <f t="shared" si="33"/>
        <v>3</v>
      </c>
      <c r="W202" s="508" t="str">
        <f t="shared" si="34"/>
        <v>3</v>
      </c>
      <c r="X202" s="508">
        <f t="shared" si="35"/>
        <v>0</v>
      </c>
      <c r="Y202" s="568">
        <f t="shared" si="36"/>
        <v>0.4382318308810465</v>
      </c>
      <c r="Z202" s="485" t="s">
        <v>200</v>
      </c>
      <c r="AA202" s="486" t="s">
        <v>1447</v>
      </c>
      <c r="AB202" s="486" t="s">
        <v>1447</v>
      </c>
    </row>
    <row r="203" spans="1:28">
      <c r="A203" s="494" t="s">
        <v>223</v>
      </c>
      <c r="B203" s="495" t="s">
        <v>19</v>
      </c>
      <c r="C203" s="498" t="s">
        <v>596</v>
      </c>
      <c r="D203" s="502" t="s">
        <v>596</v>
      </c>
      <c r="E203" s="495" t="s">
        <v>1146</v>
      </c>
      <c r="F203" s="498" t="s">
        <v>596</v>
      </c>
      <c r="G203" s="498" t="s">
        <v>596</v>
      </c>
      <c r="H203" s="498" t="s">
        <v>596</v>
      </c>
      <c r="I203" s="503">
        <v>50.46</v>
      </c>
      <c r="J203" s="498" t="s">
        <v>1168</v>
      </c>
      <c r="K203" s="495" t="s">
        <v>1210</v>
      </c>
      <c r="L203" s="495" t="s">
        <v>1210</v>
      </c>
      <c r="M203" s="495" t="s">
        <v>1210</v>
      </c>
      <c r="N203" s="495" t="s">
        <v>1210</v>
      </c>
      <c r="O203" s="495" t="s">
        <v>1210</v>
      </c>
      <c r="P203" s="495" t="s">
        <v>1210</v>
      </c>
      <c r="Q203" s="498" t="s">
        <v>1254</v>
      </c>
      <c r="R203" s="485">
        <f t="shared" si="29"/>
        <v>0</v>
      </c>
      <c r="S203" s="485">
        <f t="shared" si="30"/>
        <v>0</v>
      </c>
      <c r="T203" s="485">
        <f t="shared" si="31"/>
        <v>0</v>
      </c>
      <c r="U203" s="485">
        <f t="shared" si="32"/>
        <v>0</v>
      </c>
      <c r="V203" s="508">
        <f t="shared" si="33"/>
        <v>0</v>
      </c>
      <c r="W203" s="508">
        <f t="shared" si="34"/>
        <v>0</v>
      </c>
      <c r="X203" s="508" t="str">
        <f t="shared" si="35"/>
        <v>2</v>
      </c>
      <c r="Y203" s="568">
        <f t="shared" si="36"/>
        <v>0.2278929098260076</v>
      </c>
      <c r="Z203" s="485" t="s">
        <v>223</v>
      </c>
      <c r="AA203" s="486" t="s">
        <v>1452</v>
      </c>
      <c r="AB203" s="486" t="s">
        <v>1453</v>
      </c>
    </row>
    <row r="204" spans="1:28">
      <c r="A204" s="494" t="s">
        <v>200</v>
      </c>
      <c r="B204" s="495" t="s">
        <v>19</v>
      </c>
      <c r="C204" s="495" t="s">
        <v>198</v>
      </c>
      <c r="D204" s="496">
        <v>0.17099999999999999</v>
      </c>
      <c r="E204" s="495" t="s">
        <v>1097</v>
      </c>
      <c r="F204" s="495">
        <v>50</v>
      </c>
      <c r="G204" s="495">
        <v>90</v>
      </c>
      <c r="H204" s="497">
        <v>0.55555555555555558</v>
      </c>
      <c r="I204" s="497">
        <v>173.37499999999997</v>
      </c>
      <c r="J204" s="495" t="s">
        <v>146</v>
      </c>
      <c r="K204" s="498" t="s">
        <v>1209</v>
      </c>
      <c r="L204" s="506" t="s">
        <v>1219</v>
      </c>
      <c r="M204" s="498" t="s">
        <v>1212</v>
      </c>
      <c r="N204" s="498" t="s">
        <v>1238</v>
      </c>
      <c r="O204" s="495" t="s">
        <v>1284</v>
      </c>
      <c r="P204" s="495" t="s">
        <v>1293</v>
      </c>
      <c r="Q204" s="495" t="s">
        <v>1210</v>
      </c>
      <c r="R204" s="485" t="str">
        <f t="shared" si="29"/>
        <v>1</v>
      </c>
      <c r="S204" s="485" t="str">
        <f t="shared" si="30"/>
        <v>2</v>
      </c>
      <c r="T204" s="485" t="str">
        <f t="shared" si="31"/>
        <v>1</v>
      </c>
      <c r="U204" s="485" t="str">
        <f t="shared" si="32"/>
        <v>3</v>
      </c>
      <c r="V204" s="508" t="str">
        <f t="shared" si="33"/>
        <v>3</v>
      </c>
      <c r="W204" s="508" t="str">
        <f t="shared" si="34"/>
        <v>3</v>
      </c>
      <c r="X204" s="508">
        <f t="shared" si="35"/>
        <v>0</v>
      </c>
      <c r="Y204" s="568">
        <f t="shared" si="36"/>
        <v>0.43918922117277048</v>
      </c>
      <c r="Z204" s="485" t="s">
        <v>200</v>
      </c>
      <c r="AA204" s="486" t="s">
        <v>1447</v>
      </c>
      <c r="AB204" s="486" t="s">
        <v>1447</v>
      </c>
    </row>
    <row r="205" spans="1:28">
      <c r="A205" s="494" t="s">
        <v>200</v>
      </c>
      <c r="B205" s="495" t="s">
        <v>19</v>
      </c>
      <c r="C205" s="495" t="s">
        <v>288</v>
      </c>
      <c r="D205" s="496">
        <v>0.17099999999999999</v>
      </c>
      <c r="E205" s="495" t="s">
        <v>1097</v>
      </c>
      <c r="F205" s="495">
        <v>55</v>
      </c>
      <c r="G205" s="495">
        <v>26</v>
      </c>
      <c r="H205" s="497">
        <v>2.1153846153846154</v>
      </c>
      <c r="I205" s="497">
        <v>660.15865384615381</v>
      </c>
      <c r="J205" s="495" t="s">
        <v>146</v>
      </c>
      <c r="K205" s="498" t="s">
        <v>1209</v>
      </c>
      <c r="L205" s="506" t="s">
        <v>1219</v>
      </c>
      <c r="M205" s="498" t="s">
        <v>1212</v>
      </c>
      <c r="N205" s="498" t="s">
        <v>1238</v>
      </c>
      <c r="O205" s="495" t="s">
        <v>1284</v>
      </c>
      <c r="P205" s="495" t="s">
        <v>1293</v>
      </c>
      <c r="Q205" s="495" t="s">
        <v>1210</v>
      </c>
      <c r="R205" s="485" t="str">
        <f t="shared" si="29"/>
        <v>1</v>
      </c>
      <c r="S205" s="485" t="str">
        <f t="shared" si="30"/>
        <v>2</v>
      </c>
      <c r="T205" s="485" t="str">
        <f t="shared" si="31"/>
        <v>1</v>
      </c>
      <c r="U205" s="485" t="str">
        <f t="shared" si="32"/>
        <v>3</v>
      </c>
      <c r="V205" s="508" t="str">
        <f t="shared" si="33"/>
        <v>3</v>
      </c>
      <c r="W205" s="508" t="str">
        <f t="shared" si="34"/>
        <v>3</v>
      </c>
      <c r="X205" s="508">
        <f t="shared" si="35"/>
        <v>0</v>
      </c>
      <c r="Y205" s="568">
        <f t="shared" si="36"/>
        <v>0.43918922117277048</v>
      </c>
      <c r="Z205" s="485" t="s">
        <v>200</v>
      </c>
      <c r="AA205" s="486" t="s">
        <v>1447</v>
      </c>
      <c r="AB205" s="486" t="s">
        <v>1447</v>
      </c>
    </row>
    <row r="206" spans="1:28">
      <c r="A206" s="494" t="s">
        <v>223</v>
      </c>
      <c r="B206" s="495" t="s">
        <v>19</v>
      </c>
      <c r="C206" s="498" t="s">
        <v>596</v>
      </c>
      <c r="D206" s="502" t="s">
        <v>596</v>
      </c>
      <c r="E206" s="495" t="s">
        <v>1143</v>
      </c>
      <c r="F206" s="498" t="s">
        <v>596</v>
      </c>
      <c r="G206" s="498" t="s">
        <v>596</v>
      </c>
      <c r="H206" s="498" t="s">
        <v>596</v>
      </c>
      <c r="I206" s="503">
        <v>50.46</v>
      </c>
      <c r="J206" s="498" t="s">
        <v>1168</v>
      </c>
      <c r="K206" s="495" t="s">
        <v>1210</v>
      </c>
      <c r="L206" s="495" t="s">
        <v>1210</v>
      </c>
      <c r="M206" s="495" t="s">
        <v>1210</v>
      </c>
      <c r="N206" s="495" t="s">
        <v>1210</v>
      </c>
      <c r="O206" s="495" t="s">
        <v>1210</v>
      </c>
      <c r="P206" s="495" t="s">
        <v>1210</v>
      </c>
      <c r="Q206" s="498" t="s">
        <v>1254</v>
      </c>
      <c r="R206" s="485">
        <f t="shared" ref="R206:R237" si="37">IF(LEFT(K206,1)="N",0,LEFT(K206,1))</f>
        <v>0</v>
      </c>
      <c r="S206" s="485">
        <f t="shared" ref="S206:S237" si="38">IF(LEFT(L206,1)="N",0,LEFT(L206,1))</f>
        <v>0</v>
      </c>
      <c r="T206" s="485">
        <f t="shared" ref="T206:T237" si="39">IF(LEFT(M206,1)="N",0,LEFT(M206,1))</f>
        <v>0</v>
      </c>
      <c r="U206" s="485">
        <f t="shared" ref="U206:U237" si="40">IF(LEFT(N206,1)="N",0,LEFT(N206,1))</f>
        <v>0</v>
      </c>
      <c r="V206" s="508">
        <f t="shared" ref="V206:V237" si="41">IF(LEFT(O206,1)="N",0,LEFT(O206,1))</f>
        <v>0</v>
      </c>
      <c r="W206" s="508">
        <f t="shared" ref="W206:W237" si="42">IF(LEFT(P206,1)="N",0,LEFT(P206,1))</f>
        <v>0</v>
      </c>
      <c r="X206" s="508" t="str">
        <f t="shared" ref="X206:X237" si="43">IF(LEFT(Q206,1)="N",0,LEFT(Q206,1))</f>
        <v>2</v>
      </c>
      <c r="Y206" s="568">
        <f t="shared" ref="Y206:Y237" si="44">IF(X206=0, (SQRT((($R$3*EXP($Y$3*(R206)))^2)+(($S$3*EXP($Y$3*(1-S206)))^2)+(($T$3*EXP($Y$3*(T206)))^2)+(($U$3*EXP($Y$3*(U206-1)))^2)+(($V$3*EXP($Y$3*(V206-1)))^2)+(($W$3*EXP($Y$3*(W206)))^2)))/100, $X$3*EXP($Y$3*X206)/100)</f>
        <v>0.2278929098260076</v>
      </c>
      <c r="Z206" s="485" t="s">
        <v>223</v>
      </c>
      <c r="AA206" s="486" t="s">
        <v>1452</v>
      </c>
      <c r="AB206" s="486" t="s">
        <v>1453</v>
      </c>
    </row>
    <row r="207" spans="1:28" ht="16.5">
      <c r="A207" s="494" t="s">
        <v>200</v>
      </c>
      <c r="B207" s="495" t="s">
        <v>19</v>
      </c>
      <c r="C207" s="495" t="s">
        <v>288</v>
      </c>
      <c r="D207" s="496">
        <v>0.06</v>
      </c>
      <c r="E207" s="495" t="s">
        <v>1019</v>
      </c>
      <c r="F207" s="498">
        <v>50</v>
      </c>
      <c r="G207" s="498" t="s">
        <v>1414</v>
      </c>
      <c r="H207" s="497">
        <v>0.46082949308755761</v>
      </c>
      <c r="I207" s="497">
        <v>50.460829493087559</v>
      </c>
      <c r="J207" s="495" t="s">
        <v>144</v>
      </c>
      <c r="K207" s="498" t="s">
        <v>1209</v>
      </c>
      <c r="L207" s="506" t="s">
        <v>1218</v>
      </c>
      <c r="M207" s="498" t="s">
        <v>1212</v>
      </c>
      <c r="N207" s="495" t="s">
        <v>1240</v>
      </c>
      <c r="O207" s="489" t="s">
        <v>1442</v>
      </c>
      <c r="P207" s="495" t="s">
        <v>1255</v>
      </c>
      <c r="Q207" s="495" t="s">
        <v>1210</v>
      </c>
      <c r="R207" s="485" t="str">
        <f t="shared" si="37"/>
        <v>1</v>
      </c>
      <c r="S207" s="485" t="str">
        <f t="shared" si="38"/>
        <v>3</v>
      </c>
      <c r="T207" s="485" t="str">
        <f t="shared" si="39"/>
        <v>1</v>
      </c>
      <c r="U207" s="485" t="str">
        <f t="shared" si="40"/>
        <v>2</v>
      </c>
      <c r="V207" s="508" t="str">
        <f t="shared" si="41"/>
        <v>3</v>
      </c>
      <c r="W207" s="508" t="str">
        <f t="shared" si="42"/>
        <v>2</v>
      </c>
      <c r="X207" s="508">
        <f t="shared" si="43"/>
        <v>0</v>
      </c>
      <c r="Y207" s="568">
        <f t="shared" si="44"/>
        <v>0.20021993185204728</v>
      </c>
      <c r="Z207" s="485" t="s">
        <v>200</v>
      </c>
      <c r="AA207" s="486" t="s">
        <v>200</v>
      </c>
      <c r="AB207" s="486" t="s">
        <v>1448</v>
      </c>
    </row>
    <row r="208" spans="1:28">
      <c r="A208" s="494" t="s">
        <v>200</v>
      </c>
      <c r="B208" s="495" t="s">
        <v>19</v>
      </c>
      <c r="C208" s="495" t="s">
        <v>288</v>
      </c>
      <c r="D208" s="496">
        <v>0.1</v>
      </c>
      <c r="E208" s="495" t="s">
        <v>1019</v>
      </c>
      <c r="F208" s="495">
        <v>60</v>
      </c>
      <c r="G208" s="495">
        <v>300</v>
      </c>
      <c r="H208" s="497">
        <v>0.2</v>
      </c>
      <c r="I208" s="497">
        <v>36.500000000000007</v>
      </c>
      <c r="J208" s="495" t="s">
        <v>143</v>
      </c>
      <c r="K208" s="498" t="s">
        <v>1209</v>
      </c>
      <c r="L208" s="504" t="s">
        <v>1211</v>
      </c>
      <c r="M208" s="498" t="s">
        <v>1212</v>
      </c>
      <c r="N208" s="495" t="s">
        <v>1240</v>
      </c>
      <c r="O208" s="489" t="s">
        <v>1283</v>
      </c>
      <c r="P208" s="495" t="s">
        <v>1293</v>
      </c>
      <c r="Q208" s="495" t="s">
        <v>1210</v>
      </c>
      <c r="R208" s="485" t="str">
        <f t="shared" si="37"/>
        <v>1</v>
      </c>
      <c r="S208" s="485" t="str">
        <f t="shared" si="38"/>
        <v>1</v>
      </c>
      <c r="T208" s="485" t="str">
        <f t="shared" si="39"/>
        <v>1</v>
      </c>
      <c r="U208" s="485" t="str">
        <f t="shared" si="40"/>
        <v>2</v>
      </c>
      <c r="V208" s="508" t="str">
        <f t="shared" si="41"/>
        <v>3</v>
      </c>
      <c r="W208" s="508" t="str">
        <f t="shared" si="42"/>
        <v>3</v>
      </c>
      <c r="X208" s="508">
        <f t="shared" si="43"/>
        <v>0</v>
      </c>
      <c r="Y208" s="568">
        <f t="shared" si="44"/>
        <v>0.4382318308810465</v>
      </c>
      <c r="Z208" s="485" t="s">
        <v>200</v>
      </c>
      <c r="AA208" s="486" t="s">
        <v>223</v>
      </c>
      <c r="AB208" s="486" t="s">
        <v>1450</v>
      </c>
    </row>
    <row r="209" spans="1:28">
      <c r="A209" s="494" t="s">
        <v>200</v>
      </c>
      <c r="B209" s="495" t="s">
        <v>19</v>
      </c>
      <c r="C209" s="495" t="s">
        <v>288</v>
      </c>
      <c r="D209" s="496">
        <v>0.5</v>
      </c>
      <c r="E209" s="495" t="s">
        <v>1019</v>
      </c>
      <c r="F209" s="495">
        <v>50</v>
      </c>
      <c r="G209" s="495">
        <v>30</v>
      </c>
      <c r="H209" s="497">
        <v>1.6666666666666667</v>
      </c>
      <c r="I209" s="497">
        <v>1520.8333333333335</v>
      </c>
      <c r="J209" s="495" t="s">
        <v>973</v>
      </c>
      <c r="K209" s="498" t="s">
        <v>1209</v>
      </c>
      <c r="L209" s="506" t="s">
        <v>1218</v>
      </c>
      <c r="M209" s="498" t="s">
        <v>1212</v>
      </c>
      <c r="N209" s="495" t="s">
        <v>1241</v>
      </c>
      <c r="O209" s="489" t="s">
        <v>1296</v>
      </c>
      <c r="P209" s="495" t="s">
        <v>1293</v>
      </c>
      <c r="Q209" s="495" t="s">
        <v>1210</v>
      </c>
      <c r="R209" s="485" t="str">
        <f t="shared" si="37"/>
        <v>1</v>
      </c>
      <c r="S209" s="485" t="str">
        <f t="shared" si="38"/>
        <v>3</v>
      </c>
      <c r="T209" s="485" t="str">
        <f t="shared" si="39"/>
        <v>1</v>
      </c>
      <c r="U209" s="485" t="str">
        <f t="shared" si="40"/>
        <v>4</v>
      </c>
      <c r="V209" s="508" t="str">
        <f t="shared" si="41"/>
        <v>3</v>
      </c>
      <c r="W209" s="508" t="str">
        <f t="shared" si="42"/>
        <v>3</v>
      </c>
      <c r="X209" s="508">
        <f t="shared" si="43"/>
        <v>0</v>
      </c>
      <c r="Y209" s="568">
        <f t="shared" si="44"/>
        <v>0.44983191145414692</v>
      </c>
      <c r="Z209" s="485" t="s">
        <v>200</v>
      </c>
      <c r="AA209" s="486" t="s">
        <v>223</v>
      </c>
      <c r="AB209" s="486" t="s">
        <v>1450</v>
      </c>
    </row>
    <row r="210" spans="1:28">
      <c r="A210" s="494" t="s">
        <v>200</v>
      </c>
      <c r="B210" s="495" t="s">
        <v>19</v>
      </c>
      <c r="C210" s="495" t="s">
        <v>331</v>
      </c>
      <c r="D210" s="496">
        <v>10</v>
      </c>
      <c r="E210" s="495" t="s">
        <v>1019</v>
      </c>
      <c r="F210" s="495">
        <v>35</v>
      </c>
      <c r="G210" s="495">
        <v>300</v>
      </c>
      <c r="H210" s="497">
        <v>0.11666666666666667</v>
      </c>
      <c r="I210" s="497">
        <v>813.71210917617498</v>
      </c>
      <c r="J210" s="495" t="s">
        <v>143</v>
      </c>
      <c r="K210" s="498" t="s">
        <v>1209</v>
      </c>
      <c r="L210" s="504" t="s">
        <v>1211</v>
      </c>
      <c r="M210" s="498" t="s">
        <v>1213</v>
      </c>
      <c r="N210" s="495" t="s">
        <v>1240</v>
      </c>
      <c r="O210" s="489" t="s">
        <v>1283</v>
      </c>
      <c r="P210" s="495" t="s">
        <v>1293</v>
      </c>
      <c r="Q210" s="495" t="s">
        <v>1210</v>
      </c>
      <c r="R210" s="485" t="str">
        <f t="shared" si="37"/>
        <v>1</v>
      </c>
      <c r="S210" s="485" t="str">
        <f t="shared" si="38"/>
        <v>1</v>
      </c>
      <c r="T210" s="485" t="str">
        <f t="shared" si="39"/>
        <v>2</v>
      </c>
      <c r="U210" s="485" t="str">
        <f t="shared" si="40"/>
        <v>2</v>
      </c>
      <c r="V210" s="508" t="str">
        <f t="shared" si="41"/>
        <v>3</v>
      </c>
      <c r="W210" s="508" t="str">
        <f t="shared" si="42"/>
        <v>3</v>
      </c>
      <c r="X210" s="508">
        <f t="shared" si="43"/>
        <v>0</v>
      </c>
      <c r="Y210" s="568">
        <f t="shared" si="44"/>
        <v>0.45682903324389024</v>
      </c>
      <c r="Z210" s="485" t="s">
        <v>200</v>
      </c>
      <c r="AA210" s="486" t="s">
        <v>223</v>
      </c>
      <c r="AB210" s="486" t="s">
        <v>1450</v>
      </c>
    </row>
    <row r="211" spans="1:28" ht="16.5">
      <c r="A211" s="494" t="s">
        <v>200</v>
      </c>
      <c r="B211" s="495" t="s">
        <v>1092</v>
      </c>
      <c r="C211" s="495" t="s">
        <v>288</v>
      </c>
      <c r="D211" s="496">
        <v>1.0999999999999999E-2</v>
      </c>
      <c r="E211" s="495" t="s">
        <v>1147</v>
      </c>
      <c r="F211" s="495">
        <v>0.53799999999999992</v>
      </c>
      <c r="G211" s="495">
        <v>77</v>
      </c>
      <c r="H211" s="497">
        <v>6.987012987012986E-3</v>
      </c>
      <c r="I211" s="497">
        <v>0.14026428571428703</v>
      </c>
      <c r="J211" s="495" t="s">
        <v>365</v>
      </c>
      <c r="K211" s="498" t="s">
        <v>1209</v>
      </c>
      <c r="L211" s="504" t="s">
        <v>1211</v>
      </c>
      <c r="M211" s="498" t="s">
        <v>1215</v>
      </c>
      <c r="N211" s="495" t="s">
        <v>1224</v>
      </c>
      <c r="O211" s="489" t="s">
        <v>1279</v>
      </c>
      <c r="P211" s="495" t="s">
        <v>1255</v>
      </c>
      <c r="Q211" s="495" t="s">
        <v>1210</v>
      </c>
      <c r="R211" s="485" t="str">
        <f t="shared" si="37"/>
        <v>1</v>
      </c>
      <c r="S211" s="485" t="str">
        <f t="shared" si="38"/>
        <v>1</v>
      </c>
      <c r="T211" s="485" t="str">
        <f t="shared" si="39"/>
        <v>4</v>
      </c>
      <c r="U211" s="485" t="str">
        <f t="shared" si="40"/>
        <v>1</v>
      </c>
      <c r="V211" s="508" t="str">
        <f t="shared" si="41"/>
        <v>1</v>
      </c>
      <c r="W211" s="508" t="str">
        <f t="shared" si="42"/>
        <v>2</v>
      </c>
      <c r="X211" s="508">
        <f t="shared" si="43"/>
        <v>0</v>
      </c>
      <c r="Y211" s="568">
        <f t="shared" si="44"/>
        <v>1.2543112970202721</v>
      </c>
      <c r="Z211" s="485" t="s">
        <v>200</v>
      </c>
      <c r="AA211" s="486" t="s">
        <v>223</v>
      </c>
      <c r="AB211" s="486" t="s">
        <v>1451</v>
      </c>
    </row>
    <row r="212" spans="1:28">
      <c r="A212" s="494" t="s">
        <v>200</v>
      </c>
      <c r="B212" s="495" t="s">
        <v>1092</v>
      </c>
      <c r="C212" s="495" t="s">
        <v>288</v>
      </c>
      <c r="D212" s="496">
        <v>1.0999999999999999E-2</v>
      </c>
      <c r="E212" s="495" t="s">
        <v>1147</v>
      </c>
      <c r="F212" s="495" t="s">
        <v>368</v>
      </c>
      <c r="G212" s="495">
        <v>77</v>
      </c>
      <c r="H212" s="497">
        <v>6.4935064935064929E-2</v>
      </c>
      <c r="I212" s="497">
        <v>1.3035714285714297</v>
      </c>
      <c r="J212" s="495" t="s">
        <v>365</v>
      </c>
      <c r="K212" s="498" t="s">
        <v>1209</v>
      </c>
      <c r="L212" s="504" t="s">
        <v>1211</v>
      </c>
      <c r="M212" s="498" t="s">
        <v>1215</v>
      </c>
      <c r="N212" s="495" t="s">
        <v>1224</v>
      </c>
      <c r="O212" s="489" t="s">
        <v>1279</v>
      </c>
      <c r="P212" s="495" t="s">
        <v>1293</v>
      </c>
      <c r="Q212" s="495" t="s">
        <v>1210</v>
      </c>
      <c r="R212" s="485" t="str">
        <f t="shared" si="37"/>
        <v>1</v>
      </c>
      <c r="S212" s="485" t="str">
        <f t="shared" si="38"/>
        <v>1</v>
      </c>
      <c r="T212" s="485" t="str">
        <f t="shared" si="39"/>
        <v>4</v>
      </c>
      <c r="U212" s="485" t="str">
        <f t="shared" si="40"/>
        <v>1</v>
      </c>
      <c r="V212" s="508" t="str">
        <f t="shared" si="41"/>
        <v>1</v>
      </c>
      <c r="W212" s="508" t="str">
        <f t="shared" si="42"/>
        <v>3</v>
      </c>
      <c r="X212" s="508">
        <f t="shared" si="43"/>
        <v>0</v>
      </c>
      <c r="Y212" s="568">
        <f t="shared" si="44"/>
        <v>1.313405365460891</v>
      </c>
      <c r="Z212" s="485" t="s">
        <v>200</v>
      </c>
      <c r="AA212" s="486" t="s">
        <v>223</v>
      </c>
      <c r="AB212" s="486" t="s">
        <v>1451</v>
      </c>
    </row>
    <row r="213" spans="1:28">
      <c r="A213" s="494" t="s">
        <v>223</v>
      </c>
      <c r="B213" s="495" t="s">
        <v>1092</v>
      </c>
      <c r="C213" s="498" t="s">
        <v>596</v>
      </c>
      <c r="D213" s="502" t="s">
        <v>596</v>
      </c>
      <c r="E213" s="495" t="s">
        <v>1146</v>
      </c>
      <c r="F213" s="498" t="s">
        <v>596</v>
      </c>
      <c r="G213" s="498" t="s">
        <v>596</v>
      </c>
      <c r="H213" s="498" t="s">
        <v>596</v>
      </c>
      <c r="I213" s="507">
        <v>1.1262857142862617E-3</v>
      </c>
      <c r="J213" s="498" t="s">
        <v>1168</v>
      </c>
      <c r="K213" s="495" t="s">
        <v>1210</v>
      </c>
      <c r="L213" s="495" t="s">
        <v>1210</v>
      </c>
      <c r="M213" s="495" t="s">
        <v>1210</v>
      </c>
      <c r="N213" s="495" t="s">
        <v>1210</v>
      </c>
      <c r="O213" s="495" t="s">
        <v>1210</v>
      </c>
      <c r="P213" s="495" t="s">
        <v>1210</v>
      </c>
      <c r="Q213" s="498" t="s">
        <v>1254</v>
      </c>
      <c r="R213" s="485">
        <f t="shared" si="37"/>
        <v>0</v>
      </c>
      <c r="S213" s="485">
        <f t="shared" si="38"/>
        <v>0</v>
      </c>
      <c r="T213" s="485">
        <f t="shared" si="39"/>
        <v>0</v>
      </c>
      <c r="U213" s="485">
        <f t="shared" si="40"/>
        <v>0</v>
      </c>
      <c r="V213" s="508">
        <f t="shared" si="41"/>
        <v>0</v>
      </c>
      <c r="W213" s="508">
        <f t="shared" si="42"/>
        <v>0</v>
      </c>
      <c r="X213" s="508" t="str">
        <f t="shared" si="43"/>
        <v>2</v>
      </c>
      <c r="Y213" s="568">
        <f t="shared" si="44"/>
        <v>0.2278929098260076</v>
      </c>
      <c r="Z213" s="485" t="s">
        <v>223</v>
      </c>
      <c r="AA213" s="486" t="s">
        <v>1461</v>
      </c>
      <c r="AB213" s="486" t="s">
        <v>1456</v>
      </c>
    </row>
    <row r="214" spans="1:28" ht="16.5">
      <c r="A214" s="494" t="s">
        <v>200</v>
      </c>
      <c r="B214" s="495" t="s">
        <v>1092</v>
      </c>
      <c r="C214" s="495" t="s">
        <v>198</v>
      </c>
      <c r="D214" s="496">
        <v>0.1</v>
      </c>
      <c r="E214" s="495" t="s">
        <v>1097</v>
      </c>
      <c r="F214" s="495">
        <v>0</v>
      </c>
      <c r="G214" s="495">
        <v>28</v>
      </c>
      <c r="H214" s="497">
        <v>0</v>
      </c>
      <c r="I214" s="497">
        <v>0</v>
      </c>
      <c r="J214" s="495" t="s">
        <v>1310</v>
      </c>
      <c r="K214" s="564" t="s">
        <v>1404</v>
      </c>
      <c r="L214" s="506" t="s">
        <v>1217</v>
      </c>
      <c r="M214" s="489" t="str">
        <f>CONCATENATE("4 - less than 10% (",F214,")")</f>
        <v>4 - less than 10% (0)</v>
      </c>
      <c r="N214" s="498" t="s">
        <v>1224</v>
      </c>
      <c r="O214" s="489" t="s">
        <v>1306</v>
      </c>
      <c r="P214" s="495" t="s">
        <v>1255</v>
      </c>
      <c r="Q214" s="495" t="s">
        <v>1210</v>
      </c>
      <c r="R214" s="485" t="str">
        <f t="shared" si="37"/>
        <v>3</v>
      </c>
      <c r="S214" s="485" t="str">
        <f t="shared" si="38"/>
        <v>2</v>
      </c>
      <c r="T214" s="485" t="str">
        <f t="shared" si="39"/>
        <v>4</v>
      </c>
      <c r="U214" s="485" t="str">
        <f t="shared" si="40"/>
        <v>1</v>
      </c>
      <c r="V214" s="508" t="str">
        <f t="shared" si="41"/>
        <v>2</v>
      </c>
      <c r="W214" s="508" t="str">
        <f t="shared" si="42"/>
        <v>2</v>
      </c>
      <c r="X214" s="508">
        <f t="shared" si="43"/>
        <v>0</v>
      </c>
      <c r="Y214" s="568">
        <f t="shared" si="44"/>
        <v>1.2716202899130387</v>
      </c>
      <c r="Z214" s="485" t="s">
        <v>200</v>
      </c>
      <c r="AA214" s="486" t="s">
        <v>200</v>
      </c>
      <c r="AB214" s="486" t="s">
        <v>1449</v>
      </c>
    </row>
    <row r="215" spans="1:28" ht="16.5">
      <c r="A215" s="494" t="s">
        <v>200</v>
      </c>
      <c r="B215" s="495" t="s">
        <v>1092</v>
      </c>
      <c r="C215" s="495" t="s">
        <v>288</v>
      </c>
      <c r="D215" s="496">
        <v>1.0999999999999999E-2</v>
      </c>
      <c r="E215" s="495" t="s">
        <v>1143</v>
      </c>
      <c r="F215" s="495">
        <v>4.3200000000000001E-3</v>
      </c>
      <c r="G215" s="495">
        <v>77</v>
      </c>
      <c r="H215" s="497">
        <v>5.6103896103896105E-5</v>
      </c>
      <c r="I215" s="507">
        <v>1.1262857142862617E-3</v>
      </c>
      <c r="J215" s="495" t="s">
        <v>365</v>
      </c>
      <c r="K215" s="498" t="s">
        <v>1209</v>
      </c>
      <c r="L215" s="504" t="s">
        <v>1211</v>
      </c>
      <c r="M215" s="498" t="s">
        <v>1215</v>
      </c>
      <c r="N215" s="495" t="s">
        <v>1224</v>
      </c>
      <c r="O215" s="489" t="s">
        <v>1279</v>
      </c>
      <c r="P215" s="495" t="s">
        <v>1255</v>
      </c>
      <c r="Q215" s="495" t="s">
        <v>1210</v>
      </c>
      <c r="R215" s="485" t="str">
        <f t="shared" si="37"/>
        <v>1</v>
      </c>
      <c r="S215" s="485" t="str">
        <f t="shared" si="38"/>
        <v>1</v>
      </c>
      <c r="T215" s="485" t="str">
        <f t="shared" si="39"/>
        <v>4</v>
      </c>
      <c r="U215" s="485" t="str">
        <f t="shared" si="40"/>
        <v>1</v>
      </c>
      <c r="V215" s="508" t="str">
        <f t="shared" si="41"/>
        <v>1</v>
      </c>
      <c r="W215" s="508" t="str">
        <f t="shared" si="42"/>
        <v>2</v>
      </c>
      <c r="X215" s="508">
        <f t="shared" si="43"/>
        <v>0</v>
      </c>
      <c r="Y215" s="568">
        <f t="shared" si="44"/>
        <v>1.2543112970202721</v>
      </c>
      <c r="Z215" s="485" t="s">
        <v>200</v>
      </c>
      <c r="AA215" s="486" t="s">
        <v>200</v>
      </c>
      <c r="AB215" s="486" t="s">
        <v>1448</v>
      </c>
    </row>
    <row r="216" spans="1:28">
      <c r="A216" s="494" t="s">
        <v>200</v>
      </c>
      <c r="B216" s="495" t="s">
        <v>1092</v>
      </c>
      <c r="C216" s="495" t="s">
        <v>288</v>
      </c>
      <c r="D216" s="496">
        <v>1.0999999999999999E-2</v>
      </c>
      <c r="E216" s="495" t="s">
        <v>1143</v>
      </c>
      <c r="F216" s="495" t="s">
        <v>369</v>
      </c>
      <c r="G216" s="495">
        <v>77</v>
      </c>
      <c r="H216" s="497">
        <v>0</v>
      </c>
      <c r="I216" s="507">
        <v>0</v>
      </c>
      <c r="J216" s="495" t="s">
        <v>365</v>
      </c>
      <c r="K216" s="498" t="s">
        <v>1209</v>
      </c>
      <c r="L216" s="504" t="s">
        <v>1211</v>
      </c>
      <c r="M216" s="498" t="s">
        <v>1215</v>
      </c>
      <c r="N216" s="495" t="s">
        <v>1224</v>
      </c>
      <c r="O216" s="489" t="s">
        <v>1279</v>
      </c>
      <c r="P216" s="495" t="s">
        <v>1293</v>
      </c>
      <c r="Q216" s="495" t="s">
        <v>1210</v>
      </c>
      <c r="R216" s="485" t="str">
        <f t="shared" si="37"/>
        <v>1</v>
      </c>
      <c r="S216" s="485" t="str">
        <f t="shared" si="38"/>
        <v>1</v>
      </c>
      <c r="T216" s="485" t="str">
        <f t="shared" si="39"/>
        <v>4</v>
      </c>
      <c r="U216" s="485" t="str">
        <f t="shared" si="40"/>
        <v>1</v>
      </c>
      <c r="V216" s="508" t="str">
        <f t="shared" si="41"/>
        <v>1</v>
      </c>
      <c r="W216" s="508" t="str">
        <f t="shared" si="42"/>
        <v>3</v>
      </c>
      <c r="X216" s="508">
        <f t="shared" si="43"/>
        <v>0</v>
      </c>
      <c r="Y216" s="568">
        <f t="shared" si="44"/>
        <v>1.313405365460891</v>
      </c>
      <c r="Z216" s="485" t="s">
        <v>200</v>
      </c>
      <c r="AA216" s="486" t="s">
        <v>223</v>
      </c>
      <c r="AB216" s="486" t="s">
        <v>1450</v>
      </c>
    </row>
    <row r="217" spans="1:28">
      <c r="A217" s="494" t="s">
        <v>200</v>
      </c>
      <c r="B217" s="495" t="s">
        <v>1092</v>
      </c>
      <c r="C217" s="495" t="s">
        <v>241</v>
      </c>
      <c r="D217" s="496">
        <v>0.25</v>
      </c>
      <c r="E217" s="495" t="s">
        <v>1019</v>
      </c>
      <c r="F217" s="495">
        <v>13.8</v>
      </c>
      <c r="G217" s="495">
        <v>28</v>
      </c>
      <c r="H217" s="497">
        <v>0.49285714285714288</v>
      </c>
      <c r="I217" s="497">
        <v>78.694724300850595</v>
      </c>
      <c r="J217" s="495" t="s">
        <v>139</v>
      </c>
      <c r="K217" s="498" t="s">
        <v>1209</v>
      </c>
      <c r="L217" s="504" t="s">
        <v>1211</v>
      </c>
      <c r="M217" s="498" t="s">
        <v>1214</v>
      </c>
      <c r="N217" s="498" t="s">
        <v>1224</v>
      </c>
      <c r="O217" s="489" t="s">
        <v>1302</v>
      </c>
      <c r="P217" s="495" t="s">
        <v>1222</v>
      </c>
      <c r="Q217" s="495" t="s">
        <v>1210</v>
      </c>
      <c r="R217" s="485" t="str">
        <f t="shared" si="37"/>
        <v>1</v>
      </c>
      <c r="S217" s="485" t="str">
        <f t="shared" si="38"/>
        <v>1</v>
      </c>
      <c r="T217" s="485" t="str">
        <f t="shared" si="39"/>
        <v>3</v>
      </c>
      <c r="U217" s="485" t="str">
        <f t="shared" si="40"/>
        <v>1</v>
      </c>
      <c r="V217" s="508" t="str">
        <f t="shared" si="41"/>
        <v>2</v>
      </c>
      <c r="W217" s="508" t="str">
        <f t="shared" si="42"/>
        <v>2</v>
      </c>
      <c r="X217" s="508">
        <f t="shared" si="43"/>
        <v>0</v>
      </c>
      <c r="Y217" s="568">
        <f t="shared" si="44"/>
        <v>0.43810159818879568</v>
      </c>
      <c r="Z217" s="485" t="s">
        <v>200</v>
      </c>
      <c r="AA217" s="486" t="s">
        <v>200</v>
      </c>
      <c r="AB217" s="486" t="s">
        <v>1448</v>
      </c>
    </row>
    <row r="218" spans="1:28">
      <c r="A218" s="494" t="s">
        <v>200</v>
      </c>
      <c r="B218" s="495" t="s">
        <v>1092</v>
      </c>
      <c r="C218" s="495" t="s">
        <v>288</v>
      </c>
      <c r="D218" s="496">
        <v>1</v>
      </c>
      <c r="E218" s="495" t="s">
        <v>1019</v>
      </c>
      <c r="F218" s="495">
        <v>10</v>
      </c>
      <c r="G218" s="495">
        <v>98</v>
      </c>
      <c r="H218" s="497">
        <v>0.10204081632653061</v>
      </c>
      <c r="I218" s="497">
        <v>186.22448979591832</v>
      </c>
      <c r="J218" s="495" t="s">
        <v>137</v>
      </c>
      <c r="K218" s="498" t="s">
        <v>1209</v>
      </c>
      <c r="L218" s="505" t="s">
        <v>1211</v>
      </c>
      <c r="M218" s="498" t="s">
        <v>1214</v>
      </c>
      <c r="N218" s="495" t="s">
        <v>1240</v>
      </c>
      <c r="O218" s="489" t="s">
        <v>1303</v>
      </c>
      <c r="P218" s="495" t="s">
        <v>1293</v>
      </c>
      <c r="Q218" s="495" t="s">
        <v>1210</v>
      </c>
      <c r="R218" s="485" t="str">
        <f t="shared" si="37"/>
        <v>1</v>
      </c>
      <c r="S218" s="485" t="str">
        <f t="shared" si="38"/>
        <v>1</v>
      </c>
      <c r="T218" s="485" t="str">
        <f t="shared" si="39"/>
        <v>3</v>
      </c>
      <c r="U218" s="485" t="str">
        <f t="shared" si="40"/>
        <v>2</v>
      </c>
      <c r="V218" s="508" t="str">
        <f t="shared" si="41"/>
        <v>3</v>
      </c>
      <c r="W218" s="508" t="str">
        <f t="shared" si="42"/>
        <v>3</v>
      </c>
      <c r="X218" s="508">
        <f t="shared" si="43"/>
        <v>0</v>
      </c>
      <c r="Y218" s="568">
        <f t="shared" si="44"/>
        <v>0.60035788476818319</v>
      </c>
      <c r="Z218" s="485" t="s">
        <v>200</v>
      </c>
      <c r="AA218" s="486" t="s">
        <v>223</v>
      </c>
      <c r="AB218" s="486" t="s">
        <v>1450</v>
      </c>
    </row>
    <row r="219" spans="1:28">
      <c r="A219" s="494" t="s">
        <v>200</v>
      </c>
      <c r="B219" s="495" t="s">
        <v>1092</v>
      </c>
      <c r="C219" s="495" t="s">
        <v>288</v>
      </c>
      <c r="D219" s="496">
        <v>2</v>
      </c>
      <c r="E219" s="495" t="s">
        <v>1019</v>
      </c>
      <c r="F219" s="495">
        <v>0</v>
      </c>
      <c r="G219" s="495">
        <v>28</v>
      </c>
      <c r="H219" s="497">
        <v>0</v>
      </c>
      <c r="I219" s="497">
        <v>0</v>
      </c>
      <c r="J219" s="495" t="s">
        <v>139</v>
      </c>
      <c r="K219" s="498" t="s">
        <v>1209</v>
      </c>
      <c r="L219" s="504" t="s">
        <v>1211</v>
      </c>
      <c r="M219" s="498" t="s">
        <v>1215</v>
      </c>
      <c r="N219" s="498" t="s">
        <v>1224</v>
      </c>
      <c r="O219" s="489" t="s">
        <v>1302</v>
      </c>
      <c r="P219" s="495" t="s">
        <v>1222</v>
      </c>
      <c r="Q219" s="495" t="s">
        <v>1210</v>
      </c>
      <c r="R219" s="485" t="str">
        <f t="shared" si="37"/>
        <v>1</v>
      </c>
      <c r="S219" s="485" t="str">
        <f t="shared" si="38"/>
        <v>1</v>
      </c>
      <c r="T219" s="485" t="str">
        <f t="shared" si="39"/>
        <v>4</v>
      </c>
      <c r="U219" s="485" t="str">
        <f t="shared" si="40"/>
        <v>1</v>
      </c>
      <c r="V219" s="508" t="str">
        <f t="shared" si="41"/>
        <v>2</v>
      </c>
      <c r="W219" s="508" t="str">
        <f t="shared" si="42"/>
        <v>2</v>
      </c>
      <c r="X219" s="508">
        <f t="shared" si="43"/>
        <v>0</v>
      </c>
      <c r="Y219" s="568">
        <f t="shared" si="44"/>
        <v>1.2550389898409975</v>
      </c>
      <c r="Z219" s="485" t="s">
        <v>200</v>
      </c>
      <c r="AA219" s="486" t="s">
        <v>223</v>
      </c>
      <c r="AB219" s="486" t="s">
        <v>1450</v>
      </c>
    </row>
    <row r="220" spans="1:28">
      <c r="A220" s="494" t="s">
        <v>223</v>
      </c>
      <c r="B220" s="495" t="s">
        <v>165</v>
      </c>
      <c r="C220" s="498" t="s">
        <v>596</v>
      </c>
      <c r="D220" s="502" t="s">
        <v>596</v>
      </c>
      <c r="E220" s="495" t="s">
        <v>1146</v>
      </c>
      <c r="F220" s="498" t="s">
        <v>596</v>
      </c>
      <c r="G220" s="498" t="s">
        <v>596</v>
      </c>
      <c r="H220" s="498" t="s">
        <v>596</v>
      </c>
      <c r="I220" s="497">
        <v>0.29775984121096721</v>
      </c>
      <c r="J220" s="498" t="s">
        <v>1168</v>
      </c>
      <c r="K220" s="495" t="s">
        <v>1210</v>
      </c>
      <c r="L220" s="495" t="s">
        <v>1210</v>
      </c>
      <c r="M220" s="495" t="s">
        <v>1210</v>
      </c>
      <c r="N220" s="495" t="s">
        <v>1210</v>
      </c>
      <c r="O220" s="495" t="s">
        <v>1210</v>
      </c>
      <c r="P220" s="495" t="s">
        <v>1210</v>
      </c>
      <c r="Q220" s="498" t="s">
        <v>1254</v>
      </c>
      <c r="R220" s="485">
        <f t="shared" si="37"/>
        <v>0</v>
      </c>
      <c r="S220" s="485">
        <f t="shared" si="38"/>
        <v>0</v>
      </c>
      <c r="T220" s="485">
        <f t="shared" si="39"/>
        <v>0</v>
      </c>
      <c r="U220" s="485">
        <f t="shared" si="40"/>
        <v>0</v>
      </c>
      <c r="V220" s="508">
        <f t="shared" si="41"/>
        <v>0</v>
      </c>
      <c r="W220" s="508">
        <f t="shared" si="42"/>
        <v>0</v>
      </c>
      <c r="X220" s="508" t="str">
        <f t="shared" si="43"/>
        <v>2</v>
      </c>
      <c r="Y220" s="568">
        <f t="shared" si="44"/>
        <v>0.2278929098260076</v>
      </c>
      <c r="Z220" s="485" t="s">
        <v>223</v>
      </c>
      <c r="AA220" s="486" t="s">
        <v>1452</v>
      </c>
      <c r="AB220" s="486" t="s">
        <v>1453</v>
      </c>
    </row>
    <row r="221" spans="1:28">
      <c r="A221" s="494" t="s">
        <v>200</v>
      </c>
      <c r="B221" s="495" t="s">
        <v>165</v>
      </c>
      <c r="C221" s="495" t="s">
        <v>288</v>
      </c>
      <c r="D221" s="496">
        <v>2</v>
      </c>
      <c r="E221" s="495" t="s">
        <v>1097</v>
      </c>
      <c r="F221" s="554">
        <v>1.1312219975284771E-3</v>
      </c>
      <c r="G221" s="555">
        <v>20.833333333333332</v>
      </c>
      <c r="H221" s="497">
        <v>5.4298655881366905E-5</v>
      </c>
      <c r="I221" s="497">
        <v>0.19819009396727871</v>
      </c>
      <c r="J221" s="495" t="s">
        <v>391</v>
      </c>
      <c r="K221" s="498" t="s">
        <v>1209</v>
      </c>
      <c r="L221" s="506" t="s">
        <v>1217</v>
      </c>
      <c r="M221" s="498" t="s">
        <v>1215</v>
      </c>
      <c r="N221" s="495" t="s">
        <v>1224</v>
      </c>
      <c r="O221" s="489" t="s">
        <v>1288</v>
      </c>
      <c r="P221" s="495" t="s">
        <v>1293</v>
      </c>
      <c r="Q221" s="495" t="s">
        <v>1210</v>
      </c>
      <c r="R221" s="485" t="str">
        <f t="shared" si="37"/>
        <v>1</v>
      </c>
      <c r="S221" s="485" t="str">
        <f t="shared" si="38"/>
        <v>2</v>
      </c>
      <c r="T221" s="485" t="str">
        <f t="shared" si="39"/>
        <v>4</v>
      </c>
      <c r="U221" s="485" t="str">
        <f t="shared" si="40"/>
        <v>1</v>
      </c>
      <c r="V221" s="508" t="str">
        <f t="shared" si="41"/>
        <v>3</v>
      </c>
      <c r="W221" s="508" t="str">
        <f t="shared" si="42"/>
        <v>3</v>
      </c>
      <c r="X221" s="508">
        <f t="shared" si="43"/>
        <v>0</v>
      </c>
      <c r="Y221" s="568">
        <f t="shared" si="44"/>
        <v>1.3203427588596077</v>
      </c>
      <c r="Z221" s="485" t="s">
        <v>200</v>
      </c>
      <c r="AA221" s="486" t="s">
        <v>223</v>
      </c>
      <c r="AB221" s="486" t="s">
        <v>1450</v>
      </c>
    </row>
    <row r="222" spans="1:28">
      <c r="A222" s="494" t="s">
        <v>200</v>
      </c>
      <c r="B222" s="495" t="s">
        <v>165</v>
      </c>
      <c r="C222" s="495" t="s">
        <v>288</v>
      </c>
      <c r="D222" s="496">
        <v>1.5</v>
      </c>
      <c r="E222" s="495" t="s">
        <v>1097</v>
      </c>
      <c r="F222" s="495">
        <v>0.5</v>
      </c>
      <c r="G222" s="495">
        <v>180</v>
      </c>
      <c r="H222" s="497">
        <v>2.7777777777777779E-3</v>
      </c>
      <c r="I222" s="497">
        <v>7.6041666666666741</v>
      </c>
      <c r="J222" s="495" t="s">
        <v>277</v>
      </c>
      <c r="K222" s="498" t="s">
        <v>1209</v>
      </c>
      <c r="L222" s="505" t="s">
        <v>1211</v>
      </c>
      <c r="M222" s="498" t="s">
        <v>1215</v>
      </c>
      <c r="N222" s="498" t="s">
        <v>1238</v>
      </c>
      <c r="O222" s="495" t="s">
        <v>1282</v>
      </c>
      <c r="P222" s="495" t="s">
        <v>1293</v>
      </c>
      <c r="Q222" s="495" t="s">
        <v>1210</v>
      </c>
      <c r="R222" s="485" t="str">
        <f t="shared" si="37"/>
        <v>1</v>
      </c>
      <c r="S222" s="485" t="str">
        <f t="shared" si="38"/>
        <v>1</v>
      </c>
      <c r="T222" s="485" t="str">
        <f t="shared" si="39"/>
        <v>4</v>
      </c>
      <c r="U222" s="485" t="str">
        <f t="shared" si="40"/>
        <v>3</v>
      </c>
      <c r="V222" s="508" t="str">
        <f t="shared" si="41"/>
        <v>3</v>
      </c>
      <c r="W222" s="508" t="str">
        <f t="shared" si="42"/>
        <v>3</v>
      </c>
      <c r="X222" s="508">
        <f t="shared" si="43"/>
        <v>0</v>
      </c>
      <c r="Y222" s="568">
        <f t="shared" si="44"/>
        <v>1.3208557064418265</v>
      </c>
      <c r="Z222" s="485" t="s">
        <v>200</v>
      </c>
      <c r="AA222" s="486" t="s">
        <v>1447</v>
      </c>
      <c r="AB222" s="486" t="s">
        <v>1447</v>
      </c>
    </row>
    <row r="223" spans="1:28">
      <c r="A223" s="494" t="s">
        <v>200</v>
      </c>
      <c r="B223" s="495" t="s">
        <v>165</v>
      </c>
      <c r="C223" s="495" t="s">
        <v>476</v>
      </c>
      <c r="D223" s="496">
        <v>1.5</v>
      </c>
      <c r="E223" s="495" t="s">
        <v>1097</v>
      </c>
      <c r="F223" s="495">
        <v>0.65</v>
      </c>
      <c r="G223" s="495">
        <v>365</v>
      </c>
      <c r="H223" s="497">
        <v>1.7808219178082193E-3</v>
      </c>
      <c r="I223" s="497">
        <v>4.8749999999999618</v>
      </c>
      <c r="J223" s="495" t="s">
        <v>1062</v>
      </c>
      <c r="K223" s="498" t="s">
        <v>1209</v>
      </c>
      <c r="L223" s="504" t="s">
        <v>1211</v>
      </c>
      <c r="M223" s="498" t="s">
        <v>1215</v>
      </c>
      <c r="N223" s="498" t="s">
        <v>1238</v>
      </c>
      <c r="O223" s="495" t="s">
        <v>1282</v>
      </c>
      <c r="P223" s="495" t="s">
        <v>1293</v>
      </c>
      <c r="Q223" s="495" t="s">
        <v>1210</v>
      </c>
      <c r="R223" s="485" t="str">
        <f t="shared" si="37"/>
        <v>1</v>
      </c>
      <c r="S223" s="485" t="str">
        <f t="shared" si="38"/>
        <v>1</v>
      </c>
      <c r="T223" s="485" t="str">
        <f t="shared" si="39"/>
        <v>4</v>
      </c>
      <c r="U223" s="485" t="str">
        <f t="shared" si="40"/>
        <v>3</v>
      </c>
      <c r="V223" s="508" t="str">
        <f t="shared" si="41"/>
        <v>3</v>
      </c>
      <c r="W223" s="508" t="str">
        <f t="shared" si="42"/>
        <v>3</v>
      </c>
      <c r="X223" s="508">
        <f t="shared" si="43"/>
        <v>0</v>
      </c>
      <c r="Y223" s="568">
        <f t="shared" si="44"/>
        <v>1.3208557064418265</v>
      </c>
      <c r="Z223" s="485" t="s">
        <v>200</v>
      </c>
      <c r="AA223" s="486" t="s">
        <v>1447</v>
      </c>
      <c r="AB223" s="486" t="s">
        <v>1447</v>
      </c>
    </row>
    <row r="224" spans="1:28">
      <c r="A224" s="494" t="s">
        <v>223</v>
      </c>
      <c r="B224" s="495" t="s">
        <v>165</v>
      </c>
      <c r="C224" s="498" t="s">
        <v>596</v>
      </c>
      <c r="D224" s="502" t="s">
        <v>596</v>
      </c>
      <c r="E224" s="495" t="s">
        <v>1143</v>
      </c>
      <c r="F224" s="498" t="s">
        <v>596</v>
      </c>
      <c r="G224" s="498" t="s">
        <v>596</v>
      </c>
      <c r="H224" s="498" t="s">
        <v>596</v>
      </c>
      <c r="I224" s="497">
        <v>0.29775984121096721</v>
      </c>
      <c r="J224" s="498" t="s">
        <v>1168</v>
      </c>
      <c r="K224" s="495" t="s">
        <v>1210</v>
      </c>
      <c r="L224" s="495" t="s">
        <v>1210</v>
      </c>
      <c r="M224" s="495" t="s">
        <v>1210</v>
      </c>
      <c r="N224" s="495" t="s">
        <v>1210</v>
      </c>
      <c r="O224" s="495" t="s">
        <v>1210</v>
      </c>
      <c r="P224" s="495" t="s">
        <v>1210</v>
      </c>
      <c r="Q224" s="498" t="s">
        <v>1254</v>
      </c>
      <c r="R224" s="485">
        <f t="shared" si="37"/>
        <v>0</v>
      </c>
      <c r="S224" s="485">
        <f t="shared" si="38"/>
        <v>0</v>
      </c>
      <c r="T224" s="485">
        <f t="shared" si="39"/>
        <v>0</v>
      </c>
      <c r="U224" s="485">
        <f t="shared" si="40"/>
        <v>0</v>
      </c>
      <c r="V224" s="508">
        <f t="shared" si="41"/>
        <v>0</v>
      </c>
      <c r="W224" s="508">
        <f t="shared" si="42"/>
        <v>0</v>
      </c>
      <c r="X224" s="508" t="str">
        <f t="shared" si="43"/>
        <v>2</v>
      </c>
      <c r="Y224" s="568">
        <f t="shared" si="44"/>
        <v>0.2278929098260076</v>
      </c>
      <c r="Z224" s="485" t="s">
        <v>223</v>
      </c>
      <c r="AA224" s="486" t="s">
        <v>1452</v>
      </c>
      <c r="AB224" s="486" t="s">
        <v>1453</v>
      </c>
    </row>
    <row r="225" spans="1:28" ht="16.5">
      <c r="A225" s="494" t="s">
        <v>200</v>
      </c>
      <c r="B225" s="495" t="s">
        <v>165</v>
      </c>
      <c r="C225" s="495" t="s">
        <v>578</v>
      </c>
      <c r="D225" s="496">
        <v>2.5000000000000001E-2</v>
      </c>
      <c r="E225" s="495" t="s">
        <v>1019</v>
      </c>
      <c r="F225" s="495">
        <v>3.1</v>
      </c>
      <c r="G225" s="495">
        <v>84</v>
      </c>
      <c r="H225" s="497">
        <v>3.6904761904761905E-2</v>
      </c>
      <c r="I225" s="497">
        <v>0.29775984121096721</v>
      </c>
      <c r="J225" s="495" t="s">
        <v>164</v>
      </c>
      <c r="K225" s="498" t="s">
        <v>1209</v>
      </c>
      <c r="L225" s="499" t="s">
        <v>1220</v>
      </c>
      <c r="M225" s="498" t="s">
        <v>1215</v>
      </c>
      <c r="N225" s="495" t="s">
        <v>1241</v>
      </c>
      <c r="O225" s="489" t="s">
        <v>1289</v>
      </c>
      <c r="P225" s="495" t="s">
        <v>1255</v>
      </c>
      <c r="Q225" s="495" t="s">
        <v>1210</v>
      </c>
      <c r="R225" s="485" t="str">
        <f t="shared" si="37"/>
        <v>1</v>
      </c>
      <c r="S225" s="485" t="str">
        <f t="shared" si="38"/>
        <v>3</v>
      </c>
      <c r="T225" s="485" t="str">
        <f t="shared" si="39"/>
        <v>4</v>
      </c>
      <c r="U225" s="485" t="str">
        <f t="shared" si="40"/>
        <v>4</v>
      </c>
      <c r="V225" s="508" t="str">
        <f t="shared" si="41"/>
        <v>2</v>
      </c>
      <c r="W225" s="508" t="str">
        <f t="shared" si="42"/>
        <v>2</v>
      </c>
      <c r="X225" s="508">
        <f t="shared" si="43"/>
        <v>0</v>
      </c>
      <c r="Y225" s="568">
        <f t="shared" si="44"/>
        <v>1.2591817201055715</v>
      </c>
      <c r="Z225" s="485" t="s">
        <v>200</v>
      </c>
      <c r="AA225" s="486" t="s">
        <v>200</v>
      </c>
      <c r="AB225" s="486" t="s">
        <v>1448</v>
      </c>
    </row>
    <row r="226" spans="1:28">
      <c r="A226" s="494" t="s">
        <v>200</v>
      </c>
      <c r="B226" s="495" t="s">
        <v>165</v>
      </c>
      <c r="C226" s="495" t="s">
        <v>578</v>
      </c>
      <c r="D226" s="496">
        <v>2.5000000000000001E-2</v>
      </c>
      <c r="E226" s="495" t="s">
        <v>1019</v>
      </c>
      <c r="F226" s="495">
        <v>8.6</v>
      </c>
      <c r="G226" s="495">
        <v>84</v>
      </c>
      <c r="H226" s="497">
        <v>0.10238095238095238</v>
      </c>
      <c r="I226" s="497">
        <v>1.603942008231777</v>
      </c>
      <c r="J226" s="495" t="s">
        <v>164</v>
      </c>
      <c r="K226" s="498" t="s">
        <v>1209</v>
      </c>
      <c r="L226" s="499" t="s">
        <v>1220</v>
      </c>
      <c r="M226" s="498" t="s">
        <v>1215</v>
      </c>
      <c r="N226" s="495" t="s">
        <v>1241</v>
      </c>
      <c r="O226" s="489" t="s">
        <v>1289</v>
      </c>
      <c r="P226" s="495" t="s">
        <v>1293</v>
      </c>
      <c r="Q226" s="495" t="s">
        <v>1210</v>
      </c>
      <c r="R226" s="485" t="str">
        <f t="shared" si="37"/>
        <v>1</v>
      </c>
      <c r="S226" s="485" t="str">
        <f t="shared" si="38"/>
        <v>3</v>
      </c>
      <c r="T226" s="485" t="str">
        <f t="shared" si="39"/>
        <v>4</v>
      </c>
      <c r="U226" s="485" t="str">
        <f t="shared" si="40"/>
        <v>4</v>
      </c>
      <c r="V226" s="508" t="str">
        <f t="shared" si="41"/>
        <v>2</v>
      </c>
      <c r="W226" s="508" t="str">
        <f t="shared" si="42"/>
        <v>3</v>
      </c>
      <c r="X226" s="508">
        <f t="shared" si="43"/>
        <v>0</v>
      </c>
      <c r="Y226" s="568">
        <f t="shared" si="44"/>
        <v>1.318057445044337</v>
      </c>
      <c r="Z226" s="485" t="s">
        <v>200</v>
      </c>
      <c r="AA226" s="486" t="s">
        <v>223</v>
      </c>
      <c r="AB226" s="486" t="s">
        <v>1450</v>
      </c>
    </row>
    <row r="227" spans="1:28">
      <c r="A227" s="494" t="s">
        <v>223</v>
      </c>
      <c r="B227" s="495" t="s">
        <v>240</v>
      </c>
      <c r="C227" s="498" t="s">
        <v>596</v>
      </c>
      <c r="D227" s="502" t="s">
        <v>596</v>
      </c>
      <c r="E227" s="495" t="s">
        <v>1146</v>
      </c>
      <c r="F227" s="498" t="s">
        <v>596</v>
      </c>
      <c r="G227" s="498" t="s">
        <v>596</v>
      </c>
      <c r="H227" s="498" t="s">
        <v>596</v>
      </c>
      <c r="I227" s="503">
        <f>'Auswertung_neu (2)'!I58</f>
        <v>0</v>
      </c>
      <c r="J227" s="498" t="s">
        <v>1216</v>
      </c>
      <c r="K227" s="495" t="s">
        <v>1210</v>
      </c>
      <c r="L227" s="495" t="s">
        <v>1210</v>
      </c>
      <c r="M227" s="495" t="s">
        <v>1210</v>
      </c>
      <c r="N227" s="495" t="s">
        <v>1210</v>
      </c>
      <c r="O227" s="495" t="s">
        <v>1210</v>
      </c>
      <c r="P227" s="495" t="s">
        <v>1210</v>
      </c>
      <c r="Q227" s="498" t="s">
        <v>1446</v>
      </c>
      <c r="R227" s="485">
        <f t="shared" si="37"/>
        <v>0</v>
      </c>
      <c r="S227" s="485">
        <f t="shared" si="38"/>
        <v>0</v>
      </c>
      <c r="T227" s="485">
        <f t="shared" si="39"/>
        <v>0</v>
      </c>
      <c r="U227" s="485">
        <f t="shared" si="40"/>
        <v>0</v>
      </c>
      <c r="V227" s="508">
        <f t="shared" si="41"/>
        <v>0</v>
      </c>
      <c r="W227" s="508">
        <f t="shared" si="42"/>
        <v>0</v>
      </c>
      <c r="X227" s="508" t="str">
        <f t="shared" si="43"/>
        <v>4</v>
      </c>
      <c r="Y227" s="568">
        <f t="shared" si="44"/>
        <v>2.077407133958594</v>
      </c>
      <c r="Z227" s="485" t="s">
        <v>223</v>
      </c>
      <c r="AA227" s="486" t="s">
        <v>200</v>
      </c>
      <c r="AB227" s="486" t="s">
        <v>1454</v>
      </c>
    </row>
    <row r="228" spans="1:28">
      <c r="A228" s="494" t="s">
        <v>223</v>
      </c>
      <c r="B228" s="495" t="s">
        <v>240</v>
      </c>
      <c r="C228" s="498" t="s">
        <v>596</v>
      </c>
      <c r="D228" s="502" t="s">
        <v>596</v>
      </c>
      <c r="E228" s="495" t="s">
        <v>1097</v>
      </c>
      <c r="F228" s="498" t="s">
        <v>596</v>
      </c>
      <c r="G228" s="498" t="s">
        <v>596</v>
      </c>
      <c r="H228" s="498" t="s">
        <v>596</v>
      </c>
      <c r="I228" s="503">
        <f>'Auswertung_neu (2)'!I59</f>
        <v>0</v>
      </c>
      <c r="J228" s="498" t="s">
        <v>1216</v>
      </c>
      <c r="K228" s="495" t="s">
        <v>1210</v>
      </c>
      <c r="L228" s="495" t="s">
        <v>1210</v>
      </c>
      <c r="M228" s="495" t="s">
        <v>1210</v>
      </c>
      <c r="N228" s="495" t="s">
        <v>1210</v>
      </c>
      <c r="O228" s="495" t="s">
        <v>1210</v>
      </c>
      <c r="P228" s="495" t="s">
        <v>1210</v>
      </c>
      <c r="Q228" s="498" t="s">
        <v>1446</v>
      </c>
      <c r="R228" s="485">
        <f t="shared" si="37"/>
        <v>0</v>
      </c>
      <c r="S228" s="485">
        <f t="shared" si="38"/>
        <v>0</v>
      </c>
      <c r="T228" s="485">
        <f t="shared" si="39"/>
        <v>0</v>
      </c>
      <c r="U228" s="485">
        <f t="shared" si="40"/>
        <v>0</v>
      </c>
      <c r="V228" s="508">
        <f t="shared" si="41"/>
        <v>0</v>
      </c>
      <c r="W228" s="508">
        <f t="shared" si="42"/>
        <v>0</v>
      </c>
      <c r="X228" s="508" t="str">
        <f t="shared" si="43"/>
        <v>4</v>
      </c>
      <c r="Y228" s="568">
        <f t="shared" si="44"/>
        <v>2.077407133958594</v>
      </c>
      <c r="Z228" s="485" t="s">
        <v>223</v>
      </c>
      <c r="AA228" s="486" t="s">
        <v>200</v>
      </c>
      <c r="AB228" s="486" t="s">
        <v>1454</v>
      </c>
    </row>
    <row r="229" spans="1:28">
      <c r="A229" s="494" t="s">
        <v>223</v>
      </c>
      <c r="B229" s="495" t="s">
        <v>240</v>
      </c>
      <c r="C229" s="498" t="s">
        <v>596</v>
      </c>
      <c r="D229" s="502" t="s">
        <v>596</v>
      </c>
      <c r="E229" s="495" t="s">
        <v>1143</v>
      </c>
      <c r="F229" s="498" t="s">
        <v>596</v>
      </c>
      <c r="G229" s="498" t="s">
        <v>596</v>
      </c>
      <c r="H229" s="498" t="s">
        <v>596</v>
      </c>
      <c r="I229" s="503">
        <f>'Auswertung_neu (2)'!I57</f>
        <v>0</v>
      </c>
      <c r="J229" s="498" t="s">
        <v>1216</v>
      </c>
      <c r="K229" s="495" t="s">
        <v>1210</v>
      </c>
      <c r="L229" s="495" t="s">
        <v>1210</v>
      </c>
      <c r="M229" s="495" t="s">
        <v>1210</v>
      </c>
      <c r="N229" s="495" t="s">
        <v>1210</v>
      </c>
      <c r="O229" s="495" t="s">
        <v>1210</v>
      </c>
      <c r="P229" s="495" t="s">
        <v>1210</v>
      </c>
      <c r="Q229" s="498" t="s">
        <v>1446</v>
      </c>
      <c r="R229" s="485">
        <f t="shared" si="37"/>
        <v>0</v>
      </c>
      <c r="S229" s="485">
        <f t="shared" si="38"/>
        <v>0</v>
      </c>
      <c r="T229" s="485">
        <f t="shared" si="39"/>
        <v>0</v>
      </c>
      <c r="U229" s="485">
        <f t="shared" si="40"/>
        <v>0</v>
      </c>
      <c r="V229" s="508">
        <f t="shared" si="41"/>
        <v>0</v>
      </c>
      <c r="W229" s="508">
        <f t="shared" si="42"/>
        <v>0</v>
      </c>
      <c r="X229" s="508" t="str">
        <f t="shared" si="43"/>
        <v>4</v>
      </c>
      <c r="Y229" s="568">
        <f t="shared" si="44"/>
        <v>2.077407133958594</v>
      </c>
      <c r="Z229" s="485" t="s">
        <v>223</v>
      </c>
      <c r="AA229" s="486" t="s">
        <v>200</v>
      </c>
      <c r="AB229" s="486" t="s">
        <v>1454</v>
      </c>
    </row>
    <row r="230" spans="1:28">
      <c r="A230" s="494" t="s">
        <v>223</v>
      </c>
      <c r="B230" s="495" t="s">
        <v>240</v>
      </c>
      <c r="C230" s="498" t="s">
        <v>596</v>
      </c>
      <c r="D230" s="502" t="s">
        <v>596</v>
      </c>
      <c r="E230" s="495" t="s">
        <v>1019</v>
      </c>
      <c r="F230" s="498" t="s">
        <v>596</v>
      </c>
      <c r="G230" s="498" t="s">
        <v>596</v>
      </c>
      <c r="H230" s="498" t="s">
        <v>596</v>
      </c>
      <c r="I230" s="503">
        <f>'Auswertung_neu (2)'!I56</f>
        <v>0</v>
      </c>
      <c r="J230" s="498" t="s">
        <v>1216</v>
      </c>
      <c r="K230" s="495" t="s">
        <v>1210</v>
      </c>
      <c r="L230" s="495" t="s">
        <v>1210</v>
      </c>
      <c r="M230" s="495" t="s">
        <v>1210</v>
      </c>
      <c r="N230" s="495" t="s">
        <v>1210</v>
      </c>
      <c r="O230" s="495" t="s">
        <v>1210</v>
      </c>
      <c r="P230" s="495" t="s">
        <v>1210</v>
      </c>
      <c r="Q230" s="498" t="s">
        <v>1446</v>
      </c>
      <c r="R230" s="485">
        <f t="shared" si="37"/>
        <v>0</v>
      </c>
      <c r="S230" s="485">
        <f t="shared" si="38"/>
        <v>0</v>
      </c>
      <c r="T230" s="485">
        <f t="shared" si="39"/>
        <v>0</v>
      </c>
      <c r="U230" s="485">
        <f t="shared" si="40"/>
        <v>0</v>
      </c>
      <c r="V230" s="508">
        <f t="shared" si="41"/>
        <v>0</v>
      </c>
      <c r="W230" s="508">
        <f t="shared" si="42"/>
        <v>0</v>
      </c>
      <c r="X230" s="508" t="str">
        <f t="shared" si="43"/>
        <v>4</v>
      </c>
      <c r="Y230" s="568">
        <f t="shared" si="44"/>
        <v>2.077407133958594</v>
      </c>
      <c r="Z230" s="485" t="s">
        <v>223</v>
      </c>
      <c r="AA230" s="486" t="s">
        <v>200</v>
      </c>
      <c r="AB230" s="486" t="s">
        <v>1454</v>
      </c>
    </row>
    <row r="231" spans="1:28">
      <c r="A231" s="494" t="s">
        <v>223</v>
      </c>
      <c r="B231" s="495" t="s">
        <v>187</v>
      </c>
      <c r="C231" s="498" t="s">
        <v>596</v>
      </c>
      <c r="D231" s="502" t="s">
        <v>596</v>
      </c>
      <c r="E231" s="495" t="s">
        <v>1146</v>
      </c>
      <c r="F231" s="498" t="s">
        <v>596</v>
      </c>
      <c r="G231" s="498" t="s">
        <v>596</v>
      </c>
      <c r="H231" s="498" t="s">
        <v>596</v>
      </c>
      <c r="I231" s="497">
        <v>193.00000000000006</v>
      </c>
      <c r="J231" s="498" t="s">
        <v>1168</v>
      </c>
      <c r="K231" s="495" t="s">
        <v>1210</v>
      </c>
      <c r="L231" s="495" t="s">
        <v>1210</v>
      </c>
      <c r="M231" s="495" t="s">
        <v>1210</v>
      </c>
      <c r="N231" s="495" t="s">
        <v>1210</v>
      </c>
      <c r="O231" s="495" t="s">
        <v>1210</v>
      </c>
      <c r="P231" s="495" t="s">
        <v>1210</v>
      </c>
      <c r="Q231" s="498" t="s">
        <v>1254</v>
      </c>
      <c r="R231" s="485">
        <f t="shared" si="37"/>
        <v>0</v>
      </c>
      <c r="S231" s="485">
        <f t="shared" si="38"/>
        <v>0</v>
      </c>
      <c r="T231" s="485">
        <f t="shared" si="39"/>
        <v>0</v>
      </c>
      <c r="U231" s="485">
        <f t="shared" si="40"/>
        <v>0</v>
      </c>
      <c r="V231" s="508">
        <f t="shared" si="41"/>
        <v>0</v>
      </c>
      <c r="W231" s="508">
        <f t="shared" si="42"/>
        <v>0</v>
      </c>
      <c r="X231" s="508" t="str">
        <f t="shared" si="43"/>
        <v>2</v>
      </c>
      <c r="Y231" s="568">
        <f t="shared" si="44"/>
        <v>0.2278929098260076</v>
      </c>
      <c r="Z231" s="485" t="s">
        <v>223</v>
      </c>
      <c r="AA231" s="486" t="s">
        <v>1459</v>
      </c>
      <c r="AB231" s="486" t="s">
        <v>1445</v>
      </c>
    </row>
    <row r="232" spans="1:28">
      <c r="A232" s="494" t="s">
        <v>200</v>
      </c>
      <c r="B232" s="495" t="s">
        <v>187</v>
      </c>
      <c r="C232" s="495" t="s">
        <v>288</v>
      </c>
      <c r="D232" s="496">
        <v>2</v>
      </c>
      <c r="E232" s="495" t="s">
        <v>1097</v>
      </c>
      <c r="F232" s="495">
        <v>19.3</v>
      </c>
      <c r="G232" s="495">
        <v>365</v>
      </c>
      <c r="H232" s="497">
        <v>5.2876712328767124E-2</v>
      </c>
      <c r="I232" s="497">
        <v>193.00000000000006</v>
      </c>
      <c r="J232" s="495" t="s">
        <v>101</v>
      </c>
      <c r="K232" s="498" t="s">
        <v>1209</v>
      </c>
      <c r="L232" s="505" t="s">
        <v>1211</v>
      </c>
      <c r="M232" s="498" t="s">
        <v>1214</v>
      </c>
      <c r="N232" s="495" t="s">
        <v>1241</v>
      </c>
      <c r="O232" s="489" t="s">
        <v>1292</v>
      </c>
      <c r="P232" s="495" t="s">
        <v>1293</v>
      </c>
      <c r="Q232" s="495" t="s">
        <v>1210</v>
      </c>
      <c r="R232" s="485" t="str">
        <f t="shared" si="37"/>
        <v>1</v>
      </c>
      <c r="S232" s="485" t="str">
        <f t="shared" si="38"/>
        <v>1</v>
      </c>
      <c r="T232" s="485" t="str">
        <f t="shared" si="39"/>
        <v>3</v>
      </c>
      <c r="U232" s="485" t="str">
        <f t="shared" si="40"/>
        <v>4</v>
      </c>
      <c r="V232" s="508" t="str">
        <f t="shared" si="41"/>
        <v>1</v>
      </c>
      <c r="W232" s="508" t="str">
        <f t="shared" si="42"/>
        <v>3</v>
      </c>
      <c r="X232" s="508">
        <f t="shared" si="43"/>
        <v>0</v>
      </c>
      <c r="Y232" s="568">
        <f t="shared" si="44"/>
        <v>0.5937018012947014</v>
      </c>
      <c r="Z232" s="485" t="s">
        <v>200</v>
      </c>
      <c r="AA232" s="486" t="s">
        <v>200</v>
      </c>
      <c r="AB232" s="486" t="s">
        <v>1448</v>
      </c>
    </row>
    <row r="233" spans="1:28">
      <c r="A233" s="494" t="s">
        <v>200</v>
      </c>
      <c r="B233" s="495" t="s">
        <v>187</v>
      </c>
      <c r="C233" s="495" t="s">
        <v>288</v>
      </c>
      <c r="D233" s="496">
        <v>2</v>
      </c>
      <c r="E233" s="495" t="s">
        <v>1097</v>
      </c>
      <c r="F233" s="495">
        <v>0</v>
      </c>
      <c r="G233" s="495">
        <v>365</v>
      </c>
      <c r="H233" s="497">
        <v>0</v>
      </c>
      <c r="I233" s="497">
        <v>0</v>
      </c>
      <c r="J233" s="495" t="s">
        <v>101</v>
      </c>
      <c r="K233" s="498" t="s">
        <v>1209</v>
      </c>
      <c r="L233" s="505" t="s">
        <v>1211</v>
      </c>
      <c r="M233" s="498" t="s">
        <v>1215</v>
      </c>
      <c r="N233" s="495" t="s">
        <v>1241</v>
      </c>
      <c r="O233" s="489" t="s">
        <v>1292</v>
      </c>
      <c r="P233" s="495" t="s">
        <v>1293</v>
      </c>
      <c r="Q233" s="495" t="s">
        <v>1210</v>
      </c>
      <c r="R233" s="485" t="str">
        <f t="shared" si="37"/>
        <v>1</v>
      </c>
      <c r="S233" s="485" t="str">
        <f t="shared" si="38"/>
        <v>1</v>
      </c>
      <c r="T233" s="485" t="str">
        <f t="shared" si="39"/>
        <v>4</v>
      </c>
      <c r="U233" s="485" t="str">
        <f t="shared" si="40"/>
        <v>4</v>
      </c>
      <c r="V233" s="508" t="str">
        <f t="shared" si="41"/>
        <v>1</v>
      </c>
      <c r="W233" s="508" t="str">
        <f t="shared" si="42"/>
        <v>3</v>
      </c>
      <c r="X233" s="508">
        <f t="shared" si="43"/>
        <v>0</v>
      </c>
      <c r="Y233" s="568">
        <f t="shared" si="44"/>
        <v>1.3174489305267616</v>
      </c>
      <c r="Z233" s="485" t="s">
        <v>200</v>
      </c>
      <c r="AA233" s="486" t="s">
        <v>223</v>
      </c>
      <c r="AB233" s="486" t="s">
        <v>1450</v>
      </c>
    </row>
    <row r="234" spans="1:28">
      <c r="A234" s="494" t="s">
        <v>200</v>
      </c>
      <c r="B234" s="495" t="s">
        <v>187</v>
      </c>
      <c r="C234" s="495" t="s">
        <v>288</v>
      </c>
      <c r="D234" s="496">
        <v>2</v>
      </c>
      <c r="E234" s="495" t="s">
        <v>1097</v>
      </c>
      <c r="F234" s="495">
        <v>4.2</v>
      </c>
      <c r="G234" s="495">
        <v>365</v>
      </c>
      <c r="H234" s="497">
        <v>1.1506849315068493E-2</v>
      </c>
      <c r="I234" s="497">
        <v>42.000000000000036</v>
      </c>
      <c r="J234" s="495" t="s">
        <v>101</v>
      </c>
      <c r="K234" s="498" t="s">
        <v>1209</v>
      </c>
      <c r="L234" s="505" t="s">
        <v>1211</v>
      </c>
      <c r="M234" s="498" t="s">
        <v>1215</v>
      </c>
      <c r="N234" s="495" t="s">
        <v>1241</v>
      </c>
      <c r="O234" s="489" t="s">
        <v>1292</v>
      </c>
      <c r="P234" s="495" t="s">
        <v>1293</v>
      </c>
      <c r="Q234" s="495" t="s">
        <v>1210</v>
      </c>
      <c r="R234" s="485" t="str">
        <f t="shared" si="37"/>
        <v>1</v>
      </c>
      <c r="S234" s="485" t="str">
        <f t="shared" si="38"/>
        <v>1</v>
      </c>
      <c r="T234" s="485" t="str">
        <f t="shared" si="39"/>
        <v>4</v>
      </c>
      <c r="U234" s="485" t="str">
        <f t="shared" si="40"/>
        <v>4</v>
      </c>
      <c r="V234" s="508" t="str">
        <f t="shared" si="41"/>
        <v>1</v>
      </c>
      <c r="W234" s="508" t="str">
        <f t="shared" si="42"/>
        <v>3</v>
      </c>
      <c r="X234" s="508">
        <f t="shared" si="43"/>
        <v>0</v>
      </c>
      <c r="Y234" s="568">
        <f t="shared" si="44"/>
        <v>1.3174489305267616</v>
      </c>
      <c r="Z234" s="485" t="s">
        <v>200</v>
      </c>
      <c r="AA234" s="486" t="s">
        <v>223</v>
      </c>
      <c r="AB234" s="486" t="s">
        <v>1450</v>
      </c>
    </row>
    <row r="235" spans="1:28">
      <c r="A235" s="494" t="s">
        <v>200</v>
      </c>
      <c r="B235" s="495" t="s">
        <v>187</v>
      </c>
      <c r="C235" s="495" t="s">
        <v>288</v>
      </c>
      <c r="D235" s="496">
        <v>3</v>
      </c>
      <c r="E235" s="495" t="s">
        <v>1097</v>
      </c>
      <c r="F235" s="495">
        <v>4.25</v>
      </c>
      <c r="G235" s="495">
        <v>365</v>
      </c>
      <c r="H235" s="497">
        <v>1.1643835616438357E-2</v>
      </c>
      <c r="I235" s="497">
        <v>63.749999999999964</v>
      </c>
      <c r="J235" s="495" t="s">
        <v>303</v>
      </c>
      <c r="K235" s="498" t="s">
        <v>1209</v>
      </c>
      <c r="L235" s="505" t="s">
        <v>1211</v>
      </c>
      <c r="M235" s="498" t="s">
        <v>1215</v>
      </c>
      <c r="N235" s="495" t="s">
        <v>1240</v>
      </c>
      <c r="O235" s="495" t="s">
        <v>1282</v>
      </c>
      <c r="P235" s="495" t="s">
        <v>1293</v>
      </c>
      <c r="Q235" s="495" t="s">
        <v>1210</v>
      </c>
      <c r="R235" s="485" t="str">
        <f t="shared" si="37"/>
        <v>1</v>
      </c>
      <c r="S235" s="485" t="str">
        <f t="shared" si="38"/>
        <v>1</v>
      </c>
      <c r="T235" s="485" t="str">
        <f t="shared" si="39"/>
        <v>4</v>
      </c>
      <c r="U235" s="485" t="str">
        <f t="shared" si="40"/>
        <v>2</v>
      </c>
      <c r="V235" s="508" t="str">
        <f t="shared" si="41"/>
        <v>3</v>
      </c>
      <c r="W235" s="508" t="str">
        <f t="shared" si="42"/>
        <v>3</v>
      </c>
      <c r="X235" s="508">
        <f t="shared" si="43"/>
        <v>0</v>
      </c>
      <c r="Y235" s="568">
        <f t="shared" si="44"/>
        <v>1.3204618303793796</v>
      </c>
      <c r="Z235" s="485" t="s">
        <v>200</v>
      </c>
      <c r="AA235" s="486" t="s">
        <v>223</v>
      </c>
      <c r="AB235" s="486" t="s">
        <v>1450</v>
      </c>
    </row>
    <row r="236" spans="1:28">
      <c r="A236" s="494" t="s">
        <v>223</v>
      </c>
      <c r="B236" s="495" t="s">
        <v>187</v>
      </c>
      <c r="C236" s="498" t="s">
        <v>596</v>
      </c>
      <c r="D236" s="502" t="s">
        <v>596</v>
      </c>
      <c r="E236" s="495" t="s">
        <v>1143</v>
      </c>
      <c r="F236" s="498" t="s">
        <v>596</v>
      </c>
      <c r="G236" s="498" t="s">
        <v>596</v>
      </c>
      <c r="H236" s="498" t="s">
        <v>596</v>
      </c>
      <c r="I236" s="497">
        <v>193.00000000000006</v>
      </c>
      <c r="J236" s="498" t="s">
        <v>1168</v>
      </c>
      <c r="K236" s="495" t="s">
        <v>1210</v>
      </c>
      <c r="L236" s="495" t="s">
        <v>1210</v>
      </c>
      <c r="M236" s="495" t="s">
        <v>1210</v>
      </c>
      <c r="N236" s="495" t="s">
        <v>1210</v>
      </c>
      <c r="O236" s="495" t="s">
        <v>1210</v>
      </c>
      <c r="P236" s="495" t="s">
        <v>1210</v>
      </c>
      <c r="Q236" s="498" t="s">
        <v>1254</v>
      </c>
      <c r="R236" s="485">
        <f t="shared" si="37"/>
        <v>0</v>
      </c>
      <c r="S236" s="485">
        <f t="shared" si="38"/>
        <v>0</v>
      </c>
      <c r="T236" s="485">
        <f t="shared" si="39"/>
        <v>0</v>
      </c>
      <c r="U236" s="485">
        <f t="shared" si="40"/>
        <v>0</v>
      </c>
      <c r="V236" s="508">
        <f t="shared" si="41"/>
        <v>0</v>
      </c>
      <c r="W236" s="508">
        <f t="shared" si="42"/>
        <v>0</v>
      </c>
      <c r="X236" s="508" t="str">
        <f t="shared" si="43"/>
        <v>2</v>
      </c>
      <c r="Y236" s="568">
        <f t="shared" si="44"/>
        <v>0.2278929098260076</v>
      </c>
      <c r="Z236" s="485" t="s">
        <v>223</v>
      </c>
      <c r="AA236" s="486" t="s">
        <v>1459</v>
      </c>
      <c r="AB236" s="486" t="s">
        <v>1445</v>
      </c>
    </row>
    <row r="237" spans="1:28">
      <c r="A237" s="494" t="s">
        <v>223</v>
      </c>
      <c r="B237" s="495" t="s">
        <v>187</v>
      </c>
      <c r="C237" s="498" t="s">
        <v>596</v>
      </c>
      <c r="D237" s="502" t="s">
        <v>596</v>
      </c>
      <c r="E237" s="495" t="s">
        <v>1019</v>
      </c>
      <c r="F237" s="498" t="s">
        <v>596</v>
      </c>
      <c r="G237" s="498" t="s">
        <v>596</v>
      </c>
      <c r="H237" s="498" t="s">
        <v>596</v>
      </c>
      <c r="I237" s="497">
        <v>193.00000000000006</v>
      </c>
      <c r="J237" s="498" t="s">
        <v>1168</v>
      </c>
      <c r="K237" s="495" t="s">
        <v>1210</v>
      </c>
      <c r="L237" s="495" t="s">
        <v>1210</v>
      </c>
      <c r="M237" s="495" t="s">
        <v>1210</v>
      </c>
      <c r="N237" s="495" t="s">
        <v>1210</v>
      </c>
      <c r="O237" s="495" t="s">
        <v>1210</v>
      </c>
      <c r="P237" s="495" t="s">
        <v>1210</v>
      </c>
      <c r="Q237" s="498" t="s">
        <v>1254</v>
      </c>
      <c r="R237" s="485">
        <f t="shared" si="37"/>
        <v>0</v>
      </c>
      <c r="S237" s="485">
        <f t="shared" si="38"/>
        <v>0</v>
      </c>
      <c r="T237" s="485">
        <f t="shared" si="39"/>
        <v>0</v>
      </c>
      <c r="U237" s="485">
        <f t="shared" si="40"/>
        <v>0</v>
      </c>
      <c r="V237" s="508">
        <f t="shared" si="41"/>
        <v>0</v>
      </c>
      <c r="W237" s="508">
        <f t="shared" si="42"/>
        <v>0</v>
      </c>
      <c r="X237" s="508" t="str">
        <f t="shared" si="43"/>
        <v>2</v>
      </c>
      <c r="Y237" s="568">
        <f t="shared" si="44"/>
        <v>0.2278929098260076</v>
      </c>
      <c r="Z237" s="485" t="s">
        <v>223</v>
      </c>
      <c r="AA237" s="486" t="s">
        <v>1459</v>
      </c>
      <c r="AB237" s="486" t="s">
        <v>1445</v>
      </c>
    </row>
    <row r="238" spans="1:28">
      <c r="A238" s="494" t="s">
        <v>223</v>
      </c>
      <c r="B238" s="495" t="s">
        <v>86</v>
      </c>
      <c r="C238" s="498" t="s">
        <v>596</v>
      </c>
      <c r="D238" s="502" t="s">
        <v>596</v>
      </c>
      <c r="E238" s="495" t="s">
        <v>1146</v>
      </c>
      <c r="F238" s="498" t="s">
        <v>596</v>
      </c>
      <c r="G238" s="498" t="s">
        <v>596</v>
      </c>
      <c r="H238" s="498" t="s">
        <v>596</v>
      </c>
      <c r="I238" s="503">
        <f>'Auswertung_neu (2)'!I53</f>
        <v>0</v>
      </c>
      <c r="J238" s="498" t="s">
        <v>1216</v>
      </c>
      <c r="K238" s="495" t="s">
        <v>1210</v>
      </c>
      <c r="L238" s="495" t="s">
        <v>1210</v>
      </c>
      <c r="M238" s="495" t="s">
        <v>1210</v>
      </c>
      <c r="N238" s="495" t="s">
        <v>1210</v>
      </c>
      <c r="O238" s="495" t="s">
        <v>1210</v>
      </c>
      <c r="P238" s="495" t="s">
        <v>1210</v>
      </c>
      <c r="Q238" s="498" t="s">
        <v>1446</v>
      </c>
      <c r="R238" s="485">
        <f t="shared" ref="R238:R246" si="45">IF(LEFT(K238,1)="N",0,LEFT(K238,1))</f>
        <v>0</v>
      </c>
      <c r="S238" s="485">
        <f t="shared" ref="S238:S246" si="46">IF(LEFT(L238,1)="N",0,LEFT(L238,1))</f>
        <v>0</v>
      </c>
      <c r="T238" s="485">
        <f t="shared" ref="T238:T246" si="47">IF(LEFT(M238,1)="N",0,LEFT(M238,1))</f>
        <v>0</v>
      </c>
      <c r="U238" s="485">
        <f t="shared" ref="U238:U246" si="48">IF(LEFT(N238,1)="N",0,LEFT(N238,1))</f>
        <v>0</v>
      </c>
      <c r="V238" s="508">
        <f t="shared" ref="V238:V246" si="49">IF(LEFT(O238,1)="N",0,LEFT(O238,1))</f>
        <v>0</v>
      </c>
      <c r="W238" s="508">
        <f t="shared" ref="W238:W246" si="50">IF(LEFT(P238,1)="N",0,LEFT(P238,1))</f>
        <v>0</v>
      </c>
      <c r="X238" s="508" t="str">
        <f t="shared" ref="X238:X246" si="51">IF(LEFT(Q238,1)="N",0,LEFT(Q238,1))</f>
        <v>4</v>
      </c>
      <c r="Y238" s="568">
        <f t="shared" ref="Y238:Y246" si="52">IF(X238=0, (SQRT((($R$3*EXP($Y$3*(R238)))^2)+(($S$3*EXP($Y$3*(1-S238)))^2)+(($T$3*EXP($Y$3*(T238)))^2)+(($U$3*EXP($Y$3*(U238-1)))^2)+(($V$3*EXP($Y$3*(V238-1)))^2)+(($W$3*EXP($Y$3*(W238)))^2)))/100, $X$3*EXP($Y$3*X238)/100)</f>
        <v>2.077407133958594</v>
      </c>
      <c r="Z238" s="485" t="s">
        <v>223</v>
      </c>
      <c r="AA238" s="486" t="s">
        <v>200</v>
      </c>
      <c r="AB238" s="486" t="s">
        <v>1454</v>
      </c>
    </row>
    <row r="239" spans="1:28">
      <c r="A239" s="494" t="s">
        <v>223</v>
      </c>
      <c r="B239" s="495" t="s">
        <v>86</v>
      </c>
      <c r="C239" s="498" t="s">
        <v>596</v>
      </c>
      <c r="D239" s="502" t="s">
        <v>596</v>
      </c>
      <c r="E239" s="495" t="s">
        <v>1097</v>
      </c>
      <c r="F239" s="498" t="s">
        <v>596</v>
      </c>
      <c r="G239" s="498" t="s">
        <v>596</v>
      </c>
      <c r="H239" s="498" t="s">
        <v>596</v>
      </c>
      <c r="I239" s="503">
        <f>'Auswertung_neu (2)'!I54</f>
        <v>0</v>
      </c>
      <c r="J239" s="498" t="s">
        <v>1216</v>
      </c>
      <c r="K239" s="495" t="s">
        <v>1210</v>
      </c>
      <c r="L239" s="495" t="s">
        <v>1210</v>
      </c>
      <c r="M239" s="495" t="s">
        <v>1210</v>
      </c>
      <c r="N239" s="495" t="s">
        <v>1210</v>
      </c>
      <c r="O239" s="495" t="s">
        <v>1210</v>
      </c>
      <c r="P239" s="495" t="s">
        <v>1210</v>
      </c>
      <c r="Q239" s="498" t="s">
        <v>1446</v>
      </c>
      <c r="R239" s="485">
        <f t="shared" si="45"/>
        <v>0</v>
      </c>
      <c r="S239" s="485">
        <f t="shared" si="46"/>
        <v>0</v>
      </c>
      <c r="T239" s="485">
        <f t="shared" si="47"/>
        <v>0</v>
      </c>
      <c r="U239" s="485">
        <f t="shared" si="48"/>
        <v>0</v>
      </c>
      <c r="V239" s="508">
        <f t="shared" si="49"/>
        <v>0</v>
      </c>
      <c r="W239" s="508">
        <f t="shared" si="50"/>
        <v>0</v>
      </c>
      <c r="X239" s="508" t="str">
        <f t="shared" si="51"/>
        <v>4</v>
      </c>
      <c r="Y239" s="568">
        <f t="shared" si="52"/>
        <v>2.077407133958594</v>
      </c>
      <c r="Z239" s="485" t="s">
        <v>223</v>
      </c>
      <c r="AA239" s="486" t="s">
        <v>200</v>
      </c>
      <c r="AB239" s="486" t="s">
        <v>1454</v>
      </c>
    </row>
    <row r="240" spans="1:28">
      <c r="A240" s="494" t="s">
        <v>223</v>
      </c>
      <c r="B240" s="495" t="s">
        <v>86</v>
      </c>
      <c r="C240" s="498" t="s">
        <v>596</v>
      </c>
      <c r="D240" s="502" t="s">
        <v>596</v>
      </c>
      <c r="E240" s="495" t="s">
        <v>1143</v>
      </c>
      <c r="F240" s="498" t="s">
        <v>596</v>
      </c>
      <c r="G240" s="498" t="s">
        <v>596</v>
      </c>
      <c r="H240" s="498" t="s">
        <v>596</v>
      </c>
      <c r="I240" s="503">
        <f>'Auswertung_neu (2)'!I52</f>
        <v>0</v>
      </c>
      <c r="J240" s="498" t="s">
        <v>1216</v>
      </c>
      <c r="K240" s="495" t="s">
        <v>1210</v>
      </c>
      <c r="L240" s="495" t="s">
        <v>1210</v>
      </c>
      <c r="M240" s="495" t="s">
        <v>1210</v>
      </c>
      <c r="N240" s="495" t="s">
        <v>1210</v>
      </c>
      <c r="O240" s="495" t="s">
        <v>1210</v>
      </c>
      <c r="P240" s="495" t="s">
        <v>1210</v>
      </c>
      <c r="Q240" s="498" t="s">
        <v>1446</v>
      </c>
      <c r="R240" s="485">
        <f t="shared" si="45"/>
        <v>0</v>
      </c>
      <c r="S240" s="485">
        <f t="shared" si="46"/>
        <v>0</v>
      </c>
      <c r="T240" s="485">
        <f t="shared" si="47"/>
        <v>0</v>
      </c>
      <c r="U240" s="485">
        <f t="shared" si="48"/>
        <v>0</v>
      </c>
      <c r="V240" s="508">
        <f t="shared" si="49"/>
        <v>0</v>
      </c>
      <c r="W240" s="508">
        <f t="shared" si="50"/>
        <v>0</v>
      </c>
      <c r="X240" s="508" t="str">
        <f t="shared" si="51"/>
        <v>4</v>
      </c>
      <c r="Y240" s="568">
        <f t="shared" si="52"/>
        <v>2.077407133958594</v>
      </c>
      <c r="Z240" s="485" t="s">
        <v>223</v>
      </c>
      <c r="AA240" s="486" t="s">
        <v>200</v>
      </c>
      <c r="AB240" s="486" t="s">
        <v>1454</v>
      </c>
    </row>
    <row r="241" spans="1:28">
      <c r="A241" s="494" t="s">
        <v>223</v>
      </c>
      <c r="B241" s="495" t="s">
        <v>86</v>
      </c>
      <c r="C241" s="498" t="s">
        <v>596</v>
      </c>
      <c r="D241" s="502" t="s">
        <v>596</v>
      </c>
      <c r="E241" s="495" t="s">
        <v>1019</v>
      </c>
      <c r="F241" s="498" t="s">
        <v>596</v>
      </c>
      <c r="G241" s="498" t="s">
        <v>596</v>
      </c>
      <c r="H241" s="498" t="s">
        <v>596</v>
      </c>
      <c r="I241" s="503">
        <f>'Auswertung_neu (2)'!I51</f>
        <v>0</v>
      </c>
      <c r="J241" s="498" t="s">
        <v>1216</v>
      </c>
      <c r="K241" s="495" t="s">
        <v>1210</v>
      </c>
      <c r="L241" s="495" t="s">
        <v>1210</v>
      </c>
      <c r="M241" s="495" t="s">
        <v>1210</v>
      </c>
      <c r="N241" s="495" t="s">
        <v>1210</v>
      </c>
      <c r="O241" s="495" t="s">
        <v>1210</v>
      </c>
      <c r="P241" s="495" t="s">
        <v>1210</v>
      </c>
      <c r="Q241" s="498" t="s">
        <v>1446</v>
      </c>
      <c r="R241" s="485">
        <f t="shared" si="45"/>
        <v>0</v>
      </c>
      <c r="S241" s="485">
        <f t="shared" si="46"/>
        <v>0</v>
      </c>
      <c r="T241" s="485">
        <f t="shared" si="47"/>
        <v>0</v>
      </c>
      <c r="U241" s="485">
        <f t="shared" si="48"/>
        <v>0</v>
      </c>
      <c r="V241" s="508">
        <f t="shared" si="49"/>
        <v>0</v>
      </c>
      <c r="W241" s="508">
        <f t="shared" si="50"/>
        <v>0</v>
      </c>
      <c r="X241" s="508" t="str">
        <f t="shared" si="51"/>
        <v>4</v>
      </c>
      <c r="Y241" s="568">
        <f t="shared" si="52"/>
        <v>2.077407133958594</v>
      </c>
      <c r="Z241" s="485" t="s">
        <v>223</v>
      </c>
      <c r="AA241" s="486" t="s">
        <v>200</v>
      </c>
      <c r="AB241" s="486" t="s">
        <v>1454</v>
      </c>
    </row>
    <row r="242" spans="1:28">
      <c r="A242" s="501" t="s">
        <v>223</v>
      </c>
      <c r="B242" s="495" t="s">
        <v>1059</v>
      </c>
      <c r="C242" s="498" t="s">
        <v>596</v>
      </c>
      <c r="D242" s="502" t="s">
        <v>596</v>
      </c>
      <c r="E242" s="495" t="s">
        <v>1146</v>
      </c>
      <c r="F242" s="498" t="s">
        <v>596</v>
      </c>
      <c r="G242" s="498" t="s">
        <v>596</v>
      </c>
      <c r="H242" s="498" t="s">
        <v>596</v>
      </c>
      <c r="I242" s="491">
        <v>42.740046838407508</v>
      </c>
      <c r="J242" s="498" t="s">
        <v>1168</v>
      </c>
      <c r="K242" s="495" t="s">
        <v>1210</v>
      </c>
      <c r="L242" s="495" t="s">
        <v>1210</v>
      </c>
      <c r="M242" s="495" t="s">
        <v>1210</v>
      </c>
      <c r="N242" s="495" t="s">
        <v>1210</v>
      </c>
      <c r="O242" s="495" t="s">
        <v>1210</v>
      </c>
      <c r="P242" s="495" t="s">
        <v>1210</v>
      </c>
      <c r="Q242" s="498" t="s">
        <v>1254</v>
      </c>
      <c r="R242" s="485">
        <f t="shared" si="45"/>
        <v>0</v>
      </c>
      <c r="S242" s="485">
        <f t="shared" si="46"/>
        <v>0</v>
      </c>
      <c r="T242" s="485">
        <f t="shared" si="47"/>
        <v>0</v>
      </c>
      <c r="U242" s="485">
        <f t="shared" si="48"/>
        <v>0</v>
      </c>
      <c r="V242" s="508">
        <f t="shared" si="49"/>
        <v>0</v>
      </c>
      <c r="W242" s="508">
        <f t="shared" si="50"/>
        <v>0</v>
      </c>
      <c r="X242" s="508" t="str">
        <f t="shared" si="51"/>
        <v>2</v>
      </c>
      <c r="Y242" s="568">
        <f t="shared" si="52"/>
        <v>0.2278929098260076</v>
      </c>
      <c r="Z242" s="485" t="s">
        <v>223</v>
      </c>
      <c r="AA242" s="486" t="s">
        <v>1452</v>
      </c>
      <c r="AB242" s="486" t="s">
        <v>1453</v>
      </c>
    </row>
    <row r="243" spans="1:28">
      <c r="A243" s="494" t="s">
        <v>200</v>
      </c>
      <c r="B243" s="495" t="s">
        <v>1059</v>
      </c>
      <c r="C243" s="495" t="s">
        <v>288</v>
      </c>
      <c r="D243" s="496">
        <v>2.1999999999999999E-2</v>
      </c>
      <c r="E243" s="495" t="s">
        <v>1097</v>
      </c>
      <c r="F243" s="495">
        <v>55</v>
      </c>
      <c r="G243" s="495">
        <v>180</v>
      </c>
      <c r="H243" s="497">
        <v>0.30555555555555558</v>
      </c>
      <c r="I243" s="497">
        <v>101.29025539691933</v>
      </c>
      <c r="J243" s="495" t="s">
        <v>149</v>
      </c>
      <c r="K243" s="498" t="s">
        <v>1209</v>
      </c>
      <c r="L243" s="505" t="s">
        <v>1211</v>
      </c>
      <c r="M243" s="498" t="s">
        <v>1212</v>
      </c>
      <c r="N243" s="495" t="s">
        <v>1240</v>
      </c>
      <c r="O243" s="489" t="s">
        <v>1291</v>
      </c>
      <c r="P243" s="495" t="s">
        <v>1223</v>
      </c>
      <c r="Q243" s="495" t="s">
        <v>1210</v>
      </c>
      <c r="R243" s="485" t="str">
        <f t="shared" si="45"/>
        <v>1</v>
      </c>
      <c r="S243" s="485" t="str">
        <f t="shared" si="46"/>
        <v>1</v>
      </c>
      <c r="T243" s="485" t="str">
        <f t="shared" si="47"/>
        <v>1</v>
      </c>
      <c r="U243" s="485" t="str">
        <f t="shared" si="48"/>
        <v>2</v>
      </c>
      <c r="V243" s="508" t="str">
        <f t="shared" si="49"/>
        <v>2</v>
      </c>
      <c r="W243" s="508" t="str">
        <f t="shared" si="50"/>
        <v>2</v>
      </c>
      <c r="X243" s="508">
        <f t="shared" si="51"/>
        <v>0</v>
      </c>
      <c r="Y243" s="568">
        <f t="shared" si="52"/>
        <v>0.15383330390842267</v>
      </c>
      <c r="Z243" s="485" t="s">
        <v>200</v>
      </c>
      <c r="AA243" s="486" t="s">
        <v>200</v>
      </c>
      <c r="AB243" s="486" t="s">
        <v>1449</v>
      </c>
    </row>
    <row r="244" spans="1:28">
      <c r="A244" s="501" t="s">
        <v>223</v>
      </c>
      <c r="B244" s="495" t="s">
        <v>1059</v>
      </c>
      <c r="C244" s="498" t="s">
        <v>596</v>
      </c>
      <c r="D244" s="502" t="s">
        <v>596</v>
      </c>
      <c r="E244" s="495" t="s">
        <v>1143</v>
      </c>
      <c r="F244" s="498" t="s">
        <v>596</v>
      </c>
      <c r="G244" s="498" t="s">
        <v>596</v>
      </c>
      <c r="H244" s="498" t="s">
        <v>596</v>
      </c>
      <c r="I244" s="491">
        <v>42.740046838407508</v>
      </c>
      <c r="J244" s="498" t="s">
        <v>1168</v>
      </c>
      <c r="K244" s="495" t="s">
        <v>1210</v>
      </c>
      <c r="L244" s="495" t="s">
        <v>1210</v>
      </c>
      <c r="M244" s="495" t="s">
        <v>1210</v>
      </c>
      <c r="N244" s="495" t="s">
        <v>1210</v>
      </c>
      <c r="O244" s="495" t="s">
        <v>1210</v>
      </c>
      <c r="P244" s="495" t="s">
        <v>1210</v>
      </c>
      <c r="Q244" s="498" t="s">
        <v>1254</v>
      </c>
      <c r="R244" s="485">
        <f t="shared" si="45"/>
        <v>0</v>
      </c>
      <c r="S244" s="485">
        <f t="shared" si="46"/>
        <v>0</v>
      </c>
      <c r="T244" s="485">
        <f t="shared" si="47"/>
        <v>0</v>
      </c>
      <c r="U244" s="485">
        <f t="shared" si="48"/>
        <v>0</v>
      </c>
      <c r="V244" s="508">
        <f t="shared" si="49"/>
        <v>0</v>
      </c>
      <c r="W244" s="508">
        <f t="shared" si="50"/>
        <v>0</v>
      </c>
      <c r="X244" s="508" t="str">
        <f t="shared" si="51"/>
        <v>2</v>
      </c>
      <c r="Y244" s="568">
        <f t="shared" si="52"/>
        <v>0.2278929098260076</v>
      </c>
      <c r="Z244" s="485" t="s">
        <v>223</v>
      </c>
      <c r="AA244" s="486" t="s">
        <v>1452</v>
      </c>
      <c r="AB244" s="486" t="s">
        <v>1453</v>
      </c>
    </row>
    <row r="245" spans="1:28" ht="16.5">
      <c r="A245" s="566" t="s">
        <v>200</v>
      </c>
      <c r="B245" s="495" t="s">
        <v>1059</v>
      </c>
      <c r="C245" s="489" t="s">
        <v>288</v>
      </c>
      <c r="D245" s="489">
        <v>0.02</v>
      </c>
      <c r="E245" s="489" t="s">
        <v>1019</v>
      </c>
      <c r="F245" s="489">
        <v>50</v>
      </c>
      <c r="G245" s="489">
        <v>42.699999999999996</v>
      </c>
      <c r="H245" s="491">
        <v>1.1709601873536302</v>
      </c>
      <c r="I245" s="491">
        <v>42.740046838407508</v>
      </c>
      <c r="J245" s="489" t="s">
        <v>144</v>
      </c>
      <c r="K245" s="498" t="s">
        <v>1209</v>
      </c>
      <c r="L245" s="506" t="s">
        <v>1218</v>
      </c>
      <c r="M245" s="498" t="s">
        <v>1212</v>
      </c>
      <c r="N245" s="495" t="s">
        <v>1240</v>
      </c>
      <c r="O245" s="489" t="s">
        <v>1442</v>
      </c>
      <c r="P245" s="495" t="s">
        <v>1255</v>
      </c>
      <c r="Q245" s="495" t="s">
        <v>1210</v>
      </c>
      <c r="R245" s="485" t="str">
        <f t="shared" si="45"/>
        <v>1</v>
      </c>
      <c r="S245" s="485" t="str">
        <f t="shared" si="46"/>
        <v>3</v>
      </c>
      <c r="T245" s="485" t="str">
        <f t="shared" si="47"/>
        <v>1</v>
      </c>
      <c r="U245" s="485" t="str">
        <f t="shared" si="48"/>
        <v>2</v>
      </c>
      <c r="V245" s="508" t="str">
        <f t="shared" si="49"/>
        <v>3</v>
      </c>
      <c r="W245" s="508" t="str">
        <f t="shared" si="50"/>
        <v>2</v>
      </c>
      <c r="X245" s="508">
        <f t="shared" si="51"/>
        <v>0</v>
      </c>
      <c r="Y245" s="568">
        <f t="shared" si="52"/>
        <v>0.20021993185204728</v>
      </c>
      <c r="Z245" s="485" t="s">
        <v>200</v>
      </c>
      <c r="AA245" s="486" t="s">
        <v>200</v>
      </c>
      <c r="AB245" s="486" t="s">
        <v>1448</v>
      </c>
    </row>
    <row r="246" spans="1:28">
      <c r="A246" s="565" t="s">
        <v>200</v>
      </c>
      <c r="B246" s="489" t="s">
        <v>1059</v>
      </c>
      <c r="C246" s="489" t="s">
        <v>288</v>
      </c>
      <c r="D246" s="490">
        <v>3.75</v>
      </c>
      <c r="E246" s="489" t="s">
        <v>1019</v>
      </c>
      <c r="F246" s="489">
        <v>26.9</v>
      </c>
      <c r="G246" s="489">
        <v>72</v>
      </c>
      <c r="H246" s="491">
        <v>0.37361111111111112</v>
      </c>
      <c r="I246" s="491">
        <v>2556.901041666667</v>
      </c>
      <c r="J246" s="489" t="s">
        <v>150</v>
      </c>
      <c r="K246" s="498" t="s">
        <v>1209</v>
      </c>
      <c r="L246" s="506" t="s">
        <v>1218</v>
      </c>
      <c r="M246" s="498" t="s">
        <v>1214</v>
      </c>
      <c r="N246" s="498" t="s">
        <v>1238</v>
      </c>
      <c r="O246" s="489" t="s">
        <v>1295</v>
      </c>
      <c r="P246" s="495" t="s">
        <v>1293</v>
      </c>
      <c r="Q246" s="495" t="s">
        <v>1210</v>
      </c>
      <c r="R246" s="485" t="str">
        <f t="shared" si="45"/>
        <v>1</v>
      </c>
      <c r="S246" s="485" t="str">
        <f t="shared" si="46"/>
        <v>3</v>
      </c>
      <c r="T246" s="485" t="str">
        <f t="shared" si="47"/>
        <v>3</v>
      </c>
      <c r="U246" s="485" t="str">
        <f t="shared" si="48"/>
        <v>3</v>
      </c>
      <c r="V246" s="508" t="str">
        <f t="shared" si="49"/>
        <v>3</v>
      </c>
      <c r="W246" s="508" t="str">
        <f t="shared" si="50"/>
        <v>3</v>
      </c>
      <c r="X246" s="508">
        <f t="shared" si="51"/>
        <v>0</v>
      </c>
      <c r="Y246" s="568">
        <f t="shared" si="52"/>
        <v>0.60103880844473412</v>
      </c>
      <c r="Z246" s="485" t="s">
        <v>200</v>
      </c>
      <c r="AA246" s="486" t="s">
        <v>223</v>
      </c>
      <c r="AB246" s="486" t="s">
        <v>1450</v>
      </c>
    </row>
  </sheetData>
  <autoFilter ref="A4:Y246">
    <sortState ref="A5:AC246">
      <sortCondition ref="B5:B246"/>
      <sortCondition ref="E5:E246"/>
    </sortState>
  </autoFilter>
  <sortState ref="A174:AB246">
    <sortCondition ref="B5:B246"/>
    <sortCondition ref="E5:E246"/>
    <sortCondition ref="Y5:Y246"/>
  </sortState>
  <mergeCells count="2">
    <mergeCell ref="R1:X1"/>
    <mergeCell ref="Y1:Y2"/>
  </mergeCells>
  <conditionalFormatting sqref="C4:D4">
    <cfRule type="cellIs" dxfId="16" priority="6" operator="equal">
      <formula>"no value"</formula>
    </cfRule>
  </conditionalFormatting>
  <conditionalFormatting sqref="R5:X246">
    <cfRule type="cellIs" dxfId="15" priority="5" operator="equal">
      <formula>"?"</formula>
    </cfRule>
  </conditionalFormatting>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5"/>
  <sheetViews>
    <sheetView tabSelected="1" zoomScaleNormal="100" workbookViewId="0">
      <selection activeCell="E21" sqref="E21"/>
    </sheetView>
  </sheetViews>
  <sheetFormatPr baseColWidth="10" defaultRowHeight="15"/>
  <cols>
    <col min="1" max="1" width="21.7109375" bestFit="1" customWidth="1"/>
    <col min="9" max="9" width="12.140625" bestFit="1" customWidth="1"/>
  </cols>
  <sheetData>
    <row r="1" spans="1:11">
      <c r="A1" t="s">
        <v>1236</v>
      </c>
      <c r="B1">
        <v>1</v>
      </c>
      <c r="C1">
        <v>2</v>
      </c>
      <c r="D1">
        <v>3</v>
      </c>
      <c r="E1">
        <v>4</v>
      </c>
      <c r="F1" s="572" t="s">
        <v>1462</v>
      </c>
      <c r="G1" s="572" t="s">
        <v>1463</v>
      </c>
      <c r="H1" s="572" t="s">
        <v>1464</v>
      </c>
      <c r="I1" s="572" t="s">
        <v>1465</v>
      </c>
      <c r="J1" s="572" t="s">
        <v>1466</v>
      </c>
      <c r="K1" s="572" t="s">
        <v>1467</v>
      </c>
    </row>
    <row r="2" spans="1:11">
      <c r="A2" s="372" t="s">
        <v>1267</v>
      </c>
      <c r="B2" s="569">
        <f>$B$12*EXP($B$16*(B1))</f>
        <v>2.2644183516049265</v>
      </c>
      <c r="C2" s="569">
        <f>$B$12*EXP($B$16*(C1))</f>
        <v>6.8367872947802288</v>
      </c>
      <c r="D2" s="569">
        <f>$B$12*EXP($B$16*(D1))</f>
        <v>20.641795488426332</v>
      </c>
      <c r="E2" s="569">
        <f>$B$12*EXP($B$16*(E1))</f>
        <v>62.322214018757819</v>
      </c>
      <c r="F2" s="569">
        <f>B2^2</f>
        <v>5.1275904710851732</v>
      </c>
      <c r="G2" s="569">
        <f t="shared" ref="F2:G8" si="0">C2^2</f>
        <v>46.741660514068357</v>
      </c>
      <c r="H2" s="569">
        <f t="shared" ref="H2:I2" si="1">D2^2</f>
        <v>426.08372098601768</v>
      </c>
      <c r="I2" s="569">
        <f t="shared" si="1"/>
        <v>3884.0583601998537</v>
      </c>
      <c r="J2" s="569">
        <f>SUM(G2,H3,I4,F5,G6,G7)</f>
        <v>15977.41874731037</v>
      </c>
      <c r="K2" s="569">
        <f>SQRT(J2)</f>
        <v>126.4018146519676</v>
      </c>
    </row>
    <row r="3" spans="1:11">
      <c r="A3" s="372" t="s">
        <v>1268</v>
      </c>
      <c r="B3" s="570">
        <v>0</v>
      </c>
      <c r="C3" s="570">
        <f t="shared" ref="C3:E3" si="2">$B$13*EXP($B$17*(C1-1))</f>
        <v>4.5288367032098531</v>
      </c>
      <c r="D3" s="570">
        <f t="shared" si="2"/>
        <v>13.673574589560458</v>
      </c>
      <c r="E3" s="570">
        <f t="shared" si="2"/>
        <v>41.283590976852665</v>
      </c>
      <c r="F3" s="569">
        <f t="shared" si="0"/>
        <v>0</v>
      </c>
      <c r="G3" s="569">
        <f t="shared" si="0"/>
        <v>20.510361884340693</v>
      </c>
      <c r="H3" s="569">
        <f t="shared" ref="H3:H8" si="3">D3^2</f>
        <v>186.96664205627343</v>
      </c>
      <c r="I3" s="569">
        <f t="shared" ref="I3:I8" si="4">E3^2</f>
        <v>1704.3348839440707</v>
      </c>
    </row>
    <row r="4" spans="1:11">
      <c r="A4" s="372" t="s">
        <v>1269</v>
      </c>
      <c r="B4" s="569">
        <f>$B$13*EXP($B$17*(B1))</f>
        <v>4.5288367032098531</v>
      </c>
      <c r="C4" s="569">
        <f t="shared" ref="C4:E4" si="5">$B$13*EXP($B$17*(C1))</f>
        <v>13.673574589560458</v>
      </c>
      <c r="D4" s="569">
        <f t="shared" si="5"/>
        <v>41.283590976852665</v>
      </c>
      <c r="E4" s="569">
        <f t="shared" si="5"/>
        <v>124.64442803751564</v>
      </c>
      <c r="F4" s="569">
        <f t="shared" si="0"/>
        <v>20.510361884340693</v>
      </c>
      <c r="G4" s="569">
        <f t="shared" si="0"/>
        <v>186.96664205627343</v>
      </c>
      <c r="H4" s="569">
        <f t="shared" si="3"/>
        <v>1704.3348839440707</v>
      </c>
      <c r="I4" s="569">
        <f t="shared" si="4"/>
        <v>15536.233440799415</v>
      </c>
    </row>
    <row r="5" spans="1:11">
      <c r="A5" s="372" t="s">
        <v>1159</v>
      </c>
      <c r="B5" s="571">
        <v>0</v>
      </c>
      <c r="C5" s="571">
        <f>$B$11*EXP($B$15*(C1-1))</f>
        <v>1.1322091758024633</v>
      </c>
      <c r="D5" s="571">
        <f>$B$11*EXP($B$15*(D1-1))</f>
        <v>3.4183936473901144</v>
      </c>
      <c r="E5" s="571">
        <f>$B$11*EXP($B$15*(E1-1))</f>
        <v>10.320897744213166</v>
      </c>
      <c r="F5" s="569">
        <f t="shared" si="0"/>
        <v>0</v>
      </c>
      <c r="G5" s="569">
        <f t="shared" si="0"/>
        <v>1.2818976177712933</v>
      </c>
      <c r="H5" s="569">
        <f t="shared" si="3"/>
        <v>11.685415128517089</v>
      </c>
      <c r="I5" s="569">
        <f t="shared" si="4"/>
        <v>106.52093024650442</v>
      </c>
    </row>
    <row r="6" spans="1:11">
      <c r="A6" s="372" t="s">
        <v>1165</v>
      </c>
      <c r="B6" s="569">
        <v>0</v>
      </c>
      <c r="C6" s="569">
        <f>$B$13*EXP($B$16*(C1-1))</f>
        <v>4.5288367032098531</v>
      </c>
      <c r="D6" s="569">
        <f>$B$13*EXP($B$16*(D1-1))</f>
        <v>13.673574589560458</v>
      </c>
      <c r="E6" s="569">
        <f>$B$13*EXP($B$16*(E1-1))</f>
        <v>41.283590976852665</v>
      </c>
      <c r="F6" s="569">
        <f t="shared" si="0"/>
        <v>0</v>
      </c>
      <c r="G6" s="569">
        <f t="shared" si="0"/>
        <v>20.510361884340693</v>
      </c>
      <c r="H6" s="569">
        <f t="shared" si="3"/>
        <v>186.96664205627343</v>
      </c>
      <c r="I6" s="569">
        <f t="shared" si="4"/>
        <v>1704.3348839440707</v>
      </c>
    </row>
    <row r="7" spans="1:11">
      <c r="A7" s="372" t="s">
        <v>1270</v>
      </c>
      <c r="B7" s="569">
        <f>$B$13*EXP($B$16*(B1))</f>
        <v>4.5288367032098531</v>
      </c>
      <c r="C7" s="569">
        <f>$B$13*EXP($B$16*(C1))</f>
        <v>13.673574589560458</v>
      </c>
      <c r="D7" s="569">
        <f>$B$13*EXP($B$16*(D1))</f>
        <v>41.283590976852665</v>
      </c>
      <c r="E7" s="569">
        <f>$B$13*EXP($B$16*(E1))</f>
        <v>124.64442803751564</v>
      </c>
      <c r="F7" s="569">
        <f t="shared" si="0"/>
        <v>20.510361884340693</v>
      </c>
      <c r="G7" s="569">
        <f t="shared" si="0"/>
        <v>186.96664205627343</v>
      </c>
      <c r="H7" s="569">
        <f t="shared" si="3"/>
        <v>1704.3348839440707</v>
      </c>
      <c r="I7" s="569">
        <f t="shared" si="4"/>
        <v>15536.233440799415</v>
      </c>
    </row>
    <row r="8" spans="1:11">
      <c r="A8" s="372" t="s">
        <v>1271</v>
      </c>
      <c r="B8" s="570">
        <f>$B$14*EXP($B$17*(B1))</f>
        <v>7.5480611720164212</v>
      </c>
      <c r="C8" s="570">
        <f>$B$14*EXP($B$17*(C1))</f>
        <v>22.789290982600761</v>
      </c>
      <c r="D8" s="570">
        <f>$B$14*EXP($B$17*(D1))</f>
        <v>68.805984961421117</v>
      </c>
      <c r="E8" s="570">
        <f>$B$14*EXP($B$17*(E1))</f>
        <v>207.74071339585942</v>
      </c>
      <c r="F8" s="569">
        <f t="shared" si="0"/>
        <v>56.97322745650191</v>
      </c>
      <c r="G8" s="569">
        <f t="shared" si="0"/>
        <v>519.35178348964837</v>
      </c>
      <c r="H8" s="569">
        <f t="shared" si="3"/>
        <v>4734.2635665113094</v>
      </c>
      <c r="I8" s="569">
        <f t="shared" si="4"/>
        <v>43156.204002220606</v>
      </c>
    </row>
    <row r="10" spans="1:11">
      <c r="B10" t="s">
        <v>1272</v>
      </c>
    </row>
    <row r="11" spans="1:11">
      <c r="A11" t="s">
        <v>1273</v>
      </c>
      <c r="B11">
        <v>0.375</v>
      </c>
    </row>
    <row r="12" spans="1:11">
      <c r="A12" t="s">
        <v>1274</v>
      </c>
      <c r="B12">
        <v>0.75</v>
      </c>
    </row>
    <row r="13" spans="1:11">
      <c r="A13" t="s">
        <v>1275</v>
      </c>
      <c r="B13">
        <v>1.5</v>
      </c>
    </row>
    <row r="14" spans="1:11">
      <c r="A14" t="s">
        <v>1443</v>
      </c>
      <c r="B14">
        <v>2.5</v>
      </c>
    </row>
    <row r="15" spans="1:11">
      <c r="A15" t="s">
        <v>1276</v>
      </c>
      <c r="B15">
        <v>1.105</v>
      </c>
    </row>
    <row r="16" spans="1:11">
      <c r="A16" t="s">
        <v>1277</v>
      </c>
      <c r="B16">
        <v>1.105</v>
      </c>
    </row>
    <row r="17" spans="1:5">
      <c r="A17" t="s">
        <v>1278</v>
      </c>
      <c r="B17">
        <v>1.105</v>
      </c>
    </row>
    <row r="19" spans="1:5">
      <c r="A19" t="s">
        <v>1468</v>
      </c>
      <c r="B19">
        <v>1</v>
      </c>
      <c r="C19">
        <v>2</v>
      </c>
      <c r="D19">
        <v>3</v>
      </c>
      <c r="E19">
        <v>4</v>
      </c>
    </row>
    <row r="20" spans="1:5">
      <c r="A20" s="372" t="s">
        <v>1267</v>
      </c>
      <c r="B20" s="656">
        <f>B2/100</f>
        <v>2.2644183516049264E-2</v>
      </c>
      <c r="C20" s="656">
        <f t="shared" ref="C20:E20" si="6">C2/100</f>
        <v>6.8367872947802291E-2</v>
      </c>
      <c r="D20" s="656">
        <f t="shared" si="6"/>
        <v>0.20641795488426332</v>
      </c>
      <c r="E20" s="656">
        <f t="shared" si="6"/>
        <v>0.62322214018757816</v>
      </c>
    </row>
    <row r="21" spans="1:5">
      <c r="A21" s="372" t="s">
        <v>1268</v>
      </c>
      <c r="B21" s="656">
        <f t="shared" ref="B21:E21" si="7">B3/100</f>
        <v>0</v>
      </c>
      <c r="C21" s="656">
        <f t="shared" si="7"/>
        <v>4.5288367032098528E-2</v>
      </c>
      <c r="D21" s="656">
        <f t="shared" si="7"/>
        <v>0.13673574589560458</v>
      </c>
      <c r="E21" s="656">
        <f t="shared" si="7"/>
        <v>0.41283590976852663</v>
      </c>
    </row>
    <row r="22" spans="1:5">
      <c r="A22" s="372" t="s">
        <v>1269</v>
      </c>
      <c r="B22" s="656">
        <f t="shared" ref="B22:E22" si="8">B4/100</f>
        <v>4.5288367032098528E-2</v>
      </c>
      <c r="C22" s="656">
        <f t="shared" si="8"/>
        <v>0.13673574589560458</v>
      </c>
      <c r="D22" s="656">
        <f t="shared" si="8"/>
        <v>0.41283590976852663</v>
      </c>
      <c r="E22" s="656">
        <f t="shared" si="8"/>
        <v>1.2464442803751563</v>
      </c>
    </row>
    <row r="23" spans="1:5">
      <c r="A23" s="372" t="s">
        <v>1159</v>
      </c>
      <c r="B23" s="656">
        <f t="shared" ref="B23:E23" si="9">B5/100</f>
        <v>0</v>
      </c>
      <c r="C23" s="656">
        <f t="shared" si="9"/>
        <v>1.1322091758024632E-2</v>
      </c>
      <c r="D23" s="656">
        <f t="shared" si="9"/>
        <v>3.4183936473901146E-2</v>
      </c>
      <c r="E23" s="656">
        <f t="shared" si="9"/>
        <v>0.10320897744213166</v>
      </c>
    </row>
    <row r="24" spans="1:5">
      <c r="A24" s="372" t="s">
        <v>1165</v>
      </c>
      <c r="B24" s="656">
        <f t="shared" ref="B24:E24" si="10">B6/100</f>
        <v>0</v>
      </c>
      <c r="C24" s="656">
        <f t="shared" si="10"/>
        <v>4.5288367032098528E-2</v>
      </c>
      <c r="D24" s="656">
        <f t="shared" si="10"/>
        <v>0.13673574589560458</v>
      </c>
      <c r="E24" s="656">
        <f t="shared" si="10"/>
        <v>0.41283590976852663</v>
      </c>
    </row>
    <row r="25" spans="1:5">
      <c r="A25" s="372" t="s">
        <v>1270</v>
      </c>
      <c r="B25" s="656">
        <f t="shared" ref="B25:E25" si="11">B7/100</f>
        <v>4.5288367032098528E-2</v>
      </c>
      <c r="C25" s="656">
        <f t="shared" si="11"/>
        <v>0.13673574589560458</v>
      </c>
      <c r="D25" s="656">
        <f t="shared" si="11"/>
        <v>0.41283590976852663</v>
      </c>
      <c r="E25" s="656">
        <f t="shared" si="11"/>
        <v>1.2464442803751563</v>
      </c>
    </row>
    <row r="26" spans="1:5">
      <c r="A26" s="372" t="s">
        <v>1271</v>
      </c>
      <c r="B26" s="656">
        <f t="shared" ref="B26:E26" si="12">B8/100</f>
        <v>7.5480611720164209E-2</v>
      </c>
      <c r="C26" s="656">
        <f t="shared" si="12"/>
        <v>0.2278929098260076</v>
      </c>
      <c r="D26" s="656">
        <f t="shared" si="12"/>
        <v>0.68805984961421118</v>
      </c>
      <c r="E26" s="656">
        <f t="shared" si="12"/>
        <v>2.077407133958594</v>
      </c>
    </row>
    <row r="28" spans="1:5">
      <c r="A28" s="372" t="s">
        <v>1468</v>
      </c>
      <c r="B28">
        <v>1</v>
      </c>
      <c r="C28">
        <v>2</v>
      </c>
      <c r="D28">
        <v>3</v>
      </c>
      <c r="E28">
        <v>4</v>
      </c>
    </row>
    <row r="29" spans="1:5">
      <c r="A29" s="372" t="s">
        <v>1267</v>
      </c>
      <c r="B29" s="657">
        <f>B20+1</f>
        <v>1.0226441835160494</v>
      </c>
      <c r="C29" s="657">
        <f t="shared" ref="C29:E29" si="13">C20+1</f>
        <v>1.0683678729478023</v>
      </c>
      <c r="D29" s="657">
        <f t="shared" si="13"/>
        <v>1.2064179548842633</v>
      </c>
      <c r="E29" s="657">
        <f t="shared" si="13"/>
        <v>1.6232221401875782</v>
      </c>
    </row>
    <row r="30" spans="1:5">
      <c r="A30" s="372" t="s">
        <v>1268</v>
      </c>
      <c r="B30" s="657">
        <f t="shared" ref="B30:E35" si="14">B21+1</f>
        <v>1</v>
      </c>
      <c r="C30" s="657">
        <f t="shared" si="14"/>
        <v>1.0452883670320985</v>
      </c>
      <c r="D30" s="657">
        <f t="shared" si="14"/>
        <v>1.1367357458956047</v>
      </c>
      <c r="E30" s="657">
        <f t="shared" si="14"/>
        <v>1.4128359097685266</v>
      </c>
    </row>
    <row r="31" spans="1:5">
      <c r="A31" s="372" t="s">
        <v>1269</v>
      </c>
      <c r="B31" s="657">
        <f t="shared" si="14"/>
        <v>1.0452883670320985</v>
      </c>
      <c r="C31" s="657">
        <f t="shared" si="14"/>
        <v>1.1367357458956047</v>
      </c>
      <c r="D31" s="657">
        <f t="shared" si="14"/>
        <v>1.4128359097685266</v>
      </c>
      <c r="E31" s="657">
        <f t="shared" si="14"/>
        <v>2.2464442803751563</v>
      </c>
    </row>
    <row r="32" spans="1:5">
      <c r="A32" s="372" t="s">
        <v>1159</v>
      </c>
      <c r="B32" s="657">
        <f t="shared" si="14"/>
        <v>1</v>
      </c>
      <c r="C32" s="657">
        <f t="shared" si="14"/>
        <v>1.0113220917580246</v>
      </c>
      <c r="D32" s="657">
        <f t="shared" si="14"/>
        <v>1.0341839364739012</v>
      </c>
      <c r="E32" s="657">
        <f t="shared" si="14"/>
        <v>1.1032089774421316</v>
      </c>
    </row>
    <row r="33" spans="1:5">
      <c r="A33" s="372" t="s">
        <v>1165</v>
      </c>
      <c r="B33" s="657">
        <f t="shared" si="14"/>
        <v>1</v>
      </c>
      <c r="C33" s="657">
        <f t="shared" si="14"/>
        <v>1.0452883670320985</v>
      </c>
      <c r="D33" s="657">
        <f t="shared" si="14"/>
        <v>1.1367357458956047</v>
      </c>
      <c r="E33" s="657">
        <f t="shared" si="14"/>
        <v>1.4128359097685266</v>
      </c>
    </row>
    <row r="34" spans="1:5">
      <c r="A34" s="372" t="s">
        <v>1270</v>
      </c>
      <c r="B34" s="657">
        <f t="shared" si="14"/>
        <v>1.0452883670320985</v>
      </c>
      <c r="C34" s="657">
        <f t="shared" si="14"/>
        <v>1.1367357458956047</v>
      </c>
      <c r="D34" s="657">
        <f t="shared" si="14"/>
        <v>1.4128359097685266</v>
      </c>
      <c r="E34" s="657">
        <f t="shared" si="14"/>
        <v>2.2464442803751563</v>
      </c>
    </row>
    <row r="35" spans="1:5">
      <c r="A35" s="372" t="s">
        <v>1271</v>
      </c>
      <c r="B35" s="657">
        <f t="shared" si="14"/>
        <v>1.0754806117201643</v>
      </c>
      <c r="C35" s="657">
        <f t="shared" si="14"/>
        <v>1.2278929098260076</v>
      </c>
      <c r="D35" s="657">
        <f t="shared" si="14"/>
        <v>1.6880598496142112</v>
      </c>
      <c r="E35" s="657">
        <f t="shared" si="14"/>
        <v>3.077407133958594</v>
      </c>
    </row>
  </sheetData>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3"/>
  <sheetViews>
    <sheetView topLeftCell="A16" zoomScaleNormal="100" workbookViewId="0">
      <selection activeCell="K27" sqref="K27"/>
    </sheetView>
  </sheetViews>
  <sheetFormatPr baseColWidth="10" defaultColWidth="11.42578125" defaultRowHeight="15"/>
  <cols>
    <col min="1" max="1" width="3.7109375" style="372" customWidth="1"/>
    <col min="2" max="2" width="10.7109375" style="372" customWidth="1"/>
    <col min="3" max="3" width="11.42578125" style="372"/>
    <col min="4" max="4" width="18.42578125" style="372" customWidth="1"/>
    <col min="5" max="5" width="18.7109375" style="372" customWidth="1"/>
    <col min="6" max="7" width="18.42578125" style="372" customWidth="1"/>
    <col min="8" max="8" width="30.42578125" style="372" customWidth="1"/>
    <col min="9" max="16384" width="11.42578125" style="372"/>
  </cols>
  <sheetData>
    <row r="1" spans="1:8" ht="18.75">
      <c r="A1" s="510" t="s">
        <v>1362</v>
      </c>
    </row>
    <row r="3" spans="1:8">
      <c r="A3" s="529"/>
      <c r="B3" s="530" t="s">
        <v>1318</v>
      </c>
      <c r="C3" s="513"/>
      <c r="D3" s="513"/>
      <c r="E3" s="513"/>
      <c r="F3" s="513"/>
      <c r="G3" s="513"/>
      <c r="H3" s="514"/>
    </row>
    <row r="4" spans="1:8">
      <c r="A4" s="515"/>
      <c r="B4" s="516" t="s">
        <v>1319</v>
      </c>
      <c r="C4" s="516"/>
      <c r="D4" s="516"/>
      <c r="E4" s="516"/>
      <c r="F4" s="516"/>
      <c r="G4" s="516"/>
      <c r="H4" s="517"/>
    </row>
    <row r="5" spans="1:8">
      <c r="A5" s="515"/>
      <c r="B5" s="516" t="s">
        <v>1320</v>
      </c>
      <c r="C5" s="516"/>
      <c r="D5" s="516"/>
      <c r="E5" s="516"/>
      <c r="F5" s="516"/>
      <c r="G5" s="516"/>
      <c r="H5" s="517"/>
    </row>
    <row r="6" spans="1:8">
      <c r="A6" s="515"/>
      <c r="B6" s="516" t="s">
        <v>1321</v>
      </c>
      <c r="C6" s="516"/>
      <c r="D6" s="516"/>
      <c r="E6" s="516"/>
      <c r="F6" s="516"/>
      <c r="G6" s="516"/>
      <c r="H6" s="517"/>
    </row>
    <row r="7" spans="1:8">
      <c r="A7" s="515"/>
      <c r="B7" s="516"/>
      <c r="C7" s="516"/>
      <c r="D7" s="516"/>
      <c r="E7" s="516"/>
      <c r="F7" s="516"/>
      <c r="G7" s="516"/>
      <c r="H7" s="517"/>
    </row>
    <row r="8" spans="1:8">
      <c r="A8" s="533"/>
      <c r="B8" s="531" t="s">
        <v>1323</v>
      </c>
      <c r="C8" s="516"/>
      <c r="D8" s="516"/>
      <c r="E8" s="516"/>
      <c r="F8" s="516"/>
      <c r="G8" s="516"/>
      <c r="H8" s="517"/>
    </row>
    <row r="9" spans="1:8">
      <c r="A9" s="534" t="s">
        <v>1353</v>
      </c>
      <c r="B9" s="516" t="s">
        <v>1322</v>
      </c>
      <c r="C9" s="516"/>
      <c r="D9" s="516"/>
      <c r="E9" s="516" t="s">
        <v>1325</v>
      </c>
      <c r="F9" s="516"/>
      <c r="G9" s="516"/>
      <c r="H9" s="517" t="s">
        <v>1328</v>
      </c>
    </row>
    <row r="10" spans="1:8">
      <c r="A10" s="534" t="s">
        <v>1354</v>
      </c>
      <c r="B10" s="516" t="s">
        <v>1326</v>
      </c>
      <c r="C10" s="516"/>
      <c r="D10" s="516"/>
      <c r="E10" s="516" t="s">
        <v>1324</v>
      </c>
      <c r="F10" s="516"/>
      <c r="G10" s="516"/>
      <c r="H10" s="517" t="s">
        <v>1328</v>
      </c>
    </row>
    <row r="11" spans="1:8">
      <c r="A11" s="534" t="s">
        <v>1355</v>
      </c>
      <c r="B11" s="516" t="s">
        <v>1327</v>
      </c>
      <c r="C11" s="516"/>
      <c r="D11" s="516"/>
      <c r="E11" s="516" t="s">
        <v>1330</v>
      </c>
      <c r="F11" s="516"/>
      <c r="G11" s="516"/>
      <c r="H11" s="517" t="s">
        <v>1329</v>
      </c>
    </row>
    <row r="12" spans="1:8" ht="18">
      <c r="A12" s="534" t="s">
        <v>1356</v>
      </c>
      <c r="B12" s="516" t="s">
        <v>1331</v>
      </c>
      <c r="C12" s="516"/>
      <c r="D12" s="516"/>
      <c r="E12" s="518" t="s">
        <v>1339</v>
      </c>
      <c r="F12" s="516"/>
      <c r="G12" s="516"/>
      <c r="H12" s="517" t="s">
        <v>1231</v>
      </c>
    </row>
    <row r="13" spans="1:8" ht="18">
      <c r="A13" s="532" t="s">
        <v>1357</v>
      </c>
      <c r="B13" s="516"/>
      <c r="C13" s="516"/>
      <c r="D13" s="516"/>
      <c r="E13" s="518" t="s">
        <v>1340</v>
      </c>
      <c r="F13" s="516"/>
      <c r="G13" s="516"/>
      <c r="H13" s="517"/>
    </row>
    <row r="14" spans="1:8" ht="18">
      <c r="A14" s="534" t="s">
        <v>1352</v>
      </c>
      <c r="B14" s="516" t="s">
        <v>1332</v>
      </c>
      <c r="C14" s="516"/>
      <c r="D14" s="516"/>
      <c r="E14" s="516" t="s">
        <v>1333</v>
      </c>
      <c r="F14" s="516"/>
      <c r="G14" s="516"/>
      <c r="H14" s="517"/>
    </row>
    <row r="15" spans="1:8" ht="18">
      <c r="A15" s="535" t="s">
        <v>1358</v>
      </c>
      <c r="B15" s="519"/>
      <c r="C15" s="519"/>
      <c r="D15" s="519"/>
      <c r="E15" s="519" t="s">
        <v>1334</v>
      </c>
      <c r="F15" s="519"/>
      <c r="G15" s="519"/>
      <c r="H15" s="520"/>
    </row>
    <row r="17" spans="1:8">
      <c r="A17" s="590" t="s">
        <v>1227</v>
      </c>
      <c r="B17" s="591"/>
      <c r="C17" s="589" t="s">
        <v>1021</v>
      </c>
      <c r="D17" s="589" t="s">
        <v>1228</v>
      </c>
      <c r="E17" s="589"/>
      <c r="F17" s="589"/>
      <c r="G17" s="589"/>
      <c r="H17" s="589" t="s">
        <v>1229</v>
      </c>
    </row>
    <row r="18" spans="1:8">
      <c r="A18" s="590"/>
      <c r="B18" s="591"/>
      <c r="C18" s="589"/>
      <c r="D18" s="522" t="s">
        <v>325</v>
      </c>
      <c r="E18" s="522" t="s">
        <v>1335</v>
      </c>
      <c r="F18" s="522" t="s">
        <v>1103</v>
      </c>
      <c r="G18" s="522" t="s">
        <v>1230</v>
      </c>
      <c r="H18" s="589"/>
    </row>
    <row r="19" spans="1:8">
      <c r="A19" s="592" t="s">
        <v>191</v>
      </c>
      <c r="B19" s="593"/>
      <c r="C19" s="511" t="s">
        <v>325</v>
      </c>
      <c r="D19" s="574">
        <v>1</v>
      </c>
      <c r="E19" s="574">
        <v>0</v>
      </c>
      <c r="F19" s="574">
        <v>0</v>
      </c>
      <c r="G19" s="574">
        <v>0</v>
      </c>
      <c r="H19" s="606">
        <v>2</v>
      </c>
    </row>
    <row r="20" spans="1:8">
      <c r="A20" s="592"/>
      <c r="B20" s="593"/>
      <c r="C20" s="512"/>
      <c r="D20" s="600" t="s">
        <v>1342</v>
      </c>
      <c r="E20" s="601"/>
      <c r="F20" s="601"/>
      <c r="G20" s="602"/>
      <c r="H20" s="607"/>
    </row>
    <row r="21" spans="1:8" ht="38.25" customHeight="1">
      <c r="A21" s="592"/>
      <c r="B21" s="593"/>
      <c r="C21" s="511" t="s">
        <v>1232</v>
      </c>
      <c r="D21" s="574">
        <v>0</v>
      </c>
      <c r="E21" s="574">
        <v>0</v>
      </c>
      <c r="F21" s="574">
        <v>0.89</v>
      </c>
      <c r="G21" s="574">
        <v>0.11</v>
      </c>
      <c r="H21" s="606">
        <v>2</v>
      </c>
    </row>
    <row r="22" spans="1:8">
      <c r="A22" s="592"/>
      <c r="B22" s="593"/>
      <c r="C22" s="512"/>
      <c r="D22" s="603" t="s">
        <v>1336</v>
      </c>
      <c r="E22" s="604"/>
      <c r="F22" s="604"/>
      <c r="G22" s="605"/>
      <c r="H22" s="607"/>
    </row>
    <row r="23" spans="1:8" ht="25.5" customHeight="1">
      <c r="A23" s="592"/>
      <c r="B23" s="593"/>
      <c r="C23" s="511" t="s">
        <v>716</v>
      </c>
      <c r="D23" s="574">
        <v>0.94799999999999995</v>
      </c>
      <c r="E23" s="574">
        <v>0</v>
      </c>
      <c r="F23" s="574">
        <v>4.7E-2</v>
      </c>
      <c r="G23" s="574">
        <v>5.0000000000000001E-3</v>
      </c>
      <c r="H23" s="608">
        <v>2</v>
      </c>
    </row>
    <row r="24" spans="1:8" ht="63.75">
      <c r="A24" s="592"/>
      <c r="B24" s="593"/>
      <c r="C24" s="512"/>
      <c r="D24" s="523" t="s">
        <v>1343</v>
      </c>
      <c r="E24" s="524" t="s">
        <v>1347</v>
      </c>
      <c r="F24" s="523" t="s">
        <v>1344</v>
      </c>
      <c r="G24" s="523" t="s">
        <v>1345</v>
      </c>
      <c r="H24" s="609"/>
    </row>
    <row r="25" spans="1:8" ht="25.5" customHeight="1">
      <c r="A25" s="594" t="s">
        <v>1233</v>
      </c>
      <c r="B25" s="595"/>
      <c r="C25" s="511" t="s">
        <v>325</v>
      </c>
      <c r="D25" s="574">
        <v>0.97</v>
      </c>
      <c r="E25" s="574">
        <v>0</v>
      </c>
      <c r="F25" s="574">
        <v>2.7E-2</v>
      </c>
      <c r="G25" s="574">
        <v>3.0000000000000001E-3</v>
      </c>
      <c r="H25" s="608">
        <v>2</v>
      </c>
    </row>
    <row r="26" spans="1:8" ht="69" customHeight="1">
      <c r="A26" s="592"/>
      <c r="B26" s="593"/>
      <c r="C26" s="512"/>
      <c r="D26" s="525" t="s">
        <v>1346</v>
      </c>
      <c r="E26" s="525" t="s">
        <v>1348</v>
      </c>
      <c r="F26" s="523" t="s">
        <v>1349</v>
      </c>
      <c r="G26" s="523" t="s">
        <v>1350</v>
      </c>
      <c r="H26" s="609"/>
    </row>
    <row r="27" spans="1:8" ht="51" customHeight="1">
      <c r="A27" s="592"/>
      <c r="B27" s="593"/>
      <c r="C27" s="511" t="s">
        <v>1232</v>
      </c>
      <c r="D27" s="574">
        <v>0</v>
      </c>
      <c r="E27" s="574">
        <v>0</v>
      </c>
      <c r="F27" s="574">
        <v>0.89</v>
      </c>
      <c r="G27" s="574">
        <v>0.11</v>
      </c>
      <c r="H27" s="608">
        <v>2</v>
      </c>
    </row>
    <row r="28" spans="1:8">
      <c r="A28" s="592"/>
      <c r="B28" s="593"/>
      <c r="C28" s="512"/>
      <c r="D28" s="600" t="s">
        <v>1351</v>
      </c>
      <c r="E28" s="601"/>
      <c r="F28" s="601"/>
      <c r="G28" s="602"/>
      <c r="H28" s="609"/>
    </row>
    <row r="29" spans="1:8" ht="51" customHeight="1">
      <c r="A29" s="592"/>
      <c r="B29" s="593"/>
      <c r="C29" s="511" t="s">
        <v>1234</v>
      </c>
      <c r="D29" s="521">
        <v>0</v>
      </c>
      <c r="E29" s="521">
        <v>0</v>
      </c>
      <c r="F29" s="573">
        <v>0</v>
      </c>
      <c r="G29" s="574">
        <v>1</v>
      </c>
      <c r="H29" s="608">
        <v>2</v>
      </c>
    </row>
    <row r="30" spans="1:8" ht="51">
      <c r="A30" s="592"/>
      <c r="B30" s="593"/>
      <c r="C30" s="512"/>
      <c r="D30" s="524" t="s">
        <v>1337</v>
      </c>
      <c r="E30" s="524" t="s">
        <v>1352</v>
      </c>
      <c r="F30" s="524" t="s">
        <v>1338</v>
      </c>
      <c r="G30" s="524" t="s">
        <v>1352</v>
      </c>
      <c r="H30" s="609"/>
    </row>
    <row r="31" spans="1:8" ht="51" customHeight="1">
      <c r="A31" s="592"/>
      <c r="B31" s="593"/>
      <c r="C31" s="511" t="s">
        <v>716</v>
      </c>
      <c r="D31" s="521">
        <v>0.94799999999999995</v>
      </c>
      <c r="E31" s="521">
        <v>0</v>
      </c>
      <c r="F31" s="573">
        <v>4.7E-2</v>
      </c>
      <c r="G31" s="574">
        <v>5.0000000000000001E-3</v>
      </c>
      <c r="H31" s="608">
        <v>2</v>
      </c>
    </row>
    <row r="32" spans="1:8" ht="63.75">
      <c r="A32" s="592"/>
      <c r="B32" s="593"/>
      <c r="C32" s="512"/>
      <c r="D32" s="523" t="s">
        <v>1343</v>
      </c>
      <c r="E32" s="524" t="s">
        <v>1347</v>
      </c>
      <c r="F32" s="523" t="s">
        <v>1344</v>
      </c>
      <c r="G32" s="523" t="s">
        <v>1345</v>
      </c>
      <c r="H32" s="609"/>
    </row>
    <row r="33" spans="1:8" ht="38.25" customHeight="1">
      <c r="A33" s="596" t="s">
        <v>1235</v>
      </c>
      <c r="B33" s="595"/>
      <c r="C33" s="511" t="s">
        <v>325</v>
      </c>
      <c r="D33" s="521">
        <v>0.97</v>
      </c>
      <c r="E33" s="521">
        <v>0.03</v>
      </c>
      <c r="F33" s="573">
        <v>0</v>
      </c>
      <c r="G33" s="574">
        <v>0</v>
      </c>
      <c r="H33" s="608">
        <v>2</v>
      </c>
    </row>
    <row r="34" spans="1:8" ht="25.5">
      <c r="A34" s="597"/>
      <c r="B34" s="593"/>
      <c r="C34" s="512"/>
      <c r="D34" s="525" t="s">
        <v>1346</v>
      </c>
      <c r="E34" s="525" t="s">
        <v>1359</v>
      </c>
      <c r="F34" s="523" t="s">
        <v>1358</v>
      </c>
      <c r="G34" s="523" t="s">
        <v>1358</v>
      </c>
      <c r="H34" s="609"/>
    </row>
    <row r="35" spans="1:8" ht="51" customHeight="1">
      <c r="A35" s="597"/>
      <c r="B35" s="593"/>
      <c r="C35" s="511" t="s">
        <v>1232</v>
      </c>
      <c r="D35" s="521">
        <v>0</v>
      </c>
      <c r="E35" s="521">
        <v>1</v>
      </c>
      <c r="F35" s="573">
        <v>0</v>
      </c>
      <c r="G35" s="574">
        <v>0</v>
      </c>
      <c r="H35" s="608">
        <v>2</v>
      </c>
    </row>
    <row r="36" spans="1:8" ht="38.25">
      <c r="A36" s="597"/>
      <c r="B36" s="593"/>
      <c r="C36" s="512"/>
      <c r="D36" s="524" t="s">
        <v>1341</v>
      </c>
      <c r="E36" s="524" t="s">
        <v>1357</v>
      </c>
      <c r="F36" s="523" t="s">
        <v>1358</v>
      </c>
      <c r="G36" s="523" t="s">
        <v>1358</v>
      </c>
      <c r="H36" s="609"/>
    </row>
    <row r="37" spans="1:8">
      <c r="A37" s="597"/>
      <c r="B37" s="593"/>
      <c r="C37" s="511" t="s">
        <v>1234</v>
      </c>
      <c r="D37" s="521">
        <v>0</v>
      </c>
      <c r="E37" s="521">
        <v>1</v>
      </c>
      <c r="F37" s="573">
        <v>0</v>
      </c>
      <c r="G37" s="574">
        <v>0</v>
      </c>
      <c r="H37" s="526">
        <v>2</v>
      </c>
    </row>
    <row r="38" spans="1:8" ht="51">
      <c r="A38" s="597"/>
      <c r="B38" s="593"/>
      <c r="C38" s="512"/>
      <c r="D38" s="524" t="s">
        <v>1337</v>
      </c>
      <c r="E38" s="524" t="s">
        <v>1357</v>
      </c>
      <c r="F38" s="524" t="s">
        <v>1338</v>
      </c>
      <c r="G38" s="523" t="s">
        <v>1358</v>
      </c>
      <c r="H38" s="527"/>
    </row>
    <row r="39" spans="1:8">
      <c r="A39" s="597"/>
      <c r="B39" s="593"/>
      <c r="C39" s="511" t="s">
        <v>716</v>
      </c>
      <c r="D39" s="521">
        <v>0.94799999999999995</v>
      </c>
      <c r="E39" s="521">
        <v>5.1999999999999998E-2</v>
      </c>
      <c r="F39" s="573">
        <v>0</v>
      </c>
      <c r="G39" s="574">
        <v>0</v>
      </c>
      <c r="H39" s="526">
        <v>2</v>
      </c>
    </row>
    <row r="40" spans="1:8" ht="38.25">
      <c r="A40" s="598"/>
      <c r="B40" s="599"/>
      <c r="C40" s="528"/>
      <c r="D40" s="523" t="s">
        <v>1343</v>
      </c>
      <c r="E40" s="523" t="s">
        <v>1360</v>
      </c>
      <c r="F40" s="528" t="s">
        <v>1361</v>
      </c>
      <c r="G40" s="528" t="s">
        <v>1358</v>
      </c>
      <c r="H40" s="528"/>
    </row>
    <row r="41" spans="1:8">
      <c r="B41" s="371"/>
    </row>
    <row r="42" spans="1:8">
      <c r="B42" s="371"/>
    </row>
    <row r="43" spans="1:8">
      <c r="B43" s="371"/>
    </row>
  </sheetData>
  <mergeCells count="19">
    <mergeCell ref="A33:B40"/>
    <mergeCell ref="D20:G20"/>
    <mergeCell ref="D22:G22"/>
    <mergeCell ref="D28:G28"/>
    <mergeCell ref="H21:H22"/>
    <mergeCell ref="H23:H24"/>
    <mergeCell ref="H19:H20"/>
    <mergeCell ref="H25:H26"/>
    <mergeCell ref="H27:H28"/>
    <mergeCell ref="H29:H30"/>
    <mergeCell ref="H31:H32"/>
    <mergeCell ref="H33:H34"/>
    <mergeCell ref="H35:H36"/>
    <mergeCell ref="H17:H18"/>
    <mergeCell ref="A17:B18"/>
    <mergeCell ref="A19:B24"/>
    <mergeCell ref="A25:B32"/>
    <mergeCell ref="C17:C18"/>
    <mergeCell ref="D17:G17"/>
  </mergeCells>
  <pageMargins left="0.7" right="0.7" top="0.78740157499999996" bottom="0.78740157499999996" header="0.3" footer="0.3"/>
  <pageSetup paperSize="9" orientation="landscape" r:id="rId1"/>
  <rowBreaks count="2" manualBreakCount="2">
    <brk id="24" max="16383" man="1"/>
    <brk id="32"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7"/>
  <sheetViews>
    <sheetView zoomScaleNormal="100" workbookViewId="0">
      <selection activeCell="J32" sqref="J32"/>
    </sheetView>
  </sheetViews>
  <sheetFormatPr baseColWidth="10" defaultColWidth="11.42578125" defaultRowHeight="15"/>
  <cols>
    <col min="1" max="1" width="9.85546875" style="28" customWidth="1"/>
    <col min="2" max="2" width="18.28515625" style="28" customWidth="1"/>
    <col min="3" max="3" width="18.28515625" style="28" hidden="1" customWidth="1"/>
    <col min="4" max="4" width="16.28515625" style="28" hidden="1" customWidth="1"/>
    <col min="5" max="6" width="12.85546875" style="28" customWidth="1"/>
    <col min="7" max="7" width="11.28515625" style="28" hidden="1" customWidth="1"/>
    <col min="8" max="8" width="9.28515625" style="35" customWidth="1"/>
    <col min="9" max="9" width="18.85546875" style="124" customWidth="1"/>
    <col min="10" max="16384" width="11.42578125" style="28"/>
  </cols>
  <sheetData>
    <row r="1" spans="1:9" ht="23.25">
      <c r="A1" s="34" t="s">
        <v>812</v>
      </c>
    </row>
    <row r="2" spans="1:9" ht="19.5" customHeight="1"/>
    <row r="3" spans="1:9">
      <c r="A3" s="28" t="s">
        <v>1089</v>
      </c>
      <c r="E3" s="28">
        <f>SUMIF($B$11:$B$151,"Boden/Kompost",$E$11:$E$151)</f>
        <v>40</v>
      </c>
    </row>
    <row r="4" spans="1:9">
      <c r="A4" s="28" t="s">
        <v>1120</v>
      </c>
      <c r="E4" s="28">
        <f>SUMIF($B$11:$B$151,"River sediment",$E$11:$E$151)</f>
        <v>2</v>
      </c>
    </row>
    <row r="5" spans="1:9">
      <c r="A5" s="28" t="s">
        <v>1119</v>
      </c>
      <c r="E5" s="28">
        <f>SUMIF($B$11:$B$151,"Benthic",$E$11:$E$151)</f>
        <v>48</v>
      </c>
    </row>
    <row r="6" spans="1:9">
      <c r="A6" s="28" t="s">
        <v>1090</v>
      </c>
      <c r="E6" s="28">
        <f>SUMIF($B$11:$B$151,"Meerwasser",$E$11:$E$151)</f>
        <v>85</v>
      </c>
    </row>
    <row r="7" spans="1:9">
      <c r="A7" s="28" t="s">
        <v>1091</v>
      </c>
      <c r="E7" s="28">
        <f>SUMIF($B$11:$B$151,"Süßwasser",$E$11:$E$151)</f>
        <v>33</v>
      </c>
    </row>
    <row r="8" spans="1:9" ht="15.75" thickBot="1"/>
    <row r="9" spans="1:9" ht="56.25" customHeight="1" thickBot="1">
      <c r="A9" s="36" t="s">
        <v>682</v>
      </c>
      <c r="B9" s="37" t="s">
        <v>255</v>
      </c>
      <c r="C9" s="37" t="s">
        <v>0</v>
      </c>
      <c r="D9" s="38" t="s">
        <v>811</v>
      </c>
      <c r="E9" s="116" t="s">
        <v>846</v>
      </c>
      <c r="F9" s="125" t="s">
        <v>808</v>
      </c>
      <c r="G9" s="117" t="s">
        <v>1011</v>
      </c>
      <c r="H9" s="29"/>
      <c r="I9" s="125" t="s">
        <v>1098</v>
      </c>
    </row>
    <row r="10" spans="1:9" ht="16.5" thickBot="1">
      <c r="A10" s="64" t="s">
        <v>946</v>
      </c>
      <c r="B10" s="65"/>
      <c r="C10" s="65"/>
      <c r="D10" s="65"/>
      <c r="E10" s="65"/>
      <c r="F10" s="65"/>
      <c r="G10" s="118"/>
      <c r="H10" s="39"/>
      <c r="I10" s="65"/>
    </row>
    <row r="11" spans="1:9">
      <c r="A11" s="50" t="s">
        <v>77</v>
      </c>
      <c r="B11" s="51" t="s">
        <v>358</v>
      </c>
      <c r="C11" s="51" t="s">
        <v>845</v>
      </c>
      <c r="D11" s="52" t="str">
        <f t="shared" ref="D11:D60" si="0">CONCATENATE(A11,"_",B11,"_",C11)</f>
        <v>PE_Boden/Kompost_natürlich</v>
      </c>
      <c r="E11" s="92">
        <f>COUNTIF(Abbau!$AI$2:$AI$1024,D11)</f>
        <v>5</v>
      </c>
      <c r="F11" s="27">
        <f t="array" ref="F11">IFERROR(QUARTILE(IF(Abbau!$AI$2:$AI$1024=D11,Abbau!$AH$2:$AH$1024),2),0)</f>
        <v>0.39304324511714689</v>
      </c>
      <c r="G11" s="122">
        <f t="array" ref="G11">IF(E11=0,"n.v.",_xlfn.STDEV.P(IF(Abbau!$AI$2:$AI$1024=D11,Abbau!$AH$2:$AH$1024),0))</f>
        <v>0.22913939341738568</v>
      </c>
      <c r="H11" s="31"/>
      <c r="I11" s="27">
        <f>IF(E11=0,F14,F11)</f>
        <v>0.39304324511714689</v>
      </c>
    </row>
    <row r="12" spans="1:9">
      <c r="A12" s="30" t="s">
        <v>77</v>
      </c>
      <c r="B12" s="31" t="s">
        <v>1103</v>
      </c>
      <c r="C12" s="31" t="s">
        <v>845</v>
      </c>
      <c r="D12" s="32" t="str">
        <f t="shared" si="0"/>
        <v>PE_River sediment_natürlich</v>
      </c>
      <c r="E12" s="91">
        <f>COUNTIF(Abbau!$AI$2:$AI$1024,D12)</f>
        <v>0</v>
      </c>
      <c r="F12" s="27">
        <f t="array" ref="F12">IFERROR(QUARTILE(IF(Abbau!$AI$2:$AI$1024=D12,Abbau!$AH$2:$AH$1024),2),0)</f>
        <v>0</v>
      </c>
      <c r="G12" s="119" t="str">
        <f t="array" ref="G12">IF(E12=0,"n.v.",_xlfn.STDEV.P(IF(Abbau!$AI$2:$AI$1024=D12,Abbau!$AH$2:$AH$1024),0))</f>
        <v>n.v.</v>
      </c>
      <c r="H12" s="31"/>
      <c r="I12" s="26">
        <f>IF(E12=0,IF(E13=0,IF(I11&lt;I14,I11,I14),F13),F12)</f>
        <v>0</v>
      </c>
    </row>
    <row r="13" spans="1:9">
      <c r="A13" s="30" t="s">
        <v>77</v>
      </c>
      <c r="B13" s="31" t="s">
        <v>1104</v>
      </c>
      <c r="C13" s="31" t="s">
        <v>845</v>
      </c>
      <c r="D13" s="32" t="str">
        <f t="shared" ref="D13" si="1">CONCATENATE(A13,"_",B13,"_",C13)</f>
        <v>PE_Benthic_natürlich</v>
      </c>
      <c r="E13" s="91">
        <f>COUNTIF(Abbau!$AI$2:$AI$1024,D13)</f>
        <v>0</v>
      </c>
      <c r="F13" s="27">
        <f t="array" ref="F13">IFERROR(QUARTILE(IF(Abbau!$AI$2:$AI$1024=D13,Abbau!$AH$2:$AH$1024),2),0)</f>
        <v>0</v>
      </c>
      <c r="G13" s="119" t="str">
        <f t="array" ref="G13">IF(E13=0,"n.v.",_xlfn.STDEV.P(IF(Abbau!$AI$2:$AI$1024=D13,Abbau!$AH$2:$AH$1024),0))</f>
        <v>n.v.</v>
      </c>
      <c r="H13" s="31"/>
      <c r="I13" s="26">
        <f>IF(E13=0,IF(E12=0,IF(I11&lt;I14,I11,I14),F12),F13)</f>
        <v>0</v>
      </c>
    </row>
    <row r="14" spans="1:9">
      <c r="A14" s="30" t="s">
        <v>77</v>
      </c>
      <c r="B14" s="31" t="s">
        <v>23</v>
      </c>
      <c r="C14" s="31" t="s">
        <v>845</v>
      </c>
      <c r="D14" s="32" t="str">
        <f t="shared" si="0"/>
        <v>PE_Meerwasser_natürlich</v>
      </c>
      <c r="E14" s="91">
        <f>COUNTIF(Abbau!$AI$2:$AI$1024,D14)</f>
        <v>1</v>
      </c>
      <c r="F14" s="27">
        <f t="array" ref="F14">IFERROR(QUARTILE(IF(Abbau!$AI$2:$AI$1024=D14,Abbau!$AH$2:$AH$1024),2),0)</f>
        <v>0</v>
      </c>
      <c r="G14" s="119">
        <f t="array" ref="G14">IF(E14=0,"n.v.",_xlfn.STDEV.P(IF(Abbau!$AI$2:$AI$1024=D14,Abbau!$AH$2:$AH$1024),0))</f>
        <v>0</v>
      </c>
      <c r="H14" s="31"/>
      <c r="I14" s="27">
        <f>IF(E14=0,F11,F14)</f>
        <v>0</v>
      </c>
    </row>
    <row r="15" spans="1:9">
      <c r="A15" s="54" t="s">
        <v>77</v>
      </c>
      <c r="B15" s="55" t="s">
        <v>1081</v>
      </c>
      <c r="C15" s="55" t="s">
        <v>845</v>
      </c>
      <c r="D15" s="56" t="str">
        <f t="shared" si="0"/>
        <v>PE_Süßwasser_natürlich</v>
      </c>
      <c r="E15" s="93">
        <f>COUNTIF(Abbau!$AI$2:$AI$1024,D15)</f>
        <v>0</v>
      </c>
      <c r="F15" s="69">
        <f t="array" ref="F15">IFERROR(QUARTILE(IF(Abbau!$AI$2:$AI$1024=D15,Abbau!$AH$2:$AH$1024),2),0)</f>
        <v>0</v>
      </c>
      <c r="G15" s="121" t="str">
        <f t="array" ref="G15">IF(E15=0,"n.v.",_xlfn.STDEV.P(IF(Abbau!$AI$2:$AI$1024=D15,Abbau!$AH$2:$AH$1024),0))</f>
        <v>n.v.</v>
      </c>
      <c r="H15" s="31"/>
      <c r="I15" s="70" t="s">
        <v>596</v>
      </c>
    </row>
    <row r="16" spans="1:9">
      <c r="A16" s="30" t="s">
        <v>69</v>
      </c>
      <c r="B16" s="31" t="s">
        <v>358</v>
      </c>
      <c r="C16" s="31" t="s">
        <v>845</v>
      </c>
      <c r="D16" s="32" t="str">
        <f t="shared" si="0"/>
        <v>HDPE_Boden/Kompost_natürlich</v>
      </c>
      <c r="E16" s="91">
        <f>COUNTIF(Abbau!$AI$2:$AI$1024,D16)</f>
        <v>0</v>
      </c>
      <c r="F16" s="27">
        <f t="array" ref="F16">IFERROR(QUARTILE(IF(Abbau!$AI$2:$AI$1024=D16,Abbau!$AH$2:$AH$1024),2),0)</f>
        <v>0</v>
      </c>
      <c r="G16" s="119" t="str">
        <f t="array" ref="G16">IF(E16=0,"n.v.",_xlfn.STDEV.P(IF(Abbau!$AI$2:$AI$1024=D16,Abbau!$AH$2:$AH$1024),0))</f>
        <v>n.v.</v>
      </c>
      <c r="H16" s="31"/>
      <c r="I16" s="309">
        <f>IF(E16=0,F19,F16)</f>
        <v>11.703124999999968</v>
      </c>
    </row>
    <row r="17" spans="1:9">
      <c r="A17" s="30" t="s">
        <v>69</v>
      </c>
      <c r="B17" s="31" t="s">
        <v>1103</v>
      </c>
      <c r="C17" s="31" t="s">
        <v>845</v>
      </c>
      <c r="D17" s="32" t="str">
        <f t="shared" si="0"/>
        <v>HDPE_River sediment_natürlich</v>
      </c>
      <c r="E17" s="91">
        <f>COUNTIF(Abbau!$AI$2:$AI$1024,D17)</f>
        <v>0</v>
      </c>
      <c r="F17" s="27">
        <f t="array" ref="F17">IFERROR(QUARTILE(IF(Abbau!$AI$2:$AI$1024=D17,Abbau!$AH$2:$AH$1024),2),0)</f>
        <v>0</v>
      </c>
      <c r="G17" s="119" t="str">
        <f t="array" ref="G17">IF(E17=0,"n.v.",_xlfn.STDEV.P(IF(Abbau!$AI$2:$AI$1024=D17,Abbau!$AH$2:$AH$1024),0))</f>
        <v>n.v.</v>
      </c>
      <c r="H17" s="31"/>
      <c r="I17" s="310">
        <f>IF(E17=0,IF(E18=0,IF(I16&lt;I19,I16,I19),F18),F17)</f>
        <v>11.703124999999968</v>
      </c>
    </row>
    <row r="18" spans="1:9">
      <c r="A18" s="30" t="s">
        <v>69</v>
      </c>
      <c r="B18" s="31" t="s">
        <v>1104</v>
      </c>
      <c r="C18" s="31" t="s">
        <v>845</v>
      </c>
      <c r="D18" s="32" t="str">
        <f t="shared" ref="D18" si="2">CONCATENATE(A18,"_",B18,"_",C18)</f>
        <v>HDPE_Benthic_natürlich</v>
      </c>
      <c r="E18" s="91">
        <f>COUNTIF(Abbau!$AI$2:$AI$1024,D18)</f>
        <v>0</v>
      </c>
      <c r="F18" s="27">
        <f t="array" ref="F18">IFERROR(QUARTILE(IF(Abbau!$AI$2:$AI$1024=D18,Abbau!$AH$2:$AH$1024),2),0)</f>
        <v>0</v>
      </c>
      <c r="G18" s="119" t="str">
        <f t="array" ref="G18">IF(E18=0,"n.v.",_xlfn.STDEV.P(IF(Abbau!$AI$2:$AI$1024=D18,Abbau!$AH$2:$AH$1024),0))</f>
        <v>n.v.</v>
      </c>
      <c r="H18" s="31"/>
      <c r="I18" s="310">
        <f>IF(E18=0,IF(E17=0,IF(I16&lt;I19,I16,I19),F17),F18)</f>
        <v>11.703124999999968</v>
      </c>
    </row>
    <row r="19" spans="1:9">
      <c r="A19" s="30" t="s">
        <v>69</v>
      </c>
      <c r="B19" s="31" t="s">
        <v>23</v>
      </c>
      <c r="C19" s="31" t="s">
        <v>845</v>
      </c>
      <c r="D19" s="32" t="str">
        <f t="shared" si="0"/>
        <v>HDPE_Meerwasser_natürlich</v>
      </c>
      <c r="E19" s="91">
        <f>COUNTIF(Abbau!$AI$2:$AI$1024,D19)</f>
        <v>2</v>
      </c>
      <c r="F19" s="27">
        <f t="array" ref="F19">IFERROR(QUARTILE(IF(Abbau!$AI$2:$AI$1024=D19,Abbau!$AH$2:$AH$1024),2),0)</f>
        <v>11.703124999999968</v>
      </c>
      <c r="G19" s="119">
        <f t="array" ref="G19">IF(E19=0,"n.v.",_xlfn.STDEV.P(IF(Abbau!$AI$2:$AI$1024=D19,Abbau!$AH$2:$AH$1024),0))</f>
        <v>5.5222285972744194</v>
      </c>
      <c r="H19" s="31"/>
      <c r="I19" s="309">
        <f>IF(E19=0,F16,F19)</f>
        <v>11.703124999999968</v>
      </c>
    </row>
    <row r="20" spans="1:9">
      <c r="A20" s="30" t="s">
        <v>69</v>
      </c>
      <c r="B20" s="31" t="s">
        <v>1081</v>
      </c>
      <c r="C20" s="31" t="s">
        <v>845</v>
      </c>
      <c r="D20" s="32" t="str">
        <f t="shared" si="0"/>
        <v>HDPE_Süßwasser_natürlich</v>
      </c>
      <c r="E20" s="91">
        <f>COUNTIF(Abbau!$AI$2:$AI$1024,D20)</f>
        <v>0</v>
      </c>
      <c r="F20" s="27">
        <f t="array" ref="F20">IFERROR(QUARTILE(IF(Abbau!$AI$2:$AI$1024=D20,Abbau!$AH$2:$AH$1024),2),0)</f>
        <v>0</v>
      </c>
      <c r="G20" s="119" t="str">
        <f t="array" ref="G20">IF(E20=0,"n.v.",_xlfn.STDEV.P(IF(Abbau!$AI$2:$AI$1024=D20,Abbau!$AH$2:$AH$1024),0))</f>
        <v>n.v.</v>
      </c>
      <c r="H20" s="31"/>
      <c r="I20" s="312" t="s">
        <v>596</v>
      </c>
    </row>
    <row r="21" spans="1:9">
      <c r="A21" s="50" t="s">
        <v>67</v>
      </c>
      <c r="B21" s="52" t="s">
        <v>358</v>
      </c>
      <c r="C21" s="51" t="s">
        <v>845</v>
      </c>
      <c r="D21" s="52" t="str">
        <f t="shared" si="0"/>
        <v>LDPE_Boden/Kompost_natürlich</v>
      </c>
      <c r="E21" s="92">
        <f>COUNTIF(Abbau!$AI$2:$AI$1024,D21)</f>
        <v>0</v>
      </c>
      <c r="F21" s="127">
        <f t="array" ref="F21">IFERROR(QUARTILE(IF(Abbau!$AI$2:$AI$1024=D21,Abbau!$AH$2:$AH$1024),2),0)</f>
        <v>0</v>
      </c>
      <c r="G21" s="122" t="str">
        <f t="array" ref="G21">IF(E21=0,"n.v.",_xlfn.STDEV.P(IF(Abbau!$AI$2:$AI$1024=D21,Abbau!$AH$2:$AH$1024),0))</f>
        <v>n.v.</v>
      </c>
      <c r="H21" s="31"/>
      <c r="I21" s="309">
        <f>IF(E21=0,F24,F21)</f>
        <v>0</v>
      </c>
    </row>
    <row r="22" spans="1:9">
      <c r="A22" s="30" t="s">
        <v>67</v>
      </c>
      <c r="B22" s="31" t="s">
        <v>1103</v>
      </c>
      <c r="C22" s="31" t="s">
        <v>845</v>
      </c>
      <c r="D22" s="32" t="str">
        <f t="shared" si="0"/>
        <v>LDPE_River sediment_natürlich</v>
      </c>
      <c r="E22" s="91">
        <f>COUNTIF(Abbau!$AI$2:$AI$1024,D22)</f>
        <v>0</v>
      </c>
      <c r="F22" s="27">
        <f t="array" ref="F22">IFERROR(QUARTILE(IF(Abbau!$AI$2:$AI$1024=D22,Abbau!$AH$2:$AH$1024),2),0)</f>
        <v>0</v>
      </c>
      <c r="G22" s="119" t="str">
        <f t="array" ref="G22">IF(E22=0,"n.v.",_xlfn.STDEV.P(IF(Abbau!$AI$2:$AI$1024=D22,Abbau!$AH$2:$AH$1024),0))</f>
        <v>n.v.</v>
      </c>
      <c r="H22" s="31"/>
      <c r="I22" s="310">
        <f>IF(E22=0,IF(E23=0,IF(I21&lt;I24,I21,I24),F23),F22)</f>
        <v>0.33485491071428547</v>
      </c>
    </row>
    <row r="23" spans="1:9">
      <c r="A23" s="30" t="s">
        <v>67</v>
      </c>
      <c r="B23" s="31" t="s">
        <v>1104</v>
      </c>
      <c r="C23" s="31" t="s">
        <v>845</v>
      </c>
      <c r="D23" s="32" t="str">
        <f t="shared" ref="D23" si="3">CONCATENATE(A23,"_",B23,"_",C23)</f>
        <v>LDPE_Benthic_natürlich</v>
      </c>
      <c r="E23" s="91">
        <f>COUNTIF(Abbau!$AI$2:$AI$1024,D23)</f>
        <v>8</v>
      </c>
      <c r="F23" s="27">
        <f t="array" ref="F23">IFERROR(QUARTILE(IF(Abbau!$AI$2:$AI$1024=D23,Abbau!$AH$2:$AH$1024),2),0)</f>
        <v>0.33485491071428547</v>
      </c>
      <c r="G23" s="119">
        <f t="array" ref="G23">IF(E23=0,"n.v.",_xlfn.STDEV.P(IF(Abbau!$AI$2:$AI$1024=D23,Abbau!$AH$2:$AH$1024),0))</f>
        <v>0.35185820655938621</v>
      </c>
      <c r="H23" s="31"/>
      <c r="I23" s="310">
        <f>IF(E23=0,IF(E22=0,IF(I21&lt;I24,I21,I24),F22),F23)</f>
        <v>0.33485491071428547</v>
      </c>
    </row>
    <row r="24" spans="1:9">
      <c r="A24" s="30" t="s">
        <v>67</v>
      </c>
      <c r="B24" s="32" t="s">
        <v>23</v>
      </c>
      <c r="C24" s="31" t="s">
        <v>845</v>
      </c>
      <c r="D24" s="32" t="str">
        <f t="shared" si="0"/>
        <v>LDPE_Meerwasser_natürlich</v>
      </c>
      <c r="E24" s="91">
        <f>COUNTIF(Abbau!$AI$2:$AI$1024,D24)</f>
        <v>5</v>
      </c>
      <c r="F24" s="27">
        <f t="array" ref="F24">IFERROR(QUARTILE(IF(Abbau!$AI$2:$AI$1024=D24,Abbau!$AH$2:$AH$1024),2),0)</f>
        <v>0</v>
      </c>
      <c r="G24" s="119">
        <f t="array" ref="G24">IF(E24=0,"n.v.",_xlfn.STDEV.P(IF(Abbau!$AI$2:$AI$1024=D24,Abbau!$AH$2:$AH$1024),0))</f>
        <v>14.102440280168191</v>
      </c>
      <c r="H24" s="31"/>
      <c r="I24" s="309">
        <f>IF(E24=0,F21,F24)</f>
        <v>0</v>
      </c>
    </row>
    <row r="25" spans="1:9">
      <c r="A25" s="54" t="s">
        <v>67</v>
      </c>
      <c r="B25" s="56" t="s">
        <v>1081</v>
      </c>
      <c r="C25" s="55" t="s">
        <v>845</v>
      </c>
      <c r="D25" s="56" t="str">
        <f t="shared" si="0"/>
        <v>LDPE_Süßwasser_natürlich</v>
      </c>
      <c r="E25" s="93">
        <f>COUNTIF(Abbau!$AI$2:$AI$1024,D25)</f>
        <v>0</v>
      </c>
      <c r="F25" s="69">
        <f t="array" ref="F25">IFERROR(QUARTILE(IF(Abbau!$AI$2:$AI$1024=D25,Abbau!$AH$2:$AH$1024),2),0)</f>
        <v>0</v>
      </c>
      <c r="G25" s="121" t="str">
        <f t="array" ref="G25">IF(E25=0,"n.v.",_xlfn.STDEV.P(IF(Abbau!$AI$2:$AI$1024=D25,Abbau!$AH$2:$AH$1024),0))</f>
        <v>n.v.</v>
      </c>
      <c r="H25" s="31"/>
      <c r="I25" s="312" t="s">
        <v>596</v>
      </c>
    </row>
    <row r="26" spans="1:9">
      <c r="A26" s="50" t="s">
        <v>165</v>
      </c>
      <c r="B26" s="31" t="s">
        <v>358</v>
      </c>
      <c r="C26" s="51" t="s">
        <v>845</v>
      </c>
      <c r="D26" s="52" t="str">
        <f t="shared" si="0"/>
        <v>PP_Boden/Kompost_natürlich</v>
      </c>
      <c r="E26" s="92">
        <f>COUNTIF(Abbau!$AI$2:$AI$1024,D26)</f>
        <v>2</v>
      </c>
      <c r="F26" s="127">
        <f t="array" ref="F26">IFERROR(QUARTILE(IF(Abbau!$AI$2:$AI$1024=D26,Abbau!$AH$2:$AH$1024),2),0)</f>
        <v>0.95085092472137211</v>
      </c>
      <c r="G26" s="119">
        <f t="array" ref="G26">IF(E26=0,"n.v.",_xlfn.STDEV.P(IF(Abbau!$AI$2:$AI$1024=D26,Abbau!$AH$2:$AH$1024),0))</f>
        <v>0.69661106175634691</v>
      </c>
      <c r="H26" s="31"/>
      <c r="I26" s="27">
        <f>IF(E26=0,F29,F26)</f>
        <v>0.95085092472137211</v>
      </c>
    </row>
    <row r="27" spans="1:9">
      <c r="A27" s="30" t="s">
        <v>165</v>
      </c>
      <c r="B27" s="31" t="s">
        <v>1103</v>
      </c>
      <c r="C27" s="31" t="s">
        <v>845</v>
      </c>
      <c r="D27" s="32" t="str">
        <f t="shared" si="0"/>
        <v>PP_River sediment_natürlich</v>
      </c>
      <c r="E27" s="91">
        <f>COUNTIF(Abbau!$AI$2:$AI$1024,D27)</f>
        <v>0</v>
      </c>
      <c r="F27" s="27">
        <f t="array" ref="F27">IFERROR(QUARTILE(IF(Abbau!$AI$2:$AI$1024=D27,Abbau!$AH$2:$AH$1024),2),0)</f>
        <v>0</v>
      </c>
      <c r="G27" s="119" t="str">
        <f t="array" ref="G27">IF(E27=0,"n.v.",_xlfn.STDEV.P(IF(Abbau!$AI$2:$AI$1024=D27,Abbau!$AH$2:$AH$1024),0))</f>
        <v>n.v.</v>
      </c>
      <c r="H27" s="31"/>
      <c r="I27" s="26">
        <f>IF(E27=0,IF(E28=0,IF(I26&lt;I29,I26,I29),F28),F27)</f>
        <v>0.95085092472137211</v>
      </c>
    </row>
    <row r="28" spans="1:9">
      <c r="A28" s="30" t="s">
        <v>165</v>
      </c>
      <c r="B28" s="31" t="s">
        <v>1104</v>
      </c>
      <c r="C28" s="31" t="s">
        <v>845</v>
      </c>
      <c r="D28" s="32" t="str">
        <f t="shared" ref="D28" si="4">CONCATENATE(A28,"_",B28,"_",C28)</f>
        <v>PP_Benthic_natürlich</v>
      </c>
      <c r="E28" s="91">
        <f>COUNTIF(Abbau!$AI$2:$AI$1024,D28)</f>
        <v>0</v>
      </c>
      <c r="F28" s="27">
        <f t="array" ref="F28">IFERROR(QUARTILE(IF(Abbau!$AI$2:$AI$1024=D28,Abbau!$AH$2:$AH$1024),2),0)</f>
        <v>0</v>
      </c>
      <c r="G28" s="119" t="str">
        <f t="array" ref="G28">IF(E28=0,"n.v.",_xlfn.STDEV.P(IF(Abbau!$AI$2:$AI$1024=D28,Abbau!$AH$2:$AH$1024),0))</f>
        <v>n.v.</v>
      </c>
      <c r="H28" s="31"/>
      <c r="I28" s="26">
        <f>IF(E28=0,IF(E27=0,IF(I26&lt;I29,I26,I29),F27),F28)</f>
        <v>0.95085092472137211</v>
      </c>
    </row>
    <row r="29" spans="1:9">
      <c r="A29" s="30" t="s">
        <v>165</v>
      </c>
      <c r="B29" s="31" t="s">
        <v>23</v>
      </c>
      <c r="C29" s="31" t="s">
        <v>845</v>
      </c>
      <c r="D29" s="32" t="str">
        <f t="shared" si="0"/>
        <v>PP_Meerwasser_natürlich</v>
      </c>
      <c r="E29" s="91">
        <f>COUNTIF(Abbau!$AI$2:$AI$1024,D29)</f>
        <v>3</v>
      </c>
      <c r="F29" s="27">
        <f t="array" ref="F29">IFERROR(QUARTILE(IF(Abbau!$AI$2:$AI$1024=D29,Abbau!$AH$2:$AH$1024),2),0)</f>
        <v>4.8749999999999618</v>
      </c>
      <c r="G29" s="119">
        <f t="array" ref="G29">IF(E29=0,"n.v.",_xlfn.STDEV.P(IF(Abbau!$AI$2:$AI$1024=D29,Abbau!$AH$2:$AH$1024),0))</f>
        <v>3.2190608645493692</v>
      </c>
      <c r="H29" s="31"/>
      <c r="I29" s="27">
        <f>IF(E29=0,F26,F29)</f>
        <v>4.8749999999999618</v>
      </c>
    </row>
    <row r="30" spans="1:9">
      <c r="A30" s="54" t="s">
        <v>165</v>
      </c>
      <c r="B30" s="31" t="s">
        <v>1081</v>
      </c>
      <c r="C30" s="55" t="s">
        <v>845</v>
      </c>
      <c r="D30" s="56" t="str">
        <f t="shared" si="0"/>
        <v>PP_Süßwasser_natürlich</v>
      </c>
      <c r="E30" s="93">
        <f>COUNTIF(Abbau!$AI$2:$AI$1024,D30)</f>
        <v>0</v>
      </c>
      <c r="F30" s="69">
        <f t="array" ref="F30">IFERROR(QUARTILE(IF(Abbau!$AI$2:$AI$1024=D30,Abbau!$AH$2:$AH$1024),2),0)</f>
        <v>0</v>
      </c>
      <c r="G30" s="119" t="str">
        <f t="array" ref="G30">IF(E30=0,"n.v.",_xlfn.STDEV.P(IF(Abbau!$AI$2:$AI$1024=D30,Abbau!$AH$2:$AH$1024),0))</f>
        <v>n.v.</v>
      </c>
      <c r="H30" s="31"/>
      <c r="I30" s="70" t="s">
        <v>596</v>
      </c>
    </row>
    <row r="31" spans="1:9">
      <c r="A31" s="50" t="s">
        <v>188</v>
      </c>
      <c r="B31" s="52" t="s">
        <v>358</v>
      </c>
      <c r="C31" s="67" t="s">
        <v>845</v>
      </c>
      <c r="D31" s="52" t="str">
        <f t="shared" si="0"/>
        <v>PA_Boden/Kompost_natürlich</v>
      </c>
      <c r="E31" s="92">
        <f>COUNTIF(Abbau!$AI$2:$AI$1024,D31)</f>
        <v>0</v>
      </c>
      <c r="F31" s="127">
        <f t="array" ref="F31">IFERROR(QUARTILE(IF(Abbau!$AI$2:$AI$1024=D31,Abbau!$AH$2:$AH$1024),2),0)</f>
        <v>0</v>
      </c>
      <c r="G31" s="122" t="str">
        <f t="array" ref="G31">IF(E31=0,"n.v.",_xlfn.STDEV.P(IF(Abbau!$AI$2:$AI$1024=D31,Abbau!$AH$2:$AH$1024),0))</f>
        <v>n.v.</v>
      </c>
      <c r="H31" s="31"/>
      <c r="I31" s="27">
        <f>IF(E31=0,F34,F31)</f>
        <v>292</v>
      </c>
    </row>
    <row r="32" spans="1:9">
      <c r="A32" s="30" t="s">
        <v>188</v>
      </c>
      <c r="B32" s="31" t="s">
        <v>1103</v>
      </c>
      <c r="C32" s="44" t="s">
        <v>845</v>
      </c>
      <c r="D32" s="32" t="str">
        <f t="shared" si="0"/>
        <v>PA_River sediment_natürlich</v>
      </c>
      <c r="E32" s="91">
        <f>COUNTIF(Abbau!$AI$2:$AI$1024,D32)</f>
        <v>0</v>
      </c>
      <c r="F32" s="27">
        <f t="array" ref="F32">IFERROR(QUARTILE(IF(Abbau!$AI$2:$AI$1024=D32,Abbau!$AH$2:$AH$1024),2),0)</f>
        <v>0</v>
      </c>
      <c r="G32" s="119" t="str">
        <f t="array" ref="G32">IF(E32=0,"n.v.",_xlfn.STDEV.P(IF(Abbau!$AI$2:$AI$1024=D32,Abbau!$AH$2:$AH$1024),0))</f>
        <v>n.v.</v>
      </c>
      <c r="H32" s="31"/>
      <c r="I32" s="26">
        <f>IF(E32=0,IF(E33=0,IF(I31&lt;I34,I31,I34),F33),F32)</f>
        <v>292</v>
      </c>
    </row>
    <row r="33" spans="1:9">
      <c r="A33" s="30" t="s">
        <v>188</v>
      </c>
      <c r="B33" s="31" t="s">
        <v>1104</v>
      </c>
      <c r="C33" s="44" t="s">
        <v>845</v>
      </c>
      <c r="D33" s="32" t="str">
        <f t="shared" ref="D33" si="5">CONCATENATE(A33,"_",B33,"_",C33)</f>
        <v>PA_Benthic_natürlich</v>
      </c>
      <c r="E33" s="91">
        <f>COUNTIF(Abbau!$AI$2:$AI$1024,D33)</f>
        <v>0</v>
      </c>
      <c r="F33" s="27">
        <f t="array" ref="F33">IFERROR(QUARTILE(IF(Abbau!$AI$2:$AI$1024=D33,Abbau!$AH$2:$AH$1024),2),0)</f>
        <v>0</v>
      </c>
      <c r="G33" s="119" t="str">
        <f t="array" ref="G33">IF(E33=0,"n.v.",_xlfn.STDEV.P(IF(Abbau!$AI$2:$AI$1024=D33,Abbau!$AH$2:$AH$1024),0))</f>
        <v>n.v.</v>
      </c>
      <c r="H33" s="31"/>
      <c r="I33" s="26">
        <f>IF(E33=0,IF(E32=0,IF(I31&lt;I34,I31,I34),F32),F33)</f>
        <v>292</v>
      </c>
    </row>
    <row r="34" spans="1:9">
      <c r="A34" s="30" t="s">
        <v>188</v>
      </c>
      <c r="B34" s="32" t="s">
        <v>23</v>
      </c>
      <c r="C34" s="44" t="s">
        <v>845</v>
      </c>
      <c r="D34" s="32" t="str">
        <f t="shared" si="0"/>
        <v>PA_Meerwasser_natürlich</v>
      </c>
      <c r="E34" s="91">
        <f>COUNTIF(Abbau!$AI$2:$AI$1024,D34)</f>
        <v>1</v>
      </c>
      <c r="F34" s="27">
        <f t="array" ref="F34">IFERROR(QUARTILE(IF(Abbau!$AI$2:$AI$1024=D34,Abbau!$AH$2:$AH$1024),2),0)</f>
        <v>292</v>
      </c>
      <c r="G34" s="119">
        <f t="array" ref="G34">IF(E34=0,"n.v.",_xlfn.STDEV.P(IF(Abbau!$AI$2:$AI$1024=D34,Abbau!$AH$2:$AH$1024),0))</f>
        <v>146</v>
      </c>
      <c r="H34" s="31"/>
      <c r="I34" s="27">
        <f>IF(E34=0,F31,F34)</f>
        <v>292</v>
      </c>
    </row>
    <row r="35" spans="1:9">
      <c r="A35" s="30" t="s">
        <v>188</v>
      </c>
      <c r="B35" s="56" t="s">
        <v>1081</v>
      </c>
      <c r="C35" s="44" t="s">
        <v>845</v>
      </c>
      <c r="D35" s="32" t="str">
        <f t="shared" si="0"/>
        <v>PA_Süßwasser_natürlich</v>
      </c>
      <c r="E35" s="91">
        <f>COUNTIF(Abbau!$AI$2:$AI$1024,D35)</f>
        <v>0</v>
      </c>
      <c r="F35" s="27">
        <f t="array" ref="F35">IFERROR(QUARTILE(IF(Abbau!$AI$2:$AI$1024=D35,Abbau!$AH$2:$AH$1024),2),0)</f>
        <v>0</v>
      </c>
      <c r="G35" s="119" t="str">
        <f t="array" ref="G35">IF(E35=0,"n.v.",_xlfn.STDEV.P(IF(Abbau!$AI$2:$AI$1024=D35,Abbau!$AH$2:$AH$1024),0))</f>
        <v>n.v.</v>
      </c>
      <c r="H35" s="31"/>
      <c r="I35" s="70" t="s">
        <v>596</v>
      </c>
    </row>
    <row r="36" spans="1:9">
      <c r="A36" s="50" t="s">
        <v>78</v>
      </c>
      <c r="B36" s="31" t="s">
        <v>358</v>
      </c>
      <c r="C36" s="51" t="s">
        <v>845</v>
      </c>
      <c r="D36" s="52" t="str">
        <f t="shared" si="0"/>
        <v>PET_Boden/Kompost_natürlich</v>
      </c>
      <c r="E36" s="92">
        <f>COUNTIF(Abbau!$AI$2:$AI$1024,D36)</f>
        <v>3</v>
      </c>
      <c r="F36" s="127">
        <f t="array" ref="F36">IFERROR(QUARTILE(IF(Abbau!$AI$2:$AI$1024=D36,Abbau!$AH$2:$AH$1024),2),0)</f>
        <v>0.41666666666666663</v>
      </c>
      <c r="G36" s="122">
        <f t="array" ref="G36">IF(E36=0,"n.v.",_xlfn.STDEV.P(IF(Abbau!$AI$2:$AI$1024=D36,Abbau!$AH$2:$AH$1024),0))</f>
        <v>0.64760017260659419</v>
      </c>
      <c r="H36" s="31"/>
      <c r="I36" s="27">
        <f>IF(E36=0,F39,F36)</f>
        <v>0.41666666666666663</v>
      </c>
    </row>
    <row r="37" spans="1:9">
      <c r="A37" s="30" t="s">
        <v>78</v>
      </c>
      <c r="B37" s="31" t="s">
        <v>1103</v>
      </c>
      <c r="C37" s="31" t="s">
        <v>845</v>
      </c>
      <c r="D37" s="32" t="str">
        <f t="shared" si="0"/>
        <v>PET_River sediment_natürlich</v>
      </c>
      <c r="E37" s="91">
        <f>COUNTIF(Abbau!$AI$2:$AI$1024,D37)</f>
        <v>0</v>
      </c>
      <c r="F37" s="27">
        <f t="array" ref="F37">IFERROR(QUARTILE(IF(Abbau!$AI$2:$AI$1024=D37,Abbau!$AH$2:$AH$1024),2),0)</f>
        <v>0</v>
      </c>
      <c r="G37" s="119" t="str">
        <f t="array" ref="G37">IF(E37=0,"n.v.",_xlfn.STDEV.P(IF(Abbau!$AI$2:$AI$1024=D37,Abbau!$AH$2:$AH$1024),0))</f>
        <v>n.v.</v>
      </c>
      <c r="H37" s="31"/>
      <c r="I37" s="26">
        <f>IF(E37=0,IF(E38=0,IF(I36&lt;I39,I36,I39),F38),F37)</f>
        <v>0.41666666666666663</v>
      </c>
    </row>
    <row r="38" spans="1:9">
      <c r="A38" s="30" t="s">
        <v>78</v>
      </c>
      <c r="B38" s="31" t="s">
        <v>1104</v>
      </c>
      <c r="C38" s="31" t="s">
        <v>845</v>
      </c>
      <c r="D38" s="32" t="str">
        <f t="shared" ref="D38" si="6">CONCATENATE(A38,"_",B38,"_",C38)</f>
        <v>PET_Benthic_natürlich</v>
      </c>
      <c r="E38" s="91">
        <f>COUNTIF(Abbau!$AI$2:$AI$1024,D38)</f>
        <v>0</v>
      </c>
      <c r="F38" s="27">
        <f t="array" ref="F38">IFERROR(QUARTILE(IF(Abbau!$AI$2:$AI$1024=D38,Abbau!$AH$2:$AH$1024),2),0)</f>
        <v>0</v>
      </c>
      <c r="G38" s="119" t="str">
        <f t="array" ref="G38">IF(E38=0,"n.v.",_xlfn.STDEV.P(IF(Abbau!$AI$2:$AI$1024=D38,Abbau!$AH$2:$AH$1024),0))</f>
        <v>n.v.</v>
      </c>
      <c r="H38" s="31"/>
      <c r="I38" s="26">
        <f>IF(E38=0,IF(E37=0,IF(I36&lt;I39,I36,I39),F37),F38)</f>
        <v>0.41666666666666663</v>
      </c>
    </row>
    <row r="39" spans="1:9">
      <c r="A39" s="30" t="s">
        <v>78</v>
      </c>
      <c r="B39" s="31" t="s">
        <v>23</v>
      </c>
      <c r="C39" s="31" t="s">
        <v>845</v>
      </c>
      <c r="D39" s="32" t="str">
        <f t="shared" si="0"/>
        <v>PET_Meerwasser_natürlich</v>
      </c>
      <c r="E39" s="91">
        <f>COUNTIF(Abbau!$AI$2:$AI$1024,D39)</f>
        <v>1</v>
      </c>
      <c r="F39" s="27">
        <f t="array" ref="F39">IFERROR(QUARTILE(IF(Abbau!$AI$2:$AI$1024=D39,Abbau!$AH$2:$AH$1024),2),0)</f>
        <v>0.6944444444444452</v>
      </c>
      <c r="G39" s="119">
        <f t="array" ref="G39">IF(E39=0,"n.v.",_xlfn.STDEV.P(IF(Abbau!$AI$2:$AI$1024=D39,Abbau!$AH$2:$AH$1024),0))</f>
        <v>0.3472222222222226</v>
      </c>
      <c r="H39" s="31"/>
      <c r="I39" s="27">
        <f>IF(E39=0,F36,F39)</f>
        <v>0.6944444444444452</v>
      </c>
    </row>
    <row r="40" spans="1:9">
      <c r="A40" s="54" t="s">
        <v>78</v>
      </c>
      <c r="B40" s="31" t="s">
        <v>1081</v>
      </c>
      <c r="C40" s="55" t="s">
        <v>845</v>
      </c>
      <c r="D40" s="56" t="str">
        <f t="shared" si="0"/>
        <v>PET_Süßwasser_natürlich</v>
      </c>
      <c r="E40" s="93">
        <f>COUNTIF(Abbau!$AI$2:$AI$1024,D40)</f>
        <v>0</v>
      </c>
      <c r="F40" s="69">
        <f t="array" ref="F40">IFERROR(QUARTILE(IF(Abbau!$AI$2:$AI$1024=D40,Abbau!$AH$2:$AH$1024),2),0)</f>
        <v>0</v>
      </c>
      <c r="G40" s="121" t="str">
        <f t="array" ref="G40">IF(E40=0,"n.v.",_xlfn.STDEV.P(IF(Abbau!$AI$2:$AI$1024=D40,Abbau!$AH$2:$AH$1024),0))</f>
        <v>n.v.</v>
      </c>
      <c r="H40" s="31"/>
      <c r="I40" s="70" t="s">
        <v>596</v>
      </c>
    </row>
    <row r="41" spans="1:9">
      <c r="A41" s="50" t="s">
        <v>187</v>
      </c>
      <c r="B41" s="52" t="s">
        <v>358</v>
      </c>
      <c r="C41" s="67" t="s">
        <v>845</v>
      </c>
      <c r="D41" s="52" t="str">
        <f t="shared" si="0"/>
        <v>PU_Boden/Kompost_natürlich</v>
      </c>
      <c r="E41" s="92">
        <f>COUNTIF(Abbau!$AI$2:$AI$1024,D41)</f>
        <v>0</v>
      </c>
      <c r="F41" s="127">
        <f t="array" ref="F41">IFERROR(QUARTILE(IF(Abbau!$AI$2:$AI$1024=D41,Abbau!$AH$2:$AH$1024),2),0)</f>
        <v>0</v>
      </c>
      <c r="G41" s="119" t="str">
        <f t="array" ref="G41">IF(E41=0,"n.v.",_xlfn.STDEV.P(IF(Abbau!$AI$2:$AI$1024=D41,Abbau!$AH$2:$AH$1024),0))</f>
        <v>n.v.</v>
      </c>
      <c r="H41" s="31"/>
      <c r="I41" s="27">
        <f>IF(E41=0,F44,F41)</f>
        <v>52.875</v>
      </c>
    </row>
    <row r="42" spans="1:9">
      <c r="A42" s="30" t="s">
        <v>187</v>
      </c>
      <c r="B42" s="31" t="s">
        <v>1103</v>
      </c>
      <c r="C42" s="44" t="s">
        <v>845</v>
      </c>
      <c r="D42" s="32" t="str">
        <f t="shared" si="0"/>
        <v>PU_River sediment_natürlich</v>
      </c>
      <c r="E42" s="91">
        <f>COUNTIF(Abbau!$AI$2:$AI$1024,D42)</f>
        <v>0</v>
      </c>
      <c r="F42" s="27">
        <f t="array" ref="F42">IFERROR(QUARTILE(IF(Abbau!$AI$2:$AI$1024=D42,Abbau!$AH$2:$AH$1024),2),0)</f>
        <v>0</v>
      </c>
      <c r="G42" s="119" t="str">
        <f t="array" ref="G42">IF(E42=0,"n.v.",_xlfn.STDEV.P(IF(Abbau!$AI$2:$AI$1024=D42,Abbau!$AH$2:$AH$1024),0))</f>
        <v>n.v.</v>
      </c>
      <c r="H42" s="31"/>
      <c r="I42" s="26">
        <f>IF(E42=0,IF(E43=0,IF(I41&lt;I44,I41,I44),F43),F42)</f>
        <v>52.875</v>
      </c>
    </row>
    <row r="43" spans="1:9">
      <c r="A43" s="30" t="s">
        <v>187</v>
      </c>
      <c r="B43" s="31" t="s">
        <v>1104</v>
      </c>
      <c r="C43" s="44" t="s">
        <v>845</v>
      </c>
      <c r="D43" s="32" t="str">
        <f t="shared" ref="D43" si="7">CONCATENATE(A43,"_",B43,"_",C43)</f>
        <v>PU_Benthic_natürlich</v>
      </c>
      <c r="E43" s="91">
        <f>COUNTIF(Abbau!$AI$2:$AI$1024,D43)</f>
        <v>0</v>
      </c>
      <c r="F43" s="27">
        <f t="array" ref="F43">IFERROR(QUARTILE(IF(Abbau!$AI$2:$AI$1024=D43,Abbau!$AH$2:$AH$1024),2),0)</f>
        <v>0</v>
      </c>
      <c r="G43" s="119" t="str">
        <f t="array" ref="G43">IF(E43=0,"n.v.",_xlfn.STDEV.P(IF(Abbau!$AI$2:$AI$1024=D43,Abbau!$AH$2:$AH$1024),0))</f>
        <v>n.v.</v>
      </c>
      <c r="H43" s="31"/>
      <c r="I43" s="26">
        <f>IF(E43=0,IF(E42=0,IF(I41&lt;I44,I41,I44),F42),F43)</f>
        <v>52.875</v>
      </c>
    </row>
    <row r="44" spans="1:9">
      <c r="A44" s="30" t="s">
        <v>187</v>
      </c>
      <c r="B44" s="32" t="s">
        <v>23</v>
      </c>
      <c r="C44" s="44" t="s">
        <v>845</v>
      </c>
      <c r="D44" s="32" t="str">
        <f t="shared" si="0"/>
        <v>PU_Meerwasser_natürlich</v>
      </c>
      <c r="E44" s="91">
        <f>COUNTIF(Abbau!$AI$2:$AI$1024,D44)</f>
        <v>4</v>
      </c>
      <c r="F44" s="27">
        <f t="array" ref="F44">IFERROR(QUARTILE(IF(Abbau!$AI$2:$AI$1024=D44,Abbau!$AH$2:$AH$1024),2),0)</f>
        <v>52.875</v>
      </c>
      <c r="G44" s="119">
        <f t="array" ref="G44">IF(E44=0,"n.v.",_xlfn.STDEV.P(IF(Abbau!$AI$2:$AI$1024=D44,Abbau!$AH$2:$AH$1024),0))</f>
        <v>71.030627197005671</v>
      </c>
      <c r="H44" s="31"/>
      <c r="I44" s="27">
        <f>IF(E44=0,F41,F44)</f>
        <v>52.875</v>
      </c>
    </row>
    <row r="45" spans="1:9">
      <c r="A45" s="54" t="s">
        <v>187</v>
      </c>
      <c r="B45" s="56" t="s">
        <v>1081</v>
      </c>
      <c r="C45" s="68" t="s">
        <v>845</v>
      </c>
      <c r="D45" s="56" t="str">
        <f t="shared" si="0"/>
        <v>PU_Süßwasser_natürlich</v>
      </c>
      <c r="E45" s="93">
        <f>COUNTIF(Abbau!$AI$2:$AI$1024,D45)</f>
        <v>0</v>
      </c>
      <c r="F45" s="69">
        <f t="array" ref="F45">IFERROR(QUARTILE(IF(Abbau!$AI$2:$AI$1024=D45,Abbau!$AH$2:$AH$1024),2),0)</f>
        <v>0</v>
      </c>
      <c r="G45" s="119" t="str">
        <f t="array" ref="G45">IF(E45=0,"n.v.",_xlfn.STDEV.P(IF(Abbau!$AI$2:$AI$1024=D45,Abbau!$AH$2:$AH$1024),0))</f>
        <v>n.v.</v>
      </c>
      <c r="H45" s="31"/>
      <c r="I45" s="70" t="s">
        <v>596</v>
      </c>
    </row>
    <row r="46" spans="1:9">
      <c r="A46" s="30" t="s">
        <v>191</v>
      </c>
      <c r="B46" s="31" t="s">
        <v>358</v>
      </c>
      <c r="C46" s="44" t="s">
        <v>845</v>
      </c>
      <c r="D46" s="32" t="str">
        <f t="shared" si="0"/>
        <v>NR/SBR_Boden/Kompost_natürlich</v>
      </c>
      <c r="E46" s="91">
        <f>COUNTIF(Abbau!$AI$2:$AI$1024,D46)</f>
        <v>0</v>
      </c>
      <c r="F46" s="27">
        <f t="array" ref="F46">IFERROR(QUARTILE(IF(Abbau!$AI$2:$AI$1024=D46,Abbau!$AH$2:$AH$1024),2),0)</f>
        <v>0</v>
      </c>
      <c r="G46" s="122" t="str">
        <f t="array" ref="G46">IF(E46=0,"n.v.",_xlfn.STDEV.P(IF(Abbau!$AI$2:$AI$1024=D46,Abbau!$AH$2:$AH$1024),0))</f>
        <v>n.v.</v>
      </c>
      <c r="H46" s="31"/>
      <c r="I46" s="27">
        <f>IF(E46=0,F49,F46)</f>
        <v>43.650000000000013</v>
      </c>
    </row>
    <row r="47" spans="1:9">
      <c r="A47" s="30" t="s">
        <v>191</v>
      </c>
      <c r="B47" s="31" t="s">
        <v>1103</v>
      </c>
      <c r="C47" s="44" t="s">
        <v>845</v>
      </c>
      <c r="D47" s="32" t="str">
        <f t="shared" si="0"/>
        <v>NR/SBR_River sediment_natürlich</v>
      </c>
      <c r="E47" s="91">
        <f>COUNTIF(Abbau!$AI$2:$AI$1024,D47)</f>
        <v>0</v>
      </c>
      <c r="F47" s="27">
        <f t="array" ref="F47">IFERROR(QUARTILE(IF(Abbau!$AI$2:$AI$1024=D47,Abbau!$AH$2:$AH$1024),2),0)</f>
        <v>0</v>
      </c>
      <c r="G47" s="119" t="str">
        <f t="array" ref="G47">IF(E47=0,"n.v.",_xlfn.STDEV.P(IF(Abbau!$AI$2:$AI$1024=D47,Abbau!$AH$2:$AH$1024),0))</f>
        <v>n.v.</v>
      </c>
      <c r="H47" s="31"/>
      <c r="I47" s="26">
        <f>IF(E47=0,IF(E48=0,IF(I46&lt;I49,I46,I49),F48),F47)</f>
        <v>43.650000000000013</v>
      </c>
    </row>
    <row r="48" spans="1:9">
      <c r="A48" s="30" t="s">
        <v>191</v>
      </c>
      <c r="B48" s="31" t="s">
        <v>1104</v>
      </c>
      <c r="C48" s="44" t="s">
        <v>845</v>
      </c>
      <c r="D48" s="32" t="str">
        <f t="shared" ref="D48" si="8">CONCATENATE(A48,"_",B48,"_",C48)</f>
        <v>NR/SBR_Benthic_natürlich</v>
      </c>
      <c r="E48" s="91">
        <f>COUNTIF(Abbau!$AI$2:$AI$1024,D48)</f>
        <v>0</v>
      </c>
      <c r="F48" s="27">
        <f t="array" ref="F48">IFERROR(QUARTILE(IF(Abbau!$AI$2:$AI$1024=D48,Abbau!$AH$2:$AH$1024),2),0)</f>
        <v>0</v>
      </c>
      <c r="G48" s="119" t="str">
        <f t="array" ref="G48">IF(E48=0,"n.v.",_xlfn.STDEV.P(IF(Abbau!$AI$2:$AI$1024=D48,Abbau!$AH$2:$AH$1024),0))</f>
        <v>n.v.</v>
      </c>
      <c r="H48" s="31"/>
      <c r="I48" s="26">
        <f>IF(E48=0,IF(E47=0,IF(I46&lt;I49,I46,I49),F47),F48)</f>
        <v>43.650000000000013</v>
      </c>
    </row>
    <row r="49" spans="1:9">
      <c r="A49" s="30" t="s">
        <v>191</v>
      </c>
      <c r="B49" s="31" t="s">
        <v>23</v>
      </c>
      <c r="C49" s="44" t="s">
        <v>845</v>
      </c>
      <c r="D49" s="32" t="str">
        <f t="shared" si="0"/>
        <v>NR/SBR_Meerwasser_natürlich</v>
      </c>
      <c r="E49" s="91">
        <f>COUNTIF(Abbau!$AI$2:$AI$1024,D49)</f>
        <v>1</v>
      </c>
      <c r="F49" s="27">
        <f t="array" ref="F49">IFERROR(QUARTILE(IF(Abbau!$AI$2:$AI$1024=D49,Abbau!$AH$2:$AH$1024),2),0)</f>
        <v>43.650000000000013</v>
      </c>
      <c r="G49" s="119">
        <f t="array" ref="G49">IF(E49=0,"n.v.",_xlfn.STDEV.P(IF(Abbau!$AI$2:$AI$1024=D49,Abbau!$AH$2:$AH$1024),0))</f>
        <v>21.825000000000006</v>
      </c>
      <c r="H49" s="31"/>
      <c r="I49" s="27">
        <f>IF(E49=0,F46,F49)</f>
        <v>43.650000000000013</v>
      </c>
    </row>
    <row r="50" spans="1:9" ht="15.75" thickBot="1">
      <c r="A50" s="33" t="s">
        <v>191</v>
      </c>
      <c r="B50" s="31" t="s">
        <v>1081</v>
      </c>
      <c r="C50" s="45" t="s">
        <v>845</v>
      </c>
      <c r="D50" s="42" t="str">
        <f t="shared" si="0"/>
        <v>NR/SBR_Süßwasser_natürlich</v>
      </c>
      <c r="E50" s="94">
        <f>COUNTIF(Abbau!$AI$2:$AI$1024,D50)</f>
        <v>0</v>
      </c>
      <c r="F50" s="128">
        <f t="array" ref="F50">IFERROR(QUARTILE(IF(Abbau!$AI$2:$AI$1024=D50,Abbau!$AH$2:$AH$1024),2),0)</f>
        <v>0</v>
      </c>
      <c r="G50" s="120" t="str">
        <f t="array" ref="G50">IF(E50=0,"n.v.",_xlfn.STDEV.P(IF(Abbau!$AI$2:$AI$1024=D50,Abbau!$AH$2:$AH$1024),0))</f>
        <v>n.v.</v>
      </c>
      <c r="H50" s="31"/>
      <c r="I50" s="70" t="s">
        <v>596</v>
      </c>
    </row>
    <row r="51" spans="1:9">
      <c r="A51" s="50" t="s">
        <v>86</v>
      </c>
      <c r="B51" s="52" t="s">
        <v>358</v>
      </c>
      <c r="C51" s="51" t="s">
        <v>845</v>
      </c>
      <c r="D51" s="52" t="str">
        <f t="shared" si="0"/>
        <v>PVC_Boden/Kompost_natürlich</v>
      </c>
      <c r="E51" s="92">
        <f>COUNTIF(Abbau!$AI$2:$AI$1024,D51)</f>
        <v>0</v>
      </c>
      <c r="F51" s="127">
        <f t="array" ref="F51">IFERROR(QUARTILE(IF(Abbau!$AI$2:$AI$1024=D51,Abbau!$AH$2:$AH$1024),2),0)</f>
        <v>0</v>
      </c>
      <c r="G51" s="122" t="str">
        <f t="array" ref="G51">IF(E51=0,"n.v.",_xlfn.STDEV.P(IF(Abbau!$AI$2:$AI$1024=D51,Abbau!$AH$2:$AH$1024),0))</f>
        <v>n.v.</v>
      </c>
      <c r="H51" s="31"/>
      <c r="I51" s="27">
        <f>IF(E51=0,F54,F51)</f>
        <v>0</v>
      </c>
    </row>
    <row r="52" spans="1:9">
      <c r="A52" s="30" t="s">
        <v>86</v>
      </c>
      <c r="B52" s="31" t="s">
        <v>1103</v>
      </c>
      <c r="C52" s="31" t="s">
        <v>845</v>
      </c>
      <c r="D52" s="32" t="str">
        <f t="shared" si="0"/>
        <v>PVC_River sediment_natürlich</v>
      </c>
      <c r="E52" s="91">
        <f>COUNTIF(Abbau!$AI$2:$AI$1024,D52)</f>
        <v>0</v>
      </c>
      <c r="F52" s="27">
        <f t="array" ref="F52">IFERROR(QUARTILE(IF(Abbau!$AI$2:$AI$1024=D52,Abbau!$AH$2:$AH$1024),2),0)</f>
        <v>0</v>
      </c>
      <c r="G52" s="119" t="str">
        <f t="array" ref="G52">IF(E52=0,"n.v.",_xlfn.STDEV.P(IF(Abbau!$AI$2:$AI$1024=D52,Abbau!$AH$2:$AH$1024),0))</f>
        <v>n.v.</v>
      </c>
      <c r="H52" s="31"/>
      <c r="I52" s="26">
        <f>IF(E52=0,IF(E53=0,IF(I51&lt;I54,I51,I54),F53),F52)</f>
        <v>0</v>
      </c>
    </row>
    <row r="53" spans="1:9">
      <c r="A53" s="30" t="s">
        <v>86</v>
      </c>
      <c r="B53" s="31" t="s">
        <v>1104</v>
      </c>
      <c r="C53" s="31" t="s">
        <v>845</v>
      </c>
      <c r="D53" s="32" t="str">
        <f t="shared" ref="D53" si="9">CONCATENATE(A53,"_",B53,"_",C53)</f>
        <v>PVC_Benthic_natürlich</v>
      </c>
      <c r="E53" s="91">
        <f>COUNTIF(Abbau!$AI$2:$AI$1024,D53)</f>
        <v>0</v>
      </c>
      <c r="F53" s="27">
        <f t="array" ref="F53">IFERROR(QUARTILE(IF(Abbau!$AI$2:$AI$1024=D53,Abbau!$AH$2:$AH$1024),2),0)</f>
        <v>0</v>
      </c>
      <c r="G53" s="119" t="str">
        <f t="array" ref="G53">IF(E53=0,"n.v.",_xlfn.STDEV.P(IF(Abbau!$AI$2:$AI$1024=D53,Abbau!$AH$2:$AH$1024),0))</f>
        <v>n.v.</v>
      </c>
      <c r="H53" s="31"/>
      <c r="I53" s="26">
        <f>IF(E53=0,IF(E52=0,IF(I51&lt;I54,I51,I54),F52),F53)</f>
        <v>0</v>
      </c>
    </row>
    <row r="54" spans="1:9">
      <c r="A54" s="30" t="s">
        <v>86</v>
      </c>
      <c r="B54" s="32" t="s">
        <v>23</v>
      </c>
      <c r="C54" s="31" t="s">
        <v>845</v>
      </c>
      <c r="D54" s="32" t="str">
        <f t="shared" si="0"/>
        <v>PVC_Meerwasser_natürlich</v>
      </c>
      <c r="E54" s="91">
        <f>COUNTIF(Abbau!$AI$2:$AI$1024,D54)</f>
        <v>0</v>
      </c>
      <c r="F54" s="27">
        <f t="array" ref="F54">IFERROR(QUARTILE(IF(Abbau!$AI$2:$AI$1024=D54,Abbau!$AH$2:$AH$1024),2),0)</f>
        <v>0</v>
      </c>
      <c r="G54" s="119" t="str">
        <f t="array" ref="G54">IF(E54=0,"n.v.",_xlfn.STDEV.P(IF(Abbau!$AI$2:$AI$1024=D54,Abbau!$AH$2:$AH$1024),0))</f>
        <v>n.v.</v>
      </c>
      <c r="H54" s="31"/>
      <c r="I54" s="27">
        <f>IF(E54=0,F51,F54)</f>
        <v>0</v>
      </c>
    </row>
    <row r="55" spans="1:9">
      <c r="A55" s="54" t="s">
        <v>86</v>
      </c>
      <c r="B55" s="56" t="s">
        <v>1081</v>
      </c>
      <c r="C55" s="55" t="s">
        <v>845</v>
      </c>
      <c r="D55" s="56" t="str">
        <f t="shared" si="0"/>
        <v>PVC_Süßwasser_natürlich</v>
      </c>
      <c r="E55" s="93">
        <f>COUNTIF(Abbau!$AI$2:$AI$1024,D55)</f>
        <v>0</v>
      </c>
      <c r="F55" s="69">
        <f t="array" ref="F55">IFERROR(QUARTILE(IF(Abbau!$AI$2:$AI$1024=D55,Abbau!$AH$2:$AH$1024),2),0)</f>
        <v>0</v>
      </c>
      <c r="G55" s="121" t="str">
        <f t="array" ref="G55">IF(E55=0,"n.v.",_xlfn.STDEV.P(IF(Abbau!$AI$2:$AI$1024=D55,Abbau!$AH$2:$AH$1024),0))</f>
        <v>n.v.</v>
      </c>
      <c r="H55" s="31"/>
      <c r="I55" s="70" t="s">
        <v>596</v>
      </c>
    </row>
    <row r="56" spans="1:9">
      <c r="A56" s="50" t="s">
        <v>240</v>
      </c>
      <c r="B56" s="51" t="s">
        <v>358</v>
      </c>
      <c r="C56" s="51" t="s">
        <v>845</v>
      </c>
      <c r="D56" s="52" t="str">
        <f t="shared" si="0"/>
        <v>PS_Boden/Kompost_natürlich</v>
      </c>
      <c r="E56" s="92">
        <f>COUNTIF(Abbau!$AI$2:$AI$1024,D56)</f>
        <v>0</v>
      </c>
      <c r="F56" s="127">
        <f t="array" ref="F56">IFERROR(QUARTILE(IF(Abbau!$AI$2:$AI$1024=D56,Abbau!$AH$2:$AH$1024),2),0)</f>
        <v>0</v>
      </c>
      <c r="G56" s="122" t="str">
        <f t="array" ref="G56">IF(E56=0,"n.v.",_xlfn.STDEV.P(IF(Abbau!$AI$2:$AI$1024=D56,Abbau!$AH$2:$AH$1024),0))</f>
        <v>n.v.</v>
      </c>
      <c r="H56" s="31"/>
      <c r="I56" s="27">
        <f>IF(E56=0,F59,F56)</f>
        <v>0</v>
      </c>
    </row>
    <row r="57" spans="1:9">
      <c r="A57" s="30" t="s">
        <v>240</v>
      </c>
      <c r="B57" s="31" t="s">
        <v>1103</v>
      </c>
      <c r="C57" s="31" t="s">
        <v>845</v>
      </c>
      <c r="D57" s="32" t="str">
        <f t="shared" si="0"/>
        <v>PS_River sediment_natürlich</v>
      </c>
      <c r="E57" s="91">
        <f>COUNTIF(Abbau!$AI$2:$AI$1024,D57)</f>
        <v>0</v>
      </c>
      <c r="F57" s="27">
        <f t="array" ref="F57">IFERROR(QUARTILE(IF(Abbau!$AI$2:$AI$1024=D57,Abbau!$AH$2:$AH$1024),2),0)</f>
        <v>0</v>
      </c>
      <c r="G57" s="119" t="str">
        <f t="array" ref="G57">IF(E57=0,"n.v.",_xlfn.STDEV.P(IF(Abbau!$AI$2:$AI$1024=D57,Abbau!$AH$2:$AH$1024),0))</f>
        <v>n.v.</v>
      </c>
      <c r="H57" s="31"/>
      <c r="I57" s="26">
        <f>IF(E57=0,IF(E58=0,IF(I56&lt;I59,I56,I59),F58),F57)</f>
        <v>0</v>
      </c>
    </row>
    <row r="58" spans="1:9">
      <c r="A58" s="30" t="s">
        <v>240</v>
      </c>
      <c r="B58" s="31" t="s">
        <v>1104</v>
      </c>
      <c r="C58" s="31" t="s">
        <v>845</v>
      </c>
      <c r="D58" s="32" t="str">
        <f t="shared" ref="D58" si="10">CONCATENATE(A58,"_",B58,"_",C58)</f>
        <v>PS_Benthic_natürlich</v>
      </c>
      <c r="E58" s="91">
        <f>COUNTIF(Abbau!$AI$2:$AI$1024,D58)</f>
        <v>0</v>
      </c>
      <c r="F58" s="27">
        <f t="array" ref="F58">IFERROR(QUARTILE(IF(Abbau!$AI$2:$AI$1024=D58,Abbau!$AH$2:$AH$1024),2),0)</f>
        <v>0</v>
      </c>
      <c r="G58" s="119" t="str">
        <f t="array" ref="G58">IF(E58=0,"n.v.",_xlfn.STDEV.P(IF(Abbau!$AI$2:$AI$1024=D58,Abbau!$AH$2:$AH$1024),0))</f>
        <v>n.v.</v>
      </c>
      <c r="H58" s="31"/>
      <c r="I58" s="26">
        <f>IF(E58=0,IF(E57=0,IF(I56&lt;I59,I56,I59),F57),F58)</f>
        <v>0</v>
      </c>
    </row>
    <row r="59" spans="1:9">
      <c r="A59" s="30" t="s">
        <v>240</v>
      </c>
      <c r="B59" s="31" t="s">
        <v>23</v>
      </c>
      <c r="C59" s="31" t="s">
        <v>845</v>
      </c>
      <c r="D59" s="32" t="str">
        <f t="shared" si="0"/>
        <v>PS_Meerwasser_natürlich</v>
      </c>
      <c r="E59" s="91">
        <f>COUNTIF(Abbau!$AI$2:$AI$1024,D59)</f>
        <v>0</v>
      </c>
      <c r="F59" s="27">
        <f t="array" ref="F59">IFERROR(QUARTILE(IF(Abbau!$AI$2:$AI$1024=D59,Abbau!$AH$2:$AH$1024),2),0)</f>
        <v>0</v>
      </c>
      <c r="G59" s="119" t="str">
        <f t="array" ref="G59">IF(E59=0,"n.v.",_xlfn.STDEV.P(IF(Abbau!$AI$2:$AI$1024=D59,Abbau!$AH$2:$AH$1024),0))</f>
        <v>n.v.</v>
      </c>
      <c r="H59" s="31"/>
      <c r="I59" s="27">
        <f>IF(E59=0,F56,F59)</f>
        <v>0</v>
      </c>
    </row>
    <row r="60" spans="1:9" ht="15.75" thickBot="1">
      <c r="A60" s="33" t="s">
        <v>240</v>
      </c>
      <c r="B60" s="41" t="s">
        <v>1081</v>
      </c>
      <c r="C60" s="41" t="s">
        <v>845</v>
      </c>
      <c r="D60" s="42" t="str">
        <f t="shared" si="0"/>
        <v>PS_Süßwasser_natürlich</v>
      </c>
      <c r="E60" s="94">
        <f>COUNTIF(Abbau!$AI$2:$AI$1024,D60)</f>
        <v>0</v>
      </c>
      <c r="F60" s="128">
        <f t="array" ref="F60">IFERROR(QUARTILE(IF(Abbau!$AI$2:$AI$1024=D60,Abbau!$AH$2:$AH$1024),2),0)</f>
        <v>0</v>
      </c>
      <c r="G60" s="120" t="str">
        <f t="array" ref="G60">IF(E60=0,"n.v.",_xlfn.STDEV.P(IF(Abbau!$AI$2:$AI$1024=D60,Abbau!$AH$2:$AH$1024),0))</f>
        <v>n.v.</v>
      </c>
      <c r="H60" s="31"/>
      <c r="I60" s="70" t="s">
        <v>596</v>
      </c>
    </row>
    <row r="61" spans="1:9" ht="15.75" thickBot="1">
      <c r="A61" s="35"/>
      <c r="B61" s="31"/>
      <c r="C61" s="31"/>
      <c r="D61" s="31"/>
      <c r="E61" s="25"/>
      <c r="F61" s="27"/>
      <c r="G61" s="138"/>
      <c r="H61" s="31"/>
      <c r="I61" s="27"/>
    </row>
    <row r="62" spans="1:9" ht="16.5" thickBot="1">
      <c r="A62" s="66" t="s">
        <v>849</v>
      </c>
      <c r="B62" s="61"/>
      <c r="C62" s="61"/>
      <c r="D62" s="61"/>
      <c r="E62" s="62"/>
      <c r="F62" s="63"/>
      <c r="G62" s="123"/>
      <c r="H62" s="49"/>
      <c r="I62" s="63"/>
    </row>
    <row r="63" spans="1:9">
      <c r="A63" s="50" t="s">
        <v>18</v>
      </c>
      <c r="B63" s="52" t="s">
        <v>358</v>
      </c>
      <c r="C63" s="67" t="s">
        <v>845</v>
      </c>
      <c r="D63" s="52" t="str">
        <f t="shared" ref="D63:D147" si="11">CONCATENATE(A63,"_",B63,"_",C63)</f>
        <v>PHB_Boden/Kompost_natürlich</v>
      </c>
      <c r="E63" s="53">
        <f>COUNTIF(Abbau!$AI$2:$AI$1024,D63)</f>
        <v>2</v>
      </c>
      <c r="F63" s="126">
        <f t="array" ref="F63">IFERROR(QUARTILE(IF(Abbau!$AI$2:$AI$1024=D63,Abbau!$AH$2:$AH$1024),2),0)</f>
        <v>789.98664829447762</v>
      </c>
      <c r="G63" s="119">
        <f t="array" ref="G63">IF(E63=0,"n.v.",_xlfn.STDEV.P(IF(Abbau!$AI$2:$AI$1024=D63,Abbau!$AH$2:$AH$1024),0))</f>
        <v>618.26641361663224</v>
      </c>
      <c r="H63" s="143"/>
      <c r="I63" s="27">
        <f>IF(E63=0,F66,F63)</f>
        <v>789.98664829447762</v>
      </c>
    </row>
    <row r="64" spans="1:9">
      <c r="A64" s="30" t="s">
        <v>18</v>
      </c>
      <c r="B64" s="31" t="s">
        <v>1103</v>
      </c>
      <c r="C64" s="44" t="s">
        <v>845</v>
      </c>
      <c r="D64" s="32" t="str">
        <f t="shared" si="11"/>
        <v>PHB_River sediment_natürlich</v>
      </c>
      <c r="E64" s="25">
        <f>COUNTIF(Abbau!$AI$2:$AI$1024,D64)</f>
        <v>0</v>
      </c>
      <c r="F64" s="27">
        <f t="array" ref="F64">IFERROR(QUARTILE(IF(Abbau!$AI$2:$AI$1024=D64,Abbau!$AH$2:$AH$1024),2),0)</f>
        <v>0</v>
      </c>
      <c r="G64" s="119" t="str">
        <f t="array" ref="G64">IF(E64=0,"n.v.",_xlfn.STDEV.P(IF(Abbau!$AI$2:$AI$1024=D64,Abbau!$AH$2:$AH$1024),0))</f>
        <v>n.v.</v>
      </c>
      <c r="H64" s="143"/>
      <c r="I64" s="26">
        <f>IF(E64=0,IF(E65=0,IF(I63&lt;I66,I63,I66),F65),F64)</f>
        <v>175.98214285714289</v>
      </c>
    </row>
    <row r="65" spans="1:9">
      <c r="A65" s="30" t="s">
        <v>18</v>
      </c>
      <c r="B65" s="31" t="s">
        <v>1104</v>
      </c>
      <c r="C65" s="44" t="s">
        <v>845</v>
      </c>
      <c r="D65" s="32" t="str">
        <f t="shared" ref="D65" si="12">CONCATENATE(A65,"_",B65,"_",C65)</f>
        <v>PHB_Benthic_natürlich</v>
      </c>
      <c r="E65" s="25">
        <f>COUNTIF(Abbau!$AI$2:$AI$1024,D65)</f>
        <v>0</v>
      </c>
      <c r="F65" s="27">
        <f t="array" ref="F65">IFERROR(QUARTILE(IF(Abbau!$AI$2:$AI$1024=D65,Abbau!$AH$2:$AH$1024),2),0)</f>
        <v>0</v>
      </c>
      <c r="G65" s="119" t="str">
        <f t="array" ref="G65">IF(E65=0,"n.v.",_xlfn.STDEV.P(IF(Abbau!$AI$2:$AI$1024=D65,Abbau!$AH$2:$AH$1024),0))</f>
        <v>n.v.</v>
      </c>
      <c r="H65" s="143"/>
      <c r="I65" s="26">
        <f>IF(E65=0,IF(E64=0,IF(I63&lt;I66,I63,I66),F64),F65)</f>
        <v>175.98214285714289</v>
      </c>
    </row>
    <row r="66" spans="1:9">
      <c r="A66" s="30" t="s">
        <v>18</v>
      </c>
      <c r="B66" s="32" t="s">
        <v>23</v>
      </c>
      <c r="C66" s="44" t="s">
        <v>845</v>
      </c>
      <c r="D66" s="32" t="str">
        <f t="shared" si="11"/>
        <v>PHB_Meerwasser_natürlich</v>
      </c>
      <c r="E66" s="25">
        <f>COUNTIF(Abbau!$AI$2:$AI$1024,D66)</f>
        <v>9</v>
      </c>
      <c r="F66" s="27">
        <f t="array" ref="F66">IFERROR(QUARTILE(IF(Abbau!$AI$2:$AI$1024=D66,Abbau!$AH$2:$AH$1024),2),0)</f>
        <v>175.98214285714289</v>
      </c>
      <c r="G66" s="119">
        <f t="array" ref="G66">IF(E66=0,"n.v.",_xlfn.STDEV.P(IF(Abbau!$AI$2:$AI$1024=D66,Abbau!$AH$2:$AH$1024),0))</f>
        <v>595.53760408851952</v>
      </c>
      <c r="H66" s="143"/>
      <c r="I66" s="27">
        <f>IF(E66=0,F63,F66)</f>
        <v>175.98214285714289</v>
      </c>
    </row>
    <row r="67" spans="1:9">
      <c r="A67" s="54" t="s">
        <v>18</v>
      </c>
      <c r="B67" s="56" t="s">
        <v>1081</v>
      </c>
      <c r="C67" s="68" t="s">
        <v>845</v>
      </c>
      <c r="D67" s="56" t="str">
        <f t="shared" si="11"/>
        <v>PHB_Süßwasser_natürlich</v>
      </c>
      <c r="E67" s="57">
        <f>COUNTIF(Abbau!$AI$2:$AI$1024,D67)</f>
        <v>4</v>
      </c>
      <c r="F67" s="69">
        <f t="array" ref="F67">IFERROR(QUARTILE(IF(Abbau!$AI$2:$AI$1024=D67,Abbau!$AH$2:$AH$1024),2),0)</f>
        <v>547.5</v>
      </c>
      <c r="G67" s="119">
        <f t="array" ref="G67">IF(E67=0,"n.v.",_xlfn.STDEV.P(IF(Abbau!$AI$2:$AI$1024=D67,Abbau!$AH$2:$AH$1024),0))</f>
        <v>234.96852399929688</v>
      </c>
      <c r="H67" s="143"/>
      <c r="I67" s="70" t="s">
        <v>596</v>
      </c>
    </row>
    <row r="68" spans="1:9">
      <c r="A68" s="30" t="s">
        <v>19</v>
      </c>
      <c r="B68" s="52" t="s">
        <v>358</v>
      </c>
      <c r="C68" s="44" t="s">
        <v>845</v>
      </c>
      <c r="D68" s="32" t="str">
        <f t="shared" si="11"/>
        <v>PHBV_Boden/Kompost_natürlich</v>
      </c>
      <c r="E68" s="25">
        <f>COUNTIF(Abbau!$AI$2:$AI$1024,D68)</f>
        <v>4</v>
      </c>
      <c r="F68" s="27">
        <f t="array" ref="F68">IFERROR(QUARTILE(IF(Abbau!$AI$2:$AI$1024=D68,Abbau!$AH$2:$AH$1024),2),0)</f>
        <v>432.08646933463126</v>
      </c>
      <c r="G68" s="122">
        <f t="array" ref="G68">IF(E68=0,"n.v.",_xlfn.STDEV.P(IF(Abbau!$AI$2:$AI$1024=D68,Abbau!$AH$2:$AH$1024),0))</f>
        <v>601.03268540758518</v>
      </c>
      <c r="H68" s="143"/>
      <c r="I68" s="309">
        <f>IF(E68=0,F71,F68)</f>
        <v>432.08646933463126</v>
      </c>
    </row>
    <row r="69" spans="1:9">
      <c r="A69" s="30" t="s">
        <v>19</v>
      </c>
      <c r="B69" s="31" t="s">
        <v>1103</v>
      </c>
      <c r="C69" s="44" t="s">
        <v>845</v>
      </c>
      <c r="D69" s="32" t="str">
        <f t="shared" si="11"/>
        <v>PHBV_River sediment_natürlich</v>
      </c>
      <c r="E69" s="25">
        <f>COUNTIF(Abbau!$AI$2:$AI$1024,D69)</f>
        <v>0</v>
      </c>
      <c r="F69" s="27">
        <f t="array" ref="F69">IFERROR(QUARTILE(IF(Abbau!$AI$2:$AI$1024=D69,Abbau!$AH$2:$AH$1024),2),0)</f>
        <v>0</v>
      </c>
      <c r="G69" s="119" t="str">
        <f t="array" ref="G69">IF(E69=0,"n.v.",_xlfn.STDEV.P(IF(Abbau!$AI$2:$AI$1024=D69,Abbau!$AH$2:$AH$1024),0))</f>
        <v>n.v.</v>
      </c>
      <c r="H69" s="143"/>
      <c r="I69" s="310">
        <f>IF(E69=0,IF(E70=0,IF(I68&lt;I71,I68,I71),F70),F69)</f>
        <v>416.76682692307691</v>
      </c>
    </row>
    <row r="70" spans="1:9">
      <c r="A70" s="30" t="s">
        <v>19</v>
      </c>
      <c r="B70" s="31" t="s">
        <v>1104</v>
      </c>
      <c r="C70" s="44" t="s">
        <v>845</v>
      </c>
      <c r="D70" s="32" t="str">
        <f t="shared" ref="D70" si="13">CONCATENATE(A70,"_",B70,"_",C70)</f>
        <v>PHBV_Benthic_natürlich</v>
      </c>
      <c r="E70" s="25">
        <f>COUNTIF(Abbau!$AI$2:$AI$1024,D70)</f>
        <v>0</v>
      </c>
      <c r="F70" s="27">
        <f t="array" ref="F70">IFERROR(QUARTILE(IF(Abbau!$AI$2:$AI$1024=D70,Abbau!$AH$2:$AH$1024),2),0)</f>
        <v>0</v>
      </c>
      <c r="G70" s="119" t="str">
        <f t="array" ref="G70">IF(E70=0,"n.v.",_xlfn.STDEV.P(IF(Abbau!$AI$2:$AI$1024=D70,Abbau!$AH$2:$AH$1024),0))</f>
        <v>n.v.</v>
      </c>
      <c r="H70" s="143"/>
      <c r="I70" s="310">
        <f>IF(E70=0,IF(E69=0,IF(I68&lt;I71,I68,I71),F69),F70)</f>
        <v>416.76682692307691</v>
      </c>
    </row>
    <row r="71" spans="1:9">
      <c r="A71" s="30" t="s">
        <v>19</v>
      </c>
      <c r="B71" s="32" t="s">
        <v>23</v>
      </c>
      <c r="C71" s="44" t="s">
        <v>845</v>
      </c>
      <c r="D71" s="32" t="str">
        <f t="shared" si="11"/>
        <v>PHBV_Meerwasser_natürlich</v>
      </c>
      <c r="E71" s="25">
        <f>COUNTIF(Abbau!$AI$2:$AI$1024,D71)</f>
        <v>2</v>
      </c>
      <c r="F71" s="27">
        <f t="array" ref="F71">IFERROR(QUARTILE(IF(Abbau!$AI$2:$AI$1024=D71,Abbau!$AH$2:$AH$1024),2),0)</f>
        <v>416.76682692307691</v>
      </c>
      <c r="G71" s="119">
        <f t="array" ref="G71">IF(E71=0,"n.v.",_xlfn.STDEV.P(IF(Abbau!$AI$2:$AI$1024=D71,Abbau!$AH$2:$AH$1024),0))</f>
        <v>279.44919326035682</v>
      </c>
      <c r="H71" s="143"/>
      <c r="I71" s="309">
        <f>IF(E71=0,F68,F71)</f>
        <v>416.76682692307691</v>
      </c>
    </row>
    <row r="72" spans="1:9">
      <c r="A72" s="30" t="s">
        <v>19</v>
      </c>
      <c r="B72" s="56" t="s">
        <v>1081</v>
      </c>
      <c r="C72" s="44" t="s">
        <v>845</v>
      </c>
      <c r="D72" s="32" t="str">
        <f t="shared" si="11"/>
        <v>PHBV_Süßwasser_natürlich</v>
      </c>
      <c r="E72" s="25">
        <f>COUNTIF(Abbau!$AI$2:$AI$1024,D72)</f>
        <v>0</v>
      </c>
      <c r="F72" s="27">
        <f t="array" ref="F72">IFERROR(QUARTILE(IF(Abbau!$AI$2:$AI$1024=D72,Abbau!$AH$2:$AH$1024),2),0)</f>
        <v>0</v>
      </c>
      <c r="G72" s="119" t="str">
        <f t="array" ref="G72">IF(E72=0,"n.v.",_xlfn.STDEV.P(IF(Abbau!$AI$2:$AI$1024=D72,Abbau!$AH$2:$AH$1024),0))</f>
        <v>n.v.</v>
      </c>
      <c r="H72" s="143"/>
      <c r="I72" s="70" t="s">
        <v>596</v>
      </c>
    </row>
    <row r="73" spans="1:9">
      <c r="A73" s="50" t="s">
        <v>42</v>
      </c>
      <c r="B73" s="52" t="s">
        <v>358</v>
      </c>
      <c r="C73" s="67" t="s">
        <v>845</v>
      </c>
      <c r="D73" s="52" t="str">
        <f t="shared" si="11"/>
        <v>PBS_Boden/Kompost_natürlich</v>
      </c>
      <c r="E73" s="53">
        <f>COUNTIF(Abbau!$AI$2:$AI$1024,D73)</f>
        <v>4</v>
      </c>
      <c r="F73" s="127">
        <f t="array" ref="F73">IFERROR(QUARTILE(IF(Abbau!$AI$2:$AI$1024=D73,Abbau!$AH$2:$AH$1024),2),0)</f>
        <v>68.285919898456569</v>
      </c>
      <c r="G73" s="122">
        <f t="array" ref="G73">IF(E73=0,"n.v.",_xlfn.STDEV.P(IF(Abbau!$AI$2:$AI$1024=D73,Abbau!$AH$2:$AH$1024),0))</f>
        <v>47.209249097796075</v>
      </c>
      <c r="H73" s="143"/>
      <c r="I73" s="27">
        <f>IF(E73=0,F76,F73)</f>
        <v>68.285919898456569</v>
      </c>
    </row>
    <row r="74" spans="1:9">
      <c r="A74" s="30" t="s">
        <v>42</v>
      </c>
      <c r="B74" s="31" t="s">
        <v>1103</v>
      </c>
      <c r="C74" s="44" t="s">
        <v>845</v>
      </c>
      <c r="D74" s="32" t="str">
        <f t="shared" si="11"/>
        <v>PBS_River sediment_natürlich</v>
      </c>
      <c r="E74" s="25">
        <f>COUNTIF(Abbau!$AI$2:$AI$1024,D74)</f>
        <v>0</v>
      </c>
      <c r="F74" s="27">
        <f t="array" ref="F74">IFERROR(QUARTILE(IF(Abbau!$AI$2:$AI$1024=D74,Abbau!$AH$2:$AH$1024),2),0)</f>
        <v>0</v>
      </c>
      <c r="G74" s="119" t="str">
        <f t="array" ref="G74">IF(E74=0,"n.v.",_xlfn.STDEV.P(IF(Abbau!$AI$2:$AI$1024=D74,Abbau!$AH$2:$AH$1024),0))</f>
        <v>n.v.</v>
      </c>
      <c r="H74" s="143"/>
      <c r="I74" s="26">
        <f>IF(E74=0,IF(E75=0,IF(I73&lt;I76,I73,I76),F75),F74)</f>
        <v>13.035714285714299</v>
      </c>
    </row>
    <row r="75" spans="1:9">
      <c r="A75" s="30" t="s">
        <v>42</v>
      </c>
      <c r="B75" s="31" t="s">
        <v>1104</v>
      </c>
      <c r="C75" s="44" t="s">
        <v>845</v>
      </c>
      <c r="D75" s="32" t="str">
        <f t="shared" ref="D75" si="14">CONCATENATE(A75,"_",B75,"_",C75)</f>
        <v>PBS_Benthic_natürlich</v>
      </c>
      <c r="E75" s="25">
        <f>COUNTIF(Abbau!$AI$2:$AI$1024,D75)</f>
        <v>0</v>
      </c>
      <c r="F75" s="27">
        <f t="array" ref="F75">IFERROR(QUARTILE(IF(Abbau!$AI$2:$AI$1024=D75,Abbau!$AH$2:$AH$1024),2),0)</f>
        <v>0</v>
      </c>
      <c r="G75" s="119" t="str">
        <f t="array" ref="G75">IF(E75=0,"n.v.",_xlfn.STDEV.P(IF(Abbau!$AI$2:$AI$1024=D75,Abbau!$AH$2:$AH$1024),0))</f>
        <v>n.v.</v>
      </c>
      <c r="H75" s="143"/>
      <c r="I75" s="26">
        <f>IF(E75=0,IF(E74=0,IF(I73&lt;I76,I73,I76),F74),F75)</f>
        <v>13.035714285714299</v>
      </c>
    </row>
    <row r="76" spans="1:9">
      <c r="A76" s="30" t="s">
        <v>42</v>
      </c>
      <c r="B76" s="32" t="s">
        <v>23</v>
      </c>
      <c r="C76" s="44" t="s">
        <v>845</v>
      </c>
      <c r="D76" s="32" t="str">
        <f t="shared" si="11"/>
        <v>PBS_Meerwasser_natürlich</v>
      </c>
      <c r="E76" s="25">
        <f>COUNTIF(Abbau!$AI$2:$AI$1024,D76)</f>
        <v>6</v>
      </c>
      <c r="F76" s="27">
        <f t="array" ref="F76">IFERROR(QUARTILE(IF(Abbau!$AI$2:$AI$1024=D76,Abbau!$AH$2:$AH$1024),2),0)</f>
        <v>13.035714285714299</v>
      </c>
      <c r="G76" s="119">
        <f t="array" ref="G76">IF(E76=0,"n.v.",_xlfn.STDEV.P(IF(Abbau!$AI$2:$AI$1024=D76,Abbau!$AH$2:$AH$1024),0))</f>
        <v>5.9056107781783833</v>
      </c>
      <c r="H76" s="143"/>
      <c r="I76" s="27">
        <f>IF(E76=0,F73,F76)</f>
        <v>13.035714285714299</v>
      </c>
    </row>
    <row r="77" spans="1:9">
      <c r="A77" s="54" t="s">
        <v>42</v>
      </c>
      <c r="B77" s="56" t="s">
        <v>1081</v>
      </c>
      <c r="C77" s="68" t="s">
        <v>845</v>
      </c>
      <c r="D77" s="56" t="str">
        <f t="shared" si="11"/>
        <v>PBS_Süßwasser_natürlich</v>
      </c>
      <c r="E77" s="57">
        <f>COUNTIF(Abbau!$AI$2:$AI$1024,D77)</f>
        <v>5</v>
      </c>
      <c r="F77" s="69">
        <f t="array" ref="F77">IFERROR(QUARTILE(IF(Abbau!$AI$2:$AI$1024=D77,Abbau!$AH$2:$AH$1024),2),0)</f>
        <v>78.214285714285722</v>
      </c>
      <c r="G77" s="121">
        <f t="array" ref="G77">IF(E77=0,"n.v.",_xlfn.STDEV.P(IF(Abbau!$AI$2:$AI$1024=D77,Abbau!$AH$2:$AH$1024),0))</f>
        <v>52.050988362722642</v>
      </c>
      <c r="H77" s="143"/>
      <c r="I77" s="70" t="s">
        <v>596</v>
      </c>
    </row>
    <row r="78" spans="1:9">
      <c r="A78" s="30" t="s">
        <v>1078</v>
      </c>
      <c r="B78" s="52" t="s">
        <v>358</v>
      </c>
      <c r="C78" s="44" t="s">
        <v>845</v>
      </c>
      <c r="D78" s="32" t="str">
        <f t="shared" si="11"/>
        <v>PBSe_Boden/Kompost_natürlich</v>
      </c>
      <c r="E78" s="25">
        <f>COUNTIF(Abbau!$AI$2:$AI$1024,D78)</f>
        <v>3</v>
      </c>
      <c r="F78" s="127">
        <f t="array" ref="F78">IFERROR(QUARTILE(IF(Abbau!$AI$2:$AI$1024=D78,Abbau!$AH$2:$AH$1024),2),0)</f>
        <v>22.410508338036781</v>
      </c>
      <c r="G78" s="122">
        <f t="array" ref="G78">IF(E78=0,"n.v.",_xlfn.STDEV.P(IF(Abbau!$AI$2:$AI$1024=D78,Abbau!$AH$2:$AH$1024),0))</f>
        <v>12.493159138399784</v>
      </c>
      <c r="H78" s="143"/>
      <c r="I78" s="27">
        <f>IF(E78=0,F81,F78)</f>
        <v>22.410508338036781</v>
      </c>
    </row>
    <row r="79" spans="1:9">
      <c r="A79" s="30" t="s">
        <v>1078</v>
      </c>
      <c r="B79" s="31" t="s">
        <v>1103</v>
      </c>
      <c r="C79" s="44" t="s">
        <v>845</v>
      </c>
      <c r="D79" s="32" t="str">
        <f t="shared" si="11"/>
        <v>PBSe_River sediment_natürlich</v>
      </c>
      <c r="E79" s="25">
        <f>COUNTIF(Abbau!$AI$2:$AI$1024,D79)</f>
        <v>0</v>
      </c>
      <c r="F79" s="27">
        <f t="array" ref="F79">IFERROR(QUARTILE(IF(Abbau!$AI$2:$AI$1024=D79,Abbau!$AH$2:$AH$1024),2),0)</f>
        <v>0</v>
      </c>
      <c r="G79" s="119" t="str">
        <f t="array" ref="G79">IF(E79=0,"n.v.",_xlfn.STDEV.P(IF(Abbau!$AI$2:$AI$1024=D79,Abbau!$AH$2:$AH$1024),0))</f>
        <v>n.v.</v>
      </c>
      <c r="H79" s="143"/>
      <c r="I79" s="26">
        <f>IF(E79=0,IF(E80=0,IF(I78&lt;I81,I78,I81),F80),F79)</f>
        <v>11.292187500000001</v>
      </c>
    </row>
    <row r="80" spans="1:9">
      <c r="A80" s="30" t="s">
        <v>1078</v>
      </c>
      <c r="B80" s="31" t="s">
        <v>1104</v>
      </c>
      <c r="C80" s="44" t="s">
        <v>845</v>
      </c>
      <c r="D80" s="32" t="str">
        <f t="shared" ref="D80" si="15">CONCATENATE(A80,"_",B80,"_",C80)</f>
        <v>PBSe_Benthic_natürlich</v>
      </c>
      <c r="E80" s="25">
        <f>COUNTIF(Abbau!$AI$2:$AI$1024,D80)</f>
        <v>9</v>
      </c>
      <c r="F80" s="27">
        <f t="array" ref="F80">IFERROR(QUARTILE(IF(Abbau!$AI$2:$AI$1024=D80,Abbau!$AH$2:$AH$1024),2),0)</f>
        <v>11.292187500000001</v>
      </c>
      <c r="G80" s="119">
        <f t="array" ref="G80">IF(E80=0,"n.v.",_xlfn.STDEV.P(IF(Abbau!$AI$2:$AI$1024=D80,Abbau!$AH$2:$AH$1024),0))</f>
        <v>6.7613863647768051</v>
      </c>
      <c r="H80" s="143"/>
      <c r="I80" s="26">
        <f>IF(E80=0,IF(E79=0,IF(I78&lt;I81,I78,I81),F79),F80)</f>
        <v>11.292187500000001</v>
      </c>
    </row>
    <row r="81" spans="1:9">
      <c r="A81" s="30" t="s">
        <v>1078</v>
      </c>
      <c r="B81" s="32" t="s">
        <v>23</v>
      </c>
      <c r="C81" s="44" t="s">
        <v>845</v>
      </c>
      <c r="D81" s="32" t="str">
        <f t="shared" si="11"/>
        <v>PBSe_Meerwasser_natürlich</v>
      </c>
      <c r="E81" s="25">
        <f>COUNTIF(Abbau!$AI$2:$AI$1024,D81)</f>
        <v>3</v>
      </c>
      <c r="F81" s="27">
        <f t="array" ref="F81">IFERROR(QUARTILE(IF(Abbau!$AI$2:$AI$1024=D81,Abbau!$AH$2:$AH$1024),2),0)</f>
        <v>4.4642857142857144</v>
      </c>
      <c r="G81" s="119">
        <f t="array" ref="G81">IF(E81=0,"n.v.",_xlfn.STDEV.P(IF(Abbau!$AI$2:$AI$1024=D81,Abbau!$AH$2:$AH$1024),0))</f>
        <v>7.8939315359560238</v>
      </c>
      <c r="H81" s="143"/>
      <c r="I81" s="27">
        <f>IF(E81=0,F78,F81)</f>
        <v>4.4642857142857144</v>
      </c>
    </row>
    <row r="82" spans="1:9">
      <c r="A82" s="30" t="s">
        <v>1078</v>
      </c>
      <c r="B82" s="56" t="s">
        <v>1081</v>
      </c>
      <c r="C82" s="68" t="s">
        <v>845</v>
      </c>
      <c r="D82" s="56" t="str">
        <f t="shared" si="11"/>
        <v>PBSe_Süßwasser_natürlich</v>
      </c>
      <c r="E82" s="57">
        <f>COUNTIF(Abbau!$AI$2:$AI$1024,D82)</f>
        <v>0</v>
      </c>
      <c r="F82" s="228">
        <f t="array" ref="F82">IFERROR(QUARTILE(IF(Abbau!$AI$2:$AI$1024=D82,Abbau!$AH$2:$AH$1024),2),0)</f>
        <v>0</v>
      </c>
      <c r="G82" s="121" t="str">
        <f t="array" ref="G82">IF(E82=0,"n.v.",_xlfn.STDEV.P(IF(Abbau!$AI$2:$AI$1024=D82,Abbau!$AH$2:$AH$1024),0))</f>
        <v>n.v.</v>
      </c>
      <c r="H82" s="143"/>
      <c r="I82" s="70" t="s">
        <v>596</v>
      </c>
    </row>
    <row r="83" spans="1:9">
      <c r="A83" s="30" t="s">
        <v>1077</v>
      </c>
      <c r="B83" s="32" t="s">
        <v>358</v>
      </c>
      <c r="C83" s="44" t="s">
        <v>845</v>
      </c>
      <c r="D83" s="32" t="str">
        <f t="shared" si="11"/>
        <v>PBSeT_Boden/Kompost_natürlich</v>
      </c>
      <c r="E83" s="25">
        <f>COUNTIF(Abbau!$AI$2:$AI$1024,D83)</f>
        <v>2</v>
      </c>
      <c r="F83" s="27">
        <f t="array" ref="F83">IFERROR(QUARTILE(IF(Abbau!$AI$2:$AI$1024=D83,Abbau!$AH$2:$AH$1024),2),0)</f>
        <v>16.899717261904762</v>
      </c>
      <c r="G83" s="122">
        <f t="array" ref="G83">IF(E83=0,"n.v.",_xlfn.STDEV.P(IF(Abbau!$AI$2:$AI$1024=D83,Abbau!$AH$2:$AH$1024),0))</f>
        <v>8.2783051160970587</v>
      </c>
      <c r="H83" s="143"/>
      <c r="I83" s="27">
        <f>IF(E83=0,F86,F83)</f>
        <v>16.899717261904762</v>
      </c>
    </row>
    <row r="84" spans="1:9">
      <c r="A84" s="30" t="s">
        <v>1077</v>
      </c>
      <c r="B84" s="31" t="s">
        <v>1103</v>
      </c>
      <c r="C84" s="44" t="s">
        <v>845</v>
      </c>
      <c r="D84" s="32" t="str">
        <f t="shared" si="11"/>
        <v>PBSeT_River sediment_natürlich</v>
      </c>
      <c r="E84" s="25">
        <f>COUNTIF(Abbau!$AI$2:$AI$1024,D84)</f>
        <v>0</v>
      </c>
      <c r="F84" s="27">
        <f t="array" ref="F84">IFERROR(QUARTILE(IF(Abbau!$AI$2:$AI$1024=D84,Abbau!$AH$2:$AH$1024),2),0)</f>
        <v>0</v>
      </c>
      <c r="G84" s="119" t="str">
        <f t="array" ref="G84">IF(E84=0,"n.v.",_xlfn.STDEV.P(IF(Abbau!$AI$2:$AI$1024=D84,Abbau!$AH$2:$AH$1024),0))</f>
        <v>n.v.</v>
      </c>
      <c r="H84" s="143"/>
      <c r="I84" s="26">
        <f>IF(E84=0,IF(E85=0,IF(I83&lt;I86,I83,I86),F85),F84)</f>
        <v>9.6029761904761894</v>
      </c>
    </row>
    <row r="85" spans="1:9">
      <c r="A85" s="30" t="s">
        <v>1077</v>
      </c>
      <c r="B85" s="31" t="s">
        <v>1104</v>
      </c>
      <c r="C85" s="44" t="s">
        <v>845</v>
      </c>
      <c r="D85" s="32" t="str">
        <f t="shared" ref="D85" si="16">CONCATENATE(A85,"_",B85,"_",C85)</f>
        <v>PBSeT_Benthic_natürlich</v>
      </c>
      <c r="E85" s="25">
        <f>COUNTIF(Abbau!$AI$2:$AI$1024,D85)</f>
        <v>9</v>
      </c>
      <c r="F85" s="27">
        <f t="array" ref="F85">IFERROR(QUARTILE(IF(Abbau!$AI$2:$AI$1024=D85,Abbau!$AH$2:$AH$1024),2),0)</f>
        <v>9.6029761904761894</v>
      </c>
      <c r="G85" s="119">
        <f t="array" ref="G85">IF(E85=0,"n.v.",_xlfn.STDEV.P(IF(Abbau!$AI$2:$AI$1024=D85,Abbau!$AH$2:$AH$1024),0))</f>
        <v>4.9248292328779772</v>
      </c>
      <c r="H85" s="143"/>
      <c r="I85" s="26">
        <f>IF(E85=0,IF(E84=0,IF(I83&lt;I86,I83,I86),F84),F85)</f>
        <v>9.6029761904761894</v>
      </c>
    </row>
    <row r="86" spans="1:9">
      <c r="A86" s="30" t="s">
        <v>1077</v>
      </c>
      <c r="B86" s="32" t="s">
        <v>23</v>
      </c>
      <c r="C86" s="44" t="s">
        <v>845</v>
      </c>
      <c r="D86" s="32" t="str">
        <f t="shared" si="11"/>
        <v>PBSeT_Meerwasser_natürlich</v>
      </c>
      <c r="E86" s="25">
        <f>COUNTIF(Abbau!$AI$2:$AI$1024,D86)</f>
        <v>3</v>
      </c>
      <c r="F86" s="27">
        <f t="array" ref="F86">IFERROR(QUARTILE(IF(Abbau!$AI$2:$AI$1024=D86,Abbau!$AH$2:$AH$1024),2),0)</f>
        <v>3.0295484727755642</v>
      </c>
      <c r="G86" s="119">
        <f t="array" ref="G86">IF(E86=0,"n.v.",_xlfn.STDEV.P(IF(Abbau!$AI$2:$AI$1024=D86,Abbau!$AH$2:$AH$1024),0))</f>
        <v>2.9373492854873215</v>
      </c>
      <c r="H86" s="143"/>
      <c r="I86" s="27">
        <f>IF(E86=0,F83,F86)</f>
        <v>3.0295484727755642</v>
      </c>
    </row>
    <row r="87" spans="1:9">
      <c r="A87" s="30" t="s">
        <v>1077</v>
      </c>
      <c r="B87" s="56" t="s">
        <v>1081</v>
      </c>
      <c r="C87" s="68" t="s">
        <v>845</v>
      </c>
      <c r="D87" s="32" t="str">
        <f t="shared" si="11"/>
        <v>PBSeT_Süßwasser_natürlich</v>
      </c>
      <c r="E87" s="57">
        <f>COUNTIF(Abbau!$AI$2:$AI$1024,D87)</f>
        <v>0</v>
      </c>
      <c r="F87" s="228">
        <f t="array" ref="F87">IFERROR(QUARTILE(IF(Abbau!$AI$2:$AI$1024=D87,Abbau!$AH$2:$AH$1024),2),0)</f>
        <v>0</v>
      </c>
      <c r="G87" s="121" t="str">
        <f t="array" ref="G87">IF(E87=0,"n.v.",_xlfn.STDEV.P(IF(Abbau!$AI$2:$AI$1024=D87,Abbau!$AH$2:$AH$1024),0))</f>
        <v>n.v.</v>
      </c>
      <c r="H87" s="143"/>
      <c r="I87" s="70" t="s">
        <v>596</v>
      </c>
    </row>
    <row r="88" spans="1:9">
      <c r="A88" s="30" t="s">
        <v>20</v>
      </c>
      <c r="B88" s="52" t="s">
        <v>358</v>
      </c>
      <c r="C88" s="44" t="s">
        <v>845</v>
      </c>
      <c r="D88" s="32" t="str">
        <f t="shared" si="11"/>
        <v>PHA_Boden/Kompost_natürlich</v>
      </c>
      <c r="E88" s="25">
        <f>COUNTIF(Abbau!$AI$2:$AI$1024,D88)</f>
        <v>2</v>
      </c>
      <c r="F88" s="27">
        <f t="array" ref="F88">IFERROR(QUARTILE(IF(Abbau!$AI$2:$AI$1024=D88,Abbau!$AH$2:$AH$1024),2),0)</f>
        <v>1238.3928571428573</v>
      </c>
      <c r="G88" s="122">
        <f t="array" ref="G88">IF(E88=0,"n.v.",_xlfn.STDEV.P(IF(Abbau!$AI$2:$AI$1024=D88,Abbau!$AH$2:$AH$1024),0))</f>
        <v>641.566716307761</v>
      </c>
      <c r="H88" s="143"/>
      <c r="I88" s="309">
        <f>IF(E88=0,F91,F88)</f>
        <v>1238.3928571428573</v>
      </c>
    </row>
    <row r="89" spans="1:9">
      <c r="A89" s="30" t="s">
        <v>20</v>
      </c>
      <c r="B89" s="31" t="s">
        <v>1103</v>
      </c>
      <c r="C89" s="44" t="s">
        <v>845</v>
      </c>
      <c r="D89" s="32" t="str">
        <f t="shared" si="11"/>
        <v>PHA_River sediment_natürlich</v>
      </c>
      <c r="E89" s="25">
        <f>COUNTIF(Abbau!$AI$2:$AI$1024,D89)</f>
        <v>0</v>
      </c>
      <c r="F89" s="27">
        <f t="array" ref="F89">IFERROR(QUARTILE(IF(Abbau!$AI$2:$AI$1024=D89,Abbau!$AH$2:$AH$1024),2),0)</f>
        <v>0</v>
      </c>
      <c r="G89" s="119" t="str">
        <f t="array" ref="G89">IF(E89=0,"n.v.",_xlfn.STDEV.P(IF(Abbau!$AI$2:$AI$1024=D89,Abbau!$AH$2:$AH$1024),0))</f>
        <v>n.v.</v>
      </c>
      <c r="H89" s="143"/>
      <c r="I89" s="310">
        <f>IF(E89=0,IF(E90=0,IF(I88&lt;I91,I88,I91),F90),F89)</f>
        <v>80.351389947493232</v>
      </c>
    </row>
    <row r="90" spans="1:9">
      <c r="A90" s="30" t="s">
        <v>20</v>
      </c>
      <c r="B90" s="31" t="s">
        <v>1104</v>
      </c>
      <c r="C90" s="44" t="s">
        <v>845</v>
      </c>
      <c r="D90" s="32" t="str">
        <f t="shared" ref="D90" si="17">CONCATENATE(A90,"_",B90,"_",C90)</f>
        <v>PHA_Benthic_natürlich</v>
      </c>
      <c r="E90" s="25">
        <f>COUNTIF(Abbau!$AI$2:$AI$1024,D90)</f>
        <v>4</v>
      </c>
      <c r="F90" s="27">
        <f t="array" ref="F90">IFERROR(QUARTILE(IF(Abbau!$AI$2:$AI$1024=D90,Abbau!$AH$2:$AH$1024),2),0)</f>
        <v>80.351389947493232</v>
      </c>
      <c r="G90" s="119">
        <f t="array" ref="G90">IF(E90=0,"n.v.",_xlfn.STDEV.P(IF(Abbau!$AI$2:$AI$1024=D90,Abbau!$AH$2:$AH$1024),0))</f>
        <v>75.256947529576436</v>
      </c>
      <c r="H90" s="143"/>
      <c r="I90" s="310">
        <f>IF(E90=0,IF(E89=0,IF(I88&lt;I91,I88,I91),F89),F90)</f>
        <v>80.351389947493232</v>
      </c>
    </row>
    <row r="91" spans="1:9">
      <c r="A91" s="30" t="s">
        <v>20</v>
      </c>
      <c r="B91" s="32" t="s">
        <v>23</v>
      </c>
      <c r="C91" s="44" t="s">
        <v>845</v>
      </c>
      <c r="D91" s="32" t="str">
        <f t="shared" si="11"/>
        <v>PHA_Meerwasser_natürlich</v>
      </c>
      <c r="E91" s="25">
        <f>COUNTIF(Abbau!$AI$2:$AI$1024,D91)</f>
        <v>5</v>
      </c>
      <c r="F91" s="27">
        <f t="array" ref="F91">IFERROR(QUARTILE(IF(Abbau!$AI$2:$AI$1024=D91,Abbau!$AH$2:$AH$1024),2),0)</f>
        <v>21.270396270396269</v>
      </c>
      <c r="G91" s="119">
        <f t="array" ref="G91">IF(E91=0,"n.v.",_xlfn.STDEV.P(IF(Abbau!$AI$2:$AI$1024=D91,Abbau!$AH$2:$AH$1024),0))</f>
        <v>671.23097379958551</v>
      </c>
      <c r="H91" s="143"/>
      <c r="I91" s="309">
        <f>IF(E91=0,F88,F91)</f>
        <v>21.270396270396269</v>
      </c>
    </row>
    <row r="92" spans="1:9">
      <c r="A92" s="30" t="s">
        <v>20</v>
      </c>
      <c r="B92" s="56" t="s">
        <v>1081</v>
      </c>
      <c r="C92" s="44" t="s">
        <v>845</v>
      </c>
      <c r="D92" s="32" t="str">
        <f t="shared" si="11"/>
        <v>PHA_Süßwasser_natürlich</v>
      </c>
      <c r="E92" s="25">
        <f>COUNTIF(Abbau!$AI$2:$AI$1024,D92)</f>
        <v>0</v>
      </c>
      <c r="F92" s="27">
        <f t="array" ref="F92">IFERROR(QUARTILE(IF(Abbau!$AI$2:$AI$1024=D92,Abbau!$AH$2:$AH$1024),2),0)</f>
        <v>0</v>
      </c>
      <c r="G92" s="121" t="str">
        <f t="array" ref="G92">IF(E92=0,"n.v.",_xlfn.STDEV.P(IF(Abbau!$AI$2:$AI$1024=D92,Abbau!$AH$2:$AH$1024),0))</f>
        <v>n.v.</v>
      </c>
      <c r="H92" s="143"/>
      <c r="I92" s="70" t="s">
        <v>596</v>
      </c>
    </row>
    <row r="93" spans="1:9">
      <c r="A93" s="50" t="s">
        <v>647</v>
      </c>
      <c r="B93" s="52" t="s">
        <v>358</v>
      </c>
      <c r="C93" s="67" t="s">
        <v>845</v>
      </c>
      <c r="D93" s="52" t="str">
        <f t="shared" si="11"/>
        <v>PEA_Boden/Kompost_natürlich</v>
      </c>
      <c r="E93" s="53">
        <f>COUNTIF(Abbau!$AI$2:$AI$1024,D93)</f>
        <v>0</v>
      </c>
      <c r="F93" s="127">
        <f t="array" ref="F93">IFERROR(QUARTILE(IF(Abbau!$AI$2:$AI$1024=D93,Abbau!$AH$2:$AH$1024),2),0)</f>
        <v>0</v>
      </c>
      <c r="G93" s="119" t="str">
        <f t="array" ref="G93">IF(E93=0,"n.v.",_xlfn.STDEV.P(IF(Abbau!$AI$2:$AI$1024=D93,Abbau!$AH$2:$AH$1024),0))</f>
        <v>n.v.</v>
      </c>
      <c r="H93" s="143"/>
      <c r="I93" s="27">
        <f>IF(E93=0,F96,F93)</f>
        <v>397.58928571428572</v>
      </c>
    </row>
    <row r="94" spans="1:9">
      <c r="A94" s="30" t="s">
        <v>647</v>
      </c>
      <c r="B94" s="31" t="s">
        <v>1103</v>
      </c>
      <c r="C94" s="44" t="s">
        <v>845</v>
      </c>
      <c r="D94" s="32" t="str">
        <f t="shared" si="11"/>
        <v>PEA_River sediment_natürlich</v>
      </c>
      <c r="E94" s="25">
        <f>COUNTIF(Abbau!$AI$2:$AI$1024,D94)</f>
        <v>0</v>
      </c>
      <c r="F94" s="27">
        <f t="array" ref="F94">IFERROR(QUARTILE(IF(Abbau!$AI$2:$AI$1024=D94,Abbau!$AH$2:$AH$1024),2),0)</f>
        <v>0</v>
      </c>
      <c r="G94" s="119" t="str">
        <f t="array" ref="G94">IF(E94=0,"n.v.",_xlfn.STDEV.P(IF(Abbau!$AI$2:$AI$1024=D94,Abbau!$AH$2:$AH$1024),0))</f>
        <v>n.v.</v>
      </c>
      <c r="H94" s="143"/>
      <c r="I94" s="26">
        <f>IF(E94=0,IF(E95=0,IF(I93&lt;I96,I93,I96),F95),F94)</f>
        <v>397.58928571428572</v>
      </c>
    </row>
    <row r="95" spans="1:9">
      <c r="A95" s="30" t="s">
        <v>647</v>
      </c>
      <c r="B95" s="31" t="s">
        <v>1104</v>
      </c>
      <c r="C95" s="44" t="s">
        <v>845</v>
      </c>
      <c r="D95" s="32" t="str">
        <f t="shared" ref="D95" si="18">CONCATENATE(A95,"_",B95,"_",C95)</f>
        <v>PEA_Benthic_natürlich</v>
      </c>
      <c r="E95" s="25">
        <f>COUNTIF(Abbau!$AI$2:$AI$1024,D95)</f>
        <v>0</v>
      </c>
      <c r="F95" s="27">
        <f t="array" ref="F95">IFERROR(QUARTILE(IF(Abbau!$AI$2:$AI$1024=D95,Abbau!$AH$2:$AH$1024),2),0)</f>
        <v>0</v>
      </c>
      <c r="G95" s="119" t="str">
        <f t="array" ref="G95">IF(E95=0,"n.v.",_xlfn.STDEV.P(IF(Abbau!$AI$2:$AI$1024=D95,Abbau!$AH$2:$AH$1024),0))</f>
        <v>n.v.</v>
      </c>
      <c r="H95" s="143"/>
      <c r="I95" s="26">
        <f>IF(E95=0,IF(E94=0,IF(I93&lt;I96,I93,I96),F94),F95)</f>
        <v>397.58928571428572</v>
      </c>
    </row>
    <row r="96" spans="1:9">
      <c r="A96" s="30" t="s">
        <v>647</v>
      </c>
      <c r="B96" s="32" t="s">
        <v>23</v>
      </c>
      <c r="C96" s="44" t="s">
        <v>845</v>
      </c>
      <c r="D96" s="32" t="str">
        <f t="shared" si="11"/>
        <v>PEA_Meerwasser_natürlich</v>
      </c>
      <c r="E96" s="25">
        <f>COUNTIF(Abbau!$AI$2:$AI$1024,D96)</f>
        <v>4</v>
      </c>
      <c r="F96" s="27">
        <f t="array" ref="F96">IFERROR(QUARTILE(IF(Abbau!$AI$2:$AI$1024=D96,Abbau!$AH$2:$AH$1024),2),0)</f>
        <v>397.58928571428572</v>
      </c>
      <c r="G96" s="119">
        <f t="array" ref="G96">IF(E96=0,"n.v.",_xlfn.STDEV.P(IF(Abbau!$AI$2:$AI$1024=D96,Abbau!$AH$2:$AH$1024),0))</f>
        <v>210.7032790708879</v>
      </c>
      <c r="H96" s="143"/>
      <c r="I96" s="27">
        <f>IF(E96=0,F93,F96)</f>
        <v>397.58928571428572</v>
      </c>
    </row>
    <row r="97" spans="1:9">
      <c r="A97" s="30" t="s">
        <v>647</v>
      </c>
      <c r="B97" s="32" t="s">
        <v>1081</v>
      </c>
      <c r="C97" s="44" t="s">
        <v>845</v>
      </c>
      <c r="D97" s="32" t="str">
        <f t="shared" si="11"/>
        <v>PEA_Süßwasser_natürlich</v>
      </c>
      <c r="E97" s="25">
        <f>COUNTIF(Abbau!$AI$2:$AI$1024,D97)</f>
        <v>4</v>
      </c>
      <c r="F97" s="27">
        <f t="array" ref="F97">IFERROR(QUARTILE(IF(Abbau!$AI$2:$AI$1024=D97,Abbau!$AH$2:$AH$1024),2),0)</f>
        <v>537.72321428571433</v>
      </c>
      <c r="G97" s="119">
        <f t="array" ref="G97">IF(E97=0,"n.v.",_xlfn.STDEV.P(IF(Abbau!$AI$2:$AI$1024=D97,Abbau!$AH$2:$AH$1024),0))</f>
        <v>232.66467725208381</v>
      </c>
      <c r="H97" s="143"/>
      <c r="I97" s="70" t="s">
        <v>596</v>
      </c>
    </row>
    <row r="98" spans="1:9">
      <c r="A98" s="50" t="s">
        <v>771</v>
      </c>
      <c r="B98" s="52" t="s">
        <v>358</v>
      </c>
      <c r="C98" s="67" t="s">
        <v>845</v>
      </c>
      <c r="D98" s="52" t="str">
        <f t="shared" ref="D98:D102" si="19">CONCATENATE(A98,"_",B98,"_",C98)</f>
        <v>PES_Boden/Kompost_natürlich</v>
      </c>
      <c r="E98" s="53">
        <f>COUNTIF(Abbau!$AI$2:$AI$1024,D98)</f>
        <v>0</v>
      </c>
      <c r="F98" s="127">
        <f t="array" ref="F98">IFERROR(QUARTILE(IF(Abbau!$AI$2:$AI$1024=D98,Abbau!$AH$2:$AH$1024),2),0)</f>
        <v>0</v>
      </c>
      <c r="G98" s="119" t="str">
        <f t="array" ref="G98">IF(E98=0,"n.v.",_xlfn.STDEV.P(IF(Abbau!$AI$2:$AI$1024=D98,Abbau!$AH$2:$AH$1024),0))</f>
        <v>n.v.</v>
      </c>
      <c r="H98" s="143"/>
      <c r="I98" s="27">
        <f>IF(E98=0,F101,F98)</f>
        <v>16.294642857142875</v>
      </c>
    </row>
    <row r="99" spans="1:9">
      <c r="A99" s="30" t="s">
        <v>771</v>
      </c>
      <c r="B99" s="31" t="s">
        <v>1103</v>
      </c>
      <c r="C99" s="44" t="s">
        <v>845</v>
      </c>
      <c r="D99" s="32" t="str">
        <f t="shared" si="19"/>
        <v>PES_River sediment_natürlich</v>
      </c>
      <c r="E99" s="25">
        <f>COUNTIF(Abbau!$AI$2:$AI$1024,D99)</f>
        <v>0</v>
      </c>
      <c r="F99" s="27">
        <f t="array" ref="F99">IFERROR(QUARTILE(IF(Abbau!$AI$2:$AI$1024=D99,Abbau!$AH$2:$AH$1024),2),0)</f>
        <v>0</v>
      </c>
      <c r="G99" s="119" t="str">
        <f t="array" ref="G99">IF(E99=0,"n.v.",_xlfn.STDEV.P(IF(Abbau!$AI$2:$AI$1024=D99,Abbau!$AH$2:$AH$1024),0))</f>
        <v>n.v.</v>
      </c>
      <c r="H99" s="143"/>
      <c r="I99" s="26">
        <f>IF(E99=0,IF(E100=0,IF(I98&lt;I101,I98,I101),F100),F99)</f>
        <v>16.294642857142875</v>
      </c>
    </row>
    <row r="100" spans="1:9">
      <c r="A100" s="30" t="s">
        <v>771</v>
      </c>
      <c r="B100" s="31" t="s">
        <v>1104</v>
      </c>
      <c r="C100" s="44" t="s">
        <v>845</v>
      </c>
      <c r="D100" s="32" t="str">
        <f t="shared" ref="D100" si="20">CONCATENATE(A100,"_",B100,"_",C100)</f>
        <v>PES_Benthic_natürlich</v>
      </c>
      <c r="E100" s="25">
        <f>COUNTIF(Abbau!$AI$2:$AI$1024,D100)</f>
        <v>0</v>
      </c>
      <c r="F100" s="27">
        <f t="array" ref="F100">IFERROR(QUARTILE(IF(Abbau!$AI$2:$AI$1024=D100,Abbau!$AH$2:$AH$1024),2),0)</f>
        <v>0</v>
      </c>
      <c r="G100" s="119" t="str">
        <f t="array" ref="G100">IF(E100=0,"n.v.",_xlfn.STDEV.P(IF(Abbau!$AI$2:$AI$1024=D100,Abbau!$AH$2:$AH$1024),0))</f>
        <v>n.v.</v>
      </c>
      <c r="H100" s="143"/>
      <c r="I100" s="26">
        <f>IF(E100=0,IF(E99=0,IF(I98&lt;I101,I98,I101),F99),F100)</f>
        <v>16.294642857142875</v>
      </c>
    </row>
    <row r="101" spans="1:9">
      <c r="A101" s="30" t="s">
        <v>771</v>
      </c>
      <c r="B101" s="32" t="s">
        <v>23</v>
      </c>
      <c r="C101" s="44" t="s">
        <v>845</v>
      </c>
      <c r="D101" s="32" t="str">
        <f t="shared" si="19"/>
        <v>PES_Meerwasser_natürlich</v>
      </c>
      <c r="E101" s="25">
        <f>COUNTIF(Abbau!$AI$2:$AI$1024,D101)</f>
        <v>4</v>
      </c>
      <c r="F101" s="27">
        <f t="array" ref="F101">IFERROR(QUARTILE(IF(Abbau!$AI$2:$AI$1024=D101,Abbau!$AH$2:$AH$1024),2),0)</f>
        <v>16.294642857142875</v>
      </c>
      <c r="G101" s="119">
        <f t="array" ref="G101">IF(E101=0,"n.v.",_xlfn.STDEV.P(IF(Abbau!$AI$2:$AI$1024=D101,Abbau!$AH$2:$AH$1024),0))</f>
        <v>11.213745437394863</v>
      </c>
      <c r="H101" s="143"/>
      <c r="I101" s="27">
        <f>IF(E101=0,F98,F101)</f>
        <v>16.294642857142875</v>
      </c>
    </row>
    <row r="102" spans="1:9">
      <c r="A102" s="54" t="s">
        <v>771</v>
      </c>
      <c r="B102" s="32" t="s">
        <v>1081</v>
      </c>
      <c r="C102" s="44" t="s">
        <v>845</v>
      </c>
      <c r="D102" s="32" t="str">
        <f t="shared" si="19"/>
        <v>PES_Süßwasser_natürlich</v>
      </c>
      <c r="E102" s="25">
        <f>COUNTIF(Abbau!$AI$2:$AI$1024,D102)</f>
        <v>4</v>
      </c>
      <c r="F102" s="27">
        <f t="array" ref="F102">IFERROR(QUARTILE(IF(Abbau!$AI$2:$AI$1024=D102,Abbau!$AH$2:$AH$1024),2),0)</f>
        <v>596.38392857142867</v>
      </c>
      <c r="G102" s="119">
        <f t="array" ref="G102">IF(E102=0,"n.v.",_xlfn.STDEV.P(IF(Abbau!$AI$2:$AI$1024=D102,Abbau!$AH$2:$AH$1024),0))</f>
        <v>242.09255298167196</v>
      </c>
      <c r="H102" s="143"/>
      <c r="I102" s="70" t="s">
        <v>596</v>
      </c>
    </row>
    <row r="103" spans="1:9">
      <c r="A103" s="30" t="s">
        <v>48</v>
      </c>
      <c r="B103" s="32" t="s">
        <v>358</v>
      </c>
      <c r="C103" s="44" t="s">
        <v>845</v>
      </c>
      <c r="D103" s="32" t="str">
        <f t="shared" si="11"/>
        <v>PCL_Boden/Kompost_natürlich</v>
      </c>
      <c r="E103" s="25">
        <f>COUNTIF(Abbau!$AI$2:$AI$1024,D103)</f>
        <v>0</v>
      </c>
      <c r="F103" s="27">
        <f t="array" ref="F103">IFERROR(QUARTILE(IF(Abbau!$AI$2:$AI$1024=D103,Abbau!$AH$2:$AH$1024),2),0)</f>
        <v>0</v>
      </c>
      <c r="G103" s="119" t="str">
        <f t="array" ref="G103">IF(E103=0,"n.v.",_xlfn.STDEV.P(IF(Abbau!$AI$2:$AI$1024=D103,Abbau!$AH$2:$AH$1024),0))</f>
        <v>n.v.</v>
      </c>
      <c r="H103" s="143"/>
      <c r="I103" s="27">
        <f>IF(E103=0,F106,F103)</f>
        <v>400.84821428571433</v>
      </c>
    </row>
    <row r="104" spans="1:9">
      <c r="A104" s="30" t="s">
        <v>48</v>
      </c>
      <c r="B104" s="31" t="s">
        <v>1103</v>
      </c>
      <c r="C104" s="44" t="s">
        <v>845</v>
      </c>
      <c r="D104" s="32" t="str">
        <f t="shared" si="11"/>
        <v>PCL_River sediment_natürlich</v>
      </c>
      <c r="E104" s="25">
        <f>COUNTIF(Abbau!$AI$2:$AI$1024,D104)</f>
        <v>0</v>
      </c>
      <c r="F104" s="27">
        <f t="array" ref="F104">IFERROR(QUARTILE(IF(Abbau!$AI$2:$AI$1024=D104,Abbau!$AH$2:$AH$1024),2),0)</f>
        <v>0</v>
      </c>
      <c r="G104" s="119" t="str">
        <f t="array" ref="G104">IF(E104=0,"n.v.",_xlfn.STDEV.P(IF(Abbau!$AI$2:$AI$1024=D104,Abbau!$AH$2:$AH$1024),0))</f>
        <v>n.v.</v>
      </c>
      <c r="H104" s="143"/>
      <c r="I104" s="26">
        <f>IF(E104=0,IF(E105=0,IF(I103&lt;I106,I103,I106),F105),F104)</f>
        <v>400.84821428571433</v>
      </c>
    </row>
    <row r="105" spans="1:9">
      <c r="A105" s="30" t="s">
        <v>48</v>
      </c>
      <c r="B105" s="31" t="s">
        <v>1104</v>
      </c>
      <c r="C105" s="44" t="s">
        <v>845</v>
      </c>
      <c r="D105" s="32" t="str">
        <f t="shared" ref="D105" si="21">CONCATENATE(A105,"_",B105,"_",C105)</f>
        <v>PCL_Benthic_natürlich</v>
      </c>
      <c r="E105" s="25">
        <f>COUNTIF(Abbau!$AI$2:$AI$1024,D105)</f>
        <v>0</v>
      </c>
      <c r="F105" s="27">
        <f t="array" ref="F105">IFERROR(QUARTILE(IF(Abbau!$AI$2:$AI$1024=D105,Abbau!$AH$2:$AH$1024),2),0)</f>
        <v>0</v>
      </c>
      <c r="G105" s="119" t="str">
        <f t="array" ref="G105">IF(E105=0,"n.v.",_xlfn.STDEV.P(IF(Abbau!$AI$2:$AI$1024=D105,Abbau!$AH$2:$AH$1024),0))</f>
        <v>n.v.</v>
      </c>
      <c r="H105" s="143"/>
      <c r="I105" s="26">
        <f>IF(E105=0,IF(E104=0,IF(I103&lt;I106,I103,I106),F104),F105)</f>
        <v>400.84821428571433</v>
      </c>
    </row>
    <row r="106" spans="1:9">
      <c r="A106" s="30" t="s">
        <v>48</v>
      </c>
      <c r="B106" s="32" t="s">
        <v>23</v>
      </c>
      <c r="C106" s="44" t="s">
        <v>845</v>
      </c>
      <c r="D106" s="32" t="str">
        <f t="shared" si="11"/>
        <v>PCL_Meerwasser_natürlich</v>
      </c>
      <c r="E106" s="25">
        <f>COUNTIF(Abbau!$AI$2:$AI$1024,D106)</f>
        <v>6</v>
      </c>
      <c r="F106" s="27">
        <f t="array" ref="F106">IFERROR(QUARTILE(IF(Abbau!$AI$2:$AI$1024=D106,Abbau!$AH$2:$AH$1024),2),0)</f>
        <v>400.84821428571433</v>
      </c>
      <c r="G106" s="119">
        <f t="array" ref="G106">IF(E106=0,"n.v.",_xlfn.STDEV.P(IF(Abbau!$AI$2:$AI$1024=D106,Abbau!$AH$2:$AH$1024),0))</f>
        <v>214.15411486856732</v>
      </c>
      <c r="H106" s="143"/>
      <c r="I106" s="27">
        <f>IF(E106=0,F103,F106)</f>
        <v>400.84821428571433</v>
      </c>
    </row>
    <row r="107" spans="1:9">
      <c r="A107" s="30" t="s">
        <v>48</v>
      </c>
      <c r="B107" s="56" t="s">
        <v>1081</v>
      </c>
      <c r="C107" s="44" t="s">
        <v>845</v>
      </c>
      <c r="D107" s="32" t="str">
        <f t="shared" si="11"/>
        <v>PCL_Süßwasser_natürlich</v>
      </c>
      <c r="E107" s="25">
        <f>COUNTIF(Abbau!$AI$2:$AI$1024,D107)</f>
        <v>5</v>
      </c>
      <c r="F107" s="27">
        <f t="array" ref="F107">IFERROR(QUARTILE(IF(Abbau!$AI$2:$AI$1024=D107,Abbau!$AH$2:$AH$1024),2),0)</f>
        <v>501.87500000000006</v>
      </c>
      <c r="G107" s="121">
        <f t="array" ref="G107">IF(E107=0,"n.v.",_xlfn.STDEV.P(IF(Abbau!$AI$2:$AI$1024=D107,Abbau!$AH$2:$AH$1024),0))</f>
        <v>274.55045366164018</v>
      </c>
      <c r="H107" s="143"/>
      <c r="I107" s="70" t="s">
        <v>596</v>
      </c>
    </row>
    <row r="108" spans="1:9">
      <c r="A108" s="30" t="s">
        <v>773</v>
      </c>
      <c r="B108" s="32" t="s">
        <v>358</v>
      </c>
      <c r="C108" s="44" t="s">
        <v>845</v>
      </c>
      <c r="D108" s="32" t="str">
        <f t="shared" ref="D108:D112" si="22">CONCATENATE(A108,"_",B108,"_",C108)</f>
        <v>PC_Boden/Kompost_natürlich</v>
      </c>
      <c r="E108" s="25">
        <f>COUNTIF(Abbau!$AI$2:$AI$1024,D108)</f>
        <v>0</v>
      </c>
      <c r="F108" s="27">
        <f t="array" ref="F108">IFERROR(QUARTILE(IF(Abbau!$AI$2:$AI$1024=D108,Abbau!$AH$2:$AH$1024),2),0)</f>
        <v>0</v>
      </c>
      <c r="G108" s="119" t="str">
        <f t="array" ref="G108">IF(E108=0,"n.v.",_xlfn.STDEV.P(IF(Abbau!$AI$2:$AI$1024=D108,Abbau!$AH$2:$AH$1024),0))</f>
        <v>n.v.</v>
      </c>
      <c r="H108" s="143"/>
      <c r="I108" s="27">
        <f>IF(E108=0,F111,F108)</f>
        <v>5.1750000000000123</v>
      </c>
    </row>
    <row r="109" spans="1:9">
      <c r="A109" s="30" t="s">
        <v>773</v>
      </c>
      <c r="B109" s="31" t="s">
        <v>1103</v>
      </c>
      <c r="C109" s="44" t="s">
        <v>845</v>
      </c>
      <c r="D109" s="32" t="str">
        <f t="shared" si="22"/>
        <v>PC_River sediment_natürlich</v>
      </c>
      <c r="E109" s="25">
        <f>COUNTIF(Abbau!$AI$2:$AI$1024,D109)</f>
        <v>0</v>
      </c>
      <c r="F109" s="27">
        <f t="array" ref="F109">IFERROR(QUARTILE(IF(Abbau!$AI$2:$AI$1024=D109,Abbau!$AH$2:$AH$1024),2),0)</f>
        <v>0</v>
      </c>
      <c r="G109" s="119" t="str">
        <f t="array" ref="G109">IF(E109=0,"n.v.",_xlfn.STDEV.P(IF(Abbau!$AI$2:$AI$1024=D109,Abbau!$AH$2:$AH$1024),0))</f>
        <v>n.v.</v>
      </c>
      <c r="H109" s="143"/>
      <c r="I109" s="26">
        <f>IF(E109=0,IF(E110=0,IF(I108&lt;I111,I108,I111),F110),F109)</f>
        <v>5.1750000000000123</v>
      </c>
    </row>
    <row r="110" spans="1:9">
      <c r="A110" s="30" t="s">
        <v>773</v>
      </c>
      <c r="B110" s="31" t="s">
        <v>1104</v>
      </c>
      <c r="C110" s="44" t="s">
        <v>845</v>
      </c>
      <c r="D110" s="32" t="str">
        <f t="shared" si="22"/>
        <v>PC_Benthic_natürlich</v>
      </c>
      <c r="E110" s="25">
        <f>COUNTIF(Abbau!$AI$2:$AI$1024,D110)</f>
        <v>0</v>
      </c>
      <c r="F110" s="27">
        <f t="array" ref="F110">IFERROR(QUARTILE(IF(Abbau!$AI$2:$AI$1024=D110,Abbau!$AH$2:$AH$1024),2),0)</f>
        <v>0</v>
      </c>
      <c r="G110" s="119" t="str">
        <f t="array" ref="G110">IF(E110=0,"n.v.",_xlfn.STDEV.P(IF(Abbau!$AI$2:$AI$1024=D110,Abbau!$AH$2:$AH$1024),0))</f>
        <v>n.v.</v>
      </c>
      <c r="H110" s="143"/>
      <c r="I110" s="26">
        <f>IF(E110=0,IF(E109=0,IF(I108&lt;I111,I108,I111),F109),F110)</f>
        <v>5.1750000000000123</v>
      </c>
    </row>
    <row r="111" spans="1:9">
      <c r="A111" s="30" t="s">
        <v>773</v>
      </c>
      <c r="B111" s="32" t="s">
        <v>23</v>
      </c>
      <c r="C111" s="44" t="s">
        <v>845</v>
      </c>
      <c r="D111" s="32" t="str">
        <f t="shared" si="22"/>
        <v>PC_Meerwasser_natürlich</v>
      </c>
      <c r="E111" s="25">
        <f>COUNTIF(Abbau!$AI$2:$AI$1024,D111)</f>
        <v>1</v>
      </c>
      <c r="F111" s="27">
        <f t="array" ref="F111">IFERROR(QUARTILE(IF(Abbau!$AI$2:$AI$1024=D111,Abbau!$AH$2:$AH$1024),2),0)</f>
        <v>5.1750000000000123</v>
      </c>
      <c r="G111" s="119">
        <f t="array" ref="G111">IF(E111=0,"n.v.",_xlfn.STDEV.P(IF(Abbau!$AI$2:$AI$1024=D111,Abbau!$AH$2:$AH$1024),0))</f>
        <v>2.5875000000000061</v>
      </c>
      <c r="H111" s="143"/>
      <c r="I111" s="27">
        <f>IF(E111=0,F108,F111)</f>
        <v>5.1750000000000123</v>
      </c>
    </row>
    <row r="112" spans="1:9">
      <c r="A112" s="30" t="s">
        <v>773</v>
      </c>
      <c r="B112" s="56" t="s">
        <v>1081</v>
      </c>
      <c r="C112" s="44" t="s">
        <v>845</v>
      </c>
      <c r="D112" s="32" t="str">
        <f t="shared" si="22"/>
        <v>PC_Süßwasser_natürlich</v>
      </c>
      <c r="E112" s="25">
        <f>COUNTIF(Abbau!$AI$2:$AI$1024,D112)</f>
        <v>0</v>
      </c>
      <c r="F112" s="27">
        <f t="array" ref="F112">IFERROR(QUARTILE(IF(Abbau!$AI$2:$AI$1024=D112,Abbau!$AH$2:$AH$1024),2),0)</f>
        <v>0</v>
      </c>
      <c r="G112" s="121" t="str">
        <f t="array" ref="G112">IF(E112=0,"n.v.",_xlfn.STDEV.P(IF(Abbau!$AI$2:$AI$1024=D112,Abbau!$AH$2:$AH$1024),0))</f>
        <v>n.v.</v>
      </c>
      <c r="H112" s="143"/>
      <c r="I112" s="70" t="s">
        <v>596</v>
      </c>
    </row>
    <row r="113" spans="1:9">
      <c r="A113" s="50" t="s">
        <v>177</v>
      </c>
      <c r="B113" s="52" t="s">
        <v>358</v>
      </c>
      <c r="C113" s="67" t="s">
        <v>845</v>
      </c>
      <c r="D113" s="52" t="str">
        <f t="shared" si="11"/>
        <v>PBAT_Boden/Kompost_natürlich</v>
      </c>
      <c r="E113" s="53">
        <f>COUNTIF(Abbau!$AI$2:$AI$1024,D113)</f>
        <v>2</v>
      </c>
      <c r="F113" s="127">
        <f t="array" ref="F113">IFERROR(QUARTILE(IF(Abbau!$AI$2:$AI$1024=D113,Abbau!$AH$2:$AH$1024),2),0)</f>
        <v>8.4823936170212768</v>
      </c>
      <c r="G113" s="122">
        <f t="array" ref="G113">IF(E113=0,"n.v.",_xlfn.STDEV.P(IF(Abbau!$AI$2:$AI$1024=D113,Abbau!$AH$2:$AH$1024),0))</f>
        <v>6.6564685392717946</v>
      </c>
      <c r="H113" s="143"/>
      <c r="I113" s="27">
        <f>IF(E113=0,F116,F113)</f>
        <v>8.4823936170212768</v>
      </c>
    </row>
    <row r="114" spans="1:9">
      <c r="A114" s="30" t="s">
        <v>177</v>
      </c>
      <c r="B114" s="31" t="s">
        <v>1103</v>
      </c>
      <c r="C114" s="44" t="s">
        <v>845</v>
      </c>
      <c r="D114" s="32" t="str">
        <f t="shared" si="11"/>
        <v>PBAT_River sediment_natürlich</v>
      </c>
      <c r="E114" s="25">
        <f>COUNTIF(Abbau!$AI$2:$AI$1024,D114)</f>
        <v>0</v>
      </c>
      <c r="F114" s="27">
        <f t="array" ref="F114">IFERROR(QUARTILE(IF(Abbau!$AI$2:$AI$1024=D114,Abbau!$AH$2:$AH$1024),2),0)</f>
        <v>0</v>
      </c>
      <c r="G114" s="119" t="str">
        <f t="array" ref="G114">IF(E114=0,"n.v.",_xlfn.STDEV.P(IF(Abbau!$AI$2:$AI$1024=D114,Abbau!$AH$2:$AH$1024),0))</f>
        <v>n.v.</v>
      </c>
      <c r="H114" s="143"/>
      <c r="I114" s="26">
        <f>IF(E114=0,IF(E115=0,IF(I113&lt;I116,I113,I116),F115),F114)</f>
        <v>0</v>
      </c>
    </row>
    <row r="115" spans="1:9">
      <c r="A115" s="30" t="s">
        <v>177</v>
      </c>
      <c r="B115" s="31" t="s">
        <v>1104</v>
      </c>
      <c r="C115" s="44" t="s">
        <v>845</v>
      </c>
      <c r="D115" s="32" t="str">
        <f t="shared" ref="D115" si="23">CONCATENATE(A115,"_",B115,"_",C115)</f>
        <v>PBAT_Benthic_natürlich</v>
      </c>
      <c r="E115" s="25">
        <f>COUNTIF(Abbau!$AI$2:$AI$1024,D115)</f>
        <v>0</v>
      </c>
      <c r="F115" s="27">
        <f t="array" ref="F115">IFERROR(QUARTILE(IF(Abbau!$AI$2:$AI$1024=D115,Abbau!$AH$2:$AH$1024),2),0)</f>
        <v>0</v>
      </c>
      <c r="G115" s="119" t="str">
        <f t="array" ref="G115">IF(E115=0,"n.v.",_xlfn.STDEV.P(IF(Abbau!$AI$2:$AI$1024=D115,Abbau!$AH$2:$AH$1024),0))</f>
        <v>n.v.</v>
      </c>
      <c r="H115" s="143"/>
      <c r="I115" s="26">
        <f>IF(E115=0,IF(E114=0,IF(I113&lt;I116,I113,I116),F114),F115)</f>
        <v>0</v>
      </c>
    </row>
    <row r="116" spans="1:9">
      <c r="A116" s="30" t="s">
        <v>177</v>
      </c>
      <c r="B116" s="32" t="s">
        <v>23</v>
      </c>
      <c r="C116" s="44" t="s">
        <v>845</v>
      </c>
      <c r="D116" s="32" t="str">
        <f t="shared" si="11"/>
        <v>PBAT_Meerwasser_natürlich</v>
      </c>
      <c r="E116" s="25">
        <f>COUNTIF(Abbau!$AI$2:$AI$1024,D116)</f>
        <v>6</v>
      </c>
      <c r="F116" s="27">
        <f t="array" ref="F116">IFERROR(QUARTILE(IF(Abbau!$AI$2:$AI$1024=D116,Abbau!$AH$2:$AH$1024),2),0)</f>
        <v>0</v>
      </c>
      <c r="G116" s="119">
        <f t="array" ref="G116">IF(E116=0,"n.v.",_xlfn.STDEV.P(IF(Abbau!$AI$2:$AI$1024=D116,Abbau!$AH$2:$AH$1024),0))</f>
        <v>5.4234651887156504</v>
      </c>
      <c r="H116" s="143"/>
      <c r="I116" s="27">
        <f>IF(E116=0,F113,F116)</f>
        <v>0</v>
      </c>
    </row>
    <row r="117" spans="1:9">
      <c r="A117" s="54" t="s">
        <v>177</v>
      </c>
      <c r="B117" s="56" t="s">
        <v>1081</v>
      </c>
      <c r="C117" s="68" t="s">
        <v>845</v>
      </c>
      <c r="D117" s="56" t="str">
        <f t="shared" si="11"/>
        <v>PBAT_Süßwasser_natürlich</v>
      </c>
      <c r="E117" s="57">
        <f>COUNTIF(Abbau!$AI$2:$AI$1024,D117)</f>
        <v>0</v>
      </c>
      <c r="F117" s="69">
        <f t="array" ref="F117">IFERROR(QUARTILE(IF(Abbau!$AI$2:$AI$1024=D117,Abbau!$AH$2:$AH$1024),2),0)</f>
        <v>0</v>
      </c>
      <c r="G117" s="121" t="str">
        <f t="array" ref="G117">IF(E117=0,"n.v.",_xlfn.STDEV.P(IF(Abbau!$AI$2:$AI$1024=D117,Abbau!$AH$2:$AH$1024),0))</f>
        <v>n.v.</v>
      </c>
      <c r="H117" s="143"/>
      <c r="I117" s="70" t="s">
        <v>596</v>
      </c>
    </row>
    <row r="118" spans="1:9">
      <c r="A118" s="50" t="s">
        <v>654</v>
      </c>
      <c r="B118" s="52" t="s">
        <v>358</v>
      </c>
      <c r="C118" s="67" t="s">
        <v>845</v>
      </c>
      <c r="D118" s="52" t="str">
        <f t="shared" si="11"/>
        <v>PBSA_Boden/Kompost_natürlich</v>
      </c>
      <c r="E118" s="53">
        <f>COUNTIF(Abbau!$AI$2:$AI$1024,D118)</f>
        <v>1</v>
      </c>
      <c r="F118" s="127">
        <f t="array" ref="F118">IFERROR(QUARTILE(IF(Abbau!$AI$2:$AI$1024=D118,Abbau!$AH$2:$AH$1024),2),0)</f>
        <v>50.414364640883996</v>
      </c>
      <c r="G118" s="119">
        <f t="array" ref="G118">IF(E118=0,"n.v.",_xlfn.STDEV.P(IF(Abbau!$AI$2:$AI$1024=D118,Abbau!$AH$2:$AH$1024),0))</f>
        <v>25.207182320441998</v>
      </c>
      <c r="H118" s="143"/>
      <c r="I118" s="27">
        <f>IF(E118=0,F121,F118)</f>
        <v>50.414364640883996</v>
      </c>
    </row>
    <row r="119" spans="1:9">
      <c r="A119" s="30" t="s">
        <v>654</v>
      </c>
      <c r="B119" s="31" t="s">
        <v>1103</v>
      </c>
      <c r="C119" s="44" t="s">
        <v>845</v>
      </c>
      <c r="D119" s="32" t="str">
        <f t="shared" si="11"/>
        <v>PBSA_River sediment_natürlich</v>
      </c>
      <c r="E119" s="25">
        <f>COUNTIF(Abbau!$AI$2:$AI$1024,D119)</f>
        <v>0</v>
      </c>
      <c r="F119" s="27">
        <f t="array" ref="F119">IFERROR(QUARTILE(IF(Abbau!$AI$2:$AI$1024=D119,Abbau!$AH$2:$AH$1024),2),0)</f>
        <v>0</v>
      </c>
      <c r="G119" s="119" t="str">
        <f t="array" ref="G119">IF(E119=0,"n.v.",_xlfn.STDEV.P(IF(Abbau!$AI$2:$AI$1024=D119,Abbau!$AH$2:$AH$1024),0))</f>
        <v>n.v.</v>
      </c>
      <c r="H119" s="143"/>
      <c r="I119" s="26">
        <f>IF(E119=0,IF(E120=0,IF(I118&lt;I121,I118,I121),F120),F119)</f>
        <v>50.414364640883996</v>
      </c>
    </row>
    <row r="120" spans="1:9">
      <c r="A120" s="30" t="s">
        <v>654</v>
      </c>
      <c r="B120" s="31" t="s">
        <v>1104</v>
      </c>
      <c r="C120" s="44" t="s">
        <v>845</v>
      </c>
      <c r="D120" s="32" t="str">
        <f t="shared" ref="D120" si="24">CONCATENATE(A120,"_",B120,"_",C120)</f>
        <v>PBSA_Benthic_natürlich</v>
      </c>
      <c r="E120" s="25">
        <f>COUNTIF(Abbau!$AI$2:$AI$1024,D120)</f>
        <v>0</v>
      </c>
      <c r="F120" s="27">
        <f t="array" ref="F120">IFERROR(QUARTILE(IF(Abbau!$AI$2:$AI$1024=D120,Abbau!$AH$2:$AH$1024),2),0)</f>
        <v>0</v>
      </c>
      <c r="G120" s="119" t="str">
        <f t="array" ref="G120">IF(E120=0,"n.v.",_xlfn.STDEV.P(IF(Abbau!$AI$2:$AI$1024=D120,Abbau!$AH$2:$AH$1024),0))</f>
        <v>n.v.</v>
      </c>
      <c r="H120" s="143"/>
      <c r="I120" s="26">
        <f>IF(E120=0,IF(E119=0,IF(I118&lt;I121,I118,I121),F119),F120)</f>
        <v>50.414364640883996</v>
      </c>
    </row>
    <row r="121" spans="1:9">
      <c r="A121" s="30" t="s">
        <v>654</v>
      </c>
      <c r="B121" s="32" t="s">
        <v>23</v>
      </c>
      <c r="C121" s="44" t="s">
        <v>845</v>
      </c>
      <c r="D121" s="32" t="str">
        <f t="shared" si="11"/>
        <v>PBSA_Meerwasser_natürlich</v>
      </c>
      <c r="E121" s="25">
        <f>COUNTIF(Abbau!$AI$2:$AI$1024,D121)</f>
        <v>6</v>
      </c>
      <c r="F121" s="27">
        <f t="array" ref="F121">IFERROR(QUARTILE(IF(Abbau!$AI$2:$AI$1024=D121,Abbau!$AH$2:$AH$1024),2),0)</f>
        <v>68.4375</v>
      </c>
      <c r="G121" s="119">
        <f t="array" ref="G121">IF(E121=0,"n.v.",_xlfn.STDEV.P(IF(Abbau!$AI$2:$AI$1024=D121,Abbau!$AH$2:$AH$1024),0))</f>
        <v>70.024605474808013</v>
      </c>
      <c r="H121" s="143"/>
      <c r="I121" s="27">
        <f>IF(E121=0,F118,F121)</f>
        <v>68.4375</v>
      </c>
    </row>
    <row r="122" spans="1:9">
      <c r="A122" s="54" t="s">
        <v>654</v>
      </c>
      <c r="B122" s="56" t="s">
        <v>1081</v>
      </c>
      <c r="C122" s="68" t="s">
        <v>845</v>
      </c>
      <c r="D122" s="56" t="str">
        <f t="shared" si="11"/>
        <v>PBSA_Süßwasser_natürlich</v>
      </c>
      <c r="E122" s="57">
        <f>COUNTIF(Abbau!$AI$2:$AI$1024,D122)</f>
        <v>5</v>
      </c>
      <c r="F122" s="69">
        <f t="array" ref="F122">IFERROR(QUARTILE(IF(Abbau!$AI$2:$AI$1024=D122,Abbau!$AH$2:$AH$1024),2),0)</f>
        <v>202.7777777777778</v>
      </c>
      <c r="G122" s="119">
        <f t="array" ref="G122">IF(E122=0,"n.v.",_xlfn.STDEV.P(IF(Abbau!$AI$2:$AI$1024=D122,Abbau!$AH$2:$AH$1024),0))</f>
        <v>164.72134926166007</v>
      </c>
      <c r="H122" s="143"/>
      <c r="I122" s="70" t="s">
        <v>596</v>
      </c>
    </row>
    <row r="123" spans="1:9">
      <c r="A123" s="30" t="s">
        <v>1078</v>
      </c>
      <c r="B123" s="52" t="s">
        <v>358</v>
      </c>
      <c r="C123" s="67" t="s">
        <v>845</v>
      </c>
      <c r="D123" s="52" t="str">
        <f t="shared" ref="D123:D132" si="25">CONCATENATE(A123,"_",B123,"_",C123)</f>
        <v>PBSe_Boden/Kompost_natürlich</v>
      </c>
      <c r="E123" s="53">
        <f>COUNTIF(Abbau!$AI$2:$AI$1024,D123)</f>
        <v>3</v>
      </c>
      <c r="F123" s="127">
        <f t="array" ref="F123">IFERROR(QUARTILE(IF(Abbau!$AI$2:$AI$1024=D123,Abbau!$AH$2:$AH$1024),2),0)</f>
        <v>22.410508338036781</v>
      </c>
      <c r="G123" s="119">
        <f t="array" ref="G123">IF(E123=0,"n.v.",_xlfn.STDEV.P(IF(Abbau!$AI$2:$AI$1024=D123,Abbau!$AH$2:$AH$1024),0))</f>
        <v>12.493159138399784</v>
      </c>
      <c r="H123" s="143"/>
      <c r="I123" s="27">
        <f>IF(E123=0,F126,F123)</f>
        <v>22.410508338036781</v>
      </c>
    </row>
    <row r="124" spans="1:9">
      <c r="A124" s="30" t="s">
        <v>1078</v>
      </c>
      <c r="B124" s="31" t="s">
        <v>1103</v>
      </c>
      <c r="C124" s="44" t="s">
        <v>845</v>
      </c>
      <c r="D124" s="32" t="str">
        <f t="shared" si="25"/>
        <v>PBSe_River sediment_natürlich</v>
      </c>
      <c r="E124" s="25">
        <f>COUNTIF(Abbau!$AI$2:$AI$1024,D124)</f>
        <v>0</v>
      </c>
      <c r="F124" s="27">
        <f t="array" ref="F124">IFERROR(QUARTILE(IF(Abbau!$AI$2:$AI$1024=D124,Abbau!$AH$2:$AH$1024),2),0)</f>
        <v>0</v>
      </c>
      <c r="G124" s="119" t="str">
        <f t="array" ref="G124">IF(E124=0,"n.v.",_xlfn.STDEV.P(IF(Abbau!$AI$2:$AI$1024=D124,Abbau!$AH$2:$AH$1024),0))</f>
        <v>n.v.</v>
      </c>
      <c r="H124" s="143"/>
      <c r="I124" s="26">
        <f>IF(E124=0,IF(E125=0,IF(I123&lt;I126,I123,I126),F125),F124)</f>
        <v>11.292187500000001</v>
      </c>
    </row>
    <row r="125" spans="1:9">
      <c r="A125" s="30" t="s">
        <v>1078</v>
      </c>
      <c r="B125" s="31" t="s">
        <v>1104</v>
      </c>
      <c r="C125" s="44" t="s">
        <v>845</v>
      </c>
      <c r="D125" s="32" t="str">
        <f t="shared" si="25"/>
        <v>PBSe_Benthic_natürlich</v>
      </c>
      <c r="E125" s="25">
        <f>COUNTIF(Abbau!$AI$2:$AI$1024,D125)</f>
        <v>9</v>
      </c>
      <c r="F125" s="27">
        <f t="array" ref="F125">IFERROR(QUARTILE(IF(Abbau!$AI$2:$AI$1024=D125,Abbau!$AH$2:$AH$1024),2),0)</f>
        <v>11.292187500000001</v>
      </c>
      <c r="G125" s="119">
        <f t="array" ref="G125">IF(E125=0,"n.v.",_xlfn.STDEV.P(IF(Abbau!$AI$2:$AI$1024=D125,Abbau!$AH$2:$AH$1024),0))</f>
        <v>6.7613863647768051</v>
      </c>
      <c r="H125" s="143"/>
      <c r="I125" s="26">
        <f>IF(E125=0,IF(E124=0,IF(I123&lt;I126,I123,I126),F124),F125)</f>
        <v>11.292187500000001</v>
      </c>
    </row>
    <row r="126" spans="1:9">
      <c r="A126" s="30" t="s">
        <v>1078</v>
      </c>
      <c r="B126" s="32" t="s">
        <v>23</v>
      </c>
      <c r="C126" s="44" t="s">
        <v>845</v>
      </c>
      <c r="D126" s="32" t="str">
        <f t="shared" si="25"/>
        <v>PBSe_Meerwasser_natürlich</v>
      </c>
      <c r="E126" s="25">
        <f>COUNTIF(Abbau!$AI$2:$AI$1024,D126)</f>
        <v>3</v>
      </c>
      <c r="F126" s="27">
        <f t="array" ref="F126">IFERROR(QUARTILE(IF(Abbau!$AI$2:$AI$1024=D126,Abbau!$AH$2:$AH$1024),2),0)</f>
        <v>4.4642857142857144</v>
      </c>
      <c r="G126" s="119">
        <f t="array" ref="G126">IF(E126=0,"n.v.",_xlfn.STDEV.P(IF(Abbau!$AI$2:$AI$1024=D126,Abbau!$AH$2:$AH$1024),0))</f>
        <v>7.8939315359560238</v>
      </c>
      <c r="H126" s="143"/>
      <c r="I126" s="27">
        <f>IF(E126=0,F123,F126)</f>
        <v>4.4642857142857144</v>
      </c>
    </row>
    <row r="127" spans="1:9">
      <c r="A127" s="30" t="s">
        <v>1078</v>
      </c>
      <c r="B127" s="56" t="s">
        <v>1081</v>
      </c>
      <c r="C127" s="68" t="s">
        <v>845</v>
      </c>
      <c r="D127" s="56" t="str">
        <f t="shared" si="25"/>
        <v>PBSe_Süßwasser_natürlich</v>
      </c>
      <c r="E127" s="57">
        <f>COUNTIF(Abbau!$AI$2:$AI$1024,D127)</f>
        <v>0</v>
      </c>
      <c r="F127" s="69">
        <f t="array" ref="F127">IFERROR(QUARTILE(IF(Abbau!$AI$2:$AI$1024=D127,Abbau!$AH$2:$AH$1024),2),0)</f>
        <v>0</v>
      </c>
      <c r="G127" s="119" t="str">
        <f t="array" ref="G127">IF(E127=0,"n.v.",_xlfn.STDEV.P(IF(Abbau!$AI$2:$AI$1024=D127,Abbau!$AH$2:$AH$1024),0))</f>
        <v>n.v.</v>
      </c>
      <c r="H127" s="143"/>
      <c r="I127" s="70" t="s">
        <v>596</v>
      </c>
    </row>
    <row r="128" spans="1:9">
      <c r="A128" s="30" t="s">
        <v>1077</v>
      </c>
      <c r="B128" s="52" t="s">
        <v>358</v>
      </c>
      <c r="C128" s="67" t="s">
        <v>845</v>
      </c>
      <c r="D128" s="52" t="str">
        <f t="shared" si="25"/>
        <v>PBSeT_Boden/Kompost_natürlich</v>
      </c>
      <c r="E128" s="53">
        <f>COUNTIF(Abbau!$AI$2:$AI$1024,D128)</f>
        <v>2</v>
      </c>
      <c r="F128" s="127">
        <f t="array" ref="F128">IFERROR(QUARTILE(IF(Abbau!$AI$2:$AI$1024=D128,Abbau!$AH$2:$AH$1024),2),0)</f>
        <v>16.899717261904762</v>
      </c>
      <c r="G128" s="119">
        <f t="array" ref="G128">IF(E128=0,"n.v.",_xlfn.STDEV.P(IF(Abbau!$AI$2:$AI$1024=D128,Abbau!$AH$2:$AH$1024),0))</f>
        <v>8.2783051160970587</v>
      </c>
      <c r="H128" s="143"/>
      <c r="I128" s="27">
        <f>IF(E128=0,F131,F128)</f>
        <v>16.899717261904762</v>
      </c>
    </row>
    <row r="129" spans="1:9">
      <c r="A129" s="30" t="s">
        <v>1077</v>
      </c>
      <c r="B129" s="31" t="s">
        <v>1103</v>
      </c>
      <c r="C129" s="44" t="s">
        <v>845</v>
      </c>
      <c r="D129" s="32" t="str">
        <f t="shared" si="25"/>
        <v>PBSeT_River sediment_natürlich</v>
      </c>
      <c r="E129" s="25">
        <f>COUNTIF(Abbau!$AI$2:$AI$1024,D129)</f>
        <v>0</v>
      </c>
      <c r="F129" s="27">
        <f t="array" ref="F129">IFERROR(QUARTILE(IF(Abbau!$AI$2:$AI$1024=D129,Abbau!$AH$2:$AH$1024),2),0)</f>
        <v>0</v>
      </c>
      <c r="G129" s="119" t="str">
        <f t="array" ref="G129">IF(E129=0,"n.v.",_xlfn.STDEV.P(IF(Abbau!$AI$2:$AI$1024=D129,Abbau!$AH$2:$AH$1024),0))</f>
        <v>n.v.</v>
      </c>
      <c r="H129" s="143"/>
      <c r="I129" s="26">
        <f>IF(E129=0,IF(E130=0,IF(I128&lt;I131,I128,I131),F130),F129)</f>
        <v>9.6029761904761894</v>
      </c>
    </row>
    <row r="130" spans="1:9">
      <c r="A130" s="30" t="s">
        <v>1077</v>
      </c>
      <c r="B130" s="31" t="s">
        <v>1104</v>
      </c>
      <c r="C130" s="44" t="s">
        <v>845</v>
      </c>
      <c r="D130" s="32" t="str">
        <f t="shared" si="25"/>
        <v>PBSeT_Benthic_natürlich</v>
      </c>
      <c r="E130" s="25">
        <f>COUNTIF(Abbau!$AI$2:$AI$1024,D130)</f>
        <v>9</v>
      </c>
      <c r="F130" s="27">
        <f t="array" ref="F130">IFERROR(QUARTILE(IF(Abbau!$AI$2:$AI$1024=D130,Abbau!$AH$2:$AH$1024),2),0)</f>
        <v>9.6029761904761894</v>
      </c>
      <c r="G130" s="119">
        <f t="array" ref="G130">IF(E130=0,"n.v.",_xlfn.STDEV.P(IF(Abbau!$AI$2:$AI$1024=D130,Abbau!$AH$2:$AH$1024),0))</f>
        <v>4.9248292328779772</v>
      </c>
      <c r="H130" s="143"/>
      <c r="I130" s="26">
        <f>IF(E130=0,IF(E129=0,IF(I128&lt;I131,I128,I131),F129),F130)</f>
        <v>9.6029761904761894</v>
      </c>
    </row>
    <row r="131" spans="1:9">
      <c r="A131" s="30" t="s">
        <v>1077</v>
      </c>
      <c r="B131" s="32" t="s">
        <v>23</v>
      </c>
      <c r="C131" s="44" t="s">
        <v>845</v>
      </c>
      <c r="D131" s="32" t="str">
        <f t="shared" si="25"/>
        <v>PBSeT_Meerwasser_natürlich</v>
      </c>
      <c r="E131" s="25">
        <f>COUNTIF(Abbau!$AI$2:$AI$1024,D131)</f>
        <v>3</v>
      </c>
      <c r="F131" s="27">
        <f t="array" ref="F131">IFERROR(QUARTILE(IF(Abbau!$AI$2:$AI$1024=D131,Abbau!$AH$2:$AH$1024),2),0)</f>
        <v>3.0295484727755642</v>
      </c>
      <c r="G131" s="119">
        <f t="array" ref="G131">IF(E131=0,"n.v.",_xlfn.STDEV.P(IF(Abbau!$AI$2:$AI$1024=D131,Abbau!$AH$2:$AH$1024),0))</f>
        <v>2.9373492854873215</v>
      </c>
      <c r="H131" s="143"/>
      <c r="I131" s="27">
        <f>IF(E131=0,F128,F131)</f>
        <v>3.0295484727755642</v>
      </c>
    </row>
    <row r="132" spans="1:9">
      <c r="A132" s="30" t="s">
        <v>1077</v>
      </c>
      <c r="B132" s="56" t="s">
        <v>1081</v>
      </c>
      <c r="C132" s="68" t="s">
        <v>845</v>
      </c>
      <c r="D132" s="56" t="str">
        <f t="shared" si="25"/>
        <v>PBSeT_Süßwasser_natürlich</v>
      </c>
      <c r="E132" s="57">
        <f>COUNTIF(Abbau!$AI$2:$AI$1024,D132)</f>
        <v>0</v>
      </c>
      <c r="F132" s="69">
        <f t="array" ref="F132">IFERROR(QUARTILE(IF(Abbau!$AI$2:$AI$1024=D132,Abbau!$AH$2:$AH$1024),2),0)</f>
        <v>0</v>
      </c>
      <c r="G132" s="119" t="str">
        <f t="array" ref="G132">IF(E132=0,"n.v.",_xlfn.STDEV.P(IF(Abbau!$AI$2:$AI$1024=D132,Abbau!$AH$2:$AH$1024),0))</f>
        <v>n.v.</v>
      </c>
      <c r="H132" s="143"/>
      <c r="I132" s="70" t="s">
        <v>596</v>
      </c>
    </row>
    <row r="133" spans="1:9">
      <c r="A133" s="30" t="s">
        <v>771</v>
      </c>
      <c r="B133" s="52" t="s">
        <v>358</v>
      </c>
      <c r="C133" s="67" t="s">
        <v>845</v>
      </c>
      <c r="D133" s="52" t="str">
        <f t="shared" ref="D133:D137" si="26">CONCATENATE(A133,"_",B133,"_",C133)</f>
        <v>PES_Boden/Kompost_natürlich</v>
      </c>
      <c r="E133" s="53">
        <f>COUNTIF(Abbau!$AI$2:$AI$1024,D133)</f>
        <v>0</v>
      </c>
      <c r="F133" s="127">
        <f t="array" ref="F133">IFERROR(QUARTILE(IF(Abbau!$AI$2:$AI$1024=D133,Abbau!$AH$2:$AH$1024),2),0)</f>
        <v>0</v>
      </c>
      <c r="G133" s="119" t="str">
        <f t="array" ref="G133">IF(E133=0,"n.v.",_xlfn.STDEV.P(IF(Abbau!$AI$2:$AI$1024=D133,Abbau!$AH$2:$AH$1024),0))</f>
        <v>n.v.</v>
      </c>
      <c r="H133" s="143"/>
      <c r="I133" s="27">
        <f>IF(E133=0,F136,F133)</f>
        <v>16.294642857142875</v>
      </c>
    </row>
    <row r="134" spans="1:9">
      <c r="A134" s="30" t="s">
        <v>771</v>
      </c>
      <c r="B134" s="31" t="s">
        <v>1103</v>
      </c>
      <c r="C134" s="44" t="s">
        <v>845</v>
      </c>
      <c r="D134" s="32" t="str">
        <f t="shared" si="26"/>
        <v>PES_River sediment_natürlich</v>
      </c>
      <c r="E134" s="25">
        <f>COUNTIF(Abbau!$AI$2:$AI$1024,D134)</f>
        <v>0</v>
      </c>
      <c r="F134" s="27">
        <f t="array" ref="F134">IFERROR(QUARTILE(IF(Abbau!$AI$2:$AI$1024=D134,Abbau!$AH$2:$AH$1024),2),0)</f>
        <v>0</v>
      </c>
      <c r="G134" s="119" t="str">
        <f t="array" ref="G134">IF(E134=0,"n.v.",_xlfn.STDEV.P(IF(Abbau!$AI$2:$AI$1024=D134,Abbau!$AH$2:$AH$1024),0))</f>
        <v>n.v.</v>
      </c>
      <c r="H134" s="143"/>
      <c r="I134" s="26">
        <f>IF(E134=0,IF(E135=0,IF(I133&lt;I136,I133,I136),F135),F134)</f>
        <v>16.294642857142875</v>
      </c>
    </row>
    <row r="135" spans="1:9">
      <c r="A135" s="30" t="s">
        <v>771</v>
      </c>
      <c r="B135" s="31" t="s">
        <v>1104</v>
      </c>
      <c r="C135" s="44" t="s">
        <v>845</v>
      </c>
      <c r="D135" s="32" t="str">
        <f t="shared" si="26"/>
        <v>PES_Benthic_natürlich</v>
      </c>
      <c r="E135" s="25">
        <f>COUNTIF(Abbau!$AI$2:$AI$1024,D135)</f>
        <v>0</v>
      </c>
      <c r="F135" s="27">
        <f t="array" ref="F135">IFERROR(QUARTILE(IF(Abbau!$AI$2:$AI$1024=D135,Abbau!$AH$2:$AH$1024),2),0)</f>
        <v>0</v>
      </c>
      <c r="G135" s="119" t="str">
        <f t="array" ref="G135">IF(E135=0,"n.v.",_xlfn.STDEV.P(IF(Abbau!$AI$2:$AI$1024=D135,Abbau!$AH$2:$AH$1024),0))</f>
        <v>n.v.</v>
      </c>
      <c r="H135" s="143"/>
      <c r="I135" s="26">
        <f>IF(E135=0,IF(E134=0,IF(I133&lt;I136,I133,I136),F134),F135)</f>
        <v>16.294642857142875</v>
      </c>
    </row>
    <row r="136" spans="1:9">
      <c r="A136" s="30" t="s">
        <v>771</v>
      </c>
      <c r="B136" s="32" t="s">
        <v>23</v>
      </c>
      <c r="C136" s="44" t="s">
        <v>845</v>
      </c>
      <c r="D136" s="32" t="str">
        <f t="shared" si="26"/>
        <v>PES_Meerwasser_natürlich</v>
      </c>
      <c r="E136" s="25">
        <f>COUNTIF(Abbau!$AI$2:$AI$1024,D136)</f>
        <v>4</v>
      </c>
      <c r="F136" s="27">
        <f t="array" ref="F136">IFERROR(QUARTILE(IF(Abbau!$AI$2:$AI$1024=D136,Abbau!$AH$2:$AH$1024),2),0)</f>
        <v>16.294642857142875</v>
      </c>
      <c r="G136" s="119">
        <f t="array" ref="G136">IF(E136=0,"n.v.",_xlfn.STDEV.P(IF(Abbau!$AI$2:$AI$1024=D136,Abbau!$AH$2:$AH$1024),0))</f>
        <v>11.213745437394863</v>
      </c>
      <c r="H136" s="143"/>
      <c r="I136" s="27">
        <f>IF(E136=0,F133,F136)</f>
        <v>16.294642857142875</v>
      </c>
    </row>
    <row r="137" spans="1:9">
      <c r="A137" s="30" t="s">
        <v>771</v>
      </c>
      <c r="B137" s="56" t="s">
        <v>1081</v>
      </c>
      <c r="C137" s="68" t="s">
        <v>845</v>
      </c>
      <c r="D137" s="56" t="str">
        <f t="shared" si="26"/>
        <v>PES_Süßwasser_natürlich</v>
      </c>
      <c r="E137" s="57">
        <f>COUNTIF(Abbau!$AI$2:$AI$1024,D137)</f>
        <v>4</v>
      </c>
      <c r="F137" s="69">
        <f t="array" ref="F137">IFERROR(QUARTILE(IF(Abbau!$AI$2:$AI$1024=D137,Abbau!$AH$2:$AH$1024),2),0)</f>
        <v>596.38392857142867</v>
      </c>
      <c r="G137" s="119">
        <f t="array" ref="G137">IF(E137=0,"n.v.",_xlfn.STDEV.P(IF(Abbau!$AI$2:$AI$1024=D137,Abbau!$AH$2:$AH$1024),0))</f>
        <v>242.09255298167196</v>
      </c>
      <c r="H137" s="143"/>
      <c r="I137" s="70" t="s">
        <v>596</v>
      </c>
    </row>
    <row r="138" spans="1:9">
      <c r="A138" s="50" t="s">
        <v>1092</v>
      </c>
      <c r="B138" s="52" t="s">
        <v>358</v>
      </c>
      <c r="C138" s="67" t="s">
        <v>845</v>
      </c>
      <c r="D138" s="52" t="str">
        <f t="shared" si="11"/>
        <v>PLA(-blend)_Boden/Kompost_natürlich</v>
      </c>
      <c r="E138" s="53">
        <f>COUNTIF(Abbau!$AI$2:$AI$1024,D138)</f>
        <v>3</v>
      </c>
      <c r="F138" s="127">
        <f t="array" ref="F138">IFERROR(QUARTILE(IF(Abbau!$AI$2:$AI$1024=D138,Abbau!$AH$2:$AH$1024),2),0)</f>
        <v>78.694724300850595</v>
      </c>
      <c r="G138" s="119">
        <f t="array" ref="G138">IF(E138=0,"n.v.",_xlfn.STDEV.P(IF(Abbau!$AI$2:$AI$1024=D138,Abbau!$AH$2:$AH$1024),0))</f>
        <v>76.365687211476981</v>
      </c>
      <c r="H138" s="143"/>
      <c r="I138" s="27">
        <f>IF(E138=0,F141,F138)</f>
        <v>78.694724300850595</v>
      </c>
    </row>
    <row r="139" spans="1:9">
      <c r="A139" s="30" t="s">
        <v>1092</v>
      </c>
      <c r="B139" s="31" t="s">
        <v>1103</v>
      </c>
      <c r="C139" s="44" t="s">
        <v>845</v>
      </c>
      <c r="D139" s="32" t="str">
        <f t="shared" si="11"/>
        <v>PLA(-blend)_River sediment_natürlich</v>
      </c>
      <c r="E139" s="25">
        <f>COUNTIF(Abbau!$AI$2:$AI$1024,D139)</f>
        <v>2</v>
      </c>
      <c r="F139" s="27">
        <f t="array" ref="F139">IFERROR(QUARTILE(IF(Abbau!$AI$2:$AI$1024=D139,Abbau!$AH$2:$AH$1024),2),0)</f>
        <v>5.60535714285913E-4</v>
      </c>
      <c r="G139" s="119">
        <f t="array" ref="G139">IF(E139=0,"n.v.",_xlfn.STDEV.P(IF(Abbau!$AI$2:$AI$1024=D139,Abbau!$AH$2:$AH$1024),0))</f>
        <v>5.2847813955841894E-4</v>
      </c>
      <c r="H139" s="143"/>
      <c r="I139" s="26">
        <f>IF(E139=0,IF(E140=0,IF(I138&lt;I141,I138,I141),F140),F139)</f>
        <v>5.60535714285913E-4</v>
      </c>
    </row>
    <row r="140" spans="1:9">
      <c r="A140" s="30" t="s">
        <v>1092</v>
      </c>
      <c r="B140" s="31" t="s">
        <v>1104</v>
      </c>
      <c r="C140" s="44" t="s">
        <v>845</v>
      </c>
      <c r="D140" s="32" t="str">
        <f t="shared" ref="D140" si="27">CONCATENATE(A140,"_",B140,"_",C140)</f>
        <v>PLA(-blend)_Benthic_natürlich</v>
      </c>
      <c r="E140" s="25">
        <f>COUNTIF(Abbau!$AI$2:$AI$1024,D140)</f>
        <v>0</v>
      </c>
      <c r="F140" s="27">
        <f t="array" ref="F140">IFERROR(QUARTILE(IF(Abbau!$AI$2:$AI$1024=D140,Abbau!$AH$2:$AH$1024),2),0)</f>
        <v>0</v>
      </c>
      <c r="G140" s="119" t="str">
        <f t="array" ref="G140">IF(E140=0,"n.v.",_xlfn.STDEV.P(IF(Abbau!$AI$2:$AI$1024=D140,Abbau!$AH$2:$AH$1024),0))</f>
        <v>n.v.</v>
      </c>
      <c r="H140" s="143"/>
      <c r="I140" s="26">
        <f>IF(E140=0,IF(E139=0,IF(I138&lt;I141,I138,I141),F139),F140)</f>
        <v>5.60535714285913E-4</v>
      </c>
    </row>
    <row r="141" spans="1:9">
      <c r="A141" s="30" t="s">
        <v>1092</v>
      </c>
      <c r="B141" s="32" t="s">
        <v>23</v>
      </c>
      <c r="C141" s="44" t="s">
        <v>845</v>
      </c>
      <c r="D141" s="32" t="str">
        <f t="shared" si="11"/>
        <v>PLA(-blend)_Meerwasser_natürlich</v>
      </c>
      <c r="E141" s="25">
        <f>COUNTIF(Abbau!$AI$2:$AI$1024,D141)</f>
        <v>1</v>
      </c>
      <c r="F141" s="27">
        <f t="array" ref="F141">IFERROR(QUARTILE(IF(Abbau!$AI$2:$AI$1024=D141,Abbau!$AH$2:$AH$1024),2),0)</f>
        <v>0</v>
      </c>
      <c r="G141" s="119">
        <f t="array" ref="G141">IF(E141=0,"n.v.",_xlfn.STDEV.P(IF(Abbau!$AI$2:$AI$1024=D141,Abbau!$AH$2:$AH$1024),0))</f>
        <v>0</v>
      </c>
      <c r="H141" s="143"/>
      <c r="I141" s="27">
        <f>IF(E141=0,F138,F141)</f>
        <v>0</v>
      </c>
    </row>
    <row r="142" spans="1:9">
      <c r="A142" s="54" t="s">
        <v>1092</v>
      </c>
      <c r="B142" s="56" t="s">
        <v>1081</v>
      </c>
      <c r="C142" s="68" t="s">
        <v>845</v>
      </c>
      <c r="D142" s="56" t="str">
        <f t="shared" si="11"/>
        <v>PLA(-blend)_Süßwasser_natürlich</v>
      </c>
      <c r="E142" s="57">
        <f>COUNTIF(Abbau!$AI$2:$AI$1024,D142)</f>
        <v>2</v>
      </c>
      <c r="F142" s="69">
        <f t="array" ref="F142">IFERROR(QUARTILE(IF(Abbau!$AI$2:$AI$1024=D142,Abbau!$AH$2:$AH$1024),2),0)</f>
        <v>0.72217857142857156</v>
      </c>
      <c r="G142" s="119">
        <f t="array" ref="G142">IF(E142=0,"n.v.",_xlfn.STDEV.P(IF(Abbau!$AI$2:$AI$1024=D142,Abbau!$AH$2:$AH$1024),0))</f>
        <v>0.58416033796682532</v>
      </c>
      <c r="H142" s="143"/>
      <c r="I142" s="70" t="s">
        <v>596</v>
      </c>
    </row>
    <row r="143" spans="1:9">
      <c r="A143" s="30" t="s">
        <v>1059</v>
      </c>
      <c r="B143" s="52" t="s">
        <v>358</v>
      </c>
      <c r="C143" s="44" t="s">
        <v>845</v>
      </c>
      <c r="D143" s="32" t="str">
        <f t="shared" si="11"/>
        <v>Starch-blend_Boden/Kompost_natürlich</v>
      </c>
      <c r="E143" s="25">
        <f>COUNTIF(Abbau!$AI$2:$AI$1024,D143)</f>
        <v>2</v>
      </c>
      <c r="F143" s="27">
        <f t="array" ref="F143">IFERROR(QUARTILE(IF(Abbau!$AI$2:$AI$1024=D143,Abbau!$AH$2:$AH$1024),2),0)</f>
        <v>1299.8205442525373</v>
      </c>
      <c r="G143" s="122">
        <f t="array" ref="G143">IF(E143=0,"n.v.",_xlfn.STDEV.P(IF(Abbau!$AI$2:$AI$1024=D143,Abbau!$AH$2:$AH$1024),0))</f>
        <v>1195.3881357764403</v>
      </c>
      <c r="H143" s="143"/>
      <c r="I143" s="27">
        <f>IF(E143=0,F146,F143)</f>
        <v>1299.8205442525373</v>
      </c>
    </row>
    <row r="144" spans="1:9">
      <c r="A144" s="30" t="s">
        <v>1059</v>
      </c>
      <c r="B144" s="31" t="s">
        <v>1103</v>
      </c>
      <c r="C144" s="44" t="s">
        <v>845</v>
      </c>
      <c r="D144" s="32" t="str">
        <f t="shared" si="11"/>
        <v>Starch-blend_River sediment_natürlich</v>
      </c>
      <c r="E144" s="25">
        <f>COUNTIF(Abbau!$AI$2:$AI$1024,D144)</f>
        <v>0</v>
      </c>
      <c r="F144" s="27">
        <f t="array" ref="F144">IFERROR(QUARTILE(IF(Abbau!$AI$2:$AI$1024=D144,Abbau!$AH$2:$AH$1024),2),0)</f>
        <v>0</v>
      </c>
      <c r="G144" s="119" t="str">
        <f t="array" ref="G144">IF(E144=0,"n.v.",_xlfn.STDEV.P(IF(Abbau!$AI$2:$AI$1024=D144,Abbau!$AH$2:$AH$1024),0))</f>
        <v>n.v.</v>
      </c>
      <c r="H144" s="143"/>
      <c r="I144" s="26">
        <f>IF(E144=0,IF(E145=0,IF(I143&lt;I146,I143,I146),F145),F144)</f>
        <v>11.721758474576271</v>
      </c>
    </row>
    <row r="145" spans="1:9">
      <c r="A145" s="30" t="s">
        <v>1059</v>
      </c>
      <c r="B145" s="31" t="s">
        <v>1104</v>
      </c>
      <c r="C145" s="44" t="s">
        <v>845</v>
      </c>
      <c r="D145" s="32" t="str">
        <f t="shared" ref="D145" si="28">CONCATENATE(A145,"_",B145,"_",C145)</f>
        <v>Starch-blend_Benthic_natürlich</v>
      </c>
      <c r="E145" s="25">
        <f>COUNTIF(Abbau!$AI$2:$AI$1024,D145)</f>
        <v>0</v>
      </c>
      <c r="F145" s="27">
        <f t="array" ref="F145">IFERROR(QUARTILE(IF(Abbau!$AI$2:$AI$1024=D145,Abbau!$AH$2:$AH$1024),2),0)</f>
        <v>0</v>
      </c>
      <c r="G145" s="119" t="str">
        <f t="array" ref="G145">IF(E145=0,"n.v.",_xlfn.STDEV.P(IF(Abbau!$AI$2:$AI$1024=D145,Abbau!$AH$2:$AH$1024),0))</f>
        <v>n.v.</v>
      </c>
      <c r="H145" s="143"/>
      <c r="I145" s="26">
        <f>IF(E145=0,IF(E144=0,IF(I143&lt;I146,I143,I146),F144),F145)</f>
        <v>11.721758474576271</v>
      </c>
    </row>
    <row r="146" spans="1:9">
      <c r="A146" s="30" t="s">
        <v>1059</v>
      </c>
      <c r="B146" s="32" t="s">
        <v>23</v>
      </c>
      <c r="C146" s="44" t="s">
        <v>845</v>
      </c>
      <c r="D146" s="32" t="str">
        <f t="shared" si="11"/>
        <v>Starch-blend_Meerwasser_natürlich</v>
      </c>
      <c r="E146" s="25">
        <f>COUNTIF(Abbau!$AI$2:$AI$1024,D146)</f>
        <v>1</v>
      </c>
      <c r="F146" s="27">
        <f t="array" ref="F146">IFERROR(QUARTILE(IF(Abbau!$AI$2:$AI$1024=D146,Abbau!$AH$2:$AH$1024),2),0)</f>
        <v>11.721758474576271</v>
      </c>
      <c r="G146" s="119">
        <f t="array" ref="G146">IF(E146=0,"n.v.",_xlfn.STDEV.P(IF(Abbau!$AI$2:$AI$1024=D146,Abbau!$AH$2:$AH$1024),0))</f>
        <v>5.8608792372881355</v>
      </c>
      <c r="H146" s="143"/>
      <c r="I146" s="27">
        <f>IF(E146=0,F143,F146)</f>
        <v>11.721758474576271</v>
      </c>
    </row>
    <row r="147" spans="1:9" ht="15.75" thickBot="1">
      <c r="A147" s="33" t="s">
        <v>1059</v>
      </c>
      <c r="B147" s="56" t="s">
        <v>1081</v>
      </c>
      <c r="C147" s="45" t="s">
        <v>845</v>
      </c>
      <c r="D147" s="42" t="str">
        <f t="shared" si="11"/>
        <v>Starch-blend_Süßwasser_natürlich</v>
      </c>
      <c r="E147" s="43">
        <f>COUNTIF(Abbau!$AI$2:$AI$1024,D147)</f>
        <v>0</v>
      </c>
      <c r="F147" s="128">
        <f t="array" ref="F147">IFERROR(QUARTILE(IF(Abbau!$AI$2:$AI$1024=D147,Abbau!$AH$2:$AH$1024),2),0)</f>
        <v>0</v>
      </c>
      <c r="G147" s="119" t="str">
        <f t="array" ref="G147">IF(E147=0,"n.v.",_xlfn.STDEV.P(IF(Abbau!$AI$2:$AI$1024=D147,Abbau!$AH$2:$AH$1024),0))</f>
        <v>n.v.</v>
      </c>
      <c r="H147" s="143"/>
      <c r="I147" s="70" t="s">
        <v>596</v>
      </c>
    </row>
  </sheetData>
  <conditionalFormatting sqref="G1:G97 G103:G107 I1:I107 I113:I122 G113:G122 G138:G1048576 I138:I1048576">
    <cfRule type="cellIs" dxfId="14" priority="24" operator="equal">
      <formula>"n.v."</formula>
    </cfRule>
  </conditionalFormatting>
  <conditionalFormatting sqref="F9:F97 F103:F107 F138:F147 F113:F122">
    <cfRule type="cellIs" dxfId="13" priority="13" operator="equal">
      <formula>"n.v."</formula>
    </cfRule>
  </conditionalFormatting>
  <conditionalFormatting sqref="G98:G102">
    <cfRule type="cellIs" dxfId="12" priority="12" operator="equal">
      <formula>"n.v."</formula>
    </cfRule>
  </conditionalFormatting>
  <conditionalFormatting sqref="F98:F102">
    <cfRule type="cellIs" dxfId="11" priority="11" operator="equal">
      <formula>"n.v."</formula>
    </cfRule>
  </conditionalFormatting>
  <conditionalFormatting sqref="G123:G127 I123:I127">
    <cfRule type="cellIs" dxfId="10" priority="10" operator="equal">
      <formula>"n.v."</formula>
    </cfRule>
  </conditionalFormatting>
  <conditionalFormatting sqref="F123:F127">
    <cfRule type="cellIs" dxfId="9" priority="9" operator="equal">
      <formula>"n.v."</formula>
    </cfRule>
  </conditionalFormatting>
  <conditionalFormatting sqref="G128:G132 I128:I132">
    <cfRule type="cellIs" dxfId="8" priority="8" operator="equal">
      <formula>"n.v."</formula>
    </cfRule>
  </conditionalFormatting>
  <conditionalFormatting sqref="F128:F132">
    <cfRule type="cellIs" dxfId="7" priority="7" operator="equal">
      <formula>"n.v."</formula>
    </cfRule>
  </conditionalFormatting>
  <conditionalFormatting sqref="G133:G137 I133:I137">
    <cfRule type="cellIs" dxfId="6" priority="6" operator="equal">
      <formula>"n.v."</formula>
    </cfRule>
  </conditionalFormatting>
  <conditionalFormatting sqref="F133:F137">
    <cfRule type="cellIs" dxfId="5" priority="5" operator="equal">
      <formula>"n.v."</formula>
    </cfRule>
  </conditionalFormatting>
  <conditionalFormatting sqref="G108:G112 I108:I112">
    <cfRule type="cellIs" dxfId="4" priority="4" operator="equal">
      <formula>"n.v."</formula>
    </cfRule>
  </conditionalFormatting>
  <conditionalFormatting sqref="F108:F112">
    <cfRule type="cellIs" dxfId="3" priority="3" operator="equal">
      <formula>"n.v."</formula>
    </cfRule>
  </conditionalFormatting>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5"/>
  <sheetViews>
    <sheetView workbookViewId="0">
      <selection activeCell="B9" activeCellId="2" sqref="B12:B13 B10 B9"/>
    </sheetView>
  </sheetViews>
  <sheetFormatPr baseColWidth="10" defaultColWidth="10.85546875" defaultRowHeight="15"/>
  <cols>
    <col min="1" max="1" width="84.140625" customWidth="1"/>
    <col min="2" max="2" width="23.7109375" customWidth="1"/>
    <col min="3" max="3" width="10.42578125" customWidth="1"/>
    <col min="4" max="4" width="10.28515625" customWidth="1"/>
    <col min="5" max="5" width="9.7109375" customWidth="1"/>
    <col min="6" max="6" width="13.28515625" customWidth="1"/>
    <col min="7" max="7" width="14.42578125" customWidth="1"/>
    <col min="8" max="8" width="8.85546875" customWidth="1"/>
    <col min="9" max="9" width="9.28515625" customWidth="1"/>
    <col min="10" max="10" width="9.5703125" customWidth="1"/>
    <col min="11" max="11" width="6.28515625" customWidth="1"/>
    <col min="12" max="12" width="15.5703125" customWidth="1"/>
    <col min="13" max="14" width="12" customWidth="1"/>
    <col min="15" max="15" width="6" customWidth="1"/>
    <col min="16" max="19" width="12" customWidth="1"/>
    <col min="20" max="20" width="7" customWidth="1"/>
    <col min="21" max="21" width="12" customWidth="1"/>
    <col min="22" max="22" width="11" customWidth="1"/>
    <col min="23" max="24" width="12" customWidth="1"/>
    <col min="25" max="25" width="6" customWidth="1"/>
    <col min="26" max="26" width="12" customWidth="1"/>
    <col min="27" max="27" width="11" customWidth="1"/>
    <col min="28" max="31" width="12" customWidth="1"/>
    <col min="32" max="32" width="6" customWidth="1"/>
    <col min="33" max="34" width="12" customWidth="1"/>
    <col min="35" max="35" width="8" customWidth="1"/>
    <col min="36" max="36" width="4" customWidth="1"/>
    <col min="37" max="42" width="12" customWidth="1"/>
    <col min="43" max="43" width="8" customWidth="1"/>
    <col min="44" max="45" width="12" customWidth="1"/>
    <col min="46" max="46" width="7" customWidth="1"/>
    <col min="47" max="47" width="11" customWidth="1"/>
    <col min="48" max="48" width="8" customWidth="1"/>
    <col min="49" max="51" width="12" customWidth="1"/>
    <col min="52" max="52" width="6" customWidth="1"/>
    <col min="53" max="53" width="12" customWidth="1"/>
    <col min="54" max="54" width="5" customWidth="1"/>
    <col min="55" max="56" width="12" customWidth="1"/>
    <col min="57" max="57" width="4" customWidth="1"/>
    <col min="58" max="65" width="12" customWidth="1"/>
    <col min="66" max="66" width="8" customWidth="1"/>
    <col min="67" max="67" width="12" customWidth="1"/>
    <col min="68" max="68" width="9" customWidth="1"/>
    <col min="69" max="69" width="12" customWidth="1"/>
    <col min="70" max="70" width="7" customWidth="1"/>
    <col min="71" max="71" width="12" customWidth="1"/>
    <col min="72" max="72" width="7" customWidth="1"/>
    <col min="73" max="73" width="12" customWidth="1"/>
    <col min="74" max="74" width="11" customWidth="1"/>
    <col min="75" max="75" width="3" customWidth="1"/>
    <col min="76" max="79" width="12" customWidth="1"/>
    <col min="80" max="80" width="3" customWidth="1"/>
    <col min="81" max="81" width="5" customWidth="1"/>
    <col min="82" max="82" width="12" customWidth="1"/>
    <col min="83" max="83" width="8" customWidth="1"/>
    <col min="84" max="90" width="12" customWidth="1"/>
    <col min="91" max="92" width="5" customWidth="1"/>
    <col min="93" max="93" width="12" customWidth="1"/>
    <col min="94" max="94" width="8" customWidth="1"/>
    <col min="95" max="95" width="3" customWidth="1"/>
    <col min="96" max="96" width="6" customWidth="1"/>
    <col min="97" max="110" width="12" customWidth="1"/>
    <col min="111" max="111" width="6" customWidth="1"/>
    <col min="112" max="112" width="12" customWidth="1"/>
    <col min="113" max="113" width="9" customWidth="1"/>
    <col min="114" max="115" width="12" customWidth="1"/>
    <col min="116" max="116" width="3" customWidth="1"/>
    <col min="117" max="118" width="12" customWidth="1"/>
    <col min="119" max="119" width="11" customWidth="1"/>
    <col min="120" max="120" width="7" customWidth="1"/>
    <col min="121" max="121" width="12" customWidth="1"/>
    <col min="122" max="123" width="6" customWidth="1"/>
    <col min="124" max="126" width="12" customWidth="1"/>
    <col min="127" max="127" width="8" customWidth="1"/>
    <col min="128" max="128" width="12" customWidth="1"/>
    <col min="129" max="129" width="6" customWidth="1"/>
    <col min="130" max="130" width="12" customWidth="1"/>
    <col min="131" max="131" width="7" customWidth="1"/>
    <col min="132" max="139" width="12" customWidth="1"/>
    <col min="140" max="140" width="9" customWidth="1"/>
    <col min="141" max="141" width="8" customWidth="1"/>
    <col min="142" max="142" width="12" customWidth="1"/>
    <col min="143" max="143" width="6" customWidth="1"/>
    <col min="144" max="144" width="12" customWidth="1"/>
    <col min="145" max="145" width="4" customWidth="1"/>
    <col min="146" max="147" width="12" customWidth="1"/>
    <col min="148" max="148" width="4" customWidth="1"/>
    <col min="149" max="150" width="12" customWidth="1"/>
    <col min="151" max="151" width="7" customWidth="1"/>
    <col min="152" max="152" width="9" customWidth="1"/>
    <col min="153" max="153" width="12" customWidth="1"/>
    <col min="154" max="154" width="10" customWidth="1"/>
    <col min="155" max="156" width="12" customWidth="1"/>
    <col min="157" max="157" width="9" customWidth="1"/>
    <col min="158" max="158" width="12" customWidth="1"/>
    <col min="159" max="159" width="10" customWidth="1"/>
    <col min="160" max="160" width="12" customWidth="1"/>
    <col min="161" max="161" width="9" customWidth="1"/>
    <col min="162" max="162" width="12" customWidth="1"/>
    <col min="163" max="163" width="6" customWidth="1"/>
    <col min="164" max="167" width="12" customWidth="1"/>
    <col min="168" max="170" width="4" customWidth="1"/>
    <col min="171" max="174" width="12" customWidth="1"/>
    <col min="175" max="175" width="7" customWidth="1"/>
    <col min="176" max="180" width="12" customWidth="1"/>
    <col min="181" max="181" width="8" customWidth="1"/>
    <col min="182" max="184" width="12" customWidth="1"/>
    <col min="185" max="185" width="8" customWidth="1"/>
    <col min="186" max="186" width="12" customWidth="1"/>
    <col min="187" max="187" width="6" customWidth="1"/>
    <col min="188" max="197" width="12" customWidth="1"/>
    <col min="198" max="199" width="6" customWidth="1"/>
    <col min="200" max="203" width="12" customWidth="1"/>
    <col min="204" max="204" width="11" customWidth="1"/>
    <col min="205" max="205" width="5" customWidth="1"/>
    <col min="206" max="207" width="12" customWidth="1"/>
    <col min="208" max="208" width="7" customWidth="1"/>
    <col min="209" max="209" width="12" customWidth="1"/>
    <col min="210" max="210" width="5" customWidth="1"/>
    <col min="211" max="211" width="4" customWidth="1"/>
    <col min="212" max="212" width="6.28515625" customWidth="1"/>
    <col min="213" max="213" width="15.5703125" bestFit="1" customWidth="1"/>
  </cols>
  <sheetData>
    <row r="1" spans="1:5" ht="18.75">
      <c r="A1" s="78" t="s">
        <v>941</v>
      </c>
    </row>
    <row r="2" spans="1:5" ht="15.75" thickBot="1"/>
    <row r="3" spans="1:5" ht="15.75" thickBot="1">
      <c r="A3" s="79" t="s">
        <v>934</v>
      </c>
      <c r="B3" s="80">
        <v>649</v>
      </c>
      <c r="D3" t="s">
        <v>1082</v>
      </c>
      <c r="E3">
        <v>146</v>
      </c>
    </row>
    <row r="4" spans="1:5">
      <c r="A4" s="85" t="s">
        <v>935</v>
      </c>
      <c r="B4" s="86"/>
      <c r="E4">
        <f>E3-E5</f>
        <v>96</v>
      </c>
    </row>
    <row r="5" spans="1:5">
      <c r="A5" s="87" t="s">
        <v>936</v>
      </c>
      <c r="B5" s="82">
        <f>COUNTIF(Abbau!AK2:AK2021,"inhaltlich irrelevant")</f>
        <v>28</v>
      </c>
      <c r="D5" t="s">
        <v>1083</v>
      </c>
      <c r="E5">
        <v>50</v>
      </c>
    </row>
    <row r="6" spans="1:5">
      <c r="A6" s="87" t="s">
        <v>945</v>
      </c>
      <c r="B6" s="82">
        <f>COUNTIF(Abbau!AK2:AK2021,"Plastikart unklar")</f>
        <v>8</v>
      </c>
    </row>
    <row r="7" spans="1:5">
      <c r="A7" s="88" t="s">
        <v>937</v>
      </c>
      <c r="B7" s="82">
        <f>COUNTIF(Abbau!AK2:AK2021,"Form fehlt")</f>
        <v>41</v>
      </c>
    </row>
    <row r="8" spans="1:5">
      <c r="A8" s="88" t="s">
        <v>939</v>
      </c>
      <c r="B8" s="81">
        <f>COUNTIF(Abbau!AK2:AK2021,"Thickness fehlt")</f>
        <v>94</v>
      </c>
    </row>
    <row r="9" spans="1:5">
      <c r="A9" s="87" t="s">
        <v>966</v>
      </c>
      <c r="B9" s="82">
        <f>COUNTIF(Abbau!AK2:AK2021,"Messverfahren irrelevant")</f>
        <v>14</v>
      </c>
    </row>
    <row r="10" spans="1:5">
      <c r="A10" s="88" t="s">
        <v>938</v>
      </c>
      <c r="B10" s="82">
        <f>COUNTIF(Abbau!AK2:AK2021,"Kompartment irrelevant")</f>
        <v>17</v>
      </c>
    </row>
    <row r="11" spans="1:5" ht="15.75" thickBot="1">
      <c r="A11" s="83" t="s">
        <v>943</v>
      </c>
      <c r="B11" s="84">
        <f>SUM(B5:B10)</f>
        <v>202</v>
      </c>
    </row>
    <row r="12" spans="1:5">
      <c r="A12" s="209" t="s">
        <v>1085</v>
      </c>
      <c r="B12" s="211">
        <f>COUNTIF(Abbau!AK2:AK2021,"Accelerated")</f>
        <v>218</v>
      </c>
    </row>
    <row r="13" spans="1:5" ht="15.75" thickBot="1">
      <c r="A13" s="210" t="s">
        <v>1086</v>
      </c>
      <c r="B13" s="212">
        <f>COUNTIF(Abbau!AK2:AK2021,"nicht-natürlich")</f>
        <v>39</v>
      </c>
    </row>
    <row r="14" spans="1:5" ht="15.75" thickBot="1">
      <c r="A14" s="83" t="s">
        <v>944</v>
      </c>
      <c r="B14" s="84">
        <f>B3-B11-B12-B13</f>
        <v>190</v>
      </c>
    </row>
    <row r="17" spans="1:12">
      <c r="A17" s="46" t="s">
        <v>1032</v>
      </c>
      <c r="B17" s="46" t="s">
        <v>848</v>
      </c>
    </row>
    <row r="18" spans="1:12" s="1" customFormat="1" ht="30">
      <c r="A18" s="213" t="s">
        <v>847</v>
      </c>
      <c r="C18" s="1" t="s">
        <v>329</v>
      </c>
      <c r="D18" s="1" t="s">
        <v>1031</v>
      </c>
      <c r="E18" s="1" t="s">
        <v>1030</v>
      </c>
      <c r="F18" s="1" t="s">
        <v>1087</v>
      </c>
      <c r="G18" s="1" t="s">
        <v>966</v>
      </c>
      <c r="H18" s="1" t="s">
        <v>1088</v>
      </c>
      <c r="I18" s="1" t="s">
        <v>945</v>
      </c>
      <c r="J18" s="1" t="s">
        <v>1029</v>
      </c>
      <c r="K18" s="1" t="s">
        <v>1023</v>
      </c>
      <c r="L18" s="1" t="s">
        <v>1024</v>
      </c>
    </row>
    <row r="19" spans="1:12">
      <c r="A19" s="47" t="s">
        <v>975</v>
      </c>
      <c r="B19" s="48"/>
      <c r="C19" s="48">
        <v>3</v>
      </c>
      <c r="D19" s="48"/>
      <c r="E19" s="48"/>
      <c r="F19" s="48"/>
      <c r="G19" s="48"/>
      <c r="H19" s="48"/>
      <c r="I19" s="48"/>
      <c r="J19" s="48"/>
      <c r="K19" s="48"/>
      <c r="L19" s="48">
        <v>3</v>
      </c>
    </row>
    <row r="20" spans="1:12">
      <c r="A20" s="47" t="s">
        <v>139</v>
      </c>
      <c r="B20" s="48">
        <v>4</v>
      </c>
      <c r="C20" s="48">
        <v>2</v>
      </c>
      <c r="D20" s="48"/>
      <c r="E20" s="48"/>
      <c r="F20" s="48"/>
      <c r="G20" s="48"/>
      <c r="H20" s="48"/>
      <c r="I20" s="48"/>
      <c r="J20" s="48"/>
      <c r="K20" s="48"/>
      <c r="L20" s="48">
        <v>6</v>
      </c>
    </row>
    <row r="21" spans="1:12">
      <c r="A21" s="47" t="s">
        <v>276</v>
      </c>
      <c r="B21" s="48"/>
      <c r="C21" s="48">
        <v>3</v>
      </c>
      <c r="D21" s="48"/>
      <c r="E21" s="48"/>
      <c r="F21" s="48"/>
      <c r="G21" s="48"/>
      <c r="H21" s="48"/>
      <c r="I21" s="48"/>
      <c r="J21" s="48"/>
      <c r="K21" s="48"/>
      <c r="L21" s="48">
        <v>3</v>
      </c>
    </row>
    <row r="22" spans="1:12">
      <c r="A22" s="47" t="s">
        <v>131</v>
      </c>
      <c r="B22" s="48"/>
      <c r="C22" s="48"/>
      <c r="D22" s="48"/>
      <c r="E22" s="48"/>
      <c r="F22" s="48"/>
      <c r="G22" s="48"/>
      <c r="H22" s="48"/>
      <c r="I22" s="48">
        <v>1</v>
      </c>
      <c r="J22" s="48">
        <v>2</v>
      </c>
      <c r="K22" s="48"/>
      <c r="L22" s="48">
        <v>3</v>
      </c>
    </row>
    <row r="23" spans="1:12">
      <c r="A23" s="47" t="s">
        <v>822</v>
      </c>
      <c r="B23" s="48"/>
      <c r="C23" s="48"/>
      <c r="D23" s="48"/>
      <c r="E23" s="48"/>
      <c r="F23" s="48"/>
      <c r="G23" s="48"/>
      <c r="H23" s="48"/>
      <c r="I23" s="48"/>
      <c r="J23" s="48">
        <v>1</v>
      </c>
      <c r="K23" s="48"/>
      <c r="L23" s="48">
        <v>1</v>
      </c>
    </row>
    <row r="24" spans="1:12">
      <c r="A24" s="47" t="s">
        <v>910</v>
      </c>
      <c r="B24" s="48">
        <v>1</v>
      </c>
      <c r="C24" s="48"/>
      <c r="D24" s="48"/>
      <c r="E24" s="48">
        <v>1</v>
      </c>
      <c r="F24" s="48">
        <v>2</v>
      </c>
      <c r="G24" s="48"/>
      <c r="H24" s="48"/>
      <c r="I24" s="48"/>
      <c r="J24" s="48"/>
      <c r="K24" s="48"/>
      <c r="L24" s="48">
        <v>4</v>
      </c>
    </row>
    <row r="25" spans="1:12">
      <c r="A25" s="47" t="s">
        <v>153</v>
      </c>
      <c r="B25" s="48">
        <v>1</v>
      </c>
      <c r="C25" s="48">
        <v>4</v>
      </c>
      <c r="D25" s="48"/>
      <c r="E25" s="48"/>
      <c r="F25" s="48"/>
      <c r="G25" s="48"/>
      <c r="H25" s="48"/>
      <c r="I25" s="48"/>
      <c r="J25" s="48"/>
      <c r="K25" s="48"/>
      <c r="L25" s="48">
        <v>5</v>
      </c>
    </row>
    <row r="26" spans="1:12">
      <c r="A26" s="47" t="s">
        <v>823</v>
      </c>
      <c r="B26" s="48"/>
      <c r="C26" s="48"/>
      <c r="D26" s="48"/>
      <c r="E26" s="48">
        <v>1</v>
      </c>
      <c r="F26" s="48"/>
      <c r="G26" s="48"/>
      <c r="H26" s="48"/>
      <c r="I26" s="48"/>
      <c r="J26" s="48"/>
      <c r="K26" s="48"/>
      <c r="L26" s="48">
        <v>1</v>
      </c>
    </row>
    <row r="27" spans="1:12">
      <c r="A27" s="47" t="s">
        <v>144</v>
      </c>
      <c r="B27" s="48">
        <v>3</v>
      </c>
      <c r="C27" s="48"/>
      <c r="D27" s="48"/>
      <c r="E27" s="48"/>
      <c r="F27" s="48"/>
      <c r="G27" s="48"/>
      <c r="H27" s="48"/>
      <c r="I27" s="48"/>
      <c r="J27" s="48"/>
      <c r="K27" s="48"/>
      <c r="L27" s="48">
        <v>3</v>
      </c>
    </row>
    <row r="28" spans="1:12">
      <c r="A28" s="47" t="s">
        <v>319</v>
      </c>
      <c r="B28" s="48"/>
      <c r="C28" s="48">
        <v>1</v>
      </c>
      <c r="D28" s="48"/>
      <c r="E28" s="48"/>
      <c r="F28" s="48">
        <v>1</v>
      </c>
      <c r="G28" s="48"/>
      <c r="H28" s="48"/>
      <c r="I28" s="48"/>
      <c r="J28" s="48"/>
      <c r="K28" s="48"/>
      <c r="L28" s="48">
        <v>2</v>
      </c>
    </row>
    <row r="29" spans="1:12">
      <c r="A29" s="47" t="s">
        <v>383</v>
      </c>
      <c r="B29" s="48"/>
      <c r="C29" s="48">
        <v>2</v>
      </c>
      <c r="D29" s="48"/>
      <c r="E29" s="48"/>
      <c r="F29" s="48"/>
      <c r="G29" s="48"/>
      <c r="H29" s="48"/>
      <c r="I29" s="48"/>
      <c r="J29" s="48"/>
      <c r="K29" s="48"/>
      <c r="L29" s="48">
        <v>2</v>
      </c>
    </row>
    <row r="30" spans="1:12">
      <c r="A30" s="47" t="s">
        <v>136</v>
      </c>
      <c r="B30" s="48"/>
      <c r="C30" s="48">
        <v>4</v>
      </c>
      <c r="D30" s="48"/>
      <c r="E30" s="48"/>
      <c r="F30" s="48">
        <v>1</v>
      </c>
      <c r="G30" s="48"/>
      <c r="H30" s="48"/>
      <c r="I30" s="48"/>
      <c r="J30" s="48"/>
      <c r="K30" s="48"/>
      <c r="L30" s="48">
        <v>5</v>
      </c>
    </row>
    <row r="31" spans="1:12">
      <c r="A31" s="47" t="s">
        <v>365</v>
      </c>
      <c r="B31" s="48">
        <v>4</v>
      </c>
      <c r="C31" s="48"/>
      <c r="D31" s="48"/>
      <c r="E31" s="48"/>
      <c r="F31" s="48"/>
      <c r="G31" s="48"/>
      <c r="H31" s="48"/>
      <c r="I31" s="48"/>
      <c r="J31" s="48"/>
      <c r="K31" s="48"/>
      <c r="L31" s="48">
        <v>4</v>
      </c>
    </row>
    <row r="32" spans="1:12">
      <c r="A32" s="47" t="s">
        <v>387</v>
      </c>
      <c r="B32" s="48"/>
      <c r="C32" s="48">
        <v>4</v>
      </c>
      <c r="D32" s="48"/>
      <c r="E32" s="48"/>
      <c r="F32" s="48"/>
      <c r="G32" s="48"/>
      <c r="H32" s="48"/>
      <c r="I32" s="48"/>
      <c r="J32" s="48"/>
      <c r="K32" s="48"/>
      <c r="L32" s="48">
        <v>4</v>
      </c>
    </row>
    <row r="33" spans="1:12">
      <c r="A33" s="47" t="s">
        <v>548</v>
      </c>
      <c r="B33" s="48"/>
      <c r="C33" s="48"/>
      <c r="D33" s="48"/>
      <c r="E33" s="48"/>
      <c r="F33" s="48">
        <v>1</v>
      </c>
      <c r="G33" s="48"/>
      <c r="H33" s="48"/>
      <c r="I33" s="48"/>
      <c r="J33" s="48"/>
      <c r="K33" s="48"/>
      <c r="L33" s="48">
        <v>1</v>
      </c>
    </row>
    <row r="34" spans="1:12">
      <c r="A34" s="47" t="s">
        <v>216</v>
      </c>
      <c r="B34" s="48"/>
      <c r="C34" s="48"/>
      <c r="D34" s="48"/>
      <c r="E34" s="48"/>
      <c r="F34" s="48"/>
      <c r="G34" s="48"/>
      <c r="H34" s="48"/>
      <c r="I34" s="48"/>
      <c r="J34" s="48">
        <v>2</v>
      </c>
      <c r="K34" s="48"/>
      <c r="L34" s="48">
        <v>2</v>
      </c>
    </row>
    <row r="35" spans="1:12">
      <c r="A35" s="47" t="s">
        <v>220</v>
      </c>
      <c r="B35" s="48"/>
      <c r="C35" s="48"/>
      <c r="D35" s="48"/>
      <c r="E35" s="48"/>
      <c r="F35" s="48"/>
      <c r="G35" s="48"/>
      <c r="H35" s="48"/>
      <c r="I35" s="48"/>
      <c r="J35" s="48">
        <v>4</v>
      </c>
      <c r="K35" s="48"/>
      <c r="L35" s="48">
        <v>4</v>
      </c>
    </row>
    <row r="36" spans="1:12">
      <c r="A36" s="47" t="s">
        <v>291</v>
      </c>
      <c r="B36" s="48"/>
      <c r="C36" s="48">
        <v>2</v>
      </c>
      <c r="D36" s="48"/>
      <c r="E36" s="48"/>
      <c r="F36" s="48"/>
      <c r="G36" s="48"/>
      <c r="H36" s="48"/>
      <c r="I36" s="48"/>
      <c r="J36" s="48"/>
      <c r="K36" s="48"/>
      <c r="L36" s="48">
        <v>2</v>
      </c>
    </row>
    <row r="37" spans="1:12">
      <c r="A37" s="47" t="s">
        <v>143</v>
      </c>
      <c r="B37" s="48">
        <v>5</v>
      </c>
      <c r="C37" s="48"/>
      <c r="D37" s="48"/>
      <c r="E37" s="48"/>
      <c r="F37" s="48"/>
      <c r="G37" s="48"/>
      <c r="H37" s="48"/>
      <c r="I37" s="48"/>
      <c r="J37" s="48"/>
      <c r="K37" s="48"/>
      <c r="L37" s="48">
        <v>5</v>
      </c>
    </row>
    <row r="38" spans="1:12">
      <c r="A38" s="47" t="s">
        <v>825</v>
      </c>
      <c r="B38" s="48"/>
      <c r="C38" s="48"/>
      <c r="D38" s="48"/>
      <c r="E38" s="48">
        <v>1</v>
      </c>
      <c r="F38" s="48"/>
      <c r="G38" s="48"/>
      <c r="H38" s="48"/>
      <c r="I38" s="48"/>
      <c r="J38" s="48"/>
      <c r="K38" s="48"/>
      <c r="L38" s="48">
        <v>1</v>
      </c>
    </row>
    <row r="39" spans="1:12">
      <c r="A39" s="47" t="s">
        <v>192</v>
      </c>
      <c r="B39" s="48"/>
      <c r="C39" s="48"/>
      <c r="D39" s="48"/>
      <c r="E39" s="48"/>
      <c r="F39" s="48"/>
      <c r="G39" s="48">
        <v>2</v>
      </c>
      <c r="H39" s="48"/>
      <c r="I39" s="48"/>
      <c r="J39" s="48"/>
      <c r="K39" s="48"/>
      <c r="L39" s="48">
        <v>2</v>
      </c>
    </row>
    <row r="40" spans="1:12">
      <c r="A40" s="47" t="s">
        <v>259</v>
      </c>
      <c r="B40" s="48"/>
      <c r="C40" s="48">
        <v>6</v>
      </c>
      <c r="D40" s="48"/>
      <c r="E40" s="48"/>
      <c r="F40" s="48"/>
      <c r="G40" s="48"/>
      <c r="H40" s="48"/>
      <c r="I40" s="48"/>
      <c r="J40" s="48"/>
      <c r="K40" s="48"/>
      <c r="L40" s="48">
        <v>6</v>
      </c>
    </row>
    <row r="41" spans="1:12">
      <c r="A41" s="47" t="s">
        <v>374</v>
      </c>
      <c r="B41" s="48"/>
      <c r="C41" s="48"/>
      <c r="D41" s="48"/>
      <c r="E41" s="48"/>
      <c r="F41" s="48"/>
      <c r="G41" s="48"/>
      <c r="H41" s="48">
        <v>3</v>
      </c>
      <c r="I41" s="48"/>
      <c r="J41" s="48">
        <v>1</v>
      </c>
      <c r="K41" s="48"/>
      <c r="L41" s="48">
        <v>4</v>
      </c>
    </row>
    <row r="42" spans="1:12">
      <c r="A42" s="47" t="s">
        <v>826</v>
      </c>
      <c r="B42" s="48"/>
      <c r="C42" s="48"/>
      <c r="D42" s="48"/>
      <c r="E42" s="48">
        <v>1</v>
      </c>
      <c r="F42" s="48"/>
      <c r="G42" s="48"/>
      <c r="H42" s="48"/>
      <c r="I42" s="48"/>
      <c r="J42" s="48"/>
      <c r="K42" s="48"/>
      <c r="L42" s="48">
        <v>1</v>
      </c>
    </row>
    <row r="43" spans="1:12">
      <c r="A43" s="47" t="s">
        <v>111</v>
      </c>
      <c r="B43" s="48"/>
      <c r="C43" s="48"/>
      <c r="D43" s="48"/>
      <c r="E43" s="48"/>
      <c r="F43" s="48"/>
      <c r="G43" s="48"/>
      <c r="H43" s="48"/>
      <c r="I43" s="48"/>
      <c r="J43" s="48">
        <v>4</v>
      </c>
      <c r="K43" s="48"/>
      <c r="L43" s="48">
        <v>4</v>
      </c>
    </row>
    <row r="44" spans="1:12">
      <c r="A44" s="47" t="s">
        <v>385</v>
      </c>
      <c r="B44" s="48"/>
      <c r="C44" s="48"/>
      <c r="D44" s="48"/>
      <c r="E44" s="48">
        <v>1</v>
      </c>
      <c r="F44" s="48"/>
      <c r="G44" s="48"/>
      <c r="H44" s="48"/>
      <c r="I44" s="48"/>
      <c r="J44" s="48"/>
      <c r="K44" s="48"/>
      <c r="L44" s="48">
        <v>1</v>
      </c>
    </row>
    <row r="45" spans="1:12">
      <c r="A45" s="47" t="s">
        <v>207</v>
      </c>
      <c r="B45" s="48"/>
      <c r="C45" s="48">
        <v>1</v>
      </c>
      <c r="D45" s="48"/>
      <c r="E45" s="48"/>
      <c r="F45" s="48"/>
      <c r="G45" s="48"/>
      <c r="H45" s="48"/>
      <c r="I45" s="48"/>
      <c r="J45" s="48"/>
      <c r="K45" s="48"/>
      <c r="L45" s="48">
        <v>1</v>
      </c>
    </row>
    <row r="46" spans="1:12">
      <c r="A46" s="47" t="s">
        <v>381</v>
      </c>
      <c r="B46" s="48">
        <v>1</v>
      </c>
      <c r="C46" s="48">
        <v>2</v>
      </c>
      <c r="D46" s="48"/>
      <c r="E46" s="48"/>
      <c r="F46" s="48"/>
      <c r="G46" s="48"/>
      <c r="H46" s="48"/>
      <c r="I46" s="48"/>
      <c r="J46" s="48"/>
      <c r="K46" s="48"/>
      <c r="L46" s="48">
        <v>3</v>
      </c>
    </row>
    <row r="47" spans="1:12">
      <c r="A47" s="47" t="s">
        <v>827</v>
      </c>
      <c r="B47" s="48"/>
      <c r="C47" s="48">
        <v>2</v>
      </c>
      <c r="D47" s="48"/>
      <c r="E47" s="48"/>
      <c r="F47" s="48"/>
      <c r="G47" s="48"/>
      <c r="H47" s="48"/>
      <c r="I47" s="48"/>
      <c r="J47" s="48"/>
      <c r="K47" s="48"/>
      <c r="L47" s="48">
        <v>2</v>
      </c>
    </row>
    <row r="48" spans="1:12">
      <c r="A48" s="47" t="s">
        <v>382</v>
      </c>
      <c r="B48" s="48"/>
      <c r="C48" s="48">
        <v>2</v>
      </c>
      <c r="D48" s="48"/>
      <c r="E48" s="48"/>
      <c r="F48" s="48"/>
      <c r="G48" s="48"/>
      <c r="H48" s="48"/>
      <c r="I48" s="48"/>
      <c r="J48" s="48"/>
      <c r="K48" s="48"/>
      <c r="L48" s="48">
        <v>2</v>
      </c>
    </row>
    <row r="49" spans="1:12">
      <c r="A49" s="47" t="s">
        <v>245</v>
      </c>
      <c r="B49" s="48"/>
      <c r="C49" s="48"/>
      <c r="D49" s="48"/>
      <c r="E49" s="48"/>
      <c r="F49" s="48"/>
      <c r="G49" s="48"/>
      <c r="H49" s="48"/>
      <c r="I49" s="48"/>
      <c r="J49" s="48">
        <v>1</v>
      </c>
      <c r="K49" s="48"/>
      <c r="L49" s="48">
        <v>1</v>
      </c>
    </row>
    <row r="50" spans="1:12">
      <c r="A50" s="47" t="s">
        <v>828</v>
      </c>
      <c r="B50" s="48"/>
      <c r="C50" s="48"/>
      <c r="D50" s="48"/>
      <c r="E50" s="48">
        <v>1</v>
      </c>
      <c r="F50" s="48"/>
      <c r="G50" s="48"/>
      <c r="H50" s="48"/>
      <c r="I50" s="48"/>
      <c r="J50" s="48"/>
      <c r="K50" s="48"/>
      <c r="L50" s="48">
        <v>1</v>
      </c>
    </row>
    <row r="51" spans="1:12">
      <c r="A51" s="47" t="s">
        <v>839</v>
      </c>
      <c r="B51" s="48"/>
      <c r="C51" s="48"/>
      <c r="D51" s="48"/>
      <c r="E51" s="48">
        <v>1</v>
      </c>
      <c r="F51" s="48"/>
      <c r="G51" s="48"/>
      <c r="H51" s="48"/>
      <c r="I51" s="48"/>
      <c r="J51" s="48"/>
      <c r="K51" s="48"/>
      <c r="L51" s="48">
        <v>1</v>
      </c>
    </row>
    <row r="52" spans="1:12">
      <c r="A52" s="47" t="s">
        <v>145</v>
      </c>
      <c r="B52" s="48"/>
      <c r="C52" s="48">
        <v>9</v>
      </c>
      <c r="D52" s="48"/>
      <c r="E52" s="48"/>
      <c r="F52" s="48"/>
      <c r="G52" s="48"/>
      <c r="H52" s="48">
        <v>4</v>
      </c>
      <c r="I52" s="48"/>
      <c r="J52" s="48"/>
      <c r="K52" s="48"/>
      <c r="L52" s="48">
        <v>13</v>
      </c>
    </row>
    <row r="53" spans="1:12">
      <c r="A53" s="47" t="s">
        <v>76</v>
      </c>
      <c r="B53" s="48"/>
      <c r="C53" s="48"/>
      <c r="D53" s="48"/>
      <c r="E53" s="48"/>
      <c r="F53" s="48"/>
      <c r="G53" s="48"/>
      <c r="H53" s="48"/>
      <c r="I53" s="48"/>
      <c r="J53" s="48">
        <v>10</v>
      </c>
      <c r="K53" s="48"/>
      <c r="L53" s="48">
        <v>10</v>
      </c>
    </row>
    <row r="54" spans="1:12">
      <c r="A54" s="47" t="s">
        <v>386</v>
      </c>
      <c r="B54" s="48"/>
      <c r="C54" s="48"/>
      <c r="D54" s="48">
        <v>14</v>
      </c>
      <c r="E54" s="48"/>
      <c r="F54" s="48"/>
      <c r="G54" s="48"/>
      <c r="H54" s="48"/>
      <c r="I54" s="48">
        <v>3</v>
      </c>
      <c r="J54" s="48"/>
      <c r="K54" s="48"/>
      <c r="L54" s="48">
        <v>17</v>
      </c>
    </row>
    <row r="55" spans="1:12">
      <c r="A55" s="47" t="s">
        <v>140</v>
      </c>
      <c r="B55" s="48"/>
      <c r="C55" s="48"/>
      <c r="D55" s="48"/>
      <c r="E55" s="48"/>
      <c r="F55" s="48"/>
      <c r="G55" s="48"/>
      <c r="H55" s="48"/>
      <c r="I55" s="48"/>
      <c r="J55" s="48">
        <v>4</v>
      </c>
      <c r="K55" s="48"/>
      <c r="L55" s="48">
        <v>4</v>
      </c>
    </row>
    <row r="56" spans="1:12">
      <c r="A56" s="47" t="s">
        <v>75</v>
      </c>
      <c r="B56" s="48"/>
      <c r="C56" s="48"/>
      <c r="D56" s="48"/>
      <c r="E56" s="48"/>
      <c r="F56" s="48"/>
      <c r="G56" s="48"/>
      <c r="H56" s="48"/>
      <c r="I56" s="48"/>
      <c r="J56" s="48">
        <v>1</v>
      </c>
      <c r="K56" s="48"/>
      <c r="L56" s="48">
        <v>1</v>
      </c>
    </row>
    <row r="57" spans="1:12">
      <c r="A57" s="47" t="s">
        <v>152</v>
      </c>
      <c r="B57" s="48"/>
      <c r="C57" s="48">
        <v>1</v>
      </c>
      <c r="D57" s="48"/>
      <c r="E57" s="48"/>
      <c r="F57" s="48"/>
      <c r="G57" s="48"/>
      <c r="H57" s="48"/>
      <c r="I57" s="48"/>
      <c r="J57" s="48"/>
      <c r="K57" s="48"/>
      <c r="L57" s="48">
        <v>1</v>
      </c>
    </row>
    <row r="58" spans="1:12">
      <c r="A58" s="47" t="s">
        <v>85</v>
      </c>
      <c r="B58" s="48"/>
      <c r="C58" s="48"/>
      <c r="D58" s="48"/>
      <c r="E58" s="48"/>
      <c r="F58" s="48"/>
      <c r="G58" s="48"/>
      <c r="H58" s="48"/>
      <c r="I58" s="48"/>
      <c r="J58" s="48">
        <v>7</v>
      </c>
      <c r="K58" s="48"/>
      <c r="L58" s="48">
        <v>7</v>
      </c>
    </row>
    <row r="59" spans="1:12">
      <c r="A59" s="47" t="s">
        <v>434</v>
      </c>
      <c r="B59" s="48">
        <v>2</v>
      </c>
      <c r="C59" s="48"/>
      <c r="D59" s="48"/>
      <c r="E59" s="48"/>
      <c r="F59" s="48"/>
      <c r="G59" s="48">
        <v>4</v>
      </c>
      <c r="H59" s="48">
        <v>2</v>
      </c>
      <c r="I59" s="48"/>
      <c r="J59" s="48"/>
      <c r="K59" s="48"/>
      <c r="L59" s="48">
        <v>8</v>
      </c>
    </row>
    <row r="60" spans="1:12">
      <c r="A60" s="47" t="s">
        <v>595</v>
      </c>
      <c r="B60" s="48"/>
      <c r="C60" s="48">
        <v>6</v>
      </c>
      <c r="D60" s="48"/>
      <c r="E60" s="48"/>
      <c r="F60" s="48"/>
      <c r="G60" s="48"/>
      <c r="H60" s="48"/>
      <c r="I60" s="48"/>
      <c r="J60" s="48"/>
      <c r="K60" s="48"/>
      <c r="L60" s="48">
        <v>6</v>
      </c>
    </row>
    <row r="61" spans="1:12">
      <c r="A61" s="47" t="s">
        <v>976</v>
      </c>
      <c r="B61" s="48"/>
      <c r="C61" s="48"/>
      <c r="D61" s="48"/>
      <c r="E61" s="48"/>
      <c r="F61" s="48">
        <v>2</v>
      </c>
      <c r="G61" s="48"/>
      <c r="H61" s="48"/>
      <c r="I61" s="48">
        <v>2</v>
      </c>
      <c r="J61" s="48">
        <v>4</v>
      </c>
      <c r="K61" s="48"/>
      <c r="L61" s="48">
        <v>8</v>
      </c>
    </row>
    <row r="62" spans="1:12">
      <c r="A62" s="47" t="s">
        <v>141</v>
      </c>
      <c r="B62" s="48"/>
      <c r="C62" s="48"/>
      <c r="D62" s="48"/>
      <c r="E62" s="48"/>
      <c r="F62" s="48"/>
      <c r="G62" s="48"/>
      <c r="H62" s="48"/>
      <c r="I62" s="48"/>
      <c r="J62" s="48">
        <v>2</v>
      </c>
      <c r="K62" s="48"/>
      <c r="L62" s="48">
        <v>2</v>
      </c>
    </row>
    <row r="63" spans="1:12">
      <c r="A63" s="47" t="s">
        <v>148</v>
      </c>
      <c r="B63" s="48"/>
      <c r="C63" s="48"/>
      <c r="D63" s="48"/>
      <c r="E63" s="48"/>
      <c r="F63" s="48">
        <v>1</v>
      </c>
      <c r="G63" s="48"/>
      <c r="H63" s="48"/>
      <c r="I63" s="48"/>
      <c r="J63" s="48"/>
      <c r="K63" s="48"/>
      <c r="L63" s="48">
        <v>1</v>
      </c>
    </row>
    <row r="64" spans="1:12">
      <c r="A64" s="47" t="s">
        <v>829</v>
      </c>
      <c r="B64" s="48"/>
      <c r="C64" s="48"/>
      <c r="D64" s="48"/>
      <c r="E64" s="48">
        <v>1</v>
      </c>
      <c r="F64" s="48"/>
      <c r="G64" s="48"/>
      <c r="H64" s="48"/>
      <c r="I64" s="48"/>
      <c r="J64" s="48"/>
      <c r="K64" s="48"/>
      <c r="L64" s="48">
        <v>1</v>
      </c>
    </row>
    <row r="65" spans="1:12">
      <c r="A65" s="47" t="s">
        <v>388</v>
      </c>
      <c r="B65" s="48"/>
      <c r="C65" s="48">
        <v>9</v>
      </c>
      <c r="D65" s="48"/>
      <c r="E65" s="48"/>
      <c r="F65" s="48"/>
      <c r="G65" s="48"/>
      <c r="H65" s="48"/>
      <c r="I65" s="48"/>
      <c r="J65" s="48"/>
      <c r="K65" s="48"/>
      <c r="L65" s="48">
        <v>9</v>
      </c>
    </row>
    <row r="66" spans="1:12">
      <c r="A66" s="47" t="s">
        <v>132</v>
      </c>
      <c r="B66" s="48"/>
      <c r="C66" s="48"/>
      <c r="D66" s="48"/>
      <c r="E66" s="48"/>
      <c r="F66" s="48"/>
      <c r="G66" s="48"/>
      <c r="H66" s="48"/>
      <c r="I66" s="48"/>
      <c r="J66" s="48">
        <v>1</v>
      </c>
      <c r="K66" s="48"/>
      <c r="L66" s="48">
        <v>1</v>
      </c>
    </row>
    <row r="67" spans="1:12">
      <c r="A67" s="47" t="s">
        <v>327</v>
      </c>
      <c r="B67" s="48"/>
      <c r="C67" s="48"/>
      <c r="D67" s="48"/>
      <c r="E67" s="48"/>
      <c r="F67" s="48"/>
      <c r="G67" s="48"/>
      <c r="H67" s="48">
        <v>6</v>
      </c>
      <c r="I67" s="48"/>
      <c r="J67" s="48"/>
      <c r="K67" s="48"/>
      <c r="L67" s="48">
        <v>6</v>
      </c>
    </row>
    <row r="68" spans="1:12">
      <c r="A68" s="47" t="s">
        <v>699</v>
      </c>
      <c r="B68" s="48">
        <v>48</v>
      </c>
      <c r="C68" s="48">
        <v>16</v>
      </c>
      <c r="D68" s="48"/>
      <c r="E68" s="48"/>
      <c r="F68" s="48"/>
      <c r="G68" s="48"/>
      <c r="H68" s="48"/>
      <c r="I68" s="48"/>
      <c r="J68" s="48"/>
      <c r="K68" s="48"/>
      <c r="L68" s="48">
        <v>64</v>
      </c>
    </row>
    <row r="69" spans="1:12">
      <c r="A69" s="47" t="s">
        <v>174</v>
      </c>
      <c r="B69" s="48"/>
      <c r="C69" s="48"/>
      <c r="D69" s="48"/>
      <c r="E69" s="48"/>
      <c r="F69" s="48"/>
      <c r="G69" s="48"/>
      <c r="H69" s="48"/>
      <c r="I69" s="48"/>
      <c r="J69" s="48">
        <v>8</v>
      </c>
      <c r="K69" s="48"/>
      <c r="L69" s="48">
        <v>8</v>
      </c>
    </row>
    <row r="70" spans="1:12">
      <c r="A70" s="47" t="s">
        <v>973</v>
      </c>
      <c r="B70" s="48">
        <v>1</v>
      </c>
      <c r="C70" s="48"/>
      <c r="D70" s="48"/>
      <c r="E70" s="48"/>
      <c r="F70" s="48"/>
      <c r="G70" s="48"/>
      <c r="H70" s="48"/>
      <c r="I70" s="48"/>
      <c r="J70" s="48"/>
      <c r="K70" s="48"/>
      <c r="L70" s="48">
        <v>1</v>
      </c>
    </row>
    <row r="71" spans="1:12">
      <c r="A71" s="47" t="s">
        <v>974</v>
      </c>
      <c r="B71" s="48"/>
      <c r="C71" s="48"/>
      <c r="D71" s="48"/>
      <c r="E71" s="48"/>
      <c r="F71" s="48">
        <v>1</v>
      </c>
      <c r="G71" s="48"/>
      <c r="H71" s="48"/>
      <c r="I71" s="48"/>
      <c r="J71" s="48"/>
      <c r="K71" s="48"/>
      <c r="L71" s="48">
        <v>1</v>
      </c>
    </row>
    <row r="72" spans="1:12">
      <c r="A72" s="47" t="s">
        <v>138</v>
      </c>
      <c r="B72" s="48"/>
      <c r="C72" s="48">
        <v>18</v>
      </c>
      <c r="D72" s="48"/>
      <c r="E72" s="48"/>
      <c r="F72" s="48"/>
      <c r="G72" s="48"/>
      <c r="H72" s="48"/>
      <c r="I72" s="48"/>
      <c r="J72" s="48"/>
      <c r="K72" s="48"/>
      <c r="L72" s="48">
        <v>18</v>
      </c>
    </row>
    <row r="73" spans="1:12">
      <c r="A73" s="47" t="s">
        <v>134</v>
      </c>
      <c r="B73" s="48"/>
      <c r="C73" s="48">
        <v>1</v>
      </c>
      <c r="D73" s="48"/>
      <c r="E73" s="48"/>
      <c r="F73" s="48"/>
      <c r="G73" s="48"/>
      <c r="H73" s="48">
        <v>1</v>
      </c>
      <c r="I73" s="48"/>
      <c r="J73" s="48"/>
      <c r="K73" s="48"/>
      <c r="L73" s="48">
        <v>2</v>
      </c>
    </row>
    <row r="74" spans="1:12">
      <c r="A74" s="47" t="s">
        <v>840</v>
      </c>
      <c r="B74" s="48"/>
      <c r="C74" s="48"/>
      <c r="D74" s="48"/>
      <c r="E74" s="48">
        <v>1</v>
      </c>
      <c r="F74" s="48"/>
      <c r="G74" s="48"/>
      <c r="H74" s="48"/>
      <c r="I74" s="48"/>
      <c r="J74" s="48"/>
      <c r="K74" s="48"/>
      <c r="L74" s="48">
        <v>1</v>
      </c>
    </row>
    <row r="75" spans="1:12">
      <c r="A75" s="47" t="s">
        <v>150</v>
      </c>
      <c r="B75" s="48">
        <v>1</v>
      </c>
      <c r="C75" s="48">
        <v>1</v>
      </c>
      <c r="D75" s="48"/>
      <c r="E75" s="48"/>
      <c r="F75" s="48"/>
      <c r="G75" s="48"/>
      <c r="H75" s="48"/>
      <c r="I75" s="48"/>
      <c r="J75" s="48"/>
      <c r="K75" s="48"/>
      <c r="L75" s="48">
        <v>2</v>
      </c>
    </row>
    <row r="76" spans="1:12">
      <c r="A76" s="47" t="s">
        <v>389</v>
      </c>
      <c r="B76" s="48"/>
      <c r="C76" s="48">
        <v>1</v>
      </c>
      <c r="D76" s="48"/>
      <c r="E76" s="48"/>
      <c r="F76" s="48"/>
      <c r="G76" s="48"/>
      <c r="H76" s="48"/>
      <c r="I76" s="48"/>
      <c r="J76" s="48"/>
      <c r="K76" s="48"/>
      <c r="L76" s="48">
        <v>1</v>
      </c>
    </row>
    <row r="77" spans="1:12">
      <c r="A77" s="47" t="s">
        <v>830</v>
      </c>
      <c r="B77" s="48"/>
      <c r="C77" s="48">
        <v>4</v>
      </c>
      <c r="D77" s="48"/>
      <c r="E77" s="48"/>
      <c r="F77" s="48"/>
      <c r="G77" s="48"/>
      <c r="H77" s="48"/>
      <c r="I77" s="48"/>
      <c r="J77" s="48"/>
      <c r="K77" s="48"/>
      <c r="L77" s="48">
        <v>4</v>
      </c>
    </row>
    <row r="78" spans="1:12">
      <c r="A78" s="47" t="s">
        <v>270</v>
      </c>
      <c r="B78" s="48"/>
      <c r="C78" s="48"/>
      <c r="D78" s="48"/>
      <c r="E78" s="48"/>
      <c r="F78" s="48"/>
      <c r="G78" s="48"/>
      <c r="H78" s="48"/>
      <c r="I78" s="48"/>
      <c r="J78" s="48">
        <v>2</v>
      </c>
      <c r="K78" s="48"/>
      <c r="L78" s="48">
        <v>2</v>
      </c>
    </row>
    <row r="79" spans="1:12">
      <c r="A79" s="47" t="s">
        <v>261</v>
      </c>
      <c r="B79" s="48"/>
      <c r="C79" s="48">
        <v>12</v>
      </c>
      <c r="D79" s="48"/>
      <c r="E79" s="48"/>
      <c r="F79" s="48"/>
      <c r="G79" s="48"/>
      <c r="H79" s="48"/>
      <c r="I79" s="48"/>
      <c r="J79" s="48"/>
      <c r="K79" s="48"/>
      <c r="L79" s="48">
        <v>12</v>
      </c>
    </row>
    <row r="80" spans="1:12">
      <c r="A80" s="47" t="s">
        <v>303</v>
      </c>
      <c r="B80" s="48">
        <v>2</v>
      </c>
      <c r="C80" s="48"/>
      <c r="D80" s="48"/>
      <c r="E80" s="48"/>
      <c r="F80" s="48"/>
      <c r="G80" s="48"/>
      <c r="H80" s="48"/>
      <c r="I80" s="48">
        <v>1</v>
      </c>
      <c r="J80" s="48"/>
      <c r="K80" s="48"/>
      <c r="L80" s="48">
        <v>3</v>
      </c>
    </row>
    <row r="81" spans="1:12">
      <c r="A81" s="47" t="s">
        <v>154</v>
      </c>
      <c r="B81" s="48"/>
      <c r="C81" s="48"/>
      <c r="D81" s="48"/>
      <c r="E81" s="48"/>
      <c r="F81" s="48"/>
      <c r="G81" s="48"/>
      <c r="H81" s="48">
        <v>1</v>
      </c>
      <c r="I81" s="48"/>
      <c r="J81" s="48"/>
      <c r="K81" s="48"/>
      <c r="L81" s="48">
        <v>1</v>
      </c>
    </row>
    <row r="82" spans="1:12">
      <c r="A82" s="47" t="s">
        <v>390</v>
      </c>
      <c r="B82" s="48"/>
      <c r="C82" s="48">
        <v>16</v>
      </c>
      <c r="D82" s="48"/>
      <c r="E82" s="48"/>
      <c r="F82" s="48"/>
      <c r="G82" s="48">
        <v>4</v>
      </c>
      <c r="H82" s="48"/>
      <c r="I82" s="48"/>
      <c r="J82" s="48"/>
      <c r="K82" s="48"/>
      <c r="L82" s="48">
        <v>20</v>
      </c>
    </row>
    <row r="83" spans="1:12">
      <c r="A83" s="47" t="s">
        <v>841</v>
      </c>
      <c r="B83" s="48"/>
      <c r="C83" s="48"/>
      <c r="D83" s="48"/>
      <c r="E83" s="48">
        <v>1</v>
      </c>
      <c r="F83" s="48"/>
      <c r="G83" s="48"/>
      <c r="H83" s="48"/>
      <c r="I83" s="48"/>
      <c r="J83" s="48"/>
      <c r="K83" s="48"/>
      <c r="L83" s="48">
        <v>1</v>
      </c>
    </row>
    <row r="84" spans="1:12">
      <c r="A84" s="47" t="s">
        <v>384</v>
      </c>
      <c r="B84" s="48"/>
      <c r="C84" s="48"/>
      <c r="D84" s="48"/>
      <c r="E84" s="48"/>
      <c r="F84" s="48"/>
      <c r="G84" s="48"/>
      <c r="H84" s="48"/>
      <c r="I84" s="48"/>
      <c r="J84" s="48">
        <v>8</v>
      </c>
      <c r="K84" s="48"/>
      <c r="L84" s="48">
        <v>8</v>
      </c>
    </row>
    <row r="85" spans="1:12">
      <c r="A85" s="47" t="s">
        <v>160</v>
      </c>
      <c r="B85" s="48"/>
      <c r="C85" s="48">
        <v>3</v>
      </c>
      <c r="D85" s="48"/>
      <c r="E85" s="48"/>
      <c r="F85" s="48"/>
      <c r="G85" s="48"/>
      <c r="H85" s="48"/>
      <c r="I85" s="48"/>
      <c r="J85" s="48"/>
      <c r="K85" s="48"/>
      <c r="L85" s="48">
        <v>3</v>
      </c>
    </row>
    <row r="86" spans="1:12">
      <c r="A86" s="47" t="s">
        <v>979</v>
      </c>
      <c r="B86" s="48"/>
      <c r="C86" s="48">
        <v>1</v>
      </c>
      <c r="D86" s="48"/>
      <c r="E86" s="48"/>
      <c r="F86" s="48"/>
      <c r="G86" s="48"/>
      <c r="H86" s="48"/>
      <c r="I86" s="48">
        <v>1</v>
      </c>
      <c r="J86" s="48">
        <v>4</v>
      </c>
      <c r="K86" s="48"/>
      <c r="L86" s="48">
        <v>6</v>
      </c>
    </row>
    <row r="87" spans="1:12">
      <c r="A87" s="47" t="s">
        <v>842</v>
      </c>
      <c r="B87" s="48"/>
      <c r="C87" s="48">
        <v>1</v>
      </c>
      <c r="D87" s="48"/>
      <c r="E87" s="48"/>
      <c r="F87" s="48"/>
      <c r="G87" s="48"/>
      <c r="H87" s="48"/>
      <c r="I87" s="48"/>
      <c r="J87" s="48"/>
      <c r="K87" s="48"/>
      <c r="L87" s="48">
        <v>1</v>
      </c>
    </row>
    <row r="88" spans="1:12">
      <c r="A88" s="47" t="s">
        <v>831</v>
      </c>
      <c r="B88" s="48"/>
      <c r="C88" s="48"/>
      <c r="D88" s="48"/>
      <c r="E88" s="48">
        <v>1</v>
      </c>
      <c r="F88" s="48"/>
      <c r="G88" s="48"/>
      <c r="H88" s="48"/>
      <c r="I88" s="48"/>
      <c r="J88" s="48"/>
      <c r="K88" s="48"/>
      <c r="L88" s="48">
        <v>1</v>
      </c>
    </row>
    <row r="89" spans="1:12">
      <c r="A89" s="47" t="s">
        <v>832</v>
      </c>
      <c r="B89" s="48"/>
      <c r="C89" s="48"/>
      <c r="D89" s="48"/>
      <c r="E89" s="48">
        <v>1</v>
      </c>
      <c r="F89" s="48"/>
      <c r="G89" s="48"/>
      <c r="H89" s="48"/>
      <c r="I89" s="48"/>
      <c r="J89" s="48"/>
      <c r="K89" s="48"/>
      <c r="L89" s="48">
        <v>1</v>
      </c>
    </row>
    <row r="90" spans="1:12">
      <c r="A90" s="47" t="s">
        <v>339</v>
      </c>
      <c r="B90" s="48"/>
      <c r="C90" s="48">
        <v>3</v>
      </c>
      <c r="D90" s="48"/>
      <c r="E90" s="48"/>
      <c r="F90" s="48"/>
      <c r="G90" s="48"/>
      <c r="H90" s="48">
        <v>1</v>
      </c>
      <c r="I90" s="48"/>
      <c r="J90" s="48"/>
      <c r="K90" s="48"/>
      <c r="L90" s="48">
        <v>4</v>
      </c>
    </row>
    <row r="91" spans="1:12">
      <c r="A91" s="47" t="s">
        <v>176</v>
      </c>
      <c r="B91" s="48"/>
      <c r="C91" s="48"/>
      <c r="D91" s="48">
        <v>4</v>
      </c>
      <c r="E91" s="48"/>
      <c r="F91" s="48"/>
      <c r="G91" s="48"/>
      <c r="H91" s="48"/>
      <c r="I91" s="48"/>
      <c r="J91" s="48"/>
      <c r="K91" s="48"/>
      <c r="L91" s="48">
        <v>4</v>
      </c>
    </row>
    <row r="92" spans="1:12">
      <c r="A92" s="47" t="s">
        <v>391</v>
      </c>
      <c r="B92" s="48">
        <v>1</v>
      </c>
      <c r="C92" s="48"/>
      <c r="D92" s="48"/>
      <c r="E92" s="48"/>
      <c r="F92" s="48">
        <v>1</v>
      </c>
      <c r="G92" s="48"/>
      <c r="H92" s="48"/>
      <c r="I92" s="48"/>
      <c r="J92" s="48"/>
      <c r="K92" s="48"/>
      <c r="L92" s="48">
        <v>2</v>
      </c>
    </row>
    <row r="93" spans="1:12">
      <c r="A93" s="47" t="s">
        <v>234</v>
      </c>
      <c r="B93" s="48"/>
      <c r="C93" s="48"/>
      <c r="D93" s="48">
        <v>1</v>
      </c>
      <c r="E93" s="48"/>
      <c r="F93" s="48"/>
      <c r="G93" s="48"/>
      <c r="H93" s="48"/>
      <c r="I93" s="48"/>
      <c r="J93" s="48"/>
      <c r="K93" s="48"/>
      <c r="L93" s="48">
        <v>1</v>
      </c>
    </row>
    <row r="94" spans="1:12">
      <c r="A94" s="47" t="s">
        <v>537</v>
      </c>
      <c r="B94" s="48"/>
      <c r="C94" s="48"/>
      <c r="D94" s="48">
        <v>8</v>
      </c>
      <c r="E94" s="48"/>
      <c r="F94" s="48"/>
      <c r="G94" s="48"/>
      <c r="H94" s="48"/>
      <c r="I94" s="48"/>
      <c r="J94" s="48"/>
      <c r="K94" s="48"/>
      <c r="L94" s="48">
        <v>8</v>
      </c>
    </row>
    <row r="95" spans="1:12">
      <c r="A95" s="47" t="s">
        <v>101</v>
      </c>
      <c r="B95" s="48"/>
      <c r="C95" s="48"/>
      <c r="D95" s="48"/>
      <c r="E95" s="48"/>
      <c r="F95" s="48"/>
      <c r="G95" s="48"/>
      <c r="H95" s="48">
        <v>3</v>
      </c>
      <c r="I95" s="48"/>
      <c r="J95" s="48"/>
      <c r="K95" s="48"/>
      <c r="L95" s="48">
        <v>3</v>
      </c>
    </row>
    <row r="96" spans="1:12">
      <c r="A96" s="47" t="s">
        <v>969</v>
      </c>
      <c r="B96" s="48">
        <v>1</v>
      </c>
      <c r="C96" s="48">
        <v>3</v>
      </c>
      <c r="D96" s="48"/>
      <c r="E96" s="48"/>
      <c r="F96" s="48"/>
      <c r="G96" s="48"/>
      <c r="H96" s="48">
        <v>3</v>
      </c>
      <c r="I96" s="48"/>
      <c r="J96" s="48"/>
      <c r="K96" s="48"/>
      <c r="L96" s="48">
        <v>7</v>
      </c>
    </row>
    <row r="97" spans="1:12">
      <c r="A97" s="47" t="s">
        <v>843</v>
      </c>
      <c r="B97" s="48"/>
      <c r="C97" s="48"/>
      <c r="D97" s="48"/>
      <c r="E97" s="48">
        <v>1</v>
      </c>
      <c r="F97" s="48"/>
      <c r="G97" s="48"/>
      <c r="H97" s="48"/>
      <c r="I97" s="48"/>
      <c r="J97" s="48"/>
      <c r="K97" s="48"/>
      <c r="L97" s="48">
        <v>1</v>
      </c>
    </row>
    <row r="98" spans="1:12">
      <c r="A98" s="47" t="s">
        <v>135</v>
      </c>
      <c r="B98" s="48"/>
      <c r="C98" s="48"/>
      <c r="D98" s="48">
        <v>1</v>
      </c>
      <c r="E98" s="48"/>
      <c r="F98" s="48">
        <v>1</v>
      </c>
      <c r="G98" s="48"/>
      <c r="H98" s="48"/>
      <c r="I98" s="48"/>
      <c r="J98" s="48"/>
      <c r="K98" s="48"/>
      <c r="L98" s="48">
        <v>2</v>
      </c>
    </row>
    <row r="99" spans="1:12">
      <c r="A99" s="47" t="s">
        <v>295</v>
      </c>
      <c r="B99" s="48"/>
      <c r="C99" s="48"/>
      <c r="D99" s="48"/>
      <c r="E99" s="48"/>
      <c r="F99" s="48"/>
      <c r="G99" s="48"/>
      <c r="H99" s="48"/>
      <c r="I99" s="48"/>
      <c r="J99" s="48">
        <v>2</v>
      </c>
      <c r="K99" s="48"/>
      <c r="L99" s="48">
        <v>2</v>
      </c>
    </row>
    <row r="100" spans="1:12">
      <c r="A100" s="47" t="s">
        <v>286</v>
      </c>
      <c r="B100" s="48"/>
      <c r="C100" s="48">
        <v>2</v>
      </c>
      <c r="D100" s="48"/>
      <c r="E100" s="48"/>
      <c r="F100" s="48"/>
      <c r="G100" s="48"/>
      <c r="H100" s="48">
        <v>1</v>
      </c>
      <c r="I100" s="48"/>
      <c r="J100" s="48"/>
      <c r="K100" s="48"/>
      <c r="L100" s="48">
        <v>3</v>
      </c>
    </row>
    <row r="101" spans="1:12">
      <c r="A101" s="47" t="s">
        <v>310</v>
      </c>
      <c r="B101" s="48"/>
      <c r="C101" s="48">
        <v>1</v>
      </c>
      <c r="D101" s="48"/>
      <c r="E101" s="48"/>
      <c r="F101" s="48"/>
      <c r="G101" s="48"/>
      <c r="H101" s="48"/>
      <c r="I101" s="48"/>
      <c r="J101" s="48"/>
      <c r="K101" s="48"/>
      <c r="L101" s="48">
        <v>1</v>
      </c>
    </row>
    <row r="102" spans="1:12">
      <c r="A102" s="47" t="s">
        <v>833</v>
      </c>
      <c r="B102" s="48"/>
      <c r="C102" s="48"/>
      <c r="D102" s="48"/>
      <c r="E102" s="48"/>
      <c r="F102" s="48"/>
      <c r="G102" s="48"/>
      <c r="H102" s="48"/>
      <c r="I102" s="48"/>
      <c r="J102" s="48">
        <v>2</v>
      </c>
      <c r="K102" s="48"/>
      <c r="L102" s="48">
        <v>2</v>
      </c>
    </row>
    <row r="103" spans="1:12">
      <c r="A103" s="47" t="s">
        <v>834</v>
      </c>
      <c r="B103" s="48"/>
      <c r="C103" s="48">
        <v>4</v>
      </c>
      <c r="D103" s="48"/>
      <c r="E103" s="48"/>
      <c r="F103" s="48"/>
      <c r="G103" s="48"/>
      <c r="H103" s="48"/>
      <c r="I103" s="48"/>
      <c r="J103" s="48"/>
      <c r="K103" s="48"/>
      <c r="L103" s="48">
        <v>4</v>
      </c>
    </row>
    <row r="104" spans="1:12">
      <c r="A104" s="47" t="s">
        <v>835</v>
      </c>
      <c r="B104" s="48"/>
      <c r="C104" s="48">
        <v>6</v>
      </c>
      <c r="D104" s="48"/>
      <c r="E104" s="48"/>
      <c r="F104" s="48"/>
      <c r="G104" s="48"/>
      <c r="H104" s="48"/>
      <c r="I104" s="48"/>
      <c r="J104" s="48"/>
      <c r="K104" s="48"/>
      <c r="L104" s="48">
        <v>6</v>
      </c>
    </row>
    <row r="105" spans="1:12">
      <c r="A105" s="47" t="s">
        <v>155</v>
      </c>
      <c r="B105" s="48"/>
      <c r="C105" s="48"/>
      <c r="D105" s="48"/>
      <c r="E105" s="48"/>
      <c r="F105" s="48"/>
      <c r="G105" s="48"/>
      <c r="H105" s="48"/>
      <c r="I105" s="48"/>
      <c r="J105" s="48">
        <v>1</v>
      </c>
      <c r="K105" s="48"/>
      <c r="L105" s="48">
        <v>1</v>
      </c>
    </row>
    <row r="106" spans="1:12">
      <c r="A106" s="47" t="s">
        <v>71</v>
      </c>
      <c r="B106" s="48"/>
      <c r="C106" s="48">
        <v>3</v>
      </c>
      <c r="D106" s="48"/>
      <c r="E106" s="48"/>
      <c r="F106" s="48"/>
      <c r="G106" s="48"/>
      <c r="H106" s="48"/>
      <c r="I106" s="48"/>
      <c r="J106" s="48"/>
      <c r="K106" s="48"/>
      <c r="L106" s="48">
        <v>3</v>
      </c>
    </row>
    <row r="107" spans="1:12">
      <c r="A107" s="47" t="s">
        <v>253</v>
      </c>
      <c r="B107" s="48"/>
      <c r="C107" s="48">
        <v>4</v>
      </c>
      <c r="D107" s="48"/>
      <c r="E107" s="48"/>
      <c r="F107" s="48"/>
      <c r="G107" s="48"/>
      <c r="H107" s="48"/>
      <c r="I107" s="48"/>
      <c r="J107" s="48"/>
      <c r="K107" s="48"/>
      <c r="L107" s="48">
        <v>4</v>
      </c>
    </row>
    <row r="108" spans="1:12">
      <c r="A108" s="47" t="s">
        <v>911</v>
      </c>
      <c r="B108" s="48"/>
      <c r="C108" s="48"/>
      <c r="D108" s="48"/>
      <c r="E108" s="48"/>
      <c r="F108" s="48"/>
      <c r="G108" s="48"/>
      <c r="H108" s="48"/>
      <c r="I108" s="48"/>
      <c r="J108" s="48">
        <v>4</v>
      </c>
      <c r="K108" s="48"/>
      <c r="L108" s="48">
        <v>4</v>
      </c>
    </row>
    <row r="109" spans="1:12">
      <c r="A109" s="47" t="s">
        <v>919</v>
      </c>
      <c r="B109" s="48"/>
      <c r="C109" s="48"/>
      <c r="D109" s="48"/>
      <c r="E109" s="48"/>
      <c r="F109" s="48"/>
      <c r="G109" s="48"/>
      <c r="H109" s="48"/>
      <c r="I109" s="48"/>
      <c r="J109" s="48">
        <v>4</v>
      </c>
      <c r="K109" s="48"/>
      <c r="L109" s="48">
        <v>4</v>
      </c>
    </row>
    <row r="110" spans="1:12">
      <c r="A110" s="47" t="s">
        <v>133</v>
      </c>
      <c r="B110" s="48"/>
      <c r="C110" s="48"/>
      <c r="D110" s="48"/>
      <c r="E110" s="48"/>
      <c r="F110" s="48"/>
      <c r="G110" s="48"/>
      <c r="H110" s="48">
        <v>2</v>
      </c>
      <c r="I110" s="48"/>
      <c r="J110" s="48"/>
      <c r="K110" s="48"/>
      <c r="L110" s="48">
        <v>2</v>
      </c>
    </row>
    <row r="111" spans="1:12">
      <c r="A111" s="47" t="s">
        <v>113</v>
      </c>
      <c r="B111" s="48">
        <v>2</v>
      </c>
      <c r="C111" s="48"/>
      <c r="D111" s="48"/>
      <c r="E111" s="48"/>
      <c r="F111" s="48"/>
      <c r="G111" s="48"/>
      <c r="H111" s="48"/>
      <c r="I111" s="48"/>
      <c r="J111" s="48"/>
      <c r="K111" s="48"/>
      <c r="L111" s="48">
        <v>2</v>
      </c>
    </row>
    <row r="112" spans="1:12">
      <c r="A112" s="47" t="s">
        <v>72</v>
      </c>
      <c r="B112" s="48"/>
      <c r="C112" s="48"/>
      <c r="D112" s="48">
        <v>6</v>
      </c>
      <c r="E112" s="48"/>
      <c r="F112" s="48"/>
      <c r="G112" s="48"/>
      <c r="H112" s="48"/>
      <c r="I112" s="48"/>
      <c r="J112" s="48"/>
      <c r="K112" s="48"/>
      <c r="L112" s="48">
        <v>6</v>
      </c>
    </row>
    <row r="113" spans="1:12">
      <c r="A113" s="47" t="s">
        <v>146</v>
      </c>
      <c r="B113" s="48">
        <v>4</v>
      </c>
      <c r="C113" s="48">
        <v>6</v>
      </c>
      <c r="D113" s="48"/>
      <c r="E113" s="48"/>
      <c r="F113" s="48"/>
      <c r="G113" s="48"/>
      <c r="H113" s="48">
        <v>4</v>
      </c>
      <c r="I113" s="48"/>
      <c r="J113" s="48"/>
      <c r="K113" s="48"/>
      <c r="L113" s="48">
        <v>14</v>
      </c>
    </row>
    <row r="114" spans="1:12">
      <c r="A114" s="47" t="s">
        <v>836</v>
      </c>
      <c r="B114" s="48"/>
      <c r="C114" s="48"/>
      <c r="D114" s="48"/>
      <c r="E114" s="48">
        <v>1</v>
      </c>
      <c r="F114" s="48"/>
      <c r="G114" s="48"/>
      <c r="H114" s="48"/>
      <c r="I114" s="48"/>
      <c r="J114" s="48"/>
      <c r="K114" s="48"/>
      <c r="L114" s="48">
        <v>1</v>
      </c>
    </row>
    <row r="115" spans="1:12">
      <c r="A115" s="47" t="s">
        <v>149</v>
      </c>
      <c r="B115" s="48">
        <v>1</v>
      </c>
      <c r="C115" s="48"/>
      <c r="D115" s="48"/>
      <c r="E115" s="48"/>
      <c r="F115" s="48"/>
      <c r="G115" s="48"/>
      <c r="H115" s="48"/>
      <c r="I115" s="48"/>
      <c r="J115" s="48"/>
      <c r="K115" s="48"/>
      <c r="L115" s="48">
        <v>1</v>
      </c>
    </row>
    <row r="116" spans="1:12">
      <c r="A116" s="47" t="s">
        <v>392</v>
      </c>
      <c r="B116" s="48"/>
      <c r="C116" s="48"/>
      <c r="D116" s="48"/>
      <c r="E116" s="48"/>
      <c r="F116" s="48"/>
      <c r="G116" s="48"/>
      <c r="H116" s="48">
        <v>3</v>
      </c>
      <c r="I116" s="48"/>
      <c r="J116" s="48">
        <v>1</v>
      </c>
      <c r="K116" s="48"/>
      <c r="L116" s="48">
        <v>4</v>
      </c>
    </row>
    <row r="117" spans="1:12">
      <c r="A117" s="47" t="s">
        <v>393</v>
      </c>
      <c r="B117" s="48"/>
      <c r="C117" s="48">
        <v>2</v>
      </c>
      <c r="D117" s="48"/>
      <c r="E117" s="48"/>
      <c r="F117" s="48"/>
      <c r="G117" s="48"/>
      <c r="H117" s="48"/>
      <c r="I117" s="48"/>
      <c r="J117" s="48"/>
      <c r="K117" s="48"/>
      <c r="L117" s="48">
        <v>2</v>
      </c>
    </row>
    <row r="118" spans="1:12">
      <c r="A118" s="47" t="s">
        <v>394</v>
      </c>
      <c r="B118" s="48"/>
      <c r="C118" s="48">
        <v>5</v>
      </c>
      <c r="D118" s="48"/>
      <c r="E118" s="48"/>
      <c r="F118" s="48"/>
      <c r="G118" s="48"/>
      <c r="H118" s="48"/>
      <c r="I118" s="48"/>
      <c r="J118" s="48"/>
      <c r="K118" s="48"/>
      <c r="L118" s="48">
        <v>5</v>
      </c>
    </row>
    <row r="119" spans="1:12">
      <c r="A119" s="47" t="s">
        <v>397</v>
      </c>
      <c r="B119" s="48"/>
      <c r="C119" s="48"/>
      <c r="D119" s="48">
        <v>1</v>
      </c>
      <c r="E119" s="48"/>
      <c r="F119" s="48"/>
      <c r="G119" s="48"/>
      <c r="H119" s="48"/>
      <c r="I119" s="48"/>
      <c r="J119" s="48"/>
      <c r="K119" s="48"/>
      <c r="L119" s="48">
        <v>1</v>
      </c>
    </row>
    <row r="120" spans="1:12">
      <c r="A120" s="47" t="s">
        <v>106</v>
      </c>
      <c r="B120" s="48"/>
      <c r="C120" s="48"/>
      <c r="D120" s="48"/>
      <c r="E120" s="48">
        <v>4</v>
      </c>
      <c r="F120" s="48"/>
      <c r="G120" s="48"/>
      <c r="H120" s="48"/>
      <c r="I120" s="48"/>
      <c r="J120" s="48"/>
      <c r="K120" s="48"/>
      <c r="L120" s="48">
        <v>4</v>
      </c>
    </row>
    <row r="121" spans="1:12">
      <c r="A121" s="47" t="s">
        <v>237</v>
      </c>
      <c r="B121" s="48"/>
      <c r="C121" s="48"/>
      <c r="D121" s="48"/>
      <c r="E121" s="48">
        <v>1</v>
      </c>
      <c r="F121" s="48"/>
      <c r="G121" s="48"/>
      <c r="H121" s="48"/>
      <c r="I121" s="48"/>
      <c r="J121" s="48"/>
      <c r="K121" s="48"/>
      <c r="L121" s="48">
        <v>1</v>
      </c>
    </row>
    <row r="122" spans="1:12">
      <c r="A122" s="47" t="s">
        <v>151</v>
      </c>
      <c r="B122" s="48"/>
      <c r="C122" s="48"/>
      <c r="D122" s="48"/>
      <c r="E122" s="48"/>
      <c r="F122" s="48"/>
      <c r="G122" s="48"/>
      <c r="H122" s="48"/>
      <c r="I122" s="48"/>
      <c r="J122" s="48">
        <v>1</v>
      </c>
      <c r="K122" s="48"/>
      <c r="L122" s="48">
        <v>1</v>
      </c>
    </row>
    <row r="123" spans="1:12">
      <c r="A123" s="47" t="s">
        <v>147</v>
      </c>
      <c r="B123" s="48">
        <v>2</v>
      </c>
      <c r="C123" s="48"/>
      <c r="D123" s="48"/>
      <c r="E123" s="48"/>
      <c r="F123" s="48"/>
      <c r="G123" s="48"/>
      <c r="H123" s="48"/>
      <c r="I123" s="48"/>
      <c r="J123" s="48"/>
      <c r="K123" s="48"/>
      <c r="L123" s="48">
        <v>2</v>
      </c>
    </row>
    <row r="124" spans="1:12">
      <c r="A124" s="47" t="s">
        <v>395</v>
      </c>
      <c r="B124" s="48"/>
      <c r="C124" s="48">
        <v>3</v>
      </c>
      <c r="D124" s="48"/>
      <c r="E124" s="48"/>
      <c r="F124" s="48"/>
      <c r="G124" s="48"/>
      <c r="H124" s="48"/>
      <c r="I124" s="48"/>
      <c r="J124" s="48"/>
      <c r="K124" s="48"/>
      <c r="L124" s="48">
        <v>3</v>
      </c>
    </row>
    <row r="125" spans="1:12">
      <c r="A125" s="47" t="s">
        <v>180</v>
      </c>
      <c r="B125" s="48">
        <v>1</v>
      </c>
      <c r="C125" s="48">
        <v>5</v>
      </c>
      <c r="D125" s="48"/>
      <c r="E125" s="48"/>
      <c r="F125" s="48"/>
      <c r="G125" s="48"/>
      <c r="H125" s="48"/>
      <c r="I125" s="48"/>
      <c r="J125" s="48"/>
      <c r="K125" s="48"/>
      <c r="L125" s="48">
        <v>6</v>
      </c>
    </row>
    <row r="126" spans="1:12">
      <c r="A126" s="47" t="s">
        <v>247</v>
      </c>
      <c r="B126" s="48"/>
      <c r="C126" s="48"/>
      <c r="D126" s="48"/>
      <c r="E126" s="48"/>
      <c r="F126" s="48">
        <v>1</v>
      </c>
      <c r="G126" s="48"/>
      <c r="H126" s="48"/>
      <c r="I126" s="48"/>
      <c r="J126" s="48"/>
      <c r="K126" s="48"/>
      <c r="L126" s="48">
        <v>1</v>
      </c>
    </row>
    <row r="127" spans="1:12">
      <c r="A127" s="47" t="s">
        <v>396</v>
      </c>
      <c r="B127" s="48"/>
      <c r="C127" s="48">
        <v>1</v>
      </c>
      <c r="D127" s="48"/>
      <c r="E127" s="48"/>
      <c r="F127" s="48"/>
      <c r="G127" s="48"/>
      <c r="H127" s="48"/>
      <c r="I127" s="48"/>
      <c r="J127" s="48"/>
      <c r="K127" s="48"/>
      <c r="L127" s="48">
        <v>1</v>
      </c>
    </row>
    <row r="128" spans="1:12">
      <c r="A128" s="47" t="s">
        <v>597</v>
      </c>
      <c r="B128" s="48"/>
      <c r="C128" s="48"/>
      <c r="D128" s="48"/>
      <c r="E128" s="48"/>
      <c r="F128" s="48"/>
      <c r="G128" s="48"/>
      <c r="H128" s="48">
        <v>4</v>
      </c>
      <c r="I128" s="48"/>
      <c r="J128" s="48">
        <v>1</v>
      </c>
      <c r="K128" s="48"/>
      <c r="L128" s="48">
        <v>5</v>
      </c>
    </row>
    <row r="129" spans="1:12">
      <c r="A129" s="47" t="s">
        <v>142</v>
      </c>
      <c r="B129" s="48"/>
      <c r="C129" s="48">
        <v>2</v>
      </c>
      <c r="D129" s="48"/>
      <c r="E129" s="48"/>
      <c r="F129" s="48"/>
      <c r="G129" s="48"/>
      <c r="H129" s="48"/>
      <c r="I129" s="48"/>
      <c r="J129" s="48"/>
      <c r="K129" s="48"/>
      <c r="L129" s="48">
        <v>2</v>
      </c>
    </row>
    <row r="130" spans="1:12">
      <c r="A130" s="47" t="s">
        <v>137</v>
      </c>
      <c r="B130" s="48">
        <v>1</v>
      </c>
      <c r="C130" s="48">
        <v>1</v>
      </c>
      <c r="D130" s="48"/>
      <c r="E130" s="48">
        <v>1</v>
      </c>
      <c r="F130" s="48"/>
      <c r="G130" s="48"/>
      <c r="H130" s="48"/>
      <c r="I130" s="48"/>
      <c r="J130" s="48"/>
      <c r="K130" s="48"/>
      <c r="L130" s="48">
        <v>3</v>
      </c>
    </row>
    <row r="131" spans="1:12">
      <c r="A131" s="47" t="s">
        <v>156</v>
      </c>
      <c r="B131" s="48">
        <v>1</v>
      </c>
      <c r="C131" s="48">
        <v>3</v>
      </c>
      <c r="D131" s="48"/>
      <c r="E131" s="48"/>
      <c r="F131" s="48"/>
      <c r="G131" s="48"/>
      <c r="H131" s="48"/>
      <c r="I131" s="48"/>
      <c r="J131" s="48"/>
      <c r="K131" s="48"/>
      <c r="L131" s="48">
        <v>4</v>
      </c>
    </row>
    <row r="132" spans="1:12">
      <c r="A132" s="47" t="s">
        <v>164</v>
      </c>
      <c r="B132" s="48">
        <v>6</v>
      </c>
      <c r="C132" s="48">
        <v>6</v>
      </c>
      <c r="D132" s="48"/>
      <c r="E132" s="48"/>
      <c r="F132" s="48"/>
      <c r="G132" s="48"/>
      <c r="H132" s="48"/>
      <c r="I132" s="48"/>
      <c r="J132" s="48"/>
      <c r="K132" s="48"/>
      <c r="L132" s="48">
        <v>12</v>
      </c>
    </row>
    <row r="133" spans="1:12">
      <c r="A133" s="47" t="s">
        <v>837</v>
      </c>
      <c r="B133" s="48"/>
      <c r="C133" s="48"/>
      <c r="D133" s="48"/>
      <c r="E133" s="48">
        <v>1</v>
      </c>
      <c r="F133" s="48"/>
      <c r="G133" s="48"/>
      <c r="H133" s="48"/>
      <c r="I133" s="48"/>
      <c r="J133" s="48"/>
      <c r="K133" s="48"/>
      <c r="L133" s="48">
        <v>1</v>
      </c>
    </row>
    <row r="134" spans="1:12">
      <c r="A134" s="47" t="s">
        <v>838</v>
      </c>
      <c r="B134" s="48"/>
      <c r="C134" s="48"/>
      <c r="D134" s="48"/>
      <c r="E134" s="48">
        <v>1</v>
      </c>
      <c r="F134" s="48"/>
      <c r="G134" s="48"/>
      <c r="H134" s="48"/>
      <c r="I134" s="48"/>
      <c r="J134" s="48"/>
      <c r="K134" s="48"/>
      <c r="L134" s="48">
        <v>1</v>
      </c>
    </row>
    <row r="135" spans="1:12">
      <c r="A135" s="47" t="s">
        <v>181</v>
      </c>
      <c r="B135" s="48"/>
      <c r="C135" s="48"/>
      <c r="D135" s="48"/>
      <c r="E135" s="48">
        <v>5</v>
      </c>
      <c r="F135" s="48"/>
      <c r="G135" s="48"/>
      <c r="H135" s="48"/>
      <c r="I135" s="48"/>
      <c r="J135" s="48"/>
      <c r="K135" s="48"/>
      <c r="L135" s="48">
        <v>5</v>
      </c>
    </row>
    <row r="136" spans="1:12">
      <c r="A136" s="47" t="s">
        <v>968</v>
      </c>
      <c r="B136" s="48"/>
      <c r="C136" s="48">
        <v>1</v>
      </c>
      <c r="D136" s="48"/>
      <c r="E136" s="48"/>
      <c r="F136" s="48"/>
      <c r="G136" s="48"/>
      <c r="H136" s="48"/>
      <c r="I136" s="48"/>
      <c r="J136" s="48"/>
      <c r="K136" s="48"/>
      <c r="L136" s="48">
        <v>1</v>
      </c>
    </row>
    <row r="137" spans="1:12">
      <c r="A137" s="47" t="s">
        <v>584</v>
      </c>
      <c r="B137" s="48"/>
      <c r="C137" s="48"/>
      <c r="D137" s="48"/>
      <c r="E137" s="48"/>
      <c r="F137" s="48"/>
      <c r="G137" s="48"/>
      <c r="H137" s="48">
        <v>1</v>
      </c>
      <c r="I137" s="48"/>
      <c r="J137" s="48"/>
      <c r="K137" s="48"/>
      <c r="L137" s="48">
        <v>1</v>
      </c>
    </row>
    <row r="138" spans="1:12">
      <c r="A138" s="47" t="s">
        <v>1023</v>
      </c>
      <c r="B138" s="48"/>
      <c r="C138" s="48"/>
      <c r="D138" s="48"/>
      <c r="E138" s="48"/>
      <c r="F138" s="48"/>
      <c r="G138" s="48"/>
      <c r="H138" s="48"/>
      <c r="I138" s="48"/>
      <c r="J138" s="48"/>
      <c r="K138" s="48"/>
      <c r="L138" s="48"/>
    </row>
    <row r="139" spans="1:12">
      <c r="A139" s="47" t="s">
        <v>1060</v>
      </c>
      <c r="B139" s="48"/>
      <c r="C139" s="48"/>
      <c r="D139" s="48"/>
      <c r="E139" s="48"/>
      <c r="F139" s="48"/>
      <c r="G139" s="48"/>
      <c r="H139" s="48"/>
      <c r="I139" s="48"/>
      <c r="J139" s="48">
        <v>3</v>
      </c>
      <c r="K139" s="48"/>
      <c r="L139" s="48">
        <v>3</v>
      </c>
    </row>
    <row r="140" spans="1:12">
      <c r="A140" s="47" t="s">
        <v>1062</v>
      </c>
      <c r="B140" s="48">
        <v>4</v>
      </c>
      <c r="C140" s="48"/>
      <c r="D140" s="48"/>
      <c r="E140" s="48"/>
      <c r="F140" s="48"/>
      <c r="G140" s="48"/>
      <c r="H140" s="48"/>
      <c r="I140" s="48"/>
      <c r="J140" s="48"/>
      <c r="K140" s="48"/>
      <c r="L140" s="48">
        <v>4</v>
      </c>
    </row>
    <row r="141" spans="1:12">
      <c r="A141" s="47" t="s">
        <v>1076</v>
      </c>
      <c r="B141" s="48">
        <v>8</v>
      </c>
      <c r="C141" s="48"/>
      <c r="D141" s="48"/>
      <c r="E141" s="48"/>
      <c r="F141" s="48"/>
      <c r="G141" s="48"/>
      <c r="H141" s="48"/>
      <c r="I141" s="48"/>
      <c r="J141" s="48"/>
      <c r="K141" s="48"/>
      <c r="L141" s="48">
        <v>8</v>
      </c>
    </row>
    <row r="142" spans="1:12">
      <c r="A142" s="47" t="s">
        <v>1080</v>
      </c>
      <c r="B142" s="48">
        <v>11</v>
      </c>
      <c r="C142" s="48"/>
      <c r="D142" s="48"/>
      <c r="E142" s="48"/>
      <c r="F142" s="48"/>
      <c r="G142" s="48"/>
      <c r="H142" s="48"/>
      <c r="I142" s="48"/>
      <c r="J142" s="48"/>
      <c r="K142" s="48"/>
      <c r="L142" s="48">
        <v>11</v>
      </c>
    </row>
    <row r="143" spans="1:12">
      <c r="A143" s="47" t="s">
        <v>1124</v>
      </c>
      <c r="B143" s="48">
        <v>3</v>
      </c>
      <c r="C143" s="48"/>
      <c r="D143" s="48"/>
      <c r="E143" s="48"/>
      <c r="F143" s="48"/>
      <c r="G143" s="48"/>
      <c r="H143" s="48"/>
      <c r="I143" s="48"/>
      <c r="J143" s="48"/>
      <c r="K143" s="48"/>
      <c r="L143" s="48">
        <v>3</v>
      </c>
    </row>
    <row r="144" spans="1:12">
      <c r="A144" s="47" t="s">
        <v>1125</v>
      </c>
      <c r="B144" s="48"/>
      <c r="C144" s="48">
        <v>2</v>
      </c>
      <c r="D144" s="48"/>
      <c r="E144" s="48"/>
      <c r="F144" s="48"/>
      <c r="G144" s="48"/>
      <c r="H144" s="48"/>
      <c r="I144" s="48"/>
      <c r="J144" s="48"/>
      <c r="K144" s="48"/>
      <c r="L144" s="48">
        <v>2</v>
      </c>
    </row>
    <row r="145" spans="1:12">
      <c r="A145" s="47" t="s">
        <v>1142</v>
      </c>
      <c r="B145" s="48"/>
      <c r="C145" s="48"/>
      <c r="D145" s="48"/>
      <c r="E145" s="48"/>
      <c r="F145" s="48"/>
      <c r="G145" s="48">
        <v>1</v>
      </c>
      <c r="H145" s="48"/>
      <c r="I145" s="48"/>
      <c r="J145" s="48"/>
      <c r="K145" s="48"/>
      <c r="L145" s="48">
        <v>1</v>
      </c>
    </row>
    <row r="146" spans="1:12">
      <c r="A146" s="47" t="s">
        <v>1116</v>
      </c>
      <c r="B146" s="48">
        <v>1</v>
      </c>
      <c r="C146" s="48"/>
      <c r="D146" s="48"/>
      <c r="E146" s="48"/>
      <c r="F146" s="48">
        <v>5</v>
      </c>
      <c r="G146" s="48"/>
      <c r="H146" s="48"/>
      <c r="I146" s="48"/>
      <c r="J146" s="48">
        <v>3</v>
      </c>
      <c r="K146" s="48"/>
      <c r="L146" s="48">
        <v>9</v>
      </c>
    </row>
    <row r="147" spans="1:12">
      <c r="A147" s="47" t="s">
        <v>1140</v>
      </c>
      <c r="B147" s="48">
        <v>1</v>
      </c>
      <c r="C147" s="48"/>
      <c r="D147" s="48"/>
      <c r="E147" s="48"/>
      <c r="F147" s="48"/>
      <c r="G147" s="48"/>
      <c r="H147" s="48"/>
      <c r="I147" s="48"/>
      <c r="J147" s="48"/>
      <c r="K147" s="48"/>
      <c r="L147" s="48">
        <v>1</v>
      </c>
    </row>
    <row r="148" spans="1:12">
      <c r="A148" s="47" t="s">
        <v>1161</v>
      </c>
      <c r="B148" s="48"/>
      <c r="C148" s="48"/>
      <c r="D148" s="48"/>
      <c r="E148" s="48">
        <v>1</v>
      </c>
      <c r="F148" s="48"/>
      <c r="G148" s="48"/>
      <c r="H148" s="48"/>
      <c r="I148" s="48"/>
      <c r="J148" s="48"/>
      <c r="K148" s="48"/>
      <c r="L148" s="48">
        <v>1</v>
      </c>
    </row>
    <row r="149" spans="1:12">
      <c r="A149" s="47" t="s">
        <v>1160</v>
      </c>
      <c r="B149" s="48"/>
      <c r="C149" s="48"/>
      <c r="D149" s="48">
        <v>1</v>
      </c>
      <c r="E149" s="48"/>
      <c r="F149" s="48"/>
      <c r="G149" s="48"/>
      <c r="H149" s="48"/>
      <c r="I149" s="48"/>
      <c r="J149" s="48">
        <v>1</v>
      </c>
      <c r="K149" s="48"/>
      <c r="L149" s="48">
        <v>2</v>
      </c>
    </row>
    <row r="150" spans="1:12">
      <c r="A150" s="47" t="s">
        <v>1366</v>
      </c>
      <c r="B150" s="48">
        <v>39</v>
      </c>
      <c r="C150" s="48">
        <v>13</v>
      </c>
      <c r="D150" s="48"/>
      <c r="E150" s="48"/>
      <c r="F150" s="48"/>
      <c r="G150" s="48"/>
      <c r="H150" s="48"/>
      <c r="I150" s="48"/>
      <c r="J150" s="48"/>
      <c r="K150" s="48"/>
      <c r="L150" s="48">
        <v>52</v>
      </c>
    </row>
    <row r="151" spans="1:12">
      <c r="A151" s="47" t="s">
        <v>1309</v>
      </c>
      <c r="B151" s="48">
        <v>6</v>
      </c>
      <c r="C151" s="48">
        <v>2</v>
      </c>
      <c r="D151" s="48"/>
      <c r="E151" s="48"/>
      <c r="F151" s="48"/>
      <c r="G151" s="48"/>
      <c r="H151" s="48"/>
      <c r="I151" s="48"/>
      <c r="J151" s="48"/>
      <c r="K151" s="48"/>
      <c r="L151" s="48">
        <v>8</v>
      </c>
    </row>
    <row r="152" spans="1:12">
      <c r="A152" s="47" t="s">
        <v>1411</v>
      </c>
      <c r="B152" s="48">
        <v>6</v>
      </c>
      <c r="C152" s="48"/>
      <c r="D152" s="48"/>
      <c r="E152" s="48"/>
      <c r="F152" s="48"/>
      <c r="G152" s="48"/>
      <c r="H152" s="48"/>
      <c r="I152" s="48"/>
      <c r="J152" s="48"/>
      <c r="K152" s="48"/>
      <c r="L152" s="48">
        <v>6</v>
      </c>
    </row>
    <row r="153" spans="1:12">
      <c r="A153" s="47" t="s">
        <v>1183</v>
      </c>
      <c r="B153" s="48">
        <v>4</v>
      </c>
      <c r="C153" s="48">
        <v>2</v>
      </c>
      <c r="D153" s="48"/>
      <c r="E153" s="48"/>
      <c r="F153" s="48"/>
      <c r="G153" s="48"/>
      <c r="H153" s="48"/>
      <c r="I153" s="48"/>
      <c r="J153" s="48"/>
      <c r="K153" s="48"/>
      <c r="L153" s="48">
        <v>6</v>
      </c>
    </row>
    <row r="154" spans="1:12">
      <c r="A154" s="47" t="s">
        <v>1208</v>
      </c>
      <c r="B154" s="48">
        <v>1</v>
      </c>
      <c r="C154" s="48"/>
      <c r="D154" s="48"/>
      <c r="E154" s="48"/>
      <c r="F154" s="48"/>
      <c r="G154" s="48"/>
      <c r="H154" s="48"/>
      <c r="I154" s="48"/>
      <c r="J154" s="48"/>
      <c r="K154" s="48"/>
      <c r="L154" s="48">
        <v>1</v>
      </c>
    </row>
    <row r="155" spans="1:12">
      <c r="A155" s="47" t="s">
        <v>1177</v>
      </c>
      <c r="B155" s="48">
        <v>1</v>
      </c>
      <c r="C155" s="48"/>
      <c r="D155" s="48"/>
      <c r="E155" s="48"/>
      <c r="F155" s="48"/>
      <c r="G155" s="48"/>
      <c r="H155" s="48"/>
      <c r="I155" s="48"/>
      <c r="J155" s="48"/>
      <c r="K155" s="48"/>
      <c r="L155" s="48">
        <v>1</v>
      </c>
    </row>
    <row r="156" spans="1:12">
      <c r="A156" s="47" t="s">
        <v>1200</v>
      </c>
      <c r="B156" s="48"/>
      <c r="C156" s="48"/>
      <c r="D156" s="48"/>
      <c r="E156" s="48"/>
      <c r="F156" s="48"/>
      <c r="G156" s="48"/>
      <c r="H156" s="48"/>
      <c r="I156" s="48"/>
      <c r="J156" s="48">
        <v>4</v>
      </c>
      <c r="K156" s="48"/>
      <c r="L156" s="48">
        <v>4</v>
      </c>
    </row>
    <row r="157" spans="1:12">
      <c r="A157" s="47" t="s">
        <v>1201</v>
      </c>
      <c r="B157" s="48"/>
      <c r="C157" s="48"/>
      <c r="D157" s="48">
        <v>2</v>
      </c>
      <c r="E157" s="48"/>
      <c r="F157" s="48"/>
      <c r="G157" s="48"/>
      <c r="H157" s="48"/>
      <c r="I157" s="48"/>
      <c r="J157" s="48"/>
      <c r="K157" s="48"/>
      <c r="L157" s="48">
        <v>2</v>
      </c>
    </row>
    <row r="158" spans="1:12">
      <c r="A158" s="47" t="s">
        <v>1204</v>
      </c>
      <c r="B158" s="48"/>
      <c r="C158" s="48"/>
      <c r="D158" s="48">
        <v>1</v>
      </c>
      <c r="E158" s="48"/>
      <c r="F158" s="48"/>
      <c r="G158" s="48"/>
      <c r="H158" s="48"/>
      <c r="I158" s="48"/>
      <c r="J158" s="48"/>
      <c r="K158" s="48"/>
      <c r="L158" s="48">
        <v>1</v>
      </c>
    </row>
    <row r="159" spans="1:12">
      <c r="A159" s="47" t="s">
        <v>1310</v>
      </c>
      <c r="B159" s="48">
        <v>5</v>
      </c>
      <c r="C159" s="48"/>
      <c r="D159" s="48">
        <v>2</v>
      </c>
      <c r="E159" s="48"/>
      <c r="F159" s="48"/>
      <c r="G159" s="48"/>
      <c r="H159" s="48"/>
      <c r="I159" s="48"/>
      <c r="J159" s="48"/>
      <c r="K159" s="48"/>
      <c r="L159" s="48">
        <v>7</v>
      </c>
    </row>
    <row r="160" spans="1:12">
      <c r="A160" s="47" t="s">
        <v>1308</v>
      </c>
      <c r="B160" s="48">
        <v>2</v>
      </c>
      <c r="C160" s="48">
        <v>1</v>
      </c>
      <c r="D160" s="48"/>
      <c r="E160" s="48"/>
      <c r="F160" s="48"/>
      <c r="G160" s="48"/>
      <c r="H160" s="48"/>
      <c r="I160" s="48"/>
      <c r="J160" s="48"/>
      <c r="K160" s="48"/>
      <c r="L160" s="48">
        <v>3</v>
      </c>
    </row>
    <row r="161" spans="1:12">
      <c r="A161" s="47" t="s">
        <v>1294</v>
      </c>
      <c r="B161" s="48">
        <v>3</v>
      </c>
      <c r="C161" s="48"/>
      <c r="D161" s="48"/>
      <c r="E161" s="48"/>
      <c r="F161" s="48"/>
      <c r="G161" s="48"/>
      <c r="H161" s="48"/>
      <c r="I161" s="48"/>
      <c r="J161" s="48"/>
      <c r="K161" s="48"/>
      <c r="L161" s="48">
        <v>3</v>
      </c>
    </row>
    <row r="162" spans="1:12">
      <c r="A162" s="47" t="s">
        <v>1402</v>
      </c>
      <c r="B162" s="48"/>
      <c r="C162" s="48"/>
      <c r="D162" s="48"/>
      <c r="E162" s="48"/>
      <c r="F162" s="48"/>
      <c r="G162" s="48"/>
      <c r="H162" s="48"/>
      <c r="I162" s="48"/>
      <c r="J162" s="48">
        <v>1</v>
      </c>
      <c r="K162" s="48"/>
      <c r="L162" s="48">
        <v>1</v>
      </c>
    </row>
    <row r="163" spans="1:12">
      <c r="A163" s="47" t="s">
        <v>1403</v>
      </c>
      <c r="B163" s="48"/>
      <c r="C163" s="48"/>
      <c r="D163" s="48"/>
      <c r="E163" s="48"/>
      <c r="F163" s="48"/>
      <c r="G163" s="48">
        <v>3</v>
      </c>
      <c r="H163" s="48"/>
      <c r="I163" s="48"/>
      <c r="J163" s="48"/>
      <c r="K163" s="48"/>
      <c r="L163" s="48">
        <v>3</v>
      </c>
    </row>
    <row r="164" spans="1:12">
      <c r="A164" s="47" t="s">
        <v>1307</v>
      </c>
      <c r="B164" s="48">
        <v>2</v>
      </c>
      <c r="C164" s="48"/>
      <c r="D164" s="48"/>
      <c r="E164" s="48"/>
      <c r="F164" s="48"/>
      <c r="G164" s="48"/>
      <c r="H164" s="48"/>
      <c r="I164" s="48"/>
      <c r="J164" s="48"/>
      <c r="K164" s="48"/>
      <c r="L164" s="48">
        <v>2</v>
      </c>
    </row>
    <row r="165" spans="1:12">
      <c r="A165" s="47" t="s">
        <v>1024</v>
      </c>
      <c r="B165" s="48">
        <v>190</v>
      </c>
      <c r="C165" s="48">
        <v>218</v>
      </c>
      <c r="D165" s="48">
        <v>41</v>
      </c>
      <c r="E165" s="48">
        <v>28</v>
      </c>
      <c r="F165" s="48">
        <v>17</v>
      </c>
      <c r="G165" s="48">
        <v>14</v>
      </c>
      <c r="H165" s="48">
        <v>39</v>
      </c>
      <c r="I165" s="48">
        <v>8</v>
      </c>
      <c r="J165" s="48">
        <v>94</v>
      </c>
      <c r="K165" s="48"/>
      <c r="L165" s="48">
        <v>649</v>
      </c>
    </row>
  </sheetData>
  <pageMargins left="0.7" right="0.7" top="0.78740157499999996" bottom="0.78740157499999996" header="0.3" footer="0.3"/>
  <pageSetup paperSize="9" orientation="portrait"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1500"/>
  <sheetViews>
    <sheetView zoomScale="90" zoomScaleNormal="90" workbookViewId="0">
      <pane ySplit="1" topLeftCell="A167" activePane="bottomLeft" state="frozen"/>
      <selection activeCell="K13" sqref="K13"/>
      <selection pane="bottomLeft" activeCell="E70" sqref="E70"/>
    </sheetView>
  </sheetViews>
  <sheetFormatPr baseColWidth="10" defaultColWidth="11.42578125" defaultRowHeight="12.75"/>
  <cols>
    <col min="1" max="2" width="11.5703125" style="100" customWidth="1"/>
    <col min="3" max="3" width="5.28515625" style="111" customWidth="1"/>
    <col min="4" max="4" width="11.7109375" style="111" customWidth="1"/>
    <col min="5" max="5" width="11.7109375" style="222" customWidth="1"/>
    <col min="6" max="6" width="17.85546875" style="100" customWidth="1"/>
    <col min="7" max="7" width="45" style="100" customWidth="1"/>
    <col min="8" max="8" width="36.85546875" style="100" customWidth="1"/>
    <col min="9" max="9" width="12.85546875" style="223" customWidth="1"/>
    <col min="10" max="10" width="17" style="100" customWidth="1"/>
    <col min="11" max="11" width="10.5703125" style="100" customWidth="1"/>
    <col min="12" max="12" width="14.140625" style="308" customWidth="1"/>
    <col min="13" max="16384" width="11.42578125" style="100"/>
  </cols>
  <sheetData>
    <row r="1" spans="1:14" ht="89.25">
      <c r="A1" s="132" t="s">
        <v>1033</v>
      </c>
      <c r="B1" s="132" t="s">
        <v>1144</v>
      </c>
      <c r="C1" s="132" t="s">
        <v>1145</v>
      </c>
      <c r="D1" s="136" t="s">
        <v>1017</v>
      </c>
      <c r="E1" s="132" t="s">
        <v>1148</v>
      </c>
      <c r="F1" s="132" t="s">
        <v>1021</v>
      </c>
      <c r="G1" s="136" t="s">
        <v>1045</v>
      </c>
      <c r="H1" s="132" t="s">
        <v>1046</v>
      </c>
      <c r="I1" s="618" t="s">
        <v>1027</v>
      </c>
      <c r="J1" s="619"/>
      <c r="K1" s="224" t="s">
        <v>947</v>
      </c>
      <c r="L1" s="224" t="s">
        <v>1022</v>
      </c>
      <c r="M1" s="618" t="s">
        <v>1095</v>
      </c>
      <c r="N1" s="619"/>
    </row>
    <row r="2" spans="1:14" s="110" customFormat="1">
      <c r="A2" s="130" t="s">
        <v>1094</v>
      </c>
      <c r="B2" s="130"/>
      <c r="C2" s="113"/>
      <c r="D2" s="113"/>
      <c r="E2" s="113"/>
      <c r="F2" s="115" t="s">
        <v>1019</v>
      </c>
      <c r="G2" s="130"/>
      <c r="H2" s="112"/>
      <c r="I2" s="115"/>
      <c r="J2" s="130"/>
      <c r="K2" s="114">
        <v>0</v>
      </c>
      <c r="L2" s="156">
        <f>IFERROR(E2*1000/K2*(1-0.5)^(C2/2),1000)</f>
        <v>1000</v>
      </c>
    </row>
    <row r="3" spans="1:14" s="110" customFormat="1">
      <c r="A3" s="130" t="s">
        <v>1094</v>
      </c>
      <c r="B3" s="130"/>
      <c r="C3" s="113"/>
      <c r="D3" s="113"/>
      <c r="E3" s="113"/>
      <c r="F3" s="115" t="s">
        <v>1097</v>
      </c>
      <c r="G3" s="130"/>
      <c r="H3" s="112"/>
      <c r="I3" s="115"/>
      <c r="J3" s="130"/>
      <c r="K3" s="114">
        <v>0</v>
      </c>
      <c r="L3" s="156">
        <f t="shared" ref="L3" si="0">IFERROR(E3*1000/K3*(1-0.5)^(C3/2),1000)</f>
        <v>1000</v>
      </c>
    </row>
    <row r="4" spans="1:14" s="110" customFormat="1">
      <c r="A4" s="130" t="s">
        <v>1094</v>
      </c>
      <c r="B4" s="130"/>
      <c r="C4" s="113"/>
      <c r="D4" s="113"/>
      <c r="E4" s="113"/>
      <c r="F4" s="115" t="s">
        <v>1143</v>
      </c>
      <c r="G4" s="130"/>
      <c r="H4" s="112"/>
      <c r="I4" s="115"/>
      <c r="J4" s="130"/>
      <c r="K4" s="114">
        <v>0</v>
      </c>
      <c r="L4" s="156">
        <f t="shared" ref="L4" si="1">IFERROR(E4*1000/K4*(1-0.5)^(C4/2),1000)</f>
        <v>1000</v>
      </c>
    </row>
    <row r="5" spans="1:14" s="110" customFormat="1">
      <c r="A5" s="130" t="s">
        <v>1094</v>
      </c>
      <c r="B5" s="130"/>
      <c r="C5" s="113"/>
      <c r="D5" s="113"/>
      <c r="E5" s="113"/>
      <c r="F5" s="115" t="s">
        <v>1146</v>
      </c>
      <c r="G5" s="130"/>
      <c r="H5" s="112"/>
      <c r="I5" s="115"/>
      <c r="J5" s="130"/>
      <c r="K5" s="114">
        <v>0</v>
      </c>
      <c r="L5" s="156">
        <v>1000</v>
      </c>
    </row>
    <row r="6" spans="1:14" s="110" customFormat="1">
      <c r="A6" s="130" t="s">
        <v>77</v>
      </c>
      <c r="B6" s="130"/>
      <c r="C6" s="113"/>
      <c r="D6" s="113"/>
      <c r="E6" s="113"/>
      <c r="F6" s="115" t="s">
        <v>1019</v>
      </c>
      <c r="G6" s="130"/>
      <c r="H6" s="112"/>
      <c r="I6" s="115"/>
      <c r="J6" s="130"/>
      <c r="K6" s="114">
        <f>'Auswertung_neu (2)'!I11</f>
        <v>0.39304324511714689</v>
      </c>
      <c r="L6" s="156"/>
    </row>
    <row r="7" spans="1:14" s="110" customFormat="1">
      <c r="A7" s="130" t="s">
        <v>77</v>
      </c>
      <c r="B7" s="130"/>
      <c r="C7" s="113"/>
      <c r="D7" s="113"/>
      <c r="E7" s="113"/>
      <c r="F7" s="115" t="s">
        <v>1097</v>
      </c>
      <c r="G7" s="130"/>
      <c r="H7" s="112"/>
      <c r="I7" s="115"/>
      <c r="J7" s="130"/>
      <c r="K7" s="114">
        <f>'Auswertung_neu (2)'!I14</f>
        <v>0</v>
      </c>
      <c r="L7" s="156"/>
    </row>
    <row r="8" spans="1:14" s="110" customFormat="1">
      <c r="A8" s="130" t="s">
        <v>77</v>
      </c>
      <c r="B8" s="130"/>
      <c r="C8" s="113"/>
      <c r="D8" s="113"/>
      <c r="E8" s="113"/>
      <c r="F8" s="115" t="s">
        <v>1143</v>
      </c>
      <c r="G8" s="130"/>
      <c r="H8" s="112"/>
      <c r="I8" s="115"/>
      <c r="J8" s="130"/>
      <c r="K8" s="114">
        <f>'Auswertung_neu (2)'!I13</f>
        <v>0</v>
      </c>
      <c r="L8" s="156"/>
    </row>
    <row r="9" spans="1:14" s="110" customFormat="1">
      <c r="A9" s="130" t="s">
        <v>77</v>
      </c>
      <c r="B9" s="130"/>
      <c r="C9" s="113"/>
      <c r="D9" s="113"/>
      <c r="E9" s="113"/>
      <c r="F9" s="115" t="s">
        <v>1146</v>
      </c>
      <c r="G9" s="130"/>
      <c r="H9" s="112"/>
      <c r="I9" s="115"/>
      <c r="J9" s="130"/>
      <c r="K9" s="114">
        <f>'Auswertung_neu (2)'!I12</f>
        <v>0</v>
      </c>
      <c r="L9" s="156"/>
    </row>
    <row r="10" spans="1:14" s="110" customFormat="1">
      <c r="A10" s="130" t="s">
        <v>165</v>
      </c>
      <c r="B10" s="130"/>
      <c r="C10" s="113"/>
      <c r="D10" s="113"/>
      <c r="E10" s="113"/>
      <c r="F10" s="115" t="s">
        <v>1019</v>
      </c>
      <c r="G10" s="130"/>
      <c r="H10" s="112"/>
      <c r="I10" s="115"/>
      <c r="J10" s="130"/>
      <c r="K10" s="114">
        <f>'Auswertung_neu (2)'!I26</f>
        <v>0.95085092472137211</v>
      </c>
      <c r="L10" s="156"/>
    </row>
    <row r="11" spans="1:14" s="110" customFormat="1">
      <c r="A11" s="130" t="s">
        <v>165</v>
      </c>
      <c r="B11" s="130"/>
      <c r="C11" s="113"/>
      <c r="D11" s="113"/>
      <c r="E11" s="113"/>
      <c r="F11" s="115" t="s">
        <v>1020</v>
      </c>
      <c r="G11" s="130" t="s">
        <v>1093</v>
      </c>
      <c r="H11" s="112"/>
      <c r="I11" s="115"/>
      <c r="J11" s="130"/>
      <c r="K11" s="114">
        <f>'Auswertung_neu (2)'!I29</f>
        <v>4.8749999999999618</v>
      </c>
      <c r="L11" s="156"/>
    </row>
    <row r="12" spans="1:14" s="110" customFormat="1">
      <c r="A12" s="130" t="s">
        <v>165</v>
      </c>
      <c r="B12" s="130"/>
      <c r="C12" s="113"/>
      <c r="D12" s="113"/>
      <c r="E12" s="113"/>
      <c r="F12" s="115" t="s">
        <v>1096</v>
      </c>
      <c r="G12" s="130"/>
      <c r="H12" s="112"/>
      <c r="I12" s="115"/>
      <c r="J12" s="130"/>
      <c r="K12" s="114">
        <f>'Auswertung_neu (2)'!I27</f>
        <v>0.95085092472137211</v>
      </c>
      <c r="L12" s="156"/>
    </row>
    <row r="13" spans="1:14" s="110" customFormat="1">
      <c r="A13" s="130" t="s">
        <v>78</v>
      </c>
      <c r="B13" s="130"/>
      <c r="C13" s="113"/>
      <c r="D13" s="113"/>
      <c r="E13" s="113"/>
      <c r="F13" s="115" t="s">
        <v>1019</v>
      </c>
      <c r="G13" s="130"/>
      <c r="H13" s="112"/>
      <c r="I13" s="115"/>
      <c r="J13" s="130"/>
      <c r="K13" s="114">
        <f>'Auswertung_neu (2)'!I36</f>
        <v>0.41666666666666663</v>
      </c>
      <c r="L13" s="156"/>
    </row>
    <row r="14" spans="1:14" s="110" customFormat="1">
      <c r="A14" s="130" t="s">
        <v>78</v>
      </c>
      <c r="B14" s="130"/>
      <c r="C14" s="113"/>
      <c r="D14" s="113"/>
      <c r="E14" s="113"/>
      <c r="F14" s="115" t="s">
        <v>1020</v>
      </c>
      <c r="G14" s="130" t="s">
        <v>1093</v>
      </c>
      <c r="H14" s="112"/>
      <c r="I14" s="115"/>
      <c r="J14" s="130"/>
      <c r="K14" s="114">
        <f>'Auswertung_neu (2)'!I39</f>
        <v>0.6944444444444452</v>
      </c>
      <c r="L14" s="156"/>
    </row>
    <row r="15" spans="1:14" s="110" customFormat="1">
      <c r="A15" s="130" t="s">
        <v>78</v>
      </c>
      <c r="B15" s="130"/>
      <c r="C15" s="113"/>
      <c r="D15" s="113"/>
      <c r="E15" s="113"/>
      <c r="F15" s="115" t="s">
        <v>1096</v>
      </c>
      <c r="G15" s="130"/>
      <c r="H15" s="112"/>
      <c r="I15" s="115"/>
      <c r="J15" s="130"/>
      <c r="K15" s="114">
        <f>'Auswertung_neu (2)'!I37</f>
        <v>0.41666666666666663</v>
      </c>
      <c r="L15" s="156"/>
    </row>
    <row r="16" spans="1:14" s="110" customFormat="1">
      <c r="A16" s="130" t="s">
        <v>949</v>
      </c>
      <c r="B16" s="130"/>
      <c r="C16" s="113"/>
      <c r="D16" s="113"/>
      <c r="E16" s="113"/>
      <c r="F16" s="115" t="s">
        <v>1019</v>
      </c>
      <c r="G16" s="130"/>
      <c r="H16" s="112">
        <v>0</v>
      </c>
      <c r="I16" s="115"/>
      <c r="J16" s="130"/>
      <c r="K16" s="114">
        <f>'Auswertung_neu (2)'!I41</f>
        <v>52.875</v>
      </c>
      <c r="L16" s="156"/>
    </row>
    <row r="17" spans="1:12" s="110" customFormat="1">
      <c r="A17" s="130" t="s">
        <v>949</v>
      </c>
      <c r="B17" s="130"/>
      <c r="C17" s="113"/>
      <c r="D17" s="113"/>
      <c r="E17" s="113"/>
      <c r="F17" s="115" t="s">
        <v>1020</v>
      </c>
      <c r="G17" s="130" t="s">
        <v>1093</v>
      </c>
      <c r="H17" s="112"/>
      <c r="I17" s="115"/>
      <c r="J17" s="130"/>
      <c r="K17" s="114">
        <f>'Auswertung_neu (2)'!I44</f>
        <v>52.875</v>
      </c>
      <c r="L17" s="156"/>
    </row>
    <row r="18" spans="1:12" s="110" customFormat="1">
      <c r="A18" s="130" t="s">
        <v>949</v>
      </c>
      <c r="B18" s="130"/>
      <c r="C18" s="113"/>
      <c r="D18" s="113"/>
      <c r="E18" s="113"/>
      <c r="F18" s="115" t="s">
        <v>1096</v>
      </c>
      <c r="G18" s="130"/>
      <c r="H18" s="112"/>
      <c r="I18" s="115"/>
      <c r="J18" s="130"/>
      <c r="K18" s="114">
        <f>'Auswertung_neu (2)'!I42</f>
        <v>52.875</v>
      </c>
      <c r="L18" s="156"/>
    </row>
    <row r="19" spans="1:12" s="110" customFormat="1">
      <c r="A19" s="130" t="s">
        <v>86</v>
      </c>
      <c r="B19" s="130"/>
      <c r="C19" s="113"/>
      <c r="D19" s="113"/>
      <c r="E19" s="113"/>
      <c r="F19" s="115" t="s">
        <v>1019</v>
      </c>
      <c r="G19" s="130"/>
      <c r="H19" s="112"/>
      <c r="I19" s="115"/>
      <c r="J19" s="130"/>
      <c r="K19" s="114">
        <f>'Auswertung_neu (2)'!I51</f>
        <v>0</v>
      </c>
      <c r="L19" s="156"/>
    </row>
    <row r="20" spans="1:12" s="110" customFormat="1">
      <c r="A20" s="130" t="s">
        <v>86</v>
      </c>
      <c r="B20" s="130"/>
      <c r="C20" s="113"/>
      <c r="D20" s="113"/>
      <c r="E20" s="113"/>
      <c r="F20" s="115" t="s">
        <v>1020</v>
      </c>
      <c r="G20" s="130" t="s">
        <v>1093</v>
      </c>
      <c r="H20" s="112"/>
      <c r="I20" s="115"/>
      <c r="J20" s="130"/>
      <c r="K20" s="114">
        <f>'Auswertung_neu (2)'!I54</f>
        <v>0</v>
      </c>
      <c r="L20" s="156"/>
    </row>
    <row r="21" spans="1:12" s="110" customFormat="1">
      <c r="A21" s="130" t="s">
        <v>86</v>
      </c>
      <c r="B21" s="130"/>
      <c r="C21" s="113"/>
      <c r="D21" s="113"/>
      <c r="E21" s="113"/>
      <c r="F21" s="115" t="s">
        <v>1096</v>
      </c>
      <c r="G21" s="130"/>
      <c r="H21" s="112"/>
      <c r="I21" s="115"/>
      <c r="J21" s="130"/>
      <c r="K21" s="114">
        <f>'Auswertung_neu (2)'!I52</f>
        <v>0</v>
      </c>
      <c r="L21" s="156"/>
    </row>
    <row r="22" spans="1:12" s="110" customFormat="1">
      <c r="A22" s="130" t="s">
        <v>240</v>
      </c>
      <c r="B22" s="130"/>
      <c r="C22" s="113"/>
      <c r="D22" s="113"/>
      <c r="E22" s="113"/>
      <c r="F22" s="115" t="s">
        <v>1019</v>
      </c>
      <c r="G22" s="130"/>
      <c r="H22" s="112"/>
      <c r="I22" s="115"/>
      <c r="J22" s="130"/>
      <c r="K22" s="114">
        <f>'Auswertung_neu (2)'!I56</f>
        <v>0</v>
      </c>
      <c r="L22" s="156"/>
    </row>
    <row r="23" spans="1:12" s="110" customFormat="1">
      <c r="A23" s="130" t="s">
        <v>240</v>
      </c>
      <c r="B23" s="130"/>
      <c r="C23" s="113"/>
      <c r="D23" s="113"/>
      <c r="E23" s="113"/>
      <c r="F23" s="115" t="s">
        <v>1020</v>
      </c>
      <c r="G23" s="130" t="s">
        <v>1093</v>
      </c>
      <c r="H23" s="112"/>
      <c r="I23" s="115"/>
      <c r="J23" s="130"/>
      <c r="K23" s="114">
        <f>'Auswertung_neu (2)'!I59</f>
        <v>0</v>
      </c>
      <c r="L23" s="156"/>
    </row>
    <row r="24" spans="1:12" s="110" customFormat="1">
      <c r="A24" s="130" t="s">
        <v>240</v>
      </c>
      <c r="B24" s="130"/>
      <c r="C24" s="113"/>
      <c r="D24" s="113"/>
      <c r="E24" s="113"/>
      <c r="F24" s="115" t="s">
        <v>1096</v>
      </c>
      <c r="G24" s="130"/>
      <c r="H24" s="112"/>
      <c r="I24" s="115"/>
      <c r="J24" s="130"/>
      <c r="K24" s="114">
        <f>'Auswertung_neu (2)'!I57</f>
        <v>0</v>
      </c>
      <c r="L24" s="156"/>
    </row>
    <row r="25" spans="1:12" s="110" customFormat="1">
      <c r="A25" s="130" t="s">
        <v>191</v>
      </c>
      <c r="B25" s="130"/>
      <c r="C25" s="113"/>
      <c r="D25" s="113"/>
      <c r="E25" s="113"/>
      <c r="F25" s="115" t="s">
        <v>1019</v>
      </c>
      <c r="G25" s="130"/>
      <c r="H25" s="112"/>
      <c r="I25" s="115"/>
      <c r="J25" s="130"/>
      <c r="K25" s="114">
        <f>'Auswertung_neu (2)'!I46</f>
        <v>43.650000000000013</v>
      </c>
      <c r="L25" s="156"/>
    </row>
    <row r="26" spans="1:12" s="110" customFormat="1">
      <c r="A26" s="130" t="s">
        <v>191</v>
      </c>
      <c r="B26" s="130"/>
      <c r="C26" s="113"/>
      <c r="D26" s="113"/>
      <c r="E26" s="113"/>
      <c r="F26" s="115" t="s">
        <v>1020</v>
      </c>
      <c r="G26" s="130" t="s">
        <v>1093</v>
      </c>
      <c r="H26" s="112"/>
      <c r="I26" s="115"/>
      <c r="J26" s="130"/>
      <c r="K26" s="114">
        <f>'Auswertung_neu (2)'!I49</f>
        <v>43.650000000000013</v>
      </c>
      <c r="L26" s="156"/>
    </row>
    <row r="27" spans="1:12" s="110" customFormat="1">
      <c r="A27" s="130" t="s">
        <v>191</v>
      </c>
      <c r="B27" s="130"/>
      <c r="C27" s="113"/>
      <c r="D27" s="113"/>
      <c r="E27" s="113"/>
      <c r="F27" s="115" t="s">
        <v>1096</v>
      </c>
      <c r="G27" s="130"/>
      <c r="H27" s="112"/>
      <c r="I27" s="115"/>
      <c r="J27" s="130"/>
      <c r="K27" s="114">
        <f>'Auswertung_neu (2)'!I47</f>
        <v>43.650000000000013</v>
      </c>
      <c r="L27" s="156"/>
    </row>
    <row r="28" spans="1:12" s="110" customFormat="1">
      <c r="A28" s="130" t="s">
        <v>188</v>
      </c>
      <c r="B28" s="130"/>
      <c r="C28" s="113"/>
      <c r="D28" s="113"/>
      <c r="E28" s="113"/>
      <c r="F28" s="115" t="s">
        <v>1019</v>
      </c>
      <c r="G28" s="130"/>
      <c r="H28" s="112"/>
      <c r="I28" s="115"/>
      <c r="J28" s="130"/>
      <c r="K28" s="114">
        <f>'Auswertung_neu (2)'!I31</f>
        <v>292</v>
      </c>
      <c r="L28" s="156"/>
    </row>
    <row r="29" spans="1:12" s="110" customFormat="1">
      <c r="A29" s="130" t="s">
        <v>188</v>
      </c>
      <c r="B29" s="130"/>
      <c r="C29" s="113"/>
      <c r="D29" s="113"/>
      <c r="E29" s="113"/>
      <c r="F29" s="115" t="s">
        <v>1020</v>
      </c>
      <c r="G29" s="130" t="s">
        <v>1093</v>
      </c>
      <c r="H29" s="112"/>
      <c r="I29" s="115"/>
      <c r="J29" s="130"/>
      <c r="K29" s="114">
        <f>'Auswertung_neu (2)'!I34</f>
        <v>292</v>
      </c>
      <c r="L29" s="156"/>
    </row>
    <row r="30" spans="1:12" s="110" customFormat="1">
      <c r="A30" s="130" t="s">
        <v>188</v>
      </c>
      <c r="B30" s="130"/>
      <c r="C30" s="113"/>
      <c r="D30" s="113"/>
      <c r="E30" s="113"/>
      <c r="F30" s="115" t="s">
        <v>1096</v>
      </c>
      <c r="G30" s="130"/>
      <c r="H30" s="112"/>
      <c r="I30" s="115"/>
      <c r="J30" s="130"/>
      <c r="K30" s="114">
        <f>'Auswertung_neu (2)'!I32</f>
        <v>292</v>
      </c>
      <c r="L30" s="156"/>
    </row>
    <row r="31" spans="1:12" s="110" customFormat="1">
      <c r="A31" s="130" t="s">
        <v>69</v>
      </c>
      <c r="B31" s="130"/>
      <c r="C31" s="113"/>
      <c r="D31" s="113"/>
      <c r="E31" s="113"/>
      <c r="F31" s="115" t="s">
        <v>1019</v>
      </c>
      <c r="G31" s="130"/>
      <c r="H31" s="112"/>
      <c r="I31" s="115"/>
      <c r="J31" s="130"/>
      <c r="K31" s="114">
        <f>'Auswertung_neu (2)'!I16</f>
        <v>11.703124999999968</v>
      </c>
      <c r="L31" s="156"/>
    </row>
    <row r="32" spans="1:12" s="110" customFormat="1">
      <c r="A32" s="130" t="s">
        <v>69</v>
      </c>
      <c r="B32" s="130"/>
      <c r="C32" s="113"/>
      <c r="D32" s="113"/>
      <c r="E32" s="113"/>
      <c r="F32" s="115" t="s">
        <v>1020</v>
      </c>
      <c r="G32" s="130" t="s">
        <v>1093</v>
      </c>
      <c r="H32" s="112"/>
      <c r="I32" s="115"/>
      <c r="J32" s="130"/>
      <c r="K32" s="114">
        <f>'Auswertung_neu (2)'!I19</f>
        <v>11.703124999999968</v>
      </c>
      <c r="L32" s="156"/>
    </row>
    <row r="33" spans="1:12" s="110" customFormat="1">
      <c r="A33" s="130" t="s">
        <v>69</v>
      </c>
      <c r="B33" s="130"/>
      <c r="C33" s="113"/>
      <c r="D33" s="113"/>
      <c r="E33" s="113"/>
      <c r="F33" s="115" t="s">
        <v>1096</v>
      </c>
      <c r="G33" s="130"/>
      <c r="H33" s="112"/>
      <c r="I33" s="115"/>
      <c r="J33" s="130"/>
      <c r="K33" s="114">
        <f>'Auswertung_neu (2)'!I17</f>
        <v>11.703124999999968</v>
      </c>
      <c r="L33" s="156"/>
    </row>
    <row r="34" spans="1:12" s="110" customFormat="1">
      <c r="A34" s="130" t="s">
        <v>67</v>
      </c>
      <c r="B34" s="130"/>
      <c r="C34" s="113"/>
      <c r="D34" s="113"/>
      <c r="E34" s="113"/>
      <c r="F34" s="115" t="s">
        <v>1019</v>
      </c>
      <c r="G34" s="130"/>
      <c r="H34" s="112"/>
      <c r="I34" s="115"/>
      <c r="J34" s="130"/>
      <c r="K34" s="114">
        <f>'Auswertung_neu (2)'!I21</f>
        <v>0</v>
      </c>
      <c r="L34" s="156"/>
    </row>
    <row r="35" spans="1:12" s="110" customFormat="1">
      <c r="A35" s="130" t="s">
        <v>67</v>
      </c>
      <c r="B35" s="130"/>
      <c r="C35" s="113"/>
      <c r="D35" s="113"/>
      <c r="E35" s="113"/>
      <c r="F35" s="115" t="s">
        <v>1020</v>
      </c>
      <c r="G35" s="130" t="s">
        <v>1093</v>
      </c>
      <c r="H35" s="112"/>
      <c r="I35" s="115"/>
      <c r="J35" s="130"/>
      <c r="K35" s="114">
        <f>'Auswertung_neu (2)'!I24</f>
        <v>0</v>
      </c>
      <c r="L35" s="156"/>
    </row>
    <row r="36" spans="1:12">
      <c r="A36" s="100" t="s">
        <v>67</v>
      </c>
      <c r="F36" s="115" t="s">
        <v>1096</v>
      </c>
      <c r="G36" s="130"/>
      <c r="I36" s="110"/>
      <c r="J36" s="110"/>
      <c r="K36" s="114">
        <f>'Auswertung_neu (2)'!I22</f>
        <v>0.33485491071428547</v>
      </c>
      <c r="L36" s="156"/>
    </row>
    <row r="37" spans="1:12" s="110" customFormat="1">
      <c r="A37" s="130" t="s">
        <v>18</v>
      </c>
      <c r="B37" s="130"/>
      <c r="C37" s="113"/>
      <c r="D37" s="113"/>
      <c r="E37" s="113"/>
      <c r="F37" s="115" t="s">
        <v>1019</v>
      </c>
      <c r="G37" s="130"/>
      <c r="H37" s="112"/>
      <c r="I37" s="115"/>
      <c r="J37" s="130"/>
      <c r="K37" s="114">
        <f>'Auswertung_neu (2)'!I63</f>
        <v>789.98664829447762</v>
      </c>
      <c r="L37" s="156"/>
    </row>
    <row r="38" spans="1:12" s="110" customFormat="1">
      <c r="A38" s="130" t="s">
        <v>18</v>
      </c>
      <c r="B38" s="130"/>
      <c r="C38" s="113"/>
      <c r="D38" s="113"/>
      <c r="E38" s="113"/>
      <c r="F38" s="115" t="s">
        <v>1020</v>
      </c>
      <c r="G38" s="130"/>
      <c r="H38" s="112"/>
      <c r="I38" s="115"/>
      <c r="J38" s="130"/>
      <c r="K38" s="114">
        <f>'Auswertung_neu (2)'!I66</f>
        <v>175.98214285714289</v>
      </c>
      <c r="L38" s="156"/>
    </row>
    <row r="39" spans="1:12" s="110" customFormat="1">
      <c r="A39" s="130" t="s">
        <v>18</v>
      </c>
      <c r="B39" s="130"/>
      <c r="C39" s="113"/>
      <c r="D39" s="113"/>
      <c r="E39" s="113"/>
      <c r="F39" s="115" t="s">
        <v>1096</v>
      </c>
      <c r="G39" s="130"/>
      <c r="H39" s="112"/>
      <c r="I39" s="115"/>
      <c r="J39" s="130"/>
      <c r="K39" s="114">
        <f>'Auswertung_neu (2)'!I64</f>
        <v>175.98214285714289</v>
      </c>
      <c r="L39" s="156"/>
    </row>
    <row r="40" spans="1:12" s="110" customFormat="1" ht="15">
      <c r="A40" s="200" t="s">
        <v>19</v>
      </c>
      <c r="B40" s="130"/>
      <c r="C40" s="113"/>
      <c r="D40" s="113"/>
      <c r="E40" s="113"/>
      <c r="F40" s="115" t="s">
        <v>1019</v>
      </c>
      <c r="G40" s="130"/>
      <c r="H40" s="112"/>
      <c r="I40" s="115"/>
      <c r="J40" s="130"/>
      <c r="K40" s="114">
        <f>'Auswertung_neu (2)'!F68</f>
        <v>432.08646933463126</v>
      </c>
      <c r="L40" s="156"/>
    </row>
    <row r="41" spans="1:12" s="110" customFormat="1" ht="15">
      <c r="A41" s="200" t="s">
        <v>19</v>
      </c>
      <c r="B41" s="130"/>
      <c r="C41" s="113"/>
      <c r="D41" s="113"/>
      <c r="E41" s="113"/>
      <c r="F41" s="115" t="s">
        <v>1020</v>
      </c>
      <c r="G41" s="130" t="s">
        <v>1093</v>
      </c>
      <c r="H41" s="112"/>
      <c r="I41" s="115"/>
      <c r="J41" s="130"/>
      <c r="K41" s="114">
        <f>'Auswertung_neu (2)'!I71</f>
        <v>416.76682692307691</v>
      </c>
      <c r="L41" s="156"/>
    </row>
    <row r="42" spans="1:12" s="110" customFormat="1" ht="15">
      <c r="A42" s="200" t="s">
        <v>19</v>
      </c>
      <c r="B42" s="130"/>
      <c r="C42" s="113"/>
      <c r="D42" s="113"/>
      <c r="E42" s="113"/>
      <c r="F42" s="115" t="s">
        <v>1096</v>
      </c>
      <c r="G42" s="130"/>
      <c r="H42" s="112"/>
      <c r="I42" s="115"/>
      <c r="J42" s="130"/>
      <c r="K42" s="114">
        <f>'Auswertung_neu (2)'!I69</f>
        <v>416.76682692307691</v>
      </c>
      <c r="L42" s="156"/>
    </row>
    <row r="43" spans="1:12" s="110" customFormat="1" ht="15">
      <c r="A43" s="200" t="s">
        <v>42</v>
      </c>
      <c r="B43" s="130"/>
      <c r="C43" s="113"/>
      <c r="D43" s="113"/>
      <c r="E43" s="113"/>
      <c r="F43" s="115" t="s">
        <v>1019</v>
      </c>
      <c r="G43" s="130"/>
      <c r="H43" s="112"/>
      <c r="I43" s="115"/>
      <c r="J43" s="130"/>
      <c r="K43" s="114">
        <f>'Auswertung_neu (2)'!I73</f>
        <v>68.285919898456569</v>
      </c>
      <c r="L43" s="156"/>
    </row>
    <row r="44" spans="1:12" s="110" customFormat="1" ht="15">
      <c r="A44" s="200" t="s">
        <v>42</v>
      </c>
      <c r="B44" s="130"/>
      <c r="C44" s="113"/>
      <c r="D44" s="113"/>
      <c r="E44" s="113"/>
      <c r="F44" s="115" t="s">
        <v>1020</v>
      </c>
      <c r="G44" s="130" t="s">
        <v>1093</v>
      </c>
      <c r="H44" s="112"/>
      <c r="I44" s="115"/>
      <c r="J44" s="130"/>
      <c r="K44" s="114">
        <f>'Auswertung_neu (2)'!I76</f>
        <v>13.035714285714299</v>
      </c>
      <c r="L44" s="156"/>
    </row>
    <row r="45" spans="1:12" s="110" customFormat="1" ht="15">
      <c r="A45" s="200" t="s">
        <v>42</v>
      </c>
      <c r="B45" s="130"/>
      <c r="C45" s="113"/>
      <c r="D45" s="113"/>
      <c r="E45" s="113"/>
      <c r="F45" s="115" t="s">
        <v>1096</v>
      </c>
      <c r="G45" s="130"/>
      <c r="H45" s="112"/>
      <c r="I45" s="115"/>
      <c r="J45" s="130"/>
      <c r="K45" s="114">
        <f>'Auswertung_neu (2)'!I74</f>
        <v>13.035714285714299</v>
      </c>
      <c r="L45" s="156"/>
    </row>
    <row r="46" spans="1:12" s="110" customFormat="1" ht="15">
      <c r="A46" s="200" t="s">
        <v>20</v>
      </c>
      <c r="B46" s="130"/>
      <c r="C46" s="113"/>
      <c r="D46" s="113"/>
      <c r="E46" s="113"/>
      <c r="F46" s="115" t="s">
        <v>1019</v>
      </c>
      <c r="G46" s="130"/>
      <c r="H46" s="112"/>
      <c r="I46" s="115"/>
      <c r="J46" s="130"/>
      <c r="K46" s="114">
        <f>'Auswertung_neu (2)'!I88</f>
        <v>1238.3928571428573</v>
      </c>
      <c r="L46" s="156"/>
    </row>
    <row r="47" spans="1:12" s="110" customFormat="1" ht="15">
      <c r="A47" s="200" t="s">
        <v>20</v>
      </c>
      <c r="B47" s="130"/>
      <c r="C47" s="113"/>
      <c r="D47" s="113"/>
      <c r="E47" s="113"/>
      <c r="F47" s="115" t="s">
        <v>1020</v>
      </c>
      <c r="G47" s="130" t="s">
        <v>1093</v>
      </c>
      <c r="H47" s="112"/>
      <c r="I47" s="115"/>
      <c r="J47" s="130"/>
      <c r="K47" s="114">
        <f>'Auswertung_neu (2)'!I91</f>
        <v>21.270396270396269</v>
      </c>
      <c r="L47" s="156"/>
    </row>
    <row r="48" spans="1:12" s="110" customFormat="1" ht="15">
      <c r="A48" s="200" t="s">
        <v>20</v>
      </c>
      <c r="B48" s="130"/>
      <c r="C48" s="113"/>
      <c r="D48" s="113"/>
      <c r="E48" s="113"/>
      <c r="F48" s="115" t="s">
        <v>1096</v>
      </c>
      <c r="G48" s="130"/>
      <c r="H48" s="112"/>
      <c r="I48" s="115"/>
      <c r="J48" s="130"/>
      <c r="K48" s="114">
        <f>'Auswertung_neu (2)'!I89</f>
        <v>80.351389947493232</v>
      </c>
      <c r="L48" s="156"/>
    </row>
    <row r="49" spans="1:12" s="110" customFormat="1" ht="15">
      <c r="A49" s="200" t="s">
        <v>647</v>
      </c>
      <c r="B49" s="130"/>
      <c r="C49" s="113"/>
      <c r="D49" s="113"/>
      <c r="E49" s="113"/>
      <c r="F49" s="115" t="s">
        <v>1019</v>
      </c>
      <c r="G49" s="130"/>
      <c r="H49" s="112"/>
      <c r="I49" s="115"/>
      <c r="J49" s="130"/>
      <c r="K49" s="114">
        <f>'Auswertung_neu (2)'!I93</f>
        <v>397.58928571428572</v>
      </c>
      <c r="L49" s="156"/>
    </row>
    <row r="50" spans="1:12" s="110" customFormat="1" ht="15">
      <c r="A50" s="200" t="s">
        <v>647</v>
      </c>
      <c r="B50" s="130"/>
      <c r="C50" s="113"/>
      <c r="D50" s="113"/>
      <c r="E50" s="113"/>
      <c r="F50" s="115" t="s">
        <v>1020</v>
      </c>
      <c r="G50" s="130" t="s">
        <v>1093</v>
      </c>
      <c r="H50" s="112"/>
      <c r="I50" s="115"/>
      <c r="J50" s="130"/>
      <c r="K50" s="114">
        <f>'Auswertung_neu (2)'!I96</f>
        <v>397.58928571428572</v>
      </c>
      <c r="L50" s="156"/>
    </row>
    <row r="51" spans="1:12" s="110" customFormat="1" ht="15">
      <c r="A51" s="200" t="s">
        <v>647</v>
      </c>
      <c r="B51" s="130"/>
      <c r="C51" s="113"/>
      <c r="D51" s="113"/>
      <c r="E51" s="113"/>
      <c r="F51" s="115" t="s">
        <v>1096</v>
      </c>
      <c r="G51" s="130"/>
      <c r="H51" s="112"/>
      <c r="I51" s="115"/>
      <c r="J51" s="130"/>
      <c r="K51" s="114">
        <f>'Auswertung_neu (2)'!I94</f>
        <v>397.58928571428572</v>
      </c>
      <c r="L51" s="156"/>
    </row>
    <row r="52" spans="1:12" s="110" customFormat="1" ht="15">
      <c r="A52" s="200" t="s">
        <v>48</v>
      </c>
      <c r="B52" s="130"/>
      <c r="C52" s="113"/>
      <c r="D52" s="113"/>
      <c r="E52" s="113"/>
      <c r="F52" s="115" t="s">
        <v>1019</v>
      </c>
      <c r="G52" s="130"/>
      <c r="H52" s="112"/>
      <c r="I52" s="115"/>
      <c r="J52" s="130"/>
      <c r="K52" s="114">
        <f>'Auswertung_neu (2)'!I103</f>
        <v>400.84821428571433</v>
      </c>
      <c r="L52" s="156"/>
    </row>
    <row r="53" spans="1:12" s="110" customFormat="1" ht="15">
      <c r="A53" s="200" t="s">
        <v>48</v>
      </c>
      <c r="B53" s="130"/>
      <c r="C53" s="113"/>
      <c r="D53" s="113"/>
      <c r="E53" s="113"/>
      <c r="F53" s="115" t="s">
        <v>1020</v>
      </c>
      <c r="G53" s="130" t="s">
        <v>1093</v>
      </c>
      <c r="H53" s="112"/>
      <c r="I53" s="115"/>
      <c r="J53" s="130"/>
      <c r="K53" s="114">
        <f>'Auswertung_neu (2)'!I106</f>
        <v>400.84821428571433</v>
      </c>
      <c r="L53" s="156"/>
    </row>
    <row r="54" spans="1:12" s="110" customFormat="1" ht="15">
      <c r="A54" s="200" t="s">
        <v>48</v>
      </c>
      <c r="B54" s="130"/>
      <c r="C54" s="113"/>
      <c r="D54" s="113"/>
      <c r="E54" s="113"/>
      <c r="F54" s="115" t="s">
        <v>1096</v>
      </c>
      <c r="G54" s="130"/>
      <c r="H54" s="112"/>
      <c r="I54" s="115"/>
      <c r="J54" s="130"/>
      <c r="K54" s="114">
        <f>'Auswertung_neu (2)'!I104</f>
        <v>400.84821428571433</v>
      </c>
      <c r="L54" s="156"/>
    </row>
    <row r="55" spans="1:12" s="110" customFormat="1" ht="15">
      <c r="A55" s="200" t="s">
        <v>177</v>
      </c>
      <c r="B55" s="130"/>
      <c r="C55" s="113"/>
      <c r="D55" s="113"/>
      <c r="E55" s="113"/>
      <c r="F55" s="115" t="s">
        <v>1019</v>
      </c>
      <c r="G55" s="130"/>
      <c r="H55" s="112"/>
      <c r="I55" s="115"/>
      <c r="J55" s="130"/>
      <c r="K55" s="114">
        <f>'Auswertung_neu (2)'!I113</f>
        <v>8.4823936170212768</v>
      </c>
      <c r="L55" s="156"/>
    </row>
    <row r="56" spans="1:12" s="110" customFormat="1" ht="15">
      <c r="A56" s="200" t="s">
        <v>177</v>
      </c>
      <c r="B56" s="130"/>
      <c r="C56" s="113"/>
      <c r="D56" s="113"/>
      <c r="E56" s="113"/>
      <c r="F56" s="115" t="s">
        <v>1020</v>
      </c>
      <c r="G56" s="130" t="s">
        <v>1093</v>
      </c>
      <c r="H56" s="112"/>
      <c r="I56" s="115"/>
      <c r="J56" s="130"/>
      <c r="K56" s="114">
        <f>'Auswertung_neu (2)'!I114</f>
        <v>0</v>
      </c>
      <c r="L56" s="156"/>
    </row>
    <row r="57" spans="1:12" s="110" customFormat="1" ht="15">
      <c r="A57" s="200" t="s">
        <v>177</v>
      </c>
      <c r="B57" s="130"/>
      <c r="C57" s="113"/>
      <c r="D57" s="113"/>
      <c r="E57" s="113"/>
      <c r="F57" s="115" t="s">
        <v>1096</v>
      </c>
      <c r="G57" s="130"/>
      <c r="H57" s="112"/>
      <c r="I57" s="115"/>
      <c r="J57" s="130"/>
      <c r="K57" s="114">
        <f>'Auswertung_neu (2)'!I116</f>
        <v>0</v>
      </c>
      <c r="L57" s="156"/>
    </row>
    <row r="58" spans="1:12" s="110" customFormat="1" ht="15">
      <c r="A58" s="200" t="s">
        <v>654</v>
      </c>
      <c r="B58" s="130"/>
      <c r="C58" s="113"/>
      <c r="D58" s="113"/>
      <c r="E58" s="113"/>
      <c r="F58" s="115" t="s">
        <v>1019</v>
      </c>
      <c r="G58" s="130"/>
      <c r="H58" s="112"/>
      <c r="I58" s="115"/>
      <c r="J58" s="130"/>
      <c r="K58" s="114">
        <f>'Auswertung_neu (2)'!I118</f>
        <v>50.414364640883996</v>
      </c>
      <c r="L58" s="156"/>
    </row>
    <row r="59" spans="1:12" s="110" customFormat="1" ht="15">
      <c r="A59" s="200" t="s">
        <v>654</v>
      </c>
      <c r="B59" s="130"/>
      <c r="C59" s="113"/>
      <c r="D59" s="113"/>
      <c r="E59" s="113"/>
      <c r="F59" s="115" t="s">
        <v>1020</v>
      </c>
      <c r="G59" s="130" t="s">
        <v>1093</v>
      </c>
      <c r="H59" s="112"/>
      <c r="I59" s="115"/>
      <c r="J59" s="130"/>
      <c r="K59" s="114">
        <f>'Auswertung_neu (2)'!I119</f>
        <v>50.414364640883996</v>
      </c>
      <c r="L59" s="156"/>
    </row>
    <row r="60" spans="1:12" s="110" customFormat="1" ht="15">
      <c r="A60" s="200" t="s">
        <v>654</v>
      </c>
      <c r="B60" s="130"/>
      <c r="C60" s="113"/>
      <c r="D60" s="113"/>
      <c r="E60" s="113"/>
      <c r="F60" s="115" t="s">
        <v>1096</v>
      </c>
      <c r="G60" s="130"/>
      <c r="H60" s="112"/>
      <c r="I60" s="115"/>
      <c r="J60" s="130"/>
      <c r="K60" s="114">
        <f>'Auswertung_neu (2)'!I121</f>
        <v>68.4375</v>
      </c>
      <c r="L60" s="156"/>
    </row>
    <row r="61" spans="1:12" s="110" customFormat="1" ht="15">
      <c r="A61" s="200" t="s">
        <v>2</v>
      </c>
      <c r="B61" s="130"/>
      <c r="C61" s="113"/>
      <c r="D61" s="113"/>
      <c r="E61" s="113"/>
      <c r="F61" s="115" t="s">
        <v>1019</v>
      </c>
      <c r="G61" s="130"/>
      <c r="H61" s="112"/>
      <c r="I61" s="115"/>
      <c r="J61" s="130"/>
      <c r="K61" s="114">
        <f>'Auswertung_neu (2)'!I138</f>
        <v>78.694724300850595</v>
      </c>
      <c r="L61" s="156"/>
    </row>
    <row r="62" spans="1:12" s="110" customFormat="1" ht="15">
      <c r="A62" s="200" t="s">
        <v>2</v>
      </c>
      <c r="B62" s="130"/>
      <c r="C62" s="113"/>
      <c r="D62" s="113"/>
      <c r="E62" s="113"/>
      <c r="F62" s="115" t="s">
        <v>1020</v>
      </c>
      <c r="G62" s="130" t="s">
        <v>1093</v>
      </c>
      <c r="H62" s="112"/>
      <c r="I62" s="115"/>
      <c r="J62" s="130"/>
      <c r="K62" s="114">
        <f>'Auswertung_neu (2)'!I141</f>
        <v>0</v>
      </c>
      <c r="L62" s="156"/>
    </row>
    <row r="63" spans="1:12" s="110" customFormat="1" ht="15">
      <c r="A63" s="200" t="s">
        <v>2</v>
      </c>
      <c r="B63" s="130"/>
      <c r="C63" s="113"/>
      <c r="D63" s="113"/>
      <c r="E63" s="113"/>
      <c r="F63" s="115" t="s">
        <v>1096</v>
      </c>
      <c r="G63" s="130"/>
      <c r="H63" s="112"/>
      <c r="I63" s="115"/>
      <c r="J63" s="130"/>
      <c r="K63" s="114">
        <f>'Auswertung_neu (2)'!I139</f>
        <v>5.60535714285913E-4</v>
      </c>
      <c r="L63" s="156"/>
    </row>
    <row r="64" spans="1:12" s="110" customFormat="1" ht="15">
      <c r="A64" s="200" t="s">
        <v>1058</v>
      </c>
      <c r="B64" s="130"/>
      <c r="C64" s="113"/>
      <c r="D64" s="113"/>
      <c r="E64" s="113"/>
      <c r="F64" s="115" t="s">
        <v>1019</v>
      </c>
      <c r="G64" s="130"/>
      <c r="H64" s="112"/>
      <c r="I64" s="115"/>
      <c r="J64" s="130"/>
      <c r="K64" s="114">
        <f>'Auswertung_neu (2)'!I143</f>
        <v>1299.8205442525373</v>
      </c>
      <c r="L64" s="156"/>
    </row>
    <row r="65" spans="1:14" s="110" customFormat="1" ht="15">
      <c r="A65" s="200" t="s">
        <v>1058</v>
      </c>
      <c r="B65" s="130"/>
      <c r="C65" s="113"/>
      <c r="D65" s="113"/>
      <c r="E65" s="113"/>
      <c r="F65" s="115" t="s">
        <v>1020</v>
      </c>
      <c r="G65" s="130" t="s">
        <v>1093</v>
      </c>
      <c r="H65" s="112"/>
      <c r="I65" s="115"/>
      <c r="J65" s="130"/>
      <c r="K65" s="114">
        <f>'Auswertung_neu (2)'!I144</f>
        <v>11.721758474576271</v>
      </c>
      <c r="L65" s="156"/>
    </row>
    <row r="66" spans="1:14" s="110" customFormat="1" ht="15">
      <c r="A66" s="229" t="s">
        <v>1058</v>
      </c>
      <c r="B66" s="195"/>
      <c r="C66" s="196"/>
      <c r="D66" s="196"/>
      <c r="E66" s="196"/>
      <c r="F66" s="115" t="s">
        <v>1096</v>
      </c>
      <c r="G66" s="130"/>
      <c r="H66" s="197"/>
      <c r="I66" s="215"/>
      <c r="J66" s="195"/>
      <c r="K66" s="114">
        <f>'Auswertung_neu (2)'!I146</f>
        <v>11.721758474576271</v>
      </c>
      <c r="L66" s="199"/>
    </row>
    <row r="67" spans="1:14" s="110" customFormat="1" ht="13.5" thickBot="1">
      <c r="A67" s="194"/>
      <c r="B67" s="195"/>
      <c r="C67" s="196"/>
      <c r="D67" s="196"/>
      <c r="E67" s="196"/>
      <c r="F67" s="187"/>
      <c r="G67" s="195"/>
      <c r="H67" s="197"/>
      <c r="I67" s="215"/>
      <c r="J67" s="195"/>
      <c r="K67" s="198"/>
      <c r="L67" s="199"/>
    </row>
    <row r="68" spans="1:14" s="102" customFormat="1" ht="25.5">
      <c r="A68" s="234" t="s">
        <v>77</v>
      </c>
      <c r="B68" s="235" t="s">
        <v>996</v>
      </c>
      <c r="C68" s="236">
        <f>IF(OR(B68="Folie", B68="Strips", B68="Film",B68="Flakes",B68="Coupon"), 2,IF(OR(B68="Fibers",B68="Pellets"),4,IF(OR(B68="Particles",B68="Shreds",B68="Powder",B68="Fragments",B68="Granules"),6,"")))</f>
        <v>2</v>
      </c>
      <c r="D68" s="236" t="s">
        <v>1028</v>
      </c>
      <c r="E68" s="254">
        <v>1</v>
      </c>
      <c r="F68" s="238" t="s">
        <v>1019</v>
      </c>
      <c r="G68" s="239" t="str">
        <f t="shared" ref="G68:G132" si="2">CONCATENATE(A68," ",B68," ",D68," mm (emission to ",F68,")")</f>
        <v>PE film 0,1-1 mm (emission to soil)</v>
      </c>
      <c r="H68" s="239" t="s">
        <v>1041</v>
      </c>
      <c r="I68" s="255"/>
      <c r="J68" s="241" t="s">
        <v>1019</v>
      </c>
      <c r="K68" s="242">
        <f>K6</f>
        <v>0.39304324511714689</v>
      </c>
      <c r="L68" s="281">
        <f t="shared" ref="L68:L171" si="3">IFERROR(IF(K68="--",0,IF(E68*1000/K68*(1-0.5)^(C68/2)&gt;1000,1000,E68*1000/K68*(1-0.5)^(C68/2))),1000)</f>
        <v>1000</v>
      </c>
      <c r="M68" s="256">
        <f>IF(L68/1000&gt;1000,1000,L68/1000)</f>
        <v>1</v>
      </c>
      <c r="N68" s="620">
        <f>I68*M68+I69*M69+I70*M70+I71*M71+I72*M72</f>
        <v>0</v>
      </c>
    </row>
    <row r="69" spans="1:14" s="102" customFormat="1" ht="15" customHeight="1">
      <c r="A69" s="244" t="str">
        <f>A68</f>
        <v>PE</v>
      </c>
      <c r="B69" s="245" t="str">
        <f>B68</f>
        <v>film</v>
      </c>
      <c r="C69" s="245">
        <f t="shared" ref="C69:C215" si="4">IF(OR(B69="Folie", B69="Strips", B69="Film",B69="Flakes",B69="Coupon"), 2,IF(OR(B69="Fibers",B69="Pellets"),4,IF(OR(B69="Particles",B69="Shreds",B69="Powder",B69="Fragments",B69="Granules"),6,"")))</f>
        <v>2</v>
      </c>
      <c r="D69" s="245" t="str">
        <f t="shared" ref="D69:F69" si="5">D68</f>
        <v>0,1-1</v>
      </c>
      <c r="E69" s="245">
        <f t="shared" si="5"/>
        <v>1</v>
      </c>
      <c r="F69" s="245" t="str">
        <f t="shared" si="5"/>
        <v>soil</v>
      </c>
      <c r="G69" s="246" t="str">
        <f t="shared" si="2"/>
        <v>PE film 0,1-1 mm (emission to soil)</v>
      </c>
      <c r="H69" s="246" t="str">
        <f>H68</f>
        <v>Kunststoffrecycling; Auswaschung aus Deponien</v>
      </c>
      <c r="I69" s="240"/>
      <c r="J69" s="247" t="s">
        <v>1097</v>
      </c>
      <c r="K69" s="248">
        <f>K7</f>
        <v>0</v>
      </c>
      <c r="L69" s="243">
        <f t="shared" si="3"/>
        <v>1000</v>
      </c>
      <c r="M69" s="257">
        <f t="shared" ref="M69:M87" si="6">IF(L69/1000&gt;1000,1000,L69/1000)</f>
        <v>1</v>
      </c>
      <c r="N69" s="621"/>
    </row>
    <row r="70" spans="1:14" s="102" customFormat="1" ht="15" customHeight="1">
      <c r="A70" s="244" t="str">
        <f t="shared" ref="A70:A71" si="7">A69</f>
        <v>PE</v>
      </c>
      <c r="B70" s="245" t="str">
        <f t="shared" ref="B70:B71" si="8">B69</f>
        <v>film</v>
      </c>
      <c r="C70" s="245">
        <f t="shared" ref="C70:C71" si="9">IF(OR(B70="Folie", B70="Strips", B70="Film",B70="Flakes",B70="Coupon"), 2,IF(OR(B70="Fibers",B70="Pellets"),4,IF(OR(B70="Particles",B70="Shreds",B70="Powder",B70="Fragments",B70="Granules"),6,"")))</f>
        <v>2</v>
      </c>
      <c r="D70" s="245" t="str">
        <f t="shared" ref="D70:F70" si="10">D69</f>
        <v>0,1-1</v>
      </c>
      <c r="E70" s="245">
        <f t="shared" si="10"/>
        <v>1</v>
      </c>
      <c r="F70" s="245" t="str">
        <f t="shared" si="10"/>
        <v>soil</v>
      </c>
      <c r="G70" s="246" t="str">
        <f t="shared" ref="G70:G71" si="11">CONCATENATE(A70," ",B70," ",D70," mm (emission to ",F70,")")</f>
        <v>PE film 0,1-1 mm (emission to soil)</v>
      </c>
      <c r="H70" s="246" t="str">
        <f t="shared" ref="H70:H71" si="12">H69</f>
        <v>Kunststoffrecycling; Auswaschung aus Deponien</v>
      </c>
      <c r="I70" s="240"/>
      <c r="J70" s="247" t="s">
        <v>1143</v>
      </c>
      <c r="K70" s="248">
        <f>K8</f>
        <v>0</v>
      </c>
      <c r="L70" s="243">
        <f t="shared" si="3"/>
        <v>1000</v>
      </c>
      <c r="M70" s="257">
        <f t="shared" si="6"/>
        <v>1</v>
      </c>
      <c r="N70" s="621"/>
    </row>
    <row r="71" spans="1:14" s="102" customFormat="1" ht="15" customHeight="1">
      <c r="A71" s="244" t="str">
        <f t="shared" si="7"/>
        <v>PE</v>
      </c>
      <c r="B71" s="245" t="str">
        <f t="shared" si="8"/>
        <v>film</v>
      </c>
      <c r="C71" s="245">
        <f t="shared" si="9"/>
        <v>2</v>
      </c>
      <c r="D71" s="245" t="str">
        <f t="shared" ref="D71:F71" si="13">D70</f>
        <v>0,1-1</v>
      </c>
      <c r="E71" s="245">
        <f t="shared" si="13"/>
        <v>1</v>
      </c>
      <c r="F71" s="245" t="str">
        <f t="shared" si="13"/>
        <v>soil</v>
      </c>
      <c r="G71" s="246" t="str">
        <f t="shared" si="11"/>
        <v>PE film 0,1-1 mm (emission to soil)</v>
      </c>
      <c r="H71" s="246" t="str">
        <f t="shared" si="12"/>
        <v>Kunststoffrecycling; Auswaschung aus Deponien</v>
      </c>
      <c r="I71" s="240"/>
      <c r="J71" s="247" t="s">
        <v>1146</v>
      </c>
      <c r="K71" s="248">
        <f>K9</f>
        <v>0</v>
      </c>
      <c r="L71" s="243">
        <f t="shared" si="3"/>
        <v>1000</v>
      </c>
      <c r="M71" s="257">
        <f t="shared" si="6"/>
        <v>1</v>
      </c>
      <c r="N71" s="621"/>
    </row>
    <row r="72" spans="1:14" s="102" customFormat="1" ht="15" customHeight="1">
      <c r="A72" s="244" t="str">
        <f>A69</f>
        <v>PE</v>
      </c>
      <c r="B72" s="245" t="str">
        <f>B69</f>
        <v>film</v>
      </c>
      <c r="C72" s="245">
        <f t="shared" si="4"/>
        <v>2</v>
      </c>
      <c r="D72" s="245" t="str">
        <f>D69</f>
        <v>0,1-1</v>
      </c>
      <c r="E72" s="245">
        <f>E69</f>
        <v>1</v>
      </c>
      <c r="F72" s="245" t="str">
        <f>F69</f>
        <v>soil</v>
      </c>
      <c r="G72" s="251" t="str">
        <f t="shared" si="2"/>
        <v>PE film 0,1-1 mm (emission to soil)</v>
      </c>
      <c r="H72" s="251" t="str">
        <f>H69</f>
        <v>Kunststoffrecycling; Auswaschung aus Deponien</v>
      </c>
      <c r="I72" s="240"/>
      <c r="J72" s="304" t="s">
        <v>1034</v>
      </c>
      <c r="K72" s="252" t="s">
        <v>596</v>
      </c>
      <c r="L72" s="243">
        <f t="shared" si="3"/>
        <v>0</v>
      </c>
      <c r="M72" s="305">
        <f t="shared" si="6"/>
        <v>0</v>
      </c>
      <c r="N72" s="622"/>
    </row>
    <row r="73" spans="1:14" s="102" customFormat="1" ht="25.5">
      <c r="A73" s="172" t="str">
        <f t="shared" ref="A73:B73" si="14">A70</f>
        <v>PE</v>
      </c>
      <c r="B73" s="149" t="str">
        <f t="shared" si="14"/>
        <v>film</v>
      </c>
      <c r="C73" s="355">
        <f t="shared" ref="C73:C87" si="15">IF(OR(B73="Folie", B73="Strips", B73="Film",B73="Flakes",B73="Coupon"), 2,IF(OR(B73="Fibers",B73="Pellets"),4,IF(OR(B73="Particles",B73="Shreds",B73="Powder",B73="Fragments",B73="Granules"),6,"")))</f>
        <v>2</v>
      </c>
      <c r="D73" s="355" t="str">
        <f t="shared" ref="D73:E73" si="16">D70</f>
        <v>0,1-1</v>
      </c>
      <c r="E73" s="149">
        <f t="shared" si="16"/>
        <v>1</v>
      </c>
      <c r="F73" s="206" t="s">
        <v>1147</v>
      </c>
      <c r="G73" s="258" t="str">
        <f t="shared" si="2"/>
        <v>PE film 0,1-1 mm (emission to fresh water)</v>
      </c>
      <c r="H73" s="258" t="s">
        <v>1041</v>
      </c>
      <c r="I73" s="161"/>
      <c r="J73" s="303" t="s">
        <v>1019</v>
      </c>
      <c r="K73" s="162">
        <f>K6</f>
        <v>0.39304324511714689</v>
      </c>
      <c r="L73" s="259">
        <f t="shared" si="3"/>
        <v>1000</v>
      </c>
      <c r="M73" s="295">
        <f t="shared" si="6"/>
        <v>1</v>
      </c>
      <c r="N73" s="615">
        <f>I73*M73+I74*M74+I76*M76</f>
        <v>0</v>
      </c>
    </row>
    <row r="74" spans="1:14" s="102" customFormat="1" ht="15" customHeight="1">
      <c r="A74" s="172" t="str">
        <f t="shared" ref="A74:B74" si="17">A71</f>
        <v>PE</v>
      </c>
      <c r="B74" s="149" t="str">
        <f t="shared" si="17"/>
        <v>film</v>
      </c>
      <c r="C74" s="149">
        <f t="shared" si="15"/>
        <v>2</v>
      </c>
      <c r="D74" s="149" t="str">
        <f t="shared" ref="D74:E74" si="18">D71</f>
        <v>0,1-1</v>
      </c>
      <c r="E74" s="149">
        <f t="shared" si="18"/>
        <v>1</v>
      </c>
      <c r="F74" s="149" t="str">
        <f t="shared" ref="F74" si="19">F73</f>
        <v>fresh water</v>
      </c>
      <c r="G74" s="146" t="str">
        <f t="shared" si="2"/>
        <v>PE film 0,1-1 mm (emission to fresh water)</v>
      </c>
      <c r="H74" s="146" t="str">
        <f>H73</f>
        <v>Kunststoffrecycling; Auswaschung aus Deponien</v>
      </c>
      <c r="I74" s="129"/>
      <c r="J74" s="225" t="s">
        <v>1097</v>
      </c>
      <c r="K74" s="114">
        <f>K7</f>
        <v>0</v>
      </c>
      <c r="L74" s="226">
        <f t="shared" si="3"/>
        <v>1000</v>
      </c>
      <c r="M74" s="295">
        <f t="shared" si="6"/>
        <v>1</v>
      </c>
      <c r="N74" s="615"/>
    </row>
    <row r="75" spans="1:14" s="102" customFormat="1" ht="15" customHeight="1">
      <c r="A75" s="172"/>
      <c r="B75" s="149"/>
      <c r="C75" s="149"/>
      <c r="D75" s="149"/>
      <c r="E75" s="149"/>
      <c r="F75" s="149"/>
      <c r="G75" s="146"/>
      <c r="H75" s="146"/>
      <c r="I75" s="129"/>
      <c r="J75" s="225" t="s">
        <v>1143</v>
      </c>
      <c r="K75" s="114">
        <f>K8</f>
        <v>0</v>
      </c>
      <c r="L75" s="226">
        <f t="shared" si="3"/>
        <v>1000</v>
      </c>
      <c r="M75" s="295">
        <f t="shared" si="6"/>
        <v>1</v>
      </c>
      <c r="N75" s="615"/>
    </row>
    <row r="76" spans="1:14" s="102" customFormat="1" ht="15" customHeight="1">
      <c r="A76" s="172" t="str">
        <f t="shared" ref="A76:B76" si="20">A72</f>
        <v>PE</v>
      </c>
      <c r="B76" s="149" t="str">
        <f t="shared" si="20"/>
        <v>film</v>
      </c>
      <c r="C76" s="149">
        <f t="shared" si="15"/>
        <v>2</v>
      </c>
      <c r="D76" s="149" t="str">
        <f t="shared" ref="D76:E76" si="21">D72</f>
        <v>0,1-1</v>
      </c>
      <c r="E76" s="149">
        <f t="shared" si="21"/>
        <v>1</v>
      </c>
      <c r="F76" s="149" t="str">
        <f>F74</f>
        <v>fresh water</v>
      </c>
      <c r="G76" s="146" t="str">
        <f t="shared" ref="G76" si="22">CONCATENATE(A76," ",B76," ",D76," mm (emission to ",F76,")")</f>
        <v>PE film 0,1-1 mm (emission to fresh water)</v>
      </c>
      <c r="H76" s="146" t="str">
        <f>H74</f>
        <v>Kunststoffrecycling; Auswaschung aus Deponien</v>
      </c>
      <c r="I76" s="129"/>
      <c r="J76" s="225" t="s">
        <v>1146</v>
      </c>
      <c r="K76" s="114">
        <f>K9</f>
        <v>0</v>
      </c>
      <c r="L76" s="226">
        <f t="shared" si="3"/>
        <v>1000</v>
      </c>
      <c r="M76" s="295">
        <f t="shared" si="6"/>
        <v>1</v>
      </c>
      <c r="N76" s="615"/>
    </row>
    <row r="77" spans="1:14" s="102" customFormat="1" ht="15" customHeight="1">
      <c r="A77" s="172" t="str">
        <f t="shared" ref="A77:B77" si="23">A73</f>
        <v>PE</v>
      </c>
      <c r="B77" s="149" t="str">
        <f t="shared" si="23"/>
        <v>film</v>
      </c>
      <c r="C77" s="149">
        <f t="shared" si="15"/>
        <v>2</v>
      </c>
      <c r="D77" s="149" t="str">
        <f t="shared" ref="D77:E77" si="24">D73</f>
        <v>0,1-1</v>
      </c>
      <c r="E77" s="149">
        <f t="shared" si="24"/>
        <v>1</v>
      </c>
      <c r="F77" s="150" t="str">
        <f>F74</f>
        <v>fresh water</v>
      </c>
      <c r="G77" s="147" t="str">
        <f t="shared" si="2"/>
        <v>PE film 0,1-1 mm (emission to fresh water)</v>
      </c>
      <c r="H77" s="147" t="str">
        <f>H74</f>
        <v>Kunststoffrecycling; Auswaschung aus Deponien</v>
      </c>
      <c r="I77" s="129"/>
      <c r="J77" s="225" t="s">
        <v>1034</v>
      </c>
      <c r="K77" s="151" t="s">
        <v>596</v>
      </c>
      <c r="L77" s="226">
        <f t="shared" si="3"/>
        <v>0</v>
      </c>
      <c r="M77" s="299">
        <f t="shared" si="6"/>
        <v>0</v>
      </c>
      <c r="N77" s="615"/>
    </row>
    <row r="78" spans="1:14" s="102" customFormat="1" ht="15" customHeight="1">
      <c r="A78" s="172" t="str">
        <f t="shared" ref="A78:B78" si="25">A74</f>
        <v>PE</v>
      </c>
      <c r="B78" s="149" t="str">
        <f t="shared" si="25"/>
        <v>film</v>
      </c>
      <c r="C78" s="149">
        <f t="shared" si="15"/>
        <v>2</v>
      </c>
      <c r="D78" s="355" t="str">
        <f t="shared" ref="D78:E78" si="26">D74</f>
        <v>0,1-1</v>
      </c>
      <c r="E78" s="149">
        <f t="shared" si="26"/>
        <v>1</v>
      </c>
      <c r="F78" s="232" t="s">
        <v>1097</v>
      </c>
      <c r="G78" s="134" t="str">
        <f t="shared" ref="G78:G82" si="27">CONCATENATE(A78," ",B78," ",D78," mm (emission to ",F78,")")</f>
        <v>PE film 0,1-1 mm (emission to marine water)</v>
      </c>
      <c r="H78" s="144" t="s">
        <v>1041</v>
      </c>
      <c r="I78" s="137"/>
      <c r="J78" s="101" t="s">
        <v>1019</v>
      </c>
      <c r="K78" s="114">
        <f>K3</f>
        <v>0</v>
      </c>
      <c r="L78" s="259">
        <f t="shared" ref="L78:L82" si="28">IFERROR(IF(K78="--",0,IF(E78*1000/K78*(1-0.5)^(C78/2)&gt;1000,1000,E78*1000/K78*(1-0.5)^(C78/2))),1000)</f>
        <v>1000</v>
      </c>
      <c r="M78" s="158">
        <f t="shared" ref="M78:M82" si="29">IF(L78/1000&gt;1000,1000,L78/1000)</f>
        <v>1</v>
      </c>
      <c r="N78" s="611">
        <f>I78*M78+I79*M79</f>
        <v>0</v>
      </c>
    </row>
    <row r="79" spans="1:14" s="102" customFormat="1" ht="15" customHeight="1">
      <c r="A79" s="172" t="str">
        <f t="shared" ref="A79:B79" si="30">A76</f>
        <v>PE</v>
      </c>
      <c r="B79" s="149" t="str">
        <f t="shared" si="30"/>
        <v>film</v>
      </c>
      <c r="C79" s="149">
        <f t="shared" si="15"/>
        <v>2</v>
      </c>
      <c r="D79" s="149" t="str">
        <f t="shared" ref="D79:E79" si="31">D76</f>
        <v>0,1-1</v>
      </c>
      <c r="E79" s="149">
        <f t="shared" si="31"/>
        <v>1</v>
      </c>
      <c r="F79" s="149" t="str">
        <f t="shared" ref="F79" si="32">F78</f>
        <v>marine water</v>
      </c>
      <c r="G79" s="146" t="str">
        <f t="shared" si="27"/>
        <v>PE film 0,1-1 mm (emission to marine water)</v>
      </c>
      <c r="H79" s="146" t="str">
        <f>H78</f>
        <v>Kunststoffrecycling; Auswaschung aus Deponien</v>
      </c>
      <c r="I79" s="129"/>
      <c r="J79" s="101" t="s">
        <v>1097</v>
      </c>
      <c r="K79" s="114">
        <f>K4</f>
        <v>0</v>
      </c>
      <c r="L79" s="226">
        <f t="shared" si="28"/>
        <v>1000</v>
      </c>
      <c r="M79" s="220">
        <f t="shared" si="29"/>
        <v>1</v>
      </c>
      <c r="N79" s="612"/>
    </row>
    <row r="80" spans="1:14" s="102" customFormat="1" ht="15" customHeight="1">
      <c r="A80" s="172"/>
      <c r="B80" s="149"/>
      <c r="C80" s="149"/>
      <c r="D80" s="149"/>
      <c r="E80" s="149"/>
      <c r="F80" s="149"/>
      <c r="G80" s="146"/>
      <c r="H80" s="146"/>
      <c r="I80" s="129"/>
      <c r="J80" s="225" t="s">
        <v>1143</v>
      </c>
      <c r="K80" s="114"/>
      <c r="L80" s="226">
        <f t="shared" ref="L80:L81" si="33">IFERROR(IF(K80="--",0,IF(E80*1000/K80*(1-0.5)^(C80/2)&gt;1000,1000,E80*1000/K80*(1-0.5)^(C80/2))),1000)</f>
        <v>1000</v>
      </c>
      <c r="M80" s="220">
        <f t="shared" ref="M80:M81" si="34">IF(L80/1000&gt;1000,1000,L80/1000)</f>
        <v>1</v>
      </c>
      <c r="N80" s="612"/>
    </row>
    <row r="81" spans="1:14" s="102" customFormat="1" ht="15" customHeight="1">
      <c r="A81" s="172"/>
      <c r="B81" s="149"/>
      <c r="C81" s="149"/>
      <c r="D81" s="149"/>
      <c r="E81" s="149"/>
      <c r="F81" s="149"/>
      <c r="G81" s="146"/>
      <c r="H81" s="146"/>
      <c r="I81" s="129"/>
      <c r="J81" s="225" t="s">
        <v>1146</v>
      </c>
      <c r="K81" s="114"/>
      <c r="L81" s="226">
        <f t="shared" si="33"/>
        <v>1000</v>
      </c>
      <c r="M81" s="220">
        <f t="shared" si="34"/>
        <v>1</v>
      </c>
      <c r="N81" s="612"/>
    </row>
    <row r="82" spans="1:14" s="102" customFormat="1" ht="15" customHeight="1">
      <c r="A82" s="172" t="str">
        <f t="shared" ref="A82:B82" si="35">A77</f>
        <v>PE</v>
      </c>
      <c r="B82" s="149" t="str">
        <f t="shared" si="35"/>
        <v>film</v>
      </c>
      <c r="C82" s="149">
        <f t="shared" si="15"/>
        <v>2</v>
      </c>
      <c r="D82" s="149" t="str">
        <f t="shared" ref="D82:E82" si="36">D77</f>
        <v>0,1-1</v>
      </c>
      <c r="E82" s="149">
        <f t="shared" si="36"/>
        <v>1</v>
      </c>
      <c r="F82" s="149" t="str">
        <f>F78</f>
        <v>marine water</v>
      </c>
      <c r="G82" s="147" t="str">
        <f t="shared" si="27"/>
        <v>PE film 0,1-1 mm (emission to marine water)</v>
      </c>
      <c r="H82" s="147"/>
      <c r="I82" s="129"/>
      <c r="J82" s="101" t="s">
        <v>1034</v>
      </c>
      <c r="K82" s="151" t="s">
        <v>596</v>
      </c>
      <c r="L82" s="226">
        <f t="shared" si="28"/>
        <v>0</v>
      </c>
      <c r="M82" s="220">
        <f t="shared" si="29"/>
        <v>0</v>
      </c>
      <c r="N82" s="613"/>
    </row>
    <row r="83" spans="1:14" s="102" customFormat="1" ht="23.25" customHeight="1">
      <c r="A83" s="172" t="str">
        <f t="shared" ref="A83:B83" si="37">A78</f>
        <v>PE</v>
      </c>
      <c r="B83" s="149" t="str">
        <f t="shared" si="37"/>
        <v>film</v>
      </c>
      <c r="C83" s="149">
        <f t="shared" si="15"/>
        <v>2</v>
      </c>
      <c r="D83" s="355" t="str">
        <f t="shared" ref="D83:E83" si="38">D78</f>
        <v>0,1-1</v>
      </c>
      <c r="E83" s="149">
        <f t="shared" si="38"/>
        <v>1</v>
      </c>
      <c r="F83" s="131" t="s">
        <v>1057</v>
      </c>
      <c r="G83" s="134" t="str">
        <f t="shared" si="2"/>
        <v>PE film 0,1-1 mm (emission to air)</v>
      </c>
      <c r="H83" s="144" t="s">
        <v>1041</v>
      </c>
      <c r="I83" s="137"/>
      <c r="J83" s="101" t="s">
        <v>1019</v>
      </c>
      <c r="K83" s="114">
        <f>K6</f>
        <v>0.39304324511714689</v>
      </c>
      <c r="L83" s="259">
        <f t="shared" si="3"/>
        <v>1000</v>
      </c>
      <c r="M83" s="158">
        <f t="shared" si="6"/>
        <v>1</v>
      </c>
      <c r="N83" s="611">
        <f>I83*M83+I84*M84</f>
        <v>0</v>
      </c>
    </row>
    <row r="84" spans="1:14" s="102" customFormat="1" ht="15" customHeight="1">
      <c r="A84" s="172" t="str">
        <f t="shared" ref="A84:B84" si="39">A79</f>
        <v>PE</v>
      </c>
      <c r="B84" s="149" t="str">
        <f t="shared" si="39"/>
        <v>film</v>
      </c>
      <c r="C84" s="149">
        <f t="shared" si="15"/>
        <v>2</v>
      </c>
      <c r="D84" s="149" t="str">
        <f t="shared" ref="D84:E84" si="40">D79</f>
        <v>0,1-1</v>
      </c>
      <c r="E84" s="149">
        <f t="shared" si="40"/>
        <v>1</v>
      </c>
      <c r="F84" s="149" t="str">
        <f t="shared" ref="F84" si="41">F83</f>
        <v>air</v>
      </c>
      <c r="G84" s="146" t="str">
        <f t="shared" si="2"/>
        <v>PE film 0,1-1 mm (emission to air)</v>
      </c>
      <c r="H84" s="146" t="str">
        <f>H83</f>
        <v>Kunststoffrecycling; Auswaschung aus Deponien</v>
      </c>
      <c r="I84" s="129"/>
      <c r="J84" s="101" t="s">
        <v>1097</v>
      </c>
      <c r="K84" s="114">
        <f>K7</f>
        <v>0</v>
      </c>
      <c r="L84" s="226">
        <f t="shared" si="3"/>
        <v>1000</v>
      </c>
      <c r="M84" s="220">
        <f t="shared" si="6"/>
        <v>1</v>
      </c>
      <c r="N84" s="612"/>
    </row>
    <row r="85" spans="1:14" s="102" customFormat="1" ht="15" customHeight="1">
      <c r="A85" s="172"/>
      <c r="B85" s="149"/>
      <c r="C85" s="149"/>
      <c r="D85" s="149"/>
      <c r="E85" s="149"/>
      <c r="F85" s="149"/>
      <c r="G85" s="146"/>
      <c r="H85" s="146"/>
      <c r="I85" s="129"/>
      <c r="J85" s="101"/>
      <c r="K85" s="114"/>
      <c r="L85" s="226"/>
      <c r="M85" s="220"/>
      <c r="N85" s="612"/>
    </row>
    <row r="86" spans="1:14" s="102" customFormat="1" ht="15" customHeight="1">
      <c r="A86" s="172"/>
      <c r="B86" s="149"/>
      <c r="C86" s="149"/>
      <c r="D86" s="149"/>
      <c r="E86" s="149"/>
      <c r="F86" s="149"/>
      <c r="G86" s="146"/>
      <c r="H86" s="146"/>
      <c r="I86" s="129"/>
      <c r="J86" s="101"/>
      <c r="K86" s="114"/>
      <c r="L86" s="226"/>
      <c r="M86" s="220"/>
      <c r="N86" s="612"/>
    </row>
    <row r="87" spans="1:14" s="102" customFormat="1" ht="15" customHeight="1">
      <c r="A87" s="173" t="str">
        <f t="shared" ref="A87:B87" si="42">A82</f>
        <v>PE</v>
      </c>
      <c r="B87" s="150" t="str">
        <f t="shared" si="42"/>
        <v>film</v>
      </c>
      <c r="C87" s="150">
        <f t="shared" si="15"/>
        <v>2</v>
      </c>
      <c r="D87" s="150" t="str">
        <f t="shared" ref="D87:E87" si="43">D82</f>
        <v>0,1-1</v>
      </c>
      <c r="E87" s="150">
        <f t="shared" si="43"/>
        <v>1</v>
      </c>
      <c r="F87" s="150" t="str">
        <f>F83</f>
        <v>air</v>
      </c>
      <c r="G87" s="147" t="str">
        <f t="shared" si="2"/>
        <v>PE film 0,1-1 mm (emission to air)</v>
      </c>
      <c r="H87" s="147"/>
      <c r="I87" s="129"/>
      <c r="J87" s="101" t="s">
        <v>1034</v>
      </c>
      <c r="K87" s="151" t="s">
        <v>596</v>
      </c>
      <c r="L87" s="226">
        <f t="shared" si="3"/>
        <v>0</v>
      </c>
      <c r="M87" s="220">
        <f t="shared" si="6"/>
        <v>0</v>
      </c>
      <c r="N87" s="613"/>
    </row>
    <row r="88" spans="1:14" s="102" customFormat="1">
      <c r="A88" s="175" t="s">
        <v>77</v>
      </c>
      <c r="B88" s="159" t="s">
        <v>996</v>
      </c>
      <c r="C88" s="290">
        <f t="shared" si="4"/>
        <v>2</v>
      </c>
      <c r="D88" s="290" t="s">
        <v>1026</v>
      </c>
      <c r="E88" s="155">
        <v>10</v>
      </c>
      <c r="F88" s="131" t="s">
        <v>1019</v>
      </c>
      <c r="G88" s="134" t="str">
        <f t="shared" si="2"/>
        <v>PE film 1-10 mm (emission to soil)</v>
      </c>
      <c r="H88" s="134" t="s">
        <v>1040</v>
      </c>
      <c r="I88" s="137"/>
      <c r="J88" s="101" t="s">
        <v>1019</v>
      </c>
      <c r="K88" s="114">
        <f>K6</f>
        <v>0.39304324511714689</v>
      </c>
      <c r="L88" s="226">
        <f t="shared" si="3"/>
        <v>1000</v>
      </c>
      <c r="M88" s="158">
        <f t="shared" ref="M88:M100" si="44">IF(L88/1000&gt;1000,1000,L88/1000)</f>
        <v>1</v>
      </c>
      <c r="N88" s="611">
        <f>I88*M88+I89*M89</f>
        <v>0</v>
      </c>
    </row>
    <row r="89" spans="1:14" s="102" customFormat="1" ht="15" customHeight="1">
      <c r="A89" s="172" t="str">
        <f>A88</f>
        <v>PE</v>
      </c>
      <c r="B89" s="149" t="str">
        <f>B88</f>
        <v>film</v>
      </c>
      <c r="C89" s="149">
        <f t="shared" si="4"/>
        <v>2</v>
      </c>
      <c r="D89" s="149" t="str">
        <f t="shared" ref="D89:F89" si="45">D88</f>
        <v>1-10</v>
      </c>
      <c r="E89" s="149">
        <f t="shared" si="45"/>
        <v>10</v>
      </c>
      <c r="F89" s="149" t="str">
        <f t="shared" si="45"/>
        <v>soil</v>
      </c>
      <c r="G89" s="146" t="str">
        <f t="shared" si="2"/>
        <v>PE film 1-10 mm (emission to soil)</v>
      </c>
      <c r="H89" s="146" t="str">
        <f>H88</f>
        <v>Kunststoffverpackungen</v>
      </c>
      <c r="I89" s="129">
        <v>0</v>
      </c>
      <c r="J89" s="101" t="s">
        <v>1097</v>
      </c>
      <c r="K89" s="114">
        <f>K7</f>
        <v>0</v>
      </c>
      <c r="L89" s="226">
        <f t="shared" si="3"/>
        <v>1000</v>
      </c>
      <c r="M89" s="220">
        <f t="shared" si="44"/>
        <v>1</v>
      </c>
      <c r="N89" s="612"/>
    </row>
    <row r="90" spans="1:14" s="102" customFormat="1" ht="15" customHeight="1">
      <c r="A90" s="173" t="str">
        <f>A89</f>
        <v>PE</v>
      </c>
      <c r="B90" s="150" t="str">
        <f>B89</f>
        <v>film</v>
      </c>
      <c r="C90" s="150">
        <f t="shared" si="4"/>
        <v>2</v>
      </c>
      <c r="D90" s="150" t="str">
        <f>D89</f>
        <v>1-10</v>
      </c>
      <c r="E90" s="150">
        <f>E89</f>
        <v>10</v>
      </c>
      <c r="F90" s="150" t="str">
        <f>F89</f>
        <v>soil</v>
      </c>
      <c r="G90" s="147" t="str">
        <f t="shared" si="2"/>
        <v>PE film 1-10 mm (emission to soil)</v>
      </c>
      <c r="H90" s="147" t="str">
        <f>H89</f>
        <v>Kunststoffverpackungen</v>
      </c>
      <c r="I90" s="129">
        <v>0</v>
      </c>
      <c r="J90" s="101" t="s">
        <v>1034</v>
      </c>
      <c r="K90" s="114" t="s">
        <v>596</v>
      </c>
      <c r="L90" s="226">
        <f t="shared" si="3"/>
        <v>0</v>
      </c>
      <c r="M90" s="220">
        <f t="shared" si="44"/>
        <v>0</v>
      </c>
      <c r="N90" s="613"/>
    </row>
    <row r="91" spans="1:14" s="102" customFormat="1" ht="15" customHeight="1">
      <c r="A91" s="271" t="s">
        <v>77</v>
      </c>
      <c r="B91" s="301" t="s">
        <v>996</v>
      </c>
      <c r="C91" s="291">
        <f t="shared" si="4"/>
        <v>2</v>
      </c>
      <c r="D91" s="291" t="s">
        <v>1026</v>
      </c>
      <c r="E91" s="294">
        <v>10</v>
      </c>
      <c r="F91" s="232" t="s">
        <v>1020</v>
      </c>
      <c r="G91" s="233" t="str">
        <f t="shared" si="2"/>
        <v>PE film 1-10 mm (emission to water)</v>
      </c>
      <c r="H91" s="233" t="s">
        <v>1040</v>
      </c>
      <c r="I91" s="302">
        <v>0</v>
      </c>
      <c r="J91" s="145" t="s">
        <v>1019</v>
      </c>
      <c r="K91" s="162">
        <f>K6</f>
        <v>0.39304324511714689</v>
      </c>
      <c r="L91" s="259">
        <f t="shared" si="3"/>
        <v>1000</v>
      </c>
      <c r="M91" s="220">
        <f t="shared" si="44"/>
        <v>1</v>
      </c>
      <c r="N91" s="612">
        <f>I91*M91+I92*M92+I93*L93</f>
        <v>1</v>
      </c>
    </row>
    <row r="92" spans="1:14" s="102" customFormat="1" ht="15" customHeight="1">
      <c r="A92" s="172" t="str">
        <f>A91</f>
        <v>PE</v>
      </c>
      <c r="B92" s="149" t="str">
        <f>B91</f>
        <v>film</v>
      </c>
      <c r="C92" s="149">
        <f t="shared" si="4"/>
        <v>2</v>
      </c>
      <c r="D92" s="149" t="str">
        <f t="shared" ref="D92:F93" si="46">D91</f>
        <v>1-10</v>
      </c>
      <c r="E92" s="149">
        <f t="shared" si="46"/>
        <v>10</v>
      </c>
      <c r="F92" s="149" t="str">
        <f t="shared" si="46"/>
        <v>water</v>
      </c>
      <c r="G92" s="146" t="str">
        <f t="shared" si="2"/>
        <v>PE film 1-10 mm (emission to water)</v>
      </c>
      <c r="H92" s="146" t="str">
        <f>H91</f>
        <v>Kunststoffverpackungen</v>
      </c>
      <c r="I92" s="129">
        <v>1</v>
      </c>
      <c r="J92" s="101" t="s">
        <v>1097</v>
      </c>
      <c r="K92" s="114">
        <f>K7</f>
        <v>0</v>
      </c>
      <c r="L92" s="226">
        <f t="shared" si="3"/>
        <v>1000</v>
      </c>
      <c r="M92" s="220">
        <f t="shared" si="44"/>
        <v>1</v>
      </c>
      <c r="N92" s="612"/>
    </row>
    <row r="93" spans="1:14" s="102" customFormat="1" ht="15" customHeight="1">
      <c r="A93" s="172" t="str">
        <f>A92</f>
        <v>PE</v>
      </c>
      <c r="B93" s="149" t="str">
        <f>B92</f>
        <v>film</v>
      </c>
      <c r="C93" s="149">
        <f t="shared" ref="C93" si="47">IF(OR(B93="Folie", B93="Strips", B93="Film",B93="Flakes",B93="Coupon"), 2,IF(OR(B93="Fibers",B93="Pellets"),4,IF(OR(B93="Particles",B93="Shreds",B93="Powder",B93="Fragments",B93="Granules"),6,"")))</f>
        <v>2</v>
      </c>
      <c r="D93" s="149" t="str">
        <f t="shared" si="46"/>
        <v>1-10</v>
      </c>
      <c r="E93" s="149">
        <f t="shared" si="46"/>
        <v>10</v>
      </c>
      <c r="F93" s="149" t="str">
        <f t="shared" si="46"/>
        <v>water</v>
      </c>
      <c r="G93" s="146" t="str">
        <f t="shared" ref="G93" si="48">CONCATENATE(A93," ",B93," ",D93," mm (emission to ",F93,")")</f>
        <v>PE film 1-10 mm (emission to water)</v>
      </c>
      <c r="H93" s="146" t="str">
        <f>H92</f>
        <v>Kunststoffverpackungen</v>
      </c>
      <c r="I93" s="129">
        <v>0</v>
      </c>
      <c r="J93" s="101" t="s">
        <v>1096</v>
      </c>
      <c r="K93" s="114">
        <f>K9</f>
        <v>0</v>
      </c>
      <c r="L93" s="226">
        <f t="shared" si="3"/>
        <v>1000</v>
      </c>
      <c r="M93" s="220">
        <f t="shared" si="44"/>
        <v>1</v>
      </c>
      <c r="N93" s="612"/>
    </row>
    <row r="94" spans="1:14" s="102" customFormat="1" ht="15" customHeight="1">
      <c r="A94" s="172" t="str">
        <f>A92</f>
        <v>PE</v>
      </c>
      <c r="B94" s="149" t="str">
        <f>B92</f>
        <v>film</v>
      </c>
      <c r="C94" s="149">
        <f t="shared" si="4"/>
        <v>2</v>
      </c>
      <c r="D94" s="149" t="str">
        <f>D92</f>
        <v>1-10</v>
      </c>
      <c r="E94" s="149">
        <f>E92</f>
        <v>10</v>
      </c>
      <c r="F94" s="149" t="str">
        <f>F92</f>
        <v>water</v>
      </c>
      <c r="G94" s="146" t="str">
        <f t="shared" si="2"/>
        <v>PE film 1-10 mm (emission to water)</v>
      </c>
      <c r="H94" s="146" t="str">
        <f>H92</f>
        <v>Kunststoffverpackungen</v>
      </c>
      <c r="I94" s="189">
        <v>0</v>
      </c>
      <c r="J94" s="134" t="s">
        <v>1034</v>
      </c>
      <c r="K94" s="160" t="s">
        <v>596</v>
      </c>
      <c r="L94" s="300">
        <f t="shared" si="3"/>
        <v>0</v>
      </c>
      <c r="M94" s="230">
        <f t="shared" si="44"/>
        <v>0</v>
      </c>
      <c r="N94" s="612"/>
    </row>
    <row r="95" spans="1:14" s="102" customFormat="1" ht="15" customHeight="1">
      <c r="A95" s="172"/>
      <c r="B95" s="149"/>
      <c r="C95" s="149"/>
      <c r="D95" s="149"/>
      <c r="E95" s="149"/>
      <c r="F95" s="149"/>
      <c r="G95" s="146"/>
      <c r="H95" s="146"/>
      <c r="I95" s="189"/>
      <c r="J95" s="134"/>
      <c r="K95" s="160"/>
      <c r="L95" s="356"/>
      <c r="M95" s="230"/>
      <c r="N95" s="353"/>
    </row>
    <row r="96" spans="1:14" s="102" customFormat="1" ht="15" customHeight="1">
      <c r="A96" s="172"/>
      <c r="B96" s="149"/>
      <c r="C96" s="149"/>
      <c r="D96" s="149"/>
      <c r="E96" s="149"/>
      <c r="F96" s="149"/>
      <c r="G96" s="146"/>
      <c r="H96" s="146"/>
      <c r="I96" s="189"/>
      <c r="J96" s="134"/>
      <c r="K96" s="160"/>
      <c r="L96" s="356"/>
      <c r="M96" s="230"/>
      <c r="N96" s="353"/>
    </row>
    <row r="97" spans="1:14" s="102" customFormat="1" ht="15" customHeight="1">
      <c r="A97" s="172"/>
      <c r="B97" s="149"/>
      <c r="C97" s="149"/>
      <c r="D97" s="149"/>
      <c r="E97" s="149"/>
      <c r="F97" s="149"/>
      <c r="G97" s="146"/>
      <c r="H97" s="146"/>
      <c r="I97" s="189"/>
      <c r="J97" s="134"/>
      <c r="K97" s="160"/>
      <c r="L97" s="356"/>
      <c r="M97" s="230"/>
      <c r="N97" s="353"/>
    </row>
    <row r="98" spans="1:14" s="102" customFormat="1" ht="15" customHeight="1">
      <c r="A98" s="174" t="s">
        <v>77</v>
      </c>
      <c r="B98" s="288" t="s">
        <v>996</v>
      </c>
      <c r="C98" s="288">
        <v>2</v>
      </c>
      <c r="D98" s="290" t="s">
        <v>1028</v>
      </c>
      <c r="E98" s="155">
        <v>10</v>
      </c>
      <c r="F98" s="131" t="s">
        <v>1057</v>
      </c>
      <c r="G98" s="134" t="str">
        <f t="shared" ref="G98:G100" si="49">CONCATENATE(A98," ",B98," ",D98," mm (emission to ",F98,")")</f>
        <v>PE film 0,1-1 mm (emission to air)</v>
      </c>
      <c r="H98" s="134" t="s">
        <v>1040</v>
      </c>
      <c r="I98" s="137">
        <v>0.97699999999999998</v>
      </c>
      <c r="J98" s="101" t="s">
        <v>1019</v>
      </c>
      <c r="K98" s="114">
        <f>K6</f>
        <v>0.39304324511714689</v>
      </c>
      <c r="L98" s="259">
        <f t="shared" ref="L98:L100" si="50">IFERROR(IF(K98="--",0,IF(E98*1000/K98*(1-0.5)^(C98/2)&gt;1000,1000,E98*1000/K98*(1-0.5)^(C98/2))),1000)</f>
        <v>1000</v>
      </c>
      <c r="M98" s="158">
        <f t="shared" si="44"/>
        <v>1</v>
      </c>
      <c r="N98" s="611">
        <f>I98*M98+I99*M99</f>
        <v>1</v>
      </c>
    </row>
    <row r="99" spans="1:14" s="102" customFormat="1" ht="15" customHeight="1">
      <c r="A99" s="172" t="str">
        <f>A98</f>
        <v>PE</v>
      </c>
      <c r="B99" s="149" t="str">
        <f>B98</f>
        <v>film</v>
      </c>
      <c r="C99" s="149">
        <f t="shared" ref="C99:C100" si="51">IF(OR(B99="Folie", B99="Strips", B99="Film",B99="Flakes",B99="Coupon"), 2,IF(OR(B99="Fibers",B99="Pellets"),4,IF(OR(B99="Particles",B99="Shreds",B99="Powder",B99="Fragments",B99="Granules"),6,"")))</f>
        <v>2</v>
      </c>
      <c r="D99" s="149" t="str">
        <f t="shared" ref="D99:F99" si="52">D98</f>
        <v>0,1-1</v>
      </c>
      <c r="E99" s="149">
        <f t="shared" si="52"/>
        <v>10</v>
      </c>
      <c r="F99" s="149" t="str">
        <f t="shared" si="52"/>
        <v>air</v>
      </c>
      <c r="G99" s="146" t="str">
        <f t="shared" si="49"/>
        <v>PE film 0,1-1 mm (emission to air)</v>
      </c>
      <c r="H99" s="146" t="str">
        <f>H98</f>
        <v>Kunststoffverpackungen</v>
      </c>
      <c r="I99" s="129">
        <v>2.3E-2</v>
      </c>
      <c r="J99" s="101" t="s">
        <v>1097</v>
      </c>
      <c r="K99" s="114">
        <f>K7</f>
        <v>0</v>
      </c>
      <c r="L99" s="226">
        <f t="shared" si="50"/>
        <v>1000</v>
      </c>
      <c r="M99" s="220">
        <f t="shared" si="44"/>
        <v>1</v>
      </c>
      <c r="N99" s="612"/>
    </row>
    <row r="100" spans="1:14" s="102" customFormat="1" ht="15" customHeight="1">
      <c r="A100" s="173" t="str">
        <f>A98</f>
        <v>PE</v>
      </c>
      <c r="B100" s="150" t="str">
        <f>B98</f>
        <v>film</v>
      </c>
      <c r="C100" s="150">
        <f t="shared" si="51"/>
        <v>2</v>
      </c>
      <c r="D100" s="150" t="str">
        <f>D98</f>
        <v>0,1-1</v>
      </c>
      <c r="E100" s="150">
        <f>E98</f>
        <v>10</v>
      </c>
      <c r="F100" s="150" t="str">
        <f>F98</f>
        <v>air</v>
      </c>
      <c r="G100" s="147" t="str">
        <f t="shared" si="49"/>
        <v>PE film 0,1-1 mm (emission to air)</v>
      </c>
      <c r="H100" s="147"/>
      <c r="I100" s="129">
        <v>0</v>
      </c>
      <c r="J100" s="101" t="s">
        <v>1034</v>
      </c>
      <c r="K100" s="151" t="s">
        <v>596</v>
      </c>
      <c r="L100" s="226">
        <f t="shared" si="50"/>
        <v>0</v>
      </c>
      <c r="M100" s="220">
        <f t="shared" si="44"/>
        <v>0</v>
      </c>
      <c r="N100" s="613"/>
    </row>
    <row r="101" spans="1:14" s="102" customFormat="1" ht="15" customHeight="1">
      <c r="A101" s="271" t="s">
        <v>77</v>
      </c>
      <c r="B101" s="301" t="s">
        <v>1051</v>
      </c>
      <c r="C101" s="291">
        <f t="shared" si="4"/>
        <v>4</v>
      </c>
      <c r="D101" s="291" t="s">
        <v>1028</v>
      </c>
      <c r="E101" s="294">
        <v>1</v>
      </c>
      <c r="F101" s="232" t="s">
        <v>1019</v>
      </c>
      <c r="G101" s="233" t="str">
        <f t="shared" si="2"/>
        <v>PE fibers 0,1-1 mm (emission to soil)</v>
      </c>
      <c r="H101" s="193"/>
      <c r="I101" s="302">
        <v>1</v>
      </c>
      <c r="J101" s="145" t="s">
        <v>1019</v>
      </c>
      <c r="K101" s="162">
        <f>K6</f>
        <v>0.39304324511714689</v>
      </c>
      <c r="L101" s="259">
        <f t="shared" si="3"/>
        <v>636.06232419917887</v>
      </c>
      <c r="M101" s="220">
        <f>IF(L101/1000&gt;1000,1000,L101/1000)</f>
        <v>0.63606232419917885</v>
      </c>
      <c r="N101" s="612">
        <f>I101*M101+I102*M102</f>
        <v>0.63606232419917885</v>
      </c>
    </row>
    <row r="102" spans="1:14" s="102" customFormat="1" ht="15" customHeight="1">
      <c r="A102" s="172" t="str">
        <f>A101</f>
        <v>PE</v>
      </c>
      <c r="B102" s="149" t="str">
        <f>B101</f>
        <v>fibers</v>
      </c>
      <c r="C102" s="149">
        <f t="shared" si="4"/>
        <v>4</v>
      </c>
      <c r="D102" s="149" t="str">
        <f t="shared" ref="D102:F102" si="53">D101</f>
        <v>0,1-1</v>
      </c>
      <c r="E102" s="149">
        <f t="shared" si="53"/>
        <v>1</v>
      </c>
      <c r="F102" s="149" t="str">
        <f t="shared" si="53"/>
        <v>soil</v>
      </c>
      <c r="G102" s="146" t="str">
        <f t="shared" si="2"/>
        <v>PE fibers 0,1-1 mm (emission to soil)</v>
      </c>
      <c r="H102" s="146"/>
      <c r="I102" s="129">
        <v>0</v>
      </c>
      <c r="J102" s="101" t="s">
        <v>1097</v>
      </c>
      <c r="K102" s="114">
        <f>K7</f>
        <v>0</v>
      </c>
      <c r="L102" s="226">
        <f t="shared" si="3"/>
        <v>1000</v>
      </c>
      <c r="M102" s="220">
        <f>IF(L102/1000&gt;1000,1000,L102/1000)</f>
        <v>1</v>
      </c>
      <c r="N102" s="612"/>
    </row>
    <row r="103" spans="1:14" s="102" customFormat="1" ht="15" customHeight="1">
      <c r="A103" s="172" t="str">
        <f>A102</f>
        <v>PE</v>
      </c>
      <c r="B103" s="149" t="str">
        <f>B102</f>
        <v>fibers</v>
      </c>
      <c r="C103" s="149">
        <f t="shared" si="4"/>
        <v>4</v>
      </c>
      <c r="D103" s="149" t="str">
        <f>D102</f>
        <v>0,1-1</v>
      </c>
      <c r="E103" s="149">
        <f>E102</f>
        <v>1</v>
      </c>
      <c r="F103" s="149" t="str">
        <f>F102</f>
        <v>soil</v>
      </c>
      <c r="G103" s="146" t="str">
        <f t="shared" si="2"/>
        <v>PE fibers 0,1-1 mm (emission to soil)</v>
      </c>
      <c r="H103" s="146"/>
      <c r="I103" s="189">
        <v>0</v>
      </c>
      <c r="J103" s="134" t="s">
        <v>1034</v>
      </c>
      <c r="K103" s="160" t="s">
        <v>596</v>
      </c>
      <c r="L103" s="300">
        <f t="shared" si="3"/>
        <v>0</v>
      </c>
      <c r="M103" s="230">
        <f t="shared" ref="M103:M110" si="54">IF(L103/1000&gt;1000,1000,L103/1000)</f>
        <v>0</v>
      </c>
      <c r="N103" s="612"/>
    </row>
    <row r="104" spans="1:14" s="102" customFormat="1" ht="15" customHeight="1">
      <c r="A104" s="175" t="s">
        <v>77</v>
      </c>
      <c r="B104" s="159" t="s">
        <v>1051</v>
      </c>
      <c r="C104" s="290">
        <f t="shared" si="4"/>
        <v>4</v>
      </c>
      <c r="D104" s="290" t="s">
        <v>1028</v>
      </c>
      <c r="E104" s="155">
        <v>1</v>
      </c>
      <c r="F104" s="131" t="s">
        <v>1020</v>
      </c>
      <c r="G104" s="134" t="str">
        <f t="shared" si="2"/>
        <v>PE fibers 0,1-1 mm (emission to water)</v>
      </c>
      <c r="H104" s="192"/>
      <c r="I104" s="137">
        <v>0</v>
      </c>
      <c r="J104" s="101" t="s">
        <v>1019</v>
      </c>
      <c r="K104" s="114">
        <f>K6</f>
        <v>0.39304324511714689</v>
      </c>
      <c r="L104" s="226">
        <f t="shared" si="3"/>
        <v>636.06232419917887</v>
      </c>
      <c r="M104" s="158">
        <f t="shared" si="54"/>
        <v>0.63606232419917885</v>
      </c>
      <c r="N104" s="611">
        <f>I104*M104+I105*M105+I106*M106</f>
        <v>1</v>
      </c>
    </row>
    <row r="105" spans="1:14" s="102" customFormat="1" ht="15" customHeight="1">
      <c r="A105" s="172" t="str">
        <f>A104</f>
        <v>PE</v>
      </c>
      <c r="B105" s="149" t="str">
        <f>B104</f>
        <v>fibers</v>
      </c>
      <c r="C105" s="149">
        <f t="shared" si="4"/>
        <v>4</v>
      </c>
      <c r="D105" s="149" t="str">
        <f t="shared" ref="D105:F106" si="55">D104</f>
        <v>0,1-1</v>
      </c>
      <c r="E105" s="149">
        <f t="shared" si="55"/>
        <v>1</v>
      </c>
      <c r="F105" s="149" t="str">
        <f t="shared" si="55"/>
        <v>water</v>
      </c>
      <c r="G105" s="146" t="str">
        <f t="shared" si="2"/>
        <v>PE fibers 0,1-1 mm (emission to water)</v>
      </c>
      <c r="H105" s="146"/>
      <c r="I105" s="129">
        <v>1</v>
      </c>
      <c r="J105" s="101" t="s">
        <v>1097</v>
      </c>
      <c r="K105" s="114">
        <f>K7</f>
        <v>0</v>
      </c>
      <c r="L105" s="226">
        <f t="shared" si="3"/>
        <v>1000</v>
      </c>
      <c r="M105" s="220">
        <f t="shared" si="54"/>
        <v>1</v>
      </c>
      <c r="N105" s="612"/>
    </row>
    <row r="106" spans="1:14" s="102" customFormat="1" ht="15" customHeight="1">
      <c r="A106" s="172" t="str">
        <f>A105</f>
        <v>PE</v>
      </c>
      <c r="B106" s="149" t="str">
        <f>B105</f>
        <v>fibers</v>
      </c>
      <c r="C106" s="149">
        <f t="shared" ref="C106" si="56">IF(OR(B106="Folie", B106="Strips", B106="Film",B106="Flakes",B106="Coupon"), 2,IF(OR(B106="Fibers",B106="Pellets"),4,IF(OR(B106="Particles",B106="Shreds",B106="Powder",B106="Fragments",B106="Granules"),6,"")))</f>
        <v>4</v>
      </c>
      <c r="D106" s="149" t="str">
        <f t="shared" si="55"/>
        <v>0,1-1</v>
      </c>
      <c r="E106" s="149">
        <f t="shared" si="55"/>
        <v>1</v>
      </c>
      <c r="F106" s="149" t="str">
        <f t="shared" si="55"/>
        <v>water</v>
      </c>
      <c r="G106" s="146" t="str">
        <f t="shared" ref="G106" si="57">CONCATENATE(A106," ",B106," ",D106," mm (emission to ",F106,")")</f>
        <v>PE fibers 0,1-1 mm (emission to water)</v>
      </c>
      <c r="H106" s="146"/>
      <c r="I106" s="129">
        <v>0</v>
      </c>
      <c r="J106" s="101" t="s">
        <v>1096</v>
      </c>
      <c r="K106" s="114">
        <f>K9</f>
        <v>0</v>
      </c>
      <c r="L106" s="226">
        <f t="shared" si="3"/>
        <v>1000</v>
      </c>
      <c r="M106" s="220">
        <f t="shared" si="54"/>
        <v>1</v>
      </c>
      <c r="N106" s="612"/>
    </row>
    <row r="107" spans="1:14" s="102" customFormat="1" ht="15" customHeight="1">
      <c r="A107" s="173" t="str">
        <f>A105</f>
        <v>PE</v>
      </c>
      <c r="B107" s="150" t="str">
        <f>B105</f>
        <v>fibers</v>
      </c>
      <c r="C107" s="150">
        <f t="shared" si="4"/>
        <v>4</v>
      </c>
      <c r="D107" s="150" t="str">
        <f>D105</f>
        <v>0,1-1</v>
      </c>
      <c r="E107" s="150">
        <f>E105</f>
        <v>1</v>
      </c>
      <c r="F107" s="150" t="str">
        <f>F105</f>
        <v>water</v>
      </c>
      <c r="G107" s="147" t="str">
        <f t="shared" si="2"/>
        <v>PE fibers 0,1-1 mm (emission to water)</v>
      </c>
      <c r="H107" s="147"/>
      <c r="I107" s="129">
        <v>0</v>
      </c>
      <c r="J107" s="101" t="s">
        <v>1034</v>
      </c>
      <c r="K107" s="151" t="s">
        <v>596</v>
      </c>
      <c r="L107" s="226">
        <f t="shared" si="3"/>
        <v>0</v>
      </c>
      <c r="M107" s="220">
        <f t="shared" si="54"/>
        <v>0</v>
      </c>
      <c r="N107" s="613"/>
    </row>
    <row r="108" spans="1:14" s="102" customFormat="1" ht="15" customHeight="1">
      <c r="A108" s="174" t="s">
        <v>77</v>
      </c>
      <c r="B108" s="288" t="s">
        <v>1051</v>
      </c>
      <c r="C108" s="288">
        <v>4</v>
      </c>
      <c r="D108" s="290" t="s">
        <v>1028</v>
      </c>
      <c r="E108" s="155">
        <v>1</v>
      </c>
      <c r="F108" s="131" t="s">
        <v>1057</v>
      </c>
      <c r="G108" s="134" t="str">
        <f t="shared" si="2"/>
        <v>PE fibers 0,1-1 mm (emission to air)</v>
      </c>
      <c r="H108" s="134"/>
      <c r="I108" s="137">
        <v>0.97699999999999998</v>
      </c>
      <c r="J108" s="101" t="s">
        <v>1019</v>
      </c>
      <c r="K108" s="114">
        <f>K6</f>
        <v>0.39304324511714689</v>
      </c>
      <c r="L108" s="259">
        <f t="shared" si="3"/>
        <v>636.06232419917887</v>
      </c>
      <c r="M108" s="158">
        <f t="shared" si="54"/>
        <v>0.63606232419917885</v>
      </c>
      <c r="N108" s="611">
        <f>I108*M108+I109*M109</f>
        <v>0.6444328907425978</v>
      </c>
    </row>
    <row r="109" spans="1:14" s="102" customFormat="1" ht="15" customHeight="1">
      <c r="A109" s="172" t="str">
        <f>A108</f>
        <v>PE</v>
      </c>
      <c r="B109" s="149" t="str">
        <f>B108</f>
        <v>fibers</v>
      </c>
      <c r="C109" s="149">
        <f t="shared" ref="C109:C110" si="58">IF(OR(B109="Folie", B109="Strips", B109="Film",B109="Flakes",B109="Coupon"), 2,IF(OR(B109="Fibers",B109="Pellets"),4,IF(OR(B109="Particles",B109="Shreds",B109="Powder",B109="Fragments",B109="Granules"),6,"")))</f>
        <v>4</v>
      </c>
      <c r="D109" s="149" t="str">
        <f t="shared" ref="D109:F109" si="59">D108</f>
        <v>0,1-1</v>
      </c>
      <c r="E109" s="149">
        <f t="shared" si="59"/>
        <v>1</v>
      </c>
      <c r="F109" s="149" t="str">
        <f t="shared" si="59"/>
        <v>air</v>
      </c>
      <c r="G109" s="146" t="str">
        <f t="shared" si="2"/>
        <v>PE fibers 0,1-1 mm (emission to air)</v>
      </c>
      <c r="H109" s="146">
        <f>H108</f>
        <v>0</v>
      </c>
      <c r="I109" s="129">
        <v>2.3E-2</v>
      </c>
      <c r="J109" s="101" t="s">
        <v>1097</v>
      </c>
      <c r="K109" s="114">
        <f>K7</f>
        <v>0</v>
      </c>
      <c r="L109" s="226">
        <f t="shared" si="3"/>
        <v>1000</v>
      </c>
      <c r="M109" s="220">
        <f t="shared" si="54"/>
        <v>1</v>
      </c>
      <c r="N109" s="612"/>
    </row>
    <row r="110" spans="1:14" s="102" customFormat="1" ht="15" customHeight="1">
      <c r="A110" s="173" t="str">
        <f>A108</f>
        <v>PE</v>
      </c>
      <c r="B110" s="150" t="str">
        <f>B108</f>
        <v>fibers</v>
      </c>
      <c r="C110" s="150">
        <f t="shared" si="58"/>
        <v>4</v>
      </c>
      <c r="D110" s="150" t="str">
        <f>D108</f>
        <v>0,1-1</v>
      </c>
      <c r="E110" s="150">
        <f>E108</f>
        <v>1</v>
      </c>
      <c r="F110" s="150" t="str">
        <f>F108</f>
        <v>air</v>
      </c>
      <c r="G110" s="147" t="str">
        <f t="shared" si="2"/>
        <v>PE fibers 0,1-1 mm (emission to air)</v>
      </c>
      <c r="H110" s="147"/>
      <c r="I110" s="129">
        <v>0</v>
      </c>
      <c r="J110" s="101" t="s">
        <v>1034</v>
      </c>
      <c r="K110" s="151" t="s">
        <v>596</v>
      </c>
      <c r="L110" s="226">
        <f t="shared" si="3"/>
        <v>0</v>
      </c>
      <c r="M110" s="220">
        <f t="shared" si="54"/>
        <v>0</v>
      </c>
      <c r="N110" s="613"/>
    </row>
    <row r="111" spans="1:14" s="135" customFormat="1" ht="28.5" customHeight="1">
      <c r="A111" s="271" t="s">
        <v>77</v>
      </c>
      <c r="B111" s="218" t="s">
        <v>372</v>
      </c>
      <c r="C111" s="272">
        <f t="shared" si="4"/>
        <v>4</v>
      </c>
      <c r="D111" s="273" t="s">
        <v>1026</v>
      </c>
      <c r="E111" s="219">
        <v>10</v>
      </c>
      <c r="F111" s="274" t="s">
        <v>1019</v>
      </c>
      <c r="G111" s="233" t="str">
        <f t="shared" si="2"/>
        <v>PE pellets 1-10 mm (emission to soil)</v>
      </c>
      <c r="H111" s="275" t="s">
        <v>1042</v>
      </c>
      <c r="I111" s="161">
        <v>1</v>
      </c>
      <c r="J111" s="145" t="s">
        <v>1019</v>
      </c>
      <c r="K111" s="162">
        <f>K6</f>
        <v>0.39304324511714689</v>
      </c>
      <c r="L111" s="259">
        <f t="shared" si="3"/>
        <v>1000</v>
      </c>
      <c r="M111" s="220">
        <f>IF(L111/1000&gt;1000,1000,L111/1000)</f>
        <v>1</v>
      </c>
      <c r="N111" s="612">
        <f>I111*M111+I112*M112</f>
        <v>1</v>
      </c>
    </row>
    <row r="112" spans="1:14" s="102" customFormat="1" ht="15" customHeight="1">
      <c r="A112" s="172" t="str">
        <f>A111</f>
        <v>PE</v>
      </c>
      <c r="B112" s="149" t="str">
        <f>B111</f>
        <v>pellets</v>
      </c>
      <c r="C112" s="149">
        <f t="shared" si="4"/>
        <v>4</v>
      </c>
      <c r="D112" s="149" t="str">
        <f t="shared" ref="D112:F112" si="60">D111</f>
        <v>1-10</v>
      </c>
      <c r="E112" s="149">
        <f t="shared" si="60"/>
        <v>10</v>
      </c>
      <c r="F112" s="149" t="str">
        <f t="shared" si="60"/>
        <v>soil</v>
      </c>
      <c r="G112" s="146" t="str">
        <f t="shared" si="2"/>
        <v>PE pellets 1-10 mm (emission to soil)</v>
      </c>
      <c r="H112" s="146" t="str">
        <f>H111</f>
        <v>Freisetzung durch Unfälle mit Pellets; Unsachgemäße Entsorgung von Pellets</v>
      </c>
      <c r="I112" s="129">
        <v>0</v>
      </c>
      <c r="J112" s="101" t="s">
        <v>1097</v>
      </c>
      <c r="K112" s="114">
        <f>K7</f>
        <v>0</v>
      </c>
      <c r="L112" s="226">
        <f t="shared" si="3"/>
        <v>1000</v>
      </c>
      <c r="M112" s="220">
        <f>IF(L112/1000&gt;1000,1000,L112/1000)</f>
        <v>1</v>
      </c>
      <c r="N112" s="612"/>
    </row>
    <row r="113" spans="1:14" s="102" customFormat="1" ht="15" customHeight="1">
      <c r="A113" s="173" t="str">
        <f>A112</f>
        <v>PE</v>
      </c>
      <c r="B113" s="150" t="str">
        <f>B112</f>
        <v>pellets</v>
      </c>
      <c r="C113" s="150">
        <f t="shared" si="4"/>
        <v>4</v>
      </c>
      <c r="D113" s="150" t="str">
        <f>D112</f>
        <v>1-10</v>
      </c>
      <c r="E113" s="150">
        <f>E112</f>
        <v>10</v>
      </c>
      <c r="F113" s="150" t="str">
        <f>F112</f>
        <v>soil</v>
      </c>
      <c r="G113" s="147" t="str">
        <f t="shared" si="2"/>
        <v>PE pellets 1-10 mm (emission to soil)</v>
      </c>
      <c r="H113" s="147" t="str">
        <f>H112</f>
        <v>Freisetzung durch Unfälle mit Pellets; Unsachgemäße Entsorgung von Pellets</v>
      </c>
      <c r="I113" s="129">
        <v>0</v>
      </c>
      <c r="J113" s="101" t="s">
        <v>1034</v>
      </c>
      <c r="K113" s="114" t="s">
        <v>596</v>
      </c>
      <c r="L113" s="226">
        <f t="shared" si="3"/>
        <v>0</v>
      </c>
      <c r="M113" s="220">
        <f t="shared" ref="M113:M117" si="61">IF(L113/1000&gt;1000,1000,L113/1000)</f>
        <v>0</v>
      </c>
      <c r="N113" s="612"/>
    </row>
    <row r="114" spans="1:14" s="102" customFormat="1" ht="30.75" customHeight="1">
      <c r="A114" s="175" t="s">
        <v>77</v>
      </c>
      <c r="B114" s="155" t="s">
        <v>372</v>
      </c>
      <c r="C114" s="141">
        <f t="shared" si="4"/>
        <v>4</v>
      </c>
      <c r="D114" s="153" t="s">
        <v>1026</v>
      </c>
      <c r="E114" s="214">
        <v>10</v>
      </c>
      <c r="F114" s="154" t="s">
        <v>1020</v>
      </c>
      <c r="G114" s="134" t="str">
        <f t="shared" si="2"/>
        <v>PE pellets 1-10 mm (emission to water)</v>
      </c>
      <c r="H114" s="148" t="s">
        <v>1042</v>
      </c>
      <c r="I114" s="129">
        <v>0</v>
      </c>
      <c r="J114" s="101" t="s">
        <v>1019</v>
      </c>
      <c r="K114" s="114">
        <f>K6</f>
        <v>0.39304324511714689</v>
      </c>
      <c r="L114" s="226">
        <f t="shared" si="3"/>
        <v>1000</v>
      </c>
      <c r="M114" s="220">
        <f t="shared" si="61"/>
        <v>1</v>
      </c>
      <c r="N114" s="611">
        <f>I114*M114+I115*M115+I116*M116</f>
        <v>1</v>
      </c>
    </row>
    <row r="115" spans="1:14" s="102" customFormat="1" ht="15" customHeight="1">
      <c r="A115" s="172" t="str">
        <f>A114</f>
        <v>PE</v>
      </c>
      <c r="B115" s="149" t="str">
        <f>B114</f>
        <v>pellets</v>
      </c>
      <c r="C115" s="149">
        <f t="shared" si="4"/>
        <v>4</v>
      </c>
      <c r="D115" s="149" t="str">
        <f t="shared" ref="D115:F116" si="62">D114</f>
        <v>1-10</v>
      </c>
      <c r="E115" s="149">
        <f t="shared" si="62"/>
        <v>10</v>
      </c>
      <c r="F115" s="149" t="str">
        <f t="shared" si="62"/>
        <v>water</v>
      </c>
      <c r="G115" s="146" t="str">
        <f t="shared" si="2"/>
        <v>PE pellets 1-10 mm (emission to water)</v>
      </c>
      <c r="H115" s="146" t="str">
        <f>H114</f>
        <v>Freisetzung durch Unfälle mit Pellets; Unsachgemäße Entsorgung von Pellets</v>
      </c>
      <c r="I115" s="129">
        <v>1</v>
      </c>
      <c r="J115" s="101" t="s">
        <v>1097</v>
      </c>
      <c r="K115" s="114">
        <f>K7</f>
        <v>0</v>
      </c>
      <c r="L115" s="226">
        <f t="shared" si="3"/>
        <v>1000</v>
      </c>
      <c r="M115" s="220">
        <f t="shared" si="61"/>
        <v>1</v>
      </c>
      <c r="N115" s="612"/>
    </row>
    <row r="116" spans="1:14" s="102" customFormat="1" ht="15" customHeight="1">
      <c r="A116" s="172" t="str">
        <f>A115</f>
        <v>PE</v>
      </c>
      <c r="B116" s="149" t="str">
        <f>B115</f>
        <v>pellets</v>
      </c>
      <c r="C116" s="149">
        <f t="shared" ref="C116" si="63">IF(OR(B116="Folie", B116="Strips", B116="Film",B116="Flakes",B116="Coupon"), 2,IF(OR(B116="Fibers",B116="Pellets"),4,IF(OR(B116="Particles",B116="Shreds",B116="Powder",B116="Fragments",B116="Granules"),6,"")))</f>
        <v>4</v>
      </c>
      <c r="D116" s="149" t="str">
        <f t="shared" si="62"/>
        <v>1-10</v>
      </c>
      <c r="E116" s="149">
        <f t="shared" si="62"/>
        <v>10</v>
      </c>
      <c r="F116" s="149" t="str">
        <f t="shared" si="62"/>
        <v>water</v>
      </c>
      <c r="G116" s="146" t="str">
        <f t="shared" ref="G116" si="64">CONCATENATE(A116," ",B116," ",D116," mm (emission to ",F116,")")</f>
        <v>PE pellets 1-10 mm (emission to water)</v>
      </c>
      <c r="H116" s="146" t="str">
        <f>H115</f>
        <v>Freisetzung durch Unfälle mit Pellets; Unsachgemäße Entsorgung von Pellets</v>
      </c>
      <c r="I116" s="129">
        <v>0</v>
      </c>
      <c r="J116" s="101" t="s">
        <v>1096</v>
      </c>
      <c r="K116" s="114">
        <f>K9</f>
        <v>0</v>
      </c>
      <c r="L116" s="226">
        <f t="shared" si="3"/>
        <v>1000</v>
      </c>
      <c r="M116" s="220">
        <f t="shared" si="61"/>
        <v>1</v>
      </c>
      <c r="N116" s="612"/>
    </row>
    <row r="117" spans="1:14" s="102" customFormat="1" ht="15" customHeight="1">
      <c r="A117" s="173" t="str">
        <f>A115</f>
        <v>PE</v>
      </c>
      <c r="B117" s="150" t="str">
        <f>B115</f>
        <v>pellets</v>
      </c>
      <c r="C117" s="150">
        <f t="shared" si="4"/>
        <v>4</v>
      </c>
      <c r="D117" s="150" t="str">
        <f>D115</f>
        <v>1-10</v>
      </c>
      <c r="E117" s="150">
        <f>E115</f>
        <v>10</v>
      </c>
      <c r="F117" s="150" t="str">
        <f>F115</f>
        <v>water</v>
      </c>
      <c r="G117" s="147" t="str">
        <f t="shared" si="2"/>
        <v>PE pellets 1-10 mm (emission to water)</v>
      </c>
      <c r="H117" s="147" t="str">
        <f>H115</f>
        <v>Freisetzung durch Unfälle mit Pellets; Unsachgemäße Entsorgung von Pellets</v>
      </c>
      <c r="I117" s="129">
        <v>0</v>
      </c>
      <c r="J117" s="101" t="s">
        <v>1034</v>
      </c>
      <c r="K117" s="114" t="s">
        <v>596</v>
      </c>
      <c r="L117" s="226">
        <f t="shared" si="3"/>
        <v>0</v>
      </c>
      <c r="M117" s="220">
        <f t="shared" si="61"/>
        <v>0</v>
      </c>
      <c r="N117" s="613"/>
    </row>
    <row r="118" spans="1:14" s="102" customFormat="1" ht="23.25" customHeight="1">
      <c r="A118" s="174" t="s">
        <v>77</v>
      </c>
      <c r="B118" s="288" t="s">
        <v>372</v>
      </c>
      <c r="C118" s="288">
        <v>4</v>
      </c>
      <c r="D118" s="153" t="s">
        <v>1026</v>
      </c>
      <c r="E118" s="155">
        <v>10</v>
      </c>
      <c r="F118" s="131" t="s">
        <v>1057</v>
      </c>
      <c r="G118" s="134" t="str">
        <f t="shared" ref="G118:G120" si="65">CONCATENATE(A118," ",B118," ",D118," mm (emission to ",F118,")")</f>
        <v>PE pellets 1-10 mm (emission to air)</v>
      </c>
      <c r="H118" s="275" t="s">
        <v>1042</v>
      </c>
      <c r="I118" s="137">
        <v>0.97699999999999998</v>
      </c>
      <c r="J118" s="101" t="s">
        <v>1019</v>
      </c>
      <c r="K118" s="114">
        <f>K6</f>
        <v>0.39304324511714689</v>
      </c>
      <c r="L118" s="259">
        <f t="shared" ref="L118:L120" si="66">IFERROR(IF(K118="--",0,IF(E118*1000/K118*(1-0.5)^(C118/2)&gt;1000,1000,E118*1000/K118*(1-0.5)^(C118/2))),1000)</f>
        <v>1000</v>
      </c>
      <c r="M118" s="220">
        <f>IF(L118/1000&gt;1000,1000,L118/1000)</f>
        <v>1</v>
      </c>
      <c r="N118" s="612">
        <f>I118*M118+I119*M119</f>
        <v>1</v>
      </c>
    </row>
    <row r="119" spans="1:14" s="102" customFormat="1" ht="15" customHeight="1">
      <c r="A119" s="172" t="str">
        <f>A118</f>
        <v>PE</v>
      </c>
      <c r="B119" s="149" t="str">
        <f>B118</f>
        <v>pellets</v>
      </c>
      <c r="C119" s="149">
        <f t="shared" ref="C119:C120" si="67">IF(OR(B119="Folie", B119="Strips", B119="Film",B119="Flakes",B119="Coupon"), 2,IF(OR(B119="Fibers",B119="Pellets"),4,IF(OR(B119="Particles",B119="Shreds",B119="Powder",B119="Fragments",B119="Granules"),6,"")))</f>
        <v>4</v>
      </c>
      <c r="D119" s="149" t="str">
        <f t="shared" ref="D119:F119" si="68">D118</f>
        <v>1-10</v>
      </c>
      <c r="E119" s="149">
        <f t="shared" si="68"/>
        <v>10</v>
      </c>
      <c r="F119" s="149" t="str">
        <f t="shared" si="68"/>
        <v>air</v>
      </c>
      <c r="G119" s="146" t="str">
        <f t="shared" si="65"/>
        <v>PE pellets 1-10 mm (emission to air)</v>
      </c>
      <c r="H119" s="146" t="str">
        <f>H118</f>
        <v>Freisetzung durch Unfälle mit Pellets; Unsachgemäße Entsorgung von Pellets</v>
      </c>
      <c r="I119" s="129">
        <v>2.3E-2</v>
      </c>
      <c r="J119" s="101" t="s">
        <v>1097</v>
      </c>
      <c r="K119" s="114">
        <f>K7</f>
        <v>0</v>
      </c>
      <c r="L119" s="226">
        <f t="shared" si="66"/>
        <v>1000</v>
      </c>
      <c r="M119" s="220">
        <f>IF(L119/1000&gt;1000,1000,L119/1000)</f>
        <v>1</v>
      </c>
      <c r="N119" s="612"/>
    </row>
    <row r="120" spans="1:14" s="102" customFormat="1" ht="15" customHeight="1" thickBot="1">
      <c r="A120" s="173" t="str">
        <f>A118</f>
        <v>PE</v>
      </c>
      <c r="B120" s="150" t="str">
        <f>B118</f>
        <v>pellets</v>
      </c>
      <c r="C120" s="150">
        <f t="shared" si="67"/>
        <v>4</v>
      </c>
      <c r="D120" s="150" t="str">
        <f>D118</f>
        <v>1-10</v>
      </c>
      <c r="E120" s="150">
        <f>E118</f>
        <v>10</v>
      </c>
      <c r="F120" s="150" t="str">
        <f>F118</f>
        <v>air</v>
      </c>
      <c r="G120" s="147" t="str">
        <f t="shared" si="65"/>
        <v>PE pellets 1-10 mm (emission to air)</v>
      </c>
      <c r="H120" s="147"/>
      <c r="I120" s="129">
        <v>0</v>
      </c>
      <c r="J120" s="101" t="s">
        <v>1034</v>
      </c>
      <c r="K120" s="151" t="s">
        <v>596</v>
      </c>
      <c r="L120" s="226">
        <f t="shared" si="66"/>
        <v>0</v>
      </c>
      <c r="M120" s="220">
        <f t="shared" ref="M120" si="69">IF(L120/1000&gt;1000,1000,L120/1000)</f>
        <v>0</v>
      </c>
      <c r="N120" s="612"/>
    </row>
    <row r="121" spans="1:14" s="102" customFormat="1" ht="52.5" customHeight="1">
      <c r="A121" s="176" t="s">
        <v>77</v>
      </c>
      <c r="B121" s="139" t="s">
        <v>1025</v>
      </c>
      <c r="C121" s="141">
        <f t="shared" si="4"/>
        <v>6</v>
      </c>
      <c r="D121" s="141" t="s">
        <v>1018</v>
      </c>
      <c r="E121" s="155">
        <v>0.1</v>
      </c>
      <c r="F121" s="131" t="s">
        <v>1019</v>
      </c>
      <c r="G121" s="134" t="str">
        <f t="shared" si="2"/>
        <v>PE particles 0,01-0,1 mm (emission to soil)</v>
      </c>
      <c r="H121" s="133" t="s">
        <v>1054</v>
      </c>
      <c r="I121" s="129">
        <v>1</v>
      </c>
      <c r="J121" s="101" t="s">
        <v>1019</v>
      </c>
      <c r="K121" s="114">
        <f>K6</f>
        <v>0.39304324511714689</v>
      </c>
      <c r="L121" s="226">
        <f t="shared" si="3"/>
        <v>31.803116209958944</v>
      </c>
      <c r="M121" s="220">
        <f>IF(L121/1000&gt;1000,1000,L121/1000)</f>
        <v>3.1803116209958945E-2</v>
      </c>
      <c r="N121" s="623">
        <f>I121*M121+I122*M122</f>
        <v>3.1803116209958945E-2</v>
      </c>
    </row>
    <row r="122" spans="1:14" s="102" customFormat="1" ht="14.25" customHeight="1">
      <c r="A122" s="172" t="str">
        <f>A121</f>
        <v>PE</v>
      </c>
      <c r="B122" s="149" t="str">
        <f>B121</f>
        <v>particles</v>
      </c>
      <c r="C122" s="149">
        <f t="shared" si="4"/>
        <v>6</v>
      </c>
      <c r="D122" s="149" t="str">
        <f t="shared" ref="D122:F122" si="70">D121</f>
        <v>0,01-0,1</v>
      </c>
      <c r="E122" s="149">
        <f t="shared" si="70"/>
        <v>0.1</v>
      </c>
      <c r="F122" s="149" t="str">
        <f t="shared" si="70"/>
        <v>soil</v>
      </c>
      <c r="G122" s="146" t="str">
        <f t="shared" si="2"/>
        <v>PE particles 0,01-0,1 mm (emission to soil)</v>
      </c>
      <c r="H122" s="146" t="str">
        <f>H121</f>
        <v>Recycling polymerb. Papier; Auswaschung von Wasch-, Pflege- und Reinigungsmitteln; Abrieb von Trink- und Abwasserrohren</v>
      </c>
      <c r="I122" s="129">
        <v>0</v>
      </c>
      <c r="J122" s="101" t="s">
        <v>1097</v>
      </c>
      <c r="K122" s="114">
        <f>K7</f>
        <v>0</v>
      </c>
      <c r="L122" s="226">
        <f t="shared" si="3"/>
        <v>1000</v>
      </c>
      <c r="M122" s="220">
        <f>IF(L122/1000&gt;1000,1000,L122/1000)</f>
        <v>1</v>
      </c>
      <c r="N122" s="612"/>
    </row>
    <row r="123" spans="1:14" s="102" customFormat="1" ht="14.25" customHeight="1">
      <c r="A123" s="173" t="str">
        <f>A122</f>
        <v>PE</v>
      </c>
      <c r="B123" s="150" t="str">
        <f>B122</f>
        <v>particles</v>
      </c>
      <c r="C123" s="150">
        <f t="shared" si="4"/>
        <v>6</v>
      </c>
      <c r="D123" s="150" t="str">
        <f>D122</f>
        <v>0,01-0,1</v>
      </c>
      <c r="E123" s="150">
        <f>E122</f>
        <v>0.1</v>
      </c>
      <c r="F123" s="150" t="str">
        <f>F122</f>
        <v>soil</v>
      </c>
      <c r="G123" s="147" t="str">
        <f t="shared" si="2"/>
        <v>PE particles 0,01-0,1 mm (emission to soil)</v>
      </c>
      <c r="H123" s="147" t="str">
        <f>H122</f>
        <v>Recycling polymerb. Papier; Auswaschung von Wasch-, Pflege- und Reinigungsmitteln; Abrieb von Trink- und Abwasserrohren</v>
      </c>
      <c r="I123" s="129">
        <v>0</v>
      </c>
      <c r="J123" s="101" t="s">
        <v>1034</v>
      </c>
      <c r="K123" s="114" t="s">
        <v>596</v>
      </c>
      <c r="L123" s="226">
        <f t="shared" si="3"/>
        <v>0</v>
      </c>
      <c r="M123" s="220">
        <f t="shared" ref="M123:M127" si="71">IF(L123/1000&gt;1000,1000,L123/1000)</f>
        <v>0</v>
      </c>
      <c r="N123" s="612"/>
    </row>
    <row r="124" spans="1:14" s="102" customFormat="1" ht="50.25" customHeight="1">
      <c r="A124" s="176" t="s">
        <v>77</v>
      </c>
      <c r="B124" s="139" t="s">
        <v>1025</v>
      </c>
      <c r="C124" s="141">
        <f t="shared" si="4"/>
        <v>6</v>
      </c>
      <c r="D124" s="141" t="s">
        <v>1018</v>
      </c>
      <c r="E124" s="155">
        <v>0.1</v>
      </c>
      <c r="F124" s="131" t="s">
        <v>1020</v>
      </c>
      <c r="G124" s="134" t="str">
        <f t="shared" si="2"/>
        <v>PE particles 0,01-0,1 mm (emission to water)</v>
      </c>
      <c r="H124" s="133" t="s">
        <v>1054</v>
      </c>
      <c r="I124" s="137">
        <v>0</v>
      </c>
      <c r="J124" s="101" t="s">
        <v>1019</v>
      </c>
      <c r="K124" s="114">
        <f>K6</f>
        <v>0.39304324511714689</v>
      </c>
      <c r="L124" s="226">
        <f t="shared" si="3"/>
        <v>31.803116209958944</v>
      </c>
      <c r="M124" s="220">
        <f t="shared" si="71"/>
        <v>3.1803116209958945E-2</v>
      </c>
      <c r="N124" s="611">
        <f>I124*M124+I125*M125+I126*M126</f>
        <v>1</v>
      </c>
    </row>
    <row r="125" spans="1:14" s="102" customFormat="1" ht="15" customHeight="1">
      <c r="A125" s="172" t="str">
        <f>A124</f>
        <v>PE</v>
      </c>
      <c r="B125" s="149" t="str">
        <f>B124</f>
        <v>particles</v>
      </c>
      <c r="C125" s="149">
        <f t="shared" si="4"/>
        <v>6</v>
      </c>
      <c r="D125" s="149" t="str">
        <f t="shared" ref="D125:F126" si="72">D124</f>
        <v>0,01-0,1</v>
      </c>
      <c r="E125" s="149">
        <f t="shared" si="72"/>
        <v>0.1</v>
      </c>
      <c r="F125" s="149" t="str">
        <f t="shared" si="72"/>
        <v>water</v>
      </c>
      <c r="G125" s="146" t="str">
        <f t="shared" si="2"/>
        <v>PE particles 0,01-0,1 mm (emission to water)</v>
      </c>
      <c r="H125" s="146" t="str">
        <f>H124</f>
        <v>Recycling polymerb. Papier; Auswaschung von Wasch-, Pflege- und Reinigungsmitteln; Abrieb von Trink- und Abwasserrohren</v>
      </c>
      <c r="I125" s="129">
        <v>1</v>
      </c>
      <c r="J125" s="101" t="s">
        <v>1097</v>
      </c>
      <c r="K125" s="114">
        <f>K7</f>
        <v>0</v>
      </c>
      <c r="L125" s="226">
        <f t="shared" si="3"/>
        <v>1000</v>
      </c>
      <c r="M125" s="220">
        <f t="shared" si="71"/>
        <v>1</v>
      </c>
      <c r="N125" s="612"/>
    </row>
    <row r="126" spans="1:14" s="102" customFormat="1" ht="15" customHeight="1">
      <c r="A126" s="172" t="str">
        <f>A125</f>
        <v>PE</v>
      </c>
      <c r="B126" s="149" t="str">
        <f>B125</f>
        <v>particles</v>
      </c>
      <c r="C126" s="149">
        <f t="shared" ref="C126" si="73">IF(OR(B126="Folie", B126="Strips", B126="Film",B126="Flakes",B126="Coupon"), 2,IF(OR(B126="Fibers",B126="Pellets"),4,IF(OR(B126="Particles",B126="Shreds",B126="Powder",B126="Fragments",B126="Granules"),6,"")))</f>
        <v>6</v>
      </c>
      <c r="D126" s="149" t="str">
        <f t="shared" si="72"/>
        <v>0,01-0,1</v>
      </c>
      <c r="E126" s="149">
        <f t="shared" si="72"/>
        <v>0.1</v>
      </c>
      <c r="F126" s="149" t="str">
        <f t="shared" si="72"/>
        <v>water</v>
      </c>
      <c r="G126" s="146" t="str">
        <f t="shared" ref="G126" si="74">CONCATENATE(A126," ",B126," ",D126," mm (emission to ",F126,")")</f>
        <v>PE particles 0,01-0,1 mm (emission to water)</v>
      </c>
      <c r="H126" s="146" t="str">
        <f>H125</f>
        <v>Recycling polymerb. Papier; Auswaschung von Wasch-, Pflege- und Reinigungsmitteln; Abrieb von Trink- und Abwasserrohren</v>
      </c>
      <c r="I126" s="129">
        <v>0</v>
      </c>
      <c r="J126" s="101" t="s">
        <v>1096</v>
      </c>
      <c r="K126" s="114">
        <f>K9</f>
        <v>0</v>
      </c>
      <c r="L126" s="226">
        <f t="shared" si="3"/>
        <v>1000</v>
      </c>
      <c r="M126" s="220">
        <f t="shared" si="71"/>
        <v>1</v>
      </c>
      <c r="N126" s="612"/>
    </row>
    <row r="127" spans="1:14" s="102" customFormat="1" ht="15" customHeight="1" thickBot="1">
      <c r="A127" s="173" t="str">
        <f>A125</f>
        <v>PE</v>
      </c>
      <c r="B127" s="150" t="str">
        <f>B125</f>
        <v>particles</v>
      </c>
      <c r="C127" s="150">
        <f t="shared" si="4"/>
        <v>6</v>
      </c>
      <c r="D127" s="150" t="str">
        <f>D125</f>
        <v>0,01-0,1</v>
      </c>
      <c r="E127" s="150">
        <f>E125</f>
        <v>0.1</v>
      </c>
      <c r="F127" s="150" t="str">
        <f>F125</f>
        <v>water</v>
      </c>
      <c r="G127" s="147" t="str">
        <f t="shared" si="2"/>
        <v>PE particles 0,01-0,1 mm (emission to water)</v>
      </c>
      <c r="H127" s="147" t="str">
        <f>H125</f>
        <v>Recycling polymerb. Papier; Auswaschung von Wasch-, Pflege- und Reinigungsmitteln; Abrieb von Trink- und Abwasserrohren</v>
      </c>
      <c r="I127" s="129">
        <v>0</v>
      </c>
      <c r="J127" s="101" t="s">
        <v>1034</v>
      </c>
      <c r="K127" s="114" t="s">
        <v>596</v>
      </c>
      <c r="L127" s="226">
        <f t="shared" si="3"/>
        <v>0</v>
      </c>
      <c r="M127" s="220">
        <f t="shared" si="71"/>
        <v>0</v>
      </c>
      <c r="N127" s="613"/>
    </row>
    <row r="128" spans="1:14" s="102" customFormat="1" ht="54" customHeight="1">
      <c r="A128" s="174" t="s">
        <v>77</v>
      </c>
      <c r="B128" s="288" t="s">
        <v>1025</v>
      </c>
      <c r="C128" s="288">
        <v>6</v>
      </c>
      <c r="D128" s="290" t="s">
        <v>1018</v>
      </c>
      <c r="E128" s="155">
        <v>0.1</v>
      </c>
      <c r="F128" s="131" t="s">
        <v>1057</v>
      </c>
      <c r="G128" s="134" t="str">
        <f t="shared" si="2"/>
        <v>PE particles 0,01-0,1 mm (emission to air)</v>
      </c>
      <c r="H128" s="133" t="s">
        <v>1054</v>
      </c>
      <c r="I128" s="137">
        <v>0.97699999999999998</v>
      </c>
      <c r="J128" s="101" t="s">
        <v>1019</v>
      </c>
      <c r="K128" s="114">
        <f>K6</f>
        <v>0.39304324511714689</v>
      </c>
      <c r="L128" s="259">
        <f t="shared" si="3"/>
        <v>31.803116209958944</v>
      </c>
      <c r="M128" s="220">
        <f>IF(L128/1000&gt;1000,1000,L128/1000)</f>
        <v>3.1803116209958945E-2</v>
      </c>
      <c r="N128" s="623">
        <f>I128*M128+I129*M129</f>
        <v>5.4071644537129884E-2</v>
      </c>
    </row>
    <row r="129" spans="1:14" s="102" customFormat="1" ht="15" customHeight="1">
      <c r="A129" s="172" t="str">
        <f>A128</f>
        <v>PE</v>
      </c>
      <c r="B129" s="149" t="str">
        <f>B128</f>
        <v>particles</v>
      </c>
      <c r="C129" s="149">
        <f t="shared" ref="C129:C130" si="75">IF(OR(B129="Folie", B129="Strips", B129="Film",B129="Flakes",B129="Coupon"), 2,IF(OR(B129="Fibers",B129="Pellets"),4,IF(OR(B129="Particles",B129="Shreds",B129="Powder",B129="Fragments",B129="Granules"),6,"")))</f>
        <v>6</v>
      </c>
      <c r="D129" s="149" t="str">
        <f t="shared" ref="D129:F129" si="76">D128</f>
        <v>0,01-0,1</v>
      </c>
      <c r="E129" s="149">
        <f t="shared" si="76"/>
        <v>0.1</v>
      </c>
      <c r="F129" s="149" t="str">
        <f t="shared" si="76"/>
        <v>air</v>
      </c>
      <c r="G129" s="146" t="str">
        <f t="shared" si="2"/>
        <v>PE particles 0,01-0,1 mm (emission to air)</v>
      </c>
      <c r="H129" s="146" t="str">
        <f>H128</f>
        <v>Recycling polymerb. Papier; Auswaschung von Wasch-, Pflege- und Reinigungsmitteln; Abrieb von Trink- und Abwasserrohren</v>
      </c>
      <c r="I129" s="129">
        <v>2.3E-2</v>
      </c>
      <c r="J129" s="101" t="s">
        <v>1097</v>
      </c>
      <c r="K129" s="114">
        <f>K7</f>
        <v>0</v>
      </c>
      <c r="L129" s="226">
        <f t="shared" si="3"/>
        <v>1000</v>
      </c>
      <c r="M129" s="220">
        <f>IF(L129/1000&gt;1000,1000,L129/1000)</f>
        <v>1</v>
      </c>
      <c r="N129" s="612"/>
    </row>
    <row r="130" spans="1:14" s="102" customFormat="1" ht="15" customHeight="1" thickBot="1">
      <c r="A130" s="173" t="str">
        <f>A128</f>
        <v>PE</v>
      </c>
      <c r="B130" s="150" t="str">
        <f>B128</f>
        <v>particles</v>
      </c>
      <c r="C130" s="150">
        <f t="shared" si="75"/>
        <v>6</v>
      </c>
      <c r="D130" s="150" t="str">
        <f>D128</f>
        <v>0,01-0,1</v>
      </c>
      <c r="E130" s="150">
        <f>E128</f>
        <v>0.1</v>
      </c>
      <c r="F130" s="150" t="str">
        <f>F128</f>
        <v>air</v>
      </c>
      <c r="G130" s="147" t="str">
        <f t="shared" si="2"/>
        <v>PE particles 0,01-0,1 mm (emission to air)</v>
      </c>
      <c r="H130" s="147"/>
      <c r="I130" s="129">
        <v>0</v>
      </c>
      <c r="J130" s="101" t="s">
        <v>1034</v>
      </c>
      <c r="K130" s="151" t="s">
        <v>596</v>
      </c>
      <c r="L130" s="226">
        <f t="shared" si="3"/>
        <v>0</v>
      </c>
      <c r="M130" s="220">
        <f t="shared" ref="M130" si="77">IF(L130/1000&gt;1000,1000,L130/1000)</f>
        <v>0</v>
      </c>
      <c r="N130" s="612"/>
    </row>
    <row r="131" spans="1:14" s="102" customFormat="1" ht="27.75" customHeight="1">
      <c r="A131" s="260" t="s">
        <v>77</v>
      </c>
      <c r="B131" s="261" t="s">
        <v>1025</v>
      </c>
      <c r="C131" s="262">
        <f t="shared" si="4"/>
        <v>6</v>
      </c>
      <c r="D131" s="262" t="s">
        <v>1028</v>
      </c>
      <c r="E131" s="262">
        <v>1</v>
      </c>
      <c r="F131" s="263" t="s">
        <v>1019</v>
      </c>
      <c r="G131" s="264" t="str">
        <f t="shared" si="2"/>
        <v>PE particles 0,1-1 mm (emission to soil)</v>
      </c>
      <c r="H131" s="266" t="s">
        <v>1039</v>
      </c>
      <c r="I131" s="240">
        <v>1</v>
      </c>
      <c r="J131" s="247" t="s">
        <v>1019</v>
      </c>
      <c r="K131" s="248">
        <f>K6</f>
        <v>0.39304324511714689</v>
      </c>
      <c r="L131" s="243">
        <f t="shared" si="3"/>
        <v>318.03116209958944</v>
      </c>
      <c r="M131" s="257">
        <f>IF(L131/1000&gt;1000,1000,L131/1000)</f>
        <v>0.31803116209958943</v>
      </c>
      <c r="N131" s="620">
        <f>I131*M131+I132*M132</f>
        <v>0.31803116209958943</v>
      </c>
    </row>
    <row r="132" spans="1:14" s="102" customFormat="1" ht="12.75" customHeight="1">
      <c r="A132" s="244" t="str">
        <f>A131</f>
        <v>PE</v>
      </c>
      <c r="B132" s="245" t="str">
        <f>B131</f>
        <v>particles</v>
      </c>
      <c r="C132" s="245">
        <f t="shared" si="4"/>
        <v>6</v>
      </c>
      <c r="D132" s="245" t="str">
        <f t="shared" ref="D132:F132" si="78">D131</f>
        <v>0,1-1</v>
      </c>
      <c r="E132" s="245">
        <f t="shared" si="78"/>
        <v>1</v>
      </c>
      <c r="F132" s="245" t="str">
        <f t="shared" si="78"/>
        <v>soil</v>
      </c>
      <c r="G132" s="246" t="str">
        <f t="shared" si="2"/>
        <v>PE particles 0,1-1 mm (emission to soil)</v>
      </c>
      <c r="H132" s="246" t="str">
        <f>H131</f>
        <v>Verarbeitung von Bauschutt; Straßenmarkierungen</v>
      </c>
      <c r="I132" s="240">
        <v>0</v>
      </c>
      <c r="J132" s="247" t="s">
        <v>1097</v>
      </c>
      <c r="K132" s="248">
        <f>K7</f>
        <v>0</v>
      </c>
      <c r="L132" s="243">
        <f t="shared" si="3"/>
        <v>1000</v>
      </c>
      <c r="M132" s="257">
        <f>IF(L132/1000&gt;1000,1000,L132/1000)</f>
        <v>1</v>
      </c>
      <c r="N132" s="621"/>
    </row>
    <row r="133" spans="1:14" s="102" customFormat="1" ht="12.75" customHeight="1">
      <c r="A133" s="249" t="str">
        <f>A132</f>
        <v>PE</v>
      </c>
      <c r="B133" s="250" t="str">
        <f>B132</f>
        <v>particles</v>
      </c>
      <c r="C133" s="250">
        <f t="shared" si="4"/>
        <v>6</v>
      </c>
      <c r="D133" s="250" t="str">
        <f>D132</f>
        <v>0,1-1</v>
      </c>
      <c r="E133" s="250">
        <f>E132</f>
        <v>1</v>
      </c>
      <c r="F133" s="250" t="str">
        <f>F132</f>
        <v>soil</v>
      </c>
      <c r="G133" s="251" t="str">
        <f t="shared" ref="G133:G184" si="79">CONCATENATE(A133," ",B133," ",D133," mm (emission to ",F133,")")</f>
        <v>PE particles 0,1-1 mm (emission to soil)</v>
      </c>
      <c r="H133" s="251" t="str">
        <f>H132</f>
        <v>Verarbeitung von Bauschutt; Straßenmarkierungen</v>
      </c>
      <c r="I133" s="240">
        <v>0</v>
      </c>
      <c r="J133" s="247" t="s">
        <v>1034</v>
      </c>
      <c r="K133" s="252" t="s">
        <v>596</v>
      </c>
      <c r="L133" s="243">
        <f t="shared" si="3"/>
        <v>0</v>
      </c>
      <c r="M133" s="257">
        <f t="shared" ref="M133:M137" si="80">IF(L133/1000&gt;1000,1000,L133/1000)</f>
        <v>0</v>
      </c>
      <c r="N133" s="621"/>
    </row>
    <row r="134" spans="1:14" s="102" customFormat="1" ht="26.25" customHeight="1">
      <c r="A134" s="260" t="s">
        <v>77</v>
      </c>
      <c r="B134" s="261" t="s">
        <v>1025</v>
      </c>
      <c r="C134" s="262">
        <f t="shared" si="4"/>
        <v>6</v>
      </c>
      <c r="D134" s="262" t="s">
        <v>1028</v>
      </c>
      <c r="E134" s="237">
        <v>1</v>
      </c>
      <c r="F134" s="263" t="s">
        <v>1020</v>
      </c>
      <c r="G134" s="264" t="str">
        <f t="shared" si="79"/>
        <v>PE particles 0,1-1 mm (emission to water)</v>
      </c>
      <c r="H134" s="266" t="s">
        <v>1039</v>
      </c>
      <c r="I134" s="267">
        <v>0</v>
      </c>
      <c r="J134" s="247" t="s">
        <v>1019</v>
      </c>
      <c r="K134" s="248">
        <f>K6</f>
        <v>0.39304324511714689</v>
      </c>
      <c r="L134" s="243">
        <f t="shared" si="3"/>
        <v>318.03116209958944</v>
      </c>
      <c r="M134" s="257">
        <f t="shared" si="80"/>
        <v>0.31803116209958943</v>
      </c>
      <c r="N134" s="624">
        <f>I134*M134+I135*M135+I136*M136</f>
        <v>1</v>
      </c>
    </row>
    <row r="135" spans="1:14" s="102" customFormat="1" ht="15" customHeight="1">
      <c r="A135" s="244" t="str">
        <f>A134</f>
        <v>PE</v>
      </c>
      <c r="B135" s="245" t="str">
        <f>B134</f>
        <v>particles</v>
      </c>
      <c r="C135" s="245">
        <f t="shared" si="4"/>
        <v>6</v>
      </c>
      <c r="D135" s="245" t="str">
        <f t="shared" ref="D135:F136" si="81">D134</f>
        <v>0,1-1</v>
      </c>
      <c r="E135" s="245">
        <f t="shared" si="81"/>
        <v>1</v>
      </c>
      <c r="F135" s="245" t="str">
        <f t="shared" si="81"/>
        <v>water</v>
      </c>
      <c r="G135" s="246" t="str">
        <f t="shared" si="79"/>
        <v>PE particles 0,1-1 mm (emission to water)</v>
      </c>
      <c r="H135" s="246" t="str">
        <f>H134</f>
        <v>Verarbeitung von Bauschutt; Straßenmarkierungen</v>
      </c>
      <c r="I135" s="240">
        <v>1</v>
      </c>
      <c r="J135" s="247" t="s">
        <v>1097</v>
      </c>
      <c r="K135" s="248">
        <f>K7</f>
        <v>0</v>
      </c>
      <c r="L135" s="243">
        <f t="shared" si="3"/>
        <v>1000</v>
      </c>
      <c r="M135" s="257">
        <f t="shared" si="80"/>
        <v>1</v>
      </c>
      <c r="N135" s="621"/>
    </row>
    <row r="136" spans="1:14" s="102" customFormat="1" ht="15" customHeight="1">
      <c r="A136" s="244" t="str">
        <f>A135</f>
        <v>PE</v>
      </c>
      <c r="B136" s="245" t="str">
        <f>B135</f>
        <v>particles</v>
      </c>
      <c r="C136" s="245">
        <f t="shared" ref="C136" si="82">IF(OR(B136="Folie", B136="Strips", B136="Film",B136="Flakes",B136="Coupon"), 2,IF(OR(B136="Fibers",B136="Pellets"),4,IF(OR(B136="Particles",B136="Shreds",B136="Powder",B136="Fragments",B136="Granules"),6,"")))</f>
        <v>6</v>
      </c>
      <c r="D136" s="245" t="str">
        <f t="shared" si="81"/>
        <v>0,1-1</v>
      </c>
      <c r="E136" s="245">
        <f t="shared" si="81"/>
        <v>1</v>
      </c>
      <c r="F136" s="245" t="str">
        <f t="shared" si="81"/>
        <v>water</v>
      </c>
      <c r="G136" s="246" t="str">
        <f t="shared" ref="G136" si="83">CONCATENATE(A136," ",B136," ",D136," mm (emission to ",F136,")")</f>
        <v>PE particles 0,1-1 mm (emission to water)</v>
      </c>
      <c r="H136" s="246" t="str">
        <f>H135</f>
        <v>Verarbeitung von Bauschutt; Straßenmarkierungen</v>
      </c>
      <c r="I136" s="240">
        <v>0</v>
      </c>
      <c r="J136" s="247" t="s">
        <v>1096</v>
      </c>
      <c r="K136" s="248">
        <f>K9</f>
        <v>0</v>
      </c>
      <c r="L136" s="243">
        <f t="shared" si="3"/>
        <v>1000</v>
      </c>
      <c r="M136" s="257"/>
      <c r="N136" s="621"/>
    </row>
    <row r="137" spans="1:14" s="102" customFormat="1" ht="15" customHeight="1" thickBot="1">
      <c r="A137" s="249" t="str">
        <f>A135</f>
        <v>PE</v>
      </c>
      <c r="B137" s="250" t="str">
        <f>B135</f>
        <v>particles</v>
      </c>
      <c r="C137" s="250">
        <f t="shared" si="4"/>
        <v>6</v>
      </c>
      <c r="D137" s="250" t="str">
        <f>D135</f>
        <v>0,1-1</v>
      </c>
      <c r="E137" s="250">
        <f>E135</f>
        <v>1</v>
      </c>
      <c r="F137" s="250" t="str">
        <f>F135</f>
        <v>water</v>
      </c>
      <c r="G137" s="251" t="str">
        <f t="shared" si="79"/>
        <v>PE particles 0,1-1 mm (emission to water)</v>
      </c>
      <c r="H137" s="251" t="str">
        <f>H135</f>
        <v>Verarbeitung von Bauschutt; Straßenmarkierungen</v>
      </c>
      <c r="I137" s="240">
        <v>0</v>
      </c>
      <c r="J137" s="247" t="s">
        <v>1034</v>
      </c>
      <c r="K137" s="252" t="s">
        <v>596</v>
      </c>
      <c r="L137" s="243">
        <f t="shared" si="3"/>
        <v>0</v>
      </c>
      <c r="M137" s="257">
        <f t="shared" si="80"/>
        <v>0</v>
      </c>
      <c r="N137" s="622"/>
    </row>
    <row r="138" spans="1:14" s="102" customFormat="1" ht="15" customHeight="1">
      <c r="A138" s="174" t="s">
        <v>77</v>
      </c>
      <c r="B138" s="288" t="s">
        <v>1025</v>
      </c>
      <c r="C138" s="290">
        <f t="shared" ref="C138:C140" si="84">IF(OR(B138="Folie", B138="Strips", B138="Film",B138="Flakes",B138="Coupon"), 2,IF(OR(B138="Fibers",B138="Pellets"),4,IF(OR(B138="Particles",B138="Shreds",B138="Powder",B138="Fragments",B138="Granules"),6,"")))</f>
        <v>6</v>
      </c>
      <c r="D138" s="290" t="s">
        <v>1028</v>
      </c>
      <c r="E138" s="290">
        <v>1</v>
      </c>
      <c r="F138" s="206" t="s">
        <v>1057</v>
      </c>
      <c r="G138" s="144" t="str">
        <f t="shared" si="79"/>
        <v>PE particles 0,1-1 mm (emission to air)</v>
      </c>
      <c r="H138" s="133" t="s">
        <v>1039</v>
      </c>
      <c r="I138" s="137">
        <v>0.97699999999999998</v>
      </c>
      <c r="J138" s="225" t="s">
        <v>1019</v>
      </c>
      <c r="K138" s="114">
        <f>K6</f>
        <v>0.39304324511714689</v>
      </c>
      <c r="L138" s="226">
        <f t="shared" ref="L138:L140" si="85">IFERROR(IF(K138="--",0,IF(E138*1000/K138*(1-0.5)^(C138/2)&gt;1000,1000,E138*1000/K138*(1-0.5)^(C138/2))),1000)</f>
        <v>318.03116209958944</v>
      </c>
      <c r="M138" s="220">
        <f>IF(L138/1000&gt;1000,1000,L138/1000)</f>
        <v>0.31803116209958943</v>
      </c>
      <c r="N138" s="623">
        <f>I138*M138+I139*M139</f>
        <v>0.33371644537129891</v>
      </c>
    </row>
    <row r="139" spans="1:14" s="102" customFormat="1" ht="15" customHeight="1">
      <c r="A139" s="172" t="str">
        <f>A138</f>
        <v>PE</v>
      </c>
      <c r="B139" s="149" t="str">
        <f>B138</f>
        <v>particles</v>
      </c>
      <c r="C139" s="149">
        <f t="shared" si="84"/>
        <v>6</v>
      </c>
      <c r="D139" s="149" t="str">
        <f t="shared" ref="D139:F139" si="86">D138</f>
        <v>0,1-1</v>
      </c>
      <c r="E139" s="149">
        <f t="shared" si="86"/>
        <v>1</v>
      </c>
      <c r="F139" s="149" t="str">
        <f t="shared" si="86"/>
        <v>air</v>
      </c>
      <c r="G139" s="146" t="str">
        <f t="shared" si="79"/>
        <v>PE particles 0,1-1 mm (emission to air)</v>
      </c>
      <c r="H139" s="146" t="str">
        <f>H138</f>
        <v>Verarbeitung von Bauschutt; Straßenmarkierungen</v>
      </c>
      <c r="I139" s="129">
        <v>2.3E-2</v>
      </c>
      <c r="J139" s="225" t="s">
        <v>1097</v>
      </c>
      <c r="K139" s="114">
        <f>K7</f>
        <v>0</v>
      </c>
      <c r="L139" s="226">
        <f t="shared" si="85"/>
        <v>1000</v>
      </c>
      <c r="M139" s="220">
        <f>IF(L139/1000&gt;1000,1000,L139/1000)</f>
        <v>1</v>
      </c>
      <c r="N139" s="612"/>
    </row>
    <row r="140" spans="1:14" s="102" customFormat="1" ht="15" customHeight="1" thickBot="1">
      <c r="A140" s="173" t="str">
        <f>A139</f>
        <v>PE</v>
      </c>
      <c r="B140" s="150" t="str">
        <f>B139</f>
        <v>particles</v>
      </c>
      <c r="C140" s="150">
        <f t="shared" si="84"/>
        <v>6</v>
      </c>
      <c r="D140" s="150" t="str">
        <f>D139</f>
        <v>0,1-1</v>
      </c>
      <c r="E140" s="150">
        <f>E139</f>
        <v>1</v>
      </c>
      <c r="F140" s="150" t="str">
        <f>F139</f>
        <v>air</v>
      </c>
      <c r="G140" s="147" t="str">
        <f t="shared" ref="G140" si="87">CONCATENATE(A140," ",B140," ",D140," mm (emission to ",F140,")")</f>
        <v>PE particles 0,1-1 mm (emission to air)</v>
      </c>
      <c r="H140" s="147" t="str">
        <f>H139</f>
        <v>Verarbeitung von Bauschutt; Straßenmarkierungen</v>
      </c>
      <c r="I140" s="129">
        <v>0</v>
      </c>
      <c r="J140" s="225" t="s">
        <v>1034</v>
      </c>
      <c r="K140" s="151" t="s">
        <v>596</v>
      </c>
      <c r="L140" s="226">
        <f t="shared" si="85"/>
        <v>0</v>
      </c>
      <c r="M140" s="220">
        <f t="shared" ref="M140" si="88">IF(L140/1000&gt;1000,1000,L140/1000)</f>
        <v>0</v>
      </c>
      <c r="N140" s="612"/>
    </row>
    <row r="141" spans="1:14" s="102" customFormat="1" ht="24.75" customHeight="1">
      <c r="A141" s="176" t="s">
        <v>77</v>
      </c>
      <c r="B141" s="139" t="s">
        <v>1025</v>
      </c>
      <c r="C141" s="141">
        <f t="shared" si="4"/>
        <v>6</v>
      </c>
      <c r="D141" s="141" t="s">
        <v>1026</v>
      </c>
      <c r="E141" s="155">
        <v>10</v>
      </c>
      <c r="F141" s="131" t="s">
        <v>1019</v>
      </c>
      <c r="G141" s="134" t="str">
        <f t="shared" si="79"/>
        <v>PE particles 1-10 mm (emission to soil)</v>
      </c>
      <c r="H141" s="133" t="s">
        <v>1037</v>
      </c>
      <c r="I141" s="129">
        <v>1</v>
      </c>
      <c r="J141" s="101" t="s">
        <v>1019</v>
      </c>
      <c r="K141" s="114">
        <f>K6</f>
        <v>0.39304324511714689</v>
      </c>
      <c r="L141" s="226">
        <f t="shared" si="3"/>
        <v>1000</v>
      </c>
      <c r="M141" s="220">
        <f>IF(L141/1000&gt;1000,1000,L141/1000)</f>
        <v>1</v>
      </c>
      <c r="N141" s="623">
        <f>I141*M141+I142*M142</f>
        <v>1</v>
      </c>
    </row>
    <row r="142" spans="1:14" s="102" customFormat="1" ht="12.75" customHeight="1">
      <c r="A142" s="172" t="str">
        <f>A141</f>
        <v>PE</v>
      </c>
      <c r="B142" s="149" t="str">
        <f>B141</f>
        <v>particles</v>
      </c>
      <c r="C142" s="149">
        <f t="shared" ref="C142:C143" si="89">IF(OR(B142="Folie", B142="Strips", B142="Film",B142="Flakes",B142="Coupon"), 2,IF(OR(B142="Fibers",B142="Pellets"),4,IF(OR(B142="Particles",B142="Shreds",B142="Powder",B142="Fragments",B142="Granules"),6,"")))</f>
        <v>6</v>
      </c>
      <c r="D142" s="149" t="str">
        <f t="shared" ref="D142:F142" si="90">D141</f>
        <v>1-10</v>
      </c>
      <c r="E142" s="149">
        <f t="shared" si="90"/>
        <v>10</v>
      </c>
      <c r="F142" s="149" t="str">
        <f t="shared" si="90"/>
        <v>soil</v>
      </c>
      <c r="G142" s="146" t="str">
        <f t="shared" ref="G142:G143" si="91">CONCATENATE(A142," ",B142," ",D142," mm (emission to ",F142,")")</f>
        <v>PE particles 1-10 mm (emission to soil)</v>
      </c>
      <c r="H142" s="146" t="str">
        <f>H141</f>
        <v>Ausbringung von Kompost und Gärresten; Metallzerkleinerung</v>
      </c>
      <c r="I142" s="129">
        <v>0</v>
      </c>
      <c r="J142" s="225" t="s">
        <v>1096</v>
      </c>
      <c r="K142" s="114">
        <f>K9</f>
        <v>0</v>
      </c>
      <c r="L142" s="226">
        <f t="shared" si="3"/>
        <v>1000</v>
      </c>
      <c r="M142" s="220">
        <f t="shared" ref="M142:M150" si="92">IF(L142/1000&gt;1000,1000,L142/1000)</f>
        <v>1</v>
      </c>
      <c r="N142" s="612"/>
    </row>
    <row r="143" spans="1:14" s="102" customFormat="1" ht="12.75" customHeight="1">
      <c r="A143" s="173" t="str">
        <f>A142</f>
        <v>PE</v>
      </c>
      <c r="B143" s="150" t="str">
        <f>B142</f>
        <v>particles</v>
      </c>
      <c r="C143" s="150">
        <f t="shared" si="89"/>
        <v>6</v>
      </c>
      <c r="D143" s="150" t="str">
        <f>D142</f>
        <v>1-10</v>
      </c>
      <c r="E143" s="150">
        <f>E142</f>
        <v>10</v>
      </c>
      <c r="F143" s="150" t="str">
        <f>F142</f>
        <v>soil</v>
      </c>
      <c r="G143" s="147" t="str">
        <f t="shared" si="91"/>
        <v>PE particles 1-10 mm (emission to soil)</v>
      </c>
      <c r="H143" s="147" t="str">
        <f>H142</f>
        <v>Ausbringung von Kompost und Gärresten; Metallzerkleinerung</v>
      </c>
      <c r="I143" s="129">
        <v>0</v>
      </c>
      <c r="J143" s="101" t="s">
        <v>1034</v>
      </c>
      <c r="K143" s="151" t="s">
        <v>596</v>
      </c>
      <c r="L143" s="226">
        <f t="shared" si="3"/>
        <v>0</v>
      </c>
      <c r="M143" s="220">
        <f t="shared" si="92"/>
        <v>0</v>
      </c>
      <c r="N143" s="612"/>
    </row>
    <row r="144" spans="1:14" s="102" customFormat="1" ht="12.75" customHeight="1">
      <c r="A144" s="176" t="s">
        <v>77</v>
      </c>
      <c r="B144" s="139" t="s">
        <v>1025</v>
      </c>
      <c r="C144" s="141">
        <f t="shared" si="4"/>
        <v>6</v>
      </c>
      <c r="D144" s="141" t="s">
        <v>1026</v>
      </c>
      <c r="E144" s="214">
        <v>10</v>
      </c>
      <c r="F144" s="131" t="s">
        <v>1020</v>
      </c>
      <c r="G144" s="134" t="str">
        <f t="shared" si="79"/>
        <v>PE particles 1-10 mm (emission to water)</v>
      </c>
      <c r="H144" s="133" t="s">
        <v>1038</v>
      </c>
      <c r="I144" s="137">
        <v>0</v>
      </c>
      <c r="J144" s="101" t="s">
        <v>1019</v>
      </c>
      <c r="K144" s="114">
        <f>K6</f>
        <v>0.39304324511714689</v>
      </c>
      <c r="L144" s="226">
        <f t="shared" si="3"/>
        <v>1000</v>
      </c>
      <c r="M144" s="220">
        <f t="shared" si="92"/>
        <v>1</v>
      </c>
      <c r="N144" s="611">
        <f>I144*M144+I145*M145+I146*M146</f>
        <v>1</v>
      </c>
    </row>
    <row r="145" spans="1:14" s="102" customFormat="1" ht="15" customHeight="1">
      <c r="A145" s="172" t="str">
        <f>A144</f>
        <v>PE</v>
      </c>
      <c r="B145" s="149" t="str">
        <f>B144</f>
        <v>particles</v>
      </c>
      <c r="C145" s="149">
        <f t="shared" si="4"/>
        <v>6</v>
      </c>
      <c r="D145" s="149" t="str">
        <f t="shared" ref="D145:F146" si="93">D144</f>
        <v>1-10</v>
      </c>
      <c r="E145" s="149">
        <f t="shared" si="93"/>
        <v>10</v>
      </c>
      <c r="F145" s="149" t="str">
        <f t="shared" si="93"/>
        <v>water</v>
      </c>
      <c r="G145" s="146" t="str">
        <f t="shared" si="79"/>
        <v>PE particles 1-10 mm (emission to water)</v>
      </c>
      <c r="H145" s="146" t="str">
        <f>H144</f>
        <v>Metallzerkleinerung</v>
      </c>
      <c r="I145" s="129">
        <v>1</v>
      </c>
      <c r="J145" s="101" t="s">
        <v>1097</v>
      </c>
      <c r="K145" s="114">
        <f>K7</f>
        <v>0</v>
      </c>
      <c r="L145" s="226">
        <f t="shared" si="3"/>
        <v>1000</v>
      </c>
      <c r="M145" s="220">
        <f t="shared" si="92"/>
        <v>1</v>
      </c>
      <c r="N145" s="612"/>
    </row>
    <row r="146" spans="1:14" s="102" customFormat="1" ht="15" customHeight="1">
      <c r="A146" s="172" t="str">
        <f>A145</f>
        <v>PE</v>
      </c>
      <c r="B146" s="149" t="str">
        <f>B145</f>
        <v>particles</v>
      </c>
      <c r="C146" s="149">
        <f t="shared" ref="C146" si="94">IF(OR(B146="Folie", B146="Strips", B146="Film",B146="Flakes",B146="Coupon"), 2,IF(OR(B146="Fibers",B146="Pellets"),4,IF(OR(B146="Particles",B146="Shreds",B146="Powder",B146="Fragments",B146="Granules"),6,"")))</f>
        <v>6</v>
      </c>
      <c r="D146" s="149" t="str">
        <f t="shared" si="93"/>
        <v>1-10</v>
      </c>
      <c r="E146" s="149">
        <f t="shared" si="93"/>
        <v>10</v>
      </c>
      <c r="F146" s="149" t="str">
        <f t="shared" si="93"/>
        <v>water</v>
      </c>
      <c r="G146" s="146" t="str">
        <f t="shared" ref="G146" si="95">CONCATENATE(A146," ",B146," ",D146," mm (emission to ",F146,")")</f>
        <v>PE particles 1-10 mm (emission to water)</v>
      </c>
      <c r="H146" s="146" t="str">
        <f>H145</f>
        <v>Metallzerkleinerung</v>
      </c>
      <c r="I146" s="129">
        <v>0</v>
      </c>
      <c r="J146" s="101" t="s">
        <v>1096</v>
      </c>
      <c r="K146" s="160">
        <f>K9</f>
        <v>0</v>
      </c>
      <c r="L146" s="226">
        <f t="shared" si="3"/>
        <v>1000</v>
      </c>
      <c r="M146" s="220">
        <f t="shared" si="92"/>
        <v>1</v>
      </c>
      <c r="N146" s="612"/>
    </row>
    <row r="147" spans="1:14" s="102" customFormat="1" ht="15" customHeight="1" thickBot="1">
      <c r="A147" s="173" t="str">
        <f>A145</f>
        <v>PE</v>
      </c>
      <c r="B147" s="150" t="str">
        <f>B145</f>
        <v>particles</v>
      </c>
      <c r="C147" s="150">
        <f t="shared" si="4"/>
        <v>6</v>
      </c>
      <c r="D147" s="150" t="str">
        <f>D145</f>
        <v>1-10</v>
      </c>
      <c r="E147" s="150">
        <f>E145</f>
        <v>10</v>
      </c>
      <c r="F147" s="150" t="str">
        <f>F145</f>
        <v>water</v>
      </c>
      <c r="G147" s="147" t="str">
        <f t="shared" si="79"/>
        <v>PE particles 1-10 mm (emission to water)</v>
      </c>
      <c r="H147" s="147" t="str">
        <f>H145</f>
        <v>Metallzerkleinerung</v>
      </c>
      <c r="I147" s="129">
        <v>0</v>
      </c>
      <c r="J147" s="101" t="s">
        <v>1034</v>
      </c>
      <c r="K147" s="114" t="s">
        <v>596</v>
      </c>
      <c r="L147" s="226">
        <f t="shared" si="3"/>
        <v>0</v>
      </c>
      <c r="M147" s="220">
        <f t="shared" si="92"/>
        <v>0</v>
      </c>
      <c r="N147" s="613"/>
    </row>
    <row r="148" spans="1:14" s="102" customFormat="1" ht="15" customHeight="1">
      <c r="A148" s="176" t="s">
        <v>77</v>
      </c>
      <c r="B148" s="288" t="s">
        <v>1025</v>
      </c>
      <c r="C148" s="290">
        <f t="shared" ref="C148:C150" si="96">IF(OR(B148="Folie", B148="Strips", B148="Film",B148="Flakes",B148="Coupon"), 2,IF(OR(B148="Fibers",B148="Pellets"),4,IF(OR(B148="Particles",B148="Shreds",B148="Powder",B148="Fragments",B148="Granules"),6,"")))</f>
        <v>6</v>
      </c>
      <c r="D148" s="290" t="s">
        <v>1026</v>
      </c>
      <c r="E148" s="155">
        <v>10</v>
      </c>
      <c r="F148" s="131" t="s">
        <v>1057</v>
      </c>
      <c r="G148" s="134" t="str">
        <f t="shared" ref="G148:G150" si="97">CONCATENATE(A148," ",B148," ",D148," mm (emission to ",F148,")")</f>
        <v>PE particles 1-10 mm (emission to air)</v>
      </c>
      <c r="H148" s="133" t="s">
        <v>1038</v>
      </c>
      <c r="I148" s="137">
        <v>0.97699999999999998</v>
      </c>
      <c r="J148" s="101" t="s">
        <v>1019</v>
      </c>
      <c r="K148" s="114">
        <f>K6</f>
        <v>0.39304324511714689</v>
      </c>
      <c r="L148" s="226">
        <f t="shared" ref="L148:L150" si="98">IFERROR(IF(K148="--",0,IF(E148*1000/K148*(1-0.5)^(C148/2)&gt;1000,1000,E148*1000/K148*(1-0.5)^(C148/2))),1000)</f>
        <v>1000</v>
      </c>
      <c r="M148" s="220">
        <f t="shared" si="92"/>
        <v>1</v>
      </c>
      <c r="N148" s="623">
        <f>I148*M148+I149*M149</f>
        <v>1</v>
      </c>
    </row>
    <row r="149" spans="1:14" s="102" customFormat="1" ht="15" customHeight="1">
      <c r="A149" s="172" t="str">
        <f>A148</f>
        <v>PE</v>
      </c>
      <c r="B149" s="149" t="str">
        <f>B148</f>
        <v>particles</v>
      </c>
      <c r="C149" s="149">
        <f t="shared" si="96"/>
        <v>6</v>
      </c>
      <c r="D149" s="149" t="str">
        <f t="shared" ref="D149:F149" si="99">D148</f>
        <v>1-10</v>
      </c>
      <c r="E149" s="149">
        <f t="shared" si="99"/>
        <v>10</v>
      </c>
      <c r="F149" s="149" t="str">
        <f t="shared" si="99"/>
        <v>air</v>
      </c>
      <c r="G149" s="146" t="str">
        <f t="shared" si="97"/>
        <v>PE particles 1-10 mm (emission to air)</v>
      </c>
      <c r="H149" s="146" t="str">
        <f>H148</f>
        <v>Metallzerkleinerung</v>
      </c>
      <c r="I149" s="129">
        <v>2.3E-2</v>
      </c>
      <c r="J149" s="225" t="s">
        <v>1096</v>
      </c>
      <c r="K149" s="114">
        <f>K7</f>
        <v>0</v>
      </c>
      <c r="L149" s="226">
        <f t="shared" si="98"/>
        <v>1000</v>
      </c>
      <c r="M149" s="220">
        <f t="shared" si="92"/>
        <v>1</v>
      </c>
      <c r="N149" s="612"/>
    </row>
    <row r="150" spans="1:14" s="102" customFormat="1" ht="15" customHeight="1" thickBot="1">
      <c r="A150" s="177" t="str">
        <f>A149</f>
        <v>PE</v>
      </c>
      <c r="B150" s="178" t="str">
        <f>B149</f>
        <v>particles</v>
      </c>
      <c r="C150" s="178">
        <f t="shared" si="96"/>
        <v>6</v>
      </c>
      <c r="D150" s="178" t="str">
        <f>D149</f>
        <v>1-10</v>
      </c>
      <c r="E150" s="178">
        <f>E149</f>
        <v>10</v>
      </c>
      <c r="F150" s="178" t="str">
        <f>F149</f>
        <v>air</v>
      </c>
      <c r="G150" s="179" t="str">
        <f t="shared" si="97"/>
        <v>PE particles 1-10 mm (emission to air)</v>
      </c>
      <c r="H150" s="179" t="str">
        <f>H149</f>
        <v>Metallzerkleinerung</v>
      </c>
      <c r="I150" s="277">
        <v>0</v>
      </c>
      <c r="J150" s="180" t="s">
        <v>1034</v>
      </c>
      <c r="K150" s="278" t="s">
        <v>596</v>
      </c>
      <c r="L150" s="279">
        <f t="shared" si="98"/>
        <v>0</v>
      </c>
      <c r="M150" s="220">
        <f t="shared" si="92"/>
        <v>0</v>
      </c>
      <c r="N150" s="612"/>
    </row>
    <row r="151" spans="1:14" s="102" customFormat="1" ht="27.75" customHeight="1">
      <c r="A151" s="190" t="s">
        <v>165</v>
      </c>
      <c r="B151" s="164" t="s">
        <v>996</v>
      </c>
      <c r="C151" s="165">
        <f t="shared" si="4"/>
        <v>2</v>
      </c>
      <c r="D151" s="165" t="s">
        <v>1028</v>
      </c>
      <c r="E151" s="293">
        <v>1</v>
      </c>
      <c r="F151" s="166" t="s">
        <v>1019</v>
      </c>
      <c r="G151" s="167" t="str">
        <f t="shared" si="79"/>
        <v>PP film 0,1-1 mm (emission to soil)</v>
      </c>
      <c r="H151" s="168" t="s">
        <v>1041</v>
      </c>
      <c r="I151" s="169">
        <v>1</v>
      </c>
      <c r="J151" s="170" t="s">
        <v>1019</v>
      </c>
      <c r="K151" s="171">
        <f>K10</f>
        <v>0.95085092472137211</v>
      </c>
      <c r="L151" s="276">
        <f t="shared" si="3"/>
        <v>525.84478491885045</v>
      </c>
      <c r="M151" s="158">
        <f>IF(L151/1000&gt;1000,1000,L151/1000)</f>
        <v>0.52584478491885045</v>
      </c>
      <c r="N151" s="610">
        <f>I151*M151+I152*M152</f>
        <v>0.52584478491885045</v>
      </c>
    </row>
    <row r="152" spans="1:14" s="102" customFormat="1" ht="15" customHeight="1">
      <c r="A152" s="172" t="str">
        <f t="shared" ref="A152:F152" si="100">A151</f>
        <v>PP</v>
      </c>
      <c r="B152" s="149" t="str">
        <f t="shared" si="100"/>
        <v>film</v>
      </c>
      <c r="C152" s="149">
        <f t="shared" si="4"/>
        <v>2</v>
      </c>
      <c r="D152" s="149" t="str">
        <f t="shared" si="100"/>
        <v>0,1-1</v>
      </c>
      <c r="E152" s="149">
        <f t="shared" si="100"/>
        <v>1</v>
      </c>
      <c r="F152" s="149" t="str">
        <f t="shared" si="100"/>
        <v>soil</v>
      </c>
      <c r="G152" s="146" t="str">
        <f t="shared" si="79"/>
        <v>PP film 0,1-1 mm (emission to soil)</v>
      </c>
      <c r="H152" s="146" t="str">
        <f>H151</f>
        <v>Kunststoffrecycling; Auswaschung aus Deponien</v>
      </c>
      <c r="I152" s="129">
        <v>0</v>
      </c>
      <c r="J152" s="101" t="s">
        <v>1097</v>
      </c>
      <c r="K152" s="114">
        <f>K11</f>
        <v>4.8749999999999618</v>
      </c>
      <c r="L152" s="226">
        <f t="shared" si="3"/>
        <v>102.56410256410337</v>
      </c>
      <c r="M152" s="158">
        <f>IF(L152/1000&gt;1000,1000,L152/1000)</f>
        <v>0.10256410256410337</v>
      </c>
      <c r="N152" s="610"/>
    </row>
    <row r="153" spans="1:14" s="102" customFormat="1" ht="15" customHeight="1">
      <c r="A153" s="173" t="str">
        <f>A152</f>
        <v>PP</v>
      </c>
      <c r="B153" s="150" t="str">
        <f>B152</f>
        <v>film</v>
      </c>
      <c r="C153" s="150">
        <f t="shared" si="4"/>
        <v>2</v>
      </c>
      <c r="D153" s="150" t="str">
        <f>D152</f>
        <v>0,1-1</v>
      </c>
      <c r="E153" s="150">
        <f>E152</f>
        <v>1</v>
      </c>
      <c r="F153" s="150" t="str">
        <f>F152</f>
        <v>soil</v>
      </c>
      <c r="G153" s="147" t="str">
        <f t="shared" si="79"/>
        <v>PP film 0,1-1 mm (emission to soil)</v>
      </c>
      <c r="H153" s="147" t="str">
        <f>H152</f>
        <v>Kunststoffrecycling; Auswaschung aus Deponien</v>
      </c>
      <c r="I153" s="129">
        <v>0</v>
      </c>
      <c r="J153" s="101" t="s">
        <v>1034</v>
      </c>
      <c r="K153" s="151" t="s">
        <v>596</v>
      </c>
      <c r="L153" s="226">
        <f t="shared" si="3"/>
        <v>0</v>
      </c>
      <c r="M153" s="158">
        <f t="shared" ref="M153:M160" si="101">IF(L153/1000&gt;1000,1000,L153/1000)</f>
        <v>0</v>
      </c>
      <c r="N153" s="610"/>
    </row>
    <row r="154" spans="1:14" s="102" customFormat="1" ht="29.25" customHeight="1">
      <c r="A154" s="176" t="s">
        <v>165</v>
      </c>
      <c r="B154" s="139" t="s">
        <v>996</v>
      </c>
      <c r="C154" s="141">
        <f t="shared" si="4"/>
        <v>2</v>
      </c>
      <c r="D154" s="141" t="s">
        <v>1028</v>
      </c>
      <c r="E154" s="155">
        <v>1</v>
      </c>
      <c r="F154" s="131" t="s">
        <v>1020</v>
      </c>
      <c r="G154" s="134" t="str">
        <f t="shared" si="79"/>
        <v>PP film 0,1-1 mm (emission to water)</v>
      </c>
      <c r="H154" s="144" t="s">
        <v>1041</v>
      </c>
      <c r="I154" s="137">
        <v>0</v>
      </c>
      <c r="J154" s="101" t="s">
        <v>1019</v>
      </c>
      <c r="K154" s="114">
        <f>K10</f>
        <v>0.95085092472137211</v>
      </c>
      <c r="L154" s="226">
        <f t="shared" si="3"/>
        <v>525.84478491885045</v>
      </c>
      <c r="M154" s="220">
        <f t="shared" si="101"/>
        <v>0.52584478491885045</v>
      </c>
      <c r="N154" s="611">
        <f>I154*M154+I155*M155+I156*M156</f>
        <v>0.10256410256410337</v>
      </c>
    </row>
    <row r="155" spans="1:14" s="102" customFormat="1" ht="15" customHeight="1">
      <c r="A155" s="172" t="str">
        <f t="shared" ref="A155:F156" si="102">A154</f>
        <v>PP</v>
      </c>
      <c r="B155" s="149" t="str">
        <f t="shared" si="102"/>
        <v>film</v>
      </c>
      <c r="C155" s="149">
        <f t="shared" si="4"/>
        <v>2</v>
      </c>
      <c r="D155" s="149" t="str">
        <f t="shared" si="102"/>
        <v>0,1-1</v>
      </c>
      <c r="E155" s="149">
        <f t="shared" si="102"/>
        <v>1</v>
      </c>
      <c r="F155" s="149" t="str">
        <f t="shared" si="102"/>
        <v>water</v>
      </c>
      <c r="G155" s="146" t="str">
        <f t="shared" si="79"/>
        <v>PP film 0,1-1 mm (emission to water)</v>
      </c>
      <c r="H155" s="146" t="str">
        <f>H154</f>
        <v>Kunststoffrecycling; Auswaschung aus Deponien</v>
      </c>
      <c r="I155" s="129">
        <v>1</v>
      </c>
      <c r="J155" s="101" t="s">
        <v>1097</v>
      </c>
      <c r="K155" s="114">
        <f>K11</f>
        <v>4.8749999999999618</v>
      </c>
      <c r="L155" s="226">
        <f t="shared" si="3"/>
        <v>102.56410256410337</v>
      </c>
      <c r="M155" s="220">
        <f t="shared" si="101"/>
        <v>0.10256410256410337</v>
      </c>
      <c r="N155" s="612"/>
    </row>
    <row r="156" spans="1:14" s="102" customFormat="1" ht="15" customHeight="1">
      <c r="A156" s="172" t="str">
        <f>A155</f>
        <v>PP</v>
      </c>
      <c r="B156" s="149" t="str">
        <f>B155</f>
        <v>film</v>
      </c>
      <c r="C156" s="149">
        <f t="shared" ref="C156" si="103">IF(OR(B156="Folie", B156="Strips", B156="Film",B156="Flakes",B156="Coupon"), 2,IF(OR(B156="Fibers",B156="Pellets"),4,IF(OR(B156="Particles",B156="Shreds",B156="Powder",B156="Fragments",B156="Granules"),6,"")))</f>
        <v>2</v>
      </c>
      <c r="D156" s="149" t="str">
        <f t="shared" si="102"/>
        <v>0,1-1</v>
      </c>
      <c r="E156" s="149">
        <f t="shared" si="102"/>
        <v>1</v>
      </c>
      <c r="F156" s="149" t="str">
        <f t="shared" si="102"/>
        <v>water</v>
      </c>
      <c r="G156" s="146" t="str">
        <f t="shared" si="79"/>
        <v>PP film 0,1-1 mm (emission to water)</v>
      </c>
      <c r="H156" s="146" t="str">
        <f>H155</f>
        <v>Kunststoffrecycling; Auswaschung aus Deponien</v>
      </c>
      <c r="I156" s="129">
        <v>0</v>
      </c>
      <c r="J156" s="101" t="s">
        <v>1096</v>
      </c>
      <c r="K156" s="114">
        <f>K12</f>
        <v>0.95085092472137211</v>
      </c>
      <c r="L156" s="226">
        <f t="shared" si="3"/>
        <v>525.84478491885045</v>
      </c>
      <c r="M156" s="220">
        <f t="shared" si="101"/>
        <v>0.52584478491885045</v>
      </c>
      <c r="N156" s="612"/>
    </row>
    <row r="157" spans="1:14" s="102" customFormat="1" ht="15" customHeight="1">
      <c r="A157" s="173" t="str">
        <f>A155</f>
        <v>PP</v>
      </c>
      <c r="B157" s="150" t="str">
        <f>B155</f>
        <v>film</v>
      </c>
      <c r="C157" s="150">
        <f t="shared" si="4"/>
        <v>2</v>
      </c>
      <c r="D157" s="150" t="str">
        <f>D155</f>
        <v>0,1-1</v>
      </c>
      <c r="E157" s="150">
        <f>E155</f>
        <v>1</v>
      </c>
      <c r="F157" s="150" t="str">
        <f>F155</f>
        <v>water</v>
      </c>
      <c r="G157" s="147" t="str">
        <f t="shared" si="79"/>
        <v>PP film 0,1-1 mm (emission to water)</v>
      </c>
      <c r="H157" s="147" t="str">
        <f>H155</f>
        <v>Kunststoffrecycling; Auswaschung aus Deponien</v>
      </c>
      <c r="I157" s="129">
        <v>0</v>
      </c>
      <c r="J157" s="101" t="s">
        <v>1034</v>
      </c>
      <c r="K157" s="114" t="s">
        <v>596</v>
      </c>
      <c r="L157" s="226">
        <f t="shared" si="3"/>
        <v>0</v>
      </c>
      <c r="M157" s="220">
        <f t="shared" si="101"/>
        <v>0</v>
      </c>
      <c r="N157" s="613"/>
    </row>
    <row r="158" spans="1:14" s="102" customFormat="1" ht="25.5" customHeight="1">
      <c r="A158" s="176" t="s">
        <v>165</v>
      </c>
      <c r="B158" s="288" t="s">
        <v>996</v>
      </c>
      <c r="C158" s="290">
        <f t="shared" ref="C158:C160" si="104">IF(OR(B158="Folie", B158="Strips", B158="Film",B158="Flakes",B158="Coupon"), 2,IF(OR(B158="Fibers",B158="Pellets"),4,IF(OR(B158="Particles",B158="Shreds",B158="Powder",B158="Fragments",B158="Granules"),6,"")))</f>
        <v>2</v>
      </c>
      <c r="D158" s="290" t="s">
        <v>1028</v>
      </c>
      <c r="E158" s="155">
        <v>1</v>
      </c>
      <c r="F158" s="131" t="s">
        <v>1057</v>
      </c>
      <c r="G158" s="134" t="str">
        <f t="shared" ref="G158:G160" si="105">CONCATENATE(A158," ",B158," ",D158," mm (emission to ",F158,")")</f>
        <v>PP film 0,1-1 mm (emission to air)</v>
      </c>
      <c r="H158" s="144" t="s">
        <v>1041</v>
      </c>
      <c r="I158" s="137">
        <v>0.97699999999999998</v>
      </c>
      <c r="J158" s="101" t="s">
        <v>1019</v>
      </c>
      <c r="K158" s="114">
        <f>K10</f>
        <v>0.95085092472137211</v>
      </c>
      <c r="L158" s="226">
        <f t="shared" si="3"/>
        <v>525.84478491885045</v>
      </c>
      <c r="M158" s="220">
        <f t="shared" si="101"/>
        <v>0.52584478491885045</v>
      </c>
      <c r="N158" s="610">
        <f>I158*M158+I159*M159</f>
        <v>0.51610932922469122</v>
      </c>
    </row>
    <row r="159" spans="1:14" s="102" customFormat="1" ht="15" customHeight="1">
      <c r="A159" s="172" t="str">
        <f t="shared" ref="A159:B159" si="106">A158</f>
        <v>PP</v>
      </c>
      <c r="B159" s="149" t="str">
        <f t="shared" si="106"/>
        <v>film</v>
      </c>
      <c r="C159" s="149">
        <f t="shared" si="104"/>
        <v>2</v>
      </c>
      <c r="D159" s="149" t="str">
        <f t="shared" ref="D159:F159" si="107">D158</f>
        <v>0,1-1</v>
      </c>
      <c r="E159" s="149">
        <f t="shared" si="107"/>
        <v>1</v>
      </c>
      <c r="F159" s="149" t="str">
        <f t="shared" si="107"/>
        <v>air</v>
      </c>
      <c r="G159" s="146" t="str">
        <f t="shared" si="105"/>
        <v>PP film 0,1-1 mm (emission to air)</v>
      </c>
      <c r="H159" s="146" t="str">
        <f>H158</f>
        <v>Kunststoffrecycling; Auswaschung aus Deponien</v>
      </c>
      <c r="I159" s="129">
        <v>2.3E-2</v>
      </c>
      <c r="J159" s="225" t="s">
        <v>1096</v>
      </c>
      <c r="K159" s="114">
        <f>K11</f>
        <v>4.8749999999999618</v>
      </c>
      <c r="L159" s="226">
        <f t="shared" si="3"/>
        <v>102.56410256410337</v>
      </c>
      <c r="M159" s="220">
        <f t="shared" si="101"/>
        <v>0.10256410256410337</v>
      </c>
      <c r="N159" s="610"/>
    </row>
    <row r="160" spans="1:14" s="102" customFormat="1" ht="15" customHeight="1">
      <c r="A160" s="172" t="str">
        <f>A159</f>
        <v>PP</v>
      </c>
      <c r="B160" s="149" t="str">
        <f>B159</f>
        <v>film</v>
      </c>
      <c r="C160" s="149">
        <f t="shared" si="104"/>
        <v>2</v>
      </c>
      <c r="D160" s="149" t="str">
        <f t="shared" ref="D160:F160" si="108">D159</f>
        <v>0,1-1</v>
      </c>
      <c r="E160" s="149">
        <f t="shared" si="108"/>
        <v>1</v>
      </c>
      <c r="F160" s="149" t="str">
        <f t="shared" si="108"/>
        <v>air</v>
      </c>
      <c r="G160" s="146" t="str">
        <f t="shared" si="105"/>
        <v>PP film 0,1-1 mm (emission to air)</v>
      </c>
      <c r="H160" s="146" t="str">
        <f>H159</f>
        <v>Kunststoffrecycling; Auswaschung aus Deponien</v>
      </c>
      <c r="I160" s="129">
        <v>0</v>
      </c>
      <c r="J160" s="101" t="s">
        <v>1034</v>
      </c>
      <c r="K160" s="151" t="s">
        <v>596</v>
      </c>
      <c r="L160" s="226">
        <f t="shared" si="3"/>
        <v>0</v>
      </c>
      <c r="M160" s="220">
        <f t="shared" si="101"/>
        <v>0</v>
      </c>
      <c r="N160" s="610"/>
    </row>
    <row r="161" spans="1:14" s="102" customFormat="1" ht="38.25">
      <c r="A161" s="181" t="s">
        <v>165</v>
      </c>
      <c r="B161" s="159" t="s">
        <v>996</v>
      </c>
      <c r="C161" s="141">
        <f t="shared" si="4"/>
        <v>2</v>
      </c>
      <c r="D161" s="141" t="s">
        <v>1026</v>
      </c>
      <c r="E161" s="155">
        <v>10</v>
      </c>
      <c r="F161" s="131" t="s">
        <v>1019</v>
      </c>
      <c r="G161" s="134" t="str">
        <f t="shared" si="79"/>
        <v>PP film 1-10 mm (emission to soil)</v>
      </c>
      <c r="H161" s="157" t="s">
        <v>1044</v>
      </c>
      <c r="I161" s="137">
        <v>1</v>
      </c>
      <c r="J161" s="101" t="s">
        <v>1019</v>
      </c>
      <c r="K161" s="114">
        <f>K10</f>
        <v>0.95085092472137211</v>
      </c>
      <c r="L161" s="226">
        <f t="shared" si="3"/>
        <v>1000</v>
      </c>
      <c r="M161" s="158">
        <f>IF(L161/1000&gt;1000,1000,L161/1000)</f>
        <v>1</v>
      </c>
      <c r="N161" s="610">
        <f>I161*M161+I162*M162</f>
        <v>1</v>
      </c>
    </row>
    <row r="162" spans="1:14" s="102" customFormat="1" ht="15" customHeight="1">
      <c r="A162" s="172" t="str">
        <f>A161</f>
        <v>PP</v>
      </c>
      <c r="B162" s="149" t="str">
        <f>B161</f>
        <v>film</v>
      </c>
      <c r="C162" s="149">
        <f t="shared" si="4"/>
        <v>2</v>
      </c>
      <c r="D162" s="149" t="str">
        <f t="shared" ref="D162:F162" si="109">D161</f>
        <v>1-10</v>
      </c>
      <c r="E162" s="149">
        <f t="shared" si="109"/>
        <v>10</v>
      </c>
      <c r="F162" s="149" t="str">
        <f t="shared" si="109"/>
        <v>soil</v>
      </c>
      <c r="G162" s="146" t="str">
        <f t="shared" si="79"/>
        <v>PP film 1-10 mm (emission to soil)</v>
      </c>
      <c r="H162" s="146" t="str">
        <f>H161</f>
        <v>Fragmentierung bei Abbrucharbeiten; Abrieb von Baukunststoffen; Kunststoffverpackungen</v>
      </c>
      <c r="I162" s="129">
        <v>0</v>
      </c>
      <c r="J162" s="101" t="s">
        <v>1097</v>
      </c>
      <c r="K162" s="114">
        <f>K11</f>
        <v>4.8749999999999618</v>
      </c>
      <c r="L162" s="226">
        <f t="shared" si="3"/>
        <v>1000</v>
      </c>
      <c r="M162" s="158">
        <f>IF(L162/1000&gt;1000,1000,L162/1000)</f>
        <v>1</v>
      </c>
      <c r="N162" s="610"/>
    </row>
    <row r="163" spans="1:14" s="102" customFormat="1" ht="15" customHeight="1">
      <c r="A163" s="173" t="str">
        <f>A162</f>
        <v>PP</v>
      </c>
      <c r="B163" s="150" t="str">
        <f>B162</f>
        <v>film</v>
      </c>
      <c r="C163" s="150">
        <f t="shared" si="4"/>
        <v>2</v>
      </c>
      <c r="D163" s="150" t="str">
        <f>D162</f>
        <v>1-10</v>
      </c>
      <c r="E163" s="150">
        <f>E162</f>
        <v>10</v>
      </c>
      <c r="F163" s="150" t="str">
        <f>F162</f>
        <v>soil</v>
      </c>
      <c r="G163" s="147" t="str">
        <f t="shared" si="79"/>
        <v>PP film 1-10 mm (emission to soil)</v>
      </c>
      <c r="H163" s="147" t="str">
        <f>H162</f>
        <v>Fragmentierung bei Abbrucharbeiten; Abrieb von Baukunststoffen; Kunststoffverpackungen</v>
      </c>
      <c r="I163" s="129">
        <v>0</v>
      </c>
      <c r="J163" s="101" t="s">
        <v>1034</v>
      </c>
      <c r="K163" s="151" t="s">
        <v>596</v>
      </c>
      <c r="L163" s="226">
        <f t="shared" si="3"/>
        <v>0</v>
      </c>
      <c r="M163" s="158">
        <f t="shared" ref="M163" si="110">IF(L163/1000&gt;1000,1000,L163/1000)</f>
        <v>0</v>
      </c>
      <c r="N163" s="610"/>
    </row>
    <row r="164" spans="1:14" s="102" customFormat="1" ht="38.25">
      <c r="A164" s="181" t="s">
        <v>165</v>
      </c>
      <c r="B164" s="159" t="s">
        <v>996</v>
      </c>
      <c r="C164" s="141">
        <f t="shared" si="4"/>
        <v>2</v>
      </c>
      <c r="D164" s="141" t="s">
        <v>1026</v>
      </c>
      <c r="E164" s="214">
        <v>10</v>
      </c>
      <c r="F164" s="131" t="s">
        <v>1020</v>
      </c>
      <c r="G164" s="134" t="str">
        <f t="shared" si="79"/>
        <v>PP film 1-10 mm (emission to water)</v>
      </c>
      <c r="H164" s="157" t="s">
        <v>1044</v>
      </c>
      <c r="I164" s="137">
        <v>0</v>
      </c>
      <c r="J164" s="101" t="s">
        <v>1019</v>
      </c>
      <c r="K164" s="114">
        <f>K10</f>
        <v>0.95085092472137211</v>
      </c>
      <c r="L164" s="226">
        <f t="shared" si="3"/>
        <v>1000</v>
      </c>
      <c r="M164" s="220">
        <f t="shared" ref="M164:M167" si="111">IF(L164/1000&gt;1000,1000,L164/1000)</f>
        <v>1</v>
      </c>
      <c r="N164" s="611">
        <f>I164*M164+I165*M165+I166*M166</f>
        <v>1</v>
      </c>
    </row>
    <row r="165" spans="1:14" s="102" customFormat="1" ht="15" customHeight="1">
      <c r="A165" s="172" t="str">
        <f>A164</f>
        <v>PP</v>
      </c>
      <c r="B165" s="149" t="str">
        <f>B164</f>
        <v>film</v>
      </c>
      <c r="C165" s="149">
        <f t="shared" si="4"/>
        <v>2</v>
      </c>
      <c r="D165" s="149" t="str">
        <f t="shared" ref="D165:F166" si="112">D164</f>
        <v>1-10</v>
      </c>
      <c r="E165" s="149">
        <f t="shared" si="112"/>
        <v>10</v>
      </c>
      <c r="F165" s="149" t="str">
        <f t="shared" si="112"/>
        <v>water</v>
      </c>
      <c r="G165" s="146" t="str">
        <f t="shared" si="79"/>
        <v>PP film 1-10 mm (emission to water)</v>
      </c>
      <c r="H165" s="146" t="str">
        <f>H164</f>
        <v>Fragmentierung bei Abbrucharbeiten; Abrieb von Baukunststoffen; Kunststoffverpackungen</v>
      </c>
      <c r="I165" s="129">
        <v>1</v>
      </c>
      <c r="J165" s="101" t="s">
        <v>1097</v>
      </c>
      <c r="K165" s="114">
        <f>K11</f>
        <v>4.8749999999999618</v>
      </c>
      <c r="L165" s="226">
        <f t="shared" si="3"/>
        <v>1000</v>
      </c>
      <c r="M165" s="220">
        <f t="shared" si="111"/>
        <v>1</v>
      </c>
      <c r="N165" s="612"/>
    </row>
    <row r="166" spans="1:14" s="102" customFormat="1" ht="15" customHeight="1">
      <c r="A166" s="172" t="str">
        <f>A165</f>
        <v>PP</v>
      </c>
      <c r="B166" s="149" t="str">
        <f>B165</f>
        <v>film</v>
      </c>
      <c r="C166" s="149">
        <f t="shared" ref="C166" si="113">IF(OR(B166="Folie", B166="Strips", B166="Film",B166="Flakes",B166="Coupon"), 2,IF(OR(B166="Fibers",B166="Pellets"),4,IF(OR(B166="Particles",B166="Shreds",B166="Powder",B166="Fragments",B166="Granules"),6,"")))</f>
        <v>2</v>
      </c>
      <c r="D166" s="149" t="str">
        <f t="shared" si="112"/>
        <v>1-10</v>
      </c>
      <c r="E166" s="149">
        <f t="shared" si="112"/>
        <v>10</v>
      </c>
      <c r="F166" s="149" t="str">
        <f t="shared" si="112"/>
        <v>water</v>
      </c>
      <c r="G166" s="146" t="str">
        <f t="shared" si="79"/>
        <v>PP film 1-10 mm (emission to water)</v>
      </c>
      <c r="H166" s="146" t="str">
        <f>H165</f>
        <v>Fragmentierung bei Abbrucharbeiten; Abrieb von Baukunststoffen; Kunststoffverpackungen</v>
      </c>
      <c r="I166" s="129">
        <v>0</v>
      </c>
      <c r="J166" s="101" t="s">
        <v>1096</v>
      </c>
      <c r="K166" s="114">
        <f>K12</f>
        <v>0.95085092472137211</v>
      </c>
      <c r="L166" s="226">
        <f t="shared" si="3"/>
        <v>1000</v>
      </c>
      <c r="M166" s="220">
        <f t="shared" si="111"/>
        <v>1</v>
      </c>
      <c r="N166" s="612"/>
    </row>
    <row r="167" spans="1:14" s="102" customFormat="1" ht="15" customHeight="1">
      <c r="A167" s="173" t="str">
        <f>A165</f>
        <v>PP</v>
      </c>
      <c r="B167" s="150" t="str">
        <f>B165</f>
        <v>film</v>
      </c>
      <c r="C167" s="150">
        <f t="shared" si="4"/>
        <v>2</v>
      </c>
      <c r="D167" s="150" t="str">
        <f>D165</f>
        <v>1-10</v>
      </c>
      <c r="E167" s="150">
        <f>E165</f>
        <v>10</v>
      </c>
      <c r="F167" s="150" t="str">
        <f>F165</f>
        <v>water</v>
      </c>
      <c r="G167" s="147" t="str">
        <f t="shared" si="79"/>
        <v>PP film 1-10 mm (emission to water)</v>
      </c>
      <c r="H167" s="147" t="str">
        <f>H165</f>
        <v>Fragmentierung bei Abbrucharbeiten; Abrieb von Baukunststoffen; Kunststoffverpackungen</v>
      </c>
      <c r="I167" s="129">
        <v>0</v>
      </c>
      <c r="J167" s="101" t="s">
        <v>1034</v>
      </c>
      <c r="K167" s="114" t="s">
        <v>596</v>
      </c>
      <c r="L167" s="226">
        <f t="shared" si="3"/>
        <v>0</v>
      </c>
      <c r="M167" s="230">
        <f t="shared" si="111"/>
        <v>0</v>
      </c>
      <c r="N167" s="613"/>
    </row>
    <row r="168" spans="1:14" s="102" customFormat="1" ht="45" customHeight="1">
      <c r="A168" s="181" t="s">
        <v>165</v>
      </c>
      <c r="B168" s="159" t="s">
        <v>996</v>
      </c>
      <c r="C168" s="290">
        <f t="shared" ref="C168:C170" si="114">IF(OR(B168="Folie", B168="Strips", B168="Film",B168="Flakes",B168="Coupon"), 2,IF(OR(B168="Fibers",B168="Pellets"),4,IF(OR(B168="Particles",B168="Shreds",B168="Powder",B168="Fragments",B168="Granules"),6,"")))</f>
        <v>2</v>
      </c>
      <c r="D168" s="290" t="s">
        <v>1026</v>
      </c>
      <c r="E168" s="155">
        <v>10</v>
      </c>
      <c r="F168" s="131" t="s">
        <v>1057</v>
      </c>
      <c r="G168" s="134" t="str">
        <f t="shared" ref="G168:G170" si="115">CONCATENATE(A168," ",B168," ",D168," mm (emission to ",F168,")")</f>
        <v>PP film 1-10 mm (emission to air)</v>
      </c>
      <c r="H168" s="157" t="s">
        <v>1044</v>
      </c>
      <c r="I168" s="137">
        <v>0.97699999999999998</v>
      </c>
      <c r="J168" s="101" t="s">
        <v>1019</v>
      </c>
      <c r="K168" s="114">
        <f>K10</f>
        <v>0.95085092472137211</v>
      </c>
      <c r="L168" s="226">
        <f t="shared" ref="L168:L170" si="116">IFERROR(IF(K168="--",0,IF(E168*1000/K168*(1-0.5)^(C168/2)&gt;1000,1000,E168*1000/K168*(1-0.5)^(C168/2))),1000)</f>
        <v>1000</v>
      </c>
      <c r="M168" s="158">
        <f>IF(L168/1000&gt;1000,1000,L168/1000)</f>
        <v>1</v>
      </c>
      <c r="N168" s="610">
        <f>I168*M168+I169*M169</f>
        <v>1</v>
      </c>
    </row>
    <row r="169" spans="1:14" s="102" customFormat="1" ht="15" customHeight="1">
      <c r="A169" s="172" t="str">
        <f>A168</f>
        <v>PP</v>
      </c>
      <c r="B169" s="149" t="str">
        <f>B168</f>
        <v>film</v>
      </c>
      <c r="C169" s="149">
        <f t="shared" si="114"/>
        <v>2</v>
      </c>
      <c r="D169" s="149" t="str">
        <f t="shared" ref="D169:F169" si="117">D168</f>
        <v>1-10</v>
      </c>
      <c r="E169" s="149">
        <f t="shared" si="117"/>
        <v>10</v>
      </c>
      <c r="F169" s="149" t="str">
        <f t="shared" si="117"/>
        <v>air</v>
      </c>
      <c r="G169" s="146" t="str">
        <f t="shared" si="115"/>
        <v>PP film 1-10 mm (emission to air)</v>
      </c>
      <c r="H169" s="146" t="str">
        <f>H168</f>
        <v>Fragmentierung bei Abbrucharbeiten; Abrieb von Baukunststoffen; Kunststoffverpackungen</v>
      </c>
      <c r="I169" s="129">
        <v>2.3E-2</v>
      </c>
      <c r="J169" s="101" t="s">
        <v>1097</v>
      </c>
      <c r="K169" s="114">
        <f>K11</f>
        <v>4.8749999999999618</v>
      </c>
      <c r="L169" s="226">
        <f t="shared" si="116"/>
        <v>1000</v>
      </c>
      <c r="M169" s="158">
        <f>IF(L169/1000&gt;1000,1000,L169/1000)</f>
        <v>1</v>
      </c>
      <c r="N169" s="610"/>
    </row>
    <row r="170" spans="1:14" s="102" customFormat="1" ht="15" customHeight="1">
      <c r="A170" s="173" t="str">
        <f>A169</f>
        <v>PP</v>
      </c>
      <c r="B170" s="150" t="str">
        <f>B169</f>
        <v>film</v>
      </c>
      <c r="C170" s="150">
        <f t="shared" si="114"/>
        <v>2</v>
      </c>
      <c r="D170" s="150" t="str">
        <f>D169</f>
        <v>1-10</v>
      </c>
      <c r="E170" s="150">
        <f>E169</f>
        <v>10</v>
      </c>
      <c r="F170" s="150" t="str">
        <f>F169</f>
        <v>air</v>
      </c>
      <c r="G170" s="147" t="str">
        <f t="shared" si="115"/>
        <v>PP film 1-10 mm (emission to air)</v>
      </c>
      <c r="H170" s="147" t="str">
        <f>H169</f>
        <v>Fragmentierung bei Abbrucharbeiten; Abrieb von Baukunststoffen; Kunststoffverpackungen</v>
      </c>
      <c r="I170" s="129">
        <v>0</v>
      </c>
      <c r="J170" s="101" t="s">
        <v>1034</v>
      </c>
      <c r="K170" s="151" t="s">
        <v>596</v>
      </c>
      <c r="L170" s="226">
        <f t="shared" si="116"/>
        <v>0</v>
      </c>
      <c r="M170" s="158">
        <f t="shared" ref="M170" si="118">IF(L170/1000&gt;1000,1000,L170/1000)</f>
        <v>0</v>
      </c>
      <c r="N170" s="610"/>
    </row>
    <row r="171" spans="1:14" s="102" customFormat="1">
      <c r="A171" s="174" t="s">
        <v>165</v>
      </c>
      <c r="B171" s="159" t="s">
        <v>1051</v>
      </c>
      <c r="C171" s="188">
        <f t="shared" si="4"/>
        <v>4</v>
      </c>
      <c r="D171" s="188" t="s">
        <v>1028</v>
      </c>
      <c r="E171" s="155">
        <v>1</v>
      </c>
      <c r="F171" s="131" t="s">
        <v>1019</v>
      </c>
      <c r="G171" s="134" t="str">
        <f t="shared" si="79"/>
        <v>PP fibers 0,1-1 mm (emission to soil)</v>
      </c>
      <c r="H171" s="193"/>
      <c r="I171" s="129">
        <v>1</v>
      </c>
      <c r="J171" s="101" t="s">
        <v>1019</v>
      </c>
      <c r="K171" s="114">
        <f>K10</f>
        <v>0.95085092472137211</v>
      </c>
      <c r="L171" s="226">
        <f t="shared" si="3"/>
        <v>262.92239245942523</v>
      </c>
      <c r="M171" s="158">
        <f>IF(L171/1000&gt;1000,1000,L171/1000)</f>
        <v>0.26292239245942522</v>
      </c>
      <c r="N171" s="610">
        <f>I171*M171+I172*M172</f>
        <v>0.26292239245942522</v>
      </c>
    </row>
    <row r="172" spans="1:14" s="102" customFormat="1">
      <c r="A172" s="172" t="str">
        <f>A171</f>
        <v>PP</v>
      </c>
      <c r="B172" s="149" t="str">
        <f>B171</f>
        <v>fibers</v>
      </c>
      <c r="C172" s="149">
        <f t="shared" si="4"/>
        <v>4</v>
      </c>
      <c r="D172" s="149" t="str">
        <f t="shared" ref="D172:F172" si="119">D171</f>
        <v>0,1-1</v>
      </c>
      <c r="E172" s="149">
        <f t="shared" si="119"/>
        <v>1</v>
      </c>
      <c r="F172" s="149" t="str">
        <f t="shared" si="119"/>
        <v>soil</v>
      </c>
      <c r="G172" s="146" t="str">
        <f t="shared" si="79"/>
        <v>PP fibers 0,1-1 mm (emission to soil)</v>
      </c>
      <c r="H172" s="146"/>
      <c r="I172" s="129">
        <v>0</v>
      </c>
      <c r="J172" s="101" t="s">
        <v>1097</v>
      </c>
      <c r="K172" s="114">
        <f>K11</f>
        <v>4.8749999999999618</v>
      </c>
      <c r="L172" s="226">
        <f t="shared" ref="L172:L262" si="120">IFERROR(IF(K172="--",0,IF(E172*1000/K172*(1-0.5)^(C172/2)&gt;1000,1000,E172*1000/K172*(1-0.5)^(C172/2))),1000)</f>
        <v>51.282051282051683</v>
      </c>
      <c r="M172" s="158">
        <f>IF(L172/1000&gt;1000,1000,L172/1000)</f>
        <v>5.1282051282051683E-2</v>
      </c>
      <c r="N172" s="610"/>
    </row>
    <row r="173" spans="1:14" s="102" customFormat="1">
      <c r="A173" s="173" t="str">
        <f>A172</f>
        <v>PP</v>
      </c>
      <c r="B173" s="150" t="str">
        <f>B172</f>
        <v>fibers</v>
      </c>
      <c r="C173" s="150">
        <f t="shared" si="4"/>
        <v>4</v>
      </c>
      <c r="D173" s="150" t="str">
        <f>D172</f>
        <v>0,1-1</v>
      </c>
      <c r="E173" s="150">
        <f>E172</f>
        <v>1</v>
      </c>
      <c r="F173" s="150" t="str">
        <f>F172</f>
        <v>soil</v>
      </c>
      <c r="G173" s="147" t="str">
        <f t="shared" si="79"/>
        <v>PP fibers 0,1-1 mm (emission to soil)</v>
      </c>
      <c r="H173" s="146"/>
      <c r="I173" s="129">
        <v>0</v>
      </c>
      <c r="J173" s="101" t="s">
        <v>1034</v>
      </c>
      <c r="K173" s="151" t="s">
        <v>596</v>
      </c>
      <c r="L173" s="226">
        <f t="shared" si="120"/>
        <v>0</v>
      </c>
      <c r="M173" s="158">
        <f t="shared" ref="M173" si="121">IF(L173/1000&gt;1000,1000,L173/1000)</f>
        <v>0</v>
      </c>
      <c r="N173" s="610"/>
    </row>
    <row r="174" spans="1:14" s="102" customFormat="1">
      <c r="A174" s="174" t="s">
        <v>165</v>
      </c>
      <c r="B174" s="159" t="s">
        <v>1051</v>
      </c>
      <c r="C174" s="188">
        <f t="shared" si="4"/>
        <v>4</v>
      </c>
      <c r="D174" s="188" t="s">
        <v>1028</v>
      </c>
      <c r="E174" s="155">
        <v>1</v>
      </c>
      <c r="F174" s="131" t="s">
        <v>1020</v>
      </c>
      <c r="G174" s="134" t="str">
        <f t="shared" si="79"/>
        <v>PP fibers 0,1-1 mm (emission to water)</v>
      </c>
      <c r="H174" s="192"/>
      <c r="I174" s="137">
        <v>0</v>
      </c>
      <c r="J174" s="101" t="s">
        <v>1019</v>
      </c>
      <c r="K174" s="114">
        <f>K10</f>
        <v>0.95085092472137211</v>
      </c>
      <c r="L174" s="226">
        <f t="shared" si="120"/>
        <v>262.92239245942523</v>
      </c>
      <c r="M174" s="220">
        <f t="shared" ref="M174:M177" si="122">IF(L174/1000&gt;1000,1000,L174/1000)</f>
        <v>0.26292239245942522</v>
      </c>
      <c r="N174" s="611">
        <f>I174*M174+I175*M175+I176*M176</f>
        <v>5.1282051282051683E-2</v>
      </c>
    </row>
    <row r="175" spans="1:14" s="102" customFormat="1">
      <c r="A175" s="172" t="str">
        <f>A174</f>
        <v>PP</v>
      </c>
      <c r="B175" s="149" t="str">
        <f>B174</f>
        <v>fibers</v>
      </c>
      <c r="C175" s="149">
        <f t="shared" si="4"/>
        <v>4</v>
      </c>
      <c r="D175" s="149" t="str">
        <f t="shared" ref="D175:F176" si="123">D174</f>
        <v>0,1-1</v>
      </c>
      <c r="E175" s="149">
        <f t="shared" si="123"/>
        <v>1</v>
      </c>
      <c r="F175" s="149" t="str">
        <f t="shared" si="123"/>
        <v>water</v>
      </c>
      <c r="G175" s="146" t="str">
        <f t="shared" si="79"/>
        <v>PP fibers 0,1-1 mm (emission to water)</v>
      </c>
      <c r="H175" s="146"/>
      <c r="I175" s="129">
        <v>1</v>
      </c>
      <c r="J175" s="101" t="s">
        <v>1097</v>
      </c>
      <c r="K175" s="114">
        <f>K11</f>
        <v>4.8749999999999618</v>
      </c>
      <c r="L175" s="226">
        <f t="shared" si="120"/>
        <v>51.282051282051683</v>
      </c>
      <c r="M175" s="220">
        <f t="shared" si="122"/>
        <v>5.1282051282051683E-2</v>
      </c>
      <c r="N175" s="612"/>
    </row>
    <row r="176" spans="1:14" s="102" customFormat="1">
      <c r="A176" s="172" t="str">
        <f>A175</f>
        <v>PP</v>
      </c>
      <c r="B176" s="149" t="str">
        <f>B175</f>
        <v>fibers</v>
      </c>
      <c r="C176" s="149">
        <f t="shared" ref="C176" si="124">IF(OR(B176="Folie", B176="Strips", B176="Film",B176="Flakes",B176="Coupon"), 2,IF(OR(B176="Fibers",B176="Pellets"),4,IF(OR(B176="Particles",B176="Shreds",B176="Powder",B176="Fragments",B176="Granules"),6,"")))</f>
        <v>4</v>
      </c>
      <c r="D176" s="149" t="str">
        <f t="shared" si="123"/>
        <v>0,1-1</v>
      </c>
      <c r="E176" s="149">
        <f t="shared" si="123"/>
        <v>1</v>
      </c>
      <c r="F176" s="149" t="str">
        <f t="shared" si="123"/>
        <v>water</v>
      </c>
      <c r="G176" s="146" t="str">
        <f t="shared" si="79"/>
        <v>PP fibers 0,1-1 mm (emission to water)</v>
      </c>
      <c r="H176" s="146">
        <f>H175</f>
        <v>0</v>
      </c>
      <c r="I176" s="129">
        <v>0</v>
      </c>
      <c r="J176" s="101" t="s">
        <v>1096</v>
      </c>
      <c r="K176" s="114">
        <f>K12</f>
        <v>0.95085092472137211</v>
      </c>
      <c r="L176" s="226">
        <f t="shared" si="120"/>
        <v>262.92239245942523</v>
      </c>
      <c r="M176" s="220">
        <f t="shared" si="122"/>
        <v>0.26292239245942522</v>
      </c>
      <c r="N176" s="612"/>
    </row>
    <row r="177" spans="1:14" s="102" customFormat="1">
      <c r="A177" s="173" t="str">
        <f>A175</f>
        <v>PP</v>
      </c>
      <c r="B177" s="150" t="str">
        <f>B175</f>
        <v>fibers</v>
      </c>
      <c r="C177" s="150">
        <f t="shared" si="4"/>
        <v>4</v>
      </c>
      <c r="D177" s="150" t="str">
        <f>D175</f>
        <v>0,1-1</v>
      </c>
      <c r="E177" s="150">
        <f>E175</f>
        <v>1</v>
      </c>
      <c r="F177" s="150" t="str">
        <f>F175</f>
        <v>water</v>
      </c>
      <c r="G177" s="147" t="str">
        <f t="shared" si="79"/>
        <v>PP fibers 0,1-1 mm (emission to water)</v>
      </c>
      <c r="H177" s="147"/>
      <c r="I177" s="129">
        <v>0</v>
      </c>
      <c r="J177" s="101" t="s">
        <v>1034</v>
      </c>
      <c r="K177" s="151" t="s">
        <v>596</v>
      </c>
      <c r="L177" s="226">
        <f t="shared" si="120"/>
        <v>0</v>
      </c>
      <c r="M177" s="230">
        <f t="shared" si="122"/>
        <v>0</v>
      </c>
      <c r="N177" s="613"/>
    </row>
    <row r="178" spans="1:14" s="102" customFormat="1">
      <c r="A178" s="174" t="s">
        <v>165</v>
      </c>
      <c r="B178" s="159" t="s">
        <v>1051</v>
      </c>
      <c r="C178" s="290">
        <f t="shared" ref="C178:C180" si="125">IF(OR(B178="Folie", B178="Strips", B178="Film",B178="Flakes",B178="Coupon"), 2,IF(OR(B178="Fibers",B178="Pellets"),4,IF(OR(B178="Particles",B178="Shreds",B178="Powder",B178="Fragments",B178="Granules"),6,"")))</f>
        <v>4</v>
      </c>
      <c r="D178" s="290" t="s">
        <v>1028</v>
      </c>
      <c r="E178" s="155">
        <v>1</v>
      </c>
      <c r="F178" s="131" t="s">
        <v>1057</v>
      </c>
      <c r="G178" s="134" t="str">
        <f t="shared" ref="G178:G180" si="126">CONCATENATE(A178," ",B178," ",D178," mm (emission to ",F178,")")</f>
        <v>PP fibers 0,1-1 mm (emission to air)</v>
      </c>
      <c r="H178" s="193"/>
      <c r="I178" s="137">
        <v>0.97699999999999998</v>
      </c>
      <c r="J178" s="101" t="s">
        <v>1019</v>
      </c>
      <c r="K178" s="114">
        <f>K10</f>
        <v>0.95085092472137211</v>
      </c>
      <c r="L178" s="226">
        <f t="shared" si="120"/>
        <v>262.92239245942523</v>
      </c>
      <c r="M178" s="158">
        <f>IF(L178/1000&gt;1000,1000,L178/1000)</f>
        <v>0.26292239245942522</v>
      </c>
      <c r="N178" s="610">
        <f>I178*M178+I179*M179</f>
        <v>0.25805466461234561</v>
      </c>
    </row>
    <row r="179" spans="1:14" s="102" customFormat="1">
      <c r="A179" s="172" t="str">
        <f>A178</f>
        <v>PP</v>
      </c>
      <c r="B179" s="149" t="str">
        <f>B178</f>
        <v>fibers</v>
      </c>
      <c r="C179" s="149">
        <f t="shared" si="125"/>
        <v>4</v>
      </c>
      <c r="D179" s="149" t="str">
        <f t="shared" ref="D179:F179" si="127">D178</f>
        <v>0,1-1</v>
      </c>
      <c r="E179" s="149">
        <f t="shared" si="127"/>
        <v>1</v>
      </c>
      <c r="F179" s="149" t="str">
        <f t="shared" si="127"/>
        <v>air</v>
      </c>
      <c r="G179" s="146" t="str">
        <f t="shared" si="126"/>
        <v>PP fibers 0,1-1 mm (emission to air)</v>
      </c>
      <c r="H179" s="146"/>
      <c r="I179" s="129">
        <v>2.3E-2</v>
      </c>
      <c r="J179" s="101" t="s">
        <v>1097</v>
      </c>
      <c r="K179" s="114">
        <f>K11</f>
        <v>4.8749999999999618</v>
      </c>
      <c r="L179" s="226">
        <f t="shared" ref="L179:L180" si="128">IFERROR(IF(K179="--",0,IF(E179*1000/K179*(1-0.5)^(C179/2)&gt;1000,1000,E179*1000/K179*(1-0.5)^(C179/2))),1000)</f>
        <v>51.282051282051683</v>
      </c>
      <c r="M179" s="158">
        <f>IF(L179/1000&gt;1000,1000,L179/1000)</f>
        <v>5.1282051282051683E-2</v>
      </c>
      <c r="N179" s="610"/>
    </row>
    <row r="180" spans="1:14" s="102" customFormat="1">
      <c r="A180" s="173" t="str">
        <f>A179</f>
        <v>PP</v>
      </c>
      <c r="B180" s="150" t="str">
        <f>B179</f>
        <v>fibers</v>
      </c>
      <c r="C180" s="150">
        <f t="shared" si="125"/>
        <v>4</v>
      </c>
      <c r="D180" s="150" t="str">
        <f>D179</f>
        <v>0,1-1</v>
      </c>
      <c r="E180" s="150">
        <f>E179</f>
        <v>1</v>
      </c>
      <c r="F180" s="150" t="str">
        <f>F179</f>
        <v>air</v>
      </c>
      <c r="G180" s="147" t="str">
        <f t="shared" si="126"/>
        <v>PP fibers 0,1-1 mm (emission to air)</v>
      </c>
      <c r="H180" s="146"/>
      <c r="I180" s="129">
        <v>0</v>
      </c>
      <c r="J180" s="101" t="s">
        <v>1034</v>
      </c>
      <c r="K180" s="151" t="s">
        <v>596</v>
      </c>
      <c r="L180" s="226">
        <f t="shared" si="128"/>
        <v>0</v>
      </c>
      <c r="M180" s="158">
        <f t="shared" ref="M180" si="129">IF(L180/1000&gt;1000,1000,L180/1000)</f>
        <v>0</v>
      </c>
      <c r="N180" s="610"/>
    </row>
    <row r="181" spans="1:14" s="102" customFormat="1" ht="25.5" customHeight="1">
      <c r="A181" s="176" t="s">
        <v>165</v>
      </c>
      <c r="B181" s="152" t="s">
        <v>372</v>
      </c>
      <c r="C181" s="140">
        <f t="shared" si="4"/>
        <v>4</v>
      </c>
      <c r="D181" s="153" t="s">
        <v>1026</v>
      </c>
      <c r="E181" s="214">
        <v>10</v>
      </c>
      <c r="F181" s="154" t="s">
        <v>1019</v>
      </c>
      <c r="G181" s="134" t="str">
        <f t="shared" si="79"/>
        <v>PP pellets 1-10 mm (emission to soil)</v>
      </c>
      <c r="H181" s="148" t="s">
        <v>1042</v>
      </c>
      <c r="I181" s="129">
        <v>1</v>
      </c>
      <c r="J181" s="101" t="s">
        <v>1019</v>
      </c>
      <c r="K181" s="114">
        <f>K10</f>
        <v>0.95085092472137211</v>
      </c>
      <c r="L181" s="226">
        <f t="shared" si="120"/>
        <v>1000</v>
      </c>
      <c r="M181" s="158">
        <f>IF(L181/1000&gt;1000,1000,L181/1000)</f>
        <v>1</v>
      </c>
      <c r="N181" s="610">
        <f>I181*M181+I182*M182</f>
        <v>1</v>
      </c>
    </row>
    <row r="182" spans="1:14" s="102" customFormat="1" ht="15" customHeight="1">
      <c r="A182" s="172" t="str">
        <f>A181</f>
        <v>PP</v>
      </c>
      <c r="B182" s="149" t="str">
        <f>B181</f>
        <v>pellets</v>
      </c>
      <c r="C182" s="149">
        <f t="shared" si="4"/>
        <v>4</v>
      </c>
      <c r="D182" s="149" t="str">
        <f t="shared" ref="D182:F182" si="130">D181</f>
        <v>1-10</v>
      </c>
      <c r="E182" s="149">
        <f t="shared" si="130"/>
        <v>10</v>
      </c>
      <c r="F182" s="149" t="str">
        <f t="shared" si="130"/>
        <v>soil</v>
      </c>
      <c r="G182" s="146" t="str">
        <f t="shared" si="79"/>
        <v>PP pellets 1-10 mm (emission to soil)</v>
      </c>
      <c r="H182" s="146" t="str">
        <f>H181</f>
        <v>Freisetzung durch Unfälle mit Pellets; Unsachgemäße Entsorgung von Pellets</v>
      </c>
      <c r="I182" s="129">
        <v>0</v>
      </c>
      <c r="J182" s="101" t="s">
        <v>1097</v>
      </c>
      <c r="K182" s="114">
        <f>K11</f>
        <v>4.8749999999999618</v>
      </c>
      <c r="L182" s="226">
        <f t="shared" si="120"/>
        <v>512.8205128205168</v>
      </c>
      <c r="M182" s="158">
        <f>IF(L182/1000&gt;1000,1000,L182/1000)</f>
        <v>0.51282051282051677</v>
      </c>
      <c r="N182" s="610"/>
    </row>
    <row r="183" spans="1:14" s="102" customFormat="1" ht="15" customHeight="1">
      <c r="A183" s="173" t="str">
        <f>A182</f>
        <v>PP</v>
      </c>
      <c r="B183" s="150" t="str">
        <f>B182</f>
        <v>pellets</v>
      </c>
      <c r="C183" s="150">
        <f t="shared" si="4"/>
        <v>4</v>
      </c>
      <c r="D183" s="150" t="str">
        <f>D182</f>
        <v>1-10</v>
      </c>
      <c r="E183" s="150">
        <f>E182</f>
        <v>10</v>
      </c>
      <c r="F183" s="150" t="str">
        <f>F182</f>
        <v>soil</v>
      </c>
      <c r="G183" s="147" t="str">
        <f t="shared" si="79"/>
        <v>PP pellets 1-10 mm (emission to soil)</v>
      </c>
      <c r="H183" s="147" t="str">
        <f>H182</f>
        <v>Freisetzung durch Unfälle mit Pellets; Unsachgemäße Entsorgung von Pellets</v>
      </c>
      <c r="I183" s="129">
        <v>0</v>
      </c>
      <c r="J183" s="101" t="s">
        <v>1034</v>
      </c>
      <c r="K183" s="151" t="s">
        <v>596</v>
      </c>
      <c r="L183" s="226">
        <f t="shared" si="120"/>
        <v>0</v>
      </c>
      <c r="M183" s="158">
        <f t="shared" ref="M183" si="131">IF(L183/1000&gt;1000,1000,L183/1000)</f>
        <v>0</v>
      </c>
      <c r="N183" s="610"/>
    </row>
    <row r="184" spans="1:14" s="102" customFormat="1" ht="25.5" customHeight="1">
      <c r="A184" s="176" t="s">
        <v>165</v>
      </c>
      <c r="B184" s="155" t="s">
        <v>372</v>
      </c>
      <c r="C184" s="141">
        <f t="shared" si="4"/>
        <v>4</v>
      </c>
      <c r="D184" s="153" t="s">
        <v>1026</v>
      </c>
      <c r="E184" s="214">
        <v>10</v>
      </c>
      <c r="F184" s="154" t="s">
        <v>1020</v>
      </c>
      <c r="G184" s="134" t="str">
        <f t="shared" si="79"/>
        <v>PP pellets 1-10 mm (emission to water)</v>
      </c>
      <c r="H184" s="148" t="s">
        <v>1042</v>
      </c>
      <c r="I184" s="129">
        <v>0</v>
      </c>
      <c r="J184" s="101" t="s">
        <v>1019</v>
      </c>
      <c r="K184" s="114">
        <f>K10</f>
        <v>0.95085092472137211</v>
      </c>
      <c r="L184" s="226">
        <f t="shared" si="120"/>
        <v>1000</v>
      </c>
      <c r="M184" s="220">
        <f t="shared" ref="M184:M187" si="132">IF(L184/1000&gt;1000,1000,L184/1000)</f>
        <v>1</v>
      </c>
      <c r="N184" s="611">
        <f>I184*M184+I185*M185+I186*M186</f>
        <v>0.51282051282051677</v>
      </c>
    </row>
    <row r="185" spans="1:14" s="102" customFormat="1" ht="15" customHeight="1">
      <c r="A185" s="172" t="str">
        <f>A184</f>
        <v>PP</v>
      </c>
      <c r="B185" s="149" t="str">
        <f>B184</f>
        <v>pellets</v>
      </c>
      <c r="C185" s="149">
        <f t="shared" si="4"/>
        <v>4</v>
      </c>
      <c r="D185" s="149" t="str">
        <f t="shared" ref="D185:F186" si="133">D184</f>
        <v>1-10</v>
      </c>
      <c r="E185" s="149">
        <f t="shared" si="133"/>
        <v>10</v>
      </c>
      <c r="F185" s="149" t="str">
        <f t="shared" si="133"/>
        <v>water</v>
      </c>
      <c r="G185" s="146" t="str">
        <f t="shared" ref="G185:G217" si="134">CONCATENATE(A185," ",B185," ",D185," mm (emission to ",F185,")")</f>
        <v>PP pellets 1-10 mm (emission to water)</v>
      </c>
      <c r="H185" s="146" t="str">
        <f>H184</f>
        <v>Freisetzung durch Unfälle mit Pellets; Unsachgemäße Entsorgung von Pellets</v>
      </c>
      <c r="I185" s="129">
        <v>1</v>
      </c>
      <c r="J185" s="101" t="s">
        <v>1097</v>
      </c>
      <c r="K185" s="114">
        <f>K11</f>
        <v>4.8749999999999618</v>
      </c>
      <c r="L185" s="226">
        <f t="shared" si="120"/>
        <v>512.8205128205168</v>
      </c>
      <c r="M185" s="220">
        <f t="shared" si="132"/>
        <v>0.51282051282051677</v>
      </c>
      <c r="N185" s="612"/>
    </row>
    <row r="186" spans="1:14" s="102" customFormat="1" ht="15" customHeight="1">
      <c r="A186" s="172" t="str">
        <f>A185</f>
        <v>PP</v>
      </c>
      <c r="B186" s="149" t="str">
        <f>B185</f>
        <v>pellets</v>
      </c>
      <c r="C186" s="149">
        <f t="shared" ref="C186" si="135">IF(OR(B186="Folie", B186="Strips", B186="Film",B186="Flakes",B186="Coupon"), 2,IF(OR(B186="Fibers",B186="Pellets"),4,IF(OR(B186="Particles",B186="Shreds",B186="Powder",B186="Fragments",B186="Granules"),6,"")))</f>
        <v>4</v>
      </c>
      <c r="D186" s="149" t="str">
        <f t="shared" si="133"/>
        <v>1-10</v>
      </c>
      <c r="E186" s="149">
        <f t="shared" si="133"/>
        <v>10</v>
      </c>
      <c r="F186" s="149" t="str">
        <f t="shared" si="133"/>
        <v>water</v>
      </c>
      <c r="G186" s="146" t="str">
        <f t="shared" si="134"/>
        <v>PP pellets 1-10 mm (emission to water)</v>
      </c>
      <c r="H186" s="146" t="str">
        <f>H185</f>
        <v>Freisetzung durch Unfälle mit Pellets; Unsachgemäße Entsorgung von Pellets</v>
      </c>
      <c r="I186" s="129">
        <v>0</v>
      </c>
      <c r="J186" s="101" t="s">
        <v>1096</v>
      </c>
      <c r="K186" s="114">
        <f>K12</f>
        <v>0.95085092472137211</v>
      </c>
      <c r="L186" s="226">
        <f t="shared" si="120"/>
        <v>1000</v>
      </c>
      <c r="M186" s="220">
        <f t="shared" si="132"/>
        <v>1</v>
      </c>
      <c r="N186" s="612"/>
    </row>
    <row r="187" spans="1:14" s="102" customFormat="1" ht="15" customHeight="1">
      <c r="A187" s="173" t="str">
        <f>A185</f>
        <v>PP</v>
      </c>
      <c r="B187" s="150" t="str">
        <f>B185</f>
        <v>pellets</v>
      </c>
      <c r="C187" s="150">
        <f t="shared" si="4"/>
        <v>4</v>
      </c>
      <c r="D187" s="150" t="str">
        <f>D185</f>
        <v>1-10</v>
      </c>
      <c r="E187" s="150">
        <f>E185</f>
        <v>10</v>
      </c>
      <c r="F187" s="150" t="str">
        <f>F185</f>
        <v>water</v>
      </c>
      <c r="G187" s="147" t="str">
        <f t="shared" si="134"/>
        <v>PP pellets 1-10 mm (emission to water)</v>
      </c>
      <c r="H187" s="147" t="str">
        <f>H185</f>
        <v>Freisetzung durch Unfälle mit Pellets; Unsachgemäße Entsorgung von Pellets</v>
      </c>
      <c r="I187" s="129">
        <v>0</v>
      </c>
      <c r="J187" s="101" t="s">
        <v>1034</v>
      </c>
      <c r="K187" s="151" t="s">
        <v>596</v>
      </c>
      <c r="L187" s="226">
        <f t="shared" si="120"/>
        <v>0</v>
      </c>
      <c r="M187" s="220">
        <f t="shared" si="132"/>
        <v>0</v>
      </c>
      <c r="N187" s="613"/>
    </row>
    <row r="188" spans="1:14" s="102" customFormat="1" ht="25.5" customHeight="1">
      <c r="A188" s="176" t="s">
        <v>165</v>
      </c>
      <c r="B188" s="287" t="s">
        <v>372</v>
      </c>
      <c r="C188" s="140">
        <f t="shared" ref="C188:C190" si="136">IF(OR(B188="Folie", B188="Strips", B188="Film",B188="Flakes",B188="Coupon"), 2,IF(OR(B188="Fibers",B188="Pellets"),4,IF(OR(B188="Particles",B188="Shreds",B188="Powder",B188="Fragments",B188="Granules"),6,"")))</f>
        <v>4</v>
      </c>
      <c r="D188" s="153" t="s">
        <v>1026</v>
      </c>
      <c r="E188" s="288">
        <v>10</v>
      </c>
      <c r="F188" s="154" t="s">
        <v>1057</v>
      </c>
      <c r="G188" s="134" t="str">
        <f t="shared" si="134"/>
        <v>PP pellets 1-10 mm (emission to air)</v>
      </c>
      <c r="H188" s="148" t="s">
        <v>1042</v>
      </c>
      <c r="I188" s="137">
        <v>0.97699999999999998</v>
      </c>
      <c r="J188" s="101" t="s">
        <v>1019</v>
      </c>
      <c r="K188" s="114">
        <f>K10</f>
        <v>0.95085092472137211</v>
      </c>
      <c r="L188" s="226">
        <f t="shared" ref="L188:L190" si="137">IFERROR(IF(K188="--",0,IF(E188*1000/K188*(1-0.5)^(C188/2)&gt;1000,1000,E188*1000/K188*(1-0.5)^(C188/2))),1000)</f>
        <v>1000</v>
      </c>
      <c r="M188" s="158">
        <f>IF(L188/1000&gt;1000,1000,L188/1000)</f>
        <v>1</v>
      </c>
      <c r="N188" s="610">
        <f>I188*M188+I189*M189</f>
        <v>0.98879487179487191</v>
      </c>
    </row>
    <row r="189" spans="1:14" s="102" customFormat="1" ht="15" customHeight="1">
      <c r="A189" s="172" t="str">
        <f>A188</f>
        <v>PP</v>
      </c>
      <c r="B189" s="149" t="str">
        <f>B188</f>
        <v>pellets</v>
      </c>
      <c r="C189" s="149">
        <f t="shared" si="136"/>
        <v>4</v>
      </c>
      <c r="D189" s="149" t="str">
        <f t="shared" ref="D189:F189" si="138">D188</f>
        <v>1-10</v>
      </c>
      <c r="E189" s="149">
        <f t="shared" si="138"/>
        <v>10</v>
      </c>
      <c r="F189" s="149" t="str">
        <f t="shared" si="138"/>
        <v>air</v>
      </c>
      <c r="G189" s="146" t="str">
        <f t="shared" si="134"/>
        <v>PP pellets 1-10 mm (emission to air)</v>
      </c>
      <c r="H189" s="146" t="str">
        <f>H188</f>
        <v>Freisetzung durch Unfälle mit Pellets; Unsachgemäße Entsorgung von Pellets</v>
      </c>
      <c r="I189" s="129">
        <v>2.3E-2</v>
      </c>
      <c r="J189" s="101" t="s">
        <v>1097</v>
      </c>
      <c r="K189" s="114">
        <f>K11</f>
        <v>4.8749999999999618</v>
      </c>
      <c r="L189" s="226">
        <f t="shared" si="137"/>
        <v>512.8205128205168</v>
      </c>
      <c r="M189" s="158">
        <f>IF(L189/1000&gt;1000,1000,L189/1000)</f>
        <v>0.51282051282051677</v>
      </c>
      <c r="N189" s="610"/>
    </row>
    <row r="190" spans="1:14" s="102" customFormat="1" ht="15" customHeight="1">
      <c r="A190" s="173" t="str">
        <f>A189</f>
        <v>PP</v>
      </c>
      <c r="B190" s="150" t="str">
        <f>B189</f>
        <v>pellets</v>
      </c>
      <c r="C190" s="150">
        <f t="shared" si="136"/>
        <v>4</v>
      </c>
      <c r="D190" s="150" t="str">
        <f>D189</f>
        <v>1-10</v>
      </c>
      <c r="E190" s="150">
        <f>E189</f>
        <v>10</v>
      </c>
      <c r="F190" s="150" t="str">
        <f>F189</f>
        <v>air</v>
      </c>
      <c r="G190" s="147" t="str">
        <f t="shared" si="134"/>
        <v>PP pellets 1-10 mm (emission to air)</v>
      </c>
      <c r="H190" s="147" t="str">
        <f>H189</f>
        <v>Freisetzung durch Unfälle mit Pellets; Unsachgemäße Entsorgung von Pellets</v>
      </c>
      <c r="I190" s="129">
        <v>0</v>
      </c>
      <c r="J190" s="101" t="s">
        <v>1034</v>
      </c>
      <c r="K190" s="151" t="s">
        <v>596</v>
      </c>
      <c r="L190" s="226">
        <f t="shared" si="137"/>
        <v>0</v>
      </c>
      <c r="M190" s="158">
        <f t="shared" ref="M190" si="139">IF(L190/1000&gt;1000,1000,L190/1000)</f>
        <v>0</v>
      </c>
      <c r="N190" s="610"/>
    </row>
    <row r="191" spans="1:14" s="102" customFormat="1" ht="15" customHeight="1">
      <c r="A191" s="176" t="s">
        <v>165</v>
      </c>
      <c r="B191" s="183" t="s">
        <v>1025</v>
      </c>
      <c r="C191" s="184">
        <f t="shared" si="4"/>
        <v>6</v>
      </c>
      <c r="D191" s="184" t="s">
        <v>1018</v>
      </c>
      <c r="E191" s="155">
        <v>0.1</v>
      </c>
      <c r="F191" s="131" t="s">
        <v>1019</v>
      </c>
      <c r="G191" s="134" t="str">
        <f t="shared" si="134"/>
        <v>PP particles 0,01-0,1 mm (emission to soil)</v>
      </c>
      <c r="H191" s="133" t="s">
        <v>1055</v>
      </c>
      <c r="I191" s="129">
        <v>1</v>
      </c>
      <c r="J191" s="101" t="s">
        <v>1019</v>
      </c>
      <c r="K191" s="114">
        <f>K10</f>
        <v>0.95085092472137211</v>
      </c>
      <c r="L191" s="226">
        <f t="shared" si="120"/>
        <v>13.146119622971261</v>
      </c>
      <c r="M191" s="158">
        <f>IF(L191/1000&gt;1000,1000,L191/1000)</f>
        <v>1.3146119622971261E-2</v>
      </c>
      <c r="N191" s="610">
        <f>I191*M191+I192*M192</f>
        <v>1.3146119622971261E-2</v>
      </c>
    </row>
    <row r="192" spans="1:14" s="102" customFormat="1" ht="15" customHeight="1">
      <c r="A192" s="172" t="str">
        <f>A191</f>
        <v>PP</v>
      </c>
      <c r="B192" s="149" t="str">
        <f>B191</f>
        <v>particles</v>
      </c>
      <c r="C192" s="149">
        <f t="shared" si="4"/>
        <v>6</v>
      </c>
      <c r="D192" s="149" t="str">
        <f t="shared" ref="D192:F192" si="140">D191</f>
        <v>0,01-0,1</v>
      </c>
      <c r="E192" s="149">
        <f t="shared" si="140"/>
        <v>0.1</v>
      </c>
      <c r="F192" s="149" t="str">
        <f t="shared" si="140"/>
        <v>soil</v>
      </c>
      <c r="G192" s="146" t="str">
        <f t="shared" si="134"/>
        <v>PP particles 0,01-0,1 mm (emission to soil)</v>
      </c>
      <c r="H192" s="146" t="str">
        <f>H191</f>
        <v>Abrieb von Trink- und Abwasserrohren</v>
      </c>
      <c r="I192" s="129">
        <v>0</v>
      </c>
      <c r="J192" s="101" t="s">
        <v>1097</v>
      </c>
      <c r="K192" s="114">
        <f>K11</f>
        <v>4.8749999999999618</v>
      </c>
      <c r="L192" s="226">
        <f t="shared" si="120"/>
        <v>2.5641025641025843</v>
      </c>
      <c r="M192" s="158">
        <f>IF(L192/1000&gt;1000,1000,L192/1000)</f>
        <v>2.5641025641025845E-3</v>
      </c>
      <c r="N192" s="610"/>
    </row>
    <row r="193" spans="1:14" s="102" customFormat="1" ht="15" customHeight="1">
      <c r="A193" s="173" t="str">
        <f>A192</f>
        <v>PP</v>
      </c>
      <c r="B193" s="150" t="str">
        <f>B192</f>
        <v>particles</v>
      </c>
      <c r="C193" s="150">
        <f t="shared" si="4"/>
        <v>6</v>
      </c>
      <c r="D193" s="150" t="str">
        <f>D192</f>
        <v>0,01-0,1</v>
      </c>
      <c r="E193" s="150">
        <f>E192</f>
        <v>0.1</v>
      </c>
      <c r="F193" s="150" t="str">
        <f>F192</f>
        <v>soil</v>
      </c>
      <c r="G193" s="147" t="str">
        <f t="shared" si="134"/>
        <v>PP particles 0,01-0,1 mm (emission to soil)</v>
      </c>
      <c r="H193" s="147" t="str">
        <f>H192</f>
        <v>Abrieb von Trink- und Abwasserrohren</v>
      </c>
      <c r="I193" s="129">
        <v>0</v>
      </c>
      <c r="J193" s="101" t="s">
        <v>1034</v>
      </c>
      <c r="K193" s="151" t="s">
        <v>596</v>
      </c>
      <c r="L193" s="226">
        <f t="shared" si="120"/>
        <v>0</v>
      </c>
      <c r="M193" s="158">
        <f t="shared" ref="M193" si="141">IF(L193/1000&gt;1000,1000,L193/1000)</f>
        <v>0</v>
      </c>
      <c r="N193" s="610"/>
    </row>
    <row r="194" spans="1:14" s="102" customFormat="1" ht="15" customHeight="1">
      <c r="A194" s="260" t="s">
        <v>165</v>
      </c>
      <c r="B194" s="261" t="s">
        <v>1025</v>
      </c>
      <c r="C194" s="262">
        <f t="shared" si="4"/>
        <v>6</v>
      </c>
      <c r="D194" s="262" t="s">
        <v>1018</v>
      </c>
      <c r="E194" s="237">
        <v>0.1</v>
      </c>
      <c r="F194" s="263" t="s">
        <v>1020</v>
      </c>
      <c r="G194" s="264" t="str">
        <f t="shared" si="134"/>
        <v>PP particles 0,01-0,1 mm (emission to water)</v>
      </c>
      <c r="H194" s="266" t="s">
        <v>1055</v>
      </c>
      <c r="I194" s="267">
        <v>0</v>
      </c>
      <c r="J194" s="247" t="s">
        <v>1019</v>
      </c>
      <c r="K194" s="248">
        <f>K10</f>
        <v>0.95085092472137211</v>
      </c>
      <c r="L194" s="243">
        <f t="shared" si="120"/>
        <v>13.146119622971261</v>
      </c>
      <c r="M194" s="257">
        <f t="shared" ref="M194:M197" si="142">IF(L194/1000&gt;1000,1000,L194/1000)</f>
        <v>1.3146119622971261E-2</v>
      </c>
      <c r="N194" s="624">
        <f>I194*M194+I195*M195+I196*M196</f>
        <v>2.5641025641025845E-3</v>
      </c>
    </row>
    <row r="195" spans="1:14" s="102" customFormat="1" ht="15" customHeight="1">
      <c r="A195" s="244" t="str">
        <f>A194</f>
        <v>PP</v>
      </c>
      <c r="B195" s="245" t="str">
        <f>B194</f>
        <v>particles</v>
      </c>
      <c r="C195" s="245">
        <f t="shared" si="4"/>
        <v>6</v>
      </c>
      <c r="D195" s="245" t="str">
        <f t="shared" ref="D195:F196" si="143">D194</f>
        <v>0,01-0,1</v>
      </c>
      <c r="E195" s="245">
        <f t="shared" si="143"/>
        <v>0.1</v>
      </c>
      <c r="F195" s="245" t="str">
        <f t="shared" si="143"/>
        <v>water</v>
      </c>
      <c r="G195" s="246" t="str">
        <f t="shared" si="134"/>
        <v>PP particles 0,01-0,1 mm (emission to water)</v>
      </c>
      <c r="H195" s="246" t="str">
        <f>H194</f>
        <v>Abrieb von Trink- und Abwasserrohren</v>
      </c>
      <c r="I195" s="240">
        <v>1</v>
      </c>
      <c r="J195" s="247" t="s">
        <v>1097</v>
      </c>
      <c r="K195" s="248">
        <f>K11</f>
        <v>4.8749999999999618</v>
      </c>
      <c r="L195" s="243">
        <f t="shared" si="120"/>
        <v>2.5641025641025843</v>
      </c>
      <c r="M195" s="257">
        <f t="shared" si="142"/>
        <v>2.5641025641025845E-3</v>
      </c>
      <c r="N195" s="621"/>
    </row>
    <row r="196" spans="1:14" s="102" customFormat="1" ht="15" customHeight="1">
      <c r="A196" s="244" t="str">
        <f>A195</f>
        <v>PP</v>
      </c>
      <c r="B196" s="245" t="str">
        <f>B195</f>
        <v>particles</v>
      </c>
      <c r="C196" s="245">
        <f t="shared" ref="C196" si="144">IF(OR(B196="Folie", B196="Strips", B196="Film",B196="Flakes",B196="Coupon"), 2,IF(OR(B196="Fibers",B196="Pellets"),4,IF(OR(B196="Particles",B196="Shreds",B196="Powder",B196="Fragments",B196="Granules"),6,"")))</f>
        <v>6</v>
      </c>
      <c r="D196" s="245" t="str">
        <f t="shared" si="143"/>
        <v>0,01-0,1</v>
      </c>
      <c r="E196" s="245">
        <f t="shared" si="143"/>
        <v>0.1</v>
      </c>
      <c r="F196" s="245" t="str">
        <f t="shared" si="143"/>
        <v>water</v>
      </c>
      <c r="G196" s="246" t="str">
        <f t="shared" si="134"/>
        <v>PP particles 0,01-0,1 mm (emission to water)</v>
      </c>
      <c r="H196" s="246" t="str">
        <f>H195</f>
        <v>Abrieb von Trink- und Abwasserrohren</v>
      </c>
      <c r="I196" s="240">
        <v>0</v>
      </c>
      <c r="J196" s="247" t="s">
        <v>1096</v>
      </c>
      <c r="K196" s="248">
        <f>K12</f>
        <v>0.95085092472137211</v>
      </c>
      <c r="L196" s="243">
        <f t="shared" si="120"/>
        <v>13.146119622971261</v>
      </c>
      <c r="M196" s="257">
        <f t="shared" si="142"/>
        <v>1.3146119622971261E-2</v>
      </c>
      <c r="N196" s="621"/>
    </row>
    <row r="197" spans="1:14" s="102" customFormat="1" ht="15" customHeight="1">
      <c r="A197" s="249" t="str">
        <f>A195</f>
        <v>PP</v>
      </c>
      <c r="B197" s="250" t="str">
        <f>B195</f>
        <v>particles</v>
      </c>
      <c r="C197" s="250">
        <f t="shared" si="4"/>
        <v>6</v>
      </c>
      <c r="D197" s="250" t="str">
        <f>D195</f>
        <v>0,01-0,1</v>
      </c>
      <c r="E197" s="250">
        <f>E195</f>
        <v>0.1</v>
      </c>
      <c r="F197" s="250" t="str">
        <f>F195</f>
        <v>water</v>
      </c>
      <c r="G197" s="251" t="str">
        <f t="shared" si="134"/>
        <v>PP particles 0,01-0,1 mm (emission to water)</v>
      </c>
      <c r="H197" s="251" t="str">
        <f>H195</f>
        <v>Abrieb von Trink- und Abwasserrohren</v>
      </c>
      <c r="I197" s="240">
        <v>0</v>
      </c>
      <c r="J197" s="247" t="s">
        <v>1034</v>
      </c>
      <c r="K197" s="252" t="s">
        <v>596</v>
      </c>
      <c r="L197" s="243">
        <f t="shared" si="120"/>
        <v>0</v>
      </c>
      <c r="M197" s="257">
        <f t="shared" si="142"/>
        <v>0</v>
      </c>
      <c r="N197" s="622"/>
    </row>
    <row r="198" spans="1:14" s="191" customFormat="1" ht="15" customHeight="1">
      <c r="A198" s="176" t="s">
        <v>165</v>
      </c>
      <c r="B198" s="288" t="s">
        <v>1025</v>
      </c>
      <c r="C198" s="290">
        <f t="shared" ref="C198:C200" si="145">IF(OR(B198="Folie", B198="Strips", B198="Film",B198="Flakes",B198="Coupon"), 2,IF(OR(B198="Fibers",B198="Pellets"),4,IF(OR(B198="Particles",B198="Shreds",B198="Powder",B198="Fragments",B198="Granules"),6,"")))</f>
        <v>6</v>
      </c>
      <c r="D198" s="290" t="s">
        <v>1018</v>
      </c>
      <c r="E198" s="155">
        <v>0.1</v>
      </c>
      <c r="F198" s="131" t="s">
        <v>1057</v>
      </c>
      <c r="G198" s="134" t="str">
        <f t="shared" ref="G198:G200" si="146">CONCATENATE(A198," ",B198," ",D198," mm (emission to ",F198,")")</f>
        <v>PP particles 0,01-0,1 mm (emission to air)</v>
      </c>
      <c r="H198" s="133" t="s">
        <v>1055</v>
      </c>
      <c r="I198" s="137">
        <v>0.97699999999999998</v>
      </c>
      <c r="J198" s="101" t="s">
        <v>1019</v>
      </c>
      <c r="K198" s="114">
        <f>K10</f>
        <v>0.95085092472137211</v>
      </c>
      <c r="L198" s="226">
        <f t="shared" ref="L198:L200" si="147">IFERROR(IF(K198="--",0,IF(E198*1000/K198*(1-0.5)^(C198/2)&gt;1000,1000,E198*1000/K198*(1-0.5)^(C198/2))),1000)</f>
        <v>13.146119622971261</v>
      </c>
      <c r="M198" s="158">
        <f>IF(L198/1000&gt;1000,1000,L198/1000)</f>
        <v>1.3146119622971261E-2</v>
      </c>
      <c r="N198" s="610">
        <f>I198*M198+I199*M199</f>
        <v>1.290273323061728E-2</v>
      </c>
    </row>
    <row r="199" spans="1:14" s="191" customFormat="1" ht="15" customHeight="1">
      <c r="A199" s="172" t="str">
        <f>A198</f>
        <v>PP</v>
      </c>
      <c r="B199" s="149" t="str">
        <f>B198</f>
        <v>particles</v>
      </c>
      <c r="C199" s="149">
        <f t="shared" si="145"/>
        <v>6</v>
      </c>
      <c r="D199" s="149" t="str">
        <f t="shared" ref="D199:F199" si="148">D198</f>
        <v>0,01-0,1</v>
      </c>
      <c r="E199" s="149">
        <f t="shared" si="148"/>
        <v>0.1</v>
      </c>
      <c r="F199" s="149" t="str">
        <f t="shared" si="148"/>
        <v>air</v>
      </c>
      <c r="G199" s="146" t="str">
        <f t="shared" si="146"/>
        <v>PP particles 0,01-0,1 mm (emission to air)</v>
      </c>
      <c r="H199" s="146" t="str">
        <f>H198</f>
        <v>Abrieb von Trink- und Abwasserrohren</v>
      </c>
      <c r="I199" s="129">
        <v>2.3E-2</v>
      </c>
      <c r="J199" s="101" t="s">
        <v>1097</v>
      </c>
      <c r="K199" s="114">
        <f>K11</f>
        <v>4.8749999999999618</v>
      </c>
      <c r="L199" s="226">
        <f t="shared" si="147"/>
        <v>2.5641025641025843</v>
      </c>
      <c r="M199" s="158">
        <f>IF(L199/1000&gt;1000,1000,L199/1000)</f>
        <v>2.5641025641025845E-3</v>
      </c>
      <c r="N199" s="610"/>
    </row>
    <row r="200" spans="1:14" s="191" customFormat="1" ht="15" customHeight="1">
      <c r="A200" s="173" t="str">
        <f>A199</f>
        <v>PP</v>
      </c>
      <c r="B200" s="150" t="str">
        <f>B199</f>
        <v>particles</v>
      </c>
      <c r="C200" s="150">
        <f t="shared" si="145"/>
        <v>6</v>
      </c>
      <c r="D200" s="150" t="str">
        <f>D199</f>
        <v>0,01-0,1</v>
      </c>
      <c r="E200" s="150">
        <f>E199</f>
        <v>0.1</v>
      </c>
      <c r="F200" s="150" t="str">
        <f>F199</f>
        <v>air</v>
      </c>
      <c r="G200" s="147" t="str">
        <f t="shared" si="146"/>
        <v>PP particles 0,01-0,1 mm (emission to air)</v>
      </c>
      <c r="H200" s="147" t="str">
        <f>H199</f>
        <v>Abrieb von Trink- und Abwasserrohren</v>
      </c>
      <c r="I200" s="129">
        <v>0</v>
      </c>
      <c r="J200" s="101" t="s">
        <v>1034</v>
      </c>
      <c r="K200" s="151" t="s">
        <v>596</v>
      </c>
      <c r="L200" s="226">
        <f t="shared" si="147"/>
        <v>0</v>
      </c>
      <c r="M200" s="158">
        <f t="shared" ref="M200" si="149">IF(L200/1000&gt;1000,1000,L200/1000)</f>
        <v>0</v>
      </c>
      <c r="N200" s="610"/>
    </row>
    <row r="201" spans="1:14" s="102" customFormat="1" ht="54.75" customHeight="1">
      <c r="A201" s="181" t="s">
        <v>165</v>
      </c>
      <c r="B201" s="159" t="s">
        <v>1025</v>
      </c>
      <c r="C201" s="141">
        <f t="shared" si="4"/>
        <v>6</v>
      </c>
      <c r="D201" s="141" t="s">
        <v>1028</v>
      </c>
      <c r="E201" s="155">
        <v>1</v>
      </c>
      <c r="F201" s="131" t="s">
        <v>1019</v>
      </c>
      <c r="G201" s="134" t="str">
        <f t="shared" si="134"/>
        <v>PP particles 0,1-1 mm (emission to soil)</v>
      </c>
      <c r="H201" s="157" t="s">
        <v>1043</v>
      </c>
      <c r="I201" s="129">
        <v>1</v>
      </c>
      <c r="J201" s="101" t="s">
        <v>1019</v>
      </c>
      <c r="K201" s="114">
        <f>K10</f>
        <v>0.95085092472137211</v>
      </c>
      <c r="L201" s="226">
        <f t="shared" si="120"/>
        <v>131.46119622971261</v>
      </c>
      <c r="M201" s="158">
        <f>IF(L201/1000&gt;1000,1000,L201/1000)</f>
        <v>0.13146119622971261</v>
      </c>
      <c r="N201" s="610">
        <f>I201*M201+I202*M202</f>
        <v>0.13146119622971261</v>
      </c>
    </row>
    <row r="202" spans="1:14" s="102" customFormat="1" ht="15" customHeight="1">
      <c r="A202" s="172" t="str">
        <f>A201</f>
        <v>PP</v>
      </c>
      <c r="B202" s="149" t="s">
        <v>1025</v>
      </c>
      <c r="C202" s="149">
        <f t="shared" si="4"/>
        <v>6</v>
      </c>
      <c r="D202" s="149" t="str">
        <f t="shared" ref="D202:F202" si="150">D201</f>
        <v>0,1-1</v>
      </c>
      <c r="E202" s="149">
        <f t="shared" si="150"/>
        <v>1</v>
      </c>
      <c r="F202" s="149" t="str">
        <f t="shared" si="150"/>
        <v>soil</v>
      </c>
      <c r="G202" s="146" t="str">
        <f t="shared" si="134"/>
        <v>PP particles 0,1-1 mm (emission to soil)</v>
      </c>
      <c r="H202" s="146" t="str">
        <f>H201</f>
        <v>Fragmentierung bei Abbrucharbeiten; Abrieb von Baukunststoffen; Verarbeitung von Bauschutt; Straßenmarkierungen</v>
      </c>
      <c r="I202" s="129">
        <v>0</v>
      </c>
      <c r="J202" s="101" t="s">
        <v>1097</v>
      </c>
      <c r="K202" s="114">
        <f>K11</f>
        <v>4.8749999999999618</v>
      </c>
      <c r="L202" s="226">
        <f t="shared" si="120"/>
        <v>25.641025641025841</v>
      </c>
      <c r="M202" s="158">
        <f>IF(L202/1000&gt;1000,1000,L202/1000)</f>
        <v>2.5641025641025841E-2</v>
      </c>
      <c r="N202" s="610"/>
    </row>
    <row r="203" spans="1:14" s="102" customFormat="1" ht="15" customHeight="1">
      <c r="A203" s="173" t="str">
        <f>A202</f>
        <v>PP</v>
      </c>
      <c r="B203" s="150" t="str">
        <f>B202</f>
        <v>particles</v>
      </c>
      <c r="C203" s="150">
        <f t="shared" si="4"/>
        <v>6</v>
      </c>
      <c r="D203" s="150" t="str">
        <f>D202</f>
        <v>0,1-1</v>
      </c>
      <c r="E203" s="150">
        <f>E202</f>
        <v>1</v>
      </c>
      <c r="F203" s="150" t="str">
        <f>F202</f>
        <v>soil</v>
      </c>
      <c r="G203" s="147" t="str">
        <f t="shared" si="134"/>
        <v>PP particles 0,1-1 mm (emission to soil)</v>
      </c>
      <c r="H203" s="147" t="str">
        <f>H202</f>
        <v>Fragmentierung bei Abbrucharbeiten; Abrieb von Baukunststoffen; Verarbeitung von Bauschutt; Straßenmarkierungen</v>
      </c>
      <c r="I203" s="129">
        <v>0</v>
      </c>
      <c r="J203" s="101" t="s">
        <v>1034</v>
      </c>
      <c r="K203" s="151" t="s">
        <v>596</v>
      </c>
      <c r="L203" s="226">
        <f t="shared" si="120"/>
        <v>0</v>
      </c>
      <c r="M203" s="158">
        <f t="shared" ref="M203" si="151">IF(L203/1000&gt;1000,1000,L203/1000)</f>
        <v>0</v>
      </c>
      <c r="N203" s="610"/>
    </row>
    <row r="204" spans="1:14" s="102" customFormat="1" ht="48.75" customHeight="1">
      <c r="A204" s="181" t="s">
        <v>165</v>
      </c>
      <c r="B204" s="159" t="s">
        <v>1025</v>
      </c>
      <c r="C204" s="141">
        <f t="shared" si="4"/>
        <v>6</v>
      </c>
      <c r="D204" s="141" t="s">
        <v>1028</v>
      </c>
      <c r="E204" s="155">
        <v>1</v>
      </c>
      <c r="F204" s="131" t="s">
        <v>1020</v>
      </c>
      <c r="G204" s="134" t="str">
        <f t="shared" si="134"/>
        <v>PP particles 0,1-1 mm (emission to water)</v>
      </c>
      <c r="H204" s="157" t="s">
        <v>1043</v>
      </c>
      <c r="I204" s="137">
        <v>0</v>
      </c>
      <c r="J204" s="101" t="s">
        <v>1019</v>
      </c>
      <c r="K204" s="114">
        <f>K10</f>
        <v>0.95085092472137211</v>
      </c>
      <c r="L204" s="226">
        <f t="shared" si="120"/>
        <v>131.46119622971261</v>
      </c>
      <c r="M204" s="220">
        <f t="shared" ref="M204:M207" si="152">IF(L204/1000&gt;1000,1000,L204/1000)</f>
        <v>0.13146119622971261</v>
      </c>
      <c r="N204" s="611">
        <f>I204*M204+I205*M205+I206*M206</f>
        <v>2.5641025641025841E-2</v>
      </c>
    </row>
    <row r="205" spans="1:14" s="102" customFormat="1" ht="15" customHeight="1">
      <c r="A205" s="172" t="str">
        <f>A204</f>
        <v>PP</v>
      </c>
      <c r="B205" s="149" t="str">
        <f>B204</f>
        <v>particles</v>
      </c>
      <c r="C205" s="149">
        <f t="shared" si="4"/>
        <v>6</v>
      </c>
      <c r="D205" s="149" t="str">
        <f t="shared" ref="D205:F206" si="153">D204</f>
        <v>0,1-1</v>
      </c>
      <c r="E205" s="149">
        <f t="shared" si="153"/>
        <v>1</v>
      </c>
      <c r="F205" s="149" t="str">
        <f t="shared" si="153"/>
        <v>water</v>
      </c>
      <c r="G205" s="146" t="str">
        <f t="shared" si="134"/>
        <v>PP particles 0,1-1 mm (emission to water)</v>
      </c>
      <c r="H205" s="146" t="str">
        <f>H204</f>
        <v>Fragmentierung bei Abbrucharbeiten; Abrieb von Baukunststoffen; Verarbeitung von Bauschutt; Straßenmarkierungen</v>
      </c>
      <c r="I205" s="129">
        <v>1</v>
      </c>
      <c r="J205" s="101" t="s">
        <v>1097</v>
      </c>
      <c r="K205" s="114">
        <f>K11</f>
        <v>4.8749999999999618</v>
      </c>
      <c r="L205" s="226">
        <f t="shared" si="120"/>
        <v>25.641025641025841</v>
      </c>
      <c r="M205" s="220">
        <f t="shared" si="152"/>
        <v>2.5641025641025841E-2</v>
      </c>
      <c r="N205" s="612"/>
    </row>
    <row r="206" spans="1:14" s="102" customFormat="1" ht="15" customHeight="1">
      <c r="A206" s="172" t="str">
        <f>A205</f>
        <v>PP</v>
      </c>
      <c r="B206" s="149" t="str">
        <f>B205</f>
        <v>particles</v>
      </c>
      <c r="C206" s="149">
        <f t="shared" ref="C206" si="154">IF(OR(B206="Folie", B206="Strips", B206="Film",B206="Flakes",B206="Coupon"), 2,IF(OR(B206="Fibers",B206="Pellets"),4,IF(OR(B206="Particles",B206="Shreds",B206="Powder",B206="Fragments",B206="Granules"),6,"")))</f>
        <v>6</v>
      </c>
      <c r="D206" s="149" t="str">
        <f t="shared" si="153"/>
        <v>0,1-1</v>
      </c>
      <c r="E206" s="149">
        <f t="shared" si="153"/>
        <v>1</v>
      </c>
      <c r="F206" s="149" t="str">
        <f t="shared" si="153"/>
        <v>water</v>
      </c>
      <c r="G206" s="146" t="str">
        <f t="shared" si="134"/>
        <v>PP particles 0,1-1 mm (emission to water)</v>
      </c>
      <c r="H206" s="146" t="str">
        <f>H205</f>
        <v>Fragmentierung bei Abbrucharbeiten; Abrieb von Baukunststoffen; Verarbeitung von Bauschutt; Straßenmarkierungen</v>
      </c>
      <c r="I206" s="129">
        <v>0</v>
      </c>
      <c r="J206" s="101" t="s">
        <v>1096</v>
      </c>
      <c r="K206" s="114">
        <f>K12</f>
        <v>0.95085092472137211</v>
      </c>
      <c r="L206" s="226">
        <f t="shared" si="120"/>
        <v>131.46119622971261</v>
      </c>
      <c r="M206" s="220">
        <f t="shared" si="152"/>
        <v>0.13146119622971261</v>
      </c>
      <c r="N206" s="612"/>
    </row>
    <row r="207" spans="1:14" s="102" customFormat="1" ht="15" customHeight="1">
      <c r="A207" s="172" t="str">
        <f>A205</f>
        <v>PP</v>
      </c>
      <c r="B207" s="149" t="str">
        <f>B205</f>
        <v>particles</v>
      </c>
      <c r="C207" s="149">
        <f t="shared" si="4"/>
        <v>6</v>
      </c>
      <c r="D207" s="149" t="str">
        <f>D205</f>
        <v>0,1-1</v>
      </c>
      <c r="E207" s="150">
        <f>E205</f>
        <v>1</v>
      </c>
      <c r="F207" s="149" t="str">
        <f>F205</f>
        <v>water</v>
      </c>
      <c r="G207" s="146" t="str">
        <f t="shared" si="134"/>
        <v>PP particles 0,1-1 mm (emission to water)</v>
      </c>
      <c r="H207" s="146" t="str">
        <f>H205</f>
        <v>Fragmentierung bei Abbrucharbeiten; Abrieb von Baukunststoffen; Verarbeitung von Bauschutt; Straßenmarkierungen</v>
      </c>
      <c r="I207" s="129">
        <v>0</v>
      </c>
      <c r="J207" s="134" t="s">
        <v>1034</v>
      </c>
      <c r="K207" s="151" t="s">
        <v>596</v>
      </c>
      <c r="L207" s="226">
        <f t="shared" si="120"/>
        <v>0</v>
      </c>
      <c r="M207" s="220">
        <f t="shared" si="152"/>
        <v>0</v>
      </c>
      <c r="N207" s="613"/>
    </row>
    <row r="208" spans="1:14" s="102" customFormat="1" ht="49.5" customHeight="1">
      <c r="A208" s="181" t="s">
        <v>165</v>
      </c>
      <c r="B208" s="159" t="s">
        <v>1025</v>
      </c>
      <c r="C208" s="290">
        <f t="shared" ref="C208:C210" si="155">IF(OR(B208="Folie", B208="Strips", B208="Film",B208="Flakes",B208="Coupon"), 2,IF(OR(B208="Fibers",B208="Pellets"),4,IF(OR(B208="Particles",B208="Shreds",B208="Powder",B208="Fragments",B208="Granules"),6,"")))</f>
        <v>6</v>
      </c>
      <c r="D208" s="290" t="s">
        <v>1028</v>
      </c>
      <c r="E208" s="155">
        <v>1</v>
      </c>
      <c r="F208" s="131" t="s">
        <v>1057</v>
      </c>
      <c r="G208" s="134" t="str">
        <f t="shared" ref="G208:G210" si="156">CONCATENATE(A208," ",B208," ",D208," mm (emission to ",F208,")")</f>
        <v>PP particles 0,1-1 mm (emission to air)</v>
      </c>
      <c r="H208" s="157" t="s">
        <v>1043</v>
      </c>
      <c r="I208" s="137">
        <v>0.97699999999999998</v>
      </c>
      <c r="J208" s="101" t="s">
        <v>1019</v>
      </c>
      <c r="K208" s="114">
        <f>K10</f>
        <v>0.95085092472137211</v>
      </c>
      <c r="L208" s="226">
        <f t="shared" ref="L208:L210" si="157">IFERROR(IF(K208="--",0,IF(E208*1000/K208*(1-0.5)^(C208/2)&gt;1000,1000,E208*1000/K208*(1-0.5)^(C208/2))),1000)</f>
        <v>131.46119622971261</v>
      </c>
      <c r="M208" s="158">
        <f>IF(L208/1000&gt;1000,1000,L208/1000)</f>
        <v>0.13146119622971261</v>
      </c>
      <c r="N208" s="610">
        <f>I208*M208+I209*M209</f>
        <v>0.1290273323061728</v>
      </c>
    </row>
    <row r="209" spans="1:14" s="102" customFormat="1" ht="15" customHeight="1">
      <c r="A209" s="172" t="str">
        <f>A208</f>
        <v>PP</v>
      </c>
      <c r="B209" s="149" t="s">
        <v>1025</v>
      </c>
      <c r="C209" s="149">
        <f t="shared" si="155"/>
        <v>6</v>
      </c>
      <c r="D209" s="149" t="str">
        <f t="shared" ref="D209:F209" si="158">D208</f>
        <v>0,1-1</v>
      </c>
      <c r="E209" s="149">
        <f t="shared" si="158"/>
        <v>1</v>
      </c>
      <c r="F209" s="149" t="str">
        <f t="shared" si="158"/>
        <v>air</v>
      </c>
      <c r="G209" s="146" t="str">
        <f t="shared" si="156"/>
        <v>PP particles 0,1-1 mm (emission to air)</v>
      </c>
      <c r="H209" s="146" t="str">
        <f>H208</f>
        <v>Fragmentierung bei Abbrucharbeiten; Abrieb von Baukunststoffen; Verarbeitung von Bauschutt; Straßenmarkierungen</v>
      </c>
      <c r="I209" s="129">
        <v>2.3E-2</v>
      </c>
      <c r="J209" s="101" t="s">
        <v>1097</v>
      </c>
      <c r="K209" s="114">
        <f>K11</f>
        <v>4.8749999999999618</v>
      </c>
      <c r="L209" s="226">
        <f t="shared" si="157"/>
        <v>25.641025641025841</v>
      </c>
      <c r="M209" s="158">
        <f>IF(L209/1000&gt;1000,1000,L209/1000)</f>
        <v>2.5641025641025841E-2</v>
      </c>
      <c r="N209" s="610"/>
    </row>
    <row r="210" spans="1:14" s="102" customFormat="1" ht="15" customHeight="1">
      <c r="A210" s="173" t="str">
        <f>A209</f>
        <v>PP</v>
      </c>
      <c r="B210" s="150" t="str">
        <f>B209</f>
        <v>particles</v>
      </c>
      <c r="C210" s="150">
        <f t="shared" si="155"/>
        <v>6</v>
      </c>
      <c r="D210" s="150" t="str">
        <f>D209</f>
        <v>0,1-1</v>
      </c>
      <c r="E210" s="150">
        <f>E209</f>
        <v>1</v>
      </c>
      <c r="F210" s="150" t="str">
        <f>F209</f>
        <v>air</v>
      </c>
      <c r="G210" s="147" t="str">
        <f t="shared" si="156"/>
        <v>PP particles 0,1-1 mm (emission to air)</v>
      </c>
      <c r="H210" s="147" t="str">
        <f>H209</f>
        <v>Fragmentierung bei Abbrucharbeiten; Abrieb von Baukunststoffen; Verarbeitung von Bauschutt; Straßenmarkierungen</v>
      </c>
      <c r="I210" s="129">
        <v>0</v>
      </c>
      <c r="J210" s="101" t="s">
        <v>1034</v>
      </c>
      <c r="K210" s="151" t="s">
        <v>596</v>
      </c>
      <c r="L210" s="226">
        <f t="shared" si="157"/>
        <v>0</v>
      </c>
      <c r="M210" s="158">
        <f t="shared" ref="M210" si="159">IF(L210/1000&gt;1000,1000,L210/1000)</f>
        <v>0</v>
      </c>
      <c r="N210" s="610"/>
    </row>
    <row r="211" spans="1:14" s="102" customFormat="1" ht="15" customHeight="1">
      <c r="A211" s="176" t="s">
        <v>165</v>
      </c>
      <c r="B211" s="139" t="s">
        <v>1025</v>
      </c>
      <c r="C211" s="141">
        <f t="shared" si="4"/>
        <v>6</v>
      </c>
      <c r="D211" s="141" t="s">
        <v>1026</v>
      </c>
      <c r="E211" s="155">
        <v>10</v>
      </c>
      <c r="F211" s="131" t="s">
        <v>1019</v>
      </c>
      <c r="G211" s="134" t="str">
        <f t="shared" si="134"/>
        <v>PP particles 1-10 mm (emission to soil)</v>
      </c>
      <c r="H211" s="133" t="s">
        <v>1038</v>
      </c>
      <c r="I211" s="129">
        <v>1</v>
      </c>
      <c r="J211" s="101" t="s">
        <v>1019</v>
      </c>
      <c r="K211" s="114">
        <f>K10</f>
        <v>0.95085092472137211</v>
      </c>
      <c r="L211" s="226">
        <f t="shared" si="120"/>
        <v>1000</v>
      </c>
      <c r="M211" s="158">
        <f>IF(L211/1000&gt;1000,1000,L211/1000)</f>
        <v>1</v>
      </c>
      <c r="N211" s="610">
        <f>I211*M211+I212*M212</f>
        <v>1</v>
      </c>
    </row>
    <row r="212" spans="1:14" s="102" customFormat="1" ht="15" customHeight="1">
      <c r="A212" s="172" t="str">
        <f>A211</f>
        <v>PP</v>
      </c>
      <c r="B212" s="149" t="str">
        <f>B211</f>
        <v>particles</v>
      </c>
      <c r="C212" s="149">
        <f t="shared" si="4"/>
        <v>6</v>
      </c>
      <c r="D212" s="149" t="str">
        <f t="shared" ref="D212:F212" si="160">D211</f>
        <v>1-10</v>
      </c>
      <c r="E212" s="149">
        <f t="shared" si="160"/>
        <v>10</v>
      </c>
      <c r="F212" s="149" t="str">
        <f t="shared" si="160"/>
        <v>soil</v>
      </c>
      <c r="G212" s="146" t="str">
        <f t="shared" si="134"/>
        <v>PP particles 1-10 mm (emission to soil)</v>
      </c>
      <c r="H212" s="146" t="str">
        <f>H211</f>
        <v>Metallzerkleinerung</v>
      </c>
      <c r="I212" s="129">
        <v>0</v>
      </c>
      <c r="J212" s="101" t="s">
        <v>1097</v>
      </c>
      <c r="K212" s="114">
        <f>K11</f>
        <v>4.8749999999999618</v>
      </c>
      <c r="L212" s="226">
        <f t="shared" si="120"/>
        <v>256.4102564102584</v>
      </c>
      <c r="M212" s="158">
        <f>IF(L212/1000&gt;1000,1000,L212/1000)</f>
        <v>0.25641025641025839</v>
      </c>
      <c r="N212" s="610"/>
    </row>
    <row r="213" spans="1:14" s="102" customFormat="1" ht="15" customHeight="1">
      <c r="A213" s="173" t="str">
        <f>A212</f>
        <v>PP</v>
      </c>
      <c r="B213" s="150" t="str">
        <f>B212</f>
        <v>particles</v>
      </c>
      <c r="C213" s="150">
        <f t="shared" si="4"/>
        <v>6</v>
      </c>
      <c r="D213" s="150" t="str">
        <f>D212</f>
        <v>1-10</v>
      </c>
      <c r="E213" s="150">
        <f>E212</f>
        <v>10</v>
      </c>
      <c r="F213" s="150" t="str">
        <f>F212</f>
        <v>soil</v>
      </c>
      <c r="G213" s="147" t="str">
        <f t="shared" si="134"/>
        <v>PP particles 1-10 mm (emission to soil)</v>
      </c>
      <c r="H213" s="147" t="str">
        <f>H212</f>
        <v>Metallzerkleinerung</v>
      </c>
      <c r="I213" s="129">
        <v>0</v>
      </c>
      <c r="J213" s="101" t="s">
        <v>1034</v>
      </c>
      <c r="K213" s="151" t="s">
        <v>596</v>
      </c>
      <c r="L213" s="226">
        <f t="shared" si="120"/>
        <v>0</v>
      </c>
      <c r="M213" s="158">
        <f t="shared" ref="M213" si="161">IF(L213/1000&gt;1000,1000,L213/1000)</f>
        <v>0</v>
      </c>
      <c r="N213" s="610"/>
    </row>
    <row r="214" spans="1:14" s="102" customFormat="1" ht="15" customHeight="1">
      <c r="A214" s="176" t="s">
        <v>165</v>
      </c>
      <c r="B214" s="139" t="s">
        <v>1025</v>
      </c>
      <c r="C214" s="141">
        <f t="shared" si="4"/>
        <v>6</v>
      </c>
      <c r="D214" s="141" t="s">
        <v>1026</v>
      </c>
      <c r="E214" s="214">
        <v>10</v>
      </c>
      <c r="F214" s="131" t="s">
        <v>1020</v>
      </c>
      <c r="G214" s="134" t="str">
        <f t="shared" si="134"/>
        <v>PP particles 1-10 mm (emission to water)</v>
      </c>
      <c r="H214" s="133" t="s">
        <v>1038</v>
      </c>
      <c r="I214" s="137">
        <v>0</v>
      </c>
      <c r="J214" s="101" t="s">
        <v>1019</v>
      </c>
      <c r="K214" s="114">
        <f>K10</f>
        <v>0.95085092472137211</v>
      </c>
      <c r="L214" s="226">
        <f t="shared" si="120"/>
        <v>1000</v>
      </c>
      <c r="M214" s="220">
        <f t="shared" ref="M214:M217" si="162">IF(L214/1000&gt;1000,1000,L214/1000)</f>
        <v>1</v>
      </c>
      <c r="N214" s="611">
        <f>I214*M214+I215*M215+I216*M216</f>
        <v>0.25641025641025839</v>
      </c>
    </row>
    <row r="215" spans="1:14" s="102" customFormat="1" ht="15" customHeight="1">
      <c r="A215" s="172" t="str">
        <f>A214</f>
        <v>PP</v>
      </c>
      <c r="B215" s="149" t="str">
        <f>B214</f>
        <v>particles</v>
      </c>
      <c r="C215" s="149">
        <f t="shared" si="4"/>
        <v>6</v>
      </c>
      <c r="D215" s="149" t="str">
        <f t="shared" ref="D215:F216" si="163">D214</f>
        <v>1-10</v>
      </c>
      <c r="E215" s="149">
        <f t="shared" si="163"/>
        <v>10</v>
      </c>
      <c r="F215" s="149" t="str">
        <f t="shared" si="163"/>
        <v>water</v>
      </c>
      <c r="G215" s="146" t="str">
        <f t="shared" si="134"/>
        <v>PP particles 1-10 mm (emission to water)</v>
      </c>
      <c r="H215" s="146" t="str">
        <f>H214</f>
        <v>Metallzerkleinerung</v>
      </c>
      <c r="I215" s="129">
        <v>1</v>
      </c>
      <c r="J215" s="101" t="s">
        <v>1097</v>
      </c>
      <c r="K215" s="114">
        <f>K11</f>
        <v>4.8749999999999618</v>
      </c>
      <c r="L215" s="226">
        <f t="shared" si="120"/>
        <v>256.4102564102584</v>
      </c>
      <c r="M215" s="220">
        <f t="shared" si="162"/>
        <v>0.25641025641025839</v>
      </c>
      <c r="N215" s="612"/>
    </row>
    <row r="216" spans="1:14" s="102" customFormat="1" ht="15" customHeight="1">
      <c r="A216" s="172" t="str">
        <f>A215</f>
        <v>PP</v>
      </c>
      <c r="B216" s="149" t="str">
        <f>B215</f>
        <v>particles</v>
      </c>
      <c r="C216" s="149">
        <f t="shared" ref="C216" si="164">IF(OR(B216="Folie", B216="Strips", B216="Film",B216="Flakes",B216="Coupon"), 2,IF(OR(B216="Fibers",B216="Pellets"),4,IF(OR(B216="Particles",B216="Shreds",B216="Powder",B216="Fragments",B216="Granules"),6,"")))</f>
        <v>6</v>
      </c>
      <c r="D216" s="149" t="str">
        <f t="shared" si="163"/>
        <v>1-10</v>
      </c>
      <c r="E216" s="149">
        <f t="shared" si="163"/>
        <v>10</v>
      </c>
      <c r="F216" s="149" t="str">
        <f t="shared" si="163"/>
        <v>water</v>
      </c>
      <c r="G216" s="146" t="str">
        <f t="shared" si="134"/>
        <v>PP particles 1-10 mm (emission to water)</v>
      </c>
      <c r="H216" s="146" t="str">
        <f>H215</f>
        <v>Metallzerkleinerung</v>
      </c>
      <c r="I216" s="129">
        <v>0</v>
      </c>
      <c r="J216" s="101" t="s">
        <v>1096</v>
      </c>
      <c r="K216" s="114">
        <f>K12</f>
        <v>0.95085092472137211</v>
      </c>
      <c r="L216" s="226">
        <f t="shared" si="120"/>
        <v>1000</v>
      </c>
      <c r="M216" s="220">
        <f t="shared" si="162"/>
        <v>1</v>
      </c>
      <c r="N216" s="612"/>
    </row>
    <row r="217" spans="1:14" s="102" customFormat="1" ht="15" customHeight="1">
      <c r="A217" s="173" t="str">
        <f>A215</f>
        <v>PP</v>
      </c>
      <c r="B217" s="150" t="str">
        <f>B215</f>
        <v>particles</v>
      </c>
      <c r="C217" s="150">
        <f t="shared" ref="C217:C373" si="165">IF(OR(B217="Folie", B217="Strips", B217="Film",B217="Flakes",B217="Coupon"), 2,IF(OR(B217="Fibers",B217="Pellets"),4,IF(OR(B217="Particles",B217="Shreds",B217="Powder",B217="Fragments",B217="Granules"),6,"")))</f>
        <v>6</v>
      </c>
      <c r="D217" s="150" t="str">
        <f>D215</f>
        <v>1-10</v>
      </c>
      <c r="E217" s="150">
        <f>E215</f>
        <v>10</v>
      </c>
      <c r="F217" s="150" t="str">
        <f>F215</f>
        <v>water</v>
      </c>
      <c r="G217" s="147" t="str">
        <f t="shared" si="134"/>
        <v>PP particles 1-10 mm (emission to water)</v>
      </c>
      <c r="H217" s="147" t="str">
        <f>H215</f>
        <v>Metallzerkleinerung</v>
      </c>
      <c r="I217" s="129">
        <v>0</v>
      </c>
      <c r="J217" s="101" t="s">
        <v>1034</v>
      </c>
      <c r="K217" s="114" t="s">
        <v>596</v>
      </c>
      <c r="L217" s="226">
        <f t="shared" si="120"/>
        <v>0</v>
      </c>
      <c r="M217" s="220">
        <f t="shared" si="162"/>
        <v>0</v>
      </c>
      <c r="N217" s="613"/>
    </row>
    <row r="218" spans="1:14" s="102" customFormat="1" ht="15" customHeight="1">
      <c r="A218" s="176" t="s">
        <v>165</v>
      </c>
      <c r="B218" s="288" t="s">
        <v>1025</v>
      </c>
      <c r="C218" s="290">
        <f t="shared" si="165"/>
        <v>6</v>
      </c>
      <c r="D218" s="290" t="s">
        <v>1026</v>
      </c>
      <c r="E218" s="155">
        <v>10</v>
      </c>
      <c r="F218" s="131" t="s">
        <v>1057</v>
      </c>
      <c r="G218" s="134" t="str">
        <f t="shared" ref="G218:G220" si="166">CONCATENATE(A218," ",B218," ",D218," mm (emission to ",F218,")")</f>
        <v>PP particles 1-10 mm (emission to air)</v>
      </c>
      <c r="H218" s="133" t="s">
        <v>1038</v>
      </c>
      <c r="I218" s="137">
        <v>0.97699999999999998</v>
      </c>
      <c r="J218" s="101" t="s">
        <v>1019</v>
      </c>
      <c r="K218" s="114">
        <f>K10</f>
        <v>0.95085092472137211</v>
      </c>
      <c r="L218" s="226">
        <f t="shared" ref="L218:L220" si="167">IFERROR(IF(K218="--",0,IF(E218*1000/K218*(1-0.5)^(C218/2)&gt;1000,1000,E218*1000/K218*(1-0.5)^(C218/2))),1000)</f>
        <v>1000</v>
      </c>
      <c r="M218" s="158">
        <f>IF(L218/1000&gt;1000,1000,L218/1000)</f>
        <v>1</v>
      </c>
      <c r="N218" s="610">
        <f>I218*M218+I219*M219</f>
        <v>0.98289743589743594</v>
      </c>
    </row>
    <row r="219" spans="1:14" s="102" customFormat="1" ht="15" customHeight="1">
      <c r="A219" s="172" t="str">
        <f>A218</f>
        <v>PP</v>
      </c>
      <c r="B219" s="149" t="str">
        <f>B218</f>
        <v>particles</v>
      </c>
      <c r="C219" s="149">
        <f t="shared" si="165"/>
        <v>6</v>
      </c>
      <c r="D219" s="149" t="str">
        <f t="shared" ref="D219:F219" si="168">D218</f>
        <v>1-10</v>
      </c>
      <c r="E219" s="149">
        <f t="shared" si="168"/>
        <v>10</v>
      </c>
      <c r="F219" s="149" t="str">
        <f t="shared" si="168"/>
        <v>air</v>
      </c>
      <c r="G219" s="146" t="str">
        <f t="shared" si="166"/>
        <v>PP particles 1-10 mm (emission to air)</v>
      </c>
      <c r="H219" s="146" t="str">
        <f>H218</f>
        <v>Metallzerkleinerung</v>
      </c>
      <c r="I219" s="129">
        <v>2.3E-2</v>
      </c>
      <c r="J219" s="101" t="s">
        <v>1097</v>
      </c>
      <c r="K219" s="114">
        <f>K11</f>
        <v>4.8749999999999618</v>
      </c>
      <c r="L219" s="226">
        <f t="shared" si="167"/>
        <v>256.4102564102584</v>
      </c>
      <c r="M219" s="158">
        <f>IF(L219/1000&gt;1000,1000,L219/1000)</f>
        <v>0.25641025641025839</v>
      </c>
      <c r="N219" s="610"/>
    </row>
    <row r="220" spans="1:14" s="102" customFormat="1" ht="15" customHeight="1" thickBot="1">
      <c r="A220" s="173" t="str">
        <f>A219</f>
        <v>PP</v>
      </c>
      <c r="B220" s="150" t="str">
        <f>B219</f>
        <v>particles</v>
      </c>
      <c r="C220" s="150">
        <f t="shared" si="165"/>
        <v>6</v>
      </c>
      <c r="D220" s="150" t="str">
        <f>D219</f>
        <v>1-10</v>
      </c>
      <c r="E220" s="150">
        <f>E219</f>
        <v>10</v>
      </c>
      <c r="F220" s="150" t="str">
        <f>F219</f>
        <v>air</v>
      </c>
      <c r="G220" s="147" t="str">
        <f t="shared" si="166"/>
        <v>PP particles 1-10 mm (emission to air)</v>
      </c>
      <c r="H220" s="147" t="str">
        <f>H219</f>
        <v>Metallzerkleinerung</v>
      </c>
      <c r="I220" s="129">
        <v>0</v>
      </c>
      <c r="J220" s="101" t="s">
        <v>1034</v>
      </c>
      <c r="K220" s="151" t="s">
        <v>596</v>
      </c>
      <c r="L220" s="226">
        <f t="shared" si="167"/>
        <v>0</v>
      </c>
      <c r="M220" s="158">
        <f t="shared" ref="M220" si="169">IF(L220/1000&gt;1000,1000,L220/1000)</f>
        <v>0</v>
      </c>
      <c r="N220" s="610"/>
    </row>
    <row r="221" spans="1:14" s="102" customFormat="1">
      <c r="A221" s="190" t="s">
        <v>78</v>
      </c>
      <c r="B221" s="164" t="s">
        <v>996</v>
      </c>
      <c r="C221" s="165">
        <f t="shared" si="165"/>
        <v>2</v>
      </c>
      <c r="D221" s="165" t="s">
        <v>1028</v>
      </c>
      <c r="E221" s="155">
        <v>1</v>
      </c>
      <c r="F221" s="166" t="s">
        <v>1019</v>
      </c>
      <c r="G221" s="167" t="str">
        <f t="shared" ref="G221:G227" si="170">CONCATENATE(A221," ",B221," ",D221," mm (emission to ",F221,")")</f>
        <v>PET film 0,1-1 mm (emission to soil)</v>
      </c>
      <c r="H221" s="168" t="s">
        <v>1035</v>
      </c>
      <c r="I221" s="129">
        <v>1</v>
      </c>
      <c r="J221" s="170" t="s">
        <v>1019</v>
      </c>
      <c r="K221" s="171">
        <f>K13</f>
        <v>0.41666666666666663</v>
      </c>
      <c r="L221" s="226">
        <f t="shared" si="120"/>
        <v>1000</v>
      </c>
      <c r="M221" s="158">
        <f>IF(L221/1000&gt;1000,1000,L221/1000)</f>
        <v>1</v>
      </c>
      <c r="N221" s="610">
        <f>I221*M221+I222*M222</f>
        <v>1</v>
      </c>
    </row>
    <row r="222" spans="1:14" s="102" customFormat="1" ht="15" customHeight="1">
      <c r="A222" s="172" t="str">
        <f t="shared" ref="A222:F222" si="171">A221</f>
        <v>PET</v>
      </c>
      <c r="B222" s="149" t="str">
        <f t="shared" si="171"/>
        <v>film</v>
      </c>
      <c r="C222" s="149">
        <f t="shared" si="165"/>
        <v>2</v>
      </c>
      <c r="D222" s="149" t="str">
        <f t="shared" si="171"/>
        <v>0,1-1</v>
      </c>
      <c r="E222" s="149">
        <f t="shared" si="171"/>
        <v>1</v>
      </c>
      <c r="F222" s="149" t="str">
        <f t="shared" si="171"/>
        <v>soil</v>
      </c>
      <c r="G222" s="146" t="str">
        <f t="shared" si="170"/>
        <v>PET film 0,1-1 mm (emission to soil)</v>
      </c>
      <c r="H222" s="146" t="str">
        <f>H221</f>
        <v>Kunststoffrecycling</v>
      </c>
      <c r="I222" s="129">
        <v>0</v>
      </c>
      <c r="J222" s="101" t="s">
        <v>1097</v>
      </c>
      <c r="K222" s="114">
        <f>K14</f>
        <v>0.6944444444444452</v>
      </c>
      <c r="L222" s="226">
        <f t="shared" si="120"/>
        <v>719.9999999999992</v>
      </c>
      <c r="M222" s="158">
        <f>IF(L222/1000&gt;1000,1000,L222/1000)</f>
        <v>0.7199999999999992</v>
      </c>
      <c r="N222" s="610"/>
    </row>
    <row r="223" spans="1:14" s="102" customFormat="1" ht="15" customHeight="1">
      <c r="A223" s="173" t="str">
        <f t="shared" ref="A223:F223" si="172">A222</f>
        <v>PET</v>
      </c>
      <c r="B223" s="150" t="str">
        <f t="shared" si="172"/>
        <v>film</v>
      </c>
      <c r="C223" s="150">
        <f t="shared" si="165"/>
        <v>2</v>
      </c>
      <c r="D223" s="150" t="str">
        <f t="shared" si="172"/>
        <v>0,1-1</v>
      </c>
      <c r="E223" s="150">
        <f t="shared" si="172"/>
        <v>1</v>
      </c>
      <c r="F223" s="150" t="str">
        <f t="shared" si="172"/>
        <v>soil</v>
      </c>
      <c r="G223" s="147" t="str">
        <f t="shared" si="170"/>
        <v>PET film 0,1-1 mm (emission to soil)</v>
      </c>
      <c r="H223" s="146" t="str">
        <f>H222</f>
        <v>Kunststoffrecycling</v>
      </c>
      <c r="I223" s="129">
        <v>0</v>
      </c>
      <c r="J223" s="101" t="s">
        <v>1034</v>
      </c>
      <c r="K223" s="151" t="s">
        <v>596</v>
      </c>
      <c r="L223" s="226">
        <f t="shared" si="120"/>
        <v>0</v>
      </c>
      <c r="M223" s="158">
        <f t="shared" ref="M223" si="173">IF(L223/1000&gt;1000,1000,L223/1000)</f>
        <v>0</v>
      </c>
      <c r="N223" s="610"/>
    </row>
    <row r="224" spans="1:14" s="102" customFormat="1">
      <c r="A224" s="260" t="s">
        <v>78</v>
      </c>
      <c r="B224" s="261" t="s">
        <v>996</v>
      </c>
      <c r="C224" s="262">
        <f t="shared" si="165"/>
        <v>2</v>
      </c>
      <c r="D224" s="262" t="s">
        <v>1028</v>
      </c>
      <c r="E224" s="237">
        <v>1</v>
      </c>
      <c r="F224" s="263" t="s">
        <v>1020</v>
      </c>
      <c r="G224" s="264" t="str">
        <f t="shared" si="170"/>
        <v>PET film 0,1-1 mm (emission to water)</v>
      </c>
      <c r="H224" s="264" t="s">
        <v>1035</v>
      </c>
      <c r="I224" s="267">
        <v>0</v>
      </c>
      <c r="J224" s="247" t="s">
        <v>1019</v>
      </c>
      <c r="K224" s="248">
        <f>K13</f>
        <v>0.41666666666666663</v>
      </c>
      <c r="L224" s="243">
        <f t="shared" si="120"/>
        <v>1000</v>
      </c>
      <c r="M224" s="257">
        <f t="shared" ref="M224:M227" si="174">IF(L224/1000&gt;1000,1000,L224/1000)</f>
        <v>1</v>
      </c>
      <c r="N224" s="611">
        <f>I224*M224+I225*M225+I226*M226</f>
        <v>1</v>
      </c>
    </row>
    <row r="225" spans="1:14" s="102" customFormat="1" ht="15" customHeight="1">
      <c r="A225" s="244" t="str">
        <f t="shared" ref="A225:F226" si="175">A224</f>
        <v>PET</v>
      </c>
      <c r="B225" s="245" t="str">
        <f t="shared" si="175"/>
        <v>film</v>
      </c>
      <c r="C225" s="245">
        <f t="shared" si="165"/>
        <v>2</v>
      </c>
      <c r="D225" s="245" t="str">
        <f t="shared" si="175"/>
        <v>0,1-1</v>
      </c>
      <c r="E225" s="245">
        <f t="shared" si="175"/>
        <v>1</v>
      </c>
      <c r="F225" s="245" t="str">
        <f t="shared" si="175"/>
        <v>water</v>
      </c>
      <c r="G225" s="246" t="str">
        <f t="shared" si="170"/>
        <v>PET film 0,1-1 mm (emission to water)</v>
      </c>
      <c r="H225" s="246" t="str">
        <f>H224</f>
        <v>Kunststoffrecycling</v>
      </c>
      <c r="I225" s="240">
        <v>0</v>
      </c>
      <c r="J225" s="247" t="s">
        <v>1097</v>
      </c>
      <c r="K225" s="248">
        <f>K14</f>
        <v>0.6944444444444452</v>
      </c>
      <c r="L225" s="243">
        <f t="shared" si="120"/>
        <v>719.9999999999992</v>
      </c>
      <c r="M225" s="257">
        <f t="shared" si="174"/>
        <v>0.7199999999999992</v>
      </c>
      <c r="N225" s="612"/>
    </row>
    <row r="226" spans="1:14" s="102" customFormat="1" ht="15" customHeight="1">
      <c r="A226" s="244" t="str">
        <f>A225</f>
        <v>PET</v>
      </c>
      <c r="B226" s="245" t="str">
        <f>B225</f>
        <v>film</v>
      </c>
      <c r="C226" s="245">
        <f t="shared" si="165"/>
        <v>2</v>
      </c>
      <c r="D226" s="245" t="str">
        <f t="shared" si="175"/>
        <v>0,1-1</v>
      </c>
      <c r="E226" s="245">
        <f t="shared" si="175"/>
        <v>1</v>
      </c>
      <c r="F226" s="245" t="str">
        <f t="shared" si="175"/>
        <v>water</v>
      </c>
      <c r="G226" s="246" t="str">
        <f t="shared" si="170"/>
        <v>PET film 0,1-1 mm (emission to water)</v>
      </c>
      <c r="H226" s="246" t="str">
        <f>H225</f>
        <v>Kunststoffrecycling</v>
      </c>
      <c r="I226" s="240">
        <v>1</v>
      </c>
      <c r="J226" s="247" t="s">
        <v>1096</v>
      </c>
      <c r="K226" s="248">
        <f>K15</f>
        <v>0.41666666666666663</v>
      </c>
      <c r="L226" s="243">
        <f t="shared" si="120"/>
        <v>1000</v>
      </c>
      <c r="M226" s="257">
        <f t="shared" si="174"/>
        <v>1</v>
      </c>
      <c r="N226" s="612"/>
    </row>
    <row r="227" spans="1:14" s="102" customFormat="1" ht="15" customHeight="1">
      <c r="A227" s="249" t="str">
        <f t="shared" ref="A227:F227" si="176">A225</f>
        <v>PET</v>
      </c>
      <c r="B227" s="250" t="str">
        <f t="shared" si="176"/>
        <v>film</v>
      </c>
      <c r="C227" s="250">
        <f t="shared" si="165"/>
        <v>2</v>
      </c>
      <c r="D227" s="250" t="str">
        <f t="shared" si="176"/>
        <v>0,1-1</v>
      </c>
      <c r="E227" s="250">
        <f>E225</f>
        <v>1</v>
      </c>
      <c r="F227" s="250" t="str">
        <f t="shared" si="176"/>
        <v>water</v>
      </c>
      <c r="G227" s="251" t="str">
        <f t="shared" si="170"/>
        <v>PET film 0,1-1 mm (emission to water)</v>
      </c>
      <c r="H227" s="251" t="str">
        <f>H225</f>
        <v>Kunststoffrecycling</v>
      </c>
      <c r="I227" s="240">
        <v>0</v>
      </c>
      <c r="J227" s="247" t="s">
        <v>1034</v>
      </c>
      <c r="K227" s="248" t="s">
        <v>596</v>
      </c>
      <c r="L227" s="243">
        <f t="shared" si="120"/>
        <v>0</v>
      </c>
      <c r="M227" s="257">
        <f t="shared" si="174"/>
        <v>0</v>
      </c>
      <c r="N227" s="613"/>
    </row>
    <row r="228" spans="1:14" s="191" customFormat="1" ht="15" customHeight="1">
      <c r="A228" s="174" t="s">
        <v>78</v>
      </c>
      <c r="B228" s="288" t="s">
        <v>996</v>
      </c>
      <c r="C228" s="290">
        <f t="shared" ref="C228:C230" si="177">IF(OR(B228="Folie", B228="Strips", B228="Film",B228="Flakes",B228="Coupon"), 2,IF(OR(B228="Fibers",B228="Pellets"),4,IF(OR(B228="Particles",B228="Shreds",B228="Powder",B228="Fragments",B228="Granules"),6,"")))</f>
        <v>2</v>
      </c>
      <c r="D228" s="290" t="s">
        <v>1028</v>
      </c>
      <c r="E228" s="155">
        <v>1</v>
      </c>
      <c r="F228" s="206" t="s">
        <v>1057</v>
      </c>
      <c r="G228" s="144" t="str">
        <f t="shared" ref="G228:G230" si="178">CONCATENATE(A228," ",B228," ",D228," mm (emission to ",F228,")")</f>
        <v>PET film 0,1-1 mm (emission to air)</v>
      </c>
      <c r="H228" s="144" t="s">
        <v>1035</v>
      </c>
      <c r="I228" s="137">
        <v>0.97699999999999998</v>
      </c>
      <c r="J228" s="101" t="s">
        <v>1019</v>
      </c>
      <c r="K228" s="114">
        <f>K13</f>
        <v>0.41666666666666663</v>
      </c>
      <c r="L228" s="226">
        <f t="shared" si="120"/>
        <v>1000</v>
      </c>
      <c r="M228" s="158">
        <f>IF(L228/1000&gt;1000,1000,L228/1000)</f>
        <v>1</v>
      </c>
      <c r="N228" s="610">
        <f>I228*M228+I229*M229</f>
        <v>0.99356</v>
      </c>
    </row>
    <row r="229" spans="1:14" s="191" customFormat="1" ht="15" customHeight="1">
      <c r="A229" s="172" t="str">
        <f t="shared" ref="A229:B229" si="179">A228</f>
        <v>PET</v>
      </c>
      <c r="B229" s="149" t="str">
        <f t="shared" si="179"/>
        <v>film</v>
      </c>
      <c r="C229" s="149">
        <f t="shared" si="177"/>
        <v>2</v>
      </c>
      <c r="D229" s="149" t="str">
        <f t="shared" ref="D229:F229" si="180">D228</f>
        <v>0,1-1</v>
      </c>
      <c r="E229" s="149">
        <f t="shared" si="180"/>
        <v>1</v>
      </c>
      <c r="F229" s="149" t="str">
        <f t="shared" si="180"/>
        <v>air</v>
      </c>
      <c r="G229" s="146" t="str">
        <f t="shared" si="178"/>
        <v>PET film 0,1-1 mm (emission to air)</v>
      </c>
      <c r="H229" s="146" t="str">
        <f>H228</f>
        <v>Kunststoffrecycling</v>
      </c>
      <c r="I229" s="129">
        <v>2.3E-2</v>
      </c>
      <c r="J229" s="101" t="s">
        <v>1097</v>
      </c>
      <c r="K229" s="114">
        <f>K14</f>
        <v>0.6944444444444452</v>
      </c>
      <c r="L229" s="226">
        <f t="shared" si="120"/>
        <v>719.9999999999992</v>
      </c>
      <c r="M229" s="158">
        <f>IF(L229/1000&gt;1000,1000,L229/1000)</f>
        <v>0.7199999999999992</v>
      </c>
      <c r="N229" s="610"/>
    </row>
    <row r="230" spans="1:14" s="191" customFormat="1" ht="15" customHeight="1">
      <c r="A230" s="172" t="str">
        <f>A229</f>
        <v>PET</v>
      </c>
      <c r="B230" s="149" t="str">
        <f>B229</f>
        <v>film</v>
      </c>
      <c r="C230" s="149">
        <f t="shared" si="177"/>
        <v>2</v>
      </c>
      <c r="D230" s="149" t="str">
        <f t="shared" ref="D230:F230" si="181">D229</f>
        <v>0,1-1</v>
      </c>
      <c r="E230" s="149">
        <f t="shared" si="181"/>
        <v>1</v>
      </c>
      <c r="F230" s="149" t="str">
        <f t="shared" si="181"/>
        <v>air</v>
      </c>
      <c r="G230" s="146" t="str">
        <f t="shared" si="178"/>
        <v>PET film 0,1-1 mm (emission to air)</v>
      </c>
      <c r="H230" s="146" t="str">
        <f>H229</f>
        <v>Kunststoffrecycling</v>
      </c>
      <c r="I230" s="129">
        <v>0</v>
      </c>
      <c r="J230" s="101" t="s">
        <v>1034</v>
      </c>
      <c r="K230" s="151" t="s">
        <v>596</v>
      </c>
      <c r="L230" s="226">
        <f t="shared" si="120"/>
        <v>0</v>
      </c>
      <c r="M230" s="158">
        <f t="shared" ref="M230" si="182">IF(L230/1000&gt;1000,1000,L230/1000)</f>
        <v>0</v>
      </c>
      <c r="N230" s="610"/>
    </row>
    <row r="231" spans="1:14" s="102" customFormat="1" ht="15" customHeight="1">
      <c r="A231" s="175" t="s">
        <v>78</v>
      </c>
      <c r="B231" s="159" t="s">
        <v>996</v>
      </c>
      <c r="C231" s="184">
        <f t="shared" si="165"/>
        <v>2</v>
      </c>
      <c r="D231" s="184" t="s">
        <v>1026</v>
      </c>
      <c r="E231" s="155">
        <v>10</v>
      </c>
      <c r="F231" s="131" t="s">
        <v>1019</v>
      </c>
      <c r="G231" s="134" t="str">
        <f t="shared" ref="G231:G284" si="183">CONCATENATE(A231," ",B231," ",D231," mm (emission to ",F231,")")</f>
        <v>PET film 1-10 mm (emission to soil)</v>
      </c>
      <c r="H231" s="134" t="s">
        <v>1040</v>
      </c>
      <c r="I231" s="129">
        <v>1</v>
      </c>
      <c r="J231" s="101" t="s">
        <v>1019</v>
      </c>
      <c r="K231" s="114">
        <f>K13</f>
        <v>0.41666666666666663</v>
      </c>
      <c r="L231" s="226">
        <f t="shared" si="120"/>
        <v>1000</v>
      </c>
      <c r="M231" s="158">
        <f>IF(L231/1000&gt;1000,1000,L231/1000)</f>
        <v>1</v>
      </c>
      <c r="N231" s="610">
        <f>I231*M231+I232*M232</f>
        <v>1</v>
      </c>
    </row>
    <row r="232" spans="1:14" s="102" customFormat="1" ht="15" customHeight="1">
      <c r="A232" s="172" t="str">
        <f>A231</f>
        <v>PET</v>
      </c>
      <c r="B232" s="149" t="str">
        <f>B231</f>
        <v>film</v>
      </c>
      <c r="C232" s="149">
        <f t="shared" si="165"/>
        <v>2</v>
      </c>
      <c r="D232" s="149" t="str">
        <f t="shared" ref="D232:F233" si="184">D231</f>
        <v>1-10</v>
      </c>
      <c r="E232" s="149">
        <f t="shared" si="184"/>
        <v>10</v>
      </c>
      <c r="F232" s="149" t="str">
        <f t="shared" si="184"/>
        <v>soil</v>
      </c>
      <c r="G232" s="146" t="str">
        <f t="shared" si="183"/>
        <v>PET film 1-10 mm (emission to soil)</v>
      </c>
      <c r="H232" s="146" t="str">
        <f>H231</f>
        <v>Kunststoffverpackungen</v>
      </c>
      <c r="I232" s="129">
        <v>0</v>
      </c>
      <c r="J232" s="101" t="s">
        <v>1097</v>
      </c>
      <c r="K232" s="114">
        <f>K14</f>
        <v>0.6944444444444452</v>
      </c>
      <c r="L232" s="226">
        <f t="shared" si="120"/>
        <v>1000</v>
      </c>
      <c r="M232" s="158">
        <f>IF(L232/1000&gt;1000,1000,L232/1000)</f>
        <v>1</v>
      </c>
      <c r="N232" s="610"/>
    </row>
    <row r="233" spans="1:14" s="102" customFormat="1" ht="15" customHeight="1">
      <c r="A233" s="173" t="str">
        <f>A232</f>
        <v>PET</v>
      </c>
      <c r="B233" s="150" t="str">
        <f>B232</f>
        <v>film</v>
      </c>
      <c r="C233" s="150">
        <f t="shared" si="165"/>
        <v>2</v>
      </c>
      <c r="D233" s="150" t="str">
        <f t="shared" si="184"/>
        <v>1-10</v>
      </c>
      <c r="E233" s="150">
        <f t="shared" si="184"/>
        <v>10</v>
      </c>
      <c r="F233" s="150" t="str">
        <f t="shared" si="184"/>
        <v>soil</v>
      </c>
      <c r="G233" s="147" t="str">
        <f t="shared" si="183"/>
        <v>PET film 1-10 mm (emission to soil)</v>
      </c>
      <c r="H233" s="147" t="str">
        <f>H232</f>
        <v>Kunststoffverpackungen</v>
      </c>
      <c r="I233" s="129">
        <v>0</v>
      </c>
      <c r="J233" s="101" t="s">
        <v>1034</v>
      </c>
      <c r="K233" s="151" t="s">
        <v>596</v>
      </c>
      <c r="L233" s="226">
        <f t="shared" si="120"/>
        <v>0</v>
      </c>
      <c r="M233" s="158">
        <f t="shared" ref="M233" si="185">IF(L233/1000&gt;1000,1000,L233/1000)</f>
        <v>0</v>
      </c>
      <c r="N233" s="610"/>
    </row>
    <row r="234" spans="1:14" s="102" customFormat="1" ht="15" customHeight="1">
      <c r="A234" s="175" t="s">
        <v>78</v>
      </c>
      <c r="B234" s="159" t="s">
        <v>996</v>
      </c>
      <c r="C234" s="184">
        <f t="shared" si="165"/>
        <v>2</v>
      </c>
      <c r="D234" s="184" t="s">
        <v>1026</v>
      </c>
      <c r="E234" s="214">
        <v>10</v>
      </c>
      <c r="F234" s="131" t="s">
        <v>1020</v>
      </c>
      <c r="G234" s="134" t="str">
        <f t="shared" si="183"/>
        <v>PET film 1-10 mm (emission to water)</v>
      </c>
      <c r="H234" s="134" t="s">
        <v>1040</v>
      </c>
      <c r="I234" s="137">
        <v>0</v>
      </c>
      <c r="J234" s="101" t="s">
        <v>1019</v>
      </c>
      <c r="K234" s="114">
        <f>K13</f>
        <v>0.41666666666666663</v>
      </c>
      <c r="L234" s="226">
        <f t="shared" si="120"/>
        <v>1000</v>
      </c>
      <c r="M234" s="220">
        <f t="shared" ref="M234:M237" si="186">IF(L234/1000&gt;1000,1000,L234/1000)</f>
        <v>1</v>
      </c>
      <c r="N234" s="611">
        <f>I234*M234+I235*M235+I236*M236</f>
        <v>1</v>
      </c>
    </row>
    <row r="235" spans="1:14" s="102" customFormat="1" ht="15" customHeight="1">
      <c r="A235" s="172" t="str">
        <f>A234</f>
        <v>PET</v>
      </c>
      <c r="B235" s="149" t="str">
        <f>B234</f>
        <v>film</v>
      </c>
      <c r="C235" s="149">
        <f t="shared" si="165"/>
        <v>2</v>
      </c>
      <c r="D235" s="149" t="str">
        <f t="shared" ref="D235:F236" si="187">D234</f>
        <v>1-10</v>
      </c>
      <c r="E235" s="149">
        <f t="shared" si="187"/>
        <v>10</v>
      </c>
      <c r="F235" s="149" t="str">
        <f t="shared" si="187"/>
        <v>water</v>
      </c>
      <c r="G235" s="146" t="str">
        <f t="shared" si="183"/>
        <v>PET film 1-10 mm (emission to water)</v>
      </c>
      <c r="H235" s="146" t="str">
        <f>H234</f>
        <v>Kunststoffverpackungen</v>
      </c>
      <c r="I235" s="129">
        <v>0</v>
      </c>
      <c r="J235" s="101" t="s">
        <v>1097</v>
      </c>
      <c r="K235" s="114">
        <f>K14</f>
        <v>0.6944444444444452</v>
      </c>
      <c r="L235" s="226">
        <f t="shared" si="120"/>
        <v>1000</v>
      </c>
      <c r="M235" s="220">
        <f t="shared" si="186"/>
        <v>1</v>
      </c>
      <c r="N235" s="612"/>
    </row>
    <row r="236" spans="1:14" s="102" customFormat="1" ht="15" customHeight="1">
      <c r="A236" s="172" t="str">
        <f>A235</f>
        <v>PET</v>
      </c>
      <c r="B236" s="149" t="str">
        <f>B235</f>
        <v>film</v>
      </c>
      <c r="C236" s="149">
        <f t="shared" si="165"/>
        <v>2</v>
      </c>
      <c r="D236" s="149" t="str">
        <f t="shared" si="187"/>
        <v>1-10</v>
      </c>
      <c r="E236" s="149">
        <f t="shared" si="187"/>
        <v>10</v>
      </c>
      <c r="F236" s="149" t="str">
        <f t="shared" si="187"/>
        <v>water</v>
      </c>
      <c r="G236" s="146" t="str">
        <f t="shared" si="183"/>
        <v>PET film 1-10 mm (emission to water)</v>
      </c>
      <c r="H236" s="146" t="str">
        <f>H235</f>
        <v>Kunststoffverpackungen</v>
      </c>
      <c r="I236" s="129">
        <v>1</v>
      </c>
      <c r="J236" s="101" t="s">
        <v>1096</v>
      </c>
      <c r="K236" s="114">
        <f>K15</f>
        <v>0.41666666666666663</v>
      </c>
      <c r="L236" s="226">
        <f t="shared" si="120"/>
        <v>1000</v>
      </c>
      <c r="M236" s="220">
        <f t="shared" si="186"/>
        <v>1</v>
      </c>
      <c r="N236" s="612"/>
    </row>
    <row r="237" spans="1:14" s="102" customFormat="1" ht="15" customHeight="1">
      <c r="A237" s="173" t="str">
        <f>A235</f>
        <v>PET</v>
      </c>
      <c r="B237" s="150" t="str">
        <f>B235</f>
        <v>film</v>
      </c>
      <c r="C237" s="150">
        <f t="shared" si="165"/>
        <v>2</v>
      </c>
      <c r="D237" s="150" t="str">
        <f>D235</f>
        <v>1-10</v>
      </c>
      <c r="E237" s="150">
        <f>E235</f>
        <v>10</v>
      </c>
      <c r="F237" s="150" t="str">
        <f>F235</f>
        <v>water</v>
      </c>
      <c r="G237" s="147" t="str">
        <f t="shared" si="183"/>
        <v>PET film 1-10 mm (emission to water)</v>
      </c>
      <c r="H237" s="147" t="str">
        <f>H235</f>
        <v>Kunststoffverpackungen</v>
      </c>
      <c r="I237" s="129">
        <v>0</v>
      </c>
      <c r="J237" s="101" t="s">
        <v>1034</v>
      </c>
      <c r="K237" s="114" t="s">
        <v>596</v>
      </c>
      <c r="L237" s="226">
        <f t="shared" si="120"/>
        <v>0</v>
      </c>
      <c r="M237" s="220">
        <f t="shared" si="186"/>
        <v>0</v>
      </c>
      <c r="N237" s="613"/>
    </row>
    <row r="238" spans="1:14" s="102" customFormat="1" ht="15" customHeight="1">
      <c r="A238" s="175" t="s">
        <v>78</v>
      </c>
      <c r="B238" s="159" t="s">
        <v>996</v>
      </c>
      <c r="C238" s="290">
        <f t="shared" ref="C238:C240" si="188">IF(OR(B238="Folie", B238="Strips", B238="Film",B238="Flakes",B238="Coupon"), 2,IF(OR(B238="Fibers",B238="Pellets"),4,IF(OR(B238="Particles",B238="Shreds",B238="Powder",B238="Fragments",B238="Granules"),6,"")))</f>
        <v>2</v>
      </c>
      <c r="D238" s="290" t="s">
        <v>1026</v>
      </c>
      <c r="E238" s="155">
        <v>10</v>
      </c>
      <c r="F238" s="131" t="s">
        <v>1057</v>
      </c>
      <c r="G238" s="134" t="str">
        <f t="shared" ref="G238:G240" si="189">CONCATENATE(A238," ",B238," ",D238," mm (emission to ",F238,")")</f>
        <v>PET film 1-10 mm (emission to air)</v>
      </c>
      <c r="H238" s="134" t="s">
        <v>1040</v>
      </c>
      <c r="I238" s="137">
        <v>0.97699999999999998</v>
      </c>
      <c r="J238" s="101" t="s">
        <v>1019</v>
      </c>
      <c r="K238" s="114">
        <f>K13</f>
        <v>0.41666666666666663</v>
      </c>
      <c r="L238" s="226">
        <f t="shared" ref="L238:L240" si="190">IFERROR(IF(K238="--",0,IF(E238*1000/K238*(1-0.5)^(C238/2)&gt;1000,1000,E238*1000/K238*(1-0.5)^(C238/2))),1000)</f>
        <v>1000</v>
      </c>
      <c r="M238" s="158">
        <f>IF(L238/1000&gt;1000,1000,L238/1000)</f>
        <v>1</v>
      </c>
      <c r="N238" s="610">
        <f>I238*M238+I239*M239</f>
        <v>1</v>
      </c>
    </row>
    <row r="239" spans="1:14" s="102" customFormat="1" ht="15" customHeight="1">
      <c r="A239" s="172" t="str">
        <f>A238</f>
        <v>PET</v>
      </c>
      <c r="B239" s="149" t="str">
        <f>B238</f>
        <v>film</v>
      </c>
      <c r="C239" s="149">
        <f t="shared" si="188"/>
        <v>2</v>
      </c>
      <c r="D239" s="149" t="str">
        <f t="shared" ref="D239:F239" si="191">D238</f>
        <v>1-10</v>
      </c>
      <c r="E239" s="149">
        <f t="shared" si="191"/>
        <v>10</v>
      </c>
      <c r="F239" s="149" t="str">
        <f t="shared" si="191"/>
        <v>air</v>
      </c>
      <c r="G239" s="146" t="str">
        <f t="shared" si="189"/>
        <v>PET film 1-10 mm (emission to air)</v>
      </c>
      <c r="H239" s="146" t="str">
        <f>H238</f>
        <v>Kunststoffverpackungen</v>
      </c>
      <c r="I239" s="129">
        <v>2.3E-2</v>
      </c>
      <c r="J239" s="101" t="s">
        <v>1097</v>
      </c>
      <c r="K239" s="114">
        <f>K14</f>
        <v>0.6944444444444452</v>
      </c>
      <c r="L239" s="226">
        <f t="shared" si="190"/>
        <v>1000</v>
      </c>
      <c r="M239" s="158">
        <f>IF(L239/1000&gt;1000,1000,L239/1000)</f>
        <v>1</v>
      </c>
      <c r="N239" s="610"/>
    </row>
    <row r="240" spans="1:14" s="102" customFormat="1" ht="15" customHeight="1">
      <c r="A240" s="173" t="str">
        <f>A239</f>
        <v>PET</v>
      </c>
      <c r="B240" s="150" t="str">
        <f>B239</f>
        <v>film</v>
      </c>
      <c r="C240" s="150">
        <f t="shared" si="188"/>
        <v>2</v>
      </c>
      <c r="D240" s="150" t="str">
        <f t="shared" ref="D240:F240" si="192">D239</f>
        <v>1-10</v>
      </c>
      <c r="E240" s="150">
        <f t="shared" si="192"/>
        <v>10</v>
      </c>
      <c r="F240" s="150" t="str">
        <f t="shared" si="192"/>
        <v>air</v>
      </c>
      <c r="G240" s="147" t="str">
        <f t="shared" si="189"/>
        <v>PET film 1-10 mm (emission to air)</v>
      </c>
      <c r="H240" s="147" t="str">
        <f>H239</f>
        <v>Kunststoffverpackungen</v>
      </c>
      <c r="I240" s="129">
        <v>0</v>
      </c>
      <c r="J240" s="101" t="s">
        <v>1034</v>
      </c>
      <c r="K240" s="151" t="s">
        <v>596</v>
      </c>
      <c r="L240" s="226">
        <f t="shared" si="190"/>
        <v>0</v>
      </c>
      <c r="M240" s="158">
        <f t="shared" ref="M240" si="193">IF(L240/1000&gt;1000,1000,L240/1000)</f>
        <v>0</v>
      </c>
      <c r="N240" s="610"/>
    </row>
    <row r="241" spans="1:14" s="102" customFormat="1" ht="15" customHeight="1">
      <c r="A241" s="175" t="s">
        <v>78</v>
      </c>
      <c r="B241" s="159" t="s">
        <v>1051</v>
      </c>
      <c r="C241" s="188">
        <f t="shared" si="165"/>
        <v>4</v>
      </c>
      <c r="D241" s="188" t="s">
        <v>1028</v>
      </c>
      <c r="E241" s="155">
        <v>1</v>
      </c>
      <c r="F241" s="131" t="s">
        <v>1019</v>
      </c>
      <c r="G241" s="134" t="str">
        <f t="shared" si="183"/>
        <v>PET fibers 0,1-1 mm (emission to soil)</v>
      </c>
      <c r="H241" s="193"/>
      <c r="I241" s="129">
        <v>1</v>
      </c>
      <c r="J241" s="101" t="s">
        <v>1019</v>
      </c>
      <c r="K241" s="114">
        <f>K13</f>
        <v>0.41666666666666663</v>
      </c>
      <c r="L241" s="226">
        <f t="shared" si="120"/>
        <v>600</v>
      </c>
      <c r="M241" s="158">
        <f>IF(L241/1000&gt;1000,1000,L241/1000)</f>
        <v>0.6</v>
      </c>
      <c r="N241" s="610">
        <f>I241*M241+I242*M242</f>
        <v>0.6</v>
      </c>
    </row>
    <row r="242" spans="1:14" s="102" customFormat="1" ht="15" customHeight="1">
      <c r="A242" s="172" t="str">
        <f>A241</f>
        <v>PET</v>
      </c>
      <c r="B242" s="149" t="str">
        <f>B241</f>
        <v>fibers</v>
      </c>
      <c r="C242" s="149">
        <f t="shared" si="165"/>
        <v>4</v>
      </c>
      <c r="D242" s="149" t="str">
        <f t="shared" ref="D242:F243" si="194">D241</f>
        <v>0,1-1</v>
      </c>
      <c r="E242" s="149">
        <f t="shared" si="194"/>
        <v>1</v>
      </c>
      <c r="F242" s="149" t="str">
        <f t="shared" si="194"/>
        <v>soil</v>
      </c>
      <c r="G242" s="146" t="str">
        <f t="shared" si="183"/>
        <v>PET fibers 0,1-1 mm (emission to soil)</v>
      </c>
      <c r="H242" s="146"/>
      <c r="I242" s="129">
        <v>0</v>
      </c>
      <c r="J242" s="101" t="s">
        <v>1097</v>
      </c>
      <c r="K242" s="114">
        <f>K14</f>
        <v>0.6944444444444452</v>
      </c>
      <c r="L242" s="226">
        <f t="shared" si="120"/>
        <v>359.9999999999996</v>
      </c>
      <c r="M242" s="158">
        <f>IF(L242/1000&gt;1000,1000,L242/1000)</f>
        <v>0.3599999999999996</v>
      </c>
      <c r="N242" s="610"/>
    </row>
    <row r="243" spans="1:14" s="102" customFormat="1" ht="15" customHeight="1">
      <c r="A243" s="173" t="str">
        <f>A242</f>
        <v>PET</v>
      </c>
      <c r="B243" s="150" t="str">
        <f>B242</f>
        <v>fibers</v>
      </c>
      <c r="C243" s="150">
        <f t="shared" si="165"/>
        <v>4</v>
      </c>
      <c r="D243" s="150" t="str">
        <f t="shared" si="194"/>
        <v>0,1-1</v>
      </c>
      <c r="E243" s="150">
        <f t="shared" si="194"/>
        <v>1</v>
      </c>
      <c r="F243" s="150" t="str">
        <f t="shared" si="194"/>
        <v>soil</v>
      </c>
      <c r="G243" s="147" t="str">
        <f t="shared" si="183"/>
        <v>PET fibers 0,1-1 mm (emission to soil)</v>
      </c>
      <c r="H243" s="146"/>
      <c r="I243" s="129">
        <v>0</v>
      </c>
      <c r="J243" s="101" t="s">
        <v>1034</v>
      </c>
      <c r="K243" s="151" t="s">
        <v>596</v>
      </c>
      <c r="L243" s="226">
        <f t="shared" si="120"/>
        <v>0</v>
      </c>
      <c r="M243" s="158">
        <f t="shared" ref="M243" si="195">IF(L243/1000&gt;1000,1000,L243/1000)</f>
        <v>0</v>
      </c>
      <c r="N243" s="610"/>
    </row>
    <row r="244" spans="1:14" s="102" customFormat="1" ht="15" customHeight="1">
      <c r="A244" s="268" t="s">
        <v>78</v>
      </c>
      <c r="B244" s="269" t="s">
        <v>1051</v>
      </c>
      <c r="C244" s="262">
        <f t="shared" si="165"/>
        <v>4</v>
      </c>
      <c r="D244" s="262" t="s">
        <v>1028</v>
      </c>
      <c r="E244" s="237">
        <v>1</v>
      </c>
      <c r="F244" s="263" t="s">
        <v>1020</v>
      </c>
      <c r="G244" s="264" t="str">
        <f t="shared" si="183"/>
        <v>PET fibers 0,1-1 mm (emission to water)</v>
      </c>
      <c r="H244" s="270" t="s">
        <v>1052</v>
      </c>
      <c r="I244" s="267">
        <v>0</v>
      </c>
      <c r="J244" s="247" t="s">
        <v>1019</v>
      </c>
      <c r="K244" s="248">
        <f>K13</f>
        <v>0.41666666666666663</v>
      </c>
      <c r="L244" s="243">
        <f t="shared" si="120"/>
        <v>600</v>
      </c>
      <c r="M244" s="257">
        <f t="shared" ref="M244:M247" si="196">IF(L244/1000&gt;1000,1000,L244/1000)</f>
        <v>0.6</v>
      </c>
      <c r="N244" s="611">
        <f>I244*M244+I245*M245+I246*M246</f>
        <v>0.6</v>
      </c>
    </row>
    <row r="245" spans="1:14" s="102" customFormat="1" ht="15" customHeight="1">
      <c r="A245" s="244" t="str">
        <f>A244</f>
        <v>PET</v>
      </c>
      <c r="B245" s="245" t="str">
        <f>B244</f>
        <v>fibers</v>
      </c>
      <c r="C245" s="245">
        <f t="shared" si="165"/>
        <v>4</v>
      </c>
      <c r="D245" s="245" t="str">
        <f t="shared" ref="D245:F246" si="197">D244</f>
        <v>0,1-1</v>
      </c>
      <c r="E245" s="245">
        <f t="shared" si="197"/>
        <v>1</v>
      </c>
      <c r="F245" s="245" t="str">
        <f t="shared" si="197"/>
        <v>water</v>
      </c>
      <c r="G245" s="246" t="str">
        <f t="shared" si="183"/>
        <v>PET fibers 0,1-1 mm (emission to water)</v>
      </c>
      <c r="H245" s="246"/>
      <c r="I245" s="240">
        <v>0</v>
      </c>
      <c r="J245" s="247" t="s">
        <v>1097</v>
      </c>
      <c r="K245" s="248">
        <f>K14</f>
        <v>0.6944444444444452</v>
      </c>
      <c r="L245" s="243">
        <f t="shared" si="120"/>
        <v>359.9999999999996</v>
      </c>
      <c r="M245" s="257">
        <f t="shared" si="196"/>
        <v>0.3599999999999996</v>
      </c>
      <c r="N245" s="612"/>
    </row>
    <row r="246" spans="1:14" s="102" customFormat="1" ht="15" customHeight="1">
      <c r="A246" s="244" t="str">
        <f>A245</f>
        <v>PET</v>
      </c>
      <c r="B246" s="245" t="str">
        <f>B245</f>
        <v>fibers</v>
      </c>
      <c r="C246" s="245">
        <f t="shared" si="165"/>
        <v>4</v>
      </c>
      <c r="D246" s="245" t="str">
        <f t="shared" si="197"/>
        <v>0,1-1</v>
      </c>
      <c r="E246" s="245">
        <f t="shared" si="197"/>
        <v>1</v>
      </c>
      <c r="F246" s="245" t="str">
        <f t="shared" si="197"/>
        <v>water</v>
      </c>
      <c r="G246" s="246" t="str">
        <f t="shared" si="183"/>
        <v>PET fibers 0,1-1 mm (emission to water)</v>
      </c>
      <c r="H246" s="246">
        <f>H245</f>
        <v>0</v>
      </c>
      <c r="I246" s="240">
        <v>1</v>
      </c>
      <c r="J246" s="247" t="s">
        <v>1096</v>
      </c>
      <c r="K246" s="248">
        <f>K15</f>
        <v>0.41666666666666663</v>
      </c>
      <c r="L246" s="243">
        <f t="shared" si="120"/>
        <v>600</v>
      </c>
      <c r="M246" s="257">
        <f t="shared" si="196"/>
        <v>0.6</v>
      </c>
      <c r="N246" s="612"/>
    </row>
    <row r="247" spans="1:14" s="102" customFormat="1" ht="15" customHeight="1">
      <c r="A247" s="249" t="str">
        <f>A245</f>
        <v>PET</v>
      </c>
      <c r="B247" s="250" t="str">
        <f>B245</f>
        <v>fibers</v>
      </c>
      <c r="C247" s="250">
        <f t="shared" si="165"/>
        <v>4</v>
      </c>
      <c r="D247" s="250" t="str">
        <f>D245</f>
        <v>0,1-1</v>
      </c>
      <c r="E247" s="250">
        <f>E245</f>
        <v>1</v>
      </c>
      <c r="F247" s="250" t="str">
        <f>F245</f>
        <v>water</v>
      </c>
      <c r="G247" s="251" t="str">
        <f t="shared" si="183"/>
        <v>PET fibers 0,1-1 mm (emission to water)</v>
      </c>
      <c r="H247" s="246"/>
      <c r="I247" s="240">
        <v>0</v>
      </c>
      <c r="J247" s="247" t="s">
        <v>1034</v>
      </c>
      <c r="K247" s="248" t="s">
        <v>596</v>
      </c>
      <c r="L247" s="243">
        <f t="shared" si="120"/>
        <v>0</v>
      </c>
      <c r="M247" s="257">
        <f t="shared" si="196"/>
        <v>0</v>
      </c>
      <c r="N247" s="613"/>
    </row>
    <row r="248" spans="1:14" s="191" customFormat="1" ht="15" customHeight="1">
      <c r="A248" s="175" t="s">
        <v>78</v>
      </c>
      <c r="B248" s="159" t="s">
        <v>1051</v>
      </c>
      <c r="C248" s="290">
        <f t="shared" ref="C248:C250" si="198">IF(OR(B248="Folie", B248="Strips", B248="Film",B248="Flakes",B248="Coupon"), 2,IF(OR(B248="Fibers",B248="Pellets"),4,IF(OR(B248="Particles",B248="Shreds",B248="Powder",B248="Fragments",B248="Granules"),6,"")))</f>
        <v>4</v>
      </c>
      <c r="D248" s="290" t="s">
        <v>1028</v>
      </c>
      <c r="E248" s="155">
        <v>1</v>
      </c>
      <c r="F248" s="131" t="s">
        <v>1057</v>
      </c>
      <c r="G248" s="134" t="str">
        <f t="shared" ref="G248:G250" si="199">CONCATENATE(A248," ",B248," ",D248," mm (emission to ",F248,")")</f>
        <v>PET fibers 0,1-1 mm (emission to air)</v>
      </c>
      <c r="H248" s="193"/>
      <c r="I248" s="137">
        <v>0.97699999999999998</v>
      </c>
      <c r="J248" s="101" t="s">
        <v>1019</v>
      </c>
      <c r="K248" s="114">
        <f>K13</f>
        <v>0.41666666666666663</v>
      </c>
      <c r="L248" s="226">
        <f t="shared" ref="L248:L250" si="200">IFERROR(IF(K248="--",0,IF(E248*1000/K248*(1-0.5)^(C248/2)&gt;1000,1000,E248*1000/K248*(1-0.5)^(C248/2))),1000)</f>
        <v>600</v>
      </c>
      <c r="M248" s="158">
        <f>IF(L248/1000&gt;1000,1000,L248/1000)</f>
        <v>0.6</v>
      </c>
      <c r="N248" s="610">
        <f>I248*M248+I249*M249</f>
        <v>0.5944799999999999</v>
      </c>
    </row>
    <row r="249" spans="1:14" s="191" customFormat="1" ht="15" customHeight="1">
      <c r="A249" s="172" t="str">
        <f>A248</f>
        <v>PET</v>
      </c>
      <c r="B249" s="149" t="str">
        <f>B248</f>
        <v>fibers</v>
      </c>
      <c r="C249" s="149">
        <f t="shared" si="198"/>
        <v>4</v>
      </c>
      <c r="D249" s="149" t="str">
        <f t="shared" ref="D249:F249" si="201">D248</f>
        <v>0,1-1</v>
      </c>
      <c r="E249" s="149">
        <f t="shared" si="201"/>
        <v>1</v>
      </c>
      <c r="F249" s="149" t="str">
        <f t="shared" si="201"/>
        <v>air</v>
      </c>
      <c r="G249" s="146" t="str">
        <f t="shared" si="199"/>
        <v>PET fibers 0,1-1 mm (emission to air)</v>
      </c>
      <c r="H249" s="146"/>
      <c r="I249" s="129">
        <v>2.3E-2</v>
      </c>
      <c r="J249" s="101" t="s">
        <v>1097</v>
      </c>
      <c r="K249" s="114">
        <f>K14</f>
        <v>0.6944444444444452</v>
      </c>
      <c r="L249" s="226">
        <f t="shared" si="200"/>
        <v>359.9999999999996</v>
      </c>
      <c r="M249" s="158">
        <f>IF(L249/1000&gt;1000,1000,L249/1000)</f>
        <v>0.3599999999999996</v>
      </c>
      <c r="N249" s="610"/>
    </row>
    <row r="250" spans="1:14" s="191" customFormat="1" ht="15" customHeight="1">
      <c r="A250" s="173" t="str">
        <f>A249</f>
        <v>PET</v>
      </c>
      <c r="B250" s="150" t="str">
        <f>B249</f>
        <v>fibers</v>
      </c>
      <c r="C250" s="150">
        <f t="shared" si="198"/>
        <v>4</v>
      </c>
      <c r="D250" s="150" t="str">
        <f t="shared" ref="D250:F250" si="202">D249</f>
        <v>0,1-1</v>
      </c>
      <c r="E250" s="150">
        <f t="shared" si="202"/>
        <v>1</v>
      </c>
      <c r="F250" s="150" t="str">
        <f t="shared" si="202"/>
        <v>air</v>
      </c>
      <c r="G250" s="147" t="str">
        <f t="shared" si="199"/>
        <v>PET fibers 0,1-1 mm (emission to air)</v>
      </c>
      <c r="H250" s="146"/>
      <c r="I250" s="129">
        <v>0</v>
      </c>
      <c r="J250" s="101" t="s">
        <v>1034</v>
      </c>
      <c r="K250" s="151" t="s">
        <v>596</v>
      </c>
      <c r="L250" s="226">
        <f t="shared" si="200"/>
        <v>0</v>
      </c>
      <c r="M250" s="158">
        <f t="shared" ref="M250" si="203">IF(L250/1000&gt;1000,1000,L250/1000)</f>
        <v>0</v>
      </c>
      <c r="N250" s="610"/>
    </row>
    <row r="251" spans="1:14" s="102" customFormat="1" ht="25.5">
      <c r="A251" s="175" t="s">
        <v>78</v>
      </c>
      <c r="B251" s="182" t="s">
        <v>372</v>
      </c>
      <c r="C251" s="140">
        <f t="shared" si="165"/>
        <v>4</v>
      </c>
      <c r="D251" s="153" t="s">
        <v>1026</v>
      </c>
      <c r="E251" s="214">
        <v>10</v>
      </c>
      <c r="F251" s="154" t="s">
        <v>1019</v>
      </c>
      <c r="G251" s="134" t="str">
        <f t="shared" si="183"/>
        <v>PET pellets 1-10 mm (emission to soil)</v>
      </c>
      <c r="H251" s="148" t="s">
        <v>1042</v>
      </c>
      <c r="I251" s="129">
        <v>1</v>
      </c>
      <c r="J251" s="101" t="s">
        <v>1019</v>
      </c>
      <c r="K251" s="114">
        <f>K13</f>
        <v>0.41666666666666663</v>
      </c>
      <c r="L251" s="226">
        <f t="shared" si="120"/>
        <v>1000</v>
      </c>
      <c r="M251" s="158">
        <f>IF(L251/1000&gt;1000,1000,L251/1000)</f>
        <v>1</v>
      </c>
      <c r="N251" s="610">
        <f>I251*M251+I252*M252</f>
        <v>1</v>
      </c>
    </row>
    <row r="252" spans="1:14" s="102" customFormat="1" ht="15" customHeight="1">
      <c r="A252" s="172" t="str">
        <f>A251</f>
        <v>PET</v>
      </c>
      <c r="B252" s="149" t="str">
        <f>B251</f>
        <v>pellets</v>
      </c>
      <c r="C252" s="149">
        <f t="shared" si="165"/>
        <v>4</v>
      </c>
      <c r="D252" s="149" t="str">
        <f t="shared" ref="D252:F253" si="204">D251</f>
        <v>1-10</v>
      </c>
      <c r="E252" s="149">
        <f t="shared" si="204"/>
        <v>10</v>
      </c>
      <c r="F252" s="149" t="str">
        <f t="shared" si="204"/>
        <v>soil</v>
      </c>
      <c r="G252" s="146" t="str">
        <f t="shared" si="183"/>
        <v>PET pellets 1-10 mm (emission to soil)</v>
      </c>
      <c r="H252" s="146" t="str">
        <f>H251</f>
        <v>Freisetzung durch Unfälle mit Pellets; Unsachgemäße Entsorgung von Pellets</v>
      </c>
      <c r="I252" s="129">
        <v>0</v>
      </c>
      <c r="J252" s="101" t="s">
        <v>1097</v>
      </c>
      <c r="K252" s="114">
        <f>K14</f>
        <v>0.6944444444444452</v>
      </c>
      <c r="L252" s="226">
        <f t="shared" si="120"/>
        <v>1000</v>
      </c>
      <c r="M252" s="158">
        <f>IF(L252/1000&gt;1000,1000,L252/1000)</f>
        <v>1</v>
      </c>
      <c r="N252" s="610"/>
    </row>
    <row r="253" spans="1:14" s="102" customFormat="1" ht="15" customHeight="1">
      <c r="A253" s="173" t="str">
        <f>A252</f>
        <v>PET</v>
      </c>
      <c r="B253" s="150" t="str">
        <f>B252</f>
        <v>pellets</v>
      </c>
      <c r="C253" s="150">
        <f t="shared" si="165"/>
        <v>4</v>
      </c>
      <c r="D253" s="150" t="str">
        <f t="shared" si="204"/>
        <v>1-10</v>
      </c>
      <c r="E253" s="150">
        <f t="shared" si="204"/>
        <v>10</v>
      </c>
      <c r="F253" s="150" t="str">
        <f t="shared" si="204"/>
        <v>soil</v>
      </c>
      <c r="G253" s="147" t="str">
        <f t="shared" si="183"/>
        <v>PET pellets 1-10 mm (emission to soil)</v>
      </c>
      <c r="H253" s="147" t="str">
        <f>H252</f>
        <v>Freisetzung durch Unfälle mit Pellets; Unsachgemäße Entsorgung von Pellets</v>
      </c>
      <c r="I253" s="129">
        <v>0</v>
      </c>
      <c r="J253" s="101" t="s">
        <v>1034</v>
      </c>
      <c r="K253" s="151" t="s">
        <v>596</v>
      </c>
      <c r="L253" s="226">
        <f t="shared" si="120"/>
        <v>0</v>
      </c>
      <c r="M253" s="158">
        <f t="shared" ref="M253" si="205">IF(L253/1000&gt;1000,1000,L253/1000)</f>
        <v>0</v>
      </c>
      <c r="N253" s="610"/>
    </row>
    <row r="254" spans="1:14" s="102" customFormat="1" ht="25.5">
      <c r="A254" s="175" t="s">
        <v>78</v>
      </c>
      <c r="B254" s="155" t="s">
        <v>372</v>
      </c>
      <c r="C254" s="184">
        <f t="shared" si="165"/>
        <v>4</v>
      </c>
      <c r="D254" s="153" t="s">
        <v>1026</v>
      </c>
      <c r="E254" s="214">
        <v>10</v>
      </c>
      <c r="F254" s="154" t="s">
        <v>1020</v>
      </c>
      <c r="G254" s="134" t="str">
        <f t="shared" si="183"/>
        <v>PET pellets 1-10 mm (emission to water)</v>
      </c>
      <c r="H254" s="148" t="s">
        <v>1042</v>
      </c>
      <c r="I254" s="137">
        <v>0</v>
      </c>
      <c r="J254" s="101" t="s">
        <v>1019</v>
      </c>
      <c r="K254" s="114">
        <f>K13</f>
        <v>0.41666666666666663</v>
      </c>
      <c r="L254" s="226">
        <f t="shared" si="120"/>
        <v>1000</v>
      </c>
      <c r="M254" s="220">
        <f t="shared" ref="M254:M257" si="206">IF(L254/1000&gt;1000,1000,L254/1000)</f>
        <v>1</v>
      </c>
      <c r="N254" s="611">
        <f>I254*M254+I255*M255+I256*M256</f>
        <v>1</v>
      </c>
    </row>
    <row r="255" spans="1:14" s="102" customFormat="1" ht="15" customHeight="1">
      <c r="A255" s="172" t="str">
        <f>A254</f>
        <v>PET</v>
      </c>
      <c r="B255" s="149" t="str">
        <f>B254</f>
        <v>pellets</v>
      </c>
      <c r="C255" s="149">
        <f t="shared" si="165"/>
        <v>4</v>
      </c>
      <c r="D255" s="149" t="str">
        <f t="shared" ref="D255:F256" si="207">D254</f>
        <v>1-10</v>
      </c>
      <c r="E255" s="149">
        <f t="shared" si="207"/>
        <v>10</v>
      </c>
      <c r="F255" s="149" t="str">
        <f t="shared" si="207"/>
        <v>water</v>
      </c>
      <c r="G255" s="146" t="str">
        <f t="shared" si="183"/>
        <v>PET pellets 1-10 mm (emission to water)</v>
      </c>
      <c r="H255" s="146" t="str">
        <f>H254</f>
        <v>Freisetzung durch Unfälle mit Pellets; Unsachgemäße Entsorgung von Pellets</v>
      </c>
      <c r="I255" s="129">
        <v>0</v>
      </c>
      <c r="J255" s="101" t="s">
        <v>1097</v>
      </c>
      <c r="K255" s="114">
        <f>K14</f>
        <v>0.6944444444444452</v>
      </c>
      <c r="L255" s="226">
        <f t="shared" si="120"/>
        <v>1000</v>
      </c>
      <c r="M255" s="220">
        <f t="shared" si="206"/>
        <v>1</v>
      </c>
      <c r="N255" s="612"/>
    </row>
    <row r="256" spans="1:14" s="102" customFormat="1" ht="15" customHeight="1">
      <c r="A256" s="172" t="str">
        <f>A255</f>
        <v>PET</v>
      </c>
      <c r="B256" s="149" t="str">
        <f>B255</f>
        <v>pellets</v>
      </c>
      <c r="C256" s="149">
        <f t="shared" si="165"/>
        <v>4</v>
      </c>
      <c r="D256" s="149" t="str">
        <f t="shared" si="207"/>
        <v>1-10</v>
      </c>
      <c r="E256" s="149">
        <f t="shared" si="207"/>
        <v>10</v>
      </c>
      <c r="F256" s="149" t="str">
        <f t="shared" si="207"/>
        <v>water</v>
      </c>
      <c r="G256" s="146" t="str">
        <f t="shared" si="183"/>
        <v>PET pellets 1-10 mm (emission to water)</v>
      </c>
      <c r="H256" s="146" t="str">
        <f>H255</f>
        <v>Freisetzung durch Unfälle mit Pellets; Unsachgemäße Entsorgung von Pellets</v>
      </c>
      <c r="I256" s="129">
        <v>1</v>
      </c>
      <c r="J256" s="101" t="s">
        <v>1096</v>
      </c>
      <c r="K256" s="114">
        <f>K15</f>
        <v>0.41666666666666663</v>
      </c>
      <c r="L256" s="226">
        <f t="shared" si="120"/>
        <v>1000</v>
      </c>
      <c r="M256" s="220">
        <f t="shared" si="206"/>
        <v>1</v>
      </c>
      <c r="N256" s="612"/>
    </row>
    <row r="257" spans="1:14" s="102" customFormat="1" ht="15" customHeight="1">
      <c r="A257" s="173" t="str">
        <f>A255</f>
        <v>PET</v>
      </c>
      <c r="B257" s="150" t="str">
        <f>B255</f>
        <v>pellets</v>
      </c>
      <c r="C257" s="150">
        <f t="shared" si="165"/>
        <v>4</v>
      </c>
      <c r="D257" s="150" t="str">
        <f>D255</f>
        <v>1-10</v>
      </c>
      <c r="E257" s="150">
        <f>E255</f>
        <v>10</v>
      </c>
      <c r="F257" s="150" t="str">
        <f>F255</f>
        <v>water</v>
      </c>
      <c r="G257" s="147" t="str">
        <f t="shared" si="183"/>
        <v>PET pellets 1-10 mm (emission to water)</v>
      </c>
      <c r="H257" s="147" t="str">
        <f>H255</f>
        <v>Freisetzung durch Unfälle mit Pellets; Unsachgemäße Entsorgung von Pellets</v>
      </c>
      <c r="I257" s="129">
        <v>0</v>
      </c>
      <c r="J257" s="101" t="s">
        <v>1034</v>
      </c>
      <c r="K257" s="114" t="s">
        <v>596</v>
      </c>
      <c r="L257" s="226">
        <f t="shared" si="120"/>
        <v>0</v>
      </c>
      <c r="M257" s="220">
        <f t="shared" si="206"/>
        <v>0</v>
      </c>
      <c r="N257" s="613"/>
    </row>
    <row r="258" spans="1:14" s="102" customFormat="1" ht="28.5" customHeight="1">
      <c r="A258" s="175" t="s">
        <v>78</v>
      </c>
      <c r="B258" s="287" t="s">
        <v>372</v>
      </c>
      <c r="C258" s="140">
        <f t="shared" ref="C258:C260" si="208">IF(OR(B258="Folie", B258="Strips", B258="Film",B258="Flakes",B258="Coupon"), 2,IF(OR(B258="Fibers",B258="Pellets"),4,IF(OR(B258="Particles",B258="Shreds",B258="Powder",B258="Fragments",B258="Granules"),6,"")))</f>
        <v>4</v>
      </c>
      <c r="D258" s="153" t="s">
        <v>1026</v>
      </c>
      <c r="E258" s="288">
        <v>10</v>
      </c>
      <c r="F258" s="154" t="s">
        <v>1057</v>
      </c>
      <c r="G258" s="134" t="str">
        <f t="shared" ref="G258:G260" si="209">CONCATENATE(A258," ",B258," ",D258," mm (emission to ",F258,")")</f>
        <v>PET pellets 1-10 mm (emission to air)</v>
      </c>
      <c r="H258" s="148" t="s">
        <v>1042</v>
      </c>
      <c r="I258" s="137">
        <v>0.97699999999999998</v>
      </c>
      <c r="J258" s="101" t="s">
        <v>1019</v>
      </c>
      <c r="K258" s="114">
        <f>K13</f>
        <v>0.41666666666666663</v>
      </c>
      <c r="L258" s="226">
        <f t="shared" ref="L258:L260" si="210">IFERROR(IF(K258="--",0,IF(E258*1000/K258*(1-0.5)^(C258/2)&gt;1000,1000,E258*1000/K258*(1-0.5)^(C258/2))),1000)</f>
        <v>1000</v>
      </c>
      <c r="M258" s="158">
        <f>IF(L258/1000&gt;1000,1000,L258/1000)</f>
        <v>1</v>
      </c>
      <c r="N258" s="610">
        <f>I258*M258+I259*M259</f>
        <v>1</v>
      </c>
    </row>
    <row r="259" spans="1:14" s="102" customFormat="1" ht="15" customHeight="1">
      <c r="A259" s="172" t="str">
        <f>A258</f>
        <v>PET</v>
      </c>
      <c r="B259" s="149" t="str">
        <f>B258</f>
        <v>pellets</v>
      </c>
      <c r="C259" s="149">
        <f t="shared" si="208"/>
        <v>4</v>
      </c>
      <c r="D259" s="149" t="str">
        <f t="shared" ref="D259:F259" si="211">D258</f>
        <v>1-10</v>
      </c>
      <c r="E259" s="149">
        <f t="shared" si="211"/>
        <v>10</v>
      </c>
      <c r="F259" s="149" t="str">
        <f t="shared" si="211"/>
        <v>air</v>
      </c>
      <c r="G259" s="146" t="str">
        <f t="shared" si="209"/>
        <v>PET pellets 1-10 mm (emission to air)</v>
      </c>
      <c r="H259" s="146" t="str">
        <f>H258</f>
        <v>Freisetzung durch Unfälle mit Pellets; Unsachgemäße Entsorgung von Pellets</v>
      </c>
      <c r="I259" s="129">
        <v>2.3E-2</v>
      </c>
      <c r="J259" s="101" t="s">
        <v>1097</v>
      </c>
      <c r="K259" s="114">
        <f>K14</f>
        <v>0.6944444444444452</v>
      </c>
      <c r="L259" s="226">
        <f t="shared" si="210"/>
        <v>1000</v>
      </c>
      <c r="M259" s="158">
        <f>IF(L259/1000&gt;1000,1000,L259/1000)</f>
        <v>1</v>
      </c>
      <c r="N259" s="610"/>
    </row>
    <row r="260" spans="1:14" s="102" customFormat="1" ht="15" customHeight="1">
      <c r="A260" s="173" t="str">
        <f>A259</f>
        <v>PET</v>
      </c>
      <c r="B260" s="150" t="str">
        <f>B259</f>
        <v>pellets</v>
      </c>
      <c r="C260" s="150">
        <f t="shared" si="208"/>
        <v>4</v>
      </c>
      <c r="D260" s="150" t="str">
        <f t="shared" ref="D260:F260" si="212">D259</f>
        <v>1-10</v>
      </c>
      <c r="E260" s="150">
        <f t="shared" si="212"/>
        <v>10</v>
      </c>
      <c r="F260" s="150" t="str">
        <f t="shared" si="212"/>
        <v>air</v>
      </c>
      <c r="G260" s="147" t="str">
        <f t="shared" si="209"/>
        <v>PET pellets 1-10 mm (emission to air)</v>
      </c>
      <c r="H260" s="147" t="str">
        <f>H259</f>
        <v>Freisetzung durch Unfälle mit Pellets; Unsachgemäße Entsorgung von Pellets</v>
      </c>
      <c r="I260" s="129">
        <v>0</v>
      </c>
      <c r="J260" s="101" t="s">
        <v>1034</v>
      </c>
      <c r="K260" s="151" t="s">
        <v>596</v>
      </c>
      <c r="L260" s="226">
        <f t="shared" si="210"/>
        <v>0</v>
      </c>
      <c r="M260" s="158">
        <f t="shared" ref="M260" si="213">IF(L260/1000&gt;1000,1000,L260/1000)</f>
        <v>0</v>
      </c>
      <c r="N260" s="610"/>
    </row>
    <row r="261" spans="1:14" s="102" customFormat="1">
      <c r="A261" s="175" t="s">
        <v>78</v>
      </c>
      <c r="B261" s="186" t="s">
        <v>1025</v>
      </c>
      <c r="C261" s="188">
        <f t="shared" si="165"/>
        <v>6</v>
      </c>
      <c r="D261" s="188" t="s">
        <v>1018</v>
      </c>
      <c r="E261" s="155">
        <v>0.1</v>
      </c>
      <c r="F261" s="131" t="s">
        <v>1019</v>
      </c>
      <c r="G261" s="134" t="str">
        <f t="shared" si="183"/>
        <v>PET particles 0,01-0,1 mm (emission to soil)</v>
      </c>
      <c r="H261" s="133"/>
      <c r="I261" s="129">
        <v>1</v>
      </c>
      <c r="J261" s="101" t="s">
        <v>1019</v>
      </c>
      <c r="K261" s="114">
        <f>K13</f>
        <v>0.41666666666666663</v>
      </c>
      <c r="L261" s="226">
        <f t="shared" si="120"/>
        <v>30.000000000000004</v>
      </c>
      <c r="M261" s="158">
        <f>IF(L261/1000&gt;1000,1000,L261/1000)</f>
        <v>3.0000000000000002E-2</v>
      </c>
      <c r="N261" s="610">
        <f>I261*M261+I262*M262</f>
        <v>3.0000000000000002E-2</v>
      </c>
    </row>
    <row r="262" spans="1:14" s="102" customFormat="1">
      <c r="A262" s="172" t="str">
        <f>A261</f>
        <v>PET</v>
      </c>
      <c r="B262" s="149" t="str">
        <f>B261</f>
        <v>particles</v>
      </c>
      <c r="C262" s="149">
        <f t="shared" si="165"/>
        <v>6</v>
      </c>
      <c r="D262" s="149" t="str">
        <f t="shared" ref="D262:F263" si="214">D261</f>
        <v>0,01-0,1</v>
      </c>
      <c r="E262" s="149">
        <f t="shared" si="214"/>
        <v>0.1</v>
      </c>
      <c r="F262" s="149" t="str">
        <f t="shared" si="214"/>
        <v>soil</v>
      </c>
      <c r="G262" s="146" t="str">
        <f t="shared" si="183"/>
        <v>PET particles 0,01-0,1 mm (emission to soil)</v>
      </c>
      <c r="H262" s="146"/>
      <c r="I262" s="129">
        <v>0</v>
      </c>
      <c r="J262" s="101" t="s">
        <v>1097</v>
      </c>
      <c r="K262" s="114">
        <f>K14</f>
        <v>0.6944444444444452</v>
      </c>
      <c r="L262" s="226">
        <f t="shared" si="120"/>
        <v>17.999999999999982</v>
      </c>
      <c r="M262" s="158">
        <f>IF(L262/1000&gt;1000,1000,L262/1000)</f>
        <v>1.7999999999999981E-2</v>
      </c>
      <c r="N262" s="610"/>
    </row>
    <row r="263" spans="1:14" s="102" customFormat="1">
      <c r="A263" s="173" t="str">
        <f>A262</f>
        <v>PET</v>
      </c>
      <c r="B263" s="150" t="str">
        <f>B262</f>
        <v>particles</v>
      </c>
      <c r="C263" s="150">
        <f t="shared" si="165"/>
        <v>6</v>
      </c>
      <c r="D263" s="150" t="str">
        <f t="shared" si="214"/>
        <v>0,01-0,1</v>
      </c>
      <c r="E263" s="150">
        <f t="shared" si="214"/>
        <v>0.1</v>
      </c>
      <c r="F263" s="150" t="str">
        <f t="shared" si="214"/>
        <v>soil</v>
      </c>
      <c r="G263" s="147" t="str">
        <f t="shared" si="183"/>
        <v>PET particles 0,01-0,1 mm (emission to soil)</v>
      </c>
      <c r="H263" s="147"/>
      <c r="I263" s="129">
        <v>0</v>
      </c>
      <c r="J263" s="101" t="s">
        <v>1034</v>
      </c>
      <c r="K263" s="151" t="s">
        <v>596</v>
      </c>
      <c r="L263" s="226">
        <f t="shared" ref="L263:L354" si="215">IFERROR(IF(K263="--",0,IF(E263*1000/K263*(1-0.5)^(C263/2)&gt;1000,1000,E263*1000/K263*(1-0.5)^(C263/2))),1000)</f>
        <v>0</v>
      </c>
      <c r="M263" s="158">
        <f t="shared" ref="M263" si="216">IF(L263/1000&gt;1000,1000,L263/1000)</f>
        <v>0</v>
      </c>
      <c r="N263" s="610"/>
    </row>
    <row r="264" spans="1:14" s="102" customFormat="1">
      <c r="A264" s="175" t="s">
        <v>78</v>
      </c>
      <c r="B264" s="186" t="s">
        <v>1025</v>
      </c>
      <c r="C264" s="188">
        <f t="shared" si="165"/>
        <v>6</v>
      </c>
      <c r="D264" s="188" t="s">
        <v>1018</v>
      </c>
      <c r="E264" s="155">
        <v>0.1</v>
      </c>
      <c r="F264" s="131" t="s">
        <v>1020</v>
      </c>
      <c r="G264" s="134" t="str">
        <f t="shared" si="183"/>
        <v>PET particles 0,01-0,1 mm (emission to water)</v>
      </c>
      <c r="H264" s="133"/>
      <c r="I264" s="137">
        <v>0</v>
      </c>
      <c r="J264" s="101" t="s">
        <v>1019</v>
      </c>
      <c r="K264" s="114">
        <f>K13</f>
        <v>0.41666666666666663</v>
      </c>
      <c r="L264" s="226">
        <f t="shared" si="215"/>
        <v>30.000000000000004</v>
      </c>
      <c r="M264" s="220">
        <f t="shared" ref="M264:M267" si="217">IF(L264/1000&gt;1000,1000,L264/1000)</f>
        <v>3.0000000000000002E-2</v>
      </c>
      <c r="N264" s="611">
        <f>I264*M264+I265*M265+I266*M266</f>
        <v>3.0000000000000002E-2</v>
      </c>
    </row>
    <row r="265" spans="1:14" s="102" customFormat="1">
      <c r="A265" s="172" t="str">
        <f>A264</f>
        <v>PET</v>
      </c>
      <c r="B265" s="149" t="str">
        <f>B264</f>
        <v>particles</v>
      </c>
      <c r="C265" s="149">
        <f t="shared" si="165"/>
        <v>6</v>
      </c>
      <c r="D265" s="149" t="str">
        <f t="shared" ref="D265:F266" si="218">D264</f>
        <v>0,01-0,1</v>
      </c>
      <c r="E265" s="149">
        <f t="shared" si="218"/>
        <v>0.1</v>
      </c>
      <c r="F265" s="149" t="str">
        <f t="shared" si="218"/>
        <v>water</v>
      </c>
      <c r="G265" s="146" t="str">
        <f t="shared" si="183"/>
        <v>PET particles 0,01-0,1 mm (emission to water)</v>
      </c>
      <c r="H265" s="146"/>
      <c r="I265" s="129">
        <v>0</v>
      </c>
      <c r="J265" s="101" t="s">
        <v>1097</v>
      </c>
      <c r="K265" s="114">
        <f>K14</f>
        <v>0.6944444444444452</v>
      </c>
      <c r="L265" s="226">
        <f t="shared" si="215"/>
        <v>17.999999999999982</v>
      </c>
      <c r="M265" s="220">
        <f t="shared" si="217"/>
        <v>1.7999999999999981E-2</v>
      </c>
      <c r="N265" s="612"/>
    </row>
    <row r="266" spans="1:14" s="102" customFormat="1">
      <c r="A266" s="172" t="str">
        <f>A265</f>
        <v>PET</v>
      </c>
      <c r="B266" s="149" t="str">
        <f>B265</f>
        <v>particles</v>
      </c>
      <c r="C266" s="149">
        <f t="shared" si="165"/>
        <v>6</v>
      </c>
      <c r="D266" s="149" t="str">
        <f t="shared" si="218"/>
        <v>0,01-0,1</v>
      </c>
      <c r="E266" s="149">
        <f t="shared" si="218"/>
        <v>0.1</v>
      </c>
      <c r="F266" s="149" t="str">
        <f t="shared" si="218"/>
        <v>water</v>
      </c>
      <c r="G266" s="146" t="str">
        <f t="shared" si="183"/>
        <v>PET particles 0,01-0,1 mm (emission to water)</v>
      </c>
      <c r="H266" s="146">
        <f>H265</f>
        <v>0</v>
      </c>
      <c r="I266" s="129">
        <v>1</v>
      </c>
      <c r="J266" s="101" t="s">
        <v>1096</v>
      </c>
      <c r="K266" s="114">
        <f>K15</f>
        <v>0.41666666666666663</v>
      </c>
      <c r="L266" s="226">
        <f t="shared" si="215"/>
        <v>30.000000000000004</v>
      </c>
      <c r="M266" s="220">
        <f t="shared" si="217"/>
        <v>3.0000000000000002E-2</v>
      </c>
      <c r="N266" s="612"/>
    </row>
    <row r="267" spans="1:14" s="102" customFormat="1">
      <c r="A267" s="173" t="str">
        <f>A265</f>
        <v>PET</v>
      </c>
      <c r="B267" s="150" t="str">
        <f>B265</f>
        <v>particles</v>
      </c>
      <c r="C267" s="150">
        <f t="shared" si="165"/>
        <v>6</v>
      </c>
      <c r="D267" s="150" t="str">
        <f>D265</f>
        <v>0,01-0,1</v>
      </c>
      <c r="E267" s="150">
        <f>E265</f>
        <v>0.1</v>
      </c>
      <c r="F267" s="150" t="str">
        <f>F265</f>
        <v>water</v>
      </c>
      <c r="G267" s="147" t="str">
        <f t="shared" si="183"/>
        <v>PET particles 0,01-0,1 mm (emission to water)</v>
      </c>
      <c r="H267" s="147"/>
      <c r="I267" s="129">
        <v>0</v>
      </c>
      <c r="J267" s="101" t="s">
        <v>1034</v>
      </c>
      <c r="K267" s="114" t="s">
        <v>596</v>
      </c>
      <c r="L267" s="226">
        <f t="shared" si="215"/>
        <v>0</v>
      </c>
      <c r="M267" s="220">
        <f t="shared" si="217"/>
        <v>0</v>
      </c>
      <c r="N267" s="613"/>
    </row>
    <row r="268" spans="1:14" s="102" customFormat="1">
      <c r="A268" s="175" t="s">
        <v>78</v>
      </c>
      <c r="B268" s="288" t="s">
        <v>1025</v>
      </c>
      <c r="C268" s="290">
        <f t="shared" ref="C268:C270" si="219">IF(OR(B268="Folie", B268="Strips", B268="Film",B268="Flakes",B268="Coupon"), 2,IF(OR(B268="Fibers",B268="Pellets"),4,IF(OR(B268="Particles",B268="Shreds",B268="Powder",B268="Fragments",B268="Granules"),6,"")))</f>
        <v>6</v>
      </c>
      <c r="D268" s="290" t="s">
        <v>1018</v>
      </c>
      <c r="E268" s="155">
        <v>0.1</v>
      </c>
      <c r="F268" s="131" t="s">
        <v>1057</v>
      </c>
      <c r="G268" s="134" t="str">
        <f t="shared" ref="G268:G270" si="220">CONCATENATE(A268," ",B268," ",D268," mm (emission to ",F268,")")</f>
        <v>PET particles 0,01-0,1 mm (emission to air)</v>
      </c>
      <c r="H268" s="133"/>
      <c r="I268" s="137">
        <v>0.97699999999999998</v>
      </c>
      <c r="J268" s="101" t="s">
        <v>1019</v>
      </c>
      <c r="K268" s="114">
        <f>K13</f>
        <v>0.41666666666666663</v>
      </c>
      <c r="L268" s="226">
        <f t="shared" si="215"/>
        <v>30.000000000000004</v>
      </c>
      <c r="M268" s="158">
        <f>IF(L268/1000&gt;1000,1000,L268/1000)</f>
        <v>3.0000000000000002E-2</v>
      </c>
      <c r="N268" s="610">
        <f>I268*M268+I269*M269</f>
        <v>2.9724000000000004E-2</v>
      </c>
    </row>
    <row r="269" spans="1:14" s="102" customFormat="1">
      <c r="A269" s="172" t="str">
        <f>A268</f>
        <v>PET</v>
      </c>
      <c r="B269" s="149" t="str">
        <f>B268</f>
        <v>particles</v>
      </c>
      <c r="C269" s="149">
        <f t="shared" si="219"/>
        <v>6</v>
      </c>
      <c r="D269" s="149" t="str">
        <f t="shared" ref="D269:F269" si="221">D268</f>
        <v>0,01-0,1</v>
      </c>
      <c r="E269" s="149">
        <f t="shared" si="221"/>
        <v>0.1</v>
      </c>
      <c r="F269" s="149" t="str">
        <f t="shared" si="221"/>
        <v>air</v>
      </c>
      <c r="G269" s="146" t="str">
        <f t="shared" si="220"/>
        <v>PET particles 0,01-0,1 mm (emission to air)</v>
      </c>
      <c r="H269" s="146"/>
      <c r="I269" s="129">
        <v>2.3E-2</v>
      </c>
      <c r="J269" s="101" t="s">
        <v>1097</v>
      </c>
      <c r="K269" s="114">
        <f>K14</f>
        <v>0.6944444444444452</v>
      </c>
      <c r="L269" s="226">
        <f t="shared" si="215"/>
        <v>17.999999999999982</v>
      </c>
      <c r="M269" s="158">
        <f>IF(L269/1000&gt;1000,1000,L269/1000)</f>
        <v>1.7999999999999981E-2</v>
      </c>
      <c r="N269" s="610"/>
    </row>
    <row r="270" spans="1:14" s="102" customFormat="1">
      <c r="A270" s="173" t="str">
        <f>A269</f>
        <v>PET</v>
      </c>
      <c r="B270" s="150" t="str">
        <f>B269</f>
        <v>particles</v>
      </c>
      <c r="C270" s="150">
        <f t="shared" si="219"/>
        <v>6</v>
      </c>
      <c r="D270" s="150" t="str">
        <f t="shared" ref="D270:F270" si="222">D269</f>
        <v>0,01-0,1</v>
      </c>
      <c r="E270" s="150">
        <f t="shared" si="222"/>
        <v>0.1</v>
      </c>
      <c r="F270" s="150" t="str">
        <f t="shared" si="222"/>
        <v>air</v>
      </c>
      <c r="G270" s="147" t="str">
        <f t="shared" si="220"/>
        <v>PET particles 0,01-0,1 mm (emission to air)</v>
      </c>
      <c r="H270" s="147"/>
      <c r="I270" s="129">
        <v>0</v>
      </c>
      <c r="J270" s="101" t="s">
        <v>1034</v>
      </c>
      <c r="K270" s="151" t="s">
        <v>596</v>
      </c>
      <c r="L270" s="226">
        <f t="shared" ref="L270" si="223">IFERROR(IF(K270="--",0,IF(E270*1000/K270*(1-0.5)^(C270/2)&gt;1000,1000,E270*1000/K270*(1-0.5)^(C270/2))),1000)</f>
        <v>0</v>
      </c>
      <c r="M270" s="158">
        <f t="shared" ref="M270" si="224">IF(L270/1000&gt;1000,1000,L270/1000)</f>
        <v>0</v>
      </c>
      <c r="N270" s="610"/>
    </row>
    <row r="271" spans="1:14" s="102" customFormat="1">
      <c r="A271" s="175" t="s">
        <v>78</v>
      </c>
      <c r="B271" s="186" t="s">
        <v>1025</v>
      </c>
      <c r="C271" s="188">
        <f t="shared" si="165"/>
        <v>6</v>
      </c>
      <c r="D271" s="188" t="s">
        <v>1028</v>
      </c>
      <c r="E271" s="155">
        <v>1</v>
      </c>
      <c r="F271" s="131" t="s">
        <v>1019</v>
      </c>
      <c r="G271" s="134" t="str">
        <f t="shared" si="183"/>
        <v>PET particles 0,1-1 mm (emission to soil)</v>
      </c>
      <c r="H271" s="133"/>
      <c r="I271" s="129">
        <v>1</v>
      </c>
      <c r="J271" s="101" t="s">
        <v>1019</v>
      </c>
      <c r="K271" s="114">
        <f>K13</f>
        <v>0.41666666666666663</v>
      </c>
      <c r="L271" s="226">
        <f t="shared" si="215"/>
        <v>300</v>
      </c>
      <c r="M271" s="158">
        <f>IF(L271/1000&gt;1000,1000,L271/1000)</f>
        <v>0.3</v>
      </c>
      <c r="N271" s="610">
        <f>I271*M271+I272*M272</f>
        <v>0.3</v>
      </c>
    </row>
    <row r="272" spans="1:14" s="102" customFormat="1">
      <c r="A272" s="172" t="str">
        <f>A271</f>
        <v>PET</v>
      </c>
      <c r="B272" s="149" t="str">
        <f>B271</f>
        <v>particles</v>
      </c>
      <c r="C272" s="149">
        <f t="shared" si="165"/>
        <v>6</v>
      </c>
      <c r="D272" s="149" t="str">
        <f t="shared" ref="D272:F273" si="225">D271</f>
        <v>0,1-1</v>
      </c>
      <c r="E272" s="149">
        <f t="shared" si="225"/>
        <v>1</v>
      </c>
      <c r="F272" s="149" t="str">
        <f t="shared" si="225"/>
        <v>soil</v>
      </c>
      <c r="G272" s="146" t="str">
        <f t="shared" si="183"/>
        <v>PET particles 0,1-1 mm (emission to soil)</v>
      </c>
      <c r="H272" s="146"/>
      <c r="I272" s="129">
        <v>0</v>
      </c>
      <c r="J272" s="101" t="s">
        <v>1097</v>
      </c>
      <c r="K272" s="114">
        <f>K14</f>
        <v>0.6944444444444452</v>
      </c>
      <c r="L272" s="226">
        <f t="shared" si="215"/>
        <v>179.9999999999998</v>
      </c>
      <c r="M272" s="158">
        <f>IF(L272/1000&gt;1000,1000,L272/1000)</f>
        <v>0.1799999999999998</v>
      </c>
      <c r="N272" s="610"/>
    </row>
    <row r="273" spans="1:14" s="102" customFormat="1">
      <c r="A273" s="173" t="str">
        <f>A272</f>
        <v>PET</v>
      </c>
      <c r="B273" s="150" t="str">
        <f>B272</f>
        <v>particles</v>
      </c>
      <c r="C273" s="150">
        <f t="shared" si="165"/>
        <v>6</v>
      </c>
      <c r="D273" s="150" t="str">
        <f t="shared" si="225"/>
        <v>0,1-1</v>
      </c>
      <c r="E273" s="150">
        <f t="shared" si="225"/>
        <v>1</v>
      </c>
      <c r="F273" s="150" t="str">
        <f t="shared" si="225"/>
        <v>soil</v>
      </c>
      <c r="G273" s="147" t="str">
        <f t="shared" si="183"/>
        <v>PET particles 0,1-1 mm (emission to soil)</v>
      </c>
      <c r="H273" s="147"/>
      <c r="I273" s="129">
        <v>0</v>
      </c>
      <c r="J273" s="101" t="s">
        <v>1034</v>
      </c>
      <c r="K273" s="151" t="s">
        <v>596</v>
      </c>
      <c r="L273" s="226">
        <f t="shared" si="215"/>
        <v>0</v>
      </c>
      <c r="M273" s="158">
        <f t="shared" ref="M273" si="226">IF(L273/1000&gt;1000,1000,L273/1000)</f>
        <v>0</v>
      </c>
      <c r="N273" s="610"/>
    </row>
    <row r="274" spans="1:14" s="102" customFormat="1">
      <c r="A274" s="175" t="s">
        <v>78</v>
      </c>
      <c r="B274" s="186" t="s">
        <v>1025</v>
      </c>
      <c r="C274" s="188">
        <f t="shared" si="165"/>
        <v>6</v>
      </c>
      <c r="D274" s="188" t="s">
        <v>1028</v>
      </c>
      <c r="E274" s="155">
        <v>1</v>
      </c>
      <c r="F274" s="131" t="s">
        <v>1020</v>
      </c>
      <c r="G274" s="134" t="str">
        <f t="shared" si="183"/>
        <v>PET particles 0,1-1 mm (emission to water)</v>
      </c>
      <c r="H274" s="133"/>
      <c r="I274" s="137">
        <v>0</v>
      </c>
      <c r="J274" s="101" t="s">
        <v>1019</v>
      </c>
      <c r="K274" s="114">
        <f>K13</f>
        <v>0.41666666666666663</v>
      </c>
      <c r="L274" s="226">
        <f t="shared" si="215"/>
        <v>300</v>
      </c>
      <c r="M274" s="220">
        <f t="shared" ref="M274:M277" si="227">IF(L274/1000&gt;1000,1000,L274/1000)</f>
        <v>0.3</v>
      </c>
      <c r="N274" s="611">
        <f>I274*M274+I275*M275+I276*M276</f>
        <v>0.3</v>
      </c>
    </row>
    <row r="275" spans="1:14" s="102" customFormat="1">
      <c r="A275" s="172" t="str">
        <f>A274</f>
        <v>PET</v>
      </c>
      <c r="B275" s="149" t="str">
        <f>B274</f>
        <v>particles</v>
      </c>
      <c r="C275" s="149">
        <f t="shared" si="165"/>
        <v>6</v>
      </c>
      <c r="D275" s="149" t="str">
        <f t="shared" ref="D275:F276" si="228">D274</f>
        <v>0,1-1</v>
      </c>
      <c r="E275" s="149">
        <f t="shared" si="228"/>
        <v>1</v>
      </c>
      <c r="F275" s="149" t="str">
        <f t="shared" si="228"/>
        <v>water</v>
      </c>
      <c r="G275" s="146" t="str">
        <f t="shared" si="183"/>
        <v>PET particles 0,1-1 mm (emission to water)</v>
      </c>
      <c r="H275" s="146"/>
      <c r="I275" s="129">
        <v>0</v>
      </c>
      <c r="J275" s="101" t="s">
        <v>1097</v>
      </c>
      <c r="K275" s="114">
        <f>K14</f>
        <v>0.6944444444444452</v>
      </c>
      <c r="L275" s="226">
        <f t="shared" si="215"/>
        <v>179.9999999999998</v>
      </c>
      <c r="M275" s="220">
        <f t="shared" si="227"/>
        <v>0.1799999999999998</v>
      </c>
      <c r="N275" s="612"/>
    </row>
    <row r="276" spans="1:14" s="102" customFormat="1">
      <c r="A276" s="172" t="str">
        <f>A275</f>
        <v>PET</v>
      </c>
      <c r="B276" s="149" t="str">
        <f>B275</f>
        <v>particles</v>
      </c>
      <c r="C276" s="149">
        <f t="shared" si="165"/>
        <v>6</v>
      </c>
      <c r="D276" s="149" t="str">
        <f t="shared" si="228"/>
        <v>0,1-1</v>
      </c>
      <c r="E276" s="149">
        <f t="shared" si="228"/>
        <v>1</v>
      </c>
      <c r="F276" s="149" t="str">
        <f t="shared" si="228"/>
        <v>water</v>
      </c>
      <c r="G276" s="146" t="str">
        <f t="shared" si="183"/>
        <v>PET particles 0,1-1 mm (emission to water)</v>
      </c>
      <c r="H276" s="146">
        <f>H275</f>
        <v>0</v>
      </c>
      <c r="I276" s="129">
        <v>1</v>
      </c>
      <c r="J276" s="101" t="s">
        <v>1096</v>
      </c>
      <c r="K276" s="114">
        <f>K15</f>
        <v>0.41666666666666663</v>
      </c>
      <c r="L276" s="226">
        <f t="shared" si="215"/>
        <v>300</v>
      </c>
      <c r="M276" s="220">
        <f t="shared" si="227"/>
        <v>0.3</v>
      </c>
      <c r="N276" s="612"/>
    </row>
    <row r="277" spans="1:14" s="102" customFormat="1">
      <c r="A277" s="173" t="str">
        <f>A275</f>
        <v>PET</v>
      </c>
      <c r="B277" s="150" t="str">
        <f>B275</f>
        <v>particles</v>
      </c>
      <c r="C277" s="150">
        <f t="shared" si="165"/>
        <v>6</v>
      </c>
      <c r="D277" s="150" t="str">
        <f>D275</f>
        <v>0,1-1</v>
      </c>
      <c r="E277" s="150">
        <f>E275</f>
        <v>1</v>
      </c>
      <c r="F277" s="150" t="str">
        <f>F275</f>
        <v>water</v>
      </c>
      <c r="G277" s="147" t="str">
        <f t="shared" si="183"/>
        <v>PET particles 0,1-1 mm (emission to water)</v>
      </c>
      <c r="H277" s="147"/>
      <c r="I277" s="129">
        <v>0</v>
      </c>
      <c r="J277" s="101" t="s">
        <v>1034</v>
      </c>
      <c r="K277" s="151" t="s">
        <v>596</v>
      </c>
      <c r="L277" s="226">
        <f t="shared" si="215"/>
        <v>0</v>
      </c>
      <c r="M277" s="220">
        <f t="shared" si="227"/>
        <v>0</v>
      </c>
      <c r="N277" s="613"/>
    </row>
    <row r="278" spans="1:14" s="102" customFormat="1">
      <c r="A278" s="175" t="s">
        <v>78</v>
      </c>
      <c r="B278" s="288" t="s">
        <v>1025</v>
      </c>
      <c r="C278" s="290">
        <f t="shared" ref="C278:C280" si="229">IF(OR(B278="Folie", B278="Strips", B278="Film",B278="Flakes",B278="Coupon"), 2,IF(OR(B278="Fibers",B278="Pellets"),4,IF(OR(B278="Particles",B278="Shreds",B278="Powder",B278="Fragments",B278="Granules"),6,"")))</f>
        <v>6</v>
      </c>
      <c r="D278" s="290" t="s">
        <v>1028</v>
      </c>
      <c r="E278" s="155">
        <v>1</v>
      </c>
      <c r="F278" s="131" t="s">
        <v>1057</v>
      </c>
      <c r="G278" s="134" t="str">
        <f t="shared" ref="G278:G280" si="230">CONCATENATE(A278," ",B278," ",D278," mm (emission to ",F278,")")</f>
        <v>PET particles 0,1-1 mm (emission to air)</v>
      </c>
      <c r="H278" s="133"/>
      <c r="I278" s="137">
        <v>0.97699999999999998</v>
      </c>
      <c r="J278" s="101" t="s">
        <v>1019</v>
      </c>
      <c r="K278" s="114">
        <f>K13</f>
        <v>0.41666666666666663</v>
      </c>
      <c r="L278" s="226">
        <f t="shared" ref="L278:L280" si="231">IFERROR(IF(K278="--",0,IF(E278*1000/K278*(1-0.5)^(C278/2)&gt;1000,1000,E278*1000/K278*(1-0.5)^(C278/2))),1000)</f>
        <v>300</v>
      </c>
      <c r="M278" s="158">
        <f>IF(L278/1000&gt;1000,1000,L278/1000)</f>
        <v>0.3</v>
      </c>
      <c r="N278" s="610">
        <f>I278*M278+I279*M279</f>
        <v>0.29723999999999995</v>
      </c>
    </row>
    <row r="279" spans="1:14" s="102" customFormat="1">
      <c r="A279" s="172" t="str">
        <f>A278</f>
        <v>PET</v>
      </c>
      <c r="B279" s="149" t="str">
        <f>B278</f>
        <v>particles</v>
      </c>
      <c r="C279" s="149">
        <f t="shared" si="229"/>
        <v>6</v>
      </c>
      <c r="D279" s="149" t="str">
        <f t="shared" ref="D279:F279" si="232">D278</f>
        <v>0,1-1</v>
      </c>
      <c r="E279" s="149">
        <f t="shared" si="232"/>
        <v>1</v>
      </c>
      <c r="F279" s="149" t="str">
        <f t="shared" si="232"/>
        <v>air</v>
      </c>
      <c r="G279" s="146" t="str">
        <f t="shared" si="230"/>
        <v>PET particles 0,1-1 mm (emission to air)</v>
      </c>
      <c r="H279" s="146"/>
      <c r="I279" s="129">
        <v>2.3E-2</v>
      </c>
      <c r="J279" s="101" t="s">
        <v>1097</v>
      </c>
      <c r="K279" s="114">
        <f>K14</f>
        <v>0.6944444444444452</v>
      </c>
      <c r="L279" s="226">
        <f t="shared" si="231"/>
        <v>179.9999999999998</v>
      </c>
      <c r="M279" s="158">
        <f>IF(L279/1000&gt;1000,1000,L279/1000)</f>
        <v>0.1799999999999998</v>
      </c>
      <c r="N279" s="610"/>
    </row>
    <row r="280" spans="1:14" s="102" customFormat="1">
      <c r="A280" s="173" t="str">
        <f>A279</f>
        <v>PET</v>
      </c>
      <c r="B280" s="150" t="str">
        <f>B279</f>
        <v>particles</v>
      </c>
      <c r="C280" s="150">
        <f t="shared" si="229"/>
        <v>6</v>
      </c>
      <c r="D280" s="150" t="str">
        <f t="shared" ref="D280:F280" si="233">D279</f>
        <v>0,1-1</v>
      </c>
      <c r="E280" s="150">
        <f t="shared" si="233"/>
        <v>1</v>
      </c>
      <c r="F280" s="150" t="str">
        <f t="shared" si="233"/>
        <v>air</v>
      </c>
      <c r="G280" s="147" t="str">
        <f t="shared" si="230"/>
        <v>PET particles 0,1-1 mm (emission to air)</v>
      </c>
      <c r="H280" s="147"/>
      <c r="I280" s="129">
        <v>0</v>
      </c>
      <c r="J280" s="101" t="s">
        <v>1034</v>
      </c>
      <c r="K280" s="151" t="s">
        <v>596</v>
      </c>
      <c r="L280" s="226">
        <f t="shared" si="231"/>
        <v>0</v>
      </c>
      <c r="M280" s="158">
        <f t="shared" ref="M280" si="234">IF(L280/1000&gt;1000,1000,L280/1000)</f>
        <v>0</v>
      </c>
      <c r="N280" s="610"/>
    </row>
    <row r="281" spans="1:14" s="102" customFormat="1" ht="15" customHeight="1">
      <c r="A281" s="176" t="s">
        <v>78</v>
      </c>
      <c r="B281" s="183" t="s">
        <v>1025</v>
      </c>
      <c r="C281" s="184">
        <f t="shared" si="165"/>
        <v>6</v>
      </c>
      <c r="D281" s="184" t="s">
        <v>1026</v>
      </c>
      <c r="E281" s="155">
        <v>10</v>
      </c>
      <c r="F281" s="131" t="s">
        <v>1019</v>
      </c>
      <c r="G281" s="134" t="str">
        <f t="shared" si="183"/>
        <v>PET particles 1-10 mm (emission to soil)</v>
      </c>
      <c r="H281" s="133" t="s">
        <v>1038</v>
      </c>
      <c r="I281" s="129">
        <v>1</v>
      </c>
      <c r="J281" s="101" t="s">
        <v>1019</v>
      </c>
      <c r="K281" s="114">
        <f>K13</f>
        <v>0.41666666666666663</v>
      </c>
      <c r="L281" s="226">
        <f t="shared" si="215"/>
        <v>1000</v>
      </c>
      <c r="M281" s="158">
        <f>IF(L281/1000&gt;1000,1000,L281/1000)</f>
        <v>1</v>
      </c>
      <c r="N281" s="610">
        <f>I281*M281+I282*M282</f>
        <v>1</v>
      </c>
    </row>
    <row r="282" spans="1:14" s="102" customFormat="1" ht="15" customHeight="1">
      <c r="A282" s="172" t="str">
        <f>A281</f>
        <v>PET</v>
      </c>
      <c r="B282" s="149" t="str">
        <f>B281</f>
        <v>particles</v>
      </c>
      <c r="C282" s="149">
        <f t="shared" si="165"/>
        <v>6</v>
      </c>
      <c r="D282" s="149" t="str">
        <f t="shared" ref="D282:F283" si="235">D281</f>
        <v>1-10</v>
      </c>
      <c r="E282" s="149">
        <f t="shared" si="235"/>
        <v>10</v>
      </c>
      <c r="F282" s="149" t="str">
        <f t="shared" si="235"/>
        <v>soil</v>
      </c>
      <c r="G282" s="146" t="str">
        <f t="shared" si="183"/>
        <v>PET particles 1-10 mm (emission to soil)</v>
      </c>
      <c r="H282" s="146" t="str">
        <f>H281</f>
        <v>Metallzerkleinerung</v>
      </c>
      <c r="I282" s="129">
        <v>0</v>
      </c>
      <c r="J282" s="101" t="s">
        <v>1097</v>
      </c>
      <c r="K282" s="114">
        <f>K14</f>
        <v>0.6944444444444452</v>
      </c>
      <c r="L282" s="226">
        <f t="shared" si="215"/>
        <v>1000</v>
      </c>
      <c r="M282" s="158">
        <f>IF(L282/1000&gt;1000,1000,L282/1000)</f>
        <v>1</v>
      </c>
      <c r="N282" s="610"/>
    </row>
    <row r="283" spans="1:14" s="102" customFormat="1" ht="15" customHeight="1">
      <c r="A283" s="173" t="str">
        <f>A282</f>
        <v>PET</v>
      </c>
      <c r="B283" s="150" t="str">
        <f>B282</f>
        <v>particles</v>
      </c>
      <c r="C283" s="150">
        <f t="shared" si="165"/>
        <v>6</v>
      </c>
      <c r="D283" s="150" t="str">
        <f t="shared" si="235"/>
        <v>1-10</v>
      </c>
      <c r="E283" s="150">
        <f t="shared" si="235"/>
        <v>10</v>
      </c>
      <c r="F283" s="150" t="str">
        <f t="shared" si="235"/>
        <v>soil</v>
      </c>
      <c r="G283" s="147" t="str">
        <f t="shared" si="183"/>
        <v>PET particles 1-10 mm (emission to soil)</v>
      </c>
      <c r="H283" s="147" t="str">
        <f>H282</f>
        <v>Metallzerkleinerung</v>
      </c>
      <c r="I283" s="129">
        <v>0</v>
      </c>
      <c r="J283" s="101" t="s">
        <v>1034</v>
      </c>
      <c r="K283" s="151" t="s">
        <v>596</v>
      </c>
      <c r="L283" s="226">
        <f t="shared" si="215"/>
        <v>0</v>
      </c>
      <c r="M283" s="158">
        <f t="shared" ref="M283" si="236">IF(L283/1000&gt;1000,1000,L283/1000)</f>
        <v>0</v>
      </c>
      <c r="N283" s="610"/>
    </row>
    <row r="284" spans="1:14" s="102" customFormat="1" ht="15" customHeight="1">
      <c r="A284" s="176" t="s">
        <v>78</v>
      </c>
      <c r="B284" s="183" t="s">
        <v>1025</v>
      </c>
      <c r="C284" s="184">
        <f t="shared" si="165"/>
        <v>6</v>
      </c>
      <c r="D284" s="184" t="s">
        <v>1026</v>
      </c>
      <c r="E284" s="214">
        <v>10</v>
      </c>
      <c r="F284" s="131" t="s">
        <v>1020</v>
      </c>
      <c r="G284" s="134" t="str">
        <f t="shared" si="183"/>
        <v>PET particles 1-10 mm (emission to water)</v>
      </c>
      <c r="H284" s="133" t="s">
        <v>1038</v>
      </c>
      <c r="I284" s="137">
        <v>0</v>
      </c>
      <c r="J284" s="101" t="s">
        <v>1019</v>
      </c>
      <c r="K284" s="114">
        <f>K13</f>
        <v>0.41666666666666663</v>
      </c>
      <c r="L284" s="226">
        <f t="shared" si="215"/>
        <v>1000</v>
      </c>
      <c r="M284" s="220">
        <f t="shared" ref="M284:M287" si="237">IF(L284/1000&gt;1000,1000,L284/1000)</f>
        <v>1</v>
      </c>
      <c r="N284" s="611">
        <f>I284*M284+I285*M285+I286*M286</f>
        <v>1</v>
      </c>
    </row>
    <row r="285" spans="1:14" s="102" customFormat="1" ht="15" customHeight="1">
      <c r="A285" s="172" t="str">
        <f>A284</f>
        <v>PET</v>
      </c>
      <c r="B285" s="149" t="str">
        <f>B284</f>
        <v>particles</v>
      </c>
      <c r="C285" s="149">
        <f t="shared" si="165"/>
        <v>6</v>
      </c>
      <c r="D285" s="149" t="str">
        <f t="shared" ref="D285:F286" si="238">D284</f>
        <v>1-10</v>
      </c>
      <c r="E285" s="149">
        <f t="shared" si="238"/>
        <v>10</v>
      </c>
      <c r="F285" s="149" t="str">
        <f t="shared" si="238"/>
        <v>water</v>
      </c>
      <c r="G285" s="146" t="str">
        <f t="shared" ref="G285:G297" si="239">CONCATENATE(A285," ",B285," ",D285," mm (emission to ",F285,")")</f>
        <v>PET particles 1-10 mm (emission to water)</v>
      </c>
      <c r="H285" s="146" t="str">
        <f>H284</f>
        <v>Metallzerkleinerung</v>
      </c>
      <c r="I285" s="129">
        <v>0</v>
      </c>
      <c r="J285" s="101" t="s">
        <v>1097</v>
      </c>
      <c r="K285" s="114">
        <f>K14</f>
        <v>0.6944444444444452</v>
      </c>
      <c r="L285" s="226">
        <f t="shared" si="215"/>
        <v>1000</v>
      </c>
      <c r="M285" s="220">
        <f t="shared" si="237"/>
        <v>1</v>
      </c>
      <c r="N285" s="612"/>
    </row>
    <row r="286" spans="1:14" s="102" customFormat="1" ht="15" customHeight="1">
      <c r="A286" s="172" t="str">
        <f>A285</f>
        <v>PET</v>
      </c>
      <c r="B286" s="149" t="str">
        <f>B285</f>
        <v>particles</v>
      </c>
      <c r="C286" s="149">
        <f t="shared" si="165"/>
        <v>6</v>
      </c>
      <c r="D286" s="149" t="str">
        <f t="shared" si="238"/>
        <v>1-10</v>
      </c>
      <c r="E286" s="149">
        <f t="shared" si="238"/>
        <v>10</v>
      </c>
      <c r="F286" s="149" t="str">
        <f t="shared" si="238"/>
        <v>water</v>
      </c>
      <c r="G286" s="146" t="str">
        <f t="shared" si="239"/>
        <v>PET particles 1-10 mm (emission to water)</v>
      </c>
      <c r="H286" s="146" t="str">
        <f>H285</f>
        <v>Metallzerkleinerung</v>
      </c>
      <c r="I286" s="129">
        <v>1</v>
      </c>
      <c r="J286" s="101" t="s">
        <v>1096</v>
      </c>
      <c r="K286" s="114">
        <f>K15</f>
        <v>0.41666666666666663</v>
      </c>
      <c r="L286" s="226">
        <f t="shared" si="215"/>
        <v>1000</v>
      </c>
      <c r="M286" s="220">
        <f t="shared" si="237"/>
        <v>1</v>
      </c>
      <c r="N286" s="612"/>
    </row>
    <row r="287" spans="1:14" s="102" customFormat="1" ht="15" customHeight="1">
      <c r="A287" s="173" t="str">
        <f>A285</f>
        <v>PET</v>
      </c>
      <c r="B287" s="150" t="str">
        <f>B285</f>
        <v>particles</v>
      </c>
      <c r="C287" s="150">
        <f t="shared" si="165"/>
        <v>6</v>
      </c>
      <c r="D287" s="150" t="str">
        <f>D285</f>
        <v>1-10</v>
      </c>
      <c r="E287" s="150">
        <f>E285</f>
        <v>10</v>
      </c>
      <c r="F287" s="150" t="str">
        <f>F285</f>
        <v>water</v>
      </c>
      <c r="G287" s="147" t="str">
        <f t="shared" si="239"/>
        <v>PET particles 1-10 mm (emission to water)</v>
      </c>
      <c r="H287" s="147" t="str">
        <f>H285</f>
        <v>Metallzerkleinerung</v>
      </c>
      <c r="I287" s="129">
        <v>0</v>
      </c>
      <c r="J287" s="225" t="s">
        <v>1034</v>
      </c>
      <c r="K287" s="114" t="s">
        <v>596</v>
      </c>
      <c r="L287" s="226">
        <f t="shared" si="215"/>
        <v>0</v>
      </c>
      <c r="M287" s="220">
        <f t="shared" si="237"/>
        <v>0</v>
      </c>
      <c r="N287" s="613"/>
    </row>
    <row r="288" spans="1:14" s="102" customFormat="1" ht="15" customHeight="1">
      <c r="A288" s="176" t="s">
        <v>78</v>
      </c>
      <c r="B288" s="288" t="s">
        <v>1025</v>
      </c>
      <c r="C288" s="290">
        <f t="shared" ref="C288:C290" si="240">IF(OR(B288="Folie", B288="Strips", B288="Film",B288="Flakes",B288="Coupon"), 2,IF(OR(B288="Fibers",B288="Pellets"),4,IF(OR(B288="Particles",B288="Shreds",B288="Powder",B288="Fragments",B288="Granules"),6,"")))</f>
        <v>6</v>
      </c>
      <c r="D288" s="290" t="s">
        <v>1026</v>
      </c>
      <c r="E288" s="155">
        <v>10</v>
      </c>
      <c r="F288" s="131" t="s">
        <v>1057</v>
      </c>
      <c r="G288" s="134" t="str">
        <f t="shared" si="239"/>
        <v>PET particles 1-10 mm (emission to air)</v>
      </c>
      <c r="H288" s="133" t="s">
        <v>1038</v>
      </c>
      <c r="I288" s="137">
        <v>0.97699999999999998</v>
      </c>
      <c r="J288" s="101" t="s">
        <v>1019</v>
      </c>
      <c r="K288" s="114">
        <f>K13</f>
        <v>0.41666666666666663</v>
      </c>
      <c r="L288" s="226">
        <f t="shared" ref="L288:L290" si="241">IFERROR(IF(K288="--",0,IF(E288*1000/K288*(1-0.5)^(C288/2)&gt;1000,1000,E288*1000/K288*(1-0.5)^(C288/2))),1000)</f>
        <v>1000</v>
      </c>
      <c r="M288" s="158">
        <f>IF(L288/1000&gt;1000,1000,L288/1000)</f>
        <v>1</v>
      </c>
      <c r="N288" s="610">
        <f>I288*M288+I289*M289</f>
        <v>1</v>
      </c>
    </row>
    <row r="289" spans="1:14" s="102" customFormat="1" ht="15" customHeight="1">
      <c r="A289" s="172" t="str">
        <f>A288</f>
        <v>PET</v>
      </c>
      <c r="B289" s="149" t="str">
        <f>B288</f>
        <v>particles</v>
      </c>
      <c r="C289" s="149">
        <f t="shared" si="240"/>
        <v>6</v>
      </c>
      <c r="D289" s="149" t="str">
        <f t="shared" ref="D289:F289" si="242">D288</f>
        <v>1-10</v>
      </c>
      <c r="E289" s="149">
        <f t="shared" si="242"/>
        <v>10</v>
      </c>
      <c r="F289" s="149" t="str">
        <f t="shared" si="242"/>
        <v>air</v>
      </c>
      <c r="G289" s="146" t="str">
        <f t="shared" si="239"/>
        <v>PET particles 1-10 mm (emission to air)</v>
      </c>
      <c r="H289" s="146" t="str">
        <f>H288</f>
        <v>Metallzerkleinerung</v>
      </c>
      <c r="I289" s="129">
        <v>2.3E-2</v>
      </c>
      <c r="J289" s="101" t="s">
        <v>1097</v>
      </c>
      <c r="K289" s="114">
        <f>K14</f>
        <v>0.6944444444444452</v>
      </c>
      <c r="L289" s="226">
        <f t="shared" si="241"/>
        <v>1000</v>
      </c>
      <c r="M289" s="158">
        <f>IF(L289/1000&gt;1000,1000,L289/1000)</f>
        <v>1</v>
      </c>
      <c r="N289" s="610"/>
    </row>
    <row r="290" spans="1:14" s="102" customFormat="1" ht="15" customHeight="1" thickBot="1">
      <c r="A290" s="173" t="str">
        <f>A289</f>
        <v>PET</v>
      </c>
      <c r="B290" s="150" t="str">
        <f>B289</f>
        <v>particles</v>
      </c>
      <c r="C290" s="150">
        <f t="shared" si="240"/>
        <v>6</v>
      </c>
      <c r="D290" s="150" t="str">
        <f t="shared" ref="D290:F290" si="243">D289</f>
        <v>1-10</v>
      </c>
      <c r="E290" s="150">
        <f t="shared" si="243"/>
        <v>10</v>
      </c>
      <c r="F290" s="150" t="str">
        <f t="shared" si="243"/>
        <v>air</v>
      </c>
      <c r="G290" s="147" t="str">
        <f t="shared" si="239"/>
        <v>PET particles 1-10 mm (emission to air)</v>
      </c>
      <c r="H290" s="147" t="str">
        <f>H289</f>
        <v>Metallzerkleinerung</v>
      </c>
      <c r="I290" s="129">
        <v>0</v>
      </c>
      <c r="J290" s="101" t="s">
        <v>1034</v>
      </c>
      <c r="K290" s="151" t="s">
        <v>596</v>
      </c>
      <c r="L290" s="226">
        <f t="shared" si="241"/>
        <v>0</v>
      </c>
      <c r="M290" s="158">
        <f t="shared" ref="M290" si="244">IF(L290/1000&gt;1000,1000,L290/1000)</f>
        <v>0</v>
      </c>
      <c r="N290" s="610"/>
    </row>
    <row r="291" spans="1:14" s="102" customFormat="1" ht="25.5">
      <c r="A291" s="190" t="s">
        <v>949</v>
      </c>
      <c r="B291" s="164" t="s">
        <v>996</v>
      </c>
      <c r="C291" s="165">
        <f t="shared" si="165"/>
        <v>2</v>
      </c>
      <c r="D291" s="165" t="s">
        <v>1028</v>
      </c>
      <c r="E291" s="155">
        <v>1</v>
      </c>
      <c r="F291" s="166" t="s">
        <v>1019</v>
      </c>
      <c r="G291" s="167" t="str">
        <f t="shared" si="239"/>
        <v>PUR film 0,1-1 mm (emission to soil)</v>
      </c>
      <c r="H291" s="168" t="s">
        <v>1041</v>
      </c>
      <c r="I291" s="129">
        <v>1</v>
      </c>
      <c r="J291" s="170" t="s">
        <v>1019</v>
      </c>
      <c r="K291" s="171">
        <f>K16</f>
        <v>52.875</v>
      </c>
      <c r="L291" s="226">
        <f t="shared" si="215"/>
        <v>9.456264775413711</v>
      </c>
      <c r="M291" s="158">
        <f>IF(L291/1000&gt;1000,1000,L291/1000)</f>
        <v>9.4562647754137114E-3</v>
      </c>
      <c r="N291" s="610">
        <f>I291*M291+I292*M292</f>
        <v>9.4562647754137114E-3</v>
      </c>
    </row>
    <row r="292" spans="1:14" s="102" customFormat="1" ht="15" customHeight="1">
      <c r="A292" s="172" t="str">
        <f t="shared" ref="A292:F292" si="245">A291</f>
        <v>PUR</v>
      </c>
      <c r="B292" s="149" t="str">
        <f t="shared" si="245"/>
        <v>film</v>
      </c>
      <c r="C292" s="149">
        <f t="shared" si="165"/>
        <v>2</v>
      </c>
      <c r="D292" s="149" t="str">
        <f t="shared" si="245"/>
        <v>0,1-1</v>
      </c>
      <c r="E292" s="149">
        <f t="shared" si="245"/>
        <v>1</v>
      </c>
      <c r="F292" s="149" t="str">
        <f t="shared" si="245"/>
        <v>soil</v>
      </c>
      <c r="G292" s="146" t="str">
        <f t="shared" si="239"/>
        <v>PUR film 0,1-1 mm (emission to soil)</v>
      </c>
      <c r="H292" s="146" t="str">
        <f>H291</f>
        <v>Kunststoffrecycling; Auswaschung aus Deponien</v>
      </c>
      <c r="I292" s="129">
        <v>0</v>
      </c>
      <c r="J292" s="101" t="s">
        <v>1097</v>
      </c>
      <c r="K292" s="114">
        <f>K17</f>
        <v>52.875</v>
      </c>
      <c r="L292" s="226">
        <f t="shared" si="215"/>
        <v>9.456264775413711</v>
      </c>
      <c r="M292" s="158">
        <f>IF(L292/1000&gt;1000,1000,L292/1000)</f>
        <v>9.4562647754137114E-3</v>
      </c>
      <c r="N292" s="610"/>
    </row>
    <row r="293" spans="1:14" s="102" customFormat="1" ht="15" customHeight="1">
      <c r="A293" s="173" t="str">
        <f t="shared" ref="A293:F293" si="246">A292</f>
        <v>PUR</v>
      </c>
      <c r="B293" s="150" t="str">
        <f t="shared" si="246"/>
        <v>film</v>
      </c>
      <c r="C293" s="150">
        <f t="shared" si="165"/>
        <v>2</v>
      </c>
      <c r="D293" s="150" t="str">
        <f t="shared" si="246"/>
        <v>0,1-1</v>
      </c>
      <c r="E293" s="150">
        <f t="shared" si="246"/>
        <v>1</v>
      </c>
      <c r="F293" s="150" t="str">
        <f t="shared" si="246"/>
        <v>soil</v>
      </c>
      <c r="G293" s="147" t="str">
        <f t="shared" si="239"/>
        <v>PUR film 0,1-1 mm (emission to soil)</v>
      </c>
      <c r="H293" s="147" t="str">
        <f>H292</f>
        <v>Kunststoffrecycling; Auswaschung aus Deponien</v>
      </c>
      <c r="I293" s="129">
        <v>0</v>
      </c>
      <c r="J293" s="101" t="s">
        <v>1034</v>
      </c>
      <c r="K293" s="151" t="s">
        <v>596</v>
      </c>
      <c r="L293" s="226">
        <f t="shared" si="215"/>
        <v>0</v>
      </c>
      <c r="M293" s="158">
        <f t="shared" ref="M293" si="247">IF(L293/1000&gt;1000,1000,L293/1000)</f>
        <v>0</v>
      </c>
      <c r="N293" s="610"/>
    </row>
    <row r="294" spans="1:14" s="102" customFormat="1" ht="25.5">
      <c r="A294" s="176" t="s">
        <v>949</v>
      </c>
      <c r="B294" s="183" t="s">
        <v>996</v>
      </c>
      <c r="C294" s="184">
        <f t="shared" si="165"/>
        <v>2</v>
      </c>
      <c r="D294" s="184" t="s">
        <v>1028</v>
      </c>
      <c r="E294" s="155">
        <v>1</v>
      </c>
      <c r="F294" s="131" t="s">
        <v>1020</v>
      </c>
      <c r="G294" s="134" t="str">
        <f t="shared" si="239"/>
        <v>PUR film 0,1-1 mm (emission to water)</v>
      </c>
      <c r="H294" s="144" t="s">
        <v>1041</v>
      </c>
      <c r="I294" s="137">
        <v>0</v>
      </c>
      <c r="J294" s="101" t="s">
        <v>1019</v>
      </c>
      <c r="K294" s="114">
        <f>K16</f>
        <v>52.875</v>
      </c>
      <c r="L294" s="226">
        <f t="shared" si="215"/>
        <v>9.456264775413711</v>
      </c>
      <c r="M294" s="220">
        <f t="shared" ref="M294:M297" si="248">IF(L294/1000&gt;1000,1000,L294/1000)</f>
        <v>9.4562647754137114E-3</v>
      </c>
      <c r="N294" s="611">
        <f>I294*M294+I295*M295+I296*M296</f>
        <v>9.4562647754137114E-3</v>
      </c>
    </row>
    <row r="295" spans="1:14" s="102" customFormat="1" ht="15" customHeight="1">
      <c r="A295" s="172" t="str">
        <f t="shared" ref="A295:F296" si="249">A294</f>
        <v>PUR</v>
      </c>
      <c r="B295" s="149" t="str">
        <f t="shared" si="249"/>
        <v>film</v>
      </c>
      <c r="C295" s="149">
        <f t="shared" si="165"/>
        <v>2</v>
      </c>
      <c r="D295" s="149" t="str">
        <f t="shared" si="249"/>
        <v>0,1-1</v>
      </c>
      <c r="E295" s="149">
        <f t="shared" si="249"/>
        <v>1</v>
      </c>
      <c r="F295" s="149" t="str">
        <f t="shared" si="249"/>
        <v>water</v>
      </c>
      <c r="G295" s="146" t="str">
        <f t="shared" si="239"/>
        <v>PUR film 0,1-1 mm (emission to water)</v>
      </c>
      <c r="H295" s="146" t="str">
        <f>H294</f>
        <v>Kunststoffrecycling; Auswaschung aus Deponien</v>
      </c>
      <c r="I295" s="129">
        <v>0</v>
      </c>
      <c r="J295" s="101" t="s">
        <v>1097</v>
      </c>
      <c r="K295" s="114">
        <f>K17</f>
        <v>52.875</v>
      </c>
      <c r="L295" s="226">
        <f t="shared" si="215"/>
        <v>9.456264775413711</v>
      </c>
      <c r="M295" s="220">
        <f t="shared" si="248"/>
        <v>9.4562647754137114E-3</v>
      </c>
      <c r="N295" s="612"/>
    </row>
    <row r="296" spans="1:14" s="102" customFormat="1" ht="15" customHeight="1">
      <c r="A296" s="172" t="str">
        <f>A295</f>
        <v>PUR</v>
      </c>
      <c r="B296" s="149" t="str">
        <f>B295</f>
        <v>film</v>
      </c>
      <c r="C296" s="149">
        <f t="shared" si="165"/>
        <v>2</v>
      </c>
      <c r="D296" s="149" t="str">
        <f t="shared" si="249"/>
        <v>0,1-1</v>
      </c>
      <c r="E296" s="149">
        <f t="shared" si="249"/>
        <v>1</v>
      </c>
      <c r="F296" s="149" t="str">
        <f t="shared" si="249"/>
        <v>water</v>
      </c>
      <c r="G296" s="146" t="str">
        <f t="shared" si="239"/>
        <v>PUR film 0,1-1 mm (emission to water)</v>
      </c>
      <c r="H296" s="146" t="str">
        <f>H295</f>
        <v>Kunststoffrecycling; Auswaschung aus Deponien</v>
      </c>
      <c r="I296" s="129">
        <v>1</v>
      </c>
      <c r="J296" s="101" t="s">
        <v>1096</v>
      </c>
      <c r="K296" s="114">
        <f>K18</f>
        <v>52.875</v>
      </c>
      <c r="L296" s="226">
        <f t="shared" si="215"/>
        <v>9.456264775413711</v>
      </c>
      <c r="M296" s="220">
        <f t="shared" si="248"/>
        <v>9.4562647754137114E-3</v>
      </c>
      <c r="N296" s="612"/>
    </row>
    <row r="297" spans="1:14" s="102" customFormat="1" ht="15" customHeight="1">
      <c r="A297" s="173" t="str">
        <f t="shared" ref="A297:F297" si="250">A295</f>
        <v>PUR</v>
      </c>
      <c r="B297" s="150" t="str">
        <f t="shared" si="250"/>
        <v>film</v>
      </c>
      <c r="C297" s="150">
        <f t="shared" si="165"/>
        <v>2</v>
      </c>
      <c r="D297" s="150" t="str">
        <f t="shared" si="250"/>
        <v>0,1-1</v>
      </c>
      <c r="E297" s="150">
        <f>E295</f>
        <v>1</v>
      </c>
      <c r="F297" s="150" t="str">
        <f t="shared" si="250"/>
        <v>water</v>
      </c>
      <c r="G297" s="147" t="str">
        <f t="shared" si="239"/>
        <v>PUR film 0,1-1 mm (emission to water)</v>
      </c>
      <c r="H297" s="147" t="str">
        <f>H295</f>
        <v>Kunststoffrecycling; Auswaschung aus Deponien</v>
      </c>
      <c r="I297" s="129">
        <v>0</v>
      </c>
      <c r="J297" s="101" t="s">
        <v>1034</v>
      </c>
      <c r="K297" s="114" t="s">
        <v>596</v>
      </c>
      <c r="L297" s="226">
        <f t="shared" si="215"/>
        <v>0</v>
      </c>
      <c r="M297" s="220">
        <f t="shared" si="248"/>
        <v>0</v>
      </c>
      <c r="N297" s="613"/>
    </row>
    <row r="298" spans="1:14" s="102" customFormat="1" ht="24.75" customHeight="1">
      <c r="A298" s="176" t="s">
        <v>949</v>
      </c>
      <c r="B298" s="288" t="s">
        <v>996</v>
      </c>
      <c r="C298" s="290">
        <f t="shared" ref="C298:C300" si="251">IF(OR(B298="Folie", B298="Strips", B298="Film",B298="Flakes",B298="Coupon"), 2,IF(OR(B298="Fibers",B298="Pellets"),4,IF(OR(B298="Particles",B298="Shreds",B298="Powder",B298="Fragments",B298="Granules"),6,"")))</f>
        <v>2</v>
      </c>
      <c r="D298" s="290" t="s">
        <v>1028</v>
      </c>
      <c r="E298" s="155">
        <v>1</v>
      </c>
      <c r="F298" s="131" t="s">
        <v>1057</v>
      </c>
      <c r="G298" s="134" t="str">
        <f t="shared" ref="G298:G300" si="252">CONCATENATE(A298," ",B298," ",D298," mm (emission to ",F298,")")</f>
        <v>PUR film 0,1-1 mm (emission to air)</v>
      </c>
      <c r="H298" s="144" t="s">
        <v>1041</v>
      </c>
      <c r="I298" s="137">
        <v>0.97699999999999998</v>
      </c>
      <c r="J298" s="101" t="s">
        <v>1019</v>
      </c>
      <c r="K298" s="114">
        <f>K16</f>
        <v>52.875</v>
      </c>
      <c r="L298" s="226">
        <f t="shared" si="215"/>
        <v>9.456264775413711</v>
      </c>
      <c r="M298" s="158">
        <f>IF(L298/1000&gt;1000,1000,L298/1000)</f>
        <v>9.4562647754137114E-3</v>
      </c>
      <c r="N298" s="610">
        <f>I298*M298+I299*M299</f>
        <v>9.4562647754137114E-3</v>
      </c>
    </row>
    <row r="299" spans="1:14" s="102" customFormat="1" ht="15" customHeight="1">
      <c r="A299" s="172" t="str">
        <f t="shared" ref="A299:B299" si="253">A298</f>
        <v>PUR</v>
      </c>
      <c r="B299" s="149" t="str">
        <f t="shared" si="253"/>
        <v>film</v>
      </c>
      <c r="C299" s="149">
        <f t="shared" si="251"/>
        <v>2</v>
      </c>
      <c r="D299" s="149" t="str">
        <f t="shared" ref="D299:F299" si="254">D298</f>
        <v>0,1-1</v>
      </c>
      <c r="E299" s="149">
        <f t="shared" si="254"/>
        <v>1</v>
      </c>
      <c r="F299" s="149" t="str">
        <f t="shared" si="254"/>
        <v>air</v>
      </c>
      <c r="G299" s="146" t="str">
        <f t="shared" si="252"/>
        <v>PUR film 0,1-1 mm (emission to air)</v>
      </c>
      <c r="H299" s="146" t="str">
        <f>H298</f>
        <v>Kunststoffrecycling; Auswaschung aus Deponien</v>
      </c>
      <c r="I299" s="129">
        <v>2.3E-2</v>
      </c>
      <c r="J299" s="101" t="s">
        <v>1097</v>
      </c>
      <c r="K299" s="114">
        <f>K17</f>
        <v>52.875</v>
      </c>
      <c r="L299" s="226">
        <f t="shared" si="215"/>
        <v>9.456264775413711</v>
      </c>
      <c r="M299" s="158">
        <f>IF(L299/1000&gt;1000,1000,L299/1000)</f>
        <v>9.4562647754137114E-3</v>
      </c>
      <c r="N299" s="610"/>
    </row>
    <row r="300" spans="1:14" s="102" customFormat="1" ht="15" customHeight="1">
      <c r="A300" s="172" t="str">
        <f>A299</f>
        <v>PUR</v>
      </c>
      <c r="B300" s="149" t="str">
        <f>B299</f>
        <v>film</v>
      </c>
      <c r="C300" s="149">
        <f t="shared" si="251"/>
        <v>2</v>
      </c>
      <c r="D300" s="149" t="str">
        <f t="shared" ref="D300:F300" si="255">D299</f>
        <v>0,1-1</v>
      </c>
      <c r="E300" s="149">
        <f t="shared" si="255"/>
        <v>1</v>
      </c>
      <c r="F300" s="149" t="str">
        <f t="shared" si="255"/>
        <v>air</v>
      </c>
      <c r="G300" s="146" t="str">
        <f t="shared" si="252"/>
        <v>PUR film 0,1-1 mm (emission to air)</v>
      </c>
      <c r="H300" s="146" t="str">
        <f>H299</f>
        <v>Kunststoffrecycling; Auswaschung aus Deponien</v>
      </c>
      <c r="I300" s="129">
        <v>0</v>
      </c>
      <c r="J300" s="101" t="s">
        <v>1034</v>
      </c>
      <c r="K300" s="151" t="s">
        <v>596</v>
      </c>
      <c r="L300" s="226">
        <f t="shared" si="215"/>
        <v>0</v>
      </c>
      <c r="M300" s="158">
        <f t="shared" ref="M300" si="256">IF(L300/1000&gt;1000,1000,L300/1000)</f>
        <v>0</v>
      </c>
      <c r="N300" s="610"/>
    </row>
    <row r="301" spans="1:14" s="102" customFormat="1">
      <c r="A301" s="176" t="s">
        <v>949</v>
      </c>
      <c r="B301" s="159" t="s">
        <v>996</v>
      </c>
      <c r="C301" s="188">
        <f t="shared" si="165"/>
        <v>2</v>
      </c>
      <c r="D301" s="188" t="s">
        <v>1026</v>
      </c>
      <c r="E301" s="155">
        <v>10</v>
      </c>
      <c r="F301" s="131" t="s">
        <v>1019</v>
      </c>
      <c r="G301" s="134" t="str">
        <f t="shared" ref="G301:G354" si="257">CONCATENATE(A301," ",B301," ",D301," mm (emission to ",F301,")")</f>
        <v>PUR film 1-10 mm (emission to soil)</v>
      </c>
      <c r="H301" s="134"/>
      <c r="I301" s="129">
        <v>1</v>
      </c>
      <c r="J301" s="101" t="s">
        <v>1019</v>
      </c>
      <c r="K301" s="114">
        <f>K16</f>
        <v>52.875</v>
      </c>
      <c r="L301" s="226">
        <f t="shared" si="215"/>
        <v>94.562647754137117</v>
      </c>
      <c r="M301" s="158">
        <f>IF(L301/1000&gt;1000,1000,L301/1000)</f>
        <v>9.4562647754137114E-2</v>
      </c>
      <c r="N301" s="610">
        <f>I301*M301+I302*M302</f>
        <v>9.4562647754137114E-2</v>
      </c>
    </row>
    <row r="302" spans="1:14" s="102" customFormat="1">
      <c r="A302" s="172" t="str">
        <f>A301</f>
        <v>PUR</v>
      </c>
      <c r="B302" s="149" t="str">
        <f>B301</f>
        <v>film</v>
      </c>
      <c r="C302" s="149">
        <f t="shared" si="165"/>
        <v>2</v>
      </c>
      <c r="D302" s="149" t="str">
        <f t="shared" ref="D302:F303" si="258">D301</f>
        <v>1-10</v>
      </c>
      <c r="E302" s="149">
        <f t="shared" si="258"/>
        <v>10</v>
      </c>
      <c r="F302" s="149" t="str">
        <f t="shared" si="258"/>
        <v>soil</v>
      </c>
      <c r="G302" s="146" t="str">
        <f t="shared" si="257"/>
        <v>PUR film 1-10 mm (emission to soil)</v>
      </c>
      <c r="H302" s="146"/>
      <c r="I302" s="129">
        <v>0</v>
      </c>
      <c r="J302" s="101" t="s">
        <v>1097</v>
      </c>
      <c r="K302" s="114">
        <f>K17</f>
        <v>52.875</v>
      </c>
      <c r="L302" s="226">
        <f t="shared" si="215"/>
        <v>94.562647754137117</v>
      </c>
      <c r="M302" s="158">
        <f>IF(L302/1000&gt;1000,1000,L302/1000)</f>
        <v>9.4562647754137114E-2</v>
      </c>
      <c r="N302" s="610"/>
    </row>
    <row r="303" spans="1:14" s="102" customFormat="1">
      <c r="A303" s="173" t="str">
        <f>A302</f>
        <v>PUR</v>
      </c>
      <c r="B303" s="150" t="str">
        <f>B302</f>
        <v>film</v>
      </c>
      <c r="C303" s="150">
        <f t="shared" si="165"/>
        <v>2</v>
      </c>
      <c r="D303" s="150" t="str">
        <f t="shared" si="258"/>
        <v>1-10</v>
      </c>
      <c r="E303" s="150">
        <f t="shared" si="258"/>
        <v>10</v>
      </c>
      <c r="F303" s="150" t="str">
        <f t="shared" si="258"/>
        <v>soil</v>
      </c>
      <c r="G303" s="147" t="str">
        <f t="shared" si="257"/>
        <v>PUR film 1-10 mm (emission to soil)</v>
      </c>
      <c r="H303" s="147"/>
      <c r="I303" s="129">
        <v>0</v>
      </c>
      <c r="J303" s="101" t="s">
        <v>1034</v>
      </c>
      <c r="K303" s="151" t="s">
        <v>596</v>
      </c>
      <c r="L303" s="226">
        <f t="shared" si="215"/>
        <v>0</v>
      </c>
      <c r="M303" s="158">
        <f t="shared" ref="M303" si="259">IF(L303/1000&gt;1000,1000,L303/1000)</f>
        <v>0</v>
      </c>
      <c r="N303" s="610"/>
    </row>
    <row r="304" spans="1:14" s="102" customFormat="1">
      <c r="A304" s="176" t="s">
        <v>949</v>
      </c>
      <c r="B304" s="159" t="s">
        <v>996</v>
      </c>
      <c r="C304" s="188">
        <f t="shared" si="165"/>
        <v>2</v>
      </c>
      <c r="D304" s="188" t="s">
        <v>1026</v>
      </c>
      <c r="E304" s="214">
        <v>10</v>
      </c>
      <c r="F304" s="131" t="s">
        <v>1020</v>
      </c>
      <c r="G304" s="134" t="str">
        <f t="shared" si="257"/>
        <v>PUR film 1-10 mm (emission to water)</v>
      </c>
      <c r="H304" s="134"/>
      <c r="I304" s="137">
        <v>0</v>
      </c>
      <c r="J304" s="101" t="s">
        <v>1019</v>
      </c>
      <c r="K304" s="114">
        <f>K16</f>
        <v>52.875</v>
      </c>
      <c r="L304" s="226">
        <f t="shared" si="215"/>
        <v>94.562647754137117</v>
      </c>
      <c r="M304" s="220">
        <f t="shared" ref="M304:M307" si="260">IF(L304/1000&gt;1000,1000,L304/1000)</f>
        <v>9.4562647754137114E-2</v>
      </c>
      <c r="N304" s="611">
        <f>I304*M304+I305*M305+I306*M306</f>
        <v>9.4562647754137114E-2</v>
      </c>
    </row>
    <row r="305" spans="1:14" s="102" customFormat="1">
      <c r="A305" s="172" t="str">
        <f>A304</f>
        <v>PUR</v>
      </c>
      <c r="B305" s="149" t="str">
        <f>B304</f>
        <v>film</v>
      </c>
      <c r="C305" s="149">
        <f t="shared" si="165"/>
        <v>2</v>
      </c>
      <c r="D305" s="149" t="str">
        <f t="shared" ref="D305:F306" si="261">D304</f>
        <v>1-10</v>
      </c>
      <c r="E305" s="149">
        <f t="shared" si="261"/>
        <v>10</v>
      </c>
      <c r="F305" s="149" t="str">
        <f t="shared" si="261"/>
        <v>water</v>
      </c>
      <c r="G305" s="146" t="str">
        <f t="shared" si="257"/>
        <v>PUR film 1-10 mm (emission to water)</v>
      </c>
      <c r="H305" s="146"/>
      <c r="I305" s="129">
        <v>0</v>
      </c>
      <c r="J305" s="101" t="s">
        <v>1097</v>
      </c>
      <c r="K305" s="114">
        <f>K17</f>
        <v>52.875</v>
      </c>
      <c r="L305" s="226">
        <f t="shared" si="215"/>
        <v>94.562647754137117</v>
      </c>
      <c r="M305" s="220">
        <f t="shared" si="260"/>
        <v>9.4562647754137114E-2</v>
      </c>
      <c r="N305" s="612"/>
    </row>
    <row r="306" spans="1:14" s="102" customFormat="1">
      <c r="A306" s="172" t="str">
        <f>A305</f>
        <v>PUR</v>
      </c>
      <c r="B306" s="149" t="str">
        <f>B305</f>
        <v>film</v>
      </c>
      <c r="C306" s="149">
        <f t="shared" si="165"/>
        <v>2</v>
      </c>
      <c r="D306" s="149" t="str">
        <f t="shared" si="261"/>
        <v>1-10</v>
      </c>
      <c r="E306" s="149">
        <f t="shared" si="261"/>
        <v>10</v>
      </c>
      <c r="F306" s="149" t="str">
        <f t="shared" si="261"/>
        <v>water</v>
      </c>
      <c r="G306" s="146" t="str">
        <f t="shared" si="257"/>
        <v>PUR film 1-10 mm (emission to water)</v>
      </c>
      <c r="H306" s="146">
        <f>H305</f>
        <v>0</v>
      </c>
      <c r="I306" s="129">
        <v>1</v>
      </c>
      <c r="J306" s="101" t="s">
        <v>1096</v>
      </c>
      <c r="K306" s="114">
        <f>K18</f>
        <v>52.875</v>
      </c>
      <c r="L306" s="226">
        <f t="shared" si="215"/>
        <v>94.562647754137117</v>
      </c>
      <c r="M306" s="220">
        <f t="shared" si="260"/>
        <v>9.4562647754137114E-2</v>
      </c>
      <c r="N306" s="612"/>
    </row>
    <row r="307" spans="1:14" s="102" customFormat="1">
      <c r="A307" s="173" t="str">
        <f>A305</f>
        <v>PUR</v>
      </c>
      <c r="B307" s="150" t="str">
        <f>B305</f>
        <v>film</v>
      </c>
      <c r="C307" s="150">
        <f t="shared" si="165"/>
        <v>2</v>
      </c>
      <c r="D307" s="150" t="str">
        <f>D305</f>
        <v>1-10</v>
      </c>
      <c r="E307" s="150">
        <f>E305</f>
        <v>10</v>
      </c>
      <c r="F307" s="150" t="str">
        <f>F305</f>
        <v>water</v>
      </c>
      <c r="G307" s="147" t="str">
        <f t="shared" si="257"/>
        <v>PUR film 1-10 mm (emission to water)</v>
      </c>
      <c r="H307" s="147"/>
      <c r="I307" s="129">
        <v>0</v>
      </c>
      <c r="J307" s="101" t="s">
        <v>1034</v>
      </c>
      <c r="K307" s="114" t="s">
        <v>596</v>
      </c>
      <c r="L307" s="226">
        <f t="shared" si="215"/>
        <v>0</v>
      </c>
      <c r="M307" s="220">
        <f t="shared" si="260"/>
        <v>0</v>
      </c>
      <c r="N307" s="613"/>
    </row>
    <row r="308" spans="1:14" s="102" customFormat="1">
      <c r="A308" s="176" t="s">
        <v>949</v>
      </c>
      <c r="B308" s="159" t="s">
        <v>996</v>
      </c>
      <c r="C308" s="290">
        <f t="shared" ref="C308:C310" si="262">IF(OR(B308="Folie", B308="Strips", B308="Film",B308="Flakes",B308="Coupon"), 2,IF(OR(B308="Fibers",B308="Pellets"),4,IF(OR(B308="Particles",B308="Shreds",B308="Powder",B308="Fragments",B308="Granules"),6,"")))</f>
        <v>2</v>
      </c>
      <c r="D308" s="290" t="s">
        <v>1026</v>
      </c>
      <c r="E308" s="155">
        <v>10</v>
      </c>
      <c r="F308" s="131" t="s">
        <v>1057</v>
      </c>
      <c r="G308" s="134" t="str">
        <f t="shared" ref="G308:G310" si="263">CONCATENATE(A308," ",B308," ",D308," mm (emission to ",F308,")")</f>
        <v>PUR film 1-10 mm (emission to air)</v>
      </c>
      <c r="H308" s="134"/>
      <c r="I308" s="137">
        <v>0.97699999999999998</v>
      </c>
      <c r="J308" s="101" t="s">
        <v>1019</v>
      </c>
      <c r="K308" s="114">
        <f>K16</f>
        <v>52.875</v>
      </c>
      <c r="L308" s="226">
        <f t="shared" ref="L308:L310" si="264">IFERROR(IF(K308="--",0,IF(E308*1000/K308*(1-0.5)^(C308/2)&gt;1000,1000,E308*1000/K308*(1-0.5)^(C308/2))),1000)</f>
        <v>94.562647754137117</v>
      </c>
      <c r="M308" s="158">
        <f>IF(L308/1000&gt;1000,1000,L308/1000)</f>
        <v>9.4562647754137114E-2</v>
      </c>
      <c r="N308" s="610">
        <f>I308*M308+I309*M309</f>
        <v>9.45626477541371E-2</v>
      </c>
    </row>
    <row r="309" spans="1:14" s="102" customFormat="1">
      <c r="A309" s="172" t="str">
        <f>A308</f>
        <v>PUR</v>
      </c>
      <c r="B309" s="149" t="str">
        <f>B308</f>
        <v>film</v>
      </c>
      <c r="C309" s="149">
        <f t="shared" si="262"/>
        <v>2</v>
      </c>
      <c r="D309" s="149" t="str">
        <f t="shared" ref="D309:F309" si="265">D308</f>
        <v>1-10</v>
      </c>
      <c r="E309" s="149">
        <f t="shared" si="265"/>
        <v>10</v>
      </c>
      <c r="F309" s="149" t="str">
        <f t="shared" si="265"/>
        <v>air</v>
      </c>
      <c r="G309" s="146" t="str">
        <f t="shared" si="263"/>
        <v>PUR film 1-10 mm (emission to air)</v>
      </c>
      <c r="H309" s="146"/>
      <c r="I309" s="129">
        <v>2.3E-2</v>
      </c>
      <c r="J309" s="101" t="s">
        <v>1097</v>
      </c>
      <c r="K309" s="114">
        <f>K17</f>
        <v>52.875</v>
      </c>
      <c r="L309" s="226">
        <f t="shared" si="264"/>
        <v>94.562647754137117</v>
      </c>
      <c r="M309" s="158">
        <f>IF(L309/1000&gt;1000,1000,L309/1000)</f>
        <v>9.4562647754137114E-2</v>
      </c>
      <c r="N309" s="610"/>
    </row>
    <row r="310" spans="1:14" s="102" customFormat="1">
      <c r="A310" s="173" t="str">
        <f>A309</f>
        <v>PUR</v>
      </c>
      <c r="B310" s="150" t="str">
        <f>B309</f>
        <v>film</v>
      </c>
      <c r="C310" s="150">
        <f t="shared" si="262"/>
        <v>2</v>
      </c>
      <c r="D310" s="150" t="str">
        <f t="shared" ref="D310:F310" si="266">D309</f>
        <v>1-10</v>
      </c>
      <c r="E310" s="150">
        <f t="shared" si="266"/>
        <v>10</v>
      </c>
      <c r="F310" s="150" t="str">
        <f t="shared" si="266"/>
        <v>air</v>
      </c>
      <c r="G310" s="147" t="str">
        <f t="shared" si="263"/>
        <v>PUR film 1-10 mm (emission to air)</v>
      </c>
      <c r="H310" s="147"/>
      <c r="I310" s="129">
        <v>0</v>
      </c>
      <c r="J310" s="101" t="s">
        <v>1034</v>
      </c>
      <c r="K310" s="151" t="s">
        <v>596</v>
      </c>
      <c r="L310" s="226">
        <f t="shared" si="264"/>
        <v>0</v>
      </c>
      <c r="M310" s="158">
        <f t="shared" ref="M310" si="267">IF(L310/1000&gt;1000,1000,L310/1000)</f>
        <v>0</v>
      </c>
      <c r="N310" s="610"/>
    </row>
    <row r="311" spans="1:14" s="102" customFormat="1">
      <c r="A311" s="176" t="s">
        <v>949</v>
      </c>
      <c r="B311" s="159" t="s">
        <v>1051</v>
      </c>
      <c r="C311" s="188">
        <f t="shared" si="165"/>
        <v>4</v>
      </c>
      <c r="D311" s="188" t="s">
        <v>1028</v>
      </c>
      <c r="E311" s="155">
        <v>1</v>
      </c>
      <c r="F311" s="131" t="s">
        <v>1019</v>
      </c>
      <c r="G311" s="134" t="str">
        <f t="shared" si="257"/>
        <v>PUR fibers 0,1-1 mm (emission to soil)</v>
      </c>
      <c r="H311" s="193"/>
      <c r="I311" s="129">
        <v>1</v>
      </c>
      <c r="J311" s="101" t="s">
        <v>1019</v>
      </c>
      <c r="K311" s="114">
        <f>K16</f>
        <v>52.875</v>
      </c>
      <c r="L311" s="226">
        <f t="shared" si="215"/>
        <v>4.7281323877068555</v>
      </c>
      <c r="M311" s="158">
        <f>IF(L311/1000&gt;1000,1000,L311/1000)</f>
        <v>4.7281323877068557E-3</v>
      </c>
      <c r="N311" s="610">
        <f>I311*M311+I312*M312</f>
        <v>4.7281323877068557E-3</v>
      </c>
    </row>
    <row r="312" spans="1:14" s="102" customFormat="1">
      <c r="A312" s="172" t="str">
        <f>A311</f>
        <v>PUR</v>
      </c>
      <c r="B312" s="149" t="str">
        <f>B311</f>
        <v>fibers</v>
      </c>
      <c r="C312" s="149">
        <f t="shared" si="165"/>
        <v>4</v>
      </c>
      <c r="D312" s="149" t="str">
        <f t="shared" ref="D312:F313" si="268">D311</f>
        <v>0,1-1</v>
      </c>
      <c r="E312" s="149">
        <f t="shared" si="268"/>
        <v>1</v>
      </c>
      <c r="F312" s="149" t="str">
        <f t="shared" si="268"/>
        <v>soil</v>
      </c>
      <c r="G312" s="146" t="str">
        <f t="shared" si="257"/>
        <v>PUR fibers 0,1-1 mm (emission to soil)</v>
      </c>
      <c r="H312" s="146"/>
      <c r="I312" s="129">
        <v>0</v>
      </c>
      <c r="J312" s="101" t="s">
        <v>1097</v>
      </c>
      <c r="K312" s="114">
        <f>K17</f>
        <v>52.875</v>
      </c>
      <c r="L312" s="226">
        <f t="shared" si="215"/>
        <v>4.7281323877068555</v>
      </c>
      <c r="M312" s="158">
        <f>IF(L312/1000&gt;1000,1000,L312/1000)</f>
        <v>4.7281323877068557E-3</v>
      </c>
      <c r="N312" s="610"/>
    </row>
    <row r="313" spans="1:14" s="102" customFormat="1">
      <c r="A313" s="173" t="str">
        <f>A312</f>
        <v>PUR</v>
      </c>
      <c r="B313" s="150" t="str">
        <f>B312</f>
        <v>fibers</v>
      </c>
      <c r="C313" s="150">
        <f t="shared" si="165"/>
        <v>4</v>
      </c>
      <c r="D313" s="150" t="str">
        <f t="shared" si="268"/>
        <v>0,1-1</v>
      </c>
      <c r="E313" s="150">
        <f t="shared" si="268"/>
        <v>1</v>
      </c>
      <c r="F313" s="150" t="str">
        <f t="shared" si="268"/>
        <v>soil</v>
      </c>
      <c r="G313" s="147" t="str">
        <f t="shared" si="257"/>
        <v>PUR fibers 0,1-1 mm (emission to soil)</v>
      </c>
      <c r="H313" s="146"/>
      <c r="I313" s="129">
        <v>0</v>
      </c>
      <c r="J313" s="101" t="s">
        <v>1034</v>
      </c>
      <c r="K313" s="151" t="s">
        <v>596</v>
      </c>
      <c r="L313" s="226">
        <f t="shared" si="215"/>
        <v>0</v>
      </c>
      <c r="M313" s="158">
        <f t="shared" ref="M313" si="269">IF(L313/1000&gt;1000,1000,L313/1000)</f>
        <v>0</v>
      </c>
      <c r="N313" s="610"/>
    </row>
    <row r="314" spans="1:14" s="102" customFormat="1">
      <c r="A314" s="176" t="s">
        <v>949</v>
      </c>
      <c r="B314" s="159" t="s">
        <v>1051</v>
      </c>
      <c r="C314" s="188">
        <f t="shared" si="165"/>
        <v>4</v>
      </c>
      <c r="D314" s="188" t="s">
        <v>1028</v>
      </c>
      <c r="E314" s="155">
        <v>1</v>
      </c>
      <c r="F314" s="131" t="s">
        <v>1020</v>
      </c>
      <c r="G314" s="134" t="str">
        <f t="shared" si="257"/>
        <v>PUR fibers 0,1-1 mm (emission to water)</v>
      </c>
      <c r="H314" s="192"/>
      <c r="I314" s="137">
        <v>0</v>
      </c>
      <c r="J314" s="101" t="s">
        <v>1019</v>
      </c>
      <c r="K314" s="114">
        <f>K16</f>
        <v>52.875</v>
      </c>
      <c r="L314" s="226">
        <f t="shared" si="215"/>
        <v>4.7281323877068555</v>
      </c>
      <c r="M314" s="220">
        <f t="shared" ref="M314:M317" si="270">IF(L314/1000&gt;1000,1000,L314/1000)</f>
        <v>4.7281323877068557E-3</v>
      </c>
      <c r="N314" s="611">
        <f>I314*M314+I315*M315+I316*M316</f>
        <v>4.7281323877068557E-3</v>
      </c>
    </row>
    <row r="315" spans="1:14" s="102" customFormat="1">
      <c r="A315" s="172" t="str">
        <f>A314</f>
        <v>PUR</v>
      </c>
      <c r="B315" s="149" t="str">
        <f>B314</f>
        <v>fibers</v>
      </c>
      <c r="C315" s="149">
        <f t="shared" si="165"/>
        <v>4</v>
      </c>
      <c r="D315" s="149" t="str">
        <f t="shared" ref="D315:F316" si="271">D314</f>
        <v>0,1-1</v>
      </c>
      <c r="E315" s="149">
        <f t="shared" si="271"/>
        <v>1</v>
      </c>
      <c r="F315" s="149" t="str">
        <f t="shared" si="271"/>
        <v>water</v>
      </c>
      <c r="G315" s="146" t="str">
        <f t="shared" si="257"/>
        <v>PUR fibers 0,1-1 mm (emission to water)</v>
      </c>
      <c r="H315" s="146"/>
      <c r="I315" s="129">
        <v>0</v>
      </c>
      <c r="J315" s="101" t="s">
        <v>1097</v>
      </c>
      <c r="K315" s="114">
        <f>K17</f>
        <v>52.875</v>
      </c>
      <c r="L315" s="226">
        <f t="shared" si="215"/>
        <v>4.7281323877068555</v>
      </c>
      <c r="M315" s="220">
        <f t="shared" si="270"/>
        <v>4.7281323877068557E-3</v>
      </c>
      <c r="N315" s="612"/>
    </row>
    <row r="316" spans="1:14" s="102" customFormat="1">
      <c r="A316" s="172" t="str">
        <f>A315</f>
        <v>PUR</v>
      </c>
      <c r="B316" s="149" t="str">
        <f>B315</f>
        <v>fibers</v>
      </c>
      <c r="C316" s="149">
        <f t="shared" si="165"/>
        <v>4</v>
      </c>
      <c r="D316" s="149" t="str">
        <f t="shared" si="271"/>
        <v>0,1-1</v>
      </c>
      <c r="E316" s="149">
        <f t="shared" si="271"/>
        <v>1</v>
      </c>
      <c r="F316" s="149" t="str">
        <f t="shared" si="271"/>
        <v>water</v>
      </c>
      <c r="G316" s="146" t="str">
        <f t="shared" si="257"/>
        <v>PUR fibers 0,1-1 mm (emission to water)</v>
      </c>
      <c r="H316" s="146">
        <f>H315</f>
        <v>0</v>
      </c>
      <c r="I316" s="129">
        <v>1</v>
      </c>
      <c r="J316" s="101" t="s">
        <v>1096</v>
      </c>
      <c r="K316" s="114">
        <f>K18</f>
        <v>52.875</v>
      </c>
      <c r="L316" s="226">
        <f t="shared" si="215"/>
        <v>4.7281323877068555</v>
      </c>
      <c r="M316" s="220">
        <f t="shared" si="270"/>
        <v>4.7281323877068557E-3</v>
      </c>
      <c r="N316" s="612"/>
    </row>
    <row r="317" spans="1:14" s="102" customFormat="1">
      <c r="A317" s="173" t="str">
        <f>A315</f>
        <v>PUR</v>
      </c>
      <c r="B317" s="150" t="str">
        <f>B315</f>
        <v>fibers</v>
      </c>
      <c r="C317" s="150">
        <f t="shared" si="165"/>
        <v>4</v>
      </c>
      <c r="D317" s="150" t="str">
        <f>D315</f>
        <v>0,1-1</v>
      </c>
      <c r="E317" s="150">
        <f>E315</f>
        <v>1</v>
      </c>
      <c r="F317" s="150" t="str">
        <f>F315</f>
        <v>water</v>
      </c>
      <c r="G317" s="147" t="str">
        <f t="shared" si="257"/>
        <v>PUR fibers 0,1-1 mm (emission to water)</v>
      </c>
      <c r="H317" s="146"/>
      <c r="I317" s="129">
        <v>0</v>
      </c>
      <c r="J317" s="101" t="s">
        <v>1034</v>
      </c>
      <c r="K317" s="114" t="s">
        <v>596</v>
      </c>
      <c r="L317" s="226">
        <f t="shared" si="215"/>
        <v>0</v>
      </c>
      <c r="M317" s="220">
        <f t="shared" si="270"/>
        <v>0</v>
      </c>
      <c r="N317" s="613"/>
    </row>
    <row r="318" spans="1:14" s="102" customFormat="1">
      <c r="A318" s="176" t="s">
        <v>949</v>
      </c>
      <c r="B318" s="159" t="s">
        <v>1051</v>
      </c>
      <c r="C318" s="290">
        <f t="shared" ref="C318:C320" si="272">IF(OR(B318="Folie", B318="Strips", B318="Film",B318="Flakes",B318="Coupon"), 2,IF(OR(B318="Fibers",B318="Pellets"),4,IF(OR(B318="Particles",B318="Shreds",B318="Powder",B318="Fragments",B318="Granules"),6,"")))</f>
        <v>4</v>
      </c>
      <c r="D318" s="290" t="s">
        <v>1028</v>
      </c>
      <c r="E318" s="155">
        <v>1</v>
      </c>
      <c r="F318" s="131" t="s">
        <v>1057</v>
      </c>
      <c r="G318" s="134" t="str">
        <f t="shared" ref="G318:G320" si="273">CONCATENATE(A318," ",B318," ",D318," mm (emission to ",F318,")")</f>
        <v>PUR fibers 0,1-1 mm (emission to air)</v>
      </c>
      <c r="H318" s="193"/>
      <c r="I318" s="137">
        <v>0.97699999999999998</v>
      </c>
      <c r="J318" s="101" t="s">
        <v>1019</v>
      </c>
      <c r="K318" s="114">
        <f>K16</f>
        <v>52.875</v>
      </c>
      <c r="L318" s="226">
        <f t="shared" ref="L318:L320" si="274">IFERROR(IF(K318="--",0,IF(E318*1000/K318*(1-0.5)^(C318/2)&gt;1000,1000,E318*1000/K318*(1-0.5)^(C318/2))),1000)</f>
        <v>4.7281323877068555</v>
      </c>
      <c r="M318" s="158">
        <f>IF(L318/1000&gt;1000,1000,L318/1000)</f>
        <v>4.7281323877068557E-3</v>
      </c>
      <c r="N318" s="610">
        <f>I318*M318+I319*M319</f>
        <v>4.7281323877068557E-3</v>
      </c>
    </row>
    <row r="319" spans="1:14" s="102" customFormat="1">
      <c r="A319" s="172" t="str">
        <f>A318</f>
        <v>PUR</v>
      </c>
      <c r="B319" s="149" t="str">
        <f>B318</f>
        <v>fibers</v>
      </c>
      <c r="C319" s="149">
        <f t="shared" si="272"/>
        <v>4</v>
      </c>
      <c r="D319" s="149" t="str">
        <f t="shared" ref="D319:F319" si="275">D318</f>
        <v>0,1-1</v>
      </c>
      <c r="E319" s="149">
        <f t="shared" si="275"/>
        <v>1</v>
      </c>
      <c r="F319" s="149" t="str">
        <f t="shared" si="275"/>
        <v>air</v>
      </c>
      <c r="G319" s="146" t="str">
        <f t="shared" si="273"/>
        <v>PUR fibers 0,1-1 mm (emission to air)</v>
      </c>
      <c r="H319" s="146"/>
      <c r="I319" s="129">
        <v>2.3E-2</v>
      </c>
      <c r="J319" s="101" t="s">
        <v>1097</v>
      </c>
      <c r="K319" s="114">
        <f>K17</f>
        <v>52.875</v>
      </c>
      <c r="L319" s="226">
        <f t="shared" si="274"/>
        <v>4.7281323877068555</v>
      </c>
      <c r="M319" s="158">
        <f>IF(L319/1000&gt;1000,1000,L319/1000)</f>
        <v>4.7281323877068557E-3</v>
      </c>
      <c r="N319" s="610"/>
    </row>
    <row r="320" spans="1:14" s="102" customFormat="1">
      <c r="A320" s="173" t="str">
        <f>A319</f>
        <v>PUR</v>
      </c>
      <c r="B320" s="150" t="str">
        <f>B319</f>
        <v>fibers</v>
      </c>
      <c r="C320" s="150">
        <f t="shared" si="272"/>
        <v>4</v>
      </c>
      <c r="D320" s="150" t="str">
        <f t="shared" ref="D320:F320" si="276">D319</f>
        <v>0,1-1</v>
      </c>
      <c r="E320" s="150">
        <f t="shared" si="276"/>
        <v>1</v>
      </c>
      <c r="F320" s="150" t="str">
        <f t="shared" si="276"/>
        <v>air</v>
      </c>
      <c r="G320" s="147" t="str">
        <f t="shared" si="273"/>
        <v>PUR fibers 0,1-1 mm (emission to air)</v>
      </c>
      <c r="H320" s="146"/>
      <c r="I320" s="129">
        <v>0</v>
      </c>
      <c r="J320" s="101" t="s">
        <v>1034</v>
      </c>
      <c r="K320" s="151" t="s">
        <v>596</v>
      </c>
      <c r="L320" s="226">
        <f t="shared" si="274"/>
        <v>0</v>
      </c>
      <c r="M320" s="158">
        <f t="shared" ref="M320" si="277">IF(L320/1000&gt;1000,1000,L320/1000)</f>
        <v>0</v>
      </c>
      <c r="N320" s="610"/>
    </row>
    <row r="321" spans="1:14" s="102" customFormat="1" ht="25.5">
      <c r="A321" s="175" t="s">
        <v>949</v>
      </c>
      <c r="B321" s="182" t="s">
        <v>372</v>
      </c>
      <c r="C321" s="140">
        <f t="shared" si="165"/>
        <v>4</v>
      </c>
      <c r="D321" s="153" t="s">
        <v>1026</v>
      </c>
      <c r="E321" s="214">
        <v>10</v>
      </c>
      <c r="F321" s="154" t="s">
        <v>1019</v>
      </c>
      <c r="G321" s="134" t="str">
        <f t="shared" si="257"/>
        <v>PUR pellets 1-10 mm (emission to soil)</v>
      </c>
      <c r="H321" s="148" t="s">
        <v>1042</v>
      </c>
      <c r="I321" s="129">
        <v>1</v>
      </c>
      <c r="J321" s="101" t="s">
        <v>1019</v>
      </c>
      <c r="K321" s="114">
        <f>K16</f>
        <v>52.875</v>
      </c>
      <c r="L321" s="226">
        <f t="shared" si="215"/>
        <v>47.281323877068559</v>
      </c>
      <c r="M321" s="158">
        <f>IF(L321/1000&gt;1000,1000,L321/1000)</f>
        <v>4.7281323877068557E-2</v>
      </c>
      <c r="N321" s="610">
        <f>I321*M321+I322*M322</f>
        <v>4.7281323877068557E-2</v>
      </c>
    </row>
    <row r="322" spans="1:14" s="102" customFormat="1" ht="15" customHeight="1">
      <c r="A322" s="172" t="str">
        <f>A321</f>
        <v>PUR</v>
      </c>
      <c r="B322" s="149" t="str">
        <f>B321</f>
        <v>pellets</v>
      </c>
      <c r="C322" s="149">
        <f t="shared" si="165"/>
        <v>4</v>
      </c>
      <c r="D322" s="149" t="str">
        <f t="shared" ref="D322:F323" si="278">D321</f>
        <v>1-10</v>
      </c>
      <c r="E322" s="149">
        <f t="shared" si="278"/>
        <v>10</v>
      </c>
      <c r="F322" s="149" t="str">
        <f t="shared" si="278"/>
        <v>soil</v>
      </c>
      <c r="G322" s="146" t="str">
        <f t="shared" si="257"/>
        <v>PUR pellets 1-10 mm (emission to soil)</v>
      </c>
      <c r="H322" s="146" t="str">
        <f>H321</f>
        <v>Freisetzung durch Unfälle mit Pellets; Unsachgemäße Entsorgung von Pellets</v>
      </c>
      <c r="I322" s="129">
        <v>0</v>
      </c>
      <c r="J322" s="101" t="s">
        <v>1097</v>
      </c>
      <c r="K322" s="114">
        <f>K17</f>
        <v>52.875</v>
      </c>
      <c r="L322" s="226">
        <f t="shared" si="215"/>
        <v>47.281323877068559</v>
      </c>
      <c r="M322" s="158">
        <f>IF(L322/1000&gt;1000,1000,L322/1000)</f>
        <v>4.7281323877068557E-2</v>
      </c>
      <c r="N322" s="610"/>
    </row>
    <row r="323" spans="1:14" s="102" customFormat="1" ht="15" customHeight="1">
      <c r="A323" s="173" t="str">
        <f>A322</f>
        <v>PUR</v>
      </c>
      <c r="B323" s="150" t="str">
        <f>B322</f>
        <v>pellets</v>
      </c>
      <c r="C323" s="150">
        <f t="shared" si="165"/>
        <v>4</v>
      </c>
      <c r="D323" s="150" t="str">
        <f t="shared" si="278"/>
        <v>1-10</v>
      </c>
      <c r="E323" s="150">
        <f t="shared" si="278"/>
        <v>10</v>
      </c>
      <c r="F323" s="150" t="str">
        <f t="shared" si="278"/>
        <v>soil</v>
      </c>
      <c r="G323" s="147" t="str">
        <f t="shared" si="257"/>
        <v>PUR pellets 1-10 mm (emission to soil)</v>
      </c>
      <c r="H323" s="147" t="str">
        <f>H322</f>
        <v>Freisetzung durch Unfälle mit Pellets; Unsachgemäße Entsorgung von Pellets</v>
      </c>
      <c r="I323" s="129">
        <v>0</v>
      </c>
      <c r="J323" s="101" t="s">
        <v>1034</v>
      </c>
      <c r="K323" s="151" t="s">
        <v>596</v>
      </c>
      <c r="L323" s="226">
        <f t="shared" si="215"/>
        <v>0</v>
      </c>
      <c r="M323" s="158">
        <f t="shared" ref="M323" si="279">IF(L323/1000&gt;1000,1000,L323/1000)</f>
        <v>0</v>
      </c>
      <c r="N323" s="610"/>
    </row>
    <row r="324" spans="1:14" s="102" customFormat="1" ht="25.5">
      <c r="A324" s="175" t="s">
        <v>949</v>
      </c>
      <c r="B324" s="155" t="s">
        <v>372</v>
      </c>
      <c r="C324" s="184">
        <f t="shared" si="165"/>
        <v>4</v>
      </c>
      <c r="D324" s="153" t="s">
        <v>1026</v>
      </c>
      <c r="E324" s="214">
        <v>10</v>
      </c>
      <c r="F324" s="154" t="s">
        <v>1020</v>
      </c>
      <c r="G324" s="134" t="str">
        <f t="shared" si="257"/>
        <v>PUR pellets 1-10 mm (emission to water)</v>
      </c>
      <c r="H324" s="148" t="s">
        <v>1042</v>
      </c>
      <c r="I324" s="137">
        <v>0</v>
      </c>
      <c r="J324" s="101" t="s">
        <v>1019</v>
      </c>
      <c r="K324" s="114">
        <f>K16</f>
        <v>52.875</v>
      </c>
      <c r="L324" s="226">
        <f t="shared" si="215"/>
        <v>47.281323877068559</v>
      </c>
      <c r="M324" s="220">
        <f t="shared" ref="M324:M327" si="280">IF(L324/1000&gt;1000,1000,L324/1000)</f>
        <v>4.7281323877068557E-2</v>
      </c>
      <c r="N324" s="611">
        <f>I324*M324+I325*M325+I326*M326</f>
        <v>4.7281323877068557E-2</v>
      </c>
    </row>
    <row r="325" spans="1:14" s="102" customFormat="1" ht="15" customHeight="1">
      <c r="A325" s="172" t="str">
        <f>A324</f>
        <v>PUR</v>
      </c>
      <c r="B325" s="149" t="str">
        <f>B324</f>
        <v>pellets</v>
      </c>
      <c r="C325" s="149">
        <f t="shared" si="165"/>
        <v>4</v>
      </c>
      <c r="D325" s="149" t="str">
        <f t="shared" ref="D325:F326" si="281">D324</f>
        <v>1-10</v>
      </c>
      <c r="E325" s="149">
        <f t="shared" si="281"/>
        <v>10</v>
      </c>
      <c r="F325" s="149" t="str">
        <f t="shared" si="281"/>
        <v>water</v>
      </c>
      <c r="G325" s="146" t="str">
        <f t="shared" si="257"/>
        <v>PUR pellets 1-10 mm (emission to water)</v>
      </c>
      <c r="H325" s="146" t="str">
        <f>H324</f>
        <v>Freisetzung durch Unfälle mit Pellets; Unsachgemäße Entsorgung von Pellets</v>
      </c>
      <c r="I325" s="129">
        <v>0</v>
      </c>
      <c r="J325" s="101" t="s">
        <v>1097</v>
      </c>
      <c r="K325" s="114">
        <f>K17</f>
        <v>52.875</v>
      </c>
      <c r="L325" s="226">
        <f t="shared" si="215"/>
        <v>47.281323877068559</v>
      </c>
      <c r="M325" s="220">
        <f t="shared" si="280"/>
        <v>4.7281323877068557E-2</v>
      </c>
      <c r="N325" s="612"/>
    </row>
    <row r="326" spans="1:14" s="102" customFormat="1" ht="15" customHeight="1">
      <c r="A326" s="172" t="str">
        <f>A325</f>
        <v>PUR</v>
      </c>
      <c r="B326" s="149" t="str">
        <f>B325</f>
        <v>pellets</v>
      </c>
      <c r="C326" s="149">
        <f t="shared" si="165"/>
        <v>4</v>
      </c>
      <c r="D326" s="149" t="str">
        <f t="shared" si="281"/>
        <v>1-10</v>
      </c>
      <c r="E326" s="149">
        <f t="shared" si="281"/>
        <v>10</v>
      </c>
      <c r="F326" s="149" t="str">
        <f t="shared" si="281"/>
        <v>water</v>
      </c>
      <c r="G326" s="146" t="str">
        <f t="shared" si="257"/>
        <v>PUR pellets 1-10 mm (emission to water)</v>
      </c>
      <c r="H326" s="146" t="str">
        <f>H325</f>
        <v>Freisetzung durch Unfälle mit Pellets; Unsachgemäße Entsorgung von Pellets</v>
      </c>
      <c r="I326" s="129">
        <v>1</v>
      </c>
      <c r="J326" s="101" t="s">
        <v>1096</v>
      </c>
      <c r="K326" s="114">
        <f>K18</f>
        <v>52.875</v>
      </c>
      <c r="L326" s="226">
        <f t="shared" si="215"/>
        <v>47.281323877068559</v>
      </c>
      <c r="M326" s="220">
        <f t="shared" si="280"/>
        <v>4.7281323877068557E-2</v>
      </c>
      <c r="N326" s="612"/>
    </row>
    <row r="327" spans="1:14" s="102" customFormat="1" ht="15" customHeight="1">
      <c r="A327" s="173" t="str">
        <f>A325</f>
        <v>PUR</v>
      </c>
      <c r="B327" s="150" t="str">
        <f>B325</f>
        <v>pellets</v>
      </c>
      <c r="C327" s="150">
        <f t="shared" si="165"/>
        <v>4</v>
      </c>
      <c r="D327" s="150" t="str">
        <f>D325</f>
        <v>1-10</v>
      </c>
      <c r="E327" s="150">
        <f>E325</f>
        <v>10</v>
      </c>
      <c r="F327" s="150" t="str">
        <f>F325</f>
        <v>water</v>
      </c>
      <c r="G327" s="147" t="str">
        <f t="shared" si="257"/>
        <v>PUR pellets 1-10 mm (emission to water)</v>
      </c>
      <c r="H327" s="147" t="str">
        <f>H325</f>
        <v>Freisetzung durch Unfälle mit Pellets; Unsachgemäße Entsorgung von Pellets</v>
      </c>
      <c r="I327" s="129">
        <v>0</v>
      </c>
      <c r="J327" s="101" t="s">
        <v>1034</v>
      </c>
      <c r="K327" s="114" t="s">
        <v>596</v>
      </c>
      <c r="L327" s="226">
        <f t="shared" si="215"/>
        <v>0</v>
      </c>
      <c r="M327" s="220">
        <f t="shared" si="280"/>
        <v>0</v>
      </c>
      <c r="N327" s="613"/>
    </row>
    <row r="328" spans="1:14" s="102" customFormat="1" ht="33" customHeight="1">
      <c r="A328" s="175" t="s">
        <v>949</v>
      </c>
      <c r="B328" s="287" t="s">
        <v>372</v>
      </c>
      <c r="C328" s="140">
        <f t="shared" ref="C328:C330" si="282">IF(OR(B328="Folie", B328="Strips", B328="Film",B328="Flakes",B328="Coupon"), 2,IF(OR(B328="Fibers",B328="Pellets"),4,IF(OR(B328="Particles",B328="Shreds",B328="Powder",B328="Fragments",B328="Granules"),6,"")))</f>
        <v>4</v>
      </c>
      <c r="D328" s="153" t="s">
        <v>1026</v>
      </c>
      <c r="E328" s="288">
        <v>10</v>
      </c>
      <c r="F328" s="154" t="s">
        <v>1057</v>
      </c>
      <c r="G328" s="134" t="str">
        <f t="shared" ref="G328:G330" si="283">CONCATENATE(A328," ",B328," ",D328," mm (emission to ",F328,")")</f>
        <v>PUR pellets 1-10 mm (emission to air)</v>
      </c>
      <c r="H328" s="148" t="s">
        <v>1042</v>
      </c>
      <c r="I328" s="137">
        <v>0.97699999999999998</v>
      </c>
      <c r="J328" s="101" t="s">
        <v>1019</v>
      </c>
      <c r="K328" s="114">
        <f>K16</f>
        <v>52.875</v>
      </c>
      <c r="L328" s="226">
        <f t="shared" ref="L328:L330" si="284">IFERROR(IF(K328="--",0,IF(E328*1000/K328*(1-0.5)^(C328/2)&gt;1000,1000,E328*1000/K328*(1-0.5)^(C328/2))),1000)</f>
        <v>47.281323877068559</v>
      </c>
      <c r="M328" s="158">
        <f>IF(L328/1000&gt;1000,1000,L328/1000)</f>
        <v>4.7281323877068557E-2</v>
      </c>
      <c r="N328" s="610">
        <f>I328*M328+I329*M329</f>
        <v>4.728132387706855E-2</v>
      </c>
    </row>
    <row r="329" spans="1:14" s="102" customFormat="1" ht="15" customHeight="1">
      <c r="A329" s="172" t="str">
        <f>A328</f>
        <v>PUR</v>
      </c>
      <c r="B329" s="149" t="str">
        <f>B328</f>
        <v>pellets</v>
      </c>
      <c r="C329" s="149">
        <f t="shared" si="282"/>
        <v>4</v>
      </c>
      <c r="D329" s="149" t="str">
        <f t="shared" ref="D329:F329" si="285">D328</f>
        <v>1-10</v>
      </c>
      <c r="E329" s="149">
        <f t="shared" si="285"/>
        <v>10</v>
      </c>
      <c r="F329" s="149" t="str">
        <f t="shared" si="285"/>
        <v>air</v>
      </c>
      <c r="G329" s="146" t="str">
        <f t="shared" si="283"/>
        <v>PUR pellets 1-10 mm (emission to air)</v>
      </c>
      <c r="H329" s="146" t="str">
        <f>H328</f>
        <v>Freisetzung durch Unfälle mit Pellets; Unsachgemäße Entsorgung von Pellets</v>
      </c>
      <c r="I329" s="129">
        <v>2.3E-2</v>
      </c>
      <c r="J329" s="101" t="s">
        <v>1097</v>
      </c>
      <c r="K329" s="114">
        <f>K17</f>
        <v>52.875</v>
      </c>
      <c r="L329" s="226">
        <f t="shared" si="284"/>
        <v>47.281323877068559</v>
      </c>
      <c r="M329" s="158">
        <f>IF(L329/1000&gt;1000,1000,L329/1000)</f>
        <v>4.7281323877068557E-2</v>
      </c>
      <c r="N329" s="610"/>
    </row>
    <row r="330" spans="1:14" s="102" customFormat="1" ht="15" customHeight="1">
      <c r="A330" s="173" t="str">
        <f>A329</f>
        <v>PUR</v>
      </c>
      <c r="B330" s="150" t="str">
        <f>B329</f>
        <v>pellets</v>
      </c>
      <c r="C330" s="150">
        <f t="shared" si="282"/>
        <v>4</v>
      </c>
      <c r="D330" s="150" t="str">
        <f t="shared" ref="D330:F330" si="286">D329</f>
        <v>1-10</v>
      </c>
      <c r="E330" s="150">
        <f t="shared" si="286"/>
        <v>10</v>
      </c>
      <c r="F330" s="150" t="str">
        <f t="shared" si="286"/>
        <v>air</v>
      </c>
      <c r="G330" s="147" t="str">
        <f t="shared" si="283"/>
        <v>PUR pellets 1-10 mm (emission to air)</v>
      </c>
      <c r="H330" s="147" t="str">
        <f>H329</f>
        <v>Freisetzung durch Unfälle mit Pellets; Unsachgemäße Entsorgung von Pellets</v>
      </c>
      <c r="I330" s="129">
        <v>0</v>
      </c>
      <c r="J330" s="101" t="s">
        <v>1034</v>
      </c>
      <c r="K330" s="151" t="s">
        <v>596</v>
      </c>
      <c r="L330" s="226">
        <f t="shared" si="284"/>
        <v>0</v>
      </c>
      <c r="M330" s="158">
        <f t="shared" ref="M330" si="287">IF(L330/1000&gt;1000,1000,L330/1000)</f>
        <v>0</v>
      </c>
      <c r="N330" s="610"/>
    </row>
    <row r="331" spans="1:14" s="102" customFormat="1">
      <c r="A331" s="175" t="s">
        <v>949</v>
      </c>
      <c r="B331" s="186" t="s">
        <v>1025</v>
      </c>
      <c r="C331" s="188">
        <f t="shared" si="165"/>
        <v>6</v>
      </c>
      <c r="D331" s="188" t="s">
        <v>1018</v>
      </c>
      <c r="E331" s="155">
        <v>0.1</v>
      </c>
      <c r="F331" s="131" t="s">
        <v>1019</v>
      </c>
      <c r="G331" s="134" t="str">
        <f t="shared" si="257"/>
        <v>PUR particles 0,01-0,1 mm (emission to soil)</v>
      </c>
      <c r="H331" s="133"/>
      <c r="I331" s="129">
        <v>1</v>
      </c>
      <c r="J331" s="101" t="s">
        <v>1019</v>
      </c>
      <c r="K331" s="114">
        <f>K16</f>
        <v>52.875</v>
      </c>
      <c r="L331" s="226">
        <f t="shared" si="215"/>
        <v>0.2364066193853428</v>
      </c>
      <c r="M331" s="158">
        <f>IF(L331/1000&gt;1000,1000,L331/1000)</f>
        <v>2.3640661938534281E-4</v>
      </c>
      <c r="N331" s="610">
        <f>I331*M331+I332*M332</f>
        <v>2.3640661938534281E-4</v>
      </c>
    </row>
    <row r="332" spans="1:14" s="102" customFormat="1">
      <c r="A332" s="172" t="str">
        <f>A331</f>
        <v>PUR</v>
      </c>
      <c r="B332" s="149" t="str">
        <f>B331</f>
        <v>particles</v>
      </c>
      <c r="C332" s="149">
        <f t="shared" si="165"/>
        <v>6</v>
      </c>
      <c r="D332" s="149" t="str">
        <f t="shared" ref="D332:F333" si="288">D331</f>
        <v>0,01-0,1</v>
      </c>
      <c r="E332" s="149">
        <f t="shared" si="288"/>
        <v>0.1</v>
      </c>
      <c r="F332" s="149" t="str">
        <f t="shared" si="288"/>
        <v>soil</v>
      </c>
      <c r="G332" s="146" t="str">
        <f t="shared" si="257"/>
        <v>PUR particles 0,01-0,1 mm (emission to soil)</v>
      </c>
      <c r="H332" s="146"/>
      <c r="I332" s="129">
        <v>0</v>
      </c>
      <c r="J332" s="101" t="s">
        <v>1097</v>
      </c>
      <c r="K332" s="114">
        <f>K17</f>
        <v>52.875</v>
      </c>
      <c r="L332" s="226">
        <f t="shared" si="215"/>
        <v>0.2364066193853428</v>
      </c>
      <c r="M332" s="158">
        <f>IF(L332/1000&gt;1000,1000,L332/1000)</f>
        <v>2.3640661938534281E-4</v>
      </c>
      <c r="N332" s="610"/>
    </row>
    <row r="333" spans="1:14" s="102" customFormat="1">
      <c r="A333" s="173" t="str">
        <f>A332</f>
        <v>PUR</v>
      </c>
      <c r="B333" s="150" t="str">
        <f>B332</f>
        <v>particles</v>
      </c>
      <c r="C333" s="150">
        <f t="shared" si="165"/>
        <v>6</v>
      </c>
      <c r="D333" s="150" t="str">
        <f t="shared" si="288"/>
        <v>0,01-0,1</v>
      </c>
      <c r="E333" s="150">
        <f t="shared" si="288"/>
        <v>0.1</v>
      </c>
      <c r="F333" s="150" t="str">
        <f t="shared" si="288"/>
        <v>soil</v>
      </c>
      <c r="G333" s="147" t="str">
        <f t="shared" si="257"/>
        <v>PUR particles 0,01-0,1 mm (emission to soil)</v>
      </c>
      <c r="H333" s="147"/>
      <c r="I333" s="129">
        <v>0</v>
      </c>
      <c r="J333" s="101" t="s">
        <v>1034</v>
      </c>
      <c r="K333" s="151" t="s">
        <v>596</v>
      </c>
      <c r="L333" s="226">
        <f t="shared" si="215"/>
        <v>0</v>
      </c>
      <c r="M333" s="158">
        <f t="shared" ref="M333" si="289">IF(L333/1000&gt;1000,1000,L333/1000)</f>
        <v>0</v>
      </c>
      <c r="N333" s="610"/>
    </row>
    <row r="334" spans="1:14" s="102" customFormat="1">
      <c r="A334" s="175" t="s">
        <v>949</v>
      </c>
      <c r="B334" s="186" t="s">
        <v>1025</v>
      </c>
      <c r="C334" s="188">
        <f t="shared" si="165"/>
        <v>6</v>
      </c>
      <c r="D334" s="188" t="s">
        <v>1018</v>
      </c>
      <c r="E334" s="155">
        <v>0.1</v>
      </c>
      <c r="F334" s="131" t="s">
        <v>1020</v>
      </c>
      <c r="G334" s="134" t="str">
        <f t="shared" si="257"/>
        <v>PUR particles 0,01-0,1 mm (emission to water)</v>
      </c>
      <c r="H334" s="133"/>
      <c r="I334" s="137">
        <v>0</v>
      </c>
      <c r="J334" s="101" t="s">
        <v>1019</v>
      </c>
      <c r="K334" s="114">
        <f>K16</f>
        <v>52.875</v>
      </c>
      <c r="L334" s="226">
        <f t="shared" si="215"/>
        <v>0.2364066193853428</v>
      </c>
      <c r="M334" s="220">
        <f t="shared" ref="M334:M337" si="290">IF(L334/1000&gt;1000,1000,L334/1000)</f>
        <v>2.3640661938534281E-4</v>
      </c>
      <c r="N334" s="611">
        <f>I334*M334+I335*M335+I336*M336</f>
        <v>2.3640661938534281E-4</v>
      </c>
    </row>
    <row r="335" spans="1:14" s="102" customFormat="1">
      <c r="A335" s="172" t="str">
        <f>A334</f>
        <v>PUR</v>
      </c>
      <c r="B335" s="149" t="str">
        <f>B334</f>
        <v>particles</v>
      </c>
      <c r="C335" s="149">
        <f t="shared" si="165"/>
        <v>6</v>
      </c>
      <c r="D335" s="149" t="str">
        <f t="shared" ref="D335:F336" si="291">D334</f>
        <v>0,01-0,1</v>
      </c>
      <c r="E335" s="149">
        <f t="shared" si="291"/>
        <v>0.1</v>
      </c>
      <c r="F335" s="149" t="str">
        <f t="shared" si="291"/>
        <v>water</v>
      </c>
      <c r="G335" s="146" t="str">
        <f t="shared" si="257"/>
        <v>PUR particles 0,01-0,1 mm (emission to water)</v>
      </c>
      <c r="H335" s="146"/>
      <c r="I335" s="129">
        <v>0</v>
      </c>
      <c r="J335" s="101" t="s">
        <v>1097</v>
      </c>
      <c r="K335" s="114">
        <f>K17</f>
        <v>52.875</v>
      </c>
      <c r="L335" s="226">
        <f t="shared" si="215"/>
        <v>0.2364066193853428</v>
      </c>
      <c r="M335" s="220">
        <f t="shared" si="290"/>
        <v>2.3640661938534281E-4</v>
      </c>
      <c r="N335" s="612"/>
    </row>
    <row r="336" spans="1:14" s="102" customFormat="1">
      <c r="A336" s="172" t="str">
        <f>A335</f>
        <v>PUR</v>
      </c>
      <c r="B336" s="149" t="str">
        <f>B335</f>
        <v>particles</v>
      </c>
      <c r="C336" s="149">
        <f t="shared" si="165"/>
        <v>6</v>
      </c>
      <c r="D336" s="149" t="str">
        <f t="shared" si="291"/>
        <v>0,01-0,1</v>
      </c>
      <c r="E336" s="149">
        <f t="shared" si="291"/>
        <v>0.1</v>
      </c>
      <c r="F336" s="149" t="str">
        <f t="shared" si="291"/>
        <v>water</v>
      </c>
      <c r="G336" s="146" t="str">
        <f t="shared" si="257"/>
        <v>PUR particles 0,01-0,1 mm (emission to water)</v>
      </c>
      <c r="H336" s="146">
        <f>H335</f>
        <v>0</v>
      </c>
      <c r="I336" s="129">
        <v>1</v>
      </c>
      <c r="J336" s="101" t="s">
        <v>1096</v>
      </c>
      <c r="K336" s="114">
        <f>K18</f>
        <v>52.875</v>
      </c>
      <c r="L336" s="226">
        <f t="shared" si="215"/>
        <v>0.2364066193853428</v>
      </c>
      <c r="M336" s="220">
        <f t="shared" si="290"/>
        <v>2.3640661938534281E-4</v>
      </c>
      <c r="N336" s="612"/>
    </row>
    <row r="337" spans="1:14" s="102" customFormat="1">
      <c r="A337" s="173" t="str">
        <f>A335</f>
        <v>PUR</v>
      </c>
      <c r="B337" s="150" t="str">
        <f>B335</f>
        <v>particles</v>
      </c>
      <c r="C337" s="150">
        <f t="shared" si="165"/>
        <v>6</v>
      </c>
      <c r="D337" s="150" t="str">
        <f>D335</f>
        <v>0,01-0,1</v>
      </c>
      <c r="E337" s="150">
        <f>E335</f>
        <v>0.1</v>
      </c>
      <c r="F337" s="150" t="str">
        <f>F335</f>
        <v>water</v>
      </c>
      <c r="G337" s="147" t="str">
        <f t="shared" si="257"/>
        <v>PUR particles 0,01-0,1 mm (emission to water)</v>
      </c>
      <c r="H337" s="147"/>
      <c r="I337" s="129">
        <v>0</v>
      </c>
      <c r="J337" s="101" t="s">
        <v>1034</v>
      </c>
      <c r="K337" s="114" t="s">
        <v>596</v>
      </c>
      <c r="L337" s="226">
        <f t="shared" si="215"/>
        <v>0</v>
      </c>
      <c r="M337" s="220">
        <f t="shared" si="290"/>
        <v>0</v>
      </c>
      <c r="N337" s="613"/>
    </row>
    <row r="338" spans="1:14" s="102" customFormat="1">
      <c r="A338" s="175" t="s">
        <v>949</v>
      </c>
      <c r="B338" s="288" t="s">
        <v>1025</v>
      </c>
      <c r="C338" s="290">
        <f t="shared" ref="C338:C340" si="292">IF(OR(B338="Folie", B338="Strips", B338="Film",B338="Flakes",B338="Coupon"), 2,IF(OR(B338="Fibers",B338="Pellets"),4,IF(OR(B338="Particles",B338="Shreds",B338="Powder",B338="Fragments",B338="Granules"),6,"")))</f>
        <v>6</v>
      </c>
      <c r="D338" s="290" t="s">
        <v>1018</v>
      </c>
      <c r="E338" s="155">
        <v>0.1</v>
      </c>
      <c r="F338" s="131" t="s">
        <v>1057</v>
      </c>
      <c r="G338" s="134" t="str">
        <f t="shared" ref="G338:G340" si="293">CONCATENATE(A338," ",B338," ",D338," mm (emission to ",F338,")")</f>
        <v>PUR particles 0,01-0,1 mm (emission to air)</v>
      </c>
      <c r="H338" s="133"/>
      <c r="I338" s="137">
        <v>0.97699999999999998</v>
      </c>
      <c r="J338" s="101" t="s">
        <v>1019</v>
      </c>
      <c r="K338" s="114">
        <f>K16</f>
        <v>52.875</v>
      </c>
      <c r="L338" s="226">
        <f t="shared" ref="L338:L340" si="294">IFERROR(IF(K338="--",0,IF(E338*1000/K338*(1-0.5)^(C338/2)&gt;1000,1000,E338*1000/K338*(1-0.5)^(C338/2))),1000)</f>
        <v>0.2364066193853428</v>
      </c>
      <c r="M338" s="158">
        <f>IF(L338/1000&gt;1000,1000,L338/1000)</f>
        <v>2.3640661938534281E-4</v>
      </c>
      <c r="N338" s="610">
        <f>I338*M338+I339*M339</f>
        <v>2.3640661938534281E-4</v>
      </c>
    </row>
    <row r="339" spans="1:14" s="102" customFormat="1">
      <c r="A339" s="172" t="str">
        <f>A338</f>
        <v>PUR</v>
      </c>
      <c r="B339" s="149" t="str">
        <f>B338</f>
        <v>particles</v>
      </c>
      <c r="C339" s="149">
        <f t="shared" si="292"/>
        <v>6</v>
      </c>
      <c r="D339" s="149" t="str">
        <f t="shared" ref="D339:F339" si="295">D338</f>
        <v>0,01-0,1</v>
      </c>
      <c r="E339" s="149">
        <f t="shared" si="295"/>
        <v>0.1</v>
      </c>
      <c r="F339" s="149" t="str">
        <f t="shared" si="295"/>
        <v>air</v>
      </c>
      <c r="G339" s="146" t="str">
        <f t="shared" si="293"/>
        <v>PUR particles 0,01-0,1 mm (emission to air)</v>
      </c>
      <c r="H339" s="146"/>
      <c r="I339" s="129">
        <v>2.3E-2</v>
      </c>
      <c r="J339" s="101" t="s">
        <v>1097</v>
      </c>
      <c r="K339" s="114">
        <f>K17</f>
        <v>52.875</v>
      </c>
      <c r="L339" s="226">
        <f t="shared" si="294"/>
        <v>0.2364066193853428</v>
      </c>
      <c r="M339" s="158">
        <f>IF(L339/1000&gt;1000,1000,L339/1000)</f>
        <v>2.3640661938534281E-4</v>
      </c>
      <c r="N339" s="610"/>
    </row>
    <row r="340" spans="1:14" s="102" customFormat="1">
      <c r="A340" s="173" t="str">
        <f>A339</f>
        <v>PUR</v>
      </c>
      <c r="B340" s="150" t="str">
        <f>B339</f>
        <v>particles</v>
      </c>
      <c r="C340" s="150">
        <f t="shared" si="292"/>
        <v>6</v>
      </c>
      <c r="D340" s="150" t="str">
        <f t="shared" ref="D340:F340" si="296">D339</f>
        <v>0,01-0,1</v>
      </c>
      <c r="E340" s="150">
        <f t="shared" si="296"/>
        <v>0.1</v>
      </c>
      <c r="F340" s="150" t="str">
        <f t="shared" si="296"/>
        <v>air</v>
      </c>
      <c r="G340" s="147" t="str">
        <f t="shared" si="293"/>
        <v>PUR particles 0,01-0,1 mm (emission to air)</v>
      </c>
      <c r="H340" s="147"/>
      <c r="I340" s="129">
        <v>0</v>
      </c>
      <c r="J340" s="101" t="s">
        <v>1034</v>
      </c>
      <c r="K340" s="151" t="s">
        <v>596</v>
      </c>
      <c r="L340" s="226">
        <f t="shared" si="294"/>
        <v>0</v>
      </c>
      <c r="M340" s="158">
        <f t="shared" ref="M340" si="297">IF(L340/1000&gt;1000,1000,L340/1000)</f>
        <v>0</v>
      </c>
      <c r="N340" s="610"/>
    </row>
    <row r="341" spans="1:14" s="102" customFormat="1" ht="38.25">
      <c r="A341" s="176" t="s">
        <v>949</v>
      </c>
      <c r="B341" s="183" t="s">
        <v>1025</v>
      </c>
      <c r="C341" s="184">
        <f t="shared" si="165"/>
        <v>6</v>
      </c>
      <c r="D341" s="184" t="s">
        <v>1028</v>
      </c>
      <c r="E341" s="155">
        <v>1</v>
      </c>
      <c r="F341" s="131" t="s">
        <v>1019</v>
      </c>
      <c r="G341" s="134" t="str">
        <f t="shared" si="257"/>
        <v>PUR particles 0,1-1 mm (emission to soil)</v>
      </c>
      <c r="H341" s="157" t="s">
        <v>1047</v>
      </c>
      <c r="I341" s="129">
        <v>1</v>
      </c>
      <c r="J341" s="101" t="s">
        <v>1019</v>
      </c>
      <c r="K341" s="114">
        <f>K16</f>
        <v>52.875</v>
      </c>
      <c r="L341" s="226">
        <f t="shared" si="215"/>
        <v>2.3640661938534278</v>
      </c>
      <c r="M341" s="158">
        <f>IF(L341/1000&gt;1000,1000,L341/1000)</f>
        <v>2.3640661938534278E-3</v>
      </c>
      <c r="N341" s="610">
        <f>I341*M341+I342*M342</f>
        <v>2.3640661938534278E-3</v>
      </c>
    </row>
    <row r="342" spans="1:14" s="102" customFormat="1" ht="15" customHeight="1">
      <c r="A342" s="172" t="str">
        <f>A341</f>
        <v>PUR</v>
      </c>
      <c r="B342" s="149" t="str">
        <f>B341</f>
        <v>particles</v>
      </c>
      <c r="C342" s="149">
        <f t="shared" si="165"/>
        <v>6</v>
      </c>
      <c r="D342" s="149" t="str">
        <f t="shared" ref="D342:F343" si="298">D341</f>
        <v>0,1-1</v>
      </c>
      <c r="E342" s="149">
        <f t="shared" si="298"/>
        <v>1</v>
      </c>
      <c r="F342" s="149" t="str">
        <f t="shared" si="298"/>
        <v>soil</v>
      </c>
      <c r="G342" s="146" t="str">
        <f t="shared" si="257"/>
        <v>PUR particles 0,1-1 mm (emission to soil)</v>
      </c>
      <c r="H342" s="146" t="str">
        <f>H341</f>
        <v>Fragmentierung bei Abbrucharbeiten; Abrieb von Baukunststoffen; Verarbeitung von Bauschutt</v>
      </c>
      <c r="I342" s="129">
        <v>0</v>
      </c>
      <c r="J342" s="101" t="s">
        <v>1097</v>
      </c>
      <c r="K342" s="114">
        <f>K17</f>
        <v>52.875</v>
      </c>
      <c r="L342" s="226">
        <f t="shared" si="215"/>
        <v>2.3640661938534278</v>
      </c>
      <c r="M342" s="158">
        <f>IF(L342/1000&gt;1000,1000,L342/1000)</f>
        <v>2.3640661938534278E-3</v>
      </c>
      <c r="N342" s="610"/>
    </row>
    <row r="343" spans="1:14" s="102" customFormat="1" ht="15" customHeight="1">
      <c r="A343" s="173" t="str">
        <f>A342</f>
        <v>PUR</v>
      </c>
      <c r="B343" s="150" t="str">
        <f>B342</f>
        <v>particles</v>
      </c>
      <c r="C343" s="150">
        <f t="shared" si="165"/>
        <v>6</v>
      </c>
      <c r="D343" s="150" t="str">
        <f t="shared" si="298"/>
        <v>0,1-1</v>
      </c>
      <c r="E343" s="150">
        <f t="shared" si="298"/>
        <v>1</v>
      </c>
      <c r="F343" s="150" t="str">
        <f t="shared" si="298"/>
        <v>soil</v>
      </c>
      <c r="G343" s="147" t="str">
        <f t="shared" si="257"/>
        <v>PUR particles 0,1-1 mm (emission to soil)</v>
      </c>
      <c r="H343" s="147" t="str">
        <f>H342</f>
        <v>Fragmentierung bei Abbrucharbeiten; Abrieb von Baukunststoffen; Verarbeitung von Bauschutt</v>
      </c>
      <c r="I343" s="129">
        <v>0</v>
      </c>
      <c r="J343" s="101" t="s">
        <v>1034</v>
      </c>
      <c r="K343" s="151" t="s">
        <v>596</v>
      </c>
      <c r="L343" s="226">
        <f t="shared" si="215"/>
        <v>0</v>
      </c>
      <c r="M343" s="158">
        <f t="shared" ref="M343" si="299">IF(L343/1000&gt;1000,1000,L343/1000)</f>
        <v>0</v>
      </c>
      <c r="N343" s="610"/>
    </row>
    <row r="344" spans="1:14" s="102" customFormat="1" ht="38.25">
      <c r="A344" s="176" t="s">
        <v>949</v>
      </c>
      <c r="B344" s="183" t="s">
        <v>1025</v>
      </c>
      <c r="C344" s="184">
        <f t="shared" si="165"/>
        <v>6</v>
      </c>
      <c r="D344" s="184" t="s">
        <v>1028</v>
      </c>
      <c r="E344" s="155">
        <v>1</v>
      </c>
      <c r="F344" s="131" t="s">
        <v>1020</v>
      </c>
      <c r="G344" s="134" t="str">
        <f t="shared" si="257"/>
        <v>PUR particles 0,1-1 mm (emission to water)</v>
      </c>
      <c r="H344" s="157" t="s">
        <v>1047</v>
      </c>
      <c r="I344" s="137">
        <v>0</v>
      </c>
      <c r="J344" s="101" t="s">
        <v>1019</v>
      </c>
      <c r="K344" s="114">
        <f>K16</f>
        <v>52.875</v>
      </c>
      <c r="L344" s="226">
        <f t="shared" si="215"/>
        <v>2.3640661938534278</v>
      </c>
      <c r="M344" s="220">
        <f t="shared" ref="M344:M347" si="300">IF(L344/1000&gt;1000,1000,L344/1000)</f>
        <v>2.3640661938534278E-3</v>
      </c>
      <c r="N344" s="611">
        <f>I344*M344+I345*M345+I346*M346</f>
        <v>2.3640661938534278E-3</v>
      </c>
    </row>
    <row r="345" spans="1:14" s="102" customFormat="1" ht="15" customHeight="1">
      <c r="A345" s="172" t="str">
        <f>A344</f>
        <v>PUR</v>
      </c>
      <c r="B345" s="149" t="str">
        <f>B344</f>
        <v>particles</v>
      </c>
      <c r="C345" s="149">
        <f t="shared" si="165"/>
        <v>6</v>
      </c>
      <c r="D345" s="149" t="str">
        <f t="shared" ref="D345:F346" si="301">D344</f>
        <v>0,1-1</v>
      </c>
      <c r="E345" s="149">
        <f t="shared" si="301"/>
        <v>1</v>
      </c>
      <c r="F345" s="149" t="str">
        <f t="shared" si="301"/>
        <v>water</v>
      </c>
      <c r="G345" s="146" t="str">
        <f t="shared" si="257"/>
        <v>PUR particles 0,1-1 mm (emission to water)</v>
      </c>
      <c r="H345" s="146" t="str">
        <f>H344</f>
        <v>Fragmentierung bei Abbrucharbeiten; Abrieb von Baukunststoffen; Verarbeitung von Bauschutt</v>
      </c>
      <c r="I345" s="129">
        <v>0</v>
      </c>
      <c r="J345" s="101" t="s">
        <v>1097</v>
      </c>
      <c r="K345" s="114">
        <f>K17</f>
        <v>52.875</v>
      </c>
      <c r="L345" s="226">
        <f t="shared" si="215"/>
        <v>2.3640661938534278</v>
      </c>
      <c r="M345" s="220">
        <f t="shared" si="300"/>
        <v>2.3640661938534278E-3</v>
      </c>
      <c r="N345" s="612"/>
    </row>
    <row r="346" spans="1:14" s="102" customFormat="1" ht="15" customHeight="1">
      <c r="A346" s="172" t="str">
        <f>A345</f>
        <v>PUR</v>
      </c>
      <c r="B346" s="149" t="str">
        <f>B345</f>
        <v>particles</v>
      </c>
      <c r="C346" s="149">
        <f t="shared" si="165"/>
        <v>6</v>
      </c>
      <c r="D346" s="149" t="str">
        <f t="shared" si="301"/>
        <v>0,1-1</v>
      </c>
      <c r="E346" s="149">
        <f t="shared" si="301"/>
        <v>1</v>
      </c>
      <c r="F346" s="149" t="str">
        <f t="shared" si="301"/>
        <v>water</v>
      </c>
      <c r="G346" s="146" t="str">
        <f t="shared" si="257"/>
        <v>PUR particles 0,1-1 mm (emission to water)</v>
      </c>
      <c r="H346" s="146" t="str">
        <f>H345</f>
        <v>Fragmentierung bei Abbrucharbeiten; Abrieb von Baukunststoffen; Verarbeitung von Bauschutt</v>
      </c>
      <c r="I346" s="129">
        <v>1</v>
      </c>
      <c r="J346" s="101" t="s">
        <v>1096</v>
      </c>
      <c r="K346" s="114">
        <f>K18</f>
        <v>52.875</v>
      </c>
      <c r="L346" s="226">
        <f t="shared" si="215"/>
        <v>2.3640661938534278</v>
      </c>
      <c r="M346" s="220">
        <f t="shared" si="300"/>
        <v>2.3640661938534278E-3</v>
      </c>
      <c r="N346" s="612"/>
    </row>
    <row r="347" spans="1:14" s="102" customFormat="1" ht="15" customHeight="1">
      <c r="A347" s="173" t="str">
        <f>A345</f>
        <v>PUR</v>
      </c>
      <c r="B347" s="150" t="str">
        <f>B345</f>
        <v>particles</v>
      </c>
      <c r="C347" s="150">
        <f t="shared" si="165"/>
        <v>6</v>
      </c>
      <c r="D347" s="150" t="str">
        <f>D345</f>
        <v>0,1-1</v>
      </c>
      <c r="E347" s="150">
        <f>E345</f>
        <v>1</v>
      </c>
      <c r="F347" s="150" t="str">
        <f>F345</f>
        <v>water</v>
      </c>
      <c r="G347" s="147" t="str">
        <f t="shared" si="257"/>
        <v>PUR particles 0,1-1 mm (emission to water)</v>
      </c>
      <c r="H347" s="147" t="str">
        <f>H345</f>
        <v>Fragmentierung bei Abbrucharbeiten; Abrieb von Baukunststoffen; Verarbeitung von Bauschutt</v>
      </c>
      <c r="I347" s="129">
        <v>0</v>
      </c>
      <c r="J347" s="101" t="s">
        <v>1034</v>
      </c>
      <c r="K347" s="114" t="s">
        <v>596</v>
      </c>
      <c r="L347" s="226">
        <f t="shared" si="215"/>
        <v>0</v>
      </c>
      <c r="M347" s="220">
        <f t="shared" si="300"/>
        <v>0</v>
      </c>
      <c r="N347" s="613"/>
    </row>
    <row r="348" spans="1:14" s="102" customFormat="1" ht="37.5" customHeight="1">
      <c r="A348" s="176" t="s">
        <v>949</v>
      </c>
      <c r="B348" s="288" t="s">
        <v>1025</v>
      </c>
      <c r="C348" s="290">
        <f t="shared" ref="C348:C350" si="302">IF(OR(B348="Folie", B348="Strips", B348="Film",B348="Flakes",B348="Coupon"), 2,IF(OR(B348="Fibers",B348="Pellets"),4,IF(OR(B348="Particles",B348="Shreds",B348="Powder",B348="Fragments",B348="Granules"),6,"")))</f>
        <v>6</v>
      </c>
      <c r="D348" s="290" t="s">
        <v>1028</v>
      </c>
      <c r="E348" s="155">
        <v>1</v>
      </c>
      <c r="F348" s="131" t="s">
        <v>1057</v>
      </c>
      <c r="G348" s="134" t="str">
        <f t="shared" ref="G348:G350" si="303">CONCATENATE(A348," ",B348," ",D348," mm (emission to ",F348,")")</f>
        <v>PUR particles 0,1-1 mm (emission to air)</v>
      </c>
      <c r="H348" s="157" t="s">
        <v>1047</v>
      </c>
      <c r="I348" s="137">
        <v>0.97699999999999998</v>
      </c>
      <c r="J348" s="101" t="s">
        <v>1019</v>
      </c>
      <c r="K348" s="114">
        <f>K16</f>
        <v>52.875</v>
      </c>
      <c r="L348" s="226">
        <f t="shared" ref="L348:L350" si="304">IFERROR(IF(K348="--",0,IF(E348*1000/K348*(1-0.5)^(C348/2)&gt;1000,1000,E348*1000/K348*(1-0.5)^(C348/2))),1000)</f>
        <v>2.3640661938534278</v>
      </c>
      <c r="M348" s="158">
        <f>IF(L348/1000&gt;1000,1000,L348/1000)</f>
        <v>2.3640661938534278E-3</v>
      </c>
      <c r="N348" s="610">
        <f>I348*M348+I349*M349</f>
        <v>2.3640661938534278E-3</v>
      </c>
    </row>
    <row r="349" spans="1:14" s="102" customFormat="1" ht="15" customHeight="1">
      <c r="A349" s="172" t="str">
        <f>A348</f>
        <v>PUR</v>
      </c>
      <c r="B349" s="149" t="str">
        <f>B348</f>
        <v>particles</v>
      </c>
      <c r="C349" s="149">
        <f t="shared" si="302"/>
        <v>6</v>
      </c>
      <c r="D349" s="149" t="str">
        <f t="shared" ref="D349:F349" si="305">D348</f>
        <v>0,1-1</v>
      </c>
      <c r="E349" s="149">
        <f t="shared" si="305"/>
        <v>1</v>
      </c>
      <c r="F349" s="149" t="str">
        <f t="shared" si="305"/>
        <v>air</v>
      </c>
      <c r="G349" s="146" t="str">
        <f t="shared" si="303"/>
        <v>PUR particles 0,1-1 mm (emission to air)</v>
      </c>
      <c r="H349" s="146" t="str">
        <f>H348</f>
        <v>Fragmentierung bei Abbrucharbeiten; Abrieb von Baukunststoffen; Verarbeitung von Bauschutt</v>
      </c>
      <c r="I349" s="129">
        <v>2.3E-2</v>
      </c>
      <c r="J349" s="101" t="s">
        <v>1097</v>
      </c>
      <c r="K349" s="114">
        <f>K16</f>
        <v>52.875</v>
      </c>
      <c r="L349" s="226">
        <f t="shared" si="304"/>
        <v>2.3640661938534278</v>
      </c>
      <c r="M349" s="158">
        <f>IF(L349/1000&gt;1000,1000,L349/1000)</f>
        <v>2.3640661938534278E-3</v>
      </c>
      <c r="N349" s="610"/>
    </row>
    <row r="350" spans="1:14" s="102" customFormat="1" ht="15" customHeight="1">
      <c r="A350" s="173" t="str">
        <f>A349</f>
        <v>PUR</v>
      </c>
      <c r="B350" s="150" t="str">
        <f>B349</f>
        <v>particles</v>
      </c>
      <c r="C350" s="150">
        <f t="shared" si="302"/>
        <v>6</v>
      </c>
      <c r="D350" s="150" t="str">
        <f t="shared" ref="D350:F350" si="306">D349</f>
        <v>0,1-1</v>
      </c>
      <c r="E350" s="150">
        <f t="shared" si="306"/>
        <v>1</v>
      </c>
      <c r="F350" s="150" t="str">
        <f t="shared" si="306"/>
        <v>air</v>
      </c>
      <c r="G350" s="147" t="str">
        <f t="shared" si="303"/>
        <v>PUR particles 0,1-1 mm (emission to air)</v>
      </c>
      <c r="H350" s="147" t="str">
        <f>H349</f>
        <v>Fragmentierung bei Abbrucharbeiten; Abrieb von Baukunststoffen; Verarbeitung von Bauschutt</v>
      </c>
      <c r="I350" s="129">
        <v>0</v>
      </c>
      <c r="J350" s="101" t="s">
        <v>1034</v>
      </c>
      <c r="K350" s="151" t="s">
        <v>596</v>
      </c>
      <c r="L350" s="226">
        <f t="shared" si="304"/>
        <v>0</v>
      </c>
      <c r="M350" s="158">
        <f t="shared" ref="M350" si="307">IF(L350/1000&gt;1000,1000,L350/1000)</f>
        <v>0</v>
      </c>
      <c r="N350" s="610"/>
    </row>
    <row r="351" spans="1:14" s="102" customFormat="1" ht="15" customHeight="1">
      <c r="A351" s="176" t="s">
        <v>949</v>
      </c>
      <c r="B351" s="183" t="s">
        <v>1025</v>
      </c>
      <c r="C351" s="184">
        <f t="shared" si="165"/>
        <v>6</v>
      </c>
      <c r="D351" s="184" t="s">
        <v>1026</v>
      </c>
      <c r="E351" s="155">
        <v>10</v>
      </c>
      <c r="F351" s="131" t="s">
        <v>1019</v>
      </c>
      <c r="G351" s="134" t="str">
        <f t="shared" si="257"/>
        <v>PUR particles 1-10 mm (emission to soil)</v>
      </c>
      <c r="H351" s="133" t="s">
        <v>1038</v>
      </c>
      <c r="I351" s="129">
        <v>1</v>
      </c>
      <c r="J351" s="101" t="s">
        <v>1019</v>
      </c>
      <c r="K351" s="114">
        <f>K16</f>
        <v>52.875</v>
      </c>
      <c r="L351" s="226">
        <f t="shared" si="215"/>
        <v>23.640661938534279</v>
      </c>
      <c r="M351" s="158">
        <f>IF(L351/1000&gt;1000,1000,L351/1000)</f>
        <v>2.3640661938534278E-2</v>
      </c>
      <c r="N351" s="610">
        <f>I351*M351+I352*M352</f>
        <v>2.3640661938534278E-2</v>
      </c>
    </row>
    <row r="352" spans="1:14" s="102" customFormat="1" ht="15" customHeight="1">
      <c r="A352" s="172" t="str">
        <f>A351</f>
        <v>PUR</v>
      </c>
      <c r="B352" s="149" t="str">
        <f>B351</f>
        <v>particles</v>
      </c>
      <c r="C352" s="149">
        <f t="shared" si="165"/>
        <v>6</v>
      </c>
      <c r="D352" s="149" t="str">
        <f t="shared" ref="D352:F353" si="308">D351</f>
        <v>1-10</v>
      </c>
      <c r="E352" s="149">
        <f t="shared" si="308"/>
        <v>10</v>
      </c>
      <c r="F352" s="149" t="str">
        <f t="shared" si="308"/>
        <v>soil</v>
      </c>
      <c r="G352" s="146" t="str">
        <f t="shared" si="257"/>
        <v>PUR particles 1-10 mm (emission to soil)</v>
      </c>
      <c r="H352" s="146" t="str">
        <f>H351</f>
        <v>Metallzerkleinerung</v>
      </c>
      <c r="I352" s="129">
        <v>0</v>
      </c>
      <c r="J352" s="101" t="s">
        <v>1097</v>
      </c>
      <c r="K352" s="114">
        <f>K17</f>
        <v>52.875</v>
      </c>
      <c r="L352" s="226">
        <f t="shared" si="215"/>
        <v>23.640661938534279</v>
      </c>
      <c r="M352" s="158">
        <f>IF(L352/1000&gt;1000,1000,L352/1000)</f>
        <v>2.3640661938534278E-2</v>
      </c>
      <c r="N352" s="610"/>
    </row>
    <row r="353" spans="1:14" s="102" customFormat="1" ht="15.75" customHeight="1">
      <c r="A353" s="173" t="str">
        <f>A352</f>
        <v>PUR</v>
      </c>
      <c r="B353" s="150" t="str">
        <f>B352</f>
        <v>particles</v>
      </c>
      <c r="C353" s="150">
        <f t="shared" si="165"/>
        <v>6</v>
      </c>
      <c r="D353" s="150" t="str">
        <f t="shared" si="308"/>
        <v>1-10</v>
      </c>
      <c r="E353" s="150">
        <f t="shared" si="308"/>
        <v>10</v>
      </c>
      <c r="F353" s="150" t="str">
        <f t="shared" si="308"/>
        <v>soil</v>
      </c>
      <c r="G353" s="147" t="str">
        <f t="shared" si="257"/>
        <v>PUR particles 1-10 mm (emission to soil)</v>
      </c>
      <c r="H353" s="147" t="str">
        <f>H352</f>
        <v>Metallzerkleinerung</v>
      </c>
      <c r="I353" s="129">
        <v>0</v>
      </c>
      <c r="J353" s="101" t="s">
        <v>1034</v>
      </c>
      <c r="K353" s="151" t="s">
        <v>596</v>
      </c>
      <c r="L353" s="226">
        <f t="shared" si="215"/>
        <v>0</v>
      </c>
      <c r="M353" s="158">
        <f t="shared" ref="M353" si="309">IF(L353/1000&gt;1000,1000,L353/1000)</f>
        <v>0</v>
      </c>
      <c r="N353" s="610"/>
    </row>
    <row r="354" spans="1:14" s="102" customFormat="1" ht="15" customHeight="1">
      <c r="A354" s="176" t="s">
        <v>949</v>
      </c>
      <c r="B354" s="183" t="s">
        <v>1025</v>
      </c>
      <c r="C354" s="184">
        <f t="shared" si="165"/>
        <v>6</v>
      </c>
      <c r="D354" s="184" t="s">
        <v>1026</v>
      </c>
      <c r="E354" s="214">
        <v>10</v>
      </c>
      <c r="F354" s="131" t="s">
        <v>1020</v>
      </c>
      <c r="G354" s="134" t="str">
        <f t="shared" si="257"/>
        <v>PUR particles 1-10 mm (emission to water)</v>
      </c>
      <c r="H354" s="133" t="s">
        <v>1038</v>
      </c>
      <c r="I354" s="137">
        <v>0</v>
      </c>
      <c r="J354" s="101" t="s">
        <v>1019</v>
      </c>
      <c r="K354" s="114">
        <f>K16</f>
        <v>52.875</v>
      </c>
      <c r="L354" s="226">
        <f t="shared" si="215"/>
        <v>23.640661938534279</v>
      </c>
      <c r="M354" s="220">
        <f t="shared" ref="M354:M357" si="310">IF(L354/1000&gt;1000,1000,L354/1000)</f>
        <v>2.3640661938534278E-2</v>
      </c>
      <c r="N354" s="611">
        <f>I354*M354+I355*M355+I356*M356</f>
        <v>2.3640661938534278E-2</v>
      </c>
    </row>
    <row r="355" spans="1:14" s="102" customFormat="1" ht="15" customHeight="1">
      <c r="A355" s="172" t="str">
        <f>A354</f>
        <v>PUR</v>
      </c>
      <c r="B355" s="149" t="str">
        <f>B354</f>
        <v>particles</v>
      </c>
      <c r="C355" s="149">
        <f t="shared" si="165"/>
        <v>6</v>
      </c>
      <c r="D355" s="149" t="str">
        <f t="shared" ref="D355:F356" si="311">D354</f>
        <v>1-10</v>
      </c>
      <c r="E355" s="149">
        <f t="shared" si="311"/>
        <v>10</v>
      </c>
      <c r="F355" s="149" t="str">
        <f t="shared" si="311"/>
        <v>water</v>
      </c>
      <c r="G355" s="146" t="str">
        <f t="shared" ref="G355:G370" si="312">CONCATENATE(A355," ",B355," ",D355," mm (emission to ",F355,")")</f>
        <v>PUR particles 1-10 mm (emission to water)</v>
      </c>
      <c r="H355" s="146" t="str">
        <f>H354</f>
        <v>Metallzerkleinerung</v>
      </c>
      <c r="I355" s="129">
        <v>0</v>
      </c>
      <c r="J355" s="101" t="s">
        <v>1097</v>
      </c>
      <c r="K355" s="114">
        <f>K17</f>
        <v>52.875</v>
      </c>
      <c r="L355" s="226">
        <f t="shared" ref="L355:L360" si="313">IFERROR(IF(K355="--",0,IF(E355*1000/K355*(1-0.5)^(C355/2)&gt;1000,1000,E355*1000/K355*(1-0.5)^(C355/2))),1000)</f>
        <v>23.640661938534279</v>
      </c>
      <c r="M355" s="220">
        <f t="shared" si="310"/>
        <v>2.3640661938534278E-2</v>
      </c>
      <c r="N355" s="612"/>
    </row>
    <row r="356" spans="1:14" s="102" customFormat="1" ht="15" customHeight="1">
      <c r="A356" s="172" t="str">
        <f>A355</f>
        <v>PUR</v>
      </c>
      <c r="B356" s="149" t="str">
        <f>B355</f>
        <v>particles</v>
      </c>
      <c r="C356" s="149">
        <f t="shared" si="165"/>
        <v>6</v>
      </c>
      <c r="D356" s="149" t="str">
        <f t="shared" si="311"/>
        <v>1-10</v>
      </c>
      <c r="E356" s="149">
        <f t="shared" si="311"/>
        <v>10</v>
      </c>
      <c r="F356" s="149" t="str">
        <f t="shared" si="311"/>
        <v>water</v>
      </c>
      <c r="G356" s="146" t="str">
        <f t="shared" si="312"/>
        <v>PUR particles 1-10 mm (emission to water)</v>
      </c>
      <c r="H356" s="146" t="str">
        <f>H355</f>
        <v>Metallzerkleinerung</v>
      </c>
      <c r="I356" s="129">
        <v>1</v>
      </c>
      <c r="J356" s="101" t="s">
        <v>1096</v>
      </c>
      <c r="K356" s="114">
        <f>K18</f>
        <v>52.875</v>
      </c>
      <c r="L356" s="226">
        <f t="shared" si="313"/>
        <v>23.640661938534279</v>
      </c>
      <c r="M356" s="220">
        <f t="shared" si="310"/>
        <v>2.3640661938534278E-2</v>
      </c>
      <c r="N356" s="612"/>
    </row>
    <row r="357" spans="1:14" s="102" customFormat="1" ht="15" customHeight="1">
      <c r="A357" s="173" t="str">
        <f>A355</f>
        <v>PUR</v>
      </c>
      <c r="B357" s="150" t="str">
        <f>B355</f>
        <v>particles</v>
      </c>
      <c r="C357" s="150">
        <f t="shared" si="165"/>
        <v>6</v>
      </c>
      <c r="D357" s="150" t="str">
        <f>D355</f>
        <v>1-10</v>
      </c>
      <c r="E357" s="150">
        <f>E355</f>
        <v>10</v>
      </c>
      <c r="F357" s="150" t="str">
        <f>F355</f>
        <v>water</v>
      </c>
      <c r="G357" s="147" t="str">
        <f t="shared" si="312"/>
        <v>PUR particles 1-10 mm (emission to water)</v>
      </c>
      <c r="H357" s="147" t="str">
        <f>H355</f>
        <v>Metallzerkleinerung</v>
      </c>
      <c r="I357" s="129">
        <v>0</v>
      </c>
      <c r="J357" s="101" t="s">
        <v>1034</v>
      </c>
      <c r="K357" s="114" t="s">
        <v>596</v>
      </c>
      <c r="L357" s="226">
        <f t="shared" si="313"/>
        <v>0</v>
      </c>
      <c r="M357" s="220">
        <f t="shared" si="310"/>
        <v>0</v>
      </c>
      <c r="N357" s="613"/>
    </row>
    <row r="358" spans="1:14" s="102" customFormat="1" ht="15" customHeight="1">
      <c r="A358" s="176" t="s">
        <v>949</v>
      </c>
      <c r="B358" s="288" t="s">
        <v>1025</v>
      </c>
      <c r="C358" s="290">
        <f t="shared" ref="C358:C360" si="314">IF(OR(B358="Folie", B358="Strips", B358="Film",B358="Flakes",B358="Coupon"), 2,IF(OR(B358="Fibers",B358="Pellets"),4,IF(OR(B358="Particles",B358="Shreds",B358="Powder",B358="Fragments",B358="Granules"),6,"")))</f>
        <v>6</v>
      </c>
      <c r="D358" s="290" t="s">
        <v>1026</v>
      </c>
      <c r="E358" s="155">
        <v>10</v>
      </c>
      <c r="F358" s="131" t="s">
        <v>1057</v>
      </c>
      <c r="G358" s="134" t="str">
        <f t="shared" si="312"/>
        <v>PUR particles 1-10 mm (emission to air)</v>
      </c>
      <c r="H358" s="133" t="s">
        <v>1038</v>
      </c>
      <c r="I358" s="137">
        <v>0.97699999999999998</v>
      </c>
      <c r="J358" s="101" t="s">
        <v>1019</v>
      </c>
      <c r="K358" s="114">
        <f>K16</f>
        <v>52.875</v>
      </c>
      <c r="L358" s="226">
        <f t="shared" si="313"/>
        <v>23.640661938534279</v>
      </c>
      <c r="M358" s="158">
        <f>IF(L358/1000&gt;1000,1000,L358/1000)</f>
        <v>2.3640661938534278E-2</v>
      </c>
      <c r="N358" s="610">
        <f>I358*M358+I359*M359</f>
        <v>2.3640661938534275E-2</v>
      </c>
    </row>
    <row r="359" spans="1:14" s="102" customFormat="1" ht="15" customHeight="1">
      <c r="A359" s="172" t="str">
        <f>A358</f>
        <v>PUR</v>
      </c>
      <c r="B359" s="149" t="str">
        <f>B358</f>
        <v>particles</v>
      </c>
      <c r="C359" s="149">
        <f t="shared" si="314"/>
        <v>6</v>
      </c>
      <c r="D359" s="149" t="str">
        <f t="shared" ref="D359:F359" si="315">D358</f>
        <v>1-10</v>
      </c>
      <c r="E359" s="149">
        <f t="shared" si="315"/>
        <v>10</v>
      </c>
      <c r="F359" s="149" t="str">
        <f t="shared" si="315"/>
        <v>air</v>
      </c>
      <c r="G359" s="146" t="str">
        <f t="shared" si="312"/>
        <v>PUR particles 1-10 mm (emission to air)</v>
      </c>
      <c r="H359" s="146" t="str">
        <f>H358</f>
        <v>Metallzerkleinerung</v>
      </c>
      <c r="I359" s="129">
        <v>2.3E-2</v>
      </c>
      <c r="J359" s="101" t="s">
        <v>1097</v>
      </c>
      <c r="K359" s="114">
        <f>K17</f>
        <v>52.875</v>
      </c>
      <c r="L359" s="226">
        <f t="shared" si="313"/>
        <v>23.640661938534279</v>
      </c>
      <c r="M359" s="158">
        <f>IF(L359/1000&gt;1000,1000,L359/1000)</f>
        <v>2.3640661938534278E-2</v>
      </c>
      <c r="N359" s="610"/>
    </row>
    <row r="360" spans="1:14" s="102" customFormat="1" ht="15" customHeight="1" thickBot="1">
      <c r="A360" s="173" t="str">
        <f>A359</f>
        <v>PUR</v>
      </c>
      <c r="B360" s="150" t="str">
        <f>B359</f>
        <v>particles</v>
      </c>
      <c r="C360" s="150">
        <f t="shared" si="314"/>
        <v>6</v>
      </c>
      <c r="D360" s="150" t="str">
        <f t="shared" ref="D360:F360" si="316">D359</f>
        <v>1-10</v>
      </c>
      <c r="E360" s="150">
        <f t="shared" si="316"/>
        <v>10</v>
      </c>
      <c r="F360" s="150" t="str">
        <f t="shared" si="316"/>
        <v>air</v>
      </c>
      <c r="G360" s="147" t="str">
        <f t="shared" si="312"/>
        <v>PUR particles 1-10 mm (emission to air)</v>
      </c>
      <c r="H360" s="147" t="str">
        <f>H359</f>
        <v>Metallzerkleinerung</v>
      </c>
      <c r="I360" s="129">
        <v>0</v>
      </c>
      <c r="J360" s="101" t="s">
        <v>1034</v>
      </c>
      <c r="K360" s="151" t="s">
        <v>596</v>
      </c>
      <c r="L360" s="226">
        <f t="shared" si="313"/>
        <v>0</v>
      </c>
      <c r="M360" s="158">
        <f t="shared" ref="M360" si="317">IF(L360/1000&gt;1000,1000,L360/1000)</f>
        <v>0</v>
      </c>
      <c r="N360" s="610"/>
    </row>
    <row r="361" spans="1:14" s="102" customFormat="1" ht="25.5">
      <c r="A361" s="190" t="s">
        <v>86</v>
      </c>
      <c r="B361" s="164" t="s">
        <v>996</v>
      </c>
      <c r="C361" s="165">
        <f t="shared" si="165"/>
        <v>2</v>
      </c>
      <c r="D361" s="165" t="s">
        <v>1028</v>
      </c>
      <c r="E361" s="155">
        <v>1</v>
      </c>
      <c r="F361" s="166" t="s">
        <v>1019</v>
      </c>
      <c r="G361" s="167" t="str">
        <f t="shared" si="312"/>
        <v>PVC film 0,1-1 mm (emission to soil)</v>
      </c>
      <c r="H361" s="168" t="s">
        <v>1041</v>
      </c>
      <c r="I361" s="129">
        <v>1</v>
      </c>
      <c r="J361" s="170" t="s">
        <v>1019</v>
      </c>
      <c r="K361" s="171">
        <f>K19</f>
        <v>0</v>
      </c>
      <c r="L361" s="226">
        <f t="shared" ref="L361:L444" si="318">IFERROR(IF(K361="--",0,IF(E361*1000/K361*(1-0.5)^(C361/2)&gt;1000,1000,E361*1000/K361*(1-0.5)^(C361/2))),1000)</f>
        <v>1000</v>
      </c>
      <c r="M361" s="158">
        <f>IF(L361/1000&gt;1000,1000,L361/1000)</f>
        <v>1</v>
      </c>
      <c r="N361" s="610">
        <f>I361*M361+I362*M362</f>
        <v>1</v>
      </c>
    </row>
    <row r="362" spans="1:14" s="102" customFormat="1" ht="15" customHeight="1">
      <c r="A362" s="172" t="str">
        <f t="shared" ref="A362:F362" si="319">A361</f>
        <v>PVC</v>
      </c>
      <c r="B362" s="149" t="str">
        <f t="shared" si="319"/>
        <v>film</v>
      </c>
      <c r="C362" s="149">
        <f t="shared" si="165"/>
        <v>2</v>
      </c>
      <c r="D362" s="149" t="str">
        <f t="shared" si="319"/>
        <v>0,1-1</v>
      </c>
      <c r="E362" s="149">
        <f t="shared" si="319"/>
        <v>1</v>
      </c>
      <c r="F362" s="149" t="str">
        <f t="shared" si="319"/>
        <v>soil</v>
      </c>
      <c r="G362" s="146" t="str">
        <f t="shared" si="312"/>
        <v>PVC film 0,1-1 mm (emission to soil)</v>
      </c>
      <c r="H362" s="146" t="str">
        <f>H361</f>
        <v>Kunststoffrecycling; Auswaschung aus Deponien</v>
      </c>
      <c r="I362" s="129">
        <v>0</v>
      </c>
      <c r="J362" s="101" t="s">
        <v>1097</v>
      </c>
      <c r="K362" s="114">
        <f>K20</f>
        <v>0</v>
      </c>
      <c r="L362" s="226">
        <f t="shared" si="318"/>
        <v>1000</v>
      </c>
      <c r="M362" s="158">
        <f>IF(L362/1000&gt;1000,1000,L362/1000)</f>
        <v>1</v>
      </c>
      <c r="N362" s="610"/>
    </row>
    <row r="363" spans="1:14" s="102" customFormat="1" ht="15" customHeight="1">
      <c r="A363" s="173" t="str">
        <f t="shared" ref="A363:F363" si="320">A362</f>
        <v>PVC</v>
      </c>
      <c r="B363" s="150" t="str">
        <f t="shared" si="320"/>
        <v>film</v>
      </c>
      <c r="C363" s="150">
        <f t="shared" si="165"/>
        <v>2</v>
      </c>
      <c r="D363" s="150" t="str">
        <f t="shared" si="320"/>
        <v>0,1-1</v>
      </c>
      <c r="E363" s="150">
        <f t="shared" si="320"/>
        <v>1</v>
      </c>
      <c r="F363" s="150" t="str">
        <f t="shared" si="320"/>
        <v>soil</v>
      </c>
      <c r="G363" s="147" t="str">
        <f t="shared" si="312"/>
        <v>PVC film 0,1-1 mm (emission to soil)</v>
      </c>
      <c r="H363" s="147" t="str">
        <f>H362</f>
        <v>Kunststoffrecycling; Auswaschung aus Deponien</v>
      </c>
      <c r="I363" s="129">
        <v>0</v>
      </c>
      <c r="J363" s="101" t="s">
        <v>1034</v>
      </c>
      <c r="K363" s="151" t="s">
        <v>596</v>
      </c>
      <c r="L363" s="226">
        <f t="shared" si="318"/>
        <v>0</v>
      </c>
      <c r="M363" s="158">
        <f t="shared" ref="M363" si="321">IF(L363/1000&gt;1000,1000,L363/1000)</f>
        <v>0</v>
      </c>
      <c r="N363" s="610"/>
    </row>
    <row r="364" spans="1:14" s="102" customFormat="1" ht="25.5">
      <c r="A364" s="176" t="s">
        <v>86</v>
      </c>
      <c r="B364" s="183" t="s">
        <v>996</v>
      </c>
      <c r="C364" s="184">
        <f t="shared" si="165"/>
        <v>2</v>
      </c>
      <c r="D364" s="184" t="s">
        <v>1028</v>
      </c>
      <c r="E364" s="155">
        <v>1</v>
      </c>
      <c r="F364" s="131" t="s">
        <v>1020</v>
      </c>
      <c r="G364" s="134" t="str">
        <f t="shared" si="312"/>
        <v>PVC film 0,1-1 mm (emission to water)</v>
      </c>
      <c r="H364" s="144" t="s">
        <v>1041</v>
      </c>
      <c r="I364" s="137">
        <v>0</v>
      </c>
      <c r="J364" s="101" t="s">
        <v>1019</v>
      </c>
      <c r="K364" s="114">
        <f>K19</f>
        <v>0</v>
      </c>
      <c r="L364" s="226">
        <f t="shared" si="318"/>
        <v>1000</v>
      </c>
      <c r="M364" s="220">
        <f t="shared" ref="M364:M367" si="322">IF(L364/1000&gt;1000,1000,L364/1000)</f>
        <v>1</v>
      </c>
      <c r="N364" s="611">
        <f>I364*M364+I365*M365+I366*M366</f>
        <v>1</v>
      </c>
    </row>
    <row r="365" spans="1:14" s="102" customFormat="1" ht="15" customHeight="1">
      <c r="A365" s="172" t="str">
        <f t="shared" ref="A365:F366" si="323">A364</f>
        <v>PVC</v>
      </c>
      <c r="B365" s="149" t="str">
        <f t="shared" si="323"/>
        <v>film</v>
      </c>
      <c r="C365" s="149">
        <f t="shared" si="165"/>
        <v>2</v>
      </c>
      <c r="D365" s="149" t="str">
        <f t="shared" si="323"/>
        <v>0,1-1</v>
      </c>
      <c r="E365" s="149">
        <f t="shared" si="323"/>
        <v>1</v>
      </c>
      <c r="F365" s="149" t="str">
        <f t="shared" si="323"/>
        <v>water</v>
      </c>
      <c r="G365" s="146" t="str">
        <f t="shared" si="312"/>
        <v>PVC film 0,1-1 mm (emission to water)</v>
      </c>
      <c r="H365" s="146" t="str">
        <f>H364</f>
        <v>Kunststoffrecycling; Auswaschung aus Deponien</v>
      </c>
      <c r="I365" s="129">
        <v>0</v>
      </c>
      <c r="J365" s="101" t="s">
        <v>1097</v>
      </c>
      <c r="K365" s="114">
        <f>K20</f>
        <v>0</v>
      </c>
      <c r="L365" s="226">
        <f t="shared" si="318"/>
        <v>1000</v>
      </c>
      <c r="M365" s="220">
        <f t="shared" si="322"/>
        <v>1</v>
      </c>
      <c r="N365" s="612"/>
    </row>
    <row r="366" spans="1:14" s="102" customFormat="1" ht="15" customHeight="1">
      <c r="A366" s="172" t="str">
        <f>A365</f>
        <v>PVC</v>
      </c>
      <c r="B366" s="149" t="str">
        <f>B365</f>
        <v>film</v>
      </c>
      <c r="C366" s="149">
        <f t="shared" si="165"/>
        <v>2</v>
      </c>
      <c r="D366" s="149" t="str">
        <f t="shared" si="323"/>
        <v>0,1-1</v>
      </c>
      <c r="E366" s="149">
        <f t="shared" si="323"/>
        <v>1</v>
      </c>
      <c r="F366" s="149" t="str">
        <f t="shared" si="323"/>
        <v>water</v>
      </c>
      <c r="G366" s="146" t="str">
        <f t="shared" si="312"/>
        <v>PVC film 0,1-1 mm (emission to water)</v>
      </c>
      <c r="H366" s="146" t="str">
        <f>H365</f>
        <v>Kunststoffrecycling; Auswaschung aus Deponien</v>
      </c>
      <c r="I366" s="129">
        <v>1</v>
      </c>
      <c r="J366" s="101" t="s">
        <v>1096</v>
      </c>
      <c r="K366" s="114">
        <f>K21</f>
        <v>0</v>
      </c>
      <c r="L366" s="226">
        <f t="shared" si="318"/>
        <v>1000</v>
      </c>
      <c r="M366" s="220">
        <f t="shared" si="322"/>
        <v>1</v>
      </c>
      <c r="N366" s="612"/>
    </row>
    <row r="367" spans="1:14" s="102" customFormat="1" ht="15" customHeight="1">
      <c r="A367" s="173" t="str">
        <f t="shared" ref="A367:F367" si="324">A365</f>
        <v>PVC</v>
      </c>
      <c r="B367" s="150" t="str">
        <f t="shared" si="324"/>
        <v>film</v>
      </c>
      <c r="C367" s="150">
        <f t="shared" si="165"/>
        <v>2</v>
      </c>
      <c r="D367" s="150" t="str">
        <f t="shared" si="324"/>
        <v>0,1-1</v>
      </c>
      <c r="E367" s="150">
        <f>E365</f>
        <v>1</v>
      </c>
      <c r="F367" s="150" t="str">
        <f t="shared" si="324"/>
        <v>water</v>
      </c>
      <c r="G367" s="147" t="str">
        <f t="shared" si="312"/>
        <v>PVC film 0,1-1 mm (emission to water)</v>
      </c>
      <c r="H367" s="147" t="str">
        <f>H365</f>
        <v>Kunststoffrecycling; Auswaschung aus Deponien</v>
      </c>
      <c r="I367" s="129">
        <v>0</v>
      </c>
      <c r="J367" s="101" t="s">
        <v>1034</v>
      </c>
      <c r="K367" s="114" t="s">
        <v>596</v>
      </c>
      <c r="L367" s="226">
        <f t="shared" si="318"/>
        <v>0</v>
      </c>
      <c r="M367" s="220">
        <f t="shared" si="322"/>
        <v>0</v>
      </c>
      <c r="N367" s="613"/>
    </row>
    <row r="368" spans="1:14" s="102" customFormat="1" ht="15" customHeight="1">
      <c r="A368" s="175" t="s">
        <v>86</v>
      </c>
      <c r="B368" s="159" t="s">
        <v>996</v>
      </c>
      <c r="C368" s="290">
        <f t="shared" ref="C368:C370" si="325">IF(OR(B368="Folie", B368="Strips", B368="Film",B368="Flakes",B368="Coupon"), 2,IF(OR(B368="Fibers",B368="Pellets"),4,IF(OR(B368="Particles",B368="Shreds",B368="Powder",B368="Fragments",B368="Granules"),6,"")))</f>
        <v>2</v>
      </c>
      <c r="D368" s="290" t="s">
        <v>1026</v>
      </c>
      <c r="E368" s="155">
        <v>10</v>
      </c>
      <c r="F368" s="131" t="s">
        <v>1057</v>
      </c>
      <c r="G368" s="134" t="str">
        <f t="shared" si="312"/>
        <v>PVC film 1-10 mm (emission to air)</v>
      </c>
      <c r="H368" s="134" t="s">
        <v>1040</v>
      </c>
      <c r="I368" s="137">
        <v>0.97699999999999998</v>
      </c>
      <c r="J368" s="101" t="s">
        <v>1019</v>
      </c>
      <c r="K368" s="114">
        <f>K19</f>
        <v>0</v>
      </c>
      <c r="L368" s="226">
        <f t="shared" ref="L368:L370" si="326">IFERROR(IF(K368="--",0,IF(E368*1000/K368*(1-0.5)^(C368/2)&gt;1000,1000,E368*1000/K368*(1-0.5)^(C368/2))),1000)</f>
        <v>1000</v>
      </c>
      <c r="M368" s="158">
        <f>IF(L368/1000&gt;1000,1000,L368/1000)</f>
        <v>1</v>
      </c>
      <c r="N368" s="610">
        <f>I368*M368+I369*M369</f>
        <v>1</v>
      </c>
    </row>
    <row r="369" spans="1:14" s="102" customFormat="1" ht="15" customHeight="1">
      <c r="A369" s="172" t="str">
        <f>A368</f>
        <v>PVC</v>
      </c>
      <c r="B369" s="149" t="str">
        <f>B368</f>
        <v>film</v>
      </c>
      <c r="C369" s="149">
        <f t="shared" si="325"/>
        <v>2</v>
      </c>
      <c r="D369" s="149" t="str">
        <f t="shared" ref="D369:F369" si="327">D368</f>
        <v>1-10</v>
      </c>
      <c r="E369" s="149">
        <f t="shared" si="327"/>
        <v>10</v>
      </c>
      <c r="F369" s="149" t="str">
        <f t="shared" si="327"/>
        <v>air</v>
      </c>
      <c r="G369" s="146" t="str">
        <f t="shared" si="312"/>
        <v>PVC film 1-10 mm (emission to air)</v>
      </c>
      <c r="H369" s="146" t="str">
        <f>H368</f>
        <v>Kunststoffverpackungen</v>
      </c>
      <c r="I369" s="129">
        <v>2.3E-2</v>
      </c>
      <c r="J369" s="101" t="s">
        <v>1097</v>
      </c>
      <c r="K369" s="114">
        <f>K20</f>
        <v>0</v>
      </c>
      <c r="L369" s="226">
        <f t="shared" si="326"/>
        <v>1000</v>
      </c>
      <c r="M369" s="158">
        <f>IF(L369/1000&gt;1000,1000,L369/1000)</f>
        <v>1</v>
      </c>
      <c r="N369" s="610"/>
    </row>
    <row r="370" spans="1:14" s="102" customFormat="1" ht="15" customHeight="1">
      <c r="A370" s="173" t="str">
        <f>A369</f>
        <v>PVC</v>
      </c>
      <c r="B370" s="150" t="str">
        <f>B369</f>
        <v>film</v>
      </c>
      <c r="C370" s="150">
        <f t="shared" si="325"/>
        <v>2</v>
      </c>
      <c r="D370" s="150" t="str">
        <f t="shared" ref="D370:F370" si="328">D369</f>
        <v>1-10</v>
      </c>
      <c r="E370" s="150">
        <f t="shared" si="328"/>
        <v>10</v>
      </c>
      <c r="F370" s="150" t="str">
        <f t="shared" si="328"/>
        <v>air</v>
      </c>
      <c r="G370" s="147" t="str">
        <f t="shared" si="312"/>
        <v>PVC film 1-10 mm (emission to air)</v>
      </c>
      <c r="H370" s="147" t="str">
        <f>H369</f>
        <v>Kunststoffverpackungen</v>
      </c>
      <c r="I370" s="129">
        <v>0</v>
      </c>
      <c r="J370" s="101" t="s">
        <v>1034</v>
      </c>
      <c r="K370" s="151" t="s">
        <v>596</v>
      </c>
      <c r="L370" s="226">
        <f t="shared" si="326"/>
        <v>0</v>
      </c>
      <c r="M370" s="158">
        <f t="shared" ref="M370" si="329">IF(L370/1000&gt;1000,1000,L370/1000)</f>
        <v>0</v>
      </c>
      <c r="N370" s="610"/>
    </row>
    <row r="371" spans="1:14" s="102" customFormat="1" ht="15" customHeight="1">
      <c r="A371" s="175" t="s">
        <v>86</v>
      </c>
      <c r="B371" s="159" t="s">
        <v>996</v>
      </c>
      <c r="C371" s="184">
        <f t="shared" si="165"/>
        <v>2</v>
      </c>
      <c r="D371" s="184" t="s">
        <v>1026</v>
      </c>
      <c r="E371" s="155">
        <v>10</v>
      </c>
      <c r="F371" s="131" t="s">
        <v>1019</v>
      </c>
      <c r="G371" s="134" t="str">
        <f t="shared" ref="G371:G424" si="330">CONCATENATE(A371," ",B371," ",D371," mm (emission to ",F371,")")</f>
        <v>PVC film 1-10 mm (emission to soil)</v>
      </c>
      <c r="H371" s="134" t="s">
        <v>1040</v>
      </c>
      <c r="I371" s="129">
        <v>1</v>
      </c>
      <c r="J371" s="101" t="s">
        <v>1019</v>
      </c>
      <c r="K371" s="114">
        <f>K19</f>
        <v>0</v>
      </c>
      <c r="L371" s="226">
        <f t="shared" si="318"/>
        <v>1000</v>
      </c>
      <c r="M371" s="158">
        <f>IF(L371/1000&gt;1000,1000,L371/1000)</f>
        <v>1</v>
      </c>
      <c r="N371" s="610">
        <f>I371*M371+I372*M372</f>
        <v>1</v>
      </c>
    </row>
    <row r="372" spans="1:14" s="102" customFormat="1" ht="15" customHeight="1">
      <c r="A372" s="172" t="str">
        <f>A371</f>
        <v>PVC</v>
      </c>
      <c r="B372" s="149" t="str">
        <f>B371</f>
        <v>film</v>
      </c>
      <c r="C372" s="149">
        <f t="shared" si="165"/>
        <v>2</v>
      </c>
      <c r="D372" s="149" t="str">
        <f t="shared" ref="D372:F373" si="331">D371</f>
        <v>1-10</v>
      </c>
      <c r="E372" s="149">
        <f t="shared" si="331"/>
        <v>10</v>
      </c>
      <c r="F372" s="149" t="str">
        <f t="shared" si="331"/>
        <v>soil</v>
      </c>
      <c r="G372" s="146" t="str">
        <f t="shared" si="330"/>
        <v>PVC film 1-10 mm (emission to soil)</v>
      </c>
      <c r="H372" s="146" t="str">
        <f>H371</f>
        <v>Kunststoffverpackungen</v>
      </c>
      <c r="I372" s="129">
        <v>0</v>
      </c>
      <c r="J372" s="101" t="s">
        <v>1097</v>
      </c>
      <c r="K372" s="114">
        <f>K20</f>
        <v>0</v>
      </c>
      <c r="L372" s="226">
        <f t="shared" si="318"/>
        <v>1000</v>
      </c>
      <c r="M372" s="158">
        <f>IF(L372/1000&gt;1000,1000,L372/1000)</f>
        <v>1</v>
      </c>
      <c r="N372" s="610"/>
    </row>
    <row r="373" spans="1:14" s="102" customFormat="1" ht="15" customHeight="1">
      <c r="A373" s="173" t="str">
        <f>A372</f>
        <v>PVC</v>
      </c>
      <c r="B373" s="150" t="str">
        <f>B372</f>
        <v>film</v>
      </c>
      <c r="C373" s="150">
        <f t="shared" si="165"/>
        <v>2</v>
      </c>
      <c r="D373" s="150" t="str">
        <f t="shared" si="331"/>
        <v>1-10</v>
      </c>
      <c r="E373" s="150">
        <f t="shared" si="331"/>
        <v>10</v>
      </c>
      <c r="F373" s="150" t="str">
        <f t="shared" si="331"/>
        <v>soil</v>
      </c>
      <c r="G373" s="147" t="str">
        <f t="shared" si="330"/>
        <v>PVC film 1-10 mm (emission to soil)</v>
      </c>
      <c r="H373" s="147" t="str">
        <f>H372</f>
        <v>Kunststoffverpackungen</v>
      </c>
      <c r="I373" s="129">
        <v>0</v>
      </c>
      <c r="J373" s="101" t="s">
        <v>1034</v>
      </c>
      <c r="K373" s="151" t="s">
        <v>596</v>
      </c>
      <c r="L373" s="226">
        <f t="shared" si="318"/>
        <v>0</v>
      </c>
      <c r="M373" s="158">
        <f t="shared" ref="M373" si="332">IF(L373/1000&gt;1000,1000,L373/1000)</f>
        <v>0</v>
      </c>
      <c r="N373" s="610"/>
    </row>
    <row r="374" spans="1:14" s="102" customFormat="1" ht="15" customHeight="1">
      <c r="A374" s="175" t="s">
        <v>86</v>
      </c>
      <c r="B374" s="159" t="s">
        <v>996</v>
      </c>
      <c r="C374" s="184">
        <f t="shared" ref="C374:C591" si="333">IF(OR(B374="Folie", B374="Strips", B374="Film",B374="Flakes",B374="Coupon"), 2,IF(OR(B374="Fibers",B374="Pellets"),4,IF(OR(B374="Particles",B374="Shreds",B374="Powder",B374="Fragments",B374="Granules"),6,"")))</f>
        <v>2</v>
      </c>
      <c r="D374" s="184" t="s">
        <v>1026</v>
      </c>
      <c r="E374" s="214">
        <v>10</v>
      </c>
      <c r="F374" s="131" t="s">
        <v>1020</v>
      </c>
      <c r="G374" s="134" t="str">
        <f t="shared" si="330"/>
        <v>PVC film 1-10 mm (emission to water)</v>
      </c>
      <c r="H374" s="134" t="s">
        <v>1040</v>
      </c>
      <c r="I374" s="137">
        <v>0</v>
      </c>
      <c r="J374" s="101" t="s">
        <v>1019</v>
      </c>
      <c r="K374" s="114">
        <f>K19</f>
        <v>0</v>
      </c>
      <c r="L374" s="226">
        <f t="shared" si="318"/>
        <v>1000</v>
      </c>
      <c r="M374" s="220">
        <f t="shared" ref="M374:M377" si="334">IF(L374/1000&gt;1000,1000,L374/1000)</f>
        <v>1</v>
      </c>
      <c r="N374" s="611">
        <f>I374*M374+I375*M375+I376*M376</f>
        <v>1</v>
      </c>
    </row>
    <row r="375" spans="1:14" s="102" customFormat="1" ht="15" customHeight="1">
      <c r="A375" s="172" t="str">
        <f>A374</f>
        <v>PVC</v>
      </c>
      <c r="B375" s="149" t="str">
        <f>B374</f>
        <v>film</v>
      </c>
      <c r="C375" s="149">
        <f t="shared" si="333"/>
        <v>2</v>
      </c>
      <c r="D375" s="149" t="str">
        <f t="shared" ref="D375:F376" si="335">D374</f>
        <v>1-10</v>
      </c>
      <c r="E375" s="149">
        <f t="shared" si="335"/>
        <v>10</v>
      </c>
      <c r="F375" s="149" t="str">
        <f t="shared" si="335"/>
        <v>water</v>
      </c>
      <c r="G375" s="146" t="str">
        <f t="shared" si="330"/>
        <v>PVC film 1-10 mm (emission to water)</v>
      </c>
      <c r="H375" s="146" t="str">
        <f>H374</f>
        <v>Kunststoffverpackungen</v>
      </c>
      <c r="I375" s="129">
        <v>0</v>
      </c>
      <c r="J375" s="101" t="s">
        <v>1097</v>
      </c>
      <c r="K375" s="114">
        <f>K20</f>
        <v>0</v>
      </c>
      <c r="L375" s="226">
        <f t="shared" si="318"/>
        <v>1000</v>
      </c>
      <c r="M375" s="220">
        <f t="shared" si="334"/>
        <v>1</v>
      </c>
      <c r="N375" s="612"/>
    </row>
    <row r="376" spans="1:14" s="102" customFormat="1" ht="15" customHeight="1">
      <c r="A376" s="172" t="str">
        <f>A375</f>
        <v>PVC</v>
      </c>
      <c r="B376" s="149" t="str">
        <f>B375</f>
        <v>film</v>
      </c>
      <c r="C376" s="149">
        <f t="shared" si="333"/>
        <v>2</v>
      </c>
      <c r="D376" s="149" t="str">
        <f t="shared" si="335"/>
        <v>1-10</v>
      </c>
      <c r="E376" s="149">
        <f t="shared" si="335"/>
        <v>10</v>
      </c>
      <c r="F376" s="149" t="str">
        <f t="shared" si="335"/>
        <v>water</v>
      </c>
      <c r="G376" s="146" t="str">
        <f t="shared" si="330"/>
        <v>PVC film 1-10 mm (emission to water)</v>
      </c>
      <c r="H376" s="146" t="str">
        <f>H375</f>
        <v>Kunststoffverpackungen</v>
      </c>
      <c r="I376" s="129">
        <v>1</v>
      </c>
      <c r="J376" s="101" t="s">
        <v>1096</v>
      </c>
      <c r="K376" s="114">
        <f>K21</f>
        <v>0</v>
      </c>
      <c r="L376" s="226">
        <f t="shared" si="318"/>
        <v>1000</v>
      </c>
      <c r="M376" s="220">
        <f t="shared" si="334"/>
        <v>1</v>
      </c>
      <c r="N376" s="612"/>
    </row>
    <row r="377" spans="1:14" s="102" customFormat="1" ht="15" customHeight="1">
      <c r="A377" s="173" t="str">
        <f>A375</f>
        <v>PVC</v>
      </c>
      <c r="B377" s="150" t="str">
        <f>B375</f>
        <v>film</v>
      </c>
      <c r="C377" s="150">
        <f t="shared" si="333"/>
        <v>2</v>
      </c>
      <c r="D377" s="150" t="str">
        <f>D375</f>
        <v>1-10</v>
      </c>
      <c r="E377" s="150">
        <f>E375</f>
        <v>10</v>
      </c>
      <c r="F377" s="150" t="str">
        <f>F375</f>
        <v>water</v>
      </c>
      <c r="G377" s="147" t="str">
        <f t="shared" si="330"/>
        <v>PVC film 1-10 mm (emission to water)</v>
      </c>
      <c r="H377" s="147" t="str">
        <f>H375</f>
        <v>Kunststoffverpackungen</v>
      </c>
      <c r="I377" s="129">
        <v>0</v>
      </c>
      <c r="J377" s="101" t="s">
        <v>1034</v>
      </c>
      <c r="K377" s="114" t="s">
        <v>596</v>
      </c>
      <c r="L377" s="226">
        <f t="shared" si="318"/>
        <v>0</v>
      </c>
      <c r="M377" s="220">
        <f t="shared" si="334"/>
        <v>0</v>
      </c>
      <c r="N377" s="613"/>
    </row>
    <row r="378" spans="1:14" s="102" customFormat="1" ht="15" customHeight="1">
      <c r="A378" s="175" t="s">
        <v>86</v>
      </c>
      <c r="B378" s="159" t="s">
        <v>996</v>
      </c>
      <c r="C378" s="290">
        <f t="shared" si="333"/>
        <v>2</v>
      </c>
      <c r="D378" s="290" t="s">
        <v>1026</v>
      </c>
      <c r="E378" s="155">
        <v>10</v>
      </c>
      <c r="F378" s="131" t="s">
        <v>1057</v>
      </c>
      <c r="G378" s="134" t="str">
        <f t="shared" ref="G378:G380" si="336">CONCATENATE(A378," ",B378," ",D378," mm (emission to ",F378,")")</f>
        <v>PVC film 1-10 mm (emission to air)</v>
      </c>
      <c r="H378" s="134" t="s">
        <v>1040</v>
      </c>
      <c r="I378" s="137">
        <v>0.97699999999999998</v>
      </c>
      <c r="J378" s="101" t="s">
        <v>1019</v>
      </c>
      <c r="K378" s="114">
        <f>K19</f>
        <v>0</v>
      </c>
      <c r="L378" s="226">
        <f t="shared" ref="L378:L380" si="337">IFERROR(IF(K378="--",0,IF(E378*1000/K378*(1-0.5)^(C378/2)&gt;1000,1000,E378*1000/K378*(1-0.5)^(C378/2))),1000)</f>
        <v>1000</v>
      </c>
      <c r="M378" s="158">
        <f>IF(L378/1000&gt;1000,1000,L378/1000)</f>
        <v>1</v>
      </c>
      <c r="N378" s="610">
        <f>I378*M378+I379*M379</f>
        <v>1</v>
      </c>
    </row>
    <row r="379" spans="1:14" s="102" customFormat="1" ht="15" customHeight="1">
      <c r="A379" s="172" t="str">
        <f>A378</f>
        <v>PVC</v>
      </c>
      <c r="B379" s="149" t="str">
        <f>B378</f>
        <v>film</v>
      </c>
      <c r="C379" s="149">
        <f t="shared" si="333"/>
        <v>2</v>
      </c>
      <c r="D379" s="149" t="str">
        <f t="shared" ref="D379:F379" si="338">D378</f>
        <v>1-10</v>
      </c>
      <c r="E379" s="149">
        <f t="shared" si="338"/>
        <v>10</v>
      </c>
      <c r="F379" s="149" t="str">
        <f t="shared" si="338"/>
        <v>air</v>
      </c>
      <c r="G379" s="146" t="str">
        <f t="shared" si="336"/>
        <v>PVC film 1-10 mm (emission to air)</v>
      </c>
      <c r="H379" s="146" t="str">
        <f>H378</f>
        <v>Kunststoffverpackungen</v>
      </c>
      <c r="I379" s="129">
        <v>2.3E-2</v>
      </c>
      <c r="J379" s="101" t="s">
        <v>1097</v>
      </c>
      <c r="K379" s="114">
        <f>K20</f>
        <v>0</v>
      </c>
      <c r="L379" s="226">
        <f t="shared" si="337"/>
        <v>1000</v>
      </c>
      <c r="M379" s="158">
        <f>IF(L379/1000&gt;1000,1000,L379/1000)</f>
        <v>1</v>
      </c>
      <c r="N379" s="610"/>
    </row>
    <row r="380" spans="1:14" s="102" customFormat="1" ht="15" customHeight="1">
      <c r="A380" s="173" t="str">
        <f>A379</f>
        <v>PVC</v>
      </c>
      <c r="B380" s="150" t="str">
        <f>B379</f>
        <v>film</v>
      </c>
      <c r="C380" s="150">
        <f t="shared" si="333"/>
        <v>2</v>
      </c>
      <c r="D380" s="150" t="str">
        <f t="shared" ref="D380:F380" si="339">D379</f>
        <v>1-10</v>
      </c>
      <c r="E380" s="150">
        <f t="shared" si="339"/>
        <v>10</v>
      </c>
      <c r="F380" s="150" t="str">
        <f t="shared" si="339"/>
        <v>air</v>
      </c>
      <c r="G380" s="147" t="str">
        <f t="shared" si="336"/>
        <v>PVC film 1-10 mm (emission to air)</v>
      </c>
      <c r="H380" s="147" t="str">
        <f>H379</f>
        <v>Kunststoffverpackungen</v>
      </c>
      <c r="I380" s="129">
        <v>0</v>
      </c>
      <c r="J380" s="101" t="s">
        <v>1034</v>
      </c>
      <c r="K380" s="151" t="s">
        <v>596</v>
      </c>
      <c r="L380" s="226">
        <f t="shared" si="337"/>
        <v>0</v>
      </c>
      <c r="M380" s="158">
        <f t="shared" ref="M380" si="340">IF(L380/1000&gt;1000,1000,L380/1000)</f>
        <v>0</v>
      </c>
      <c r="N380" s="610"/>
    </row>
    <row r="381" spans="1:14" s="102" customFormat="1">
      <c r="A381" s="175" t="s">
        <v>86</v>
      </c>
      <c r="B381" s="159" t="s">
        <v>1051</v>
      </c>
      <c r="C381" s="188">
        <f t="shared" si="333"/>
        <v>4</v>
      </c>
      <c r="D381" s="188" t="s">
        <v>1028</v>
      </c>
      <c r="E381" s="155">
        <v>1</v>
      </c>
      <c r="F381" s="131" t="s">
        <v>1019</v>
      </c>
      <c r="G381" s="134" t="str">
        <f t="shared" si="330"/>
        <v>PVC fibers 0,1-1 mm (emission to soil)</v>
      </c>
      <c r="H381" s="193"/>
      <c r="I381" s="129">
        <v>1</v>
      </c>
      <c r="J381" s="101" t="s">
        <v>1019</v>
      </c>
      <c r="K381" s="114">
        <f>K19</f>
        <v>0</v>
      </c>
      <c r="L381" s="226">
        <f t="shared" si="318"/>
        <v>1000</v>
      </c>
      <c r="M381" s="158">
        <f>IF(L381/1000&gt;1000,1000,L381/1000)</f>
        <v>1</v>
      </c>
      <c r="N381" s="610">
        <f>I381*M381+I382*M382</f>
        <v>1</v>
      </c>
    </row>
    <row r="382" spans="1:14" s="102" customFormat="1">
      <c r="A382" s="172" t="str">
        <f>A381</f>
        <v>PVC</v>
      </c>
      <c r="B382" s="149" t="str">
        <f>B381</f>
        <v>fibers</v>
      </c>
      <c r="C382" s="149">
        <f t="shared" si="333"/>
        <v>4</v>
      </c>
      <c r="D382" s="149" t="str">
        <f t="shared" ref="D382:F383" si="341">D381</f>
        <v>0,1-1</v>
      </c>
      <c r="E382" s="149">
        <f t="shared" si="341"/>
        <v>1</v>
      </c>
      <c r="F382" s="149" t="str">
        <f t="shared" si="341"/>
        <v>soil</v>
      </c>
      <c r="G382" s="146" t="str">
        <f t="shared" si="330"/>
        <v>PVC fibers 0,1-1 mm (emission to soil)</v>
      </c>
      <c r="H382" s="146"/>
      <c r="I382" s="129">
        <v>0</v>
      </c>
      <c r="J382" s="101" t="s">
        <v>1097</v>
      </c>
      <c r="K382" s="114">
        <f>K20</f>
        <v>0</v>
      </c>
      <c r="L382" s="226">
        <f t="shared" si="318"/>
        <v>1000</v>
      </c>
      <c r="M382" s="158">
        <f>IF(L382/1000&gt;1000,1000,L382/1000)</f>
        <v>1</v>
      </c>
      <c r="N382" s="610"/>
    </row>
    <row r="383" spans="1:14" s="102" customFormat="1">
      <c r="A383" s="173" t="str">
        <f>A382</f>
        <v>PVC</v>
      </c>
      <c r="B383" s="150" t="str">
        <f>B382</f>
        <v>fibers</v>
      </c>
      <c r="C383" s="150">
        <f t="shared" si="333"/>
        <v>4</v>
      </c>
      <c r="D383" s="150" t="str">
        <f t="shared" si="341"/>
        <v>0,1-1</v>
      </c>
      <c r="E383" s="150">
        <f t="shared" si="341"/>
        <v>1</v>
      </c>
      <c r="F383" s="150" t="str">
        <f t="shared" si="341"/>
        <v>soil</v>
      </c>
      <c r="G383" s="147" t="str">
        <f t="shared" si="330"/>
        <v>PVC fibers 0,1-1 mm (emission to soil)</v>
      </c>
      <c r="H383" s="146"/>
      <c r="I383" s="129">
        <v>0</v>
      </c>
      <c r="J383" s="101" t="s">
        <v>1034</v>
      </c>
      <c r="K383" s="151" t="s">
        <v>596</v>
      </c>
      <c r="L383" s="226">
        <f t="shared" si="318"/>
        <v>0</v>
      </c>
      <c r="M383" s="158">
        <f t="shared" ref="M383" si="342">IF(L383/1000&gt;1000,1000,L383/1000)</f>
        <v>0</v>
      </c>
      <c r="N383" s="610"/>
    </row>
    <row r="384" spans="1:14" s="102" customFormat="1">
      <c r="A384" s="175" t="s">
        <v>86</v>
      </c>
      <c r="B384" s="159" t="s">
        <v>1051</v>
      </c>
      <c r="C384" s="188">
        <f t="shared" si="333"/>
        <v>4</v>
      </c>
      <c r="D384" s="188" t="s">
        <v>1028</v>
      </c>
      <c r="E384" s="155">
        <v>1</v>
      </c>
      <c r="F384" s="131" t="s">
        <v>1020</v>
      </c>
      <c r="G384" s="134" t="str">
        <f t="shared" si="330"/>
        <v>PVC fibers 0,1-1 mm (emission to water)</v>
      </c>
      <c r="H384" s="192"/>
      <c r="I384" s="137">
        <v>0</v>
      </c>
      <c r="J384" s="101" t="s">
        <v>1019</v>
      </c>
      <c r="K384" s="114">
        <f>K19</f>
        <v>0</v>
      </c>
      <c r="L384" s="226">
        <f t="shared" si="318"/>
        <v>1000</v>
      </c>
      <c r="M384" s="220">
        <f t="shared" ref="M384:M387" si="343">IF(L384/1000&gt;1000,1000,L384/1000)</f>
        <v>1</v>
      </c>
      <c r="N384" s="611">
        <f>I384*M384+I385*M385+I386*M386</f>
        <v>1</v>
      </c>
    </row>
    <row r="385" spans="1:14" s="102" customFormat="1">
      <c r="A385" s="172" t="str">
        <f>A384</f>
        <v>PVC</v>
      </c>
      <c r="B385" s="149" t="str">
        <f>B384</f>
        <v>fibers</v>
      </c>
      <c r="C385" s="149">
        <f t="shared" si="333"/>
        <v>4</v>
      </c>
      <c r="D385" s="149" t="str">
        <f t="shared" ref="D385:F386" si="344">D384</f>
        <v>0,1-1</v>
      </c>
      <c r="E385" s="149">
        <f t="shared" si="344"/>
        <v>1</v>
      </c>
      <c r="F385" s="149" t="str">
        <f t="shared" si="344"/>
        <v>water</v>
      </c>
      <c r="G385" s="146" t="str">
        <f t="shared" si="330"/>
        <v>PVC fibers 0,1-1 mm (emission to water)</v>
      </c>
      <c r="H385" s="146"/>
      <c r="I385" s="129">
        <v>0</v>
      </c>
      <c r="J385" s="101" t="s">
        <v>1097</v>
      </c>
      <c r="K385" s="114">
        <f>K20</f>
        <v>0</v>
      </c>
      <c r="L385" s="226">
        <f t="shared" si="318"/>
        <v>1000</v>
      </c>
      <c r="M385" s="220">
        <f t="shared" si="343"/>
        <v>1</v>
      </c>
      <c r="N385" s="612"/>
    </row>
    <row r="386" spans="1:14" s="102" customFormat="1">
      <c r="A386" s="172" t="str">
        <f>A385</f>
        <v>PVC</v>
      </c>
      <c r="B386" s="149" t="str">
        <f>B385</f>
        <v>fibers</v>
      </c>
      <c r="C386" s="149">
        <f t="shared" si="333"/>
        <v>4</v>
      </c>
      <c r="D386" s="149" t="str">
        <f t="shared" si="344"/>
        <v>0,1-1</v>
      </c>
      <c r="E386" s="149">
        <f t="shared" si="344"/>
        <v>1</v>
      </c>
      <c r="F386" s="149" t="str">
        <f t="shared" si="344"/>
        <v>water</v>
      </c>
      <c r="G386" s="146" t="str">
        <f t="shared" si="330"/>
        <v>PVC fibers 0,1-1 mm (emission to water)</v>
      </c>
      <c r="H386" s="146">
        <f>H385</f>
        <v>0</v>
      </c>
      <c r="I386" s="129">
        <v>1</v>
      </c>
      <c r="J386" s="101" t="s">
        <v>1096</v>
      </c>
      <c r="K386" s="114">
        <f>K21</f>
        <v>0</v>
      </c>
      <c r="L386" s="226">
        <f t="shared" si="318"/>
        <v>1000</v>
      </c>
      <c r="M386" s="220">
        <f t="shared" si="343"/>
        <v>1</v>
      </c>
      <c r="N386" s="612"/>
    </row>
    <row r="387" spans="1:14" s="102" customFormat="1">
      <c r="A387" s="173" t="str">
        <f>A385</f>
        <v>PVC</v>
      </c>
      <c r="B387" s="150" t="str">
        <f>B385</f>
        <v>fibers</v>
      </c>
      <c r="C387" s="150">
        <f t="shared" si="333"/>
        <v>4</v>
      </c>
      <c r="D387" s="150" t="str">
        <f>D385</f>
        <v>0,1-1</v>
      </c>
      <c r="E387" s="150">
        <f>E385</f>
        <v>1</v>
      </c>
      <c r="F387" s="150" t="str">
        <f>F385</f>
        <v>water</v>
      </c>
      <c r="G387" s="147" t="str">
        <f t="shared" si="330"/>
        <v>PVC fibers 0,1-1 mm (emission to water)</v>
      </c>
      <c r="H387" s="147"/>
      <c r="I387" s="129">
        <v>0</v>
      </c>
      <c r="J387" s="101" t="s">
        <v>1034</v>
      </c>
      <c r="K387" s="114" t="s">
        <v>596</v>
      </c>
      <c r="L387" s="226">
        <f t="shared" si="318"/>
        <v>0</v>
      </c>
      <c r="M387" s="220">
        <f t="shared" si="343"/>
        <v>0</v>
      </c>
      <c r="N387" s="613"/>
    </row>
    <row r="388" spans="1:14" s="102" customFormat="1">
      <c r="A388" s="175" t="s">
        <v>86</v>
      </c>
      <c r="B388" s="159" t="s">
        <v>1051</v>
      </c>
      <c r="C388" s="290">
        <f t="shared" ref="C388:C390" si="345">IF(OR(B388="Folie", B388="Strips", B388="Film",B388="Flakes",B388="Coupon"), 2,IF(OR(B388="Fibers",B388="Pellets"),4,IF(OR(B388="Particles",B388="Shreds",B388="Powder",B388="Fragments",B388="Granules"),6,"")))</f>
        <v>4</v>
      </c>
      <c r="D388" s="290" t="s">
        <v>1028</v>
      </c>
      <c r="E388" s="155">
        <v>1</v>
      </c>
      <c r="F388" s="131" t="s">
        <v>1057</v>
      </c>
      <c r="G388" s="134" t="str">
        <f t="shared" ref="G388:G390" si="346">CONCATENATE(A388," ",B388," ",D388," mm (emission to ",F388,")")</f>
        <v>PVC fibers 0,1-1 mm (emission to air)</v>
      </c>
      <c r="H388" s="192"/>
      <c r="I388" s="137">
        <v>0.97699999999999998</v>
      </c>
      <c r="J388" s="101" t="s">
        <v>1019</v>
      </c>
      <c r="K388" s="114">
        <f>K19</f>
        <v>0</v>
      </c>
      <c r="L388" s="226">
        <f t="shared" ref="L388:L390" si="347">IFERROR(IF(K388="--",0,IF(E388*1000/K388*(1-0.5)^(C388/2)&gt;1000,1000,E388*1000/K388*(1-0.5)^(C388/2))),1000)</f>
        <v>1000</v>
      </c>
      <c r="M388" s="158">
        <f>IF(L388/1000&gt;1000,1000,L388/1000)</f>
        <v>1</v>
      </c>
      <c r="N388" s="610">
        <f>I388*M388+I389*M389</f>
        <v>1</v>
      </c>
    </row>
    <row r="389" spans="1:14" s="102" customFormat="1">
      <c r="A389" s="172" t="str">
        <f>A388</f>
        <v>PVC</v>
      </c>
      <c r="B389" s="149" t="str">
        <f>B388</f>
        <v>fibers</v>
      </c>
      <c r="C389" s="149">
        <f t="shared" si="345"/>
        <v>4</v>
      </c>
      <c r="D389" s="149" t="str">
        <f t="shared" ref="D389:F389" si="348">D388</f>
        <v>0,1-1</v>
      </c>
      <c r="E389" s="149">
        <f t="shared" si="348"/>
        <v>1</v>
      </c>
      <c r="F389" s="149" t="str">
        <f t="shared" si="348"/>
        <v>air</v>
      </c>
      <c r="G389" s="146" t="str">
        <f t="shared" si="346"/>
        <v>PVC fibers 0,1-1 mm (emission to air)</v>
      </c>
      <c r="H389" s="146"/>
      <c r="I389" s="129">
        <v>2.3E-2</v>
      </c>
      <c r="J389" s="101" t="s">
        <v>1097</v>
      </c>
      <c r="K389" s="114">
        <f>K20</f>
        <v>0</v>
      </c>
      <c r="L389" s="226">
        <f t="shared" si="347"/>
        <v>1000</v>
      </c>
      <c r="M389" s="158">
        <f>IF(L389/1000&gt;1000,1000,L389/1000)</f>
        <v>1</v>
      </c>
      <c r="N389" s="610"/>
    </row>
    <row r="390" spans="1:14" s="102" customFormat="1">
      <c r="A390" s="173" t="str">
        <f>A389</f>
        <v>PVC</v>
      </c>
      <c r="B390" s="150" t="str">
        <f>B389</f>
        <v>fibers</v>
      </c>
      <c r="C390" s="150">
        <f t="shared" si="345"/>
        <v>4</v>
      </c>
      <c r="D390" s="150" t="str">
        <f t="shared" ref="D390:F390" si="349">D389</f>
        <v>0,1-1</v>
      </c>
      <c r="E390" s="150">
        <f t="shared" si="349"/>
        <v>1</v>
      </c>
      <c r="F390" s="150" t="str">
        <f t="shared" si="349"/>
        <v>air</v>
      </c>
      <c r="G390" s="147" t="str">
        <f t="shared" si="346"/>
        <v>PVC fibers 0,1-1 mm (emission to air)</v>
      </c>
      <c r="H390" s="146"/>
      <c r="I390" s="129">
        <v>0</v>
      </c>
      <c r="J390" s="101" t="s">
        <v>1034</v>
      </c>
      <c r="K390" s="151" t="s">
        <v>596</v>
      </c>
      <c r="L390" s="226">
        <f t="shared" si="347"/>
        <v>0</v>
      </c>
      <c r="M390" s="158">
        <f t="shared" ref="M390" si="350">IF(L390/1000&gt;1000,1000,L390/1000)</f>
        <v>0</v>
      </c>
      <c r="N390" s="610"/>
    </row>
    <row r="391" spans="1:14" s="135" customFormat="1">
      <c r="A391" s="268" t="s">
        <v>86</v>
      </c>
      <c r="B391" s="237" t="s">
        <v>372</v>
      </c>
      <c r="C391" s="262">
        <f t="shared" si="333"/>
        <v>4</v>
      </c>
      <c r="D391" s="298" t="s">
        <v>1026</v>
      </c>
      <c r="E391" s="261">
        <v>10</v>
      </c>
      <c r="F391" s="280" t="s">
        <v>1019</v>
      </c>
      <c r="G391" s="264" t="str">
        <f t="shared" si="330"/>
        <v>PVC pellets 1-10 mm (emission to soil)</v>
      </c>
      <c r="H391" s="270"/>
      <c r="I391" s="240">
        <v>1</v>
      </c>
      <c r="J391" s="247" t="s">
        <v>1019</v>
      </c>
      <c r="K391" s="248">
        <f>K19</f>
        <v>0</v>
      </c>
      <c r="L391" s="243">
        <f t="shared" si="318"/>
        <v>1000</v>
      </c>
      <c r="M391" s="253">
        <f>IF(L391/1000&gt;1000,1000,L391/1000)</f>
        <v>1</v>
      </c>
      <c r="N391" s="617">
        <f>I391*M391+I392*M392</f>
        <v>1</v>
      </c>
    </row>
    <row r="392" spans="1:14" s="102" customFormat="1">
      <c r="A392" s="244" t="str">
        <f>A391</f>
        <v>PVC</v>
      </c>
      <c r="B392" s="245" t="str">
        <f>B391</f>
        <v>pellets</v>
      </c>
      <c r="C392" s="245">
        <f t="shared" si="333"/>
        <v>4</v>
      </c>
      <c r="D392" s="245" t="str">
        <f t="shared" ref="D392:F393" si="351">D391</f>
        <v>1-10</v>
      </c>
      <c r="E392" s="245">
        <f t="shared" si="351"/>
        <v>10</v>
      </c>
      <c r="F392" s="245" t="str">
        <f t="shared" si="351"/>
        <v>soil</v>
      </c>
      <c r="G392" s="246" t="str">
        <f t="shared" si="330"/>
        <v>PVC pellets 1-10 mm (emission to soil)</v>
      </c>
      <c r="H392" s="246"/>
      <c r="I392" s="240">
        <v>0</v>
      </c>
      <c r="J392" s="247" t="s">
        <v>1097</v>
      </c>
      <c r="K392" s="248">
        <f>K20</f>
        <v>0</v>
      </c>
      <c r="L392" s="243">
        <f t="shared" si="318"/>
        <v>1000</v>
      </c>
      <c r="M392" s="253">
        <f>IF(L392/1000&gt;1000,1000,L392/1000)</f>
        <v>1</v>
      </c>
      <c r="N392" s="617"/>
    </row>
    <row r="393" spans="1:14" s="102" customFormat="1">
      <c r="A393" s="249" t="str">
        <f>A392</f>
        <v>PVC</v>
      </c>
      <c r="B393" s="250" t="str">
        <f>B392</f>
        <v>pellets</v>
      </c>
      <c r="C393" s="250">
        <f t="shared" si="333"/>
        <v>4</v>
      </c>
      <c r="D393" s="250" t="str">
        <f t="shared" si="351"/>
        <v>1-10</v>
      </c>
      <c r="E393" s="250">
        <f t="shared" si="351"/>
        <v>10</v>
      </c>
      <c r="F393" s="250" t="str">
        <f t="shared" si="351"/>
        <v>soil</v>
      </c>
      <c r="G393" s="251" t="str">
        <f t="shared" si="330"/>
        <v>PVC pellets 1-10 mm (emission to soil)</v>
      </c>
      <c r="H393" s="251">
        <f>H392</f>
        <v>0</v>
      </c>
      <c r="I393" s="240">
        <v>0</v>
      </c>
      <c r="J393" s="247" t="s">
        <v>1034</v>
      </c>
      <c r="K393" s="252" t="s">
        <v>596</v>
      </c>
      <c r="L393" s="243">
        <f t="shared" si="318"/>
        <v>0</v>
      </c>
      <c r="M393" s="253">
        <f t="shared" ref="M393" si="352">IF(L393/1000&gt;1000,1000,L393/1000)</f>
        <v>0</v>
      </c>
      <c r="N393" s="617"/>
    </row>
    <row r="394" spans="1:14" s="102" customFormat="1">
      <c r="A394" s="175" t="s">
        <v>86</v>
      </c>
      <c r="B394" s="155" t="s">
        <v>372</v>
      </c>
      <c r="C394" s="188">
        <f t="shared" si="333"/>
        <v>4</v>
      </c>
      <c r="D394" s="153" t="s">
        <v>1026</v>
      </c>
      <c r="E394" s="214">
        <v>10</v>
      </c>
      <c r="F394" s="154" t="s">
        <v>1020</v>
      </c>
      <c r="G394" s="134" t="str">
        <f t="shared" si="330"/>
        <v>PVC pellets 1-10 mm (emission to water)</v>
      </c>
      <c r="H394" s="148"/>
      <c r="I394" s="137">
        <v>0</v>
      </c>
      <c r="J394" s="101" t="s">
        <v>1019</v>
      </c>
      <c r="K394" s="114">
        <f>K19</f>
        <v>0</v>
      </c>
      <c r="L394" s="226">
        <f t="shared" si="318"/>
        <v>1000</v>
      </c>
      <c r="M394" s="220">
        <f t="shared" ref="M394:M397" si="353">IF(L394/1000&gt;1000,1000,L394/1000)</f>
        <v>1</v>
      </c>
      <c r="N394" s="611">
        <f>I394*M394+I395*M395+I396*M396</f>
        <v>1</v>
      </c>
    </row>
    <row r="395" spans="1:14" s="102" customFormat="1">
      <c r="A395" s="172" t="str">
        <f>A394</f>
        <v>PVC</v>
      </c>
      <c r="B395" s="149" t="str">
        <f>B394</f>
        <v>pellets</v>
      </c>
      <c r="C395" s="149">
        <f t="shared" si="333"/>
        <v>4</v>
      </c>
      <c r="D395" s="149" t="str">
        <f t="shared" ref="D395:F396" si="354">D394</f>
        <v>1-10</v>
      </c>
      <c r="E395" s="149">
        <f t="shared" si="354"/>
        <v>10</v>
      </c>
      <c r="F395" s="149" t="str">
        <f t="shared" si="354"/>
        <v>water</v>
      </c>
      <c r="G395" s="146" t="str">
        <f t="shared" si="330"/>
        <v>PVC pellets 1-10 mm (emission to water)</v>
      </c>
      <c r="H395" s="146"/>
      <c r="I395" s="129">
        <v>0</v>
      </c>
      <c r="J395" s="101" t="s">
        <v>1097</v>
      </c>
      <c r="K395" s="114">
        <f>K20</f>
        <v>0</v>
      </c>
      <c r="L395" s="226">
        <f t="shared" si="318"/>
        <v>1000</v>
      </c>
      <c r="M395" s="220">
        <f t="shared" si="353"/>
        <v>1</v>
      </c>
      <c r="N395" s="612"/>
    </row>
    <row r="396" spans="1:14" s="102" customFormat="1">
      <c r="A396" s="172" t="str">
        <f>A395</f>
        <v>PVC</v>
      </c>
      <c r="B396" s="149" t="str">
        <f>B395</f>
        <v>pellets</v>
      </c>
      <c r="C396" s="149">
        <f t="shared" si="333"/>
        <v>4</v>
      </c>
      <c r="D396" s="149" t="str">
        <f t="shared" si="354"/>
        <v>1-10</v>
      </c>
      <c r="E396" s="149">
        <f t="shared" si="354"/>
        <v>10</v>
      </c>
      <c r="F396" s="149" t="str">
        <f t="shared" si="354"/>
        <v>water</v>
      </c>
      <c r="G396" s="146" t="str">
        <f t="shared" si="330"/>
        <v>PVC pellets 1-10 mm (emission to water)</v>
      </c>
      <c r="H396" s="146">
        <f>H395</f>
        <v>0</v>
      </c>
      <c r="I396" s="129">
        <v>1</v>
      </c>
      <c r="J396" s="101" t="s">
        <v>1096</v>
      </c>
      <c r="K396" s="114">
        <f>K21</f>
        <v>0</v>
      </c>
      <c r="L396" s="226">
        <f t="shared" si="318"/>
        <v>1000</v>
      </c>
      <c r="M396" s="220">
        <f t="shared" si="353"/>
        <v>1</v>
      </c>
      <c r="N396" s="612"/>
    </row>
    <row r="397" spans="1:14" s="102" customFormat="1">
      <c r="A397" s="173" t="str">
        <f>A395</f>
        <v>PVC</v>
      </c>
      <c r="B397" s="150" t="str">
        <f>B395</f>
        <v>pellets</v>
      </c>
      <c r="C397" s="150">
        <f t="shared" si="333"/>
        <v>4</v>
      </c>
      <c r="D397" s="150" t="str">
        <f>D395</f>
        <v>1-10</v>
      </c>
      <c r="E397" s="150">
        <f>E395</f>
        <v>10</v>
      </c>
      <c r="F397" s="150" t="str">
        <f>F395</f>
        <v>water</v>
      </c>
      <c r="G397" s="147" t="str">
        <f t="shared" si="330"/>
        <v>PVC pellets 1-10 mm (emission to water)</v>
      </c>
      <c r="H397" s="147"/>
      <c r="I397" s="129">
        <v>0</v>
      </c>
      <c r="J397" s="101" t="s">
        <v>1034</v>
      </c>
      <c r="K397" s="114" t="s">
        <v>596</v>
      </c>
      <c r="L397" s="226">
        <f t="shared" si="318"/>
        <v>0</v>
      </c>
      <c r="M397" s="220">
        <f t="shared" si="353"/>
        <v>0</v>
      </c>
      <c r="N397" s="613"/>
    </row>
    <row r="398" spans="1:14" s="102" customFormat="1">
      <c r="A398" s="306" t="s">
        <v>86</v>
      </c>
      <c r="B398" s="155" t="s">
        <v>372</v>
      </c>
      <c r="C398" s="290">
        <f t="shared" ref="C398:C400" si="355">IF(OR(B398="Folie", B398="Strips", B398="Film",B398="Flakes",B398="Coupon"), 2,IF(OR(B398="Fibers",B398="Pellets"),4,IF(OR(B398="Particles",B398="Shreds",B398="Powder",B398="Fragments",B398="Granules"),6,"")))</f>
        <v>4</v>
      </c>
      <c r="D398" s="153" t="s">
        <v>1026</v>
      </c>
      <c r="E398" s="288">
        <v>10</v>
      </c>
      <c r="F398" s="189" t="s">
        <v>1057</v>
      </c>
      <c r="G398" s="144" t="str">
        <f t="shared" ref="G398:G400" si="356">CONCATENATE(A398," ",B398," ",D398," mm (emission to ",F398,")")</f>
        <v>PVC pellets 1-10 mm (emission to air)</v>
      </c>
      <c r="H398" s="192"/>
      <c r="I398" s="137">
        <v>0.97699999999999998</v>
      </c>
      <c r="J398" s="225" t="s">
        <v>1019</v>
      </c>
      <c r="K398" s="114">
        <f>K19</f>
        <v>0</v>
      </c>
      <c r="L398" s="226">
        <f t="shared" ref="L398:L400" si="357">IFERROR(IF(K398="--",0,IF(E398*1000/K398*(1-0.5)^(C398/2)&gt;1000,1000,E398*1000/K398*(1-0.5)^(C398/2))),1000)</f>
        <v>1000</v>
      </c>
      <c r="M398" s="158">
        <f>IF(L398/1000&gt;1000,1000,L398/1000)</f>
        <v>1</v>
      </c>
      <c r="N398" s="610">
        <f>I398*M398+I399*M399</f>
        <v>1</v>
      </c>
    </row>
    <row r="399" spans="1:14" s="102" customFormat="1">
      <c r="A399" s="172" t="str">
        <f>A398</f>
        <v>PVC</v>
      </c>
      <c r="B399" s="149" t="str">
        <f>B398</f>
        <v>pellets</v>
      </c>
      <c r="C399" s="149">
        <f t="shared" si="355"/>
        <v>4</v>
      </c>
      <c r="D399" s="149" t="str">
        <f t="shared" ref="D399:F399" si="358">D398</f>
        <v>1-10</v>
      </c>
      <c r="E399" s="149">
        <f t="shared" si="358"/>
        <v>10</v>
      </c>
      <c r="F399" s="149" t="str">
        <f t="shared" si="358"/>
        <v>air</v>
      </c>
      <c r="G399" s="146" t="str">
        <f t="shared" si="356"/>
        <v>PVC pellets 1-10 mm (emission to air)</v>
      </c>
      <c r="H399" s="146"/>
      <c r="I399" s="129">
        <v>2.3E-2</v>
      </c>
      <c r="J399" s="225" t="s">
        <v>1097</v>
      </c>
      <c r="K399" s="114">
        <f>K20</f>
        <v>0</v>
      </c>
      <c r="L399" s="226">
        <f t="shared" si="357"/>
        <v>1000</v>
      </c>
      <c r="M399" s="158">
        <f>IF(L399/1000&gt;1000,1000,L399/1000)</f>
        <v>1</v>
      </c>
      <c r="N399" s="610"/>
    </row>
    <row r="400" spans="1:14" s="102" customFormat="1">
      <c r="A400" s="173" t="str">
        <f>A399</f>
        <v>PVC</v>
      </c>
      <c r="B400" s="150" t="str">
        <f>B399</f>
        <v>pellets</v>
      </c>
      <c r="C400" s="150">
        <f t="shared" si="355"/>
        <v>4</v>
      </c>
      <c r="D400" s="150" t="str">
        <f t="shared" ref="D400:F400" si="359">D399</f>
        <v>1-10</v>
      </c>
      <c r="E400" s="150">
        <f t="shared" si="359"/>
        <v>10</v>
      </c>
      <c r="F400" s="150" t="str">
        <f t="shared" si="359"/>
        <v>air</v>
      </c>
      <c r="G400" s="147" t="str">
        <f t="shared" si="356"/>
        <v>PVC pellets 1-10 mm (emission to air)</v>
      </c>
      <c r="H400" s="147">
        <f>H399</f>
        <v>0</v>
      </c>
      <c r="I400" s="129">
        <v>0</v>
      </c>
      <c r="J400" s="225" t="s">
        <v>1034</v>
      </c>
      <c r="K400" s="151" t="s">
        <v>596</v>
      </c>
      <c r="L400" s="226">
        <f t="shared" si="357"/>
        <v>0</v>
      </c>
      <c r="M400" s="158">
        <f t="shared" ref="M400" si="360">IF(L400/1000&gt;1000,1000,L400/1000)</f>
        <v>0</v>
      </c>
      <c r="N400" s="610"/>
    </row>
    <row r="401" spans="1:14" s="102" customFormat="1" ht="15" customHeight="1">
      <c r="A401" s="176" t="s">
        <v>86</v>
      </c>
      <c r="B401" s="183" t="s">
        <v>1025</v>
      </c>
      <c r="C401" s="184">
        <f t="shared" si="333"/>
        <v>6</v>
      </c>
      <c r="D401" s="184" t="s">
        <v>1018</v>
      </c>
      <c r="E401" s="155">
        <v>0.1</v>
      </c>
      <c r="F401" s="131" t="s">
        <v>1019</v>
      </c>
      <c r="G401" s="134" t="str">
        <f t="shared" si="330"/>
        <v>PVC particles 0,01-0,1 mm (emission to soil)</v>
      </c>
      <c r="H401" s="133" t="s">
        <v>1055</v>
      </c>
      <c r="I401" s="129">
        <v>1</v>
      </c>
      <c r="J401" s="101" t="s">
        <v>1019</v>
      </c>
      <c r="K401" s="114">
        <f>K19</f>
        <v>0</v>
      </c>
      <c r="L401" s="226">
        <f t="shared" si="318"/>
        <v>1000</v>
      </c>
      <c r="M401" s="158">
        <f>IF(L401/1000&gt;1000,1000,L401/1000)</f>
        <v>1</v>
      </c>
      <c r="N401" s="610">
        <f>I401*M401+I402*M402</f>
        <v>1</v>
      </c>
    </row>
    <row r="402" spans="1:14" s="102" customFormat="1" ht="15" customHeight="1">
      <c r="A402" s="172" t="str">
        <f>A401</f>
        <v>PVC</v>
      </c>
      <c r="B402" s="149" t="str">
        <f>B401</f>
        <v>particles</v>
      </c>
      <c r="C402" s="149">
        <f t="shared" si="333"/>
        <v>6</v>
      </c>
      <c r="D402" s="149" t="str">
        <f t="shared" ref="D402:F403" si="361">D401</f>
        <v>0,01-0,1</v>
      </c>
      <c r="E402" s="149">
        <f t="shared" si="361"/>
        <v>0.1</v>
      </c>
      <c r="F402" s="149" t="str">
        <f t="shared" si="361"/>
        <v>soil</v>
      </c>
      <c r="G402" s="146" t="str">
        <f t="shared" si="330"/>
        <v>PVC particles 0,01-0,1 mm (emission to soil)</v>
      </c>
      <c r="H402" s="146" t="str">
        <f>H401</f>
        <v>Abrieb von Trink- und Abwasserrohren</v>
      </c>
      <c r="I402" s="129">
        <v>0</v>
      </c>
      <c r="J402" s="101" t="s">
        <v>1097</v>
      </c>
      <c r="K402" s="114">
        <f>K20</f>
        <v>0</v>
      </c>
      <c r="L402" s="226">
        <f t="shared" si="318"/>
        <v>1000</v>
      </c>
      <c r="M402" s="158">
        <f>IF(L402/1000&gt;1000,1000,L402/1000)</f>
        <v>1</v>
      </c>
      <c r="N402" s="610"/>
    </row>
    <row r="403" spans="1:14" s="102" customFormat="1" ht="15" customHeight="1">
      <c r="A403" s="173" t="str">
        <f>A402</f>
        <v>PVC</v>
      </c>
      <c r="B403" s="150" t="str">
        <f>B402</f>
        <v>particles</v>
      </c>
      <c r="C403" s="150">
        <f t="shared" si="333"/>
        <v>6</v>
      </c>
      <c r="D403" s="150" t="str">
        <f t="shared" si="361"/>
        <v>0,01-0,1</v>
      </c>
      <c r="E403" s="150">
        <f t="shared" si="361"/>
        <v>0.1</v>
      </c>
      <c r="F403" s="150" t="str">
        <f t="shared" si="361"/>
        <v>soil</v>
      </c>
      <c r="G403" s="147" t="str">
        <f t="shared" si="330"/>
        <v>PVC particles 0,01-0,1 mm (emission to soil)</v>
      </c>
      <c r="H403" s="147" t="str">
        <f>H402</f>
        <v>Abrieb von Trink- und Abwasserrohren</v>
      </c>
      <c r="I403" s="129">
        <v>0</v>
      </c>
      <c r="J403" s="101" t="s">
        <v>1034</v>
      </c>
      <c r="K403" s="151" t="s">
        <v>596</v>
      </c>
      <c r="L403" s="226">
        <f t="shared" si="318"/>
        <v>0</v>
      </c>
      <c r="M403" s="158">
        <f t="shared" ref="M403" si="362">IF(L403/1000&gt;1000,1000,L403/1000)</f>
        <v>0</v>
      </c>
      <c r="N403" s="610"/>
    </row>
    <row r="404" spans="1:14" s="102" customFormat="1" ht="15" customHeight="1">
      <c r="A404" s="176" t="s">
        <v>86</v>
      </c>
      <c r="B404" s="183" t="s">
        <v>1025</v>
      </c>
      <c r="C404" s="184">
        <f t="shared" si="333"/>
        <v>6</v>
      </c>
      <c r="D404" s="184" t="s">
        <v>1018</v>
      </c>
      <c r="E404" s="155">
        <v>0.1</v>
      </c>
      <c r="F404" s="131" t="s">
        <v>1020</v>
      </c>
      <c r="G404" s="134" t="str">
        <f t="shared" si="330"/>
        <v>PVC particles 0,01-0,1 mm (emission to water)</v>
      </c>
      <c r="H404" s="133" t="s">
        <v>1055</v>
      </c>
      <c r="I404" s="137">
        <v>0</v>
      </c>
      <c r="J404" s="101" t="s">
        <v>1019</v>
      </c>
      <c r="K404" s="114">
        <f>K19</f>
        <v>0</v>
      </c>
      <c r="L404" s="226">
        <f t="shared" si="318"/>
        <v>1000</v>
      </c>
      <c r="M404" s="220">
        <f t="shared" ref="M404:M407" si="363">IF(L404/1000&gt;1000,1000,L404/1000)</f>
        <v>1</v>
      </c>
      <c r="N404" s="611">
        <f>I404*M404+I405*M405+I406*M406</f>
        <v>1</v>
      </c>
    </row>
    <row r="405" spans="1:14" s="102" customFormat="1" ht="15" customHeight="1">
      <c r="A405" s="172" t="str">
        <f>A404</f>
        <v>PVC</v>
      </c>
      <c r="B405" s="149" t="str">
        <f>B404</f>
        <v>particles</v>
      </c>
      <c r="C405" s="149">
        <f t="shared" si="333"/>
        <v>6</v>
      </c>
      <c r="D405" s="149" t="str">
        <f t="shared" ref="D405:F406" si="364">D404</f>
        <v>0,01-0,1</v>
      </c>
      <c r="E405" s="149">
        <f t="shared" si="364"/>
        <v>0.1</v>
      </c>
      <c r="F405" s="149" t="str">
        <f t="shared" si="364"/>
        <v>water</v>
      </c>
      <c r="G405" s="146" t="str">
        <f t="shared" si="330"/>
        <v>PVC particles 0,01-0,1 mm (emission to water)</v>
      </c>
      <c r="H405" s="146" t="str">
        <f>H404</f>
        <v>Abrieb von Trink- und Abwasserrohren</v>
      </c>
      <c r="I405" s="129">
        <v>0</v>
      </c>
      <c r="J405" s="101" t="s">
        <v>1097</v>
      </c>
      <c r="K405" s="114">
        <f>K20</f>
        <v>0</v>
      </c>
      <c r="L405" s="226">
        <f t="shared" si="318"/>
        <v>1000</v>
      </c>
      <c r="M405" s="220">
        <f t="shared" si="363"/>
        <v>1</v>
      </c>
      <c r="N405" s="612"/>
    </row>
    <row r="406" spans="1:14" s="102" customFormat="1" ht="15" customHeight="1">
      <c r="A406" s="172" t="str">
        <f>A405</f>
        <v>PVC</v>
      </c>
      <c r="B406" s="149" t="str">
        <f>B405</f>
        <v>particles</v>
      </c>
      <c r="C406" s="149">
        <f t="shared" si="333"/>
        <v>6</v>
      </c>
      <c r="D406" s="149" t="str">
        <f t="shared" si="364"/>
        <v>0,01-0,1</v>
      </c>
      <c r="E406" s="149">
        <f t="shared" si="364"/>
        <v>0.1</v>
      </c>
      <c r="F406" s="149" t="str">
        <f t="shared" si="364"/>
        <v>water</v>
      </c>
      <c r="G406" s="146" t="str">
        <f t="shared" si="330"/>
        <v>PVC particles 0,01-0,1 mm (emission to water)</v>
      </c>
      <c r="H406" s="146" t="str">
        <f>H405</f>
        <v>Abrieb von Trink- und Abwasserrohren</v>
      </c>
      <c r="I406" s="129">
        <v>1</v>
      </c>
      <c r="J406" s="101" t="s">
        <v>1096</v>
      </c>
      <c r="K406" s="114">
        <f>K21</f>
        <v>0</v>
      </c>
      <c r="L406" s="226">
        <f t="shared" si="318"/>
        <v>1000</v>
      </c>
      <c r="M406" s="220">
        <f t="shared" si="363"/>
        <v>1</v>
      </c>
      <c r="N406" s="612"/>
    </row>
    <row r="407" spans="1:14" s="102" customFormat="1" ht="15" customHeight="1">
      <c r="A407" s="173" t="str">
        <f>A405</f>
        <v>PVC</v>
      </c>
      <c r="B407" s="150" t="str">
        <f>B405</f>
        <v>particles</v>
      </c>
      <c r="C407" s="150">
        <f t="shared" si="333"/>
        <v>6</v>
      </c>
      <c r="D407" s="150" t="str">
        <f>D405</f>
        <v>0,01-0,1</v>
      </c>
      <c r="E407" s="150">
        <f>E405</f>
        <v>0.1</v>
      </c>
      <c r="F407" s="150" t="str">
        <f>F405</f>
        <v>water</v>
      </c>
      <c r="G407" s="147" t="str">
        <f t="shared" si="330"/>
        <v>PVC particles 0,01-0,1 mm (emission to water)</v>
      </c>
      <c r="H407" s="147" t="str">
        <f>H405</f>
        <v>Abrieb von Trink- und Abwasserrohren</v>
      </c>
      <c r="I407" s="129">
        <v>0</v>
      </c>
      <c r="J407" s="101" t="s">
        <v>1034</v>
      </c>
      <c r="K407" s="114" t="s">
        <v>596</v>
      </c>
      <c r="L407" s="226">
        <f t="shared" si="318"/>
        <v>0</v>
      </c>
      <c r="M407" s="220">
        <f t="shared" si="363"/>
        <v>0</v>
      </c>
      <c r="N407" s="613"/>
    </row>
    <row r="408" spans="1:14" s="102" customFormat="1" ht="15" customHeight="1">
      <c r="A408" s="176" t="s">
        <v>86</v>
      </c>
      <c r="B408" s="288" t="s">
        <v>1025</v>
      </c>
      <c r="C408" s="290">
        <f t="shared" ref="C408:C410" si="365">IF(OR(B408="Folie", B408="Strips", B408="Film",B408="Flakes",B408="Coupon"), 2,IF(OR(B408="Fibers",B408="Pellets"),4,IF(OR(B408="Particles",B408="Shreds",B408="Powder",B408="Fragments",B408="Granules"),6,"")))</f>
        <v>6</v>
      </c>
      <c r="D408" s="290" t="s">
        <v>1018</v>
      </c>
      <c r="E408" s="155">
        <v>0.1</v>
      </c>
      <c r="F408" s="131" t="s">
        <v>1057</v>
      </c>
      <c r="G408" s="134" t="str">
        <f t="shared" ref="G408:G410" si="366">CONCATENATE(A408," ",B408," ",D408," mm (emission to ",F408,")")</f>
        <v>PVC particles 0,01-0,1 mm (emission to air)</v>
      </c>
      <c r="H408" s="133" t="s">
        <v>1055</v>
      </c>
      <c r="I408" s="137">
        <v>0.97699999999999998</v>
      </c>
      <c r="J408" s="101" t="s">
        <v>1019</v>
      </c>
      <c r="K408" s="114">
        <f>K19</f>
        <v>0</v>
      </c>
      <c r="L408" s="226">
        <f t="shared" ref="L408:L410" si="367">IFERROR(IF(K408="--",0,IF(E408*1000/K408*(1-0.5)^(C408/2)&gt;1000,1000,E408*1000/K408*(1-0.5)^(C408/2))),1000)</f>
        <v>1000</v>
      </c>
      <c r="M408" s="158">
        <f>IF(L408/1000&gt;1000,1000,L408/1000)</f>
        <v>1</v>
      </c>
      <c r="N408" s="610">
        <f>I408*M408+I409*M409</f>
        <v>1</v>
      </c>
    </row>
    <row r="409" spans="1:14" s="102" customFormat="1" ht="15" customHeight="1">
      <c r="A409" s="172" t="str">
        <f>A408</f>
        <v>PVC</v>
      </c>
      <c r="B409" s="149" t="str">
        <f>B408</f>
        <v>particles</v>
      </c>
      <c r="C409" s="149">
        <f t="shared" si="365"/>
        <v>6</v>
      </c>
      <c r="D409" s="149" t="str">
        <f t="shared" ref="D409:F409" si="368">D408</f>
        <v>0,01-0,1</v>
      </c>
      <c r="E409" s="149">
        <f t="shared" si="368"/>
        <v>0.1</v>
      </c>
      <c r="F409" s="149" t="str">
        <f t="shared" si="368"/>
        <v>air</v>
      </c>
      <c r="G409" s="146" t="str">
        <f t="shared" si="366"/>
        <v>PVC particles 0,01-0,1 mm (emission to air)</v>
      </c>
      <c r="H409" s="146" t="str">
        <f>H408</f>
        <v>Abrieb von Trink- und Abwasserrohren</v>
      </c>
      <c r="I409" s="129">
        <v>2.3E-2</v>
      </c>
      <c r="J409" s="101" t="s">
        <v>1097</v>
      </c>
      <c r="K409" s="114">
        <f>K20</f>
        <v>0</v>
      </c>
      <c r="L409" s="226">
        <f t="shared" si="367"/>
        <v>1000</v>
      </c>
      <c r="M409" s="158">
        <f>IF(L409/1000&gt;1000,1000,L409/1000)</f>
        <v>1</v>
      </c>
      <c r="N409" s="610"/>
    </row>
    <row r="410" spans="1:14" s="102" customFormat="1" ht="15" customHeight="1">
      <c r="A410" s="173" t="str">
        <f>A409</f>
        <v>PVC</v>
      </c>
      <c r="B410" s="150" t="str">
        <f>B409</f>
        <v>particles</v>
      </c>
      <c r="C410" s="150">
        <f t="shared" si="365"/>
        <v>6</v>
      </c>
      <c r="D410" s="150" t="str">
        <f t="shared" ref="D410:F410" si="369">D409</f>
        <v>0,01-0,1</v>
      </c>
      <c r="E410" s="150">
        <f t="shared" si="369"/>
        <v>0.1</v>
      </c>
      <c r="F410" s="150" t="str">
        <f t="shared" si="369"/>
        <v>air</v>
      </c>
      <c r="G410" s="147" t="str">
        <f t="shared" si="366"/>
        <v>PVC particles 0,01-0,1 mm (emission to air)</v>
      </c>
      <c r="H410" s="147" t="str">
        <f>H409</f>
        <v>Abrieb von Trink- und Abwasserrohren</v>
      </c>
      <c r="I410" s="129">
        <v>0</v>
      </c>
      <c r="J410" s="101" t="s">
        <v>1034</v>
      </c>
      <c r="K410" s="151" t="s">
        <v>596</v>
      </c>
      <c r="L410" s="226">
        <f t="shared" si="367"/>
        <v>0</v>
      </c>
      <c r="M410" s="158">
        <f t="shared" ref="M410" si="370">IF(L410/1000&gt;1000,1000,L410/1000)</f>
        <v>0</v>
      </c>
      <c r="N410" s="610"/>
    </row>
    <row r="411" spans="1:14" s="102" customFormat="1" ht="38.25">
      <c r="A411" s="176" t="s">
        <v>86</v>
      </c>
      <c r="B411" s="183" t="s">
        <v>1025</v>
      </c>
      <c r="C411" s="184">
        <f t="shared" si="333"/>
        <v>6</v>
      </c>
      <c r="D411" s="184" t="s">
        <v>1028</v>
      </c>
      <c r="E411" s="155">
        <v>1</v>
      </c>
      <c r="F411" s="131" t="s">
        <v>1019</v>
      </c>
      <c r="G411" s="134" t="str">
        <f t="shared" si="330"/>
        <v>PVC particles 0,1-1 mm (emission to soil)</v>
      </c>
      <c r="H411" s="157" t="s">
        <v>1047</v>
      </c>
      <c r="I411" s="129">
        <v>1</v>
      </c>
      <c r="J411" s="101" t="s">
        <v>1019</v>
      </c>
      <c r="K411" s="114">
        <f>K19</f>
        <v>0</v>
      </c>
      <c r="L411" s="226">
        <f t="shared" si="318"/>
        <v>1000</v>
      </c>
      <c r="M411" s="158">
        <f>IF(L411/1000&gt;1000,1000,L411/1000)</f>
        <v>1</v>
      </c>
      <c r="N411" s="610">
        <f>I411*M411+I412*M412</f>
        <v>1</v>
      </c>
    </row>
    <row r="412" spans="1:14" s="102" customFormat="1" ht="15" customHeight="1">
      <c r="A412" s="172" t="str">
        <f>A411</f>
        <v>PVC</v>
      </c>
      <c r="B412" s="149" t="str">
        <f>B411</f>
        <v>particles</v>
      </c>
      <c r="C412" s="149">
        <f t="shared" si="333"/>
        <v>6</v>
      </c>
      <c r="D412" s="149" t="str">
        <f t="shared" ref="D412:F413" si="371">D411</f>
        <v>0,1-1</v>
      </c>
      <c r="E412" s="149">
        <f t="shared" si="371"/>
        <v>1</v>
      </c>
      <c r="F412" s="149" t="str">
        <f t="shared" si="371"/>
        <v>soil</v>
      </c>
      <c r="G412" s="146" t="str">
        <f t="shared" si="330"/>
        <v>PVC particles 0,1-1 mm (emission to soil)</v>
      </c>
      <c r="H412" s="146" t="str">
        <f>H411</f>
        <v>Fragmentierung bei Abbrucharbeiten; Abrieb von Baukunststoffen; Verarbeitung von Bauschutt</v>
      </c>
      <c r="I412" s="129">
        <v>0</v>
      </c>
      <c r="J412" s="101" t="s">
        <v>1097</v>
      </c>
      <c r="K412" s="114">
        <f>K20</f>
        <v>0</v>
      </c>
      <c r="L412" s="226">
        <f t="shared" si="318"/>
        <v>1000</v>
      </c>
      <c r="M412" s="158">
        <f>IF(L412/1000&gt;1000,1000,L412/1000)</f>
        <v>1</v>
      </c>
      <c r="N412" s="610"/>
    </row>
    <row r="413" spans="1:14" s="102" customFormat="1" ht="15" customHeight="1">
      <c r="A413" s="173" t="str">
        <f>A412</f>
        <v>PVC</v>
      </c>
      <c r="B413" s="150" t="str">
        <f>B412</f>
        <v>particles</v>
      </c>
      <c r="C413" s="150">
        <f t="shared" si="333"/>
        <v>6</v>
      </c>
      <c r="D413" s="150" t="str">
        <f t="shared" si="371"/>
        <v>0,1-1</v>
      </c>
      <c r="E413" s="150">
        <f t="shared" si="371"/>
        <v>1</v>
      </c>
      <c r="F413" s="150" t="str">
        <f t="shared" si="371"/>
        <v>soil</v>
      </c>
      <c r="G413" s="147" t="str">
        <f t="shared" si="330"/>
        <v>PVC particles 0,1-1 mm (emission to soil)</v>
      </c>
      <c r="H413" s="147" t="str">
        <f>H412</f>
        <v>Fragmentierung bei Abbrucharbeiten; Abrieb von Baukunststoffen; Verarbeitung von Bauschutt</v>
      </c>
      <c r="I413" s="129">
        <v>0</v>
      </c>
      <c r="J413" s="101" t="s">
        <v>1034</v>
      </c>
      <c r="K413" s="151" t="s">
        <v>596</v>
      </c>
      <c r="L413" s="226">
        <f t="shared" si="318"/>
        <v>0</v>
      </c>
      <c r="M413" s="158">
        <f t="shared" ref="M413" si="372">IF(L413/1000&gt;1000,1000,L413/1000)</f>
        <v>0</v>
      </c>
      <c r="N413" s="610"/>
    </row>
    <row r="414" spans="1:14" s="102" customFormat="1" ht="38.25">
      <c r="A414" s="176" t="s">
        <v>86</v>
      </c>
      <c r="B414" s="183" t="s">
        <v>1025</v>
      </c>
      <c r="C414" s="184">
        <f t="shared" si="333"/>
        <v>6</v>
      </c>
      <c r="D414" s="184" t="s">
        <v>1028</v>
      </c>
      <c r="E414" s="155">
        <v>1</v>
      </c>
      <c r="F414" s="131" t="s">
        <v>1020</v>
      </c>
      <c r="G414" s="134" t="str">
        <f t="shared" si="330"/>
        <v>PVC particles 0,1-1 mm (emission to water)</v>
      </c>
      <c r="H414" s="157" t="s">
        <v>1047</v>
      </c>
      <c r="I414" s="137">
        <v>0</v>
      </c>
      <c r="J414" s="101" t="s">
        <v>1019</v>
      </c>
      <c r="K414" s="114">
        <f>K19</f>
        <v>0</v>
      </c>
      <c r="L414" s="226">
        <f t="shared" si="318"/>
        <v>1000</v>
      </c>
      <c r="M414" s="220">
        <f t="shared" ref="M414:M417" si="373">IF(L414/1000&gt;1000,1000,L414/1000)</f>
        <v>1</v>
      </c>
      <c r="N414" s="611">
        <f>I414*M414+I415*M415+I416*M416</f>
        <v>1</v>
      </c>
    </row>
    <row r="415" spans="1:14" s="102" customFormat="1" ht="15" customHeight="1">
      <c r="A415" s="172" t="str">
        <f>A414</f>
        <v>PVC</v>
      </c>
      <c r="B415" s="149" t="str">
        <f>B414</f>
        <v>particles</v>
      </c>
      <c r="C415" s="149">
        <f t="shared" si="333"/>
        <v>6</v>
      </c>
      <c r="D415" s="149" t="str">
        <f t="shared" ref="D415:F416" si="374">D414</f>
        <v>0,1-1</v>
      </c>
      <c r="E415" s="149">
        <f t="shared" si="374"/>
        <v>1</v>
      </c>
      <c r="F415" s="149" t="str">
        <f t="shared" si="374"/>
        <v>water</v>
      </c>
      <c r="G415" s="146" t="str">
        <f t="shared" si="330"/>
        <v>PVC particles 0,1-1 mm (emission to water)</v>
      </c>
      <c r="H415" s="146" t="str">
        <f>H414</f>
        <v>Fragmentierung bei Abbrucharbeiten; Abrieb von Baukunststoffen; Verarbeitung von Bauschutt</v>
      </c>
      <c r="I415" s="129">
        <v>0</v>
      </c>
      <c r="J415" s="101" t="s">
        <v>1097</v>
      </c>
      <c r="K415" s="114">
        <f>K20</f>
        <v>0</v>
      </c>
      <c r="L415" s="226">
        <f t="shared" si="318"/>
        <v>1000</v>
      </c>
      <c r="M415" s="220">
        <f t="shared" si="373"/>
        <v>1</v>
      </c>
      <c r="N415" s="612"/>
    </row>
    <row r="416" spans="1:14" s="102" customFormat="1" ht="15" customHeight="1">
      <c r="A416" s="172" t="str">
        <f>A415</f>
        <v>PVC</v>
      </c>
      <c r="B416" s="149" t="str">
        <f>B415</f>
        <v>particles</v>
      </c>
      <c r="C416" s="149">
        <f t="shared" si="333"/>
        <v>6</v>
      </c>
      <c r="D416" s="149" t="str">
        <f t="shared" si="374"/>
        <v>0,1-1</v>
      </c>
      <c r="E416" s="149">
        <f t="shared" si="374"/>
        <v>1</v>
      </c>
      <c r="F416" s="149" t="str">
        <f t="shared" si="374"/>
        <v>water</v>
      </c>
      <c r="G416" s="146" t="str">
        <f t="shared" si="330"/>
        <v>PVC particles 0,1-1 mm (emission to water)</v>
      </c>
      <c r="H416" s="146" t="str">
        <f>H415</f>
        <v>Fragmentierung bei Abbrucharbeiten; Abrieb von Baukunststoffen; Verarbeitung von Bauschutt</v>
      </c>
      <c r="I416" s="129">
        <v>1</v>
      </c>
      <c r="J416" s="101" t="s">
        <v>1096</v>
      </c>
      <c r="K416" s="114">
        <f>K21</f>
        <v>0</v>
      </c>
      <c r="L416" s="226">
        <f t="shared" si="318"/>
        <v>1000</v>
      </c>
      <c r="M416" s="220">
        <f t="shared" si="373"/>
        <v>1</v>
      </c>
      <c r="N416" s="612"/>
    </row>
    <row r="417" spans="1:14" s="102" customFormat="1" ht="15" customHeight="1">
      <c r="A417" s="173" t="str">
        <f>A415</f>
        <v>PVC</v>
      </c>
      <c r="B417" s="150" t="str">
        <f>B415</f>
        <v>particles</v>
      </c>
      <c r="C417" s="150">
        <f t="shared" si="333"/>
        <v>6</v>
      </c>
      <c r="D417" s="150" t="str">
        <f>D415</f>
        <v>0,1-1</v>
      </c>
      <c r="E417" s="150">
        <f>E415</f>
        <v>1</v>
      </c>
      <c r="F417" s="150" t="str">
        <f>F415</f>
        <v>water</v>
      </c>
      <c r="G417" s="147" t="str">
        <f t="shared" si="330"/>
        <v>PVC particles 0,1-1 mm (emission to water)</v>
      </c>
      <c r="H417" s="147" t="str">
        <f>H415</f>
        <v>Fragmentierung bei Abbrucharbeiten; Abrieb von Baukunststoffen; Verarbeitung von Bauschutt</v>
      </c>
      <c r="I417" s="129">
        <v>0</v>
      </c>
      <c r="J417" s="101" t="s">
        <v>1034</v>
      </c>
      <c r="K417" s="114" t="s">
        <v>596</v>
      </c>
      <c r="L417" s="226">
        <f t="shared" si="318"/>
        <v>0</v>
      </c>
      <c r="M417" s="220">
        <f t="shared" si="373"/>
        <v>0</v>
      </c>
      <c r="N417" s="613"/>
    </row>
    <row r="418" spans="1:14" s="102" customFormat="1" ht="42.75" customHeight="1">
      <c r="A418" s="176" t="s">
        <v>86</v>
      </c>
      <c r="B418" s="288" t="s">
        <v>1025</v>
      </c>
      <c r="C418" s="290">
        <f t="shared" ref="C418:C420" si="375">IF(OR(B418="Folie", B418="Strips", B418="Film",B418="Flakes",B418="Coupon"), 2,IF(OR(B418="Fibers",B418="Pellets"),4,IF(OR(B418="Particles",B418="Shreds",B418="Powder",B418="Fragments",B418="Granules"),6,"")))</f>
        <v>6</v>
      </c>
      <c r="D418" s="290" t="s">
        <v>1028</v>
      </c>
      <c r="E418" s="155">
        <v>1</v>
      </c>
      <c r="F418" s="131" t="s">
        <v>1057</v>
      </c>
      <c r="G418" s="134" t="str">
        <f t="shared" ref="G418:G420" si="376">CONCATENATE(A418," ",B418," ",D418," mm (emission to ",F418,")")</f>
        <v>PVC particles 0,1-1 mm (emission to air)</v>
      </c>
      <c r="H418" s="157" t="s">
        <v>1047</v>
      </c>
      <c r="I418" s="137">
        <v>0.97699999999999998</v>
      </c>
      <c r="J418" s="101" t="s">
        <v>1019</v>
      </c>
      <c r="K418" s="114">
        <f>K19</f>
        <v>0</v>
      </c>
      <c r="L418" s="226">
        <f t="shared" ref="L418:L420" si="377">IFERROR(IF(K418="--",0,IF(E418*1000/K418*(1-0.5)^(C418/2)&gt;1000,1000,E418*1000/K418*(1-0.5)^(C418/2))),1000)</f>
        <v>1000</v>
      </c>
      <c r="M418" s="158">
        <f>IF(L418/1000&gt;1000,1000,L418/1000)</f>
        <v>1</v>
      </c>
      <c r="N418" s="610">
        <f>I418*M418+I419*M419</f>
        <v>1</v>
      </c>
    </row>
    <row r="419" spans="1:14" s="102" customFormat="1" ht="15" customHeight="1">
      <c r="A419" s="172" t="str">
        <f>A418</f>
        <v>PVC</v>
      </c>
      <c r="B419" s="149" t="str">
        <f>B418</f>
        <v>particles</v>
      </c>
      <c r="C419" s="149">
        <f t="shared" si="375"/>
        <v>6</v>
      </c>
      <c r="D419" s="149" t="str">
        <f t="shared" ref="D419:F419" si="378">D418</f>
        <v>0,1-1</v>
      </c>
      <c r="E419" s="149">
        <f t="shared" si="378"/>
        <v>1</v>
      </c>
      <c r="F419" s="149" t="str">
        <f t="shared" si="378"/>
        <v>air</v>
      </c>
      <c r="G419" s="146" t="str">
        <f t="shared" si="376"/>
        <v>PVC particles 0,1-1 mm (emission to air)</v>
      </c>
      <c r="H419" s="146" t="str">
        <f>H418</f>
        <v>Fragmentierung bei Abbrucharbeiten; Abrieb von Baukunststoffen; Verarbeitung von Bauschutt</v>
      </c>
      <c r="I419" s="129">
        <v>2.3E-2</v>
      </c>
      <c r="J419" s="101" t="s">
        <v>1097</v>
      </c>
      <c r="K419" s="114">
        <f>K20</f>
        <v>0</v>
      </c>
      <c r="L419" s="226">
        <f t="shared" si="377"/>
        <v>1000</v>
      </c>
      <c r="M419" s="158">
        <f>IF(L419/1000&gt;1000,1000,L419/1000)</f>
        <v>1</v>
      </c>
      <c r="N419" s="610"/>
    </row>
    <row r="420" spans="1:14" s="102" customFormat="1" ht="15" customHeight="1">
      <c r="A420" s="173" t="str">
        <f>A419</f>
        <v>PVC</v>
      </c>
      <c r="B420" s="150" t="str">
        <f>B419</f>
        <v>particles</v>
      </c>
      <c r="C420" s="150">
        <f t="shared" si="375"/>
        <v>6</v>
      </c>
      <c r="D420" s="150" t="str">
        <f t="shared" ref="D420:F420" si="379">D419</f>
        <v>0,1-1</v>
      </c>
      <c r="E420" s="150">
        <f t="shared" si="379"/>
        <v>1</v>
      </c>
      <c r="F420" s="150" t="str">
        <f t="shared" si="379"/>
        <v>air</v>
      </c>
      <c r="G420" s="147" t="str">
        <f t="shared" si="376"/>
        <v>PVC particles 0,1-1 mm (emission to air)</v>
      </c>
      <c r="H420" s="147" t="str">
        <f>H419</f>
        <v>Fragmentierung bei Abbrucharbeiten; Abrieb von Baukunststoffen; Verarbeitung von Bauschutt</v>
      </c>
      <c r="I420" s="129">
        <v>0</v>
      </c>
      <c r="J420" s="101" t="s">
        <v>1034</v>
      </c>
      <c r="K420" s="151" t="s">
        <v>596</v>
      </c>
      <c r="L420" s="226">
        <f t="shared" si="377"/>
        <v>0</v>
      </c>
      <c r="M420" s="158">
        <f t="shared" ref="M420" si="380">IF(L420/1000&gt;1000,1000,L420/1000)</f>
        <v>0</v>
      </c>
      <c r="N420" s="610"/>
    </row>
    <row r="421" spans="1:14" s="102" customFormat="1" ht="15" customHeight="1">
      <c r="A421" s="176" t="s">
        <v>86</v>
      </c>
      <c r="B421" s="183" t="s">
        <v>1025</v>
      </c>
      <c r="C421" s="184">
        <f t="shared" si="333"/>
        <v>6</v>
      </c>
      <c r="D421" s="184" t="s">
        <v>1026</v>
      </c>
      <c r="E421" s="155">
        <v>10</v>
      </c>
      <c r="F421" s="131" t="s">
        <v>1019</v>
      </c>
      <c r="G421" s="134" t="str">
        <f t="shared" si="330"/>
        <v>PVC particles 1-10 mm (emission to soil)</v>
      </c>
      <c r="H421" s="133" t="s">
        <v>1038</v>
      </c>
      <c r="I421" s="129">
        <v>1</v>
      </c>
      <c r="J421" s="101" t="s">
        <v>1019</v>
      </c>
      <c r="K421" s="114">
        <f>K19</f>
        <v>0</v>
      </c>
      <c r="L421" s="226">
        <f t="shared" si="318"/>
        <v>1000</v>
      </c>
      <c r="M421" s="158">
        <f>IF(L421/1000&gt;1000,1000,L421/1000)</f>
        <v>1</v>
      </c>
      <c r="N421" s="610">
        <f>I421*M421+I422*M422</f>
        <v>1</v>
      </c>
    </row>
    <row r="422" spans="1:14" s="102" customFormat="1" ht="15" customHeight="1">
      <c r="A422" s="172" t="str">
        <f>A421</f>
        <v>PVC</v>
      </c>
      <c r="B422" s="149" t="str">
        <f>B421</f>
        <v>particles</v>
      </c>
      <c r="C422" s="149">
        <f t="shared" si="333"/>
        <v>6</v>
      </c>
      <c r="D422" s="149" t="str">
        <f t="shared" ref="D422:F423" si="381">D421</f>
        <v>1-10</v>
      </c>
      <c r="E422" s="149">
        <f t="shared" si="381"/>
        <v>10</v>
      </c>
      <c r="F422" s="149" t="str">
        <f t="shared" si="381"/>
        <v>soil</v>
      </c>
      <c r="G422" s="146" t="str">
        <f t="shared" si="330"/>
        <v>PVC particles 1-10 mm (emission to soil)</v>
      </c>
      <c r="H422" s="146" t="str">
        <f>H421</f>
        <v>Metallzerkleinerung</v>
      </c>
      <c r="I422" s="129">
        <v>0</v>
      </c>
      <c r="J422" s="101" t="s">
        <v>1097</v>
      </c>
      <c r="K422" s="114">
        <f>K20</f>
        <v>0</v>
      </c>
      <c r="L422" s="226">
        <f t="shared" si="318"/>
        <v>1000</v>
      </c>
      <c r="M422" s="158">
        <f>IF(L422/1000&gt;1000,1000,L422/1000)</f>
        <v>1</v>
      </c>
      <c r="N422" s="610"/>
    </row>
    <row r="423" spans="1:14" s="102" customFormat="1" ht="15" customHeight="1">
      <c r="A423" s="173" t="str">
        <f>A422</f>
        <v>PVC</v>
      </c>
      <c r="B423" s="150" t="str">
        <f>B422</f>
        <v>particles</v>
      </c>
      <c r="C423" s="150">
        <f t="shared" si="333"/>
        <v>6</v>
      </c>
      <c r="D423" s="150" t="str">
        <f t="shared" si="381"/>
        <v>1-10</v>
      </c>
      <c r="E423" s="150">
        <f t="shared" si="381"/>
        <v>10</v>
      </c>
      <c r="F423" s="150" t="str">
        <f t="shared" si="381"/>
        <v>soil</v>
      </c>
      <c r="G423" s="147" t="str">
        <f t="shared" si="330"/>
        <v>PVC particles 1-10 mm (emission to soil)</v>
      </c>
      <c r="H423" s="147" t="str">
        <f>H422</f>
        <v>Metallzerkleinerung</v>
      </c>
      <c r="I423" s="129">
        <v>0</v>
      </c>
      <c r="J423" s="101" t="s">
        <v>1034</v>
      </c>
      <c r="K423" s="151" t="s">
        <v>596</v>
      </c>
      <c r="L423" s="226">
        <f t="shared" si="318"/>
        <v>0</v>
      </c>
      <c r="M423" s="158">
        <f t="shared" ref="M423" si="382">IF(L423/1000&gt;1000,1000,L423/1000)</f>
        <v>0</v>
      </c>
      <c r="N423" s="610"/>
    </row>
    <row r="424" spans="1:14" s="102" customFormat="1" ht="15" customHeight="1">
      <c r="A424" s="176" t="s">
        <v>86</v>
      </c>
      <c r="B424" s="183" t="s">
        <v>1025</v>
      </c>
      <c r="C424" s="184">
        <f t="shared" si="333"/>
        <v>6</v>
      </c>
      <c r="D424" s="184" t="s">
        <v>1026</v>
      </c>
      <c r="E424" s="214">
        <v>10</v>
      </c>
      <c r="F424" s="131" t="s">
        <v>1020</v>
      </c>
      <c r="G424" s="134" t="str">
        <f t="shared" si="330"/>
        <v>PVC particles 1-10 mm (emission to water)</v>
      </c>
      <c r="H424" s="133" t="s">
        <v>1038</v>
      </c>
      <c r="I424" s="137">
        <v>0</v>
      </c>
      <c r="J424" s="101" t="s">
        <v>1019</v>
      </c>
      <c r="K424" s="114">
        <f>K19</f>
        <v>0</v>
      </c>
      <c r="L424" s="226">
        <f t="shared" si="318"/>
        <v>1000</v>
      </c>
      <c r="M424" s="220">
        <f t="shared" ref="M424:M427" si="383">IF(L424/1000&gt;1000,1000,L424/1000)</f>
        <v>1</v>
      </c>
      <c r="N424" s="611">
        <f>I424*M424+I425*M425+I426*M426</f>
        <v>1</v>
      </c>
    </row>
    <row r="425" spans="1:14" s="102" customFormat="1" ht="15" customHeight="1">
      <c r="A425" s="172" t="str">
        <f>A424</f>
        <v>PVC</v>
      </c>
      <c r="B425" s="149" t="str">
        <f>B424</f>
        <v>particles</v>
      </c>
      <c r="C425" s="149">
        <f t="shared" si="333"/>
        <v>6</v>
      </c>
      <c r="D425" s="149" t="str">
        <f t="shared" ref="D425:F426" si="384">D424</f>
        <v>1-10</v>
      </c>
      <c r="E425" s="149">
        <f t="shared" si="384"/>
        <v>10</v>
      </c>
      <c r="F425" s="149" t="str">
        <f t="shared" si="384"/>
        <v>water</v>
      </c>
      <c r="G425" s="146" t="str">
        <f t="shared" ref="G425:G437" si="385">CONCATENATE(A425," ",B425," ",D425," mm (emission to ",F425,")")</f>
        <v>PVC particles 1-10 mm (emission to water)</v>
      </c>
      <c r="H425" s="146" t="str">
        <f>H424</f>
        <v>Metallzerkleinerung</v>
      </c>
      <c r="I425" s="129">
        <v>0</v>
      </c>
      <c r="J425" s="101" t="s">
        <v>1097</v>
      </c>
      <c r="K425" s="114">
        <f>K20</f>
        <v>0</v>
      </c>
      <c r="L425" s="226">
        <f t="shared" si="318"/>
        <v>1000</v>
      </c>
      <c r="M425" s="220">
        <f t="shared" si="383"/>
        <v>1</v>
      </c>
      <c r="N425" s="612"/>
    </row>
    <row r="426" spans="1:14" s="102" customFormat="1" ht="15" customHeight="1">
      <c r="A426" s="172" t="str">
        <f>A425</f>
        <v>PVC</v>
      </c>
      <c r="B426" s="149" t="str">
        <f>B425</f>
        <v>particles</v>
      </c>
      <c r="C426" s="149">
        <f t="shared" si="333"/>
        <v>6</v>
      </c>
      <c r="D426" s="149" t="str">
        <f t="shared" si="384"/>
        <v>1-10</v>
      </c>
      <c r="E426" s="149">
        <f t="shared" si="384"/>
        <v>10</v>
      </c>
      <c r="F426" s="149" t="str">
        <f t="shared" si="384"/>
        <v>water</v>
      </c>
      <c r="G426" s="146" t="str">
        <f t="shared" si="385"/>
        <v>PVC particles 1-10 mm (emission to water)</v>
      </c>
      <c r="H426" s="146" t="str">
        <f>H425</f>
        <v>Metallzerkleinerung</v>
      </c>
      <c r="I426" s="129">
        <v>1</v>
      </c>
      <c r="J426" s="101" t="s">
        <v>1096</v>
      </c>
      <c r="K426" s="114">
        <f>K21</f>
        <v>0</v>
      </c>
      <c r="L426" s="226">
        <f t="shared" si="318"/>
        <v>1000</v>
      </c>
      <c r="M426" s="220">
        <f t="shared" si="383"/>
        <v>1</v>
      </c>
      <c r="N426" s="612"/>
    </row>
    <row r="427" spans="1:14" s="191" customFormat="1" ht="15" customHeight="1">
      <c r="A427" s="173" t="str">
        <f>A425</f>
        <v>PVC</v>
      </c>
      <c r="B427" s="150" t="str">
        <f>B425</f>
        <v>particles</v>
      </c>
      <c r="C427" s="150">
        <f t="shared" si="333"/>
        <v>6</v>
      </c>
      <c r="D427" s="150" t="str">
        <f>D425</f>
        <v>1-10</v>
      </c>
      <c r="E427" s="150">
        <f>E425</f>
        <v>10</v>
      </c>
      <c r="F427" s="150" t="str">
        <f>F425</f>
        <v>water</v>
      </c>
      <c r="G427" s="147" t="str">
        <f t="shared" si="385"/>
        <v>PVC particles 1-10 mm (emission to water)</v>
      </c>
      <c r="H427" s="147" t="str">
        <f>H425</f>
        <v>Metallzerkleinerung</v>
      </c>
      <c r="I427" s="129">
        <v>0</v>
      </c>
      <c r="J427" s="225" t="s">
        <v>1034</v>
      </c>
      <c r="K427" s="114" t="s">
        <v>596</v>
      </c>
      <c r="L427" s="226">
        <f t="shared" si="318"/>
        <v>0</v>
      </c>
      <c r="M427" s="220">
        <f t="shared" si="383"/>
        <v>0</v>
      </c>
      <c r="N427" s="613"/>
    </row>
    <row r="428" spans="1:14" s="191" customFormat="1" ht="15" customHeight="1">
      <c r="A428" s="176" t="s">
        <v>86</v>
      </c>
      <c r="B428" s="288" t="s">
        <v>1025</v>
      </c>
      <c r="C428" s="290">
        <f t="shared" ref="C428:C430" si="386">IF(OR(B428="Folie", B428="Strips", B428="Film",B428="Flakes",B428="Coupon"), 2,IF(OR(B428="Fibers",B428="Pellets"),4,IF(OR(B428="Particles",B428="Shreds",B428="Powder",B428="Fragments",B428="Granules"),6,"")))</f>
        <v>6</v>
      </c>
      <c r="D428" s="290" t="s">
        <v>1026</v>
      </c>
      <c r="E428" s="155">
        <v>10</v>
      </c>
      <c r="F428" s="131" t="s">
        <v>1057</v>
      </c>
      <c r="G428" s="134" t="str">
        <f t="shared" si="385"/>
        <v>PVC particles 1-10 mm (emission to air)</v>
      </c>
      <c r="H428" s="133" t="s">
        <v>1038</v>
      </c>
      <c r="I428" s="137">
        <v>0.97699999999999998</v>
      </c>
      <c r="J428" s="101" t="s">
        <v>1019</v>
      </c>
      <c r="K428" s="114">
        <f>K19</f>
        <v>0</v>
      </c>
      <c r="L428" s="226">
        <f t="shared" ref="L428:L430" si="387">IFERROR(IF(K428="--",0,IF(E428*1000/K428*(1-0.5)^(C428/2)&gt;1000,1000,E428*1000/K428*(1-0.5)^(C428/2))),1000)</f>
        <v>1000</v>
      </c>
      <c r="M428" s="158">
        <f>IF(L428/1000&gt;1000,1000,L428/1000)</f>
        <v>1</v>
      </c>
      <c r="N428" s="610">
        <f>I428*M428+I429*M429</f>
        <v>1</v>
      </c>
    </row>
    <row r="429" spans="1:14" s="191" customFormat="1" ht="15" customHeight="1">
      <c r="A429" s="172" t="str">
        <f>A428</f>
        <v>PVC</v>
      </c>
      <c r="B429" s="149" t="str">
        <f>B428</f>
        <v>particles</v>
      </c>
      <c r="C429" s="149">
        <f t="shared" si="386"/>
        <v>6</v>
      </c>
      <c r="D429" s="149" t="str">
        <f t="shared" ref="D429:F429" si="388">D428</f>
        <v>1-10</v>
      </c>
      <c r="E429" s="149">
        <f t="shared" si="388"/>
        <v>10</v>
      </c>
      <c r="F429" s="149" t="str">
        <f t="shared" si="388"/>
        <v>air</v>
      </c>
      <c r="G429" s="146" t="str">
        <f t="shared" si="385"/>
        <v>PVC particles 1-10 mm (emission to air)</v>
      </c>
      <c r="H429" s="146" t="str">
        <f>H428</f>
        <v>Metallzerkleinerung</v>
      </c>
      <c r="I429" s="129">
        <v>2.3E-2</v>
      </c>
      <c r="J429" s="101" t="s">
        <v>1097</v>
      </c>
      <c r="K429" s="114">
        <f>K20</f>
        <v>0</v>
      </c>
      <c r="L429" s="226">
        <f t="shared" si="387"/>
        <v>1000</v>
      </c>
      <c r="M429" s="158">
        <f>IF(L429/1000&gt;1000,1000,L429/1000)</f>
        <v>1</v>
      </c>
      <c r="N429" s="610"/>
    </row>
    <row r="430" spans="1:14" s="191" customFormat="1" ht="15" customHeight="1" thickBot="1">
      <c r="A430" s="173" t="str">
        <f>A429</f>
        <v>PVC</v>
      </c>
      <c r="B430" s="150" t="str">
        <f>B429</f>
        <v>particles</v>
      </c>
      <c r="C430" s="150">
        <f t="shared" si="386"/>
        <v>6</v>
      </c>
      <c r="D430" s="150" t="str">
        <f t="shared" ref="D430:F430" si="389">D429</f>
        <v>1-10</v>
      </c>
      <c r="E430" s="150">
        <f t="shared" si="389"/>
        <v>10</v>
      </c>
      <c r="F430" s="150" t="str">
        <f t="shared" si="389"/>
        <v>air</v>
      </c>
      <c r="G430" s="147" t="str">
        <f t="shared" si="385"/>
        <v>PVC particles 1-10 mm (emission to air)</v>
      </c>
      <c r="H430" s="147" t="str">
        <f>H429</f>
        <v>Metallzerkleinerung</v>
      </c>
      <c r="I430" s="129">
        <v>0</v>
      </c>
      <c r="J430" s="101" t="s">
        <v>1034</v>
      </c>
      <c r="K430" s="151" t="s">
        <v>596</v>
      </c>
      <c r="L430" s="226">
        <f t="shared" si="387"/>
        <v>0</v>
      </c>
      <c r="M430" s="158">
        <f t="shared" ref="M430" si="390">IF(L430/1000&gt;1000,1000,L430/1000)</f>
        <v>0</v>
      </c>
      <c r="N430" s="610"/>
    </row>
    <row r="431" spans="1:14" s="191" customFormat="1" ht="25.5">
      <c r="A431" s="234" t="s">
        <v>240</v>
      </c>
      <c r="B431" s="235" t="s">
        <v>996</v>
      </c>
      <c r="C431" s="236">
        <f t="shared" si="333"/>
        <v>2</v>
      </c>
      <c r="D431" s="236" t="s">
        <v>1028</v>
      </c>
      <c r="E431" s="237">
        <v>1</v>
      </c>
      <c r="F431" s="238" t="s">
        <v>1019</v>
      </c>
      <c r="G431" s="239" t="str">
        <f t="shared" si="385"/>
        <v>PS film 0,1-1 mm (emission to soil)</v>
      </c>
      <c r="H431" s="239" t="s">
        <v>1041</v>
      </c>
      <c r="I431" s="240">
        <v>1</v>
      </c>
      <c r="J431" s="241" t="s">
        <v>1019</v>
      </c>
      <c r="K431" s="242">
        <f>K22</f>
        <v>0</v>
      </c>
      <c r="L431" s="243">
        <f t="shared" si="318"/>
        <v>1000</v>
      </c>
      <c r="M431" s="253">
        <f>IF(L431/1000&gt;1000,1000,L431/1000)</f>
        <v>1</v>
      </c>
      <c r="N431" s="617">
        <f>I431*M431+I432*M432</f>
        <v>1</v>
      </c>
    </row>
    <row r="432" spans="1:14" s="191" customFormat="1" ht="15" customHeight="1">
      <c r="A432" s="244" t="str">
        <f t="shared" ref="A432:F432" si="391">A431</f>
        <v>PS</v>
      </c>
      <c r="B432" s="245" t="str">
        <f t="shared" si="391"/>
        <v>film</v>
      </c>
      <c r="C432" s="245">
        <f t="shared" si="333"/>
        <v>2</v>
      </c>
      <c r="D432" s="245" t="str">
        <f t="shared" si="391"/>
        <v>0,1-1</v>
      </c>
      <c r="E432" s="245">
        <f t="shared" si="391"/>
        <v>1</v>
      </c>
      <c r="F432" s="245" t="str">
        <f t="shared" si="391"/>
        <v>soil</v>
      </c>
      <c r="G432" s="246" t="str">
        <f t="shared" si="385"/>
        <v>PS film 0,1-1 mm (emission to soil)</v>
      </c>
      <c r="H432" s="246" t="str">
        <f>H431</f>
        <v>Kunststoffrecycling; Auswaschung aus Deponien</v>
      </c>
      <c r="I432" s="240">
        <v>0</v>
      </c>
      <c r="J432" s="247" t="s">
        <v>1097</v>
      </c>
      <c r="K432" s="248">
        <f>K23</f>
        <v>0</v>
      </c>
      <c r="L432" s="243">
        <f t="shared" si="318"/>
        <v>1000</v>
      </c>
      <c r="M432" s="253">
        <f>IF(L432/1000&gt;1000,1000,L432/1000)</f>
        <v>1</v>
      </c>
      <c r="N432" s="617"/>
    </row>
    <row r="433" spans="1:14" s="191" customFormat="1" ht="15" customHeight="1">
      <c r="A433" s="249" t="str">
        <f t="shared" ref="A433:F433" si="392">A432</f>
        <v>PS</v>
      </c>
      <c r="B433" s="250" t="str">
        <f t="shared" si="392"/>
        <v>film</v>
      </c>
      <c r="C433" s="250">
        <f t="shared" si="333"/>
        <v>2</v>
      </c>
      <c r="D433" s="250" t="str">
        <f t="shared" si="392"/>
        <v>0,1-1</v>
      </c>
      <c r="E433" s="250">
        <f t="shared" si="392"/>
        <v>1</v>
      </c>
      <c r="F433" s="250" t="str">
        <f t="shared" si="392"/>
        <v>soil</v>
      </c>
      <c r="G433" s="251" t="str">
        <f t="shared" si="385"/>
        <v>PS film 0,1-1 mm (emission to soil)</v>
      </c>
      <c r="H433" s="251" t="str">
        <f>H432</f>
        <v>Kunststoffrecycling; Auswaschung aus Deponien</v>
      </c>
      <c r="I433" s="240">
        <v>0</v>
      </c>
      <c r="J433" s="247" t="s">
        <v>1034</v>
      </c>
      <c r="K433" s="252" t="s">
        <v>596</v>
      </c>
      <c r="L433" s="243">
        <f t="shared" si="318"/>
        <v>0</v>
      </c>
      <c r="M433" s="253">
        <f t="shared" ref="M433" si="393">IF(L433/1000&gt;1000,1000,L433/1000)</f>
        <v>0</v>
      </c>
      <c r="N433" s="617"/>
    </row>
    <row r="434" spans="1:14" s="191" customFormat="1" ht="25.5">
      <c r="A434" s="176" t="s">
        <v>240</v>
      </c>
      <c r="B434" s="183" t="s">
        <v>996</v>
      </c>
      <c r="C434" s="184">
        <f t="shared" si="333"/>
        <v>2</v>
      </c>
      <c r="D434" s="184" t="s">
        <v>1028</v>
      </c>
      <c r="E434" s="155">
        <v>1</v>
      </c>
      <c r="F434" s="131" t="s">
        <v>1020</v>
      </c>
      <c r="G434" s="134" t="str">
        <f t="shared" si="385"/>
        <v>PS film 0,1-1 mm (emission to water)</v>
      </c>
      <c r="H434" s="144" t="s">
        <v>1041</v>
      </c>
      <c r="I434" s="137">
        <v>0</v>
      </c>
      <c r="J434" s="101" t="s">
        <v>1019</v>
      </c>
      <c r="K434" s="114">
        <f>K22</f>
        <v>0</v>
      </c>
      <c r="L434" s="226">
        <f t="shared" si="318"/>
        <v>1000</v>
      </c>
      <c r="M434" s="220">
        <f t="shared" ref="M434:M437" si="394">IF(L434/1000&gt;1000,1000,L434/1000)</f>
        <v>1</v>
      </c>
      <c r="N434" s="611">
        <f>I434*M434+I435*M435+I436*M436</f>
        <v>1</v>
      </c>
    </row>
    <row r="435" spans="1:14" s="191" customFormat="1" ht="12.75" customHeight="1">
      <c r="A435" s="172" t="str">
        <f t="shared" ref="A435:F436" si="395">A434</f>
        <v>PS</v>
      </c>
      <c r="B435" s="149" t="str">
        <f t="shared" si="395"/>
        <v>film</v>
      </c>
      <c r="C435" s="149">
        <f t="shared" si="333"/>
        <v>2</v>
      </c>
      <c r="D435" s="149" t="str">
        <f t="shared" si="395"/>
        <v>0,1-1</v>
      </c>
      <c r="E435" s="149">
        <f t="shared" si="395"/>
        <v>1</v>
      </c>
      <c r="F435" s="149" t="str">
        <f t="shared" si="395"/>
        <v>water</v>
      </c>
      <c r="G435" s="146" t="str">
        <f t="shared" si="385"/>
        <v>PS film 0,1-1 mm (emission to water)</v>
      </c>
      <c r="H435" s="146" t="str">
        <f>H434</f>
        <v>Kunststoffrecycling; Auswaschung aus Deponien</v>
      </c>
      <c r="I435" s="129">
        <v>0</v>
      </c>
      <c r="J435" s="101" t="s">
        <v>1097</v>
      </c>
      <c r="K435" s="114">
        <f>K23</f>
        <v>0</v>
      </c>
      <c r="L435" s="226">
        <f t="shared" si="318"/>
        <v>1000</v>
      </c>
      <c r="M435" s="220">
        <f t="shared" si="394"/>
        <v>1</v>
      </c>
      <c r="N435" s="612"/>
    </row>
    <row r="436" spans="1:14" s="191" customFormat="1" ht="12.75" customHeight="1">
      <c r="A436" s="172" t="str">
        <f>A435</f>
        <v>PS</v>
      </c>
      <c r="B436" s="149" t="str">
        <f>B435</f>
        <v>film</v>
      </c>
      <c r="C436" s="149">
        <f t="shared" si="333"/>
        <v>2</v>
      </c>
      <c r="D436" s="149" t="str">
        <f t="shared" si="395"/>
        <v>0,1-1</v>
      </c>
      <c r="E436" s="149">
        <f t="shared" si="395"/>
        <v>1</v>
      </c>
      <c r="F436" s="149" t="str">
        <f t="shared" si="395"/>
        <v>water</v>
      </c>
      <c r="G436" s="146" t="str">
        <f t="shared" si="385"/>
        <v>PS film 0,1-1 mm (emission to water)</v>
      </c>
      <c r="H436" s="146" t="str">
        <f>H435</f>
        <v>Kunststoffrecycling; Auswaschung aus Deponien</v>
      </c>
      <c r="I436" s="129">
        <v>1</v>
      </c>
      <c r="J436" s="101" t="s">
        <v>1096</v>
      </c>
      <c r="K436" s="114">
        <f>K24</f>
        <v>0</v>
      </c>
      <c r="L436" s="226">
        <f t="shared" si="318"/>
        <v>1000</v>
      </c>
      <c r="M436" s="220">
        <f t="shared" si="394"/>
        <v>1</v>
      </c>
      <c r="N436" s="612"/>
    </row>
    <row r="437" spans="1:14" s="191" customFormat="1" ht="15" customHeight="1">
      <c r="A437" s="173" t="str">
        <f t="shared" ref="A437:F437" si="396">A435</f>
        <v>PS</v>
      </c>
      <c r="B437" s="150" t="str">
        <f t="shared" si="396"/>
        <v>film</v>
      </c>
      <c r="C437" s="150">
        <f t="shared" si="333"/>
        <v>2</v>
      </c>
      <c r="D437" s="150" t="str">
        <f t="shared" si="396"/>
        <v>0,1-1</v>
      </c>
      <c r="E437" s="150">
        <f>E435</f>
        <v>1</v>
      </c>
      <c r="F437" s="150" t="str">
        <f t="shared" si="396"/>
        <v>water</v>
      </c>
      <c r="G437" s="147" t="str">
        <f t="shared" si="385"/>
        <v>PS film 0,1-1 mm (emission to water)</v>
      </c>
      <c r="H437" s="147" t="str">
        <f>H435</f>
        <v>Kunststoffrecycling; Auswaschung aus Deponien</v>
      </c>
      <c r="I437" s="129">
        <v>0</v>
      </c>
      <c r="J437" s="101" t="s">
        <v>1034</v>
      </c>
      <c r="K437" s="114" t="s">
        <v>596</v>
      </c>
      <c r="L437" s="226">
        <f t="shared" si="318"/>
        <v>0</v>
      </c>
      <c r="M437" s="220">
        <f t="shared" si="394"/>
        <v>0</v>
      </c>
      <c r="N437" s="613"/>
    </row>
    <row r="438" spans="1:14" s="191" customFormat="1" ht="24.75" customHeight="1">
      <c r="A438" s="176" t="s">
        <v>240</v>
      </c>
      <c r="B438" s="288" t="s">
        <v>996</v>
      </c>
      <c r="C438" s="290">
        <f t="shared" ref="C438:C440" si="397">IF(OR(B438="Folie", B438="Strips", B438="Film",B438="Flakes",B438="Coupon"), 2,IF(OR(B438="Fibers",B438="Pellets"),4,IF(OR(B438="Particles",B438="Shreds",B438="Powder",B438="Fragments",B438="Granules"),6,"")))</f>
        <v>2</v>
      </c>
      <c r="D438" s="290" t="s">
        <v>1028</v>
      </c>
      <c r="E438" s="155">
        <v>1</v>
      </c>
      <c r="F438" s="131" t="s">
        <v>1057</v>
      </c>
      <c r="G438" s="134" t="str">
        <f t="shared" ref="G438:G440" si="398">CONCATENATE(A438," ",B438," ",D438," mm (emission to ",F438,")")</f>
        <v>PS film 0,1-1 mm (emission to air)</v>
      </c>
      <c r="H438" s="144" t="s">
        <v>1041</v>
      </c>
      <c r="I438" s="137">
        <v>0.97699999999999998</v>
      </c>
      <c r="J438" s="101" t="s">
        <v>1019</v>
      </c>
      <c r="K438" s="114">
        <f>K22</f>
        <v>0</v>
      </c>
      <c r="L438" s="226">
        <f t="shared" si="318"/>
        <v>1000</v>
      </c>
      <c r="M438" s="158">
        <f>IF(L438/1000&gt;1000,1000,L438/1000)</f>
        <v>1</v>
      </c>
      <c r="N438" s="610">
        <f>I438*M438+I439*M439</f>
        <v>1</v>
      </c>
    </row>
    <row r="439" spans="1:14" s="191" customFormat="1" ht="15" customHeight="1">
      <c r="A439" s="172" t="str">
        <f t="shared" ref="A439:B439" si="399">A438</f>
        <v>PS</v>
      </c>
      <c r="B439" s="149" t="str">
        <f t="shared" si="399"/>
        <v>film</v>
      </c>
      <c r="C439" s="149">
        <f t="shared" si="397"/>
        <v>2</v>
      </c>
      <c r="D439" s="149" t="str">
        <f t="shared" ref="D439:F439" si="400">D438</f>
        <v>0,1-1</v>
      </c>
      <c r="E439" s="149">
        <f t="shared" si="400"/>
        <v>1</v>
      </c>
      <c r="F439" s="149" t="str">
        <f t="shared" si="400"/>
        <v>air</v>
      </c>
      <c r="G439" s="146" t="str">
        <f t="shared" si="398"/>
        <v>PS film 0,1-1 mm (emission to air)</v>
      </c>
      <c r="H439" s="146" t="str">
        <f>H438</f>
        <v>Kunststoffrecycling; Auswaschung aus Deponien</v>
      </c>
      <c r="I439" s="129">
        <v>2.3E-2</v>
      </c>
      <c r="J439" s="101" t="s">
        <v>1097</v>
      </c>
      <c r="K439" s="114">
        <f>K23</f>
        <v>0</v>
      </c>
      <c r="L439" s="226">
        <f t="shared" si="318"/>
        <v>1000</v>
      </c>
      <c r="M439" s="158">
        <f>IF(L439/1000&gt;1000,1000,L439/1000)</f>
        <v>1</v>
      </c>
      <c r="N439" s="610"/>
    </row>
    <row r="440" spans="1:14" s="191" customFormat="1" ht="15" customHeight="1">
      <c r="A440" s="172" t="str">
        <f>A439</f>
        <v>PS</v>
      </c>
      <c r="B440" s="149" t="str">
        <f>B439</f>
        <v>film</v>
      </c>
      <c r="C440" s="149">
        <f t="shared" si="397"/>
        <v>2</v>
      </c>
      <c r="D440" s="149" t="str">
        <f t="shared" ref="D440:F440" si="401">D439</f>
        <v>0,1-1</v>
      </c>
      <c r="E440" s="149">
        <f t="shared" si="401"/>
        <v>1</v>
      </c>
      <c r="F440" s="149" t="str">
        <f t="shared" si="401"/>
        <v>air</v>
      </c>
      <c r="G440" s="146" t="str">
        <f t="shared" si="398"/>
        <v>PS film 0,1-1 mm (emission to air)</v>
      </c>
      <c r="H440" s="146" t="str">
        <f>H439</f>
        <v>Kunststoffrecycling; Auswaschung aus Deponien</v>
      </c>
      <c r="I440" s="129">
        <v>0</v>
      </c>
      <c r="J440" s="101" t="s">
        <v>1034</v>
      </c>
      <c r="K440" s="151" t="s">
        <v>596</v>
      </c>
      <c r="L440" s="226">
        <f t="shared" si="318"/>
        <v>0</v>
      </c>
      <c r="M440" s="158">
        <f t="shared" ref="M440" si="402">IF(L440/1000&gt;1000,1000,L440/1000)</f>
        <v>0</v>
      </c>
      <c r="N440" s="610"/>
    </row>
    <row r="441" spans="1:14" s="191" customFormat="1" ht="38.25">
      <c r="A441" s="296" t="s">
        <v>240</v>
      </c>
      <c r="B441" s="269" t="s">
        <v>996</v>
      </c>
      <c r="C441" s="262">
        <f t="shared" si="333"/>
        <v>2</v>
      </c>
      <c r="D441" s="262" t="s">
        <v>1026</v>
      </c>
      <c r="E441" s="237">
        <v>10</v>
      </c>
      <c r="F441" s="263" t="s">
        <v>1019</v>
      </c>
      <c r="G441" s="264" t="str">
        <f t="shared" ref="G441:G494" si="403">CONCATENATE(A441," ",B441," ",D441," mm (emission to ",F441,")")</f>
        <v>PS film 1-10 mm (emission to soil)</v>
      </c>
      <c r="H441" s="297" t="s">
        <v>1044</v>
      </c>
      <c r="I441" s="240">
        <v>1</v>
      </c>
      <c r="J441" s="247" t="s">
        <v>1019</v>
      </c>
      <c r="K441" s="248">
        <f>K22</f>
        <v>0</v>
      </c>
      <c r="L441" s="243">
        <f t="shared" si="318"/>
        <v>1000</v>
      </c>
      <c r="M441" s="253">
        <f>IF(L441/1000&gt;1000,1000,L441/1000)</f>
        <v>1</v>
      </c>
      <c r="N441" s="617">
        <f>I441*M441+I442*M442</f>
        <v>1</v>
      </c>
    </row>
    <row r="442" spans="1:14" s="191" customFormat="1" ht="12.75" customHeight="1">
      <c r="A442" s="244" t="str">
        <f>A441</f>
        <v>PS</v>
      </c>
      <c r="B442" s="245" t="str">
        <f>B441</f>
        <v>film</v>
      </c>
      <c r="C442" s="245">
        <f t="shared" si="333"/>
        <v>2</v>
      </c>
      <c r="D442" s="245" t="str">
        <f t="shared" ref="D442:F443" si="404">D441</f>
        <v>1-10</v>
      </c>
      <c r="E442" s="245">
        <f t="shared" si="404"/>
        <v>10</v>
      </c>
      <c r="F442" s="245" t="str">
        <f t="shared" si="404"/>
        <v>soil</v>
      </c>
      <c r="G442" s="246" t="str">
        <f t="shared" si="403"/>
        <v>PS film 1-10 mm (emission to soil)</v>
      </c>
      <c r="H442" s="246" t="str">
        <f>H441</f>
        <v>Fragmentierung bei Abbrucharbeiten; Abrieb von Baukunststoffen; Kunststoffverpackungen</v>
      </c>
      <c r="I442" s="240">
        <v>0</v>
      </c>
      <c r="J442" s="247" t="s">
        <v>1097</v>
      </c>
      <c r="K442" s="248">
        <f>K23</f>
        <v>0</v>
      </c>
      <c r="L442" s="243">
        <f t="shared" si="318"/>
        <v>1000</v>
      </c>
      <c r="M442" s="253">
        <f>IF(L442/1000&gt;1000,1000,L442/1000)</f>
        <v>1</v>
      </c>
      <c r="N442" s="617"/>
    </row>
    <row r="443" spans="1:14" s="191" customFormat="1" ht="12.75" customHeight="1">
      <c r="A443" s="249" t="str">
        <f>A442</f>
        <v>PS</v>
      </c>
      <c r="B443" s="250" t="str">
        <f>B442</f>
        <v>film</v>
      </c>
      <c r="C443" s="250">
        <f t="shared" si="333"/>
        <v>2</v>
      </c>
      <c r="D443" s="250" t="str">
        <f t="shared" si="404"/>
        <v>1-10</v>
      </c>
      <c r="E443" s="250">
        <f t="shared" si="404"/>
        <v>10</v>
      </c>
      <c r="F443" s="250" t="str">
        <f t="shared" si="404"/>
        <v>soil</v>
      </c>
      <c r="G443" s="251" t="str">
        <f t="shared" si="403"/>
        <v>PS film 1-10 mm (emission to soil)</v>
      </c>
      <c r="H443" s="251" t="str">
        <f>H442</f>
        <v>Fragmentierung bei Abbrucharbeiten; Abrieb von Baukunststoffen; Kunststoffverpackungen</v>
      </c>
      <c r="I443" s="240">
        <v>0</v>
      </c>
      <c r="J443" s="247" t="s">
        <v>1034</v>
      </c>
      <c r="K443" s="252" t="s">
        <v>596</v>
      </c>
      <c r="L443" s="243">
        <f t="shared" si="318"/>
        <v>0</v>
      </c>
      <c r="M443" s="253">
        <f t="shared" ref="M443" si="405">IF(L443/1000&gt;1000,1000,L443/1000)</f>
        <v>0</v>
      </c>
      <c r="N443" s="617"/>
    </row>
    <row r="444" spans="1:14" s="191" customFormat="1" ht="38.25">
      <c r="A444" s="181" t="s">
        <v>240</v>
      </c>
      <c r="B444" s="159" t="s">
        <v>996</v>
      </c>
      <c r="C444" s="184">
        <f t="shared" si="333"/>
        <v>2</v>
      </c>
      <c r="D444" s="184" t="s">
        <v>1026</v>
      </c>
      <c r="E444" s="214">
        <v>10</v>
      </c>
      <c r="F444" s="131" t="s">
        <v>1020</v>
      </c>
      <c r="G444" s="134" t="str">
        <f t="shared" si="403"/>
        <v>PS film 1-10 mm (emission to water)</v>
      </c>
      <c r="H444" s="157" t="s">
        <v>1044</v>
      </c>
      <c r="I444" s="137">
        <v>0</v>
      </c>
      <c r="J444" s="101" t="s">
        <v>1019</v>
      </c>
      <c r="K444" s="114">
        <f>K22</f>
        <v>0</v>
      </c>
      <c r="L444" s="226">
        <f t="shared" si="318"/>
        <v>1000</v>
      </c>
      <c r="M444" s="220">
        <f t="shared" ref="M444:M447" si="406">IF(L444/1000&gt;1000,1000,L444/1000)</f>
        <v>1</v>
      </c>
      <c r="N444" s="611">
        <f>I444*M444+I445*M445+I446*M446</f>
        <v>1</v>
      </c>
    </row>
    <row r="445" spans="1:14" s="191" customFormat="1" ht="13.5" customHeight="1">
      <c r="A445" s="172" t="str">
        <f>A444</f>
        <v>PS</v>
      </c>
      <c r="B445" s="149" t="str">
        <f>B444</f>
        <v>film</v>
      </c>
      <c r="C445" s="149">
        <f t="shared" si="333"/>
        <v>2</v>
      </c>
      <c r="D445" s="149" t="str">
        <f t="shared" ref="D445:F446" si="407">D444</f>
        <v>1-10</v>
      </c>
      <c r="E445" s="149">
        <f t="shared" si="407"/>
        <v>10</v>
      </c>
      <c r="F445" s="149" t="str">
        <f t="shared" si="407"/>
        <v>water</v>
      </c>
      <c r="G445" s="146" t="str">
        <f t="shared" si="403"/>
        <v>PS film 1-10 mm (emission to water)</v>
      </c>
      <c r="H445" s="146" t="str">
        <f>H444</f>
        <v>Fragmentierung bei Abbrucharbeiten; Abrieb von Baukunststoffen; Kunststoffverpackungen</v>
      </c>
      <c r="I445" s="129">
        <v>0</v>
      </c>
      <c r="J445" s="101" t="s">
        <v>1097</v>
      </c>
      <c r="K445" s="114">
        <f>K23</f>
        <v>0</v>
      </c>
      <c r="L445" s="226">
        <f t="shared" ref="L445:L450" si="408">IFERROR(IF(K445="--",0,IF(E445*1000/K445*(1-0.5)^(C445/2)&gt;1000,1000,E445*1000/K445*(1-0.5)^(C445/2))),1000)</f>
        <v>1000</v>
      </c>
      <c r="M445" s="220">
        <f t="shared" si="406"/>
        <v>1</v>
      </c>
      <c r="N445" s="612"/>
    </row>
    <row r="446" spans="1:14" s="191" customFormat="1" ht="13.5" customHeight="1">
      <c r="A446" s="172" t="str">
        <f>A445</f>
        <v>PS</v>
      </c>
      <c r="B446" s="149" t="str">
        <f>B445</f>
        <v>film</v>
      </c>
      <c r="C446" s="149">
        <f t="shared" si="333"/>
        <v>2</v>
      </c>
      <c r="D446" s="149" t="str">
        <f t="shared" si="407"/>
        <v>1-10</v>
      </c>
      <c r="E446" s="149">
        <f t="shared" si="407"/>
        <v>10</v>
      </c>
      <c r="F446" s="149" t="str">
        <f t="shared" si="407"/>
        <v>water</v>
      </c>
      <c r="G446" s="146" t="str">
        <f t="shared" si="403"/>
        <v>PS film 1-10 mm (emission to water)</v>
      </c>
      <c r="H446" s="146" t="str">
        <f>H445</f>
        <v>Fragmentierung bei Abbrucharbeiten; Abrieb von Baukunststoffen; Kunststoffverpackungen</v>
      </c>
      <c r="I446" s="129">
        <v>1</v>
      </c>
      <c r="J446" s="101" t="s">
        <v>1096</v>
      </c>
      <c r="K446" s="114">
        <f>K24</f>
        <v>0</v>
      </c>
      <c r="L446" s="226">
        <f t="shared" si="408"/>
        <v>1000</v>
      </c>
      <c r="M446" s="220">
        <f t="shared" si="406"/>
        <v>1</v>
      </c>
      <c r="N446" s="612"/>
    </row>
    <row r="447" spans="1:14" s="191" customFormat="1" ht="15" customHeight="1">
      <c r="A447" s="173" t="str">
        <f>A445</f>
        <v>PS</v>
      </c>
      <c r="B447" s="150" t="str">
        <f>B445</f>
        <v>film</v>
      </c>
      <c r="C447" s="150">
        <f t="shared" si="333"/>
        <v>2</v>
      </c>
      <c r="D447" s="150" t="str">
        <f>D445</f>
        <v>1-10</v>
      </c>
      <c r="E447" s="150">
        <f>E445</f>
        <v>10</v>
      </c>
      <c r="F447" s="150" t="str">
        <f>F445</f>
        <v>water</v>
      </c>
      <c r="G447" s="147" t="str">
        <f t="shared" si="403"/>
        <v>PS film 1-10 mm (emission to water)</v>
      </c>
      <c r="H447" s="147" t="str">
        <f>H445</f>
        <v>Fragmentierung bei Abbrucharbeiten; Abrieb von Baukunststoffen; Kunststoffverpackungen</v>
      </c>
      <c r="I447" s="129">
        <v>0</v>
      </c>
      <c r="J447" s="101" t="s">
        <v>1034</v>
      </c>
      <c r="K447" s="114" t="s">
        <v>596</v>
      </c>
      <c r="L447" s="226">
        <f t="shared" si="408"/>
        <v>0</v>
      </c>
      <c r="M447" s="220">
        <f t="shared" si="406"/>
        <v>0</v>
      </c>
      <c r="N447" s="613"/>
    </row>
    <row r="448" spans="1:14" s="191" customFormat="1" ht="34.5" customHeight="1">
      <c r="A448" s="307" t="s">
        <v>240</v>
      </c>
      <c r="B448" s="159" t="s">
        <v>996</v>
      </c>
      <c r="C448" s="290">
        <f t="shared" ref="C448:C450" si="409">IF(OR(B448="Folie", B448="Strips", B448="Film",B448="Flakes",B448="Coupon"), 2,IF(OR(B448="Fibers",B448="Pellets"),4,IF(OR(B448="Particles",B448="Shreds",B448="Powder",B448="Fragments",B448="Granules"),6,"")))</f>
        <v>2</v>
      </c>
      <c r="D448" s="290" t="s">
        <v>1026</v>
      </c>
      <c r="E448" s="155">
        <v>10</v>
      </c>
      <c r="F448" s="206" t="s">
        <v>1057</v>
      </c>
      <c r="G448" s="144" t="str">
        <f t="shared" ref="G448:G450" si="410">CONCATENATE(A448," ",B448," ",D448," mm (emission to ",F448,")")</f>
        <v>PS film 1-10 mm (emission to air)</v>
      </c>
      <c r="H448" s="157" t="s">
        <v>1044</v>
      </c>
      <c r="I448" s="137">
        <v>0.97699999999999998</v>
      </c>
      <c r="J448" s="225" t="s">
        <v>1019</v>
      </c>
      <c r="K448" s="114">
        <f>K22</f>
        <v>0</v>
      </c>
      <c r="L448" s="226">
        <f t="shared" si="408"/>
        <v>1000</v>
      </c>
      <c r="M448" s="158">
        <f>IF(L448/1000&gt;1000,1000,L448/1000)</f>
        <v>1</v>
      </c>
      <c r="N448" s="610">
        <f>I448*M448+I449*M449</f>
        <v>1</v>
      </c>
    </row>
    <row r="449" spans="1:14" s="191" customFormat="1" ht="15" customHeight="1">
      <c r="A449" s="172" t="str">
        <f>A448</f>
        <v>PS</v>
      </c>
      <c r="B449" s="149" t="str">
        <f>B448</f>
        <v>film</v>
      </c>
      <c r="C449" s="149">
        <f t="shared" si="409"/>
        <v>2</v>
      </c>
      <c r="D449" s="149" t="str">
        <f t="shared" ref="D449:F449" si="411">D448</f>
        <v>1-10</v>
      </c>
      <c r="E449" s="149">
        <f t="shared" si="411"/>
        <v>10</v>
      </c>
      <c r="F449" s="149" t="str">
        <f t="shared" si="411"/>
        <v>air</v>
      </c>
      <c r="G449" s="146" t="str">
        <f t="shared" si="410"/>
        <v>PS film 1-10 mm (emission to air)</v>
      </c>
      <c r="H449" s="146" t="str">
        <f>H448</f>
        <v>Fragmentierung bei Abbrucharbeiten; Abrieb von Baukunststoffen; Kunststoffverpackungen</v>
      </c>
      <c r="I449" s="129">
        <v>2.3E-2</v>
      </c>
      <c r="J449" s="225" t="s">
        <v>1097</v>
      </c>
      <c r="K449" s="114">
        <f>K23</f>
        <v>0</v>
      </c>
      <c r="L449" s="226">
        <f t="shared" si="408"/>
        <v>1000</v>
      </c>
      <c r="M449" s="158">
        <f>IF(L449/1000&gt;1000,1000,L449/1000)</f>
        <v>1</v>
      </c>
      <c r="N449" s="610"/>
    </row>
    <row r="450" spans="1:14" s="191" customFormat="1" ht="15" customHeight="1">
      <c r="A450" s="173" t="str">
        <f>A449</f>
        <v>PS</v>
      </c>
      <c r="B450" s="150" t="str">
        <f>B449</f>
        <v>film</v>
      </c>
      <c r="C450" s="150">
        <f t="shared" si="409"/>
        <v>2</v>
      </c>
      <c r="D450" s="150" t="str">
        <f t="shared" ref="D450:F450" si="412">D449</f>
        <v>1-10</v>
      </c>
      <c r="E450" s="150">
        <f t="shared" si="412"/>
        <v>10</v>
      </c>
      <c r="F450" s="150" t="str">
        <f t="shared" si="412"/>
        <v>air</v>
      </c>
      <c r="G450" s="147" t="str">
        <f t="shared" si="410"/>
        <v>PS film 1-10 mm (emission to air)</v>
      </c>
      <c r="H450" s="147" t="str">
        <f>H449</f>
        <v>Fragmentierung bei Abbrucharbeiten; Abrieb von Baukunststoffen; Kunststoffverpackungen</v>
      </c>
      <c r="I450" s="129">
        <v>0</v>
      </c>
      <c r="J450" s="225" t="s">
        <v>1034</v>
      </c>
      <c r="K450" s="151" t="s">
        <v>596</v>
      </c>
      <c r="L450" s="226">
        <f t="shared" si="408"/>
        <v>0</v>
      </c>
      <c r="M450" s="158">
        <f t="shared" ref="M450" si="413">IF(L450/1000&gt;1000,1000,L450/1000)</f>
        <v>0</v>
      </c>
      <c r="N450" s="610"/>
    </row>
    <row r="451" spans="1:14" s="102" customFormat="1">
      <c r="A451" s="174" t="s">
        <v>240</v>
      </c>
      <c r="B451" s="159" t="s">
        <v>1051</v>
      </c>
      <c r="C451" s="188">
        <f t="shared" si="333"/>
        <v>4</v>
      </c>
      <c r="D451" s="188" t="s">
        <v>1028</v>
      </c>
      <c r="E451" s="155">
        <v>1</v>
      </c>
      <c r="F451" s="131" t="s">
        <v>1019</v>
      </c>
      <c r="G451" s="134" t="str">
        <f t="shared" si="403"/>
        <v>PS fibers 0,1-1 mm (emission to soil)</v>
      </c>
      <c r="H451" s="193"/>
      <c r="I451" s="129">
        <v>1</v>
      </c>
      <c r="J451" s="101" t="s">
        <v>1019</v>
      </c>
      <c r="K451" s="114">
        <f>K22</f>
        <v>0</v>
      </c>
      <c r="L451" s="226">
        <f t="shared" ref="L451:L497" si="414">IFERROR(IF(K451="--",0,IF(E451*1000/K451*(1-0.5)^(C451/2)&gt;1000,1000,E451*1000/K451*(1-0.5)^(C451/2))),1000)</f>
        <v>1000</v>
      </c>
      <c r="M451" s="158">
        <f>IF(L451/1000&gt;1000,1000,L451/1000)</f>
        <v>1</v>
      </c>
      <c r="N451" s="610">
        <f>I451*M451+I452*M452</f>
        <v>1</v>
      </c>
    </row>
    <row r="452" spans="1:14" s="102" customFormat="1">
      <c r="A452" s="172" t="str">
        <f>A451</f>
        <v>PS</v>
      </c>
      <c r="B452" s="149" t="str">
        <f>B451</f>
        <v>fibers</v>
      </c>
      <c r="C452" s="149">
        <f t="shared" si="333"/>
        <v>4</v>
      </c>
      <c r="D452" s="149" t="str">
        <f t="shared" ref="D452:F453" si="415">D451</f>
        <v>0,1-1</v>
      </c>
      <c r="E452" s="149">
        <f t="shared" si="415"/>
        <v>1</v>
      </c>
      <c r="F452" s="149" t="str">
        <f t="shared" si="415"/>
        <v>soil</v>
      </c>
      <c r="G452" s="146" t="str">
        <f t="shared" si="403"/>
        <v>PS fibers 0,1-1 mm (emission to soil)</v>
      </c>
      <c r="H452" s="146"/>
      <c r="I452" s="129">
        <v>0</v>
      </c>
      <c r="J452" s="101" t="s">
        <v>1097</v>
      </c>
      <c r="K452" s="114">
        <f>K23</f>
        <v>0</v>
      </c>
      <c r="L452" s="226">
        <f t="shared" si="414"/>
        <v>1000</v>
      </c>
      <c r="M452" s="158">
        <f>IF(L452/1000&gt;1000,1000,L452/1000)</f>
        <v>1</v>
      </c>
      <c r="N452" s="610"/>
    </row>
    <row r="453" spans="1:14" s="102" customFormat="1">
      <c r="A453" s="173" t="str">
        <f>A452</f>
        <v>PS</v>
      </c>
      <c r="B453" s="150" t="str">
        <f>B452</f>
        <v>fibers</v>
      </c>
      <c r="C453" s="150">
        <f t="shared" si="333"/>
        <v>4</v>
      </c>
      <c r="D453" s="150" t="str">
        <f t="shared" si="415"/>
        <v>0,1-1</v>
      </c>
      <c r="E453" s="150">
        <f t="shared" si="415"/>
        <v>1</v>
      </c>
      <c r="F453" s="150" t="str">
        <f t="shared" si="415"/>
        <v>soil</v>
      </c>
      <c r="G453" s="147" t="str">
        <f t="shared" si="403"/>
        <v>PS fibers 0,1-1 mm (emission to soil)</v>
      </c>
      <c r="H453" s="146"/>
      <c r="I453" s="129">
        <v>0</v>
      </c>
      <c r="J453" s="101" t="s">
        <v>1034</v>
      </c>
      <c r="K453" s="151" t="s">
        <v>596</v>
      </c>
      <c r="L453" s="226">
        <f t="shared" si="414"/>
        <v>0</v>
      </c>
      <c r="M453" s="158">
        <f t="shared" ref="M453" si="416">IF(L453/1000&gt;1000,1000,L453/1000)</f>
        <v>0</v>
      </c>
      <c r="N453" s="610"/>
    </row>
    <row r="454" spans="1:14" s="102" customFormat="1">
      <c r="A454" s="174" t="s">
        <v>240</v>
      </c>
      <c r="B454" s="159" t="s">
        <v>1051</v>
      </c>
      <c r="C454" s="188">
        <f t="shared" si="333"/>
        <v>4</v>
      </c>
      <c r="D454" s="188" t="s">
        <v>1028</v>
      </c>
      <c r="E454" s="155">
        <v>1</v>
      </c>
      <c r="F454" s="131" t="s">
        <v>1020</v>
      </c>
      <c r="G454" s="134" t="str">
        <f t="shared" si="403"/>
        <v>PS fibers 0,1-1 mm (emission to water)</v>
      </c>
      <c r="H454" s="192"/>
      <c r="I454" s="137">
        <v>0</v>
      </c>
      <c r="J454" s="101" t="s">
        <v>1019</v>
      </c>
      <c r="K454" s="114">
        <f>K22</f>
        <v>0</v>
      </c>
      <c r="L454" s="226">
        <f t="shared" si="414"/>
        <v>1000</v>
      </c>
      <c r="M454" s="220">
        <f t="shared" ref="M454:M457" si="417">IF(L454/1000&gt;1000,1000,L454/1000)</f>
        <v>1</v>
      </c>
      <c r="N454" s="611">
        <f>I454*M454+I455*M455+I456*M456</f>
        <v>1</v>
      </c>
    </row>
    <row r="455" spans="1:14" s="102" customFormat="1">
      <c r="A455" s="172" t="str">
        <f>A454</f>
        <v>PS</v>
      </c>
      <c r="B455" s="149" t="str">
        <f>B454</f>
        <v>fibers</v>
      </c>
      <c r="C455" s="149">
        <f t="shared" si="333"/>
        <v>4</v>
      </c>
      <c r="D455" s="149" t="str">
        <f t="shared" ref="D455:F456" si="418">D454</f>
        <v>0,1-1</v>
      </c>
      <c r="E455" s="149">
        <f t="shared" si="418"/>
        <v>1</v>
      </c>
      <c r="F455" s="149" t="str">
        <f t="shared" si="418"/>
        <v>water</v>
      </c>
      <c r="G455" s="146" t="str">
        <f t="shared" si="403"/>
        <v>PS fibers 0,1-1 mm (emission to water)</v>
      </c>
      <c r="H455" s="146"/>
      <c r="I455" s="129">
        <v>0</v>
      </c>
      <c r="J455" s="101" t="s">
        <v>1097</v>
      </c>
      <c r="K455" s="114">
        <f>K23</f>
        <v>0</v>
      </c>
      <c r="L455" s="226">
        <f t="shared" si="414"/>
        <v>1000</v>
      </c>
      <c r="M455" s="220">
        <f t="shared" si="417"/>
        <v>1</v>
      </c>
      <c r="N455" s="612"/>
    </row>
    <row r="456" spans="1:14" s="102" customFormat="1">
      <c r="A456" s="172" t="str">
        <f>A455</f>
        <v>PS</v>
      </c>
      <c r="B456" s="149" t="str">
        <f>B455</f>
        <v>fibers</v>
      </c>
      <c r="C456" s="149">
        <f t="shared" si="333"/>
        <v>4</v>
      </c>
      <c r="D456" s="149" t="str">
        <f t="shared" si="418"/>
        <v>0,1-1</v>
      </c>
      <c r="E456" s="149">
        <f t="shared" si="418"/>
        <v>1</v>
      </c>
      <c r="F456" s="149" t="str">
        <f t="shared" si="418"/>
        <v>water</v>
      </c>
      <c r="G456" s="146" t="str">
        <f t="shared" si="403"/>
        <v>PS fibers 0,1-1 mm (emission to water)</v>
      </c>
      <c r="H456" s="146">
        <f>H455</f>
        <v>0</v>
      </c>
      <c r="I456" s="129">
        <v>1</v>
      </c>
      <c r="J456" s="101" t="s">
        <v>1096</v>
      </c>
      <c r="K456" s="114">
        <f>K24</f>
        <v>0</v>
      </c>
      <c r="L456" s="226">
        <f t="shared" si="414"/>
        <v>1000</v>
      </c>
      <c r="M456" s="220">
        <f t="shared" si="417"/>
        <v>1</v>
      </c>
      <c r="N456" s="612"/>
    </row>
    <row r="457" spans="1:14" s="102" customFormat="1">
      <c r="A457" s="173" t="str">
        <f>A455</f>
        <v>PS</v>
      </c>
      <c r="B457" s="150" t="str">
        <f>B455</f>
        <v>fibers</v>
      </c>
      <c r="C457" s="150">
        <f t="shared" si="333"/>
        <v>4</v>
      </c>
      <c r="D457" s="150" t="str">
        <f>D455</f>
        <v>0,1-1</v>
      </c>
      <c r="E457" s="150">
        <f>E455</f>
        <v>1</v>
      </c>
      <c r="F457" s="150" t="str">
        <f>F455</f>
        <v>water</v>
      </c>
      <c r="G457" s="147" t="str">
        <f t="shared" si="403"/>
        <v>PS fibers 0,1-1 mm (emission to water)</v>
      </c>
      <c r="H457" s="147"/>
      <c r="I457" s="129">
        <v>0</v>
      </c>
      <c r="J457" s="101" t="s">
        <v>1034</v>
      </c>
      <c r="K457" s="114" t="s">
        <v>596</v>
      </c>
      <c r="L457" s="226">
        <f t="shared" si="414"/>
        <v>0</v>
      </c>
      <c r="M457" s="220">
        <f t="shared" si="417"/>
        <v>0</v>
      </c>
      <c r="N457" s="613"/>
    </row>
    <row r="458" spans="1:14" s="102" customFormat="1">
      <c r="A458" s="174" t="s">
        <v>240</v>
      </c>
      <c r="B458" s="159" t="s">
        <v>1051</v>
      </c>
      <c r="C458" s="290">
        <f t="shared" ref="C458:C460" si="419">IF(OR(B458="Folie", B458="Strips", B458="Film",B458="Flakes",B458="Coupon"), 2,IF(OR(B458="Fibers",B458="Pellets"),4,IF(OR(B458="Particles",B458="Shreds",B458="Powder",B458="Fragments",B458="Granules"),6,"")))</f>
        <v>4</v>
      </c>
      <c r="D458" s="290" t="s">
        <v>1028</v>
      </c>
      <c r="E458" s="155">
        <v>1</v>
      </c>
      <c r="F458" s="131" t="s">
        <v>1057</v>
      </c>
      <c r="G458" s="134" t="str">
        <f t="shared" ref="G458:G460" si="420">CONCATENATE(A458," ",B458," ",D458," mm (emission to ",F458,")")</f>
        <v>PS fibers 0,1-1 mm (emission to air)</v>
      </c>
      <c r="H458" s="192"/>
      <c r="I458" s="137">
        <v>0.97699999999999998</v>
      </c>
      <c r="J458" s="101" t="s">
        <v>1019</v>
      </c>
      <c r="K458" s="114">
        <f>K22</f>
        <v>0</v>
      </c>
      <c r="L458" s="226">
        <f t="shared" si="414"/>
        <v>1000</v>
      </c>
      <c r="M458" s="158">
        <f>IF(L458/1000&gt;1000,1000,L458/1000)</f>
        <v>1</v>
      </c>
      <c r="N458" s="610">
        <f>I458*M458+I459*M459</f>
        <v>1</v>
      </c>
    </row>
    <row r="459" spans="1:14" s="102" customFormat="1">
      <c r="A459" s="172" t="str">
        <f>A458</f>
        <v>PS</v>
      </c>
      <c r="B459" s="149" t="str">
        <f>B458</f>
        <v>fibers</v>
      </c>
      <c r="C459" s="149">
        <f t="shared" si="419"/>
        <v>4</v>
      </c>
      <c r="D459" s="149" t="str">
        <f t="shared" ref="D459:F459" si="421">D458</f>
        <v>0,1-1</v>
      </c>
      <c r="E459" s="149">
        <f t="shared" si="421"/>
        <v>1</v>
      </c>
      <c r="F459" s="149" t="str">
        <f t="shared" si="421"/>
        <v>air</v>
      </c>
      <c r="G459" s="146" t="str">
        <f t="shared" si="420"/>
        <v>PS fibers 0,1-1 mm (emission to air)</v>
      </c>
      <c r="H459" s="146"/>
      <c r="I459" s="129">
        <v>2.3E-2</v>
      </c>
      <c r="J459" s="101" t="s">
        <v>1097</v>
      </c>
      <c r="K459" s="114">
        <f>K23</f>
        <v>0</v>
      </c>
      <c r="L459" s="226">
        <f t="shared" si="414"/>
        <v>1000</v>
      </c>
      <c r="M459" s="158">
        <f>IF(L459/1000&gt;1000,1000,L459/1000)</f>
        <v>1</v>
      </c>
      <c r="N459" s="610"/>
    </row>
    <row r="460" spans="1:14" s="102" customFormat="1">
      <c r="A460" s="173" t="str">
        <f>A459</f>
        <v>PS</v>
      </c>
      <c r="B460" s="150" t="str">
        <f>B459</f>
        <v>fibers</v>
      </c>
      <c r="C460" s="150">
        <f t="shared" si="419"/>
        <v>4</v>
      </c>
      <c r="D460" s="150" t="str">
        <f t="shared" ref="D460:F460" si="422">D459</f>
        <v>0,1-1</v>
      </c>
      <c r="E460" s="150">
        <f t="shared" si="422"/>
        <v>1</v>
      </c>
      <c r="F460" s="150" t="str">
        <f t="shared" si="422"/>
        <v>air</v>
      </c>
      <c r="G460" s="147" t="str">
        <f t="shared" si="420"/>
        <v>PS fibers 0,1-1 mm (emission to air)</v>
      </c>
      <c r="H460" s="146"/>
      <c r="I460" s="129">
        <v>0</v>
      </c>
      <c r="J460" s="101" t="s">
        <v>1034</v>
      </c>
      <c r="K460" s="151" t="s">
        <v>596</v>
      </c>
      <c r="L460" s="226">
        <f t="shared" si="414"/>
        <v>0</v>
      </c>
      <c r="M460" s="158">
        <f t="shared" ref="M460" si="423">IF(L460/1000&gt;1000,1000,L460/1000)</f>
        <v>0</v>
      </c>
      <c r="N460" s="610"/>
    </row>
    <row r="461" spans="1:14" s="191" customFormat="1" ht="25.5">
      <c r="A461" s="175" t="s">
        <v>240</v>
      </c>
      <c r="B461" s="182" t="s">
        <v>372</v>
      </c>
      <c r="C461" s="140">
        <f t="shared" si="333"/>
        <v>4</v>
      </c>
      <c r="D461" s="153" t="s">
        <v>1026</v>
      </c>
      <c r="E461" s="214">
        <v>10</v>
      </c>
      <c r="F461" s="154" t="s">
        <v>1019</v>
      </c>
      <c r="G461" s="134" t="str">
        <f t="shared" si="403"/>
        <v>PS pellets 1-10 mm (emission to soil)</v>
      </c>
      <c r="H461" s="148" t="s">
        <v>1042</v>
      </c>
      <c r="I461" s="129">
        <v>1</v>
      </c>
      <c r="J461" s="101" t="s">
        <v>1019</v>
      </c>
      <c r="K461" s="114">
        <f>K22</f>
        <v>0</v>
      </c>
      <c r="L461" s="226">
        <f t="shared" si="414"/>
        <v>1000</v>
      </c>
      <c r="M461" s="158">
        <f>IF(L461/1000&gt;1000,1000,L461/1000)</f>
        <v>1</v>
      </c>
      <c r="N461" s="610">
        <f>I461*M461+I462*M462</f>
        <v>1</v>
      </c>
    </row>
    <row r="462" spans="1:14" s="191" customFormat="1" ht="12.75" customHeight="1">
      <c r="A462" s="172" t="str">
        <f>A461</f>
        <v>PS</v>
      </c>
      <c r="B462" s="149" t="str">
        <f>B461</f>
        <v>pellets</v>
      </c>
      <c r="C462" s="149">
        <f t="shared" si="333"/>
        <v>4</v>
      </c>
      <c r="D462" s="149" t="str">
        <f t="shared" ref="D462:F463" si="424">D461</f>
        <v>1-10</v>
      </c>
      <c r="E462" s="149">
        <f t="shared" si="424"/>
        <v>10</v>
      </c>
      <c r="F462" s="149" t="str">
        <f t="shared" si="424"/>
        <v>soil</v>
      </c>
      <c r="G462" s="146" t="str">
        <f t="shared" si="403"/>
        <v>PS pellets 1-10 mm (emission to soil)</v>
      </c>
      <c r="H462" s="146" t="str">
        <f>H461</f>
        <v>Freisetzung durch Unfälle mit Pellets; Unsachgemäße Entsorgung von Pellets</v>
      </c>
      <c r="I462" s="129">
        <v>0</v>
      </c>
      <c r="J462" s="101" t="s">
        <v>1097</v>
      </c>
      <c r="K462" s="114">
        <f>K23</f>
        <v>0</v>
      </c>
      <c r="L462" s="226">
        <f t="shared" si="414"/>
        <v>1000</v>
      </c>
      <c r="M462" s="158">
        <f>IF(L462/1000&gt;1000,1000,L462/1000)</f>
        <v>1</v>
      </c>
      <c r="N462" s="610"/>
    </row>
    <row r="463" spans="1:14" s="191" customFormat="1" ht="12.75" customHeight="1">
      <c r="A463" s="173" t="str">
        <f>A462</f>
        <v>PS</v>
      </c>
      <c r="B463" s="150" t="str">
        <f>B462</f>
        <v>pellets</v>
      </c>
      <c r="C463" s="150">
        <f t="shared" si="333"/>
        <v>4</v>
      </c>
      <c r="D463" s="150" t="str">
        <f t="shared" si="424"/>
        <v>1-10</v>
      </c>
      <c r="E463" s="150">
        <f t="shared" si="424"/>
        <v>10</v>
      </c>
      <c r="F463" s="150" t="str">
        <f t="shared" si="424"/>
        <v>soil</v>
      </c>
      <c r="G463" s="147" t="str">
        <f t="shared" si="403"/>
        <v>PS pellets 1-10 mm (emission to soil)</v>
      </c>
      <c r="H463" s="147" t="str">
        <f>H462</f>
        <v>Freisetzung durch Unfälle mit Pellets; Unsachgemäße Entsorgung von Pellets</v>
      </c>
      <c r="I463" s="129">
        <v>0</v>
      </c>
      <c r="J463" s="101" t="s">
        <v>1034</v>
      </c>
      <c r="K463" s="151" t="s">
        <v>596</v>
      </c>
      <c r="L463" s="226">
        <f t="shared" si="414"/>
        <v>0</v>
      </c>
      <c r="M463" s="158">
        <f t="shared" ref="M463" si="425">IF(L463/1000&gt;1000,1000,L463/1000)</f>
        <v>0</v>
      </c>
      <c r="N463" s="610"/>
    </row>
    <row r="464" spans="1:14" s="191" customFormat="1" ht="25.5">
      <c r="A464" s="175" t="s">
        <v>240</v>
      </c>
      <c r="B464" s="155" t="s">
        <v>372</v>
      </c>
      <c r="C464" s="184">
        <f t="shared" si="333"/>
        <v>4</v>
      </c>
      <c r="D464" s="153" t="s">
        <v>1026</v>
      </c>
      <c r="E464" s="214">
        <v>10</v>
      </c>
      <c r="F464" s="154" t="s">
        <v>1020</v>
      </c>
      <c r="G464" s="134" t="str">
        <f t="shared" si="403"/>
        <v>PS pellets 1-10 mm (emission to water)</v>
      </c>
      <c r="H464" s="148" t="s">
        <v>1042</v>
      </c>
      <c r="I464" s="137">
        <v>0</v>
      </c>
      <c r="J464" s="101" t="s">
        <v>1019</v>
      </c>
      <c r="K464" s="114">
        <f>K22</f>
        <v>0</v>
      </c>
      <c r="L464" s="226">
        <f t="shared" si="414"/>
        <v>1000</v>
      </c>
      <c r="M464" s="220">
        <f t="shared" ref="M464:M467" si="426">IF(L464/1000&gt;1000,1000,L464/1000)</f>
        <v>1</v>
      </c>
      <c r="N464" s="611">
        <f>I464*M464+I465*M465+I466*M466</f>
        <v>1</v>
      </c>
    </row>
    <row r="465" spans="1:14" s="191" customFormat="1" ht="10.5" customHeight="1">
      <c r="A465" s="172" t="str">
        <f>A464</f>
        <v>PS</v>
      </c>
      <c r="B465" s="149" t="str">
        <f>B464</f>
        <v>pellets</v>
      </c>
      <c r="C465" s="149">
        <f t="shared" si="333"/>
        <v>4</v>
      </c>
      <c r="D465" s="149" t="str">
        <f t="shared" ref="D465:F466" si="427">D464</f>
        <v>1-10</v>
      </c>
      <c r="E465" s="149">
        <f t="shared" si="427"/>
        <v>10</v>
      </c>
      <c r="F465" s="149" t="str">
        <f t="shared" si="427"/>
        <v>water</v>
      </c>
      <c r="G465" s="146" t="str">
        <f t="shared" si="403"/>
        <v>PS pellets 1-10 mm (emission to water)</v>
      </c>
      <c r="H465" s="146" t="str">
        <f>H464</f>
        <v>Freisetzung durch Unfälle mit Pellets; Unsachgemäße Entsorgung von Pellets</v>
      </c>
      <c r="I465" s="129">
        <v>0</v>
      </c>
      <c r="J465" s="101" t="s">
        <v>1097</v>
      </c>
      <c r="K465" s="114">
        <f>K23</f>
        <v>0</v>
      </c>
      <c r="L465" s="226">
        <f t="shared" si="414"/>
        <v>1000</v>
      </c>
      <c r="M465" s="220">
        <f t="shared" si="426"/>
        <v>1</v>
      </c>
      <c r="N465" s="612"/>
    </row>
    <row r="466" spans="1:14" s="191" customFormat="1" ht="10.5" customHeight="1">
      <c r="A466" s="172" t="str">
        <f>A465</f>
        <v>PS</v>
      </c>
      <c r="B466" s="149" t="str">
        <f>B465</f>
        <v>pellets</v>
      </c>
      <c r="C466" s="149">
        <f t="shared" si="333"/>
        <v>4</v>
      </c>
      <c r="D466" s="149" t="str">
        <f t="shared" si="427"/>
        <v>1-10</v>
      </c>
      <c r="E466" s="149">
        <f t="shared" si="427"/>
        <v>10</v>
      </c>
      <c r="F466" s="149" t="str">
        <f t="shared" si="427"/>
        <v>water</v>
      </c>
      <c r="G466" s="146" t="str">
        <f t="shared" si="403"/>
        <v>PS pellets 1-10 mm (emission to water)</v>
      </c>
      <c r="H466" s="146" t="str">
        <f>H465</f>
        <v>Freisetzung durch Unfälle mit Pellets; Unsachgemäße Entsorgung von Pellets</v>
      </c>
      <c r="I466" s="129">
        <v>1</v>
      </c>
      <c r="J466" s="101" t="s">
        <v>1096</v>
      </c>
      <c r="K466" s="114">
        <f>K24</f>
        <v>0</v>
      </c>
      <c r="L466" s="226">
        <f t="shared" si="414"/>
        <v>1000</v>
      </c>
      <c r="M466" s="220">
        <f t="shared" si="426"/>
        <v>1</v>
      </c>
      <c r="N466" s="612"/>
    </row>
    <row r="467" spans="1:14" s="191" customFormat="1" ht="10.5" customHeight="1">
      <c r="A467" s="173" t="str">
        <f>A465</f>
        <v>PS</v>
      </c>
      <c r="B467" s="150" t="str">
        <f>B465</f>
        <v>pellets</v>
      </c>
      <c r="C467" s="150">
        <f t="shared" si="333"/>
        <v>4</v>
      </c>
      <c r="D467" s="150" t="str">
        <f>D465</f>
        <v>1-10</v>
      </c>
      <c r="E467" s="150">
        <f>E465</f>
        <v>10</v>
      </c>
      <c r="F467" s="150" t="str">
        <f>F465</f>
        <v>water</v>
      </c>
      <c r="G467" s="147" t="str">
        <f t="shared" si="403"/>
        <v>PS pellets 1-10 mm (emission to water)</v>
      </c>
      <c r="H467" s="147" t="str">
        <f>H465</f>
        <v>Freisetzung durch Unfälle mit Pellets; Unsachgemäße Entsorgung von Pellets</v>
      </c>
      <c r="I467" s="129">
        <v>0</v>
      </c>
      <c r="J467" s="101" t="s">
        <v>1034</v>
      </c>
      <c r="K467" s="114" t="s">
        <v>596</v>
      </c>
      <c r="L467" s="226">
        <f t="shared" si="414"/>
        <v>0</v>
      </c>
      <c r="M467" s="220">
        <f t="shared" si="426"/>
        <v>0</v>
      </c>
      <c r="N467" s="613"/>
    </row>
    <row r="468" spans="1:14" s="191" customFormat="1" ht="24" customHeight="1">
      <c r="A468" s="175" t="s">
        <v>240</v>
      </c>
      <c r="B468" s="287" t="s">
        <v>372</v>
      </c>
      <c r="C468" s="140">
        <f t="shared" ref="C468:C470" si="428">IF(OR(B468="Folie", B468="Strips", B468="Film",B468="Flakes",B468="Coupon"), 2,IF(OR(B468="Fibers",B468="Pellets"),4,IF(OR(B468="Particles",B468="Shreds",B468="Powder",B468="Fragments",B468="Granules"),6,"")))</f>
        <v>4</v>
      </c>
      <c r="D468" s="153" t="s">
        <v>1026</v>
      </c>
      <c r="E468" s="288">
        <v>10</v>
      </c>
      <c r="F468" s="154" t="s">
        <v>1057</v>
      </c>
      <c r="G468" s="134" t="str">
        <f t="shared" ref="G468:G470" si="429">CONCATENATE(A468," ",B468," ",D468," mm (emission to ",F468,")")</f>
        <v>PS pellets 1-10 mm (emission to air)</v>
      </c>
      <c r="H468" s="148" t="s">
        <v>1042</v>
      </c>
      <c r="I468" s="137">
        <v>0.97699999999999998</v>
      </c>
      <c r="J468" s="101" t="s">
        <v>1019</v>
      </c>
      <c r="K468" s="114">
        <f>K22</f>
        <v>0</v>
      </c>
      <c r="L468" s="226">
        <f t="shared" ref="L468:L470" si="430">IFERROR(IF(K468="--",0,IF(E468*1000/K468*(1-0.5)^(C468/2)&gt;1000,1000,E468*1000/K468*(1-0.5)^(C468/2))),1000)</f>
        <v>1000</v>
      </c>
      <c r="M468" s="158">
        <f>IF(L468/1000&gt;1000,1000,L468/1000)</f>
        <v>1</v>
      </c>
      <c r="N468" s="610">
        <f>I468*M468+I469*M469</f>
        <v>1</v>
      </c>
    </row>
    <row r="469" spans="1:14" s="191" customFormat="1" ht="10.5" customHeight="1">
      <c r="A469" s="172" t="str">
        <f>A468</f>
        <v>PS</v>
      </c>
      <c r="B469" s="149" t="str">
        <f>B468</f>
        <v>pellets</v>
      </c>
      <c r="C469" s="149">
        <f t="shared" si="428"/>
        <v>4</v>
      </c>
      <c r="D469" s="149" t="str">
        <f t="shared" ref="D469:F469" si="431">D468</f>
        <v>1-10</v>
      </c>
      <c r="E469" s="149">
        <f t="shared" si="431"/>
        <v>10</v>
      </c>
      <c r="F469" s="149" t="str">
        <f t="shared" si="431"/>
        <v>air</v>
      </c>
      <c r="G469" s="146" t="str">
        <f t="shared" si="429"/>
        <v>PS pellets 1-10 mm (emission to air)</v>
      </c>
      <c r="H469" s="146" t="str">
        <f>H468</f>
        <v>Freisetzung durch Unfälle mit Pellets; Unsachgemäße Entsorgung von Pellets</v>
      </c>
      <c r="I469" s="129">
        <v>2.3E-2</v>
      </c>
      <c r="J469" s="101" t="s">
        <v>1097</v>
      </c>
      <c r="K469" s="114">
        <f>K23</f>
        <v>0</v>
      </c>
      <c r="L469" s="226">
        <f t="shared" si="430"/>
        <v>1000</v>
      </c>
      <c r="M469" s="158">
        <f>IF(L469/1000&gt;1000,1000,L469/1000)</f>
        <v>1</v>
      </c>
      <c r="N469" s="610"/>
    </row>
    <row r="470" spans="1:14" s="191" customFormat="1" ht="10.5" customHeight="1">
      <c r="A470" s="173" t="str">
        <f>A469</f>
        <v>PS</v>
      </c>
      <c r="B470" s="150" t="str">
        <f>B469</f>
        <v>pellets</v>
      </c>
      <c r="C470" s="150">
        <f t="shared" si="428"/>
        <v>4</v>
      </c>
      <c r="D470" s="150" t="str">
        <f t="shared" ref="D470:F470" si="432">D469</f>
        <v>1-10</v>
      </c>
      <c r="E470" s="150">
        <f t="shared" si="432"/>
        <v>10</v>
      </c>
      <c r="F470" s="150" t="str">
        <f t="shared" si="432"/>
        <v>air</v>
      </c>
      <c r="G470" s="147" t="str">
        <f t="shared" si="429"/>
        <v>PS pellets 1-10 mm (emission to air)</v>
      </c>
      <c r="H470" s="147" t="str">
        <f>H469</f>
        <v>Freisetzung durch Unfälle mit Pellets; Unsachgemäße Entsorgung von Pellets</v>
      </c>
      <c r="I470" s="129">
        <v>0</v>
      </c>
      <c r="J470" s="101" t="s">
        <v>1034</v>
      </c>
      <c r="K470" s="151" t="s">
        <v>596</v>
      </c>
      <c r="L470" s="226">
        <f t="shared" si="430"/>
        <v>0</v>
      </c>
      <c r="M470" s="158">
        <f t="shared" ref="M470" si="433">IF(L470/1000&gt;1000,1000,L470/1000)</f>
        <v>0</v>
      </c>
      <c r="N470" s="610"/>
    </row>
    <row r="471" spans="1:14" s="102" customFormat="1">
      <c r="A471" s="174" t="s">
        <v>240</v>
      </c>
      <c r="B471" s="186" t="s">
        <v>1025</v>
      </c>
      <c r="C471" s="188">
        <f t="shared" si="333"/>
        <v>6</v>
      </c>
      <c r="D471" s="188" t="s">
        <v>1018</v>
      </c>
      <c r="E471" s="155">
        <v>0.1</v>
      </c>
      <c r="F471" s="131" t="s">
        <v>1019</v>
      </c>
      <c r="G471" s="134" t="str">
        <f t="shared" si="403"/>
        <v>PS particles 0,01-0,1 mm (emission to soil)</v>
      </c>
      <c r="H471" s="133"/>
      <c r="I471" s="129">
        <v>1</v>
      </c>
      <c r="J471" s="101" t="s">
        <v>1019</v>
      </c>
      <c r="K471" s="114">
        <f>K22</f>
        <v>0</v>
      </c>
      <c r="L471" s="226">
        <f t="shared" si="414"/>
        <v>1000</v>
      </c>
      <c r="M471" s="158">
        <f>IF(L471/1000&gt;1000,1000,L471/1000)</f>
        <v>1</v>
      </c>
      <c r="N471" s="610">
        <f>I471*M471+I472*M472</f>
        <v>1</v>
      </c>
    </row>
    <row r="472" spans="1:14" s="102" customFormat="1">
      <c r="A472" s="172" t="str">
        <f>A471</f>
        <v>PS</v>
      </c>
      <c r="B472" s="149" t="str">
        <f>B471</f>
        <v>particles</v>
      </c>
      <c r="C472" s="149">
        <f t="shared" si="333"/>
        <v>6</v>
      </c>
      <c r="D472" s="149" t="str">
        <f t="shared" ref="D472:F473" si="434">D471</f>
        <v>0,01-0,1</v>
      </c>
      <c r="E472" s="149">
        <f t="shared" si="434"/>
        <v>0.1</v>
      </c>
      <c r="F472" s="149" t="str">
        <f t="shared" si="434"/>
        <v>soil</v>
      </c>
      <c r="G472" s="146" t="str">
        <f t="shared" si="403"/>
        <v>PS particles 0,01-0,1 mm (emission to soil)</v>
      </c>
      <c r="H472" s="146"/>
      <c r="I472" s="129">
        <v>0</v>
      </c>
      <c r="J472" s="101" t="s">
        <v>1097</v>
      </c>
      <c r="K472" s="114">
        <f>K23</f>
        <v>0</v>
      </c>
      <c r="L472" s="226">
        <f t="shared" si="414"/>
        <v>1000</v>
      </c>
      <c r="M472" s="158">
        <f>IF(L472/1000&gt;1000,1000,L472/1000)</f>
        <v>1</v>
      </c>
      <c r="N472" s="610"/>
    </row>
    <row r="473" spans="1:14" s="102" customFormat="1">
      <c r="A473" s="173" t="str">
        <f>A472</f>
        <v>PS</v>
      </c>
      <c r="B473" s="150" t="str">
        <f>B472</f>
        <v>particles</v>
      </c>
      <c r="C473" s="150">
        <f t="shared" si="333"/>
        <v>6</v>
      </c>
      <c r="D473" s="150" t="str">
        <f t="shared" si="434"/>
        <v>0,01-0,1</v>
      </c>
      <c r="E473" s="150">
        <f t="shared" si="434"/>
        <v>0.1</v>
      </c>
      <c r="F473" s="150" t="str">
        <f t="shared" si="434"/>
        <v>soil</v>
      </c>
      <c r="G473" s="147" t="str">
        <f t="shared" si="403"/>
        <v>PS particles 0,01-0,1 mm (emission to soil)</v>
      </c>
      <c r="H473" s="147"/>
      <c r="I473" s="129">
        <v>0</v>
      </c>
      <c r="J473" s="101" t="s">
        <v>1034</v>
      </c>
      <c r="K473" s="151" t="s">
        <v>596</v>
      </c>
      <c r="L473" s="226">
        <f t="shared" si="414"/>
        <v>0</v>
      </c>
      <c r="M473" s="158">
        <f t="shared" ref="M473" si="435">IF(L473/1000&gt;1000,1000,L473/1000)</f>
        <v>0</v>
      </c>
      <c r="N473" s="610"/>
    </row>
    <row r="474" spans="1:14" s="102" customFormat="1">
      <c r="A474" s="174" t="s">
        <v>240</v>
      </c>
      <c r="B474" s="186" t="s">
        <v>1025</v>
      </c>
      <c r="C474" s="188">
        <f t="shared" si="333"/>
        <v>6</v>
      </c>
      <c r="D474" s="188" t="s">
        <v>1018</v>
      </c>
      <c r="E474" s="155">
        <v>0.1</v>
      </c>
      <c r="F474" s="131" t="s">
        <v>1020</v>
      </c>
      <c r="G474" s="134" t="str">
        <f t="shared" si="403"/>
        <v>PS particles 0,01-0,1 mm (emission to water)</v>
      </c>
      <c r="H474" s="133"/>
      <c r="I474" s="137">
        <v>0</v>
      </c>
      <c r="J474" s="101" t="s">
        <v>1019</v>
      </c>
      <c r="K474" s="114">
        <f>K22</f>
        <v>0</v>
      </c>
      <c r="L474" s="226">
        <f t="shared" si="414"/>
        <v>1000</v>
      </c>
      <c r="M474" s="220">
        <f t="shared" ref="M474:M477" si="436">IF(L474/1000&gt;1000,1000,L474/1000)</f>
        <v>1</v>
      </c>
      <c r="N474" s="611">
        <f>I474*M474+I475*M475+I476*M476</f>
        <v>1</v>
      </c>
    </row>
    <row r="475" spans="1:14" s="102" customFormat="1">
      <c r="A475" s="172" t="str">
        <f>A474</f>
        <v>PS</v>
      </c>
      <c r="B475" s="149" t="str">
        <f>B474</f>
        <v>particles</v>
      </c>
      <c r="C475" s="149">
        <f t="shared" si="333"/>
        <v>6</v>
      </c>
      <c r="D475" s="149" t="str">
        <f t="shared" ref="D475:F476" si="437">D474</f>
        <v>0,01-0,1</v>
      </c>
      <c r="E475" s="149">
        <f t="shared" si="437"/>
        <v>0.1</v>
      </c>
      <c r="F475" s="149" t="str">
        <f t="shared" si="437"/>
        <v>water</v>
      </c>
      <c r="G475" s="146" t="str">
        <f t="shared" si="403"/>
        <v>PS particles 0,01-0,1 mm (emission to water)</v>
      </c>
      <c r="H475" s="146"/>
      <c r="I475" s="129">
        <v>0</v>
      </c>
      <c r="J475" s="101" t="s">
        <v>1097</v>
      </c>
      <c r="K475" s="114">
        <f>K23</f>
        <v>0</v>
      </c>
      <c r="L475" s="226">
        <f t="shared" si="414"/>
        <v>1000</v>
      </c>
      <c r="M475" s="220">
        <f t="shared" si="436"/>
        <v>1</v>
      </c>
      <c r="N475" s="612"/>
    </row>
    <row r="476" spans="1:14" s="102" customFormat="1">
      <c r="A476" s="172" t="str">
        <f>A475</f>
        <v>PS</v>
      </c>
      <c r="B476" s="149" t="str">
        <f>B475</f>
        <v>particles</v>
      </c>
      <c r="C476" s="149">
        <f t="shared" si="333"/>
        <v>6</v>
      </c>
      <c r="D476" s="149" t="str">
        <f t="shared" si="437"/>
        <v>0,01-0,1</v>
      </c>
      <c r="E476" s="149">
        <f t="shared" si="437"/>
        <v>0.1</v>
      </c>
      <c r="F476" s="149" t="str">
        <f t="shared" si="437"/>
        <v>water</v>
      </c>
      <c r="G476" s="146" t="str">
        <f t="shared" si="403"/>
        <v>PS particles 0,01-0,1 mm (emission to water)</v>
      </c>
      <c r="H476" s="146">
        <f>H475</f>
        <v>0</v>
      </c>
      <c r="I476" s="129">
        <v>1</v>
      </c>
      <c r="J476" s="101" t="s">
        <v>1096</v>
      </c>
      <c r="K476" s="114">
        <f>K24</f>
        <v>0</v>
      </c>
      <c r="L476" s="226">
        <f t="shared" si="414"/>
        <v>1000</v>
      </c>
      <c r="M476" s="220">
        <f t="shared" si="436"/>
        <v>1</v>
      </c>
      <c r="N476" s="612"/>
    </row>
    <row r="477" spans="1:14" s="102" customFormat="1">
      <c r="A477" s="173" t="str">
        <f>A475</f>
        <v>PS</v>
      </c>
      <c r="B477" s="150" t="str">
        <f>B475</f>
        <v>particles</v>
      </c>
      <c r="C477" s="150">
        <f t="shared" si="333"/>
        <v>6</v>
      </c>
      <c r="D477" s="150" t="str">
        <f>D475</f>
        <v>0,01-0,1</v>
      </c>
      <c r="E477" s="150">
        <f>E475</f>
        <v>0.1</v>
      </c>
      <c r="F477" s="150" t="str">
        <f>F475</f>
        <v>water</v>
      </c>
      <c r="G477" s="147" t="str">
        <f t="shared" si="403"/>
        <v>PS particles 0,01-0,1 mm (emission to water)</v>
      </c>
      <c r="H477" s="147"/>
      <c r="I477" s="129">
        <v>0</v>
      </c>
      <c r="J477" s="101" t="s">
        <v>1034</v>
      </c>
      <c r="K477" s="114" t="s">
        <v>596</v>
      </c>
      <c r="L477" s="226">
        <f t="shared" si="414"/>
        <v>0</v>
      </c>
      <c r="M477" s="220">
        <f t="shared" si="436"/>
        <v>0</v>
      </c>
      <c r="N477" s="613"/>
    </row>
    <row r="478" spans="1:14" s="102" customFormat="1">
      <c r="A478" s="174" t="s">
        <v>240</v>
      </c>
      <c r="B478" s="288" t="s">
        <v>1025</v>
      </c>
      <c r="C478" s="290">
        <f t="shared" ref="C478:C480" si="438">IF(OR(B478="Folie", B478="Strips", B478="Film",B478="Flakes",B478="Coupon"), 2,IF(OR(B478="Fibers",B478="Pellets"),4,IF(OR(B478="Particles",B478="Shreds",B478="Powder",B478="Fragments",B478="Granules"),6,"")))</f>
        <v>6</v>
      </c>
      <c r="D478" s="290" t="s">
        <v>1018</v>
      </c>
      <c r="E478" s="155">
        <v>0.1</v>
      </c>
      <c r="F478" s="131" t="s">
        <v>1057</v>
      </c>
      <c r="G478" s="134" t="str">
        <f t="shared" ref="G478:G480" si="439">CONCATENATE(A478," ",B478," ",D478," mm (emission to ",F478,")")</f>
        <v>PS particles 0,01-0,1 mm (emission to air)</v>
      </c>
      <c r="H478" s="133"/>
      <c r="I478" s="137">
        <v>0.97699999999999998</v>
      </c>
      <c r="J478" s="101" t="s">
        <v>1019</v>
      </c>
      <c r="K478" s="114">
        <f>K22</f>
        <v>0</v>
      </c>
      <c r="L478" s="226">
        <f t="shared" ref="L478:L480" si="440">IFERROR(IF(K478="--",0,IF(E478*1000/K478*(1-0.5)^(C478/2)&gt;1000,1000,E478*1000/K478*(1-0.5)^(C478/2))),1000)</f>
        <v>1000</v>
      </c>
      <c r="M478" s="158">
        <f>IF(L478/1000&gt;1000,1000,L478/1000)</f>
        <v>1</v>
      </c>
      <c r="N478" s="610">
        <f>I478*M478+I479*M479</f>
        <v>1</v>
      </c>
    </row>
    <row r="479" spans="1:14" s="102" customFormat="1">
      <c r="A479" s="172" t="str">
        <f>A478</f>
        <v>PS</v>
      </c>
      <c r="B479" s="149" t="str">
        <f>B478</f>
        <v>particles</v>
      </c>
      <c r="C479" s="149">
        <f t="shared" si="438"/>
        <v>6</v>
      </c>
      <c r="D479" s="149" t="str">
        <f t="shared" ref="D479:F479" si="441">D478</f>
        <v>0,01-0,1</v>
      </c>
      <c r="E479" s="149">
        <f t="shared" si="441"/>
        <v>0.1</v>
      </c>
      <c r="F479" s="149" t="str">
        <f t="shared" si="441"/>
        <v>air</v>
      </c>
      <c r="G479" s="146" t="str">
        <f t="shared" si="439"/>
        <v>PS particles 0,01-0,1 mm (emission to air)</v>
      </c>
      <c r="H479" s="146"/>
      <c r="I479" s="129">
        <v>2.3E-2</v>
      </c>
      <c r="J479" s="101" t="s">
        <v>1097</v>
      </c>
      <c r="K479" s="114">
        <f>K23</f>
        <v>0</v>
      </c>
      <c r="L479" s="226">
        <f t="shared" si="440"/>
        <v>1000</v>
      </c>
      <c r="M479" s="158">
        <f>IF(L479/1000&gt;1000,1000,L479/1000)</f>
        <v>1</v>
      </c>
      <c r="N479" s="610"/>
    </row>
    <row r="480" spans="1:14" s="102" customFormat="1">
      <c r="A480" s="173" t="str">
        <f>A479</f>
        <v>PS</v>
      </c>
      <c r="B480" s="150" t="str">
        <f>B479</f>
        <v>particles</v>
      </c>
      <c r="C480" s="150">
        <f t="shared" si="438"/>
        <v>6</v>
      </c>
      <c r="D480" s="150" t="str">
        <f t="shared" ref="D480:F480" si="442">D479</f>
        <v>0,01-0,1</v>
      </c>
      <c r="E480" s="150">
        <f t="shared" si="442"/>
        <v>0.1</v>
      </c>
      <c r="F480" s="150" t="str">
        <f t="shared" si="442"/>
        <v>air</v>
      </c>
      <c r="G480" s="147" t="str">
        <f t="shared" si="439"/>
        <v>PS particles 0,01-0,1 mm (emission to air)</v>
      </c>
      <c r="H480" s="147"/>
      <c r="I480" s="129">
        <v>0</v>
      </c>
      <c r="J480" s="101" t="s">
        <v>1034</v>
      </c>
      <c r="K480" s="151" t="s">
        <v>596</v>
      </c>
      <c r="L480" s="226">
        <f t="shared" si="440"/>
        <v>0</v>
      </c>
      <c r="M480" s="158">
        <f t="shared" ref="M480" si="443">IF(L480/1000&gt;1000,1000,L480/1000)</f>
        <v>0</v>
      </c>
      <c r="N480" s="610"/>
    </row>
    <row r="481" spans="1:14" s="191" customFormat="1" ht="15" customHeight="1">
      <c r="A481" s="176" t="s">
        <v>240</v>
      </c>
      <c r="B481" s="183" t="s">
        <v>1025</v>
      </c>
      <c r="C481" s="184">
        <f t="shared" si="333"/>
        <v>6</v>
      </c>
      <c r="D481" s="184" t="s">
        <v>1028</v>
      </c>
      <c r="E481" s="155">
        <v>1</v>
      </c>
      <c r="F481" s="131" t="s">
        <v>1019</v>
      </c>
      <c r="G481" s="134" t="str">
        <f t="shared" si="403"/>
        <v>PS particles 0,1-1 mm (emission to soil)</v>
      </c>
      <c r="H481" s="133" t="s">
        <v>1036</v>
      </c>
      <c r="I481" s="129">
        <v>1</v>
      </c>
      <c r="J481" s="101" t="s">
        <v>1019</v>
      </c>
      <c r="K481" s="114">
        <f>K22</f>
        <v>0</v>
      </c>
      <c r="L481" s="226">
        <f t="shared" si="414"/>
        <v>1000</v>
      </c>
      <c r="M481" s="158">
        <f>IF(L481/1000&gt;1000,1000,L481/1000)</f>
        <v>1</v>
      </c>
      <c r="N481" s="610">
        <f>I481*M481+I482*M482</f>
        <v>1</v>
      </c>
    </row>
    <row r="482" spans="1:14" s="191" customFormat="1" ht="15" customHeight="1">
      <c r="A482" s="172" t="str">
        <f>A481</f>
        <v>PS</v>
      </c>
      <c r="B482" s="149" t="str">
        <f>B481</f>
        <v>particles</v>
      </c>
      <c r="C482" s="149">
        <f t="shared" si="333"/>
        <v>6</v>
      </c>
      <c r="D482" s="149" t="str">
        <f t="shared" ref="D482:F483" si="444">D481</f>
        <v>0,1-1</v>
      </c>
      <c r="E482" s="149">
        <f t="shared" si="444"/>
        <v>1</v>
      </c>
      <c r="F482" s="149" t="str">
        <f t="shared" si="444"/>
        <v>soil</v>
      </c>
      <c r="G482" s="146" t="str">
        <f t="shared" si="403"/>
        <v>PS particles 0,1-1 mm (emission to soil)</v>
      </c>
      <c r="H482" s="146" t="str">
        <f>H481</f>
        <v>Verarbeitung von Bauschutt</v>
      </c>
      <c r="I482" s="129">
        <v>0</v>
      </c>
      <c r="J482" s="101" t="s">
        <v>1097</v>
      </c>
      <c r="K482" s="114">
        <f>K23</f>
        <v>0</v>
      </c>
      <c r="L482" s="226">
        <f t="shared" si="414"/>
        <v>1000</v>
      </c>
      <c r="M482" s="158">
        <f>IF(L482/1000&gt;1000,1000,L482/1000)</f>
        <v>1</v>
      </c>
      <c r="N482" s="610"/>
    </row>
    <row r="483" spans="1:14" s="191" customFormat="1" ht="15" customHeight="1">
      <c r="A483" s="173" t="str">
        <f>A482</f>
        <v>PS</v>
      </c>
      <c r="B483" s="150" t="str">
        <f>B482</f>
        <v>particles</v>
      </c>
      <c r="C483" s="150">
        <f t="shared" si="333"/>
        <v>6</v>
      </c>
      <c r="D483" s="150" t="str">
        <f t="shared" si="444"/>
        <v>0,1-1</v>
      </c>
      <c r="E483" s="150">
        <f t="shared" si="444"/>
        <v>1</v>
      </c>
      <c r="F483" s="150" t="str">
        <f t="shared" si="444"/>
        <v>soil</v>
      </c>
      <c r="G483" s="147" t="str">
        <f t="shared" si="403"/>
        <v>PS particles 0,1-1 mm (emission to soil)</v>
      </c>
      <c r="H483" s="147" t="str">
        <f>H482</f>
        <v>Verarbeitung von Bauschutt</v>
      </c>
      <c r="I483" s="129">
        <v>0</v>
      </c>
      <c r="J483" s="101" t="s">
        <v>1034</v>
      </c>
      <c r="K483" s="151" t="s">
        <v>596</v>
      </c>
      <c r="L483" s="226">
        <f t="shared" si="414"/>
        <v>0</v>
      </c>
      <c r="M483" s="158">
        <f t="shared" ref="M483" si="445">IF(L483/1000&gt;1000,1000,L483/1000)</f>
        <v>0</v>
      </c>
      <c r="N483" s="610"/>
    </row>
    <row r="484" spans="1:14" s="191" customFormat="1" ht="15" customHeight="1">
      <c r="A484" s="176" t="s">
        <v>240</v>
      </c>
      <c r="B484" s="183" t="s">
        <v>1025</v>
      </c>
      <c r="C484" s="184">
        <f t="shared" si="333"/>
        <v>6</v>
      </c>
      <c r="D484" s="184" t="s">
        <v>1028</v>
      </c>
      <c r="E484" s="155">
        <v>1</v>
      </c>
      <c r="F484" s="131" t="s">
        <v>1020</v>
      </c>
      <c r="G484" s="134" t="str">
        <f t="shared" si="403"/>
        <v>PS particles 0,1-1 mm (emission to water)</v>
      </c>
      <c r="H484" s="133" t="s">
        <v>1036</v>
      </c>
      <c r="I484" s="137">
        <v>0</v>
      </c>
      <c r="J484" s="101" t="s">
        <v>1019</v>
      </c>
      <c r="K484" s="114">
        <f>K22</f>
        <v>0</v>
      </c>
      <c r="L484" s="226">
        <f t="shared" si="414"/>
        <v>1000</v>
      </c>
      <c r="M484" s="220">
        <f t="shared" ref="M484:M487" si="446">IF(L484/1000&gt;1000,1000,L484/1000)</f>
        <v>1</v>
      </c>
      <c r="N484" s="611">
        <f>I484*M484+I485*M485+I486*M486</f>
        <v>1</v>
      </c>
    </row>
    <row r="485" spans="1:14" s="191" customFormat="1" ht="12.75" customHeight="1">
      <c r="A485" s="172" t="str">
        <f>A484</f>
        <v>PS</v>
      </c>
      <c r="B485" s="149" t="str">
        <f>B484</f>
        <v>particles</v>
      </c>
      <c r="C485" s="149">
        <f t="shared" si="333"/>
        <v>6</v>
      </c>
      <c r="D485" s="149" t="str">
        <f t="shared" ref="D485:F486" si="447">D484</f>
        <v>0,1-1</v>
      </c>
      <c r="E485" s="149">
        <f t="shared" si="447"/>
        <v>1</v>
      </c>
      <c r="F485" s="149" t="str">
        <f t="shared" si="447"/>
        <v>water</v>
      </c>
      <c r="G485" s="146" t="str">
        <f t="shared" si="403"/>
        <v>PS particles 0,1-1 mm (emission to water)</v>
      </c>
      <c r="H485" s="146" t="str">
        <f>H484</f>
        <v>Verarbeitung von Bauschutt</v>
      </c>
      <c r="I485" s="129">
        <v>0</v>
      </c>
      <c r="J485" s="101" t="s">
        <v>1097</v>
      </c>
      <c r="K485" s="114">
        <f>K23</f>
        <v>0</v>
      </c>
      <c r="L485" s="226">
        <f t="shared" si="414"/>
        <v>1000</v>
      </c>
      <c r="M485" s="220">
        <f t="shared" si="446"/>
        <v>1</v>
      </c>
      <c r="N485" s="612"/>
    </row>
    <row r="486" spans="1:14" s="191" customFormat="1" ht="12.75" customHeight="1">
      <c r="A486" s="172" t="str">
        <f>A485</f>
        <v>PS</v>
      </c>
      <c r="B486" s="149" t="str">
        <f>B485</f>
        <v>particles</v>
      </c>
      <c r="C486" s="149">
        <f t="shared" si="333"/>
        <v>6</v>
      </c>
      <c r="D486" s="149" t="str">
        <f t="shared" si="447"/>
        <v>0,1-1</v>
      </c>
      <c r="E486" s="149">
        <f t="shared" si="447"/>
        <v>1</v>
      </c>
      <c r="F486" s="149" t="str">
        <f t="shared" si="447"/>
        <v>water</v>
      </c>
      <c r="G486" s="146" t="str">
        <f t="shared" si="403"/>
        <v>PS particles 0,1-1 mm (emission to water)</v>
      </c>
      <c r="H486" s="146" t="str">
        <f>H485</f>
        <v>Verarbeitung von Bauschutt</v>
      </c>
      <c r="I486" s="129">
        <v>1</v>
      </c>
      <c r="J486" s="101" t="s">
        <v>1096</v>
      </c>
      <c r="K486" s="114">
        <f>K24</f>
        <v>0</v>
      </c>
      <c r="L486" s="226">
        <f t="shared" si="414"/>
        <v>1000</v>
      </c>
      <c r="M486" s="220">
        <f t="shared" si="446"/>
        <v>1</v>
      </c>
      <c r="N486" s="612"/>
    </row>
    <row r="487" spans="1:14" s="191" customFormat="1" ht="12.75" customHeight="1">
      <c r="A487" s="173" t="str">
        <f>A485</f>
        <v>PS</v>
      </c>
      <c r="B487" s="150" t="str">
        <f>B485</f>
        <v>particles</v>
      </c>
      <c r="C487" s="150">
        <f t="shared" si="333"/>
        <v>6</v>
      </c>
      <c r="D487" s="150" t="str">
        <f>D485</f>
        <v>0,1-1</v>
      </c>
      <c r="E487" s="150">
        <f>E485</f>
        <v>1</v>
      </c>
      <c r="F487" s="150" t="str">
        <f>F485</f>
        <v>water</v>
      </c>
      <c r="G487" s="147" t="str">
        <f t="shared" si="403"/>
        <v>PS particles 0,1-1 mm (emission to water)</v>
      </c>
      <c r="H487" s="147" t="str">
        <f>H485</f>
        <v>Verarbeitung von Bauschutt</v>
      </c>
      <c r="I487" s="129">
        <v>0</v>
      </c>
      <c r="J487" s="101" t="s">
        <v>1034</v>
      </c>
      <c r="K487" s="114" t="s">
        <v>596</v>
      </c>
      <c r="L487" s="226">
        <f t="shared" si="414"/>
        <v>0</v>
      </c>
      <c r="M487" s="220">
        <f t="shared" si="446"/>
        <v>0</v>
      </c>
      <c r="N487" s="613"/>
    </row>
    <row r="488" spans="1:14" s="191" customFormat="1" ht="12.75" customHeight="1">
      <c r="A488" s="176" t="s">
        <v>240</v>
      </c>
      <c r="B488" s="288" t="s">
        <v>1025</v>
      </c>
      <c r="C488" s="290">
        <f t="shared" ref="C488:C490" si="448">IF(OR(B488="Folie", B488="Strips", B488="Film",B488="Flakes",B488="Coupon"), 2,IF(OR(B488="Fibers",B488="Pellets"),4,IF(OR(B488="Particles",B488="Shreds",B488="Powder",B488="Fragments",B488="Granules"),6,"")))</f>
        <v>6</v>
      </c>
      <c r="D488" s="290" t="s">
        <v>1028</v>
      </c>
      <c r="E488" s="155">
        <v>1</v>
      </c>
      <c r="F488" s="131" t="s">
        <v>1057</v>
      </c>
      <c r="G488" s="134" t="str">
        <f t="shared" ref="G488:G490" si="449">CONCATENATE(A488," ",B488," ",D488," mm (emission to ",F488,")")</f>
        <v>PS particles 0,1-1 mm (emission to air)</v>
      </c>
      <c r="H488" s="133" t="s">
        <v>1036</v>
      </c>
      <c r="I488" s="137">
        <v>0.97699999999999998</v>
      </c>
      <c r="J488" s="101" t="s">
        <v>1019</v>
      </c>
      <c r="K488" s="114">
        <f>K22</f>
        <v>0</v>
      </c>
      <c r="L488" s="226">
        <f t="shared" ref="L488:L490" si="450">IFERROR(IF(K488="--",0,IF(E488*1000/K488*(1-0.5)^(C488/2)&gt;1000,1000,E488*1000/K488*(1-0.5)^(C488/2))),1000)</f>
        <v>1000</v>
      </c>
      <c r="M488" s="158">
        <f>IF(L488/1000&gt;1000,1000,L488/1000)</f>
        <v>1</v>
      </c>
      <c r="N488" s="610">
        <f>I488*M488+I489*M489</f>
        <v>1</v>
      </c>
    </row>
    <row r="489" spans="1:14" s="191" customFormat="1" ht="12.75" customHeight="1">
      <c r="A489" s="172" t="str">
        <f>A488</f>
        <v>PS</v>
      </c>
      <c r="B489" s="149" t="str">
        <f>B488</f>
        <v>particles</v>
      </c>
      <c r="C489" s="149">
        <f t="shared" si="448"/>
        <v>6</v>
      </c>
      <c r="D489" s="149" t="str">
        <f t="shared" ref="D489:F489" si="451">D488</f>
        <v>0,1-1</v>
      </c>
      <c r="E489" s="149">
        <f t="shared" si="451"/>
        <v>1</v>
      </c>
      <c r="F489" s="149" t="str">
        <f t="shared" si="451"/>
        <v>air</v>
      </c>
      <c r="G489" s="146" t="str">
        <f t="shared" si="449"/>
        <v>PS particles 0,1-1 mm (emission to air)</v>
      </c>
      <c r="H489" s="146" t="str">
        <f>H488</f>
        <v>Verarbeitung von Bauschutt</v>
      </c>
      <c r="I489" s="129">
        <v>2.3E-2</v>
      </c>
      <c r="J489" s="101" t="s">
        <v>1097</v>
      </c>
      <c r="K489" s="114">
        <f>K23</f>
        <v>0</v>
      </c>
      <c r="L489" s="226">
        <f t="shared" si="450"/>
        <v>1000</v>
      </c>
      <c r="M489" s="158">
        <f>IF(L489/1000&gt;1000,1000,L489/1000)</f>
        <v>1</v>
      </c>
      <c r="N489" s="610"/>
    </row>
    <row r="490" spans="1:14" s="191" customFormat="1" ht="12.75" customHeight="1">
      <c r="A490" s="173" t="str">
        <f>A489</f>
        <v>PS</v>
      </c>
      <c r="B490" s="150" t="str">
        <f>B489</f>
        <v>particles</v>
      </c>
      <c r="C490" s="150">
        <f t="shared" si="448"/>
        <v>6</v>
      </c>
      <c r="D490" s="150" t="str">
        <f t="shared" ref="D490:F490" si="452">D489</f>
        <v>0,1-1</v>
      </c>
      <c r="E490" s="150">
        <f t="shared" si="452"/>
        <v>1</v>
      </c>
      <c r="F490" s="150" t="str">
        <f t="shared" si="452"/>
        <v>air</v>
      </c>
      <c r="G490" s="147" t="str">
        <f t="shared" si="449"/>
        <v>PS particles 0,1-1 mm (emission to air)</v>
      </c>
      <c r="H490" s="147" t="str">
        <f>H489</f>
        <v>Verarbeitung von Bauschutt</v>
      </c>
      <c r="I490" s="129">
        <v>0</v>
      </c>
      <c r="J490" s="101" t="s">
        <v>1034</v>
      </c>
      <c r="K490" s="151" t="s">
        <v>596</v>
      </c>
      <c r="L490" s="226">
        <f t="shared" si="450"/>
        <v>0</v>
      </c>
      <c r="M490" s="158">
        <f t="shared" ref="M490" si="453">IF(L490/1000&gt;1000,1000,L490/1000)</f>
        <v>0</v>
      </c>
      <c r="N490" s="610"/>
    </row>
    <row r="491" spans="1:14" s="191" customFormat="1" ht="12.75" customHeight="1">
      <c r="A491" s="176" t="s">
        <v>240</v>
      </c>
      <c r="B491" s="183" t="s">
        <v>1025</v>
      </c>
      <c r="C491" s="184">
        <f t="shared" si="333"/>
        <v>6</v>
      </c>
      <c r="D491" s="184" t="s">
        <v>1026</v>
      </c>
      <c r="E491" s="155">
        <v>10</v>
      </c>
      <c r="F491" s="131" t="s">
        <v>1019</v>
      </c>
      <c r="G491" s="134" t="str">
        <f t="shared" si="403"/>
        <v>PS particles 1-10 mm (emission to soil)</v>
      </c>
      <c r="H491" s="133" t="s">
        <v>1048</v>
      </c>
      <c r="I491" s="129">
        <v>1</v>
      </c>
      <c r="J491" s="101" t="s">
        <v>1019</v>
      </c>
      <c r="K491" s="114">
        <f>K22</f>
        <v>0</v>
      </c>
      <c r="L491" s="226">
        <f t="shared" si="414"/>
        <v>1000</v>
      </c>
      <c r="M491" s="158">
        <f>IF(L491/1000&gt;1000,1000,L491/1000)</f>
        <v>1</v>
      </c>
      <c r="N491" s="610">
        <f>I491*M491+I492*M492</f>
        <v>1</v>
      </c>
    </row>
    <row r="492" spans="1:14" s="191" customFormat="1" ht="12.75" customHeight="1">
      <c r="A492" s="172" t="str">
        <f>A491</f>
        <v>PS</v>
      </c>
      <c r="B492" s="149" t="str">
        <f>B491</f>
        <v>particles</v>
      </c>
      <c r="C492" s="149">
        <f t="shared" si="333"/>
        <v>6</v>
      </c>
      <c r="D492" s="149" t="str">
        <f t="shared" ref="D492:F493" si="454">D491</f>
        <v>1-10</v>
      </c>
      <c r="E492" s="149">
        <f t="shared" si="454"/>
        <v>10</v>
      </c>
      <c r="F492" s="149" t="str">
        <f t="shared" si="454"/>
        <v>soil</v>
      </c>
      <c r="G492" s="146" t="str">
        <f t="shared" si="403"/>
        <v>PS particles 1-10 mm (emission to soil)</v>
      </c>
      <c r="H492" s="146" t="str">
        <f>H491</f>
        <v>Ausbringung von Kompost und Gärresten</v>
      </c>
      <c r="I492" s="129">
        <v>0</v>
      </c>
      <c r="J492" s="101" t="s">
        <v>1097</v>
      </c>
      <c r="K492" s="114">
        <f>K23</f>
        <v>0</v>
      </c>
      <c r="L492" s="226">
        <f t="shared" si="414"/>
        <v>1000</v>
      </c>
      <c r="M492" s="158">
        <f>IF(L492/1000&gt;1000,1000,L492/1000)</f>
        <v>1</v>
      </c>
      <c r="N492" s="610"/>
    </row>
    <row r="493" spans="1:14" s="191" customFormat="1" ht="12.75" customHeight="1">
      <c r="A493" s="173" t="str">
        <f>A492</f>
        <v>PS</v>
      </c>
      <c r="B493" s="150" t="str">
        <f>B492</f>
        <v>particles</v>
      </c>
      <c r="C493" s="150">
        <f t="shared" si="333"/>
        <v>6</v>
      </c>
      <c r="D493" s="150" t="str">
        <f t="shared" si="454"/>
        <v>1-10</v>
      </c>
      <c r="E493" s="150">
        <f t="shared" si="454"/>
        <v>10</v>
      </c>
      <c r="F493" s="150" t="str">
        <f t="shared" si="454"/>
        <v>soil</v>
      </c>
      <c r="G493" s="147" t="str">
        <f t="shared" si="403"/>
        <v>PS particles 1-10 mm (emission to soil)</v>
      </c>
      <c r="H493" s="147" t="str">
        <f>H492</f>
        <v>Ausbringung von Kompost und Gärresten</v>
      </c>
      <c r="I493" s="129">
        <v>0</v>
      </c>
      <c r="J493" s="101" t="s">
        <v>1034</v>
      </c>
      <c r="K493" s="151" t="s">
        <v>596</v>
      </c>
      <c r="L493" s="226">
        <f t="shared" si="414"/>
        <v>0</v>
      </c>
      <c r="M493" s="158">
        <f t="shared" ref="M493" si="455">IF(L493/1000&gt;1000,1000,L493/1000)</f>
        <v>0</v>
      </c>
      <c r="N493" s="610"/>
    </row>
    <row r="494" spans="1:14" s="191" customFormat="1" ht="12.75" customHeight="1">
      <c r="A494" s="176" t="s">
        <v>240</v>
      </c>
      <c r="B494" s="183" t="s">
        <v>1025</v>
      </c>
      <c r="C494" s="184">
        <f t="shared" si="333"/>
        <v>6</v>
      </c>
      <c r="D494" s="184" t="s">
        <v>1026</v>
      </c>
      <c r="E494" s="214">
        <v>10</v>
      </c>
      <c r="F494" s="131" t="s">
        <v>1020</v>
      </c>
      <c r="G494" s="134" t="str">
        <f t="shared" si="403"/>
        <v>PS particles 1-10 mm (emission to water)</v>
      </c>
      <c r="H494" s="133" t="s">
        <v>1048</v>
      </c>
      <c r="I494" s="137">
        <v>0</v>
      </c>
      <c r="J494" s="101" t="s">
        <v>1019</v>
      </c>
      <c r="K494" s="114">
        <f>K22</f>
        <v>0</v>
      </c>
      <c r="L494" s="226">
        <f t="shared" si="414"/>
        <v>1000</v>
      </c>
      <c r="M494" s="220">
        <f t="shared" ref="M494:M497" si="456">IF(L494/1000&gt;1000,1000,L494/1000)</f>
        <v>1</v>
      </c>
      <c r="N494" s="611">
        <f>I494*M494+I495*M495+I496*M496</f>
        <v>1</v>
      </c>
    </row>
    <row r="495" spans="1:14" s="191" customFormat="1">
      <c r="A495" s="172" t="str">
        <f>A494</f>
        <v>PS</v>
      </c>
      <c r="B495" s="149" t="str">
        <f>B494</f>
        <v>particles</v>
      </c>
      <c r="C495" s="149">
        <f t="shared" si="333"/>
        <v>6</v>
      </c>
      <c r="D495" s="149" t="str">
        <f t="shared" ref="D495:F496" si="457">D494</f>
        <v>1-10</v>
      </c>
      <c r="E495" s="149">
        <f t="shared" si="457"/>
        <v>10</v>
      </c>
      <c r="F495" s="149" t="str">
        <f t="shared" si="457"/>
        <v>water</v>
      </c>
      <c r="G495" s="146" t="str">
        <f t="shared" ref="G495:G507" si="458">CONCATENATE(A495," ",B495," ",D495," mm (emission to ",F495,")")</f>
        <v>PS particles 1-10 mm (emission to water)</v>
      </c>
      <c r="H495" s="146" t="str">
        <f>H494</f>
        <v>Ausbringung von Kompost und Gärresten</v>
      </c>
      <c r="I495" s="129">
        <v>0</v>
      </c>
      <c r="J495" s="101" t="s">
        <v>1097</v>
      </c>
      <c r="K495" s="114">
        <f>K23</f>
        <v>0</v>
      </c>
      <c r="L495" s="226">
        <f t="shared" si="414"/>
        <v>1000</v>
      </c>
      <c r="M495" s="220">
        <f t="shared" si="456"/>
        <v>1</v>
      </c>
      <c r="N495" s="612"/>
    </row>
    <row r="496" spans="1:14" s="191" customFormat="1">
      <c r="A496" s="172" t="str">
        <f>A495</f>
        <v>PS</v>
      </c>
      <c r="B496" s="149" t="str">
        <f>B495</f>
        <v>particles</v>
      </c>
      <c r="C496" s="149">
        <f t="shared" si="333"/>
        <v>6</v>
      </c>
      <c r="D496" s="149" t="str">
        <f t="shared" si="457"/>
        <v>1-10</v>
      </c>
      <c r="E496" s="149">
        <f t="shared" si="457"/>
        <v>10</v>
      </c>
      <c r="F496" s="149" t="str">
        <f t="shared" si="457"/>
        <v>water</v>
      </c>
      <c r="G496" s="146" t="str">
        <f t="shared" si="458"/>
        <v>PS particles 1-10 mm (emission to water)</v>
      </c>
      <c r="H496" s="146" t="str">
        <f>H495</f>
        <v>Ausbringung von Kompost und Gärresten</v>
      </c>
      <c r="I496" s="129">
        <v>1</v>
      </c>
      <c r="J496" s="101" t="s">
        <v>1096</v>
      </c>
      <c r="K496" s="114">
        <f>K24</f>
        <v>0</v>
      </c>
      <c r="L496" s="226">
        <f t="shared" si="414"/>
        <v>1000</v>
      </c>
      <c r="M496" s="220">
        <f t="shared" si="456"/>
        <v>1</v>
      </c>
      <c r="N496" s="612"/>
    </row>
    <row r="497" spans="1:14" s="191" customFormat="1">
      <c r="A497" s="173" t="str">
        <f>A495</f>
        <v>PS</v>
      </c>
      <c r="B497" s="150" t="str">
        <f>B495</f>
        <v>particles</v>
      </c>
      <c r="C497" s="150">
        <f t="shared" si="333"/>
        <v>6</v>
      </c>
      <c r="D497" s="150" t="str">
        <f>D495</f>
        <v>1-10</v>
      </c>
      <c r="E497" s="150">
        <f>E495</f>
        <v>10</v>
      </c>
      <c r="F497" s="150" t="str">
        <f>F495</f>
        <v>water</v>
      </c>
      <c r="G497" s="147" t="str">
        <f t="shared" si="458"/>
        <v>PS particles 1-10 mm (emission to water)</v>
      </c>
      <c r="H497" s="147" t="str">
        <f>H495</f>
        <v>Ausbringung von Kompost und Gärresten</v>
      </c>
      <c r="I497" s="129">
        <v>0</v>
      </c>
      <c r="J497" s="101" t="s">
        <v>1034</v>
      </c>
      <c r="K497" s="114" t="s">
        <v>596</v>
      </c>
      <c r="L497" s="226">
        <f t="shared" si="414"/>
        <v>0</v>
      </c>
      <c r="M497" s="220">
        <f t="shared" si="456"/>
        <v>0</v>
      </c>
      <c r="N497" s="613"/>
    </row>
    <row r="498" spans="1:14" s="191" customFormat="1">
      <c r="A498" s="176" t="s">
        <v>240</v>
      </c>
      <c r="B498" s="288" t="s">
        <v>1025</v>
      </c>
      <c r="C498" s="290">
        <f t="shared" ref="C498:C500" si="459">IF(OR(B498="Folie", B498="Strips", B498="Film",B498="Flakes",B498="Coupon"), 2,IF(OR(B498="Fibers",B498="Pellets"),4,IF(OR(B498="Particles",B498="Shreds",B498="Powder",B498="Fragments",B498="Granules"),6,"")))</f>
        <v>6</v>
      </c>
      <c r="D498" s="290" t="s">
        <v>1026</v>
      </c>
      <c r="E498" s="155">
        <v>10</v>
      </c>
      <c r="F498" s="131" t="s">
        <v>1057</v>
      </c>
      <c r="G498" s="134" t="str">
        <f t="shared" si="458"/>
        <v>PS particles 1-10 mm (emission to air)</v>
      </c>
      <c r="H498" s="133" t="s">
        <v>1048</v>
      </c>
      <c r="I498" s="137">
        <v>0.97699999999999998</v>
      </c>
      <c r="J498" s="101" t="s">
        <v>1019</v>
      </c>
      <c r="K498" s="114">
        <f>K22</f>
        <v>0</v>
      </c>
      <c r="L498" s="226">
        <f t="shared" ref="L498:L500" si="460">IFERROR(IF(K498="--",0,IF(E498*1000/K498*(1-0.5)^(C498/2)&gt;1000,1000,E498*1000/K498*(1-0.5)^(C498/2))),1000)</f>
        <v>1000</v>
      </c>
      <c r="M498" s="158">
        <f>IF(L498/1000&gt;1000,1000,L498/1000)</f>
        <v>1</v>
      </c>
      <c r="N498" s="610">
        <f>I498*M498+I499*M499</f>
        <v>1</v>
      </c>
    </row>
    <row r="499" spans="1:14" s="191" customFormat="1">
      <c r="A499" s="172" t="str">
        <f>A498</f>
        <v>PS</v>
      </c>
      <c r="B499" s="149" t="str">
        <f>B498</f>
        <v>particles</v>
      </c>
      <c r="C499" s="149">
        <f t="shared" si="459"/>
        <v>6</v>
      </c>
      <c r="D499" s="149" t="str">
        <f t="shared" ref="D499:F499" si="461">D498</f>
        <v>1-10</v>
      </c>
      <c r="E499" s="149">
        <f t="shared" si="461"/>
        <v>10</v>
      </c>
      <c r="F499" s="149" t="str">
        <f t="shared" si="461"/>
        <v>air</v>
      </c>
      <c r="G499" s="146" t="str">
        <f t="shared" si="458"/>
        <v>PS particles 1-10 mm (emission to air)</v>
      </c>
      <c r="H499" s="146" t="str">
        <f>H498</f>
        <v>Ausbringung von Kompost und Gärresten</v>
      </c>
      <c r="I499" s="129">
        <v>2.3E-2</v>
      </c>
      <c r="J499" s="101" t="s">
        <v>1097</v>
      </c>
      <c r="K499" s="114">
        <f>K23</f>
        <v>0</v>
      </c>
      <c r="L499" s="226">
        <f t="shared" si="460"/>
        <v>1000</v>
      </c>
      <c r="M499" s="158">
        <f>IF(L499/1000&gt;1000,1000,L499/1000)</f>
        <v>1</v>
      </c>
      <c r="N499" s="610"/>
    </row>
    <row r="500" spans="1:14" s="191" customFormat="1" ht="13.5" thickBot="1">
      <c r="A500" s="173" t="str">
        <f>A499</f>
        <v>PS</v>
      </c>
      <c r="B500" s="150" t="str">
        <f>B499</f>
        <v>particles</v>
      </c>
      <c r="C500" s="150">
        <f t="shared" si="459"/>
        <v>6</v>
      </c>
      <c r="D500" s="150" t="str">
        <f t="shared" ref="D500:F500" si="462">D499</f>
        <v>1-10</v>
      </c>
      <c r="E500" s="150">
        <f t="shared" si="462"/>
        <v>10</v>
      </c>
      <c r="F500" s="150" t="str">
        <f t="shared" si="462"/>
        <v>air</v>
      </c>
      <c r="G500" s="147" t="str">
        <f t="shared" si="458"/>
        <v>PS particles 1-10 mm (emission to air)</v>
      </c>
      <c r="H500" s="147" t="str">
        <f>H499</f>
        <v>Ausbringung von Kompost und Gärresten</v>
      </c>
      <c r="I500" s="129">
        <v>0</v>
      </c>
      <c r="J500" s="101" t="s">
        <v>1034</v>
      </c>
      <c r="K500" s="151" t="s">
        <v>596</v>
      </c>
      <c r="L500" s="226">
        <f t="shared" si="460"/>
        <v>0</v>
      </c>
      <c r="M500" s="158">
        <f t="shared" ref="M500" si="463">IF(L500/1000&gt;1000,1000,L500/1000)</f>
        <v>0</v>
      </c>
      <c r="N500" s="610"/>
    </row>
    <row r="501" spans="1:14" s="102" customFormat="1">
      <c r="A501" s="163" t="s">
        <v>191</v>
      </c>
      <c r="B501" s="164" t="s">
        <v>996</v>
      </c>
      <c r="C501" s="165">
        <f>IF(OR(B501="Folie", B501="Strips", B501="Film",B501="Flakes",B501="Coupon"), 2,IF(OR(B501="Fibers",B501="Pellets"),4,IF(OR(B501="Particles",B501="Shreds",B501="Powder",B501="Fragments",B501="Granules"),6,"")))</f>
        <v>2</v>
      </c>
      <c r="D501" s="165" t="s">
        <v>1018</v>
      </c>
      <c r="E501" s="155">
        <v>0.1</v>
      </c>
      <c r="F501" s="166" t="s">
        <v>1019</v>
      </c>
      <c r="G501" s="167" t="str">
        <f t="shared" si="458"/>
        <v>NR/SBR film 0,01-0,1 mm (emission to soil)</v>
      </c>
      <c r="H501" s="168"/>
      <c r="I501" s="129">
        <v>1</v>
      </c>
      <c r="J501" s="170" t="s">
        <v>1019</v>
      </c>
      <c r="K501" s="171">
        <f>K25</f>
        <v>43.650000000000013</v>
      </c>
      <c r="L501" s="226">
        <f t="shared" ref="L501:L507" si="464">IFERROR(IF(K501="--",0,IF(E501*1000/K501*(1-0.5)^(C501/2)&gt;1000,1000,E501*1000/K501*(1-0.5)^(C501/2))),1000)</f>
        <v>1.1454753722794957</v>
      </c>
      <c r="M501" s="158">
        <f>IF(L501/1000&gt;1000,1000,L501/1000)</f>
        <v>1.1454753722794956E-3</v>
      </c>
      <c r="N501" s="610">
        <f>I501*M501+I502*M502</f>
        <v>1.1454753722794956E-3</v>
      </c>
    </row>
    <row r="502" spans="1:14" s="102" customFormat="1">
      <c r="A502" s="172" t="str">
        <f>A501</f>
        <v>NR/SBR</v>
      </c>
      <c r="B502" s="149" t="str">
        <f>B501</f>
        <v>film</v>
      </c>
      <c r="C502" s="149">
        <f t="shared" ref="C502:C547" si="465">IF(OR(B502="Folie", B502="Strips", B502="Film",B502="Flakes",B502="Coupon"), 2,IF(OR(B502="Fibers",B502="Pellets"),4,IF(OR(B502="Particles",B502="Shreds",B502="Powder",B502="Fragments",B502="Granules"),6,"")))</f>
        <v>2</v>
      </c>
      <c r="D502" s="149" t="str">
        <f t="shared" ref="D502:F503" si="466">D501</f>
        <v>0,01-0,1</v>
      </c>
      <c r="E502" s="149">
        <f t="shared" si="466"/>
        <v>0.1</v>
      </c>
      <c r="F502" s="149" t="str">
        <f t="shared" si="466"/>
        <v>soil</v>
      </c>
      <c r="G502" s="146" t="str">
        <f t="shared" si="458"/>
        <v>NR/SBR film 0,01-0,1 mm (emission to soil)</v>
      </c>
      <c r="H502" s="146"/>
      <c r="I502" s="129">
        <v>0</v>
      </c>
      <c r="J502" s="101" t="s">
        <v>1097</v>
      </c>
      <c r="K502" s="114">
        <f>K26</f>
        <v>43.650000000000013</v>
      </c>
      <c r="L502" s="226">
        <f t="shared" si="464"/>
        <v>1.1454753722794957</v>
      </c>
      <c r="M502" s="158">
        <f>IF(L502/1000&gt;1000,1000,L502/1000)</f>
        <v>1.1454753722794956E-3</v>
      </c>
      <c r="N502" s="610"/>
    </row>
    <row r="503" spans="1:14" s="102" customFormat="1">
      <c r="A503" s="173" t="str">
        <f>A502</f>
        <v>NR/SBR</v>
      </c>
      <c r="B503" s="150" t="str">
        <f>B502</f>
        <v>film</v>
      </c>
      <c r="C503" s="150">
        <f t="shared" si="465"/>
        <v>2</v>
      </c>
      <c r="D503" s="150" t="str">
        <f t="shared" si="466"/>
        <v>0,01-0,1</v>
      </c>
      <c r="E503" s="150">
        <f t="shared" si="466"/>
        <v>0.1</v>
      </c>
      <c r="F503" s="150" t="str">
        <f t="shared" si="466"/>
        <v>soil</v>
      </c>
      <c r="G503" s="147" t="str">
        <f t="shared" si="458"/>
        <v>NR/SBR film 0,01-0,1 mm (emission to soil)</v>
      </c>
      <c r="H503" s="147"/>
      <c r="I503" s="129">
        <v>0</v>
      </c>
      <c r="J503" s="101" t="s">
        <v>1034</v>
      </c>
      <c r="K503" s="151" t="s">
        <v>596</v>
      </c>
      <c r="L503" s="226">
        <f t="shared" si="464"/>
        <v>0</v>
      </c>
      <c r="M503" s="158">
        <f t="shared" ref="M503" si="467">IF(L503/1000&gt;1000,1000,L503/1000)</f>
        <v>0</v>
      </c>
      <c r="N503" s="610"/>
    </row>
    <row r="504" spans="1:14" s="102" customFormat="1">
      <c r="A504" s="176" t="s">
        <v>191</v>
      </c>
      <c r="B504" s="214" t="s">
        <v>996</v>
      </c>
      <c r="C504" s="216">
        <f t="shared" si="465"/>
        <v>2</v>
      </c>
      <c r="D504" s="216" t="s">
        <v>1018</v>
      </c>
      <c r="E504" s="155">
        <v>0.1</v>
      </c>
      <c r="F504" s="131" t="s">
        <v>1020</v>
      </c>
      <c r="G504" s="134" t="str">
        <f t="shared" si="458"/>
        <v>NR/SBR film 0,01-0,1 mm (emission to water)</v>
      </c>
      <c r="H504" s="144"/>
      <c r="I504" s="137">
        <v>0</v>
      </c>
      <c r="J504" s="101" t="s">
        <v>1019</v>
      </c>
      <c r="K504" s="114">
        <f>K25</f>
        <v>43.650000000000013</v>
      </c>
      <c r="L504" s="226">
        <f t="shared" si="464"/>
        <v>1.1454753722794957</v>
      </c>
      <c r="M504" s="158">
        <f t="shared" ref="M504:M507" si="468">IF(L504/1000&gt;1000,1000,L504/1000)</f>
        <v>1.1454753722794956E-3</v>
      </c>
      <c r="N504" s="611">
        <f>I504*M504+I505*M505+I506*M506</f>
        <v>1.1454753722794956E-3</v>
      </c>
    </row>
    <row r="505" spans="1:14" s="102" customFormat="1">
      <c r="A505" s="172" t="str">
        <f>A504</f>
        <v>NR/SBR</v>
      </c>
      <c r="B505" s="149" t="str">
        <f>B504</f>
        <v>film</v>
      </c>
      <c r="C505" s="149">
        <f t="shared" si="465"/>
        <v>2</v>
      </c>
      <c r="D505" s="149" t="str">
        <f t="shared" ref="D505:F506" si="469">D504</f>
        <v>0,01-0,1</v>
      </c>
      <c r="E505" s="149">
        <f t="shared" si="469"/>
        <v>0.1</v>
      </c>
      <c r="F505" s="149" t="str">
        <f t="shared" si="469"/>
        <v>water</v>
      </c>
      <c r="G505" s="146" t="str">
        <f t="shared" si="458"/>
        <v>NR/SBR film 0,01-0,1 mm (emission to water)</v>
      </c>
      <c r="H505" s="146"/>
      <c r="I505" s="129">
        <v>1</v>
      </c>
      <c r="J505" s="101" t="s">
        <v>1097</v>
      </c>
      <c r="K505" s="114">
        <f>K26</f>
        <v>43.650000000000013</v>
      </c>
      <c r="L505" s="226">
        <f t="shared" si="464"/>
        <v>1.1454753722794957</v>
      </c>
      <c r="M505" s="220">
        <f t="shared" si="468"/>
        <v>1.1454753722794956E-3</v>
      </c>
      <c r="N505" s="612"/>
    </row>
    <row r="506" spans="1:14" s="102" customFormat="1">
      <c r="A506" s="172" t="str">
        <f>A505</f>
        <v>NR/SBR</v>
      </c>
      <c r="B506" s="149" t="str">
        <f>B505</f>
        <v>film</v>
      </c>
      <c r="C506" s="149">
        <f t="shared" si="465"/>
        <v>2</v>
      </c>
      <c r="D506" s="149" t="str">
        <f t="shared" si="469"/>
        <v>0,01-0,1</v>
      </c>
      <c r="E506" s="149">
        <f t="shared" si="469"/>
        <v>0.1</v>
      </c>
      <c r="F506" s="149" t="str">
        <f t="shared" si="469"/>
        <v>water</v>
      </c>
      <c r="G506" s="146" t="str">
        <f t="shared" si="458"/>
        <v>NR/SBR film 0,01-0,1 mm (emission to water)</v>
      </c>
      <c r="H506" s="146">
        <f>H505</f>
        <v>0</v>
      </c>
      <c r="I506" s="129">
        <v>0</v>
      </c>
      <c r="J506" s="101" t="s">
        <v>1096</v>
      </c>
      <c r="K506" s="114">
        <f>K27</f>
        <v>43.650000000000013</v>
      </c>
      <c r="L506" s="226">
        <f t="shared" si="464"/>
        <v>1.1454753722794957</v>
      </c>
      <c r="M506" s="220">
        <f t="shared" si="468"/>
        <v>1.1454753722794956E-3</v>
      </c>
      <c r="N506" s="612"/>
    </row>
    <row r="507" spans="1:14" s="102" customFormat="1">
      <c r="A507" s="173" t="str">
        <f>A505</f>
        <v>NR/SBR</v>
      </c>
      <c r="B507" s="150" t="str">
        <f>B505</f>
        <v>film</v>
      </c>
      <c r="C507" s="150">
        <f t="shared" si="465"/>
        <v>2</v>
      </c>
      <c r="D507" s="150" t="str">
        <f>D505</f>
        <v>0,01-0,1</v>
      </c>
      <c r="E507" s="150">
        <f>E505</f>
        <v>0.1</v>
      </c>
      <c r="F507" s="150" t="str">
        <f>F505</f>
        <v>water</v>
      </c>
      <c r="G507" s="147" t="str">
        <f t="shared" si="458"/>
        <v>NR/SBR film 0,01-0,1 mm (emission to water)</v>
      </c>
      <c r="H507" s="147"/>
      <c r="I507" s="129">
        <v>0</v>
      </c>
      <c r="J507" s="101" t="s">
        <v>1034</v>
      </c>
      <c r="K507" s="151" t="s">
        <v>596</v>
      </c>
      <c r="L507" s="226">
        <f t="shared" si="464"/>
        <v>0</v>
      </c>
      <c r="M507" s="220">
        <f t="shared" si="468"/>
        <v>0</v>
      </c>
      <c r="N507" s="613"/>
    </row>
    <row r="508" spans="1:14" s="135" customFormat="1">
      <c r="A508" s="231" t="s">
        <v>191</v>
      </c>
      <c r="B508" s="282" t="s">
        <v>996</v>
      </c>
      <c r="C508" s="282">
        <v>2</v>
      </c>
      <c r="D508" s="283" t="s">
        <v>1018</v>
      </c>
      <c r="E508" s="155">
        <v>0.1</v>
      </c>
      <c r="F508" s="131" t="s">
        <v>1057</v>
      </c>
      <c r="G508" s="134" t="str">
        <f t="shared" ref="G508" si="470">CONCATENATE(A508," ",B508," ",D508," mm (emission to ",F508,")")</f>
        <v>NR/SBR film 0,01-0,1 mm (emission to air)</v>
      </c>
      <c r="H508" s="144"/>
      <c r="I508" s="137">
        <v>0.97699999999999998</v>
      </c>
      <c r="J508" s="101" t="s">
        <v>1019</v>
      </c>
      <c r="K508" s="114">
        <f>K25</f>
        <v>43.650000000000013</v>
      </c>
      <c r="L508" s="226">
        <f t="shared" ref="L508" si="471">IFERROR(IF(K508="--",0,IF(E508*1000/K508*(1-0.5)^(C508/2)&gt;1000,1000,E508*1000/K508*(1-0.5)^(C508/2))),1000)</f>
        <v>1.1454753722794957</v>
      </c>
      <c r="M508" s="158">
        <f>IF(L508/1000&gt;1000,1000,L508/1000)</f>
        <v>1.1454753722794956E-3</v>
      </c>
      <c r="N508" s="610">
        <f>I508*M508+I509*M509</f>
        <v>1.1454753722794956E-3</v>
      </c>
    </row>
    <row r="509" spans="1:14" s="102" customFormat="1">
      <c r="A509" s="172" t="str">
        <f>A508</f>
        <v>NR/SBR</v>
      </c>
      <c r="B509" s="149" t="str">
        <f>B508</f>
        <v>film</v>
      </c>
      <c r="C509" s="149">
        <f t="shared" ref="C509:C510" si="472">IF(OR(B509="Folie", B509="Strips", B509="Film",B509="Flakes",B509="Coupon"), 2,IF(OR(B509="Fibers",B509="Pellets"),4,IF(OR(B509="Particles",B509="Shreds",B509="Powder",B509="Fragments",B509="Granules"),6,"")))</f>
        <v>2</v>
      </c>
      <c r="D509" s="149" t="str">
        <f t="shared" ref="D509:F509" si="473">D508</f>
        <v>0,01-0,1</v>
      </c>
      <c r="E509" s="149">
        <f t="shared" si="473"/>
        <v>0.1</v>
      </c>
      <c r="F509" s="149" t="str">
        <f t="shared" si="473"/>
        <v>air</v>
      </c>
      <c r="G509" s="146" t="str">
        <f t="shared" ref="G509:G510" si="474">CONCATENATE(A509," ",B509," ",D509," mm (emission to ",F509,")")</f>
        <v>NR/SBR film 0,01-0,1 mm (emission to air)</v>
      </c>
      <c r="H509" s="146">
        <f>H508</f>
        <v>0</v>
      </c>
      <c r="I509" s="129">
        <v>2.3E-2</v>
      </c>
      <c r="J509" s="101" t="s">
        <v>1097</v>
      </c>
      <c r="K509" s="114">
        <f>K26</f>
        <v>43.650000000000013</v>
      </c>
      <c r="L509" s="226">
        <f t="shared" ref="L509:L510" si="475">IFERROR(IF(K509="--",0,IF(E509*1000/K509*(1-0.5)^(C509/2)&gt;1000,1000,E509*1000/K509*(1-0.5)^(C509/2))),1000)</f>
        <v>1.1454753722794957</v>
      </c>
      <c r="M509" s="158">
        <f>IF(L509/1000&gt;1000,1000,L509/1000)</f>
        <v>1.1454753722794956E-3</v>
      </c>
      <c r="N509" s="610"/>
    </row>
    <row r="510" spans="1:14" s="102" customFormat="1">
      <c r="A510" s="173" t="str">
        <f>A508</f>
        <v>NR/SBR</v>
      </c>
      <c r="B510" s="150" t="str">
        <f>B508</f>
        <v>film</v>
      </c>
      <c r="C510" s="150">
        <f t="shared" si="472"/>
        <v>2</v>
      </c>
      <c r="D510" s="150" t="str">
        <f>D508</f>
        <v>0,01-0,1</v>
      </c>
      <c r="E510" s="150">
        <f>E508</f>
        <v>0.1</v>
      </c>
      <c r="F510" s="150" t="str">
        <f>F508</f>
        <v>air</v>
      </c>
      <c r="G510" s="147" t="str">
        <f t="shared" si="474"/>
        <v>NR/SBR film 0,01-0,1 mm (emission to air)</v>
      </c>
      <c r="H510" s="147"/>
      <c r="I510" s="129">
        <v>0</v>
      </c>
      <c r="J510" s="101" t="s">
        <v>1034</v>
      </c>
      <c r="K510" s="151" t="s">
        <v>596</v>
      </c>
      <c r="L510" s="226">
        <f t="shared" si="475"/>
        <v>0</v>
      </c>
      <c r="M510" s="158">
        <f t="shared" ref="M510" si="476">IF(L510/1000&gt;1000,1000,L510/1000)</f>
        <v>0</v>
      </c>
      <c r="N510" s="610"/>
    </row>
    <row r="511" spans="1:14" s="102" customFormat="1">
      <c r="A511" s="231" t="s">
        <v>191</v>
      </c>
      <c r="B511" s="215" t="s">
        <v>996</v>
      </c>
      <c r="C511" s="217">
        <f>IF(OR(B511="Folie", B511="Strips", B511="Film",B511="Flakes",B511="Coupon"), 2,IF(OR(B511="Fibers",B511="Pellets"),4,IF(OR(B511="Particles",B511="Shreds",B511="Powder",B511="Fragments",B511="Granules"),6,"")))</f>
        <v>2</v>
      </c>
      <c r="D511" s="217" t="s">
        <v>1028</v>
      </c>
      <c r="E511" s="227">
        <v>1</v>
      </c>
      <c r="F511" s="232" t="s">
        <v>1019</v>
      </c>
      <c r="G511" s="233" t="str">
        <f t="shared" ref="G511:G520" si="477">CONCATENATE(A511," ",B511," ",D511," mm (emission to ",F511,")")</f>
        <v>NR/SBR film 0,1-1 mm (emission to soil)</v>
      </c>
      <c r="H511" s="258"/>
      <c r="I511" s="161">
        <v>1</v>
      </c>
      <c r="J511" s="145" t="s">
        <v>1019</v>
      </c>
      <c r="K511" s="162">
        <f>K25</f>
        <v>43.650000000000013</v>
      </c>
      <c r="L511" s="259">
        <f t="shared" ref="L511:L520" si="478">IFERROR(IF(K511="--",0,IF(E511*1000/K511*(1-0.5)^(C511/2)&gt;1000,1000,E511*1000/K511*(1-0.5)^(C511/2))),1000)</f>
        <v>11.454753722794957</v>
      </c>
      <c r="M511" s="220">
        <f>IF(L511/1000&gt;1000,1000,L511/1000)</f>
        <v>1.1454753722794957E-2</v>
      </c>
      <c r="N511" s="613">
        <f>I511*M511+I512*M512</f>
        <v>1.1454753722794957E-2</v>
      </c>
    </row>
    <row r="512" spans="1:14" s="102" customFormat="1">
      <c r="A512" s="172" t="str">
        <f>A511</f>
        <v>NR/SBR</v>
      </c>
      <c r="B512" s="149" t="str">
        <f>B511</f>
        <v>film</v>
      </c>
      <c r="C512" s="149">
        <f t="shared" ref="C512:C517" si="479">IF(OR(B512="Folie", B512="Strips", B512="Film",B512="Flakes",B512="Coupon"), 2,IF(OR(B512="Fibers",B512="Pellets"),4,IF(OR(B512="Particles",B512="Shreds",B512="Powder",B512="Fragments",B512="Granules"),6,"")))</f>
        <v>2</v>
      </c>
      <c r="D512" s="149" t="str">
        <f t="shared" ref="D512:F512" si="480">D511</f>
        <v>0,1-1</v>
      </c>
      <c r="E512" s="149">
        <f t="shared" si="480"/>
        <v>1</v>
      </c>
      <c r="F512" s="149" t="str">
        <f t="shared" si="480"/>
        <v>soil</v>
      </c>
      <c r="G512" s="146" t="str">
        <f t="shared" si="477"/>
        <v>NR/SBR film 0,1-1 mm (emission to soil)</v>
      </c>
      <c r="H512" s="146"/>
      <c r="I512" s="129">
        <v>0</v>
      </c>
      <c r="J512" s="101" t="s">
        <v>1097</v>
      </c>
      <c r="K512" s="114">
        <f>K26</f>
        <v>43.650000000000013</v>
      </c>
      <c r="L512" s="226">
        <f t="shared" si="478"/>
        <v>11.454753722794957</v>
      </c>
      <c r="M512" s="158">
        <f>IF(L512/1000&gt;1000,1000,L512/1000)</f>
        <v>1.1454753722794957E-2</v>
      </c>
      <c r="N512" s="610"/>
    </row>
    <row r="513" spans="1:14" s="102" customFormat="1">
      <c r="A513" s="173" t="str">
        <f>A512</f>
        <v>NR/SBR</v>
      </c>
      <c r="B513" s="150" t="str">
        <f>B512</f>
        <v>film</v>
      </c>
      <c r="C513" s="150">
        <f t="shared" si="479"/>
        <v>2</v>
      </c>
      <c r="D513" s="150" t="str">
        <f t="shared" ref="D513:F513" si="481">D512</f>
        <v>0,1-1</v>
      </c>
      <c r="E513" s="150">
        <f t="shared" si="481"/>
        <v>1</v>
      </c>
      <c r="F513" s="150" t="str">
        <f t="shared" si="481"/>
        <v>soil</v>
      </c>
      <c r="G513" s="147" t="str">
        <f t="shared" si="477"/>
        <v>NR/SBR film 0,1-1 mm (emission to soil)</v>
      </c>
      <c r="H513" s="147"/>
      <c r="I513" s="129">
        <v>0</v>
      </c>
      <c r="J513" s="101" t="s">
        <v>1034</v>
      </c>
      <c r="K513" s="151" t="s">
        <v>596</v>
      </c>
      <c r="L513" s="226">
        <f t="shared" si="478"/>
        <v>0</v>
      </c>
      <c r="M513" s="158">
        <f t="shared" ref="M513:M517" si="482">IF(L513/1000&gt;1000,1000,L513/1000)</f>
        <v>0</v>
      </c>
      <c r="N513" s="610"/>
    </row>
    <row r="514" spans="1:14" s="102" customFormat="1">
      <c r="A514" s="176" t="s">
        <v>191</v>
      </c>
      <c r="B514" s="214" t="s">
        <v>996</v>
      </c>
      <c r="C514" s="216">
        <f t="shared" si="479"/>
        <v>2</v>
      </c>
      <c r="D514" s="216" t="s">
        <v>1028</v>
      </c>
      <c r="E514" s="155">
        <v>1</v>
      </c>
      <c r="F514" s="131" t="s">
        <v>1020</v>
      </c>
      <c r="G514" s="134" t="str">
        <f t="shared" si="477"/>
        <v>NR/SBR film 0,1-1 mm (emission to water)</v>
      </c>
      <c r="H514" s="144"/>
      <c r="I514" s="137">
        <v>0</v>
      </c>
      <c r="J514" s="101" t="s">
        <v>1019</v>
      </c>
      <c r="K514" s="114">
        <f>K25</f>
        <v>43.650000000000013</v>
      </c>
      <c r="L514" s="226">
        <f t="shared" si="478"/>
        <v>11.454753722794957</v>
      </c>
      <c r="M514" s="220">
        <f t="shared" si="482"/>
        <v>1.1454753722794957E-2</v>
      </c>
      <c r="N514" s="611">
        <f>I514*M514+I515*M515+I516*M516</f>
        <v>1.1454753722794957E-2</v>
      </c>
    </row>
    <row r="515" spans="1:14" s="102" customFormat="1">
      <c r="A515" s="172" t="str">
        <f>A514</f>
        <v>NR/SBR</v>
      </c>
      <c r="B515" s="149" t="str">
        <f>B514</f>
        <v>film</v>
      </c>
      <c r="C515" s="149">
        <f t="shared" si="479"/>
        <v>2</v>
      </c>
      <c r="D515" s="149" t="str">
        <f t="shared" ref="D515:F515" si="483">D514</f>
        <v>0,1-1</v>
      </c>
      <c r="E515" s="149">
        <f t="shared" si="483"/>
        <v>1</v>
      </c>
      <c r="F515" s="149" t="str">
        <f t="shared" si="483"/>
        <v>water</v>
      </c>
      <c r="G515" s="146" t="str">
        <f t="shared" si="477"/>
        <v>NR/SBR film 0,1-1 mm (emission to water)</v>
      </c>
      <c r="H515" s="146"/>
      <c r="I515" s="129">
        <v>1</v>
      </c>
      <c r="J515" s="101" t="s">
        <v>1097</v>
      </c>
      <c r="K515" s="114">
        <f>K26</f>
        <v>43.650000000000013</v>
      </c>
      <c r="L515" s="226">
        <f t="shared" si="478"/>
        <v>11.454753722794957</v>
      </c>
      <c r="M515" s="220">
        <f t="shared" si="482"/>
        <v>1.1454753722794957E-2</v>
      </c>
      <c r="N515" s="612"/>
    </row>
    <row r="516" spans="1:14" s="102" customFormat="1">
      <c r="A516" s="172" t="str">
        <f>A515</f>
        <v>NR/SBR</v>
      </c>
      <c r="B516" s="149" t="str">
        <f>B515</f>
        <v>film</v>
      </c>
      <c r="C516" s="149">
        <f t="shared" si="479"/>
        <v>2</v>
      </c>
      <c r="D516" s="149" t="str">
        <f t="shared" ref="D516:F516" si="484">D515</f>
        <v>0,1-1</v>
      </c>
      <c r="E516" s="149">
        <f t="shared" si="484"/>
        <v>1</v>
      </c>
      <c r="F516" s="149" t="str">
        <f t="shared" si="484"/>
        <v>water</v>
      </c>
      <c r="G516" s="146" t="str">
        <f t="shared" si="477"/>
        <v>NR/SBR film 0,1-1 mm (emission to water)</v>
      </c>
      <c r="H516" s="146">
        <f>H515</f>
        <v>0</v>
      </c>
      <c r="I516" s="129">
        <v>0</v>
      </c>
      <c r="J516" s="101" t="s">
        <v>1096</v>
      </c>
      <c r="K516" s="114">
        <f>K27</f>
        <v>43.650000000000013</v>
      </c>
      <c r="L516" s="226">
        <f t="shared" si="478"/>
        <v>11.454753722794957</v>
      </c>
      <c r="M516" s="220">
        <f t="shared" si="482"/>
        <v>1.1454753722794957E-2</v>
      </c>
      <c r="N516" s="612"/>
    </row>
    <row r="517" spans="1:14" s="102" customFormat="1">
      <c r="A517" s="173" t="str">
        <f>A515</f>
        <v>NR/SBR</v>
      </c>
      <c r="B517" s="150" t="str">
        <f>B515</f>
        <v>film</v>
      </c>
      <c r="C517" s="150">
        <f t="shared" si="479"/>
        <v>2</v>
      </c>
      <c r="D517" s="150" t="str">
        <f>D515</f>
        <v>0,1-1</v>
      </c>
      <c r="E517" s="150">
        <f>E515</f>
        <v>1</v>
      </c>
      <c r="F517" s="150" t="str">
        <f>F515</f>
        <v>water</v>
      </c>
      <c r="G517" s="147" t="str">
        <f t="shared" si="477"/>
        <v>NR/SBR film 0,1-1 mm (emission to water)</v>
      </c>
      <c r="H517" s="147"/>
      <c r="I517" s="129">
        <v>0</v>
      </c>
      <c r="J517" s="101" t="s">
        <v>1034</v>
      </c>
      <c r="K517" s="151" t="s">
        <v>596</v>
      </c>
      <c r="L517" s="226">
        <f t="shared" si="478"/>
        <v>0</v>
      </c>
      <c r="M517" s="220">
        <f t="shared" si="482"/>
        <v>0</v>
      </c>
      <c r="N517" s="613"/>
    </row>
    <row r="518" spans="1:14" s="102" customFormat="1">
      <c r="A518" s="231" t="s">
        <v>191</v>
      </c>
      <c r="B518" s="282" t="s">
        <v>996</v>
      </c>
      <c r="C518" s="282">
        <v>2</v>
      </c>
      <c r="D518" s="283" t="s">
        <v>1028</v>
      </c>
      <c r="E518" s="155">
        <v>0.1</v>
      </c>
      <c r="F518" s="131" t="s">
        <v>1057</v>
      </c>
      <c r="G518" s="134" t="str">
        <f t="shared" si="477"/>
        <v>NR/SBR film 0,1-1 mm (emission to air)</v>
      </c>
      <c r="H518" s="144"/>
      <c r="I518" s="137">
        <v>0.97699999999999998</v>
      </c>
      <c r="J518" s="101" t="s">
        <v>1019</v>
      </c>
      <c r="K518" s="114">
        <f>K25</f>
        <v>43.650000000000013</v>
      </c>
      <c r="L518" s="226">
        <f t="shared" si="478"/>
        <v>1.1454753722794957</v>
      </c>
      <c r="M518" s="158">
        <f>IF(L518/1000&gt;1000,1000,L518/1000)</f>
        <v>1.1454753722794956E-3</v>
      </c>
      <c r="N518" s="610">
        <f>I518*M518+I519*M519</f>
        <v>1.1454753722794956E-3</v>
      </c>
    </row>
    <row r="519" spans="1:14" s="102" customFormat="1">
      <c r="A519" s="172" t="str">
        <f>A518</f>
        <v>NR/SBR</v>
      </c>
      <c r="B519" s="149" t="str">
        <f>B518</f>
        <v>film</v>
      </c>
      <c r="C519" s="149">
        <f t="shared" ref="C519:C520" si="485">IF(OR(B519="Folie", B519="Strips", B519="Film",B519="Flakes",B519="Coupon"), 2,IF(OR(B519="Fibers",B519="Pellets"),4,IF(OR(B519="Particles",B519="Shreds",B519="Powder",B519="Fragments",B519="Granules"),6,"")))</f>
        <v>2</v>
      </c>
      <c r="D519" s="149" t="str">
        <f t="shared" ref="D519:F519" si="486">D518</f>
        <v>0,1-1</v>
      </c>
      <c r="E519" s="149">
        <f t="shared" si="486"/>
        <v>0.1</v>
      </c>
      <c r="F519" s="149" t="str">
        <f t="shared" si="486"/>
        <v>air</v>
      </c>
      <c r="G519" s="146" t="str">
        <f t="shared" si="477"/>
        <v>NR/SBR film 0,1-1 mm (emission to air)</v>
      </c>
      <c r="H519" s="146">
        <f>H518</f>
        <v>0</v>
      </c>
      <c r="I519" s="129">
        <v>2.3E-2</v>
      </c>
      <c r="J519" s="101" t="s">
        <v>1097</v>
      </c>
      <c r="K519" s="114">
        <f>K26</f>
        <v>43.650000000000013</v>
      </c>
      <c r="L519" s="226">
        <f t="shared" si="478"/>
        <v>1.1454753722794957</v>
      </c>
      <c r="M519" s="158">
        <f>IF(L519/1000&gt;1000,1000,L519/1000)</f>
        <v>1.1454753722794956E-3</v>
      </c>
      <c r="N519" s="610"/>
    </row>
    <row r="520" spans="1:14" s="102" customFormat="1">
      <c r="A520" s="173" t="str">
        <f>A518</f>
        <v>NR/SBR</v>
      </c>
      <c r="B520" s="150" t="str">
        <f>B518</f>
        <v>film</v>
      </c>
      <c r="C520" s="150">
        <f t="shared" si="485"/>
        <v>2</v>
      </c>
      <c r="D520" s="150" t="str">
        <f>D518</f>
        <v>0,1-1</v>
      </c>
      <c r="E520" s="150">
        <f>E518</f>
        <v>0.1</v>
      </c>
      <c r="F520" s="150" t="str">
        <f>F518</f>
        <v>air</v>
      </c>
      <c r="G520" s="147" t="str">
        <f t="shared" si="477"/>
        <v>NR/SBR film 0,1-1 mm (emission to air)</v>
      </c>
      <c r="H520" s="147"/>
      <c r="I520" s="129">
        <v>0</v>
      </c>
      <c r="J520" s="101" t="s">
        <v>1034</v>
      </c>
      <c r="K520" s="151" t="s">
        <v>596</v>
      </c>
      <c r="L520" s="226">
        <f t="shared" si="478"/>
        <v>0</v>
      </c>
      <c r="M520" s="158">
        <f t="shared" ref="M520" si="487">IF(L520/1000&gt;1000,1000,L520/1000)</f>
        <v>0</v>
      </c>
      <c r="N520" s="610"/>
    </row>
    <row r="521" spans="1:14" s="102" customFormat="1">
      <c r="A521" s="176" t="s">
        <v>191</v>
      </c>
      <c r="B521" s="159" t="s">
        <v>996</v>
      </c>
      <c r="C521" s="188">
        <f t="shared" si="465"/>
        <v>2</v>
      </c>
      <c r="D521" s="188" t="s">
        <v>1026</v>
      </c>
      <c r="E521" s="155">
        <v>10</v>
      </c>
      <c r="F521" s="131" t="s">
        <v>1019</v>
      </c>
      <c r="G521" s="134" t="str">
        <f t="shared" ref="G521:G574" si="488">CONCATENATE(A521," ",B521," ",D521," mm (emission to ",F521,")")</f>
        <v>NR/SBR film 1-10 mm (emission to soil)</v>
      </c>
      <c r="H521" s="134"/>
      <c r="I521" s="129">
        <v>1</v>
      </c>
      <c r="J521" s="101" t="s">
        <v>1019</v>
      </c>
      <c r="K521" s="114">
        <f>K25</f>
        <v>43.650000000000013</v>
      </c>
      <c r="L521" s="226">
        <f t="shared" ref="L521:L530" si="489">IFERROR(IF(K521="--",0,IF(E521*1000/K521*(1-0.5)^(C521/2)&gt;1000,1000,E521*1000/K521*(1-0.5)^(C521/2))),1000)</f>
        <v>114.54753722794956</v>
      </c>
      <c r="M521" s="158">
        <f>IF(L521/1000&gt;1000,1000,L521/1000)</f>
        <v>0.11454753722794957</v>
      </c>
      <c r="N521" s="610">
        <f>I521*M521+I522*M522</f>
        <v>0.11454753722794957</v>
      </c>
    </row>
    <row r="522" spans="1:14" s="102" customFormat="1">
      <c r="A522" s="172" t="str">
        <f>A521</f>
        <v>NR/SBR</v>
      </c>
      <c r="B522" s="149" t="str">
        <f>B521</f>
        <v>film</v>
      </c>
      <c r="C522" s="149">
        <f t="shared" si="465"/>
        <v>2</v>
      </c>
      <c r="D522" s="149" t="str">
        <f t="shared" ref="D522:F523" si="490">D521</f>
        <v>1-10</v>
      </c>
      <c r="E522" s="149">
        <f t="shared" si="490"/>
        <v>10</v>
      </c>
      <c r="F522" s="149" t="str">
        <f t="shared" si="490"/>
        <v>soil</v>
      </c>
      <c r="G522" s="146" t="str">
        <f t="shared" si="488"/>
        <v>NR/SBR film 1-10 mm (emission to soil)</v>
      </c>
      <c r="H522" s="146"/>
      <c r="I522" s="129">
        <v>0</v>
      </c>
      <c r="J522" s="101" t="s">
        <v>1097</v>
      </c>
      <c r="K522" s="114">
        <f>K26</f>
        <v>43.650000000000013</v>
      </c>
      <c r="L522" s="226">
        <f t="shared" si="489"/>
        <v>114.54753722794956</v>
      </c>
      <c r="M522" s="158">
        <f>IF(L522/1000&gt;1000,1000,L522/1000)</f>
        <v>0.11454753722794957</v>
      </c>
      <c r="N522" s="610"/>
    </row>
    <row r="523" spans="1:14" s="102" customFormat="1">
      <c r="A523" s="173" t="str">
        <f>A522</f>
        <v>NR/SBR</v>
      </c>
      <c r="B523" s="150" t="str">
        <f>B522</f>
        <v>film</v>
      </c>
      <c r="C523" s="150">
        <f t="shared" si="465"/>
        <v>2</v>
      </c>
      <c r="D523" s="150" t="str">
        <f t="shared" si="490"/>
        <v>1-10</v>
      </c>
      <c r="E523" s="150">
        <f t="shared" si="490"/>
        <v>10</v>
      </c>
      <c r="F523" s="150" t="str">
        <f t="shared" si="490"/>
        <v>soil</v>
      </c>
      <c r="G523" s="147" t="str">
        <f t="shared" si="488"/>
        <v>NR/SBR film 1-10 mm (emission to soil)</v>
      </c>
      <c r="H523" s="147"/>
      <c r="I523" s="129">
        <v>0</v>
      </c>
      <c r="J523" s="101" t="s">
        <v>1034</v>
      </c>
      <c r="K523" s="114" t="s">
        <v>596</v>
      </c>
      <c r="L523" s="226">
        <f t="shared" si="489"/>
        <v>0</v>
      </c>
      <c r="M523" s="158">
        <f t="shared" ref="M523" si="491">IF(L523/1000&gt;1000,1000,L523/1000)</f>
        <v>0</v>
      </c>
      <c r="N523" s="610"/>
    </row>
    <row r="524" spans="1:14" s="102" customFormat="1">
      <c r="A524" s="176" t="s">
        <v>191</v>
      </c>
      <c r="B524" s="159" t="s">
        <v>996</v>
      </c>
      <c r="C524" s="188">
        <f t="shared" si="465"/>
        <v>2</v>
      </c>
      <c r="D524" s="188" t="s">
        <v>1026</v>
      </c>
      <c r="E524" s="214">
        <v>10</v>
      </c>
      <c r="F524" s="131" t="s">
        <v>1020</v>
      </c>
      <c r="G524" s="134" t="str">
        <f t="shared" si="488"/>
        <v>NR/SBR film 1-10 mm (emission to water)</v>
      </c>
      <c r="H524" s="134"/>
      <c r="I524" s="137">
        <v>0</v>
      </c>
      <c r="J524" s="101" t="s">
        <v>1019</v>
      </c>
      <c r="K524" s="114">
        <f>K25</f>
        <v>43.650000000000013</v>
      </c>
      <c r="L524" s="226">
        <f t="shared" si="489"/>
        <v>114.54753722794956</v>
      </c>
      <c r="M524" s="220">
        <f t="shared" ref="M524:M527" si="492">IF(L524/1000&gt;1000,1000,L524/1000)</f>
        <v>0.11454753722794957</v>
      </c>
      <c r="N524" s="611">
        <f>I524*M524+I525*M525+I526*M526</f>
        <v>0.11454753722794957</v>
      </c>
    </row>
    <row r="525" spans="1:14" s="102" customFormat="1">
      <c r="A525" s="172" t="str">
        <f>A524</f>
        <v>NR/SBR</v>
      </c>
      <c r="B525" s="149" t="str">
        <f>B524</f>
        <v>film</v>
      </c>
      <c r="C525" s="149">
        <f t="shared" si="465"/>
        <v>2</v>
      </c>
      <c r="D525" s="149" t="str">
        <f t="shared" ref="D525:F526" si="493">D524</f>
        <v>1-10</v>
      </c>
      <c r="E525" s="149">
        <f t="shared" si="493"/>
        <v>10</v>
      </c>
      <c r="F525" s="149" t="str">
        <f t="shared" si="493"/>
        <v>water</v>
      </c>
      <c r="G525" s="146" t="str">
        <f t="shared" si="488"/>
        <v>NR/SBR film 1-10 mm (emission to water)</v>
      </c>
      <c r="H525" s="146"/>
      <c r="I525" s="129">
        <v>1</v>
      </c>
      <c r="J525" s="101" t="s">
        <v>1097</v>
      </c>
      <c r="K525" s="114">
        <f>K26</f>
        <v>43.650000000000013</v>
      </c>
      <c r="L525" s="226">
        <f t="shared" si="489"/>
        <v>114.54753722794956</v>
      </c>
      <c r="M525" s="220">
        <f t="shared" si="492"/>
        <v>0.11454753722794957</v>
      </c>
      <c r="N525" s="612"/>
    </row>
    <row r="526" spans="1:14" s="102" customFormat="1">
      <c r="A526" s="172" t="str">
        <f>A525</f>
        <v>NR/SBR</v>
      </c>
      <c r="B526" s="149" t="str">
        <f>B525</f>
        <v>film</v>
      </c>
      <c r="C526" s="149">
        <f t="shared" si="465"/>
        <v>2</v>
      </c>
      <c r="D526" s="149" t="str">
        <f t="shared" si="493"/>
        <v>1-10</v>
      </c>
      <c r="E526" s="149">
        <f t="shared" si="493"/>
        <v>10</v>
      </c>
      <c r="F526" s="149" t="str">
        <f t="shared" si="493"/>
        <v>water</v>
      </c>
      <c r="G526" s="146" t="str">
        <f t="shared" si="488"/>
        <v>NR/SBR film 1-10 mm (emission to water)</v>
      </c>
      <c r="H526" s="146">
        <f>H525</f>
        <v>0</v>
      </c>
      <c r="I526" s="129">
        <v>0</v>
      </c>
      <c r="J526" s="101" t="s">
        <v>1096</v>
      </c>
      <c r="K526" s="114">
        <f>K27</f>
        <v>43.650000000000013</v>
      </c>
      <c r="L526" s="226">
        <f t="shared" si="489"/>
        <v>114.54753722794956</v>
      </c>
      <c r="M526" s="220">
        <f t="shared" si="492"/>
        <v>0.11454753722794957</v>
      </c>
      <c r="N526" s="612"/>
    </row>
    <row r="527" spans="1:14" s="102" customFormat="1">
      <c r="A527" s="173" t="str">
        <f>A525</f>
        <v>NR/SBR</v>
      </c>
      <c r="B527" s="150" t="str">
        <f>B525</f>
        <v>film</v>
      </c>
      <c r="C527" s="150">
        <f t="shared" si="465"/>
        <v>2</v>
      </c>
      <c r="D527" s="150" t="str">
        <f>D525</f>
        <v>1-10</v>
      </c>
      <c r="E527" s="150">
        <f>E525</f>
        <v>10</v>
      </c>
      <c r="F527" s="150" t="str">
        <f>F525</f>
        <v>water</v>
      </c>
      <c r="G527" s="147" t="str">
        <f t="shared" si="488"/>
        <v>NR/SBR film 1-10 mm (emission to water)</v>
      </c>
      <c r="H527" s="147"/>
      <c r="I527" s="129">
        <v>0</v>
      </c>
      <c r="J527" s="101" t="s">
        <v>1034</v>
      </c>
      <c r="K527" s="114" t="s">
        <v>596</v>
      </c>
      <c r="L527" s="226">
        <f t="shared" si="489"/>
        <v>0</v>
      </c>
      <c r="M527" s="220">
        <f t="shared" si="492"/>
        <v>0</v>
      </c>
      <c r="N527" s="613"/>
    </row>
    <row r="528" spans="1:14" s="102" customFormat="1">
      <c r="A528" s="231" t="s">
        <v>191</v>
      </c>
      <c r="B528" s="282" t="s">
        <v>996</v>
      </c>
      <c r="C528" s="282">
        <v>2</v>
      </c>
      <c r="D528" s="283" t="s">
        <v>1026</v>
      </c>
      <c r="E528" s="155">
        <v>0.1</v>
      </c>
      <c r="F528" s="131" t="s">
        <v>1057</v>
      </c>
      <c r="G528" s="134" t="str">
        <f t="shared" si="488"/>
        <v>NR/SBR film 1-10 mm (emission to air)</v>
      </c>
      <c r="H528" s="144"/>
      <c r="I528" s="137">
        <v>0.97699999999999998</v>
      </c>
      <c r="J528" s="101" t="s">
        <v>1019</v>
      </c>
      <c r="K528" s="114">
        <f>K25</f>
        <v>43.650000000000013</v>
      </c>
      <c r="L528" s="226">
        <f t="shared" si="489"/>
        <v>1.1454753722794957</v>
      </c>
      <c r="M528" s="158">
        <f>IF(L528/1000&gt;1000,1000,L528/1000)</f>
        <v>1.1454753722794956E-3</v>
      </c>
      <c r="N528" s="610">
        <f>I528*M528+I529*M529</f>
        <v>1.1454753722794956E-3</v>
      </c>
    </row>
    <row r="529" spans="1:14" s="102" customFormat="1">
      <c r="A529" s="172" t="str">
        <f>A528</f>
        <v>NR/SBR</v>
      </c>
      <c r="B529" s="149" t="str">
        <f>B528</f>
        <v>film</v>
      </c>
      <c r="C529" s="149">
        <f t="shared" ref="C529:C530" si="494">IF(OR(B529="Folie", B529="Strips", B529="Film",B529="Flakes",B529="Coupon"), 2,IF(OR(B529="Fibers",B529="Pellets"),4,IF(OR(B529="Particles",B529="Shreds",B529="Powder",B529="Fragments",B529="Granules"),6,"")))</f>
        <v>2</v>
      </c>
      <c r="D529" s="149" t="str">
        <f t="shared" ref="D529:F529" si="495">D528</f>
        <v>1-10</v>
      </c>
      <c r="E529" s="149">
        <f t="shared" si="495"/>
        <v>0.1</v>
      </c>
      <c r="F529" s="149" t="str">
        <f t="shared" si="495"/>
        <v>air</v>
      </c>
      <c r="G529" s="146" t="str">
        <f t="shared" si="488"/>
        <v>NR/SBR film 1-10 mm (emission to air)</v>
      </c>
      <c r="H529" s="146">
        <f>H528</f>
        <v>0</v>
      </c>
      <c r="I529" s="129">
        <v>2.3E-2</v>
      </c>
      <c r="J529" s="101" t="s">
        <v>1097</v>
      </c>
      <c r="K529" s="114">
        <f>K26</f>
        <v>43.650000000000013</v>
      </c>
      <c r="L529" s="226">
        <f t="shared" si="489"/>
        <v>1.1454753722794957</v>
      </c>
      <c r="M529" s="158">
        <f>IF(L529/1000&gt;1000,1000,L529/1000)</f>
        <v>1.1454753722794956E-3</v>
      </c>
      <c r="N529" s="610"/>
    </row>
    <row r="530" spans="1:14" s="102" customFormat="1">
      <c r="A530" s="173" t="str">
        <f>A528</f>
        <v>NR/SBR</v>
      </c>
      <c r="B530" s="150" t="str">
        <f>B528</f>
        <v>film</v>
      </c>
      <c r="C530" s="150">
        <f t="shared" si="494"/>
        <v>2</v>
      </c>
      <c r="D530" s="150" t="str">
        <f>D528</f>
        <v>1-10</v>
      </c>
      <c r="E530" s="150">
        <f>E528</f>
        <v>0.1</v>
      </c>
      <c r="F530" s="150" t="str">
        <f>F528</f>
        <v>air</v>
      </c>
      <c r="G530" s="147" t="str">
        <f t="shared" si="488"/>
        <v>NR/SBR film 1-10 mm (emission to air)</v>
      </c>
      <c r="H530" s="147"/>
      <c r="I530" s="129">
        <v>0</v>
      </c>
      <c r="J530" s="101" t="s">
        <v>1034</v>
      </c>
      <c r="K530" s="151" t="s">
        <v>596</v>
      </c>
      <c r="L530" s="226">
        <f t="shared" si="489"/>
        <v>0</v>
      </c>
      <c r="M530" s="158">
        <f t="shared" ref="M530" si="496">IF(L530/1000&gt;1000,1000,L530/1000)</f>
        <v>0</v>
      </c>
      <c r="N530" s="610"/>
    </row>
    <row r="531" spans="1:14" s="102" customFormat="1">
      <c r="A531" s="176" t="s">
        <v>191</v>
      </c>
      <c r="B531" s="159" t="s">
        <v>1051</v>
      </c>
      <c r="C531" s="188">
        <f t="shared" si="465"/>
        <v>4</v>
      </c>
      <c r="D531" s="188" t="s">
        <v>1028</v>
      </c>
      <c r="E531" s="155">
        <v>1</v>
      </c>
      <c r="F531" s="131" t="s">
        <v>1019</v>
      </c>
      <c r="G531" s="134" t="str">
        <f t="shared" si="488"/>
        <v>NR/SBR fibers 0,1-1 mm (emission to soil)</v>
      </c>
      <c r="H531" s="193"/>
      <c r="I531" s="129">
        <v>1</v>
      </c>
      <c r="J531" s="101" t="s">
        <v>1019</v>
      </c>
      <c r="K531" s="114">
        <f>K25</f>
        <v>43.650000000000013</v>
      </c>
      <c r="L531" s="226">
        <f t="shared" ref="L531:L540" si="497">IFERROR(IF(K531="--",0,IF(E531*1000/K531*(1-0.5)^(C531/2)&gt;1000,1000,E531*1000/K531*(1-0.5)^(C531/2))),1000)</f>
        <v>5.7273768613974783</v>
      </c>
      <c r="M531" s="158">
        <f>IF(L531/1000&gt;1000,1000,L531/1000)</f>
        <v>5.7273768613974787E-3</v>
      </c>
      <c r="N531" s="610">
        <f>I531*M531+I532*M532</f>
        <v>5.7273768613974787E-3</v>
      </c>
    </row>
    <row r="532" spans="1:14" s="102" customFormat="1">
      <c r="A532" s="172" t="str">
        <f>A531</f>
        <v>NR/SBR</v>
      </c>
      <c r="B532" s="149" t="str">
        <f>B531</f>
        <v>fibers</v>
      </c>
      <c r="C532" s="149">
        <f t="shared" si="465"/>
        <v>4</v>
      </c>
      <c r="D532" s="149" t="str">
        <f t="shared" ref="D532:F533" si="498">D531</f>
        <v>0,1-1</v>
      </c>
      <c r="E532" s="149">
        <f t="shared" si="498"/>
        <v>1</v>
      </c>
      <c r="F532" s="149" t="str">
        <f t="shared" si="498"/>
        <v>soil</v>
      </c>
      <c r="G532" s="146" t="str">
        <f t="shared" si="488"/>
        <v>NR/SBR fibers 0,1-1 mm (emission to soil)</v>
      </c>
      <c r="H532" s="146"/>
      <c r="I532" s="129">
        <v>0</v>
      </c>
      <c r="J532" s="101" t="s">
        <v>1097</v>
      </c>
      <c r="K532" s="114">
        <f>K26</f>
        <v>43.650000000000013</v>
      </c>
      <c r="L532" s="226">
        <f t="shared" si="497"/>
        <v>5.7273768613974783</v>
      </c>
      <c r="M532" s="158">
        <f>IF(L532/1000&gt;1000,1000,L532/1000)</f>
        <v>5.7273768613974787E-3</v>
      </c>
      <c r="N532" s="610"/>
    </row>
    <row r="533" spans="1:14" s="102" customFormat="1">
      <c r="A533" s="173" t="str">
        <f>A532</f>
        <v>NR/SBR</v>
      </c>
      <c r="B533" s="150" t="str">
        <f>B532</f>
        <v>fibers</v>
      </c>
      <c r="C533" s="150">
        <f t="shared" si="465"/>
        <v>4</v>
      </c>
      <c r="D533" s="150" t="str">
        <f t="shared" si="498"/>
        <v>0,1-1</v>
      </c>
      <c r="E533" s="150">
        <f t="shared" si="498"/>
        <v>1</v>
      </c>
      <c r="F533" s="150" t="str">
        <f t="shared" si="498"/>
        <v>soil</v>
      </c>
      <c r="G533" s="147" t="str">
        <f t="shared" si="488"/>
        <v>NR/SBR fibers 0,1-1 mm (emission to soil)</v>
      </c>
      <c r="H533" s="146"/>
      <c r="I533" s="129">
        <v>0</v>
      </c>
      <c r="J533" s="101" t="s">
        <v>1034</v>
      </c>
      <c r="K533" s="151" t="s">
        <v>596</v>
      </c>
      <c r="L533" s="226">
        <f t="shared" si="497"/>
        <v>0</v>
      </c>
      <c r="M533" s="158">
        <f t="shared" ref="M533" si="499">IF(L533/1000&gt;1000,1000,L533/1000)</f>
        <v>0</v>
      </c>
      <c r="N533" s="610"/>
    </row>
    <row r="534" spans="1:14" s="102" customFormat="1">
      <c r="A534" s="176" t="s">
        <v>191</v>
      </c>
      <c r="B534" s="159" t="s">
        <v>1051</v>
      </c>
      <c r="C534" s="188">
        <f t="shared" si="465"/>
        <v>4</v>
      </c>
      <c r="D534" s="188" t="s">
        <v>1028</v>
      </c>
      <c r="E534" s="155">
        <v>1</v>
      </c>
      <c r="F534" s="131" t="s">
        <v>1020</v>
      </c>
      <c r="G534" s="134" t="str">
        <f t="shared" si="488"/>
        <v>NR/SBR fibers 0,1-1 mm (emission to water)</v>
      </c>
      <c r="H534" s="192"/>
      <c r="I534" s="137">
        <v>0</v>
      </c>
      <c r="J534" s="101" t="s">
        <v>1019</v>
      </c>
      <c r="K534" s="114">
        <f>K25</f>
        <v>43.650000000000013</v>
      </c>
      <c r="L534" s="226">
        <f t="shared" si="497"/>
        <v>5.7273768613974783</v>
      </c>
      <c r="M534" s="220">
        <f t="shared" ref="M534:M537" si="500">IF(L534/1000&gt;1000,1000,L534/1000)</f>
        <v>5.7273768613974787E-3</v>
      </c>
      <c r="N534" s="611">
        <f>I534*M534+I535*M535+I536*M536</f>
        <v>5.7273768613974787E-3</v>
      </c>
    </row>
    <row r="535" spans="1:14" s="102" customFormat="1">
      <c r="A535" s="172" t="str">
        <f>A534</f>
        <v>NR/SBR</v>
      </c>
      <c r="B535" s="149" t="str">
        <f>B534</f>
        <v>fibers</v>
      </c>
      <c r="C535" s="149">
        <f t="shared" si="465"/>
        <v>4</v>
      </c>
      <c r="D535" s="149" t="str">
        <f t="shared" ref="D535:F536" si="501">D534</f>
        <v>0,1-1</v>
      </c>
      <c r="E535" s="149">
        <f t="shared" si="501"/>
        <v>1</v>
      </c>
      <c r="F535" s="149" t="str">
        <f t="shared" si="501"/>
        <v>water</v>
      </c>
      <c r="G535" s="146" t="str">
        <f t="shared" si="488"/>
        <v>NR/SBR fibers 0,1-1 mm (emission to water)</v>
      </c>
      <c r="H535" s="146"/>
      <c r="I535" s="129">
        <v>1</v>
      </c>
      <c r="J535" s="101" t="s">
        <v>1097</v>
      </c>
      <c r="K535" s="114">
        <f>K26</f>
        <v>43.650000000000013</v>
      </c>
      <c r="L535" s="226">
        <f t="shared" si="497"/>
        <v>5.7273768613974783</v>
      </c>
      <c r="M535" s="220">
        <f t="shared" si="500"/>
        <v>5.7273768613974787E-3</v>
      </c>
      <c r="N535" s="612"/>
    </row>
    <row r="536" spans="1:14" s="102" customFormat="1">
      <c r="A536" s="172" t="str">
        <f>A535</f>
        <v>NR/SBR</v>
      </c>
      <c r="B536" s="149" t="str">
        <f>B535</f>
        <v>fibers</v>
      </c>
      <c r="C536" s="149">
        <f t="shared" si="465"/>
        <v>4</v>
      </c>
      <c r="D536" s="149" t="str">
        <f t="shared" si="501"/>
        <v>0,1-1</v>
      </c>
      <c r="E536" s="149">
        <f t="shared" si="501"/>
        <v>1</v>
      </c>
      <c r="F536" s="149" t="str">
        <f t="shared" si="501"/>
        <v>water</v>
      </c>
      <c r="G536" s="146" t="str">
        <f t="shared" si="488"/>
        <v>NR/SBR fibers 0,1-1 mm (emission to water)</v>
      </c>
      <c r="H536" s="146">
        <f>H535</f>
        <v>0</v>
      </c>
      <c r="I536" s="129">
        <v>0</v>
      </c>
      <c r="J536" s="101" t="s">
        <v>1096</v>
      </c>
      <c r="K536" s="114">
        <f>K27</f>
        <v>43.650000000000013</v>
      </c>
      <c r="L536" s="226">
        <f t="shared" si="497"/>
        <v>5.7273768613974783</v>
      </c>
      <c r="M536" s="220">
        <f t="shared" si="500"/>
        <v>5.7273768613974787E-3</v>
      </c>
      <c r="N536" s="612"/>
    </row>
    <row r="537" spans="1:14" s="102" customFormat="1">
      <c r="A537" s="173" t="str">
        <f>A535</f>
        <v>NR/SBR</v>
      </c>
      <c r="B537" s="150" t="str">
        <f>B535</f>
        <v>fibers</v>
      </c>
      <c r="C537" s="150">
        <f t="shared" si="465"/>
        <v>4</v>
      </c>
      <c r="D537" s="150" t="str">
        <f>D535</f>
        <v>0,1-1</v>
      </c>
      <c r="E537" s="150">
        <f>E535</f>
        <v>1</v>
      </c>
      <c r="F537" s="150" t="str">
        <f>F535</f>
        <v>water</v>
      </c>
      <c r="G537" s="147" t="str">
        <f t="shared" si="488"/>
        <v>NR/SBR fibers 0,1-1 mm (emission to water)</v>
      </c>
      <c r="H537" s="146"/>
      <c r="I537" s="129">
        <v>0</v>
      </c>
      <c r="J537" s="101" t="s">
        <v>1034</v>
      </c>
      <c r="K537" s="114" t="s">
        <v>596</v>
      </c>
      <c r="L537" s="226">
        <f t="shared" si="497"/>
        <v>0</v>
      </c>
      <c r="M537" s="220">
        <f t="shared" si="500"/>
        <v>0</v>
      </c>
      <c r="N537" s="613"/>
    </row>
    <row r="538" spans="1:14" s="102" customFormat="1">
      <c r="A538" s="231" t="s">
        <v>191</v>
      </c>
      <c r="B538" s="282" t="s">
        <v>1051</v>
      </c>
      <c r="C538" s="282">
        <v>4</v>
      </c>
      <c r="D538" s="283" t="s">
        <v>1028</v>
      </c>
      <c r="E538" s="155">
        <v>1</v>
      </c>
      <c r="F538" s="131" t="s">
        <v>1057</v>
      </c>
      <c r="G538" s="134" t="str">
        <f t="shared" ref="G538:G540" si="502">CONCATENATE(A538," ",B538," ",D538," mm (emission to ",F538,")")</f>
        <v>NR/SBR fibers 0,1-1 mm (emission to air)</v>
      </c>
      <c r="H538" s="144"/>
      <c r="I538" s="137">
        <v>0.97699999999999998</v>
      </c>
      <c r="J538" s="101" t="s">
        <v>1019</v>
      </c>
      <c r="K538" s="114">
        <f>K25</f>
        <v>43.650000000000013</v>
      </c>
      <c r="L538" s="226">
        <f t="shared" si="497"/>
        <v>5.7273768613974783</v>
      </c>
      <c r="M538" s="158">
        <f>IF(L538/1000&gt;1000,1000,L538/1000)</f>
        <v>5.7273768613974787E-3</v>
      </c>
      <c r="N538" s="610">
        <f>I538*M538+I539*M539</f>
        <v>5.7273768613974787E-3</v>
      </c>
    </row>
    <row r="539" spans="1:14" s="102" customFormat="1">
      <c r="A539" s="172" t="str">
        <f>A538</f>
        <v>NR/SBR</v>
      </c>
      <c r="B539" s="149" t="str">
        <f>B538</f>
        <v>fibers</v>
      </c>
      <c r="C539" s="149">
        <f t="shared" ref="C539:C540" si="503">IF(OR(B539="Folie", B539="Strips", B539="Film",B539="Flakes",B539="Coupon"), 2,IF(OR(B539="Fibers",B539="Pellets"),4,IF(OR(B539="Particles",B539="Shreds",B539="Powder",B539="Fragments",B539="Granules"),6,"")))</f>
        <v>4</v>
      </c>
      <c r="D539" s="149" t="str">
        <f t="shared" ref="D539:F539" si="504">D538</f>
        <v>0,1-1</v>
      </c>
      <c r="E539" s="149">
        <f t="shared" si="504"/>
        <v>1</v>
      </c>
      <c r="F539" s="149" t="str">
        <f t="shared" si="504"/>
        <v>air</v>
      </c>
      <c r="G539" s="146" t="str">
        <f t="shared" si="502"/>
        <v>NR/SBR fibers 0,1-1 mm (emission to air)</v>
      </c>
      <c r="H539" s="146">
        <f>H538</f>
        <v>0</v>
      </c>
      <c r="I539" s="129">
        <v>2.3E-2</v>
      </c>
      <c r="J539" s="101" t="s">
        <v>1097</v>
      </c>
      <c r="K539" s="114">
        <f>K26</f>
        <v>43.650000000000013</v>
      </c>
      <c r="L539" s="226">
        <f t="shared" si="497"/>
        <v>5.7273768613974783</v>
      </c>
      <c r="M539" s="158">
        <f>IF(L539/1000&gt;1000,1000,L539/1000)</f>
        <v>5.7273768613974787E-3</v>
      </c>
      <c r="N539" s="610"/>
    </row>
    <row r="540" spans="1:14" s="102" customFormat="1">
      <c r="A540" s="173" t="str">
        <f>A538</f>
        <v>NR/SBR</v>
      </c>
      <c r="B540" s="150" t="str">
        <f>B538</f>
        <v>fibers</v>
      </c>
      <c r="C540" s="150">
        <f t="shared" si="503"/>
        <v>4</v>
      </c>
      <c r="D540" s="150" t="str">
        <f>D538</f>
        <v>0,1-1</v>
      </c>
      <c r="E540" s="150">
        <f>E538</f>
        <v>1</v>
      </c>
      <c r="F540" s="150" t="str">
        <f>F538</f>
        <v>air</v>
      </c>
      <c r="G540" s="147" t="str">
        <f t="shared" si="502"/>
        <v>NR/SBR fibers 0,1-1 mm (emission to air)</v>
      </c>
      <c r="H540" s="147"/>
      <c r="I540" s="129">
        <v>0</v>
      </c>
      <c r="J540" s="101" t="s">
        <v>1034</v>
      </c>
      <c r="K540" s="151" t="s">
        <v>596</v>
      </c>
      <c r="L540" s="226">
        <f t="shared" si="497"/>
        <v>0</v>
      </c>
      <c r="M540" s="158">
        <f t="shared" ref="M540" si="505">IF(L540/1000&gt;1000,1000,L540/1000)</f>
        <v>0</v>
      </c>
      <c r="N540" s="610"/>
    </row>
    <row r="541" spans="1:14" s="135" customFormat="1">
      <c r="A541" s="176" t="s">
        <v>191</v>
      </c>
      <c r="B541" s="185" t="s">
        <v>372</v>
      </c>
      <c r="C541" s="140">
        <f t="shared" si="465"/>
        <v>4</v>
      </c>
      <c r="D541" s="153" t="s">
        <v>1026</v>
      </c>
      <c r="E541" s="214">
        <v>10</v>
      </c>
      <c r="F541" s="154" t="s">
        <v>1019</v>
      </c>
      <c r="G541" s="134" t="str">
        <f t="shared" si="488"/>
        <v>NR/SBR pellets 1-10 mm (emission to soil)</v>
      </c>
      <c r="H541" s="148"/>
      <c r="I541" s="129">
        <v>1</v>
      </c>
      <c r="J541" s="101" t="s">
        <v>1019</v>
      </c>
      <c r="K541" s="114">
        <f>K25</f>
        <v>43.650000000000013</v>
      </c>
      <c r="L541" s="226">
        <f t="shared" ref="L541:L550" si="506">IFERROR(IF(K541="--",0,IF(E541*1000/K541*(1-0.5)^(C541/2)&gt;1000,1000,E541*1000/K541*(1-0.5)^(C541/2))),1000)</f>
        <v>57.273768613974781</v>
      </c>
      <c r="M541" s="158">
        <f>IF(L541/1000&gt;1000,1000,L541/1000)</f>
        <v>5.7273768613974783E-2</v>
      </c>
      <c r="N541" s="610">
        <f>I541*M541+I542*M542</f>
        <v>5.7273768613974783E-2</v>
      </c>
    </row>
    <row r="542" spans="1:14" s="102" customFormat="1">
      <c r="A542" s="172" t="str">
        <f>A541</f>
        <v>NR/SBR</v>
      </c>
      <c r="B542" s="149" t="str">
        <f>B541</f>
        <v>pellets</v>
      </c>
      <c r="C542" s="149">
        <f t="shared" si="465"/>
        <v>4</v>
      </c>
      <c r="D542" s="149" t="str">
        <f t="shared" ref="D542:F543" si="507">D541</f>
        <v>1-10</v>
      </c>
      <c r="E542" s="149">
        <f t="shared" si="507"/>
        <v>10</v>
      </c>
      <c r="F542" s="149" t="str">
        <f t="shared" si="507"/>
        <v>soil</v>
      </c>
      <c r="G542" s="146" t="str">
        <f t="shared" si="488"/>
        <v>NR/SBR pellets 1-10 mm (emission to soil)</v>
      </c>
      <c r="H542" s="146"/>
      <c r="I542" s="129">
        <v>0</v>
      </c>
      <c r="J542" s="101" t="s">
        <v>1097</v>
      </c>
      <c r="K542" s="114">
        <f>K26</f>
        <v>43.650000000000013</v>
      </c>
      <c r="L542" s="226">
        <f t="shared" si="506"/>
        <v>57.273768613974781</v>
      </c>
      <c r="M542" s="158">
        <f>IF(L542/1000&gt;1000,1000,L542/1000)</f>
        <v>5.7273768613974783E-2</v>
      </c>
      <c r="N542" s="610"/>
    </row>
    <row r="543" spans="1:14" s="102" customFormat="1">
      <c r="A543" s="173" t="str">
        <f>A542</f>
        <v>NR/SBR</v>
      </c>
      <c r="B543" s="150" t="str">
        <f>B542</f>
        <v>pellets</v>
      </c>
      <c r="C543" s="150">
        <f t="shared" si="465"/>
        <v>4</v>
      </c>
      <c r="D543" s="150" t="str">
        <f t="shared" si="507"/>
        <v>1-10</v>
      </c>
      <c r="E543" s="150">
        <f t="shared" si="507"/>
        <v>10</v>
      </c>
      <c r="F543" s="150" t="str">
        <f t="shared" si="507"/>
        <v>soil</v>
      </c>
      <c r="G543" s="147" t="str">
        <f t="shared" si="488"/>
        <v>NR/SBR pellets 1-10 mm (emission to soil)</v>
      </c>
      <c r="H543" s="147">
        <f>H542</f>
        <v>0</v>
      </c>
      <c r="I543" s="129">
        <v>0</v>
      </c>
      <c r="J543" s="101" t="s">
        <v>1034</v>
      </c>
      <c r="K543" s="151" t="s">
        <v>596</v>
      </c>
      <c r="L543" s="226">
        <f t="shared" si="506"/>
        <v>0</v>
      </c>
      <c r="M543" s="158">
        <f t="shared" ref="M543" si="508">IF(L543/1000&gt;1000,1000,L543/1000)</f>
        <v>0</v>
      </c>
      <c r="N543" s="610"/>
    </row>
    <row r="544" spans="1:14" s="102" customFormat="1">
      <c r="A544" s="176" t="s">
        <v>191</v>
      </c>
      <c r="B544" s="155" t="s">
        <v>372</v>
      </c>
      <c r="C544" s="188">
        <f t="shared" si="465"/>
        <v>4</v>
      </c>
      <c r="D544" s="153" t="s">
        <v>1026</v>
      </c>
      <c r="E544" s="214">
        <v>10</v>
      </c>
      <c r="F544" s="154" t="s">
        <v>1020</v>
      </c>
      <c r="G544" s="134" t="str">
        <f t="shared" si="488"/>
        <v>NR/SBR pellets 1-10 mm (emission to water)</v>
      </c>
      <c r="H544" s="148"/>
      <c r="I544" s="137">
        <v>0</v>
      </c>
      <c r="J544" s="101" t="s">
        <v>1019</v>
      </c>
      <c r="K544" s="114">
        <f>K25</f>
        <v>43.650000000000013</v>
      </c>
      <c r="L544" s="226">
        <f t="shared" si="506"/>
        <v>57.273768613974781</v>
      </c>
      <c r="M544" s="220">
        <f t="shared" ref="M544:M547" si="509">IF(L544/1000&gt;1000,1000,L544/1000)</f>
        <v>5.7273768613974783E-2</v>
      </c>
      <c r="N544" s="611">
        <f>I544*M544+I545*M545+I546*M546</f>
        <v>5.7273768613974783E-2</v>
      </c>
    </row>
    <row r="545" spans="1:14" s="102" customFormat="1">
      <c r="A545" s="172" t="str">
        <f>A544</f>
        <v>NR/SBR</v>
      </c>
      <c r="B545" s="149" t="str">
        <f>B544</f>
        <v>pellets</v>
      </c>
      <c r="C545" s="149">
        <f t="shared" si="465"/>
        <v>4</v>
      </c>
      <c r="D545" s="149" t="str">
        <f t="shared" ref="D545:F546" si="510">D544</f>
        <v>1-10</v>
      </c>
      <c r="E545" s="149">
        <f t="shared" si="510"/>
        <v>10</v>
      </c>
      <c r="F545" s="149" t="str">
        <f t="shared" si="510"/>
        <v>water</v>
      </c>
      <c r="G545" s="146" t="str">
        <f t="shared" si="488"/>
        <v>NR/SBR pellets 1-10 mm (emission to water)</v>
      </c>
      <c r="H545" s="146"/>
      <c r="I545" s="129">
        <v>1</v>
      </c>
      <c r="J545" s="101" t="s">
        <v>1097</v>
      </c>
      <c r="K545" s="114">
        <f>K26</f>
        <v>43.650000000000013</v>
      </c>
      <c r="L545" s="226">
        <f t="shared" si="506"/>
        <v>57.273768613974781</v>
      </c>
      <c r="M545" s="220">
        <f t="shared" si="509"/>
        <v>5.7273768613974783E-2</v>
      </c>
      <c r="N545" s="612"/>
    </row>
    <row r="546" spans="1:14" s="102" customFormat="1">
      <c r="A546" s="172" t="str">
        <f>A545</f>
        <v>NR/SBR</v>
      </c>
      <c r="B546" s="149" t="str">
        <f>B545</f>
        <v>pellets</v>
      </c>
      <c r="C546" s="149">
        <f t="shared" si="465"/>
        <v>4</v>
      </c>
      <c r="D546" s="149" t="str">
        <f t="shared" si="510"/>
        <v>1-10</v>
      </c>
      <c r="E546" s="149">
        <f t="shared" si="510"/>
        <v>10</v>
      </c>
      <c r="F546" s="149" t="str">
        <f t="shared" si="510"/>
        <v>water</v>
      </c>
      <c r="G546" s="146" t="str">
        <f t="shared" si="488"/>
        <v>NR/SBR pellets 1-10 mm (emission to water)</v>
      </c>
      <c r="H546" s="146">
        <f>H545</f>
        <v>0</v>
      </c>
      <c r="I546" s="129">
        <v>0</v>
      </c>
      <c r="J546" s="101" t="s">
        <v>1096</v>
      </c>
      <c r="K546" s="114">
        <f>K27</f>
        <v>43.650000000000013</v>
      </c>
      <c r="L546" s="226">
        <f t="shared" si="506"/>
        <v>57.273768613974781</v>
      </c>
      <c r="M546" s="220">
        <f t="shared" si="509"/>
        <v>5.7273768613974783E-2</v>
      </c>
      <c r="N546" s="612"/>
    </row>
    <row r="547" spans="1:14" s="102" customFormat="1">
      <c r="A547" s="173" t="str">
        <f>A545</f>
        <v>NR/SBR</v>
      </c>
      <c r="B547" s="150" t="str">
        <f>B545</f>
        <v>pellets</v>
      </c>
      <c r="C547" s="150">
        <f t="shared" si="465"/>
        <v>4</v>
      </c>
      <c r="D547" s="150" t="str">
        <f>D545</f>
        <v>1-10</v>
      </c>
      <c r="E547" s="150">
        <f>E545</f>
        <v>10</v>
      </c>
      <c r="F547" s="150" t="str">
        <f>F545</f>
        <v>water</v>
      </c>
      <c r="G547" s="147" t="str">
        <f t="shared" si="488"/>
        <v>NR/SBR pellets 1-10 mm (emission to water)</v>
      </c>
      <c r="H547" s="147"/>
      <c r="I547" s="129">
        <v>0</v>
      </c>
      <c r="J547" s="101" t="s">
        <v>1034</v>
      </c>
      <c r="K547" s="114" t="s">
        <v>596</v>
      </c>
      <c r="L547" s="226">
        <f t="shared" si="506"/>
        <v>0</v>
      </c>
      <c r="M547" s="220">
        <f t="shared" si="509"/>
        <v>0</v>
      </c>
      <c r="N547" s="613"/>
    </row>
    <row r="548" spans="1:14" s="102" customFormat="1">
      <c r="A548" s="231" t="s">
        <v>191</v>
      </c>
      <c r="B548" s="289" t="s">
        <v>372</v>
      </c>
      <c r="C548" s="289">
        <v>4</v>
      </c>
      <c r="D548" s="153" t="s">
        <v>1026</v>
      </c>
      <c r="E548" s="288">
        <v>10</v>
      </c>
      <c r="F548" s="131" t="s">
        <v>1057</v>
      </c>
      <c r="G548" s="134" t="str">
        <f t="shared" si="488"/>
        <v>NR/SBR pellets 1-10 mm (emission to air)</v>
      </c>
      <c r="H548" s="144"/>
      <c r="I548" s="137">
        <v>0.97699999999999998</v>
      </c>
      <c r="J548" s="101" t="s">
        <v>1019</v>
      </c>
      <c r="K548" s="114">
        <f>K25</f>
        <v>43.650000000000013</v>
      </c>
      <c r="L548" s="226">
        <f t="shared" si="506"/>
        <v>57.273768613974781</v>
      </c>
      <c r="M548" s="158">
        <f>IF(L548/1000&gt;1000,1000,L548/1000)</f>
        <v>5.7273768613974783E-2</v>
      </c>
      <c r="N548" s="610">
        <f>I548*M548+I549*M549</f>
        <v>5.7273768613974783E-2</v>
      </c>
    </row>
    <row r="549" spans="1:14" s="102" customFormat="1">
      <c r="A549" s="172" t="str">
        <f>A548</f>
        <v>NR/SBR</v>
      </c>
      <c r="B549" s="149" t="str">
        <f>B548</f>
        <v>pellets</v>
      </c>
      <c r="C549" s="149">
        <f t="shared" ref="C549:C550" si="511">IF(OR(B549="Folie", B549="Strips", B549="Film",B549="Flakes",B549="Coupon"), 2,IF(OR(B549="Fibers",B549="Pellets"),4,IF(OR(B549="Particles",B549="Shreds",B549="Powder",B549="Fragments",B549="Granules"),6,"")))</f>
        <v>4</v>
      </c>
      <c r="D549" s="149" t="str">
        <f t="shared" ref="D549:F549" si="512">D548</f>
        <v>1-10</v>
      </c>
      <c r="E549" s="149">
        <f t="shared" si="512"/>
        <v>10</v>
      </c>
      <c r="F549" s="149" t="str">
        <f t="shared" si="512"/>
        <v>air</v>
      </c>
      <c r="G549" s="146" t="str">
        <f t="shared" si="488"/>
        <v>NR/SBR pellets 1-10 mm (emission to air)</v>
      </c>
      <c r="H549" s="146">
        <f>H548</f>
        <v>0</v>
      </c>
      <c r="I549" s="129">
        <v>2.3E-2</v>
      </c>
      <c r="J549" s="101" t="s">
        <v>1097</v>
      </c>
      <c r="K549" s="114">
        <f>K26</f>
        <v>43.650000000000013</v>
      </c>
      <c r="L549" s="226">
        <f t="shared" si="506"/>
        <v>57.273768613974781</v>
      </c>
      <c r="M549" s="158">
        <f>IF(L549/1000&gt;1000,1000,L549/1000)</f>
        <v>5.7273768613974783E-2</v>
      </c>
      <c r="N549" s="610"/>
    </row>
    <row r="550" spans="1:14" s="102" customFormat="1">
      <c r="A550" s="173" t="str">
        <f>A548</f>
        <v>NR/SBR</v>
      </c>
      <c r="B550" s="150" t="str">
        <f>B548</f>
        <v>pellets</v>
      </c>
      <c r="C550" s="150">
        <f t="shared" si="511"/>
        <v>4</v>
      </c>
      <c r="D550" s="150" t="str">
        <f>D548</f>
        <v>1-10</v>
      </c>
      <c r="E550" s="150">
        <f>E548</f>
        <v>10</v>
      </c>
      <c r="F550" s="150" t="str">
        <f>F548</f>
        <v>air</v>
      </c>
      <c r="G550" s="147" t="str">
        <f t="shared" si="488"/>
        <v>NR/SBR pellets 1-10 mm (emission to air)</v>
      </c>
      <c r="H550" s="147"/>
      <c r="I550" s="129">
        <v>0</v>
      </c>
      <c r="J550" s="101" t="s">
        <v>1034</v>
      </c>
      <c r="K550" s="151" t="s">
        <v>596</v>
      </c>
      <c r="L550" s="226">
        <f t="shared" si="506"/>
        <v>0</v>
      </c>
      <c r="M550" s="158">
        <f t="shared" ref="M550" si="513">IF(L550/1000&gt;1000,1000,L550/1000)</f>
        <v>0</v>
      </c>
      <c r="N550" s="610"/>
    </row>
    <row r="551" spans="1:14" s="191" customFormat="1">
      <c r="A551" s="260" t="s">
        <v>191</v>
      </c>
      <c r="B551" s="261" t="s">
        <v>1025</v>
      </c>
      <c r="C551" s="262">
        <f t="shared" si="333"/>
        <v>6</v>
      </c>
      <c r="D551" s="262" t="s">
        <v>1018</v>
      </c>
      <c r="E551" s="237">
        <v>0.1</v>
      </c>
      <c r="F551" s="263" t="s">
        <v>1019</v>
      </c>
      <c r="G551" s="264" t="str">
        <f t="shared" si="488"/>
        <v>NR/SBR particles 0,01-0,1 mm (emission to soil)</v>
      </c>
      <c r="H551" s="265" t="s">
        <v>1050</v>
      </c>
      <c r="I551" s="240">
        <v>1</v>
      </c>
      <c r="J551" s="247" t="s">
        <v>1019</v>
      </c>
      <c r="K551" s="248">
        <f>K25</f>
        <v>43.650000000000013</v>
      </c>
      <c r="L551" s="243">
        <f t="shared" ref="L551:L560" si="514">IFERROR(IF(K551="--",0,IF(E551*1000/K551*(1-0.5)^(C551/2)&gt;1000,1000,E551*1000/K551*(1-0.5)^(C551/2))),1000)</f>
        <v>0.28636884306987392</v>
      </c>
      <c r="M551" s="253">
        <f>IF(L551/1000&gt;1000,1000,L551/1000)</f>
        <v>2.863688430698739E-4</v>
      </c>
      <c r="N551" s="617">
        <f>I551*M551+I552*M552</f>
        <v>2.863688430698739E-4</v>
      </c>
    </row>
    <row r="552" spans="1:14" s="191" customFormat="1">
      <c r="A552" s="244" t="str">
        <f>A551</f>
        <v>NR/SBR</v>
      </c>
      <c r="B552" s="245" t="str">
        <f>B551</f>
        <v>particles</v>
      </c>
      <c r="C552" s="245">
        <f t="shared" si="333"/>
        <v>6</v>
      </c>
      <c r="D552" s="245" t="str">
        <f t="shared" ref="D552:F553" si="515">D551</f>
        <v>0,01-0,1</v>
      </c>
      <c r="E552" s="245">
        <f t="shared" si="515"/>
        <v>0.1</v>
      </c>
      <c r="F552" s="245" t="str">
        <f t="shared" si="515"/>
        <v>soil</v>
      </c>
      <c r="G552" s="246" t="str">
        <f t="shared" si="488"/>
        <v>NR/SBR particles 0,01-0,1 mm (emission to soil)</v>
      </c>
      <c r="H552" s="246"/>
      <c r="I552" s="240">
        <v>0</v>
      </c>
      <c r="J552" s="247" t="s">
        <v>1097</v>
      </c>
      <c r="K552" s="248">
        <f>K26</f>
        <v>43.650000000000013</v>
      </c>
      <c r="L552" s="243">
        <f t="shared" si="514"/>
        <v>0.28636884306987392</v>
      </c>
      <c r="M552" s="253">
        <f>IF(L552/1000&gt;1000,1000,L552/1000)</f>
        <v>2.863688430698739E-4</v>
      </c>
      <c r="N552" s="617"/>
    </row>
    <row r="553" spans="1:14" s="191" customFormat="1">
      <c r="A553" s="249" t="str">
        <f>A552</f>
        <v>NR/SBR</v>
      </c>
      <c r="B553" s="250" t="str">
        <f>B552</f>
        <v>particles</v>
      </c>
      <c r="C553" s="250">
        <f t="shared" si="333"/>
        <v>6</v>
      </c>
      <c r="D553" s="250" t="str">
        <f t="shared" si="515"/>
        <v>0,01-0,1</v>
      </c>
      <c r="E553" s="250">
        <f t="shared" si="515"/>
        <v>0.1</v>
      </c>
      <c r="F553" s="250" t="str">
        <f t="shared" si="515"/>
        <v>soil</v>
      </c>
      <c r="G553" s="251" t="str">
        <f t="shared" si="488"/>
        <v>NR/SBR particles 0,01-0,1 mm (emission to soil)</v>
      </c>
      <c r="H553" s="246"/>
      <c r="I553" s="240">
        <v>0</v>
      </c>
      <c r="J553" s="247" t="s">
        <v>1034</v>
      </c>
      <c r="K553" s="252" t="s">
        <v>596</v>
      </c>
      <c r="L553" s="243">
        <f t="shared" si="514"/>
        <v>0</v>
      </c>
      <c r="M553" s="253">
        <f t="shared" ref="M553" si="516">IF(L553/1000&gt;1000,1000,L553/1000)</f>
        <v>0</v>
      </c>
      <c r="N553" s="617"/>
    </row>
    <row r="554" spans="1:14" s="191" customFormat="1">
      <c r="A554" s="176" t="s">
        <v>191</v>
      </c>
      <c r="B554" s="183" t="s">
        <v>1025</v>
      </c>
      <c r="C554" s="184">
        <f t="shared" si="333"/>
        <v>6</v>
      </c>
      <c r="D554" s="184" t="s">
        <v>1018</v>
      </c>
      <c r="E554" s="155">
        <v>0.1</v>
      </c>
      <c r="F554" s="131" t="s">
        <v>1020</v>
      </c>
      <c r="G554" s="134" t="str">
        <f t="shared" si="488"/>
        <v>NR/SBR particles 0,01-0,1 mm (emission to water)</v>
      </c>
      <c r="H554" s="192" t="s">
        <v>1050</v>
      </c>
      <c r="I554" s="137">
        <v>0</v>
      </c>
      <c r="J554" s="101" t="s">
        <v>1019</v>
      </c>
      <c r="K554" s="114">
        <f>K25</f>
        <v>43.650000000000013</v>
      </c>
      <c r="L554" s="226">
        <f t="shared" si="514"/>
        <v>0.28636884306987392</v>
      </c>
      <c r="M554" s="220">
        <f t="shared" ref="M554:M557" si="517">IF(L554/1000&gt;1000,1000,L554/1000)</f>
        <v>2.863688430698739E-4</v>
      </c>
      <c r="N554" s="611">
        <f>I554*M554+I555*M555+I556*M556</f>
        <v>2.863688430698739E-4</v>
      </c>
    </row>
    <row r="555" spans="1:14" s="191" customFormat="1">
      <c r="A555" s="172" t="str">
        <f>A554</f>
        <v>NR/SBR</v>
      </c>
      <c r="B555" s="149" t="str">
        <f>B554</f>
        <v>particles</v>
      </c>
      <c r="C555" s="149">
        <f t="shared" si="333"/>
        <v>6</v>
      </c>
      <c r="D555" s="149" t="str">
        <f t="shared" ref="D555:F556" si="518">D554</f>
        <v>0,01-0,1</v>
      </c>
      <c r="E555" s="149">
        <f t="shared" si="518"/>
        <v>0.1</v>
      </c>
      <c r="F555" s="149" t="str">
        <f t="shared" si="518"/>
        <v>water</v>
      </c>
      <c r="G555" s="146" t="str">
        <f t="shared" si="488"/>
        <v>NR/SBR particles 0,01-0,1 mm (emission to water)</v>
      </c>
      <c r="H555" s="146"/>
      <c r="I555" s="129">
        <v>1</v>
      </c>
      <c r="J555" s="101" t="s">
        <v>1097</v>
      </c>
      <c r="K555" s="114">
        <f>K26</f>
        <v>43.650000000000013</v>
      </c>
      <c r="L555" s="226">
        <f t="shared" si="514"/>
        <v>0.28636884306987392</v>
      </c>
      <c r="M555" s="220">
        <f t="shared" si="517"/>
        <v>2.863688430698739E-4</v>
      </c>
      <c r="N555" s="612"/>
    </row>
    <row r="556" spans="1:14" s="191" customFormat="1">
      <c r="A556" s="172" t="str">
        <f>A555</f>
        <v>NR/SBR</v>
      </c>
      <c r="B556" s="149" t="str">
        <f>B555</f>
        <v>particles</v>
      </c>
      <c r="C556" s="149">
        <f t="shared" si="333"/>
        <v>6</v>
      </c>
      <c r="D556" s="149" t="str">
        <f t="shared" si="518"/>
        <v>0,01-0,1</v>
      </c>
      <c r="E556" s="149">
        <f t="shared" si="518"/>
        <v>0.1</v>
      </c>
      <c r="F556" s="149" t="str">
        <f t="shared" si="518"/>
        <v>water</v>
      </c>
      <c r="G556" s="146" t="str">
        <f t="shared" si="488"/>
        <v>NR/SBR particles 0,01-0,1 mm (emission to water)</v>
      </c>
      <c r="H556" s="146">
        <f>H555</f>
        <v>0</v>
      </c>
      <c r="I556" s="129">
        <v>0</v>
      </c>
      <c r="J556" s="101" t="s">
        <v>1096</v>
      </c>
      <c r="K556" s="114">
        <f>K27</f>
        <v>43.650000000000013</v>
      </c>
      <c r="L556" s="226">
        <f t="shared" si="514"/>
        <v>0.28636884306987392</v>
      </c>
      <c r="M556" s="220">
        <f t="shared" si="517"/>
        <v>2.863688430698739E-4</v>
      </c>
      <c r="N556" s="612"/>
    </row>
    <row r="557" spans="1:14" s="191" customFormat="1">
      <c r="A557" s="173" t="str">
        <f>A555</f>
        <v>NR/SBR</v>
      </c>
      <c r="B557" s="150" t="str">
        <f>B555</f>
        <v>particles</v>
      </c>
      <c r="C557" s="150">
        <f t="shared" si="333"/>
        <v>6</v>
      </c>
      <c r="D557" s="150" t="str">
        <f>D555</f>
        <v>0,01-0,1</v>
      </c>
      <c r="E557" s="150">
        <f>E555</f>
        <v>0.1</v>
      </c>
      <c r="F557" s="150" t="str">
        <f>F555</f>
        <v>water</v>
      </c>
      <c r="G557" s="147" t="str">
        <f t="shared" si="488"/>
        <v>NR/SBR particles 0,01-0,1 mm (emission to water)</v>
      </c>
      <c r="H557" s="146"/>
      <c r="I557" s="129">
        <v>0</v>
      </c>
      <c r="J557" s="101" t="s">
        <v>1034</v>
      </c>
      <c r="K557" s="114" t="s">
        <v>596</v>
      </c>
      <c r="L557" s="226">
        <f t="shared" si="514"/>
        <v>0</v>
      </c>
      <c r="M557" s="220">
        <f t="shared" si="517"/>
        <v>0</v>
      </c>
      <c r="N557" s="613"/>
    </row>
    <row r="558" spans="1:14" s="191" customFormat="1">
      <c r="A558" s="231" t="s">
        <v>191</v>
      </c>
      <c r="B558" s="289" t="s">
        <v>1025</v>
      </c>
      <c r="C558" s="289">
        <v>6</v>
      </c>
      <c r="D558" s="290" t="s">
        <v>1018</v>
      </c>
      <c r="E558" s="155">
        <v>0.1</v>
      </c>
      <c r="F558" s="131" t="s">
        <v>1057</v>
      </c>
      <c r="G558" s="134" t="str">
        <f t="shared" ref="G558:G560" si="519">CONCATENATE(A558," ",B558," ",D558," mm (emission to ",F558,")")</f>
        <v>NR/SBR particles 0,01-0,1 mm (emission to air)</v>
      </c>
      <c r="H558" s="144"/>
      <c r="I558" s="137">
        <v>0.97699999999999998</v>
      </c>
      <c r="J558" s="101" t="s">
        <v>1019</v>
      </c>
      <c r="K558" s="114">
        <f>K25</f>
        <v>43.650000000000013</v>
      </c>
      <c r="L558" s="226">
        <f t="shared" si="514"/>
        <v>0.28636884306987392</v>
      </c>
      <c r="M558" s="158">
        <f>IF(L558/1000&gt;1000,1000,L558/1000)</f>
        <v>2.863688430698739E-4</v>
      </c>
      <c r="N558" s="610">
        <f>I558*M558+I559*M559</f>
        <v>2.863688430698739E-4</v>
      </c>
    </row>
    <row r="559" spans="1:14" s="191" customFormat="1">
      <c r="A559" s="172" t="str">
        <f>A558</f>
        <v>NR/SBR</v>
      </c>
      <c r="B559" s="149" t="str">
        <f>B558</f>
        <v>particles</v>
      </c>
      <c r="C559" s="149">
        <f t="shared" ref="C559:C560" si="520">IF(OR(B559="Folie", B559="Strips", B559="Film",B559="Flakes",B559="Coupon"), 2,IF(OR(B559="Fibers",B559="Pellets"),4,IF(OR(B559="Particles",B559="Shreds",B559="Powder",B559="Fragments",B559="Granules"),6,"")))</f>
        <v>6</v>
      </c>
      <c r="D559" s="149" t="str">
        <f t="shared" ref="D559:F559" si="521">D558</f>
        <v>0,01-0,1</v>
      </c>
      <c r="E559" s="149">
        <f t="shared" si="521"/>
        <v>0.1</v>
      </c>
      <c r="F559" s="149" t="str">
        <f t="shared" si="521"/>
        <v>air</v>
      </c>
      <c r="G559" s="146" t="str">
        <f t="shared" si="519"/>
        <v>NR/SBR particles 0,01-0,1 mm (emission to air)</v>
      </c>
      <c r="H559" s="146">
        <f>H558</f>
        <v>0</v>
      </c>
      <c r="I559" s="129">
        <v>2.3E-2</v>
      </c>
      <c r="J559" s="101" t="s">
        <v>1097</v>
      </c>
      <c r="K559" s="114">
        <f>K26</f>
        <v>43.650000000000013</v>
      </c>
      <c r="L559" s="226">
        <f t="shared" si="514"/>
        <v>0.28636884306987392</v>
      </c>
      <c r="M559" s="158">
        <f>IF(L559/1000&gt;1000,1000,L559/1000)</f>
        <v>2.863688430698739E-4</v>
      </c>
      <c r="N559" s="610"/>
    </row>
    <row r="560" spans="1:14" s="191" customFormat="1">
      <c r="A560" s="173" t="str">
        <f>A558</f>
        <v>NR/SBR</v>
      </c>
      <c r="B560" s="150" t="str">
        <f>B558</f>
        <v>particles</v>
      </c>
      <c r="C560" s="150">
        <f t="shared" si="520"/>
        <v>6</v>
      </c>
      <c r="D560" s="150" t="str">
        <f>D558</f>
        <v>0,01-0,1</v>
      </c>
      <c r="E560" s="150">
        <f>E558</f>
        <v>0.1</v>
      </c>
      <c r="F560" s="150" t="str">
        <f>F558</f>
        <v>air</v>
      </c>
      <c r="G560" s="147" t="str">
        <f t="shared" si="519"/>
        <v>NR/SBR particles 0,01-0,1 mm (emission to air)</v>
      </c>
      <c r="H560" s="147"/>
      <c r="I560" s="129">
        <v>0</v>
      </c>
      <c r="J560" s="101" t="s">
        <v>1034</v>
      </c>
      <c r="K560" s="151" t="s">
        <v>596</v>
      </c>
      <c r="L560" s="226">
        <f t="shared" si="514"/>
        <v>0</v>
      </c>
      <c r="M560" s="158">
        <f t="shared" ref="M560" si="522">IF(L560/1000&gt;1000,1000,L560/1000)</f>
        <v>0</v>
      </c>
      <c r="N560" s="610"/>
    </row>
    <row r="561" spans="1:14" s="191" customFormat="1">
      <c r="A561" s="260" t="s">
        <v>191</v>
      </c>
      <c r="B561" s="142" t="s">
        <v>1025</v>
      </c>
      <c r="C561" s="184">
        <f t="shared" si="333"/>
        <v>6</v>
      </c>
      <c r="D561" s="202" t="s">
        <v>1028</v>
      </c>
      <c r="E561" s="155">
        <v>1</v>
      </c>
      <c r="F561" s="203" t="s">
        <v>1019</v>
      </c>
      <c r="G561" s="204" t="str">
        <f t="shared" si="488"/>
        <v>NR/SBR particles 0,1-1 mm (emission to soil)</v>
      </c>
      <c r="H561" s="205" t="s">
        <v>254</v>
      </c>
      <c r="I561" s="240">
        <v>1</v>
      </c>
      <c r="J561" s="247" t="s">
        <v>1019</v>
      </c>
      <c r="K561" s="248">
        <f>K25</f>
        <v>43.650000000000013</v>
      </c>
      <c r="L561" s="243">
        <f t="shared" ref="L561:L570" si="523">IFERROR(IF(K561="--",0,IF(E561*1000/K561*(1-0.5)^(C561/2)&gt;1000,1000,E561*1000/K561*(1-0.5)^(C561/2))),1000)</f>
        <v>2.8636884306987391</v>
      </c>
      <c r="M561" s="253">
        <f>IF(L561/1000&gt;1000,1000,L561/1000)</f>
        <v>2.8636884306987393E-3</v>
      </c>
      <c r="N561" s="617">
        <f>I561*M561+I562*M562</f>
        <v>2.8636884306987393E-3</v>
      </c>
    </row>
    <row r="562" spans="1:14" s="191" customFormat="1" ht="12.75" customHeight="1">
      <c r="A562" s="244" t="str">
        <f>A561</f>
        <v>NR/SBR</v>
      </c>
      <c r="B562" s="245" t="str">
        <f>B561</f>
        <v>particles</v>
      </c>
      <c r="C562" s="245">
        <f t="shared" si="333"/>
        <v>6</v>
      </c>
      <c r="D562" s="245" t="str">
        <f t="shared" ref="D562:F563" si="524">D561</f>
        <v>0,1-1</v>
      </c>
      <c r="E562" s="245">
        <f t="shared" si="524"/>
        <v>1</v>
      </c>
      <c r="F562" s="245" t="str">
        <f t="shared" si="524"/>
        <v>soil</v>
      </c>
      <c r="G562" s="246" t="str">
        <f t="shared" si="488"/>
        <v>NR/SBR particles 0,1-1 mm (emission to soil)</v>
      </c>
      <c r="H562" s="246" t="str">
        <f>H561</f>
        <v>Reifenabrieb</v>
      </c>
      <c r="I562" s="240">
        <v>0</v>
      </c>
      <c r="J562" s="247" t="s">
        <v>1097</v>
      </c>
      <c r="K562" s="248">
        <f>K26</f>
        <v>43.650000000000013</v>
      </c>
      <c r="L562" s="243">
        <f t="shared" si="523"/>
        <v>2.8636884306987391</v>
      </c>
      <c r="M562" s="253">
        <f>IF(L562/1000&gt;1000,1000,L562/1000)</f>
        <v>2.8636884306987393E-3</v>
      </c>
      <c r="N562" s="617"/>
    </row>
    <row r="563" spans="1:14" s="191" customFormat="1" ht="15" customHeight="1">
      <c r="A563" s="249" t="str">
        <f>A562</f>
        <v>NR/SBR</v>
      </c>
      <c r="B563" s="250" t="str">
        <f>B562</f>
        <v>particles</v>
      </c>
      <c r="C563" s="250">
        <f t="shared" si="333"/>
        <v>6</v>
      </c>
      <c r="D563" s="250" t="str">
        <f t="shared" si="524"/>
        <v>0,1-1</v>
      </c>
      <c r="E563" s="250">
        <f t="shared" si="524"/>
        <v>1</v>
      </c>
      <c r="F563" s="250" t="str">
        <f t="shared" si="524"/>
        <v>soil</v>
      </c>
      <c r="G563" s="251" t="str">
        <f t="shared" si="488"/>
        <v>NR/SBR particles 0,1-1 mm (emission to soil)</v>
      </c>
      <c r="H563" s="251" t="str">
        <f>H562</f>
        <v>Reifenabrieb</v>
      </c>
      <c r="I563" s="240">
        <v>0</v>
      </c>
      <c r="J563" s="247" t="s">
        <v>1034</v>
      </c>
      <c r="K563" s="252" t="s">
        <v>596</v>
      </c>
      <c r="L563" s="243">
        <f t="shared" si="523"/>
        <v>0</v>
      </c>
      <c r="M563" s="253">
        <f t="shared" ref="M563" si="525">IF(L563/1000&gt;1000,1000,L563/1000)</f>
        <v>0</v>
      </c>
      <c r="N563" s="617"/>
    </row>
    <row r="564" spans="1:14" s="191" customFormat="1">
      <c r="A564" s="176" t="s">
        <v>191</v>
      </c>
      <c r="B564" s="183" t="s">
        <v>1025</v>
      </c>
      <c r="C564" s="184">
        <f t="shared" si="333"/>
        <v>6</v>
      </c>
      <c r="D564" s="201" t="s">
        <v>1028</v>
      </c>
      <c r="E564" s="155">
        <v>1</v>
      </c>
      <c r="F564" s="206" t="s">
        <v>1020</v>
      </c>
      <c r="G564" s="144" t="str">
        <f t="shared" si="488"/>
        <v>NR/SBR particles 0,1-1 mm (emission to water)</v>
      </c>
      <c r="H564" s="133" t="s">
        <v>254</v>
      </c>
      <c r="I564" s="137">
        <v>0</v>
      </c>
      <c r="J564" s="101" t="s">
        <v>1019</v>
      </c>
      <c r="K564" s="114">
        <f>K25</f>
        <v>43.650000000000013</v>
      </c>
      <c r="L564" s="226">
        <f t="shared" si="523"/>
        <v>2.8636884306987391</v>
      </c>
      <c r="M564" s="220">
        <f t="shared" ref="M564:M567" si="526">IF(L564/1000&gt;1000,1000,L564/1000)</f>
        <v>2.8636884306987393E-3</v>
      </c>
      <c r="N564" s="611">
        <f>I564*M564+I565*M565+I566*M566</f>
        <v>2.8636884306987393E-3</v>
      </c>
    </row>
    <row r="565" spans="1:14" s="191" customFormat="1">
      <c r="A565" s="172" t="str">
        <f>A564</f>
        <v>NR/SBR</v>
      </c>
      <c r="B565" s="149" t="str">
        <f>B564</f>
        <v>particles</v>
      </c>
      <c r="C565" s="149">
        <f t="shared" si="333"/>
        <v>6</v>
      </c>
      <c r="D565" s="149" t="str">
        <f t="shared" ref="D565:F566" si="527">D564</f>
        <v>0,1-1</v>
      </c>
      <c r="E565" s="149">
        <f t="shared" si="527"/>
        <v>1</v>
      </c>
      <c r="F565" s="149" t="str">
        <f t="shared" si="527"/>
        <v>water</v>
      </c>
      <c r="G565" s="146" t="str">
        <f t="shared" si="488"/>
        <v>NR/SBR particles 0,1-1 mm (emission to water)</v>
      </c>
      <c r="H565" s="146" t="str">
        <f>H564</f>
        <v>Reifenabrieb</v>
      </c>
      <c r="I565" s="129">
        <v>1</v>
      </c>
      <c r="J565" s="101" t="s">
        <v>1097</v>
      </c>
      <c r="K565" s="114">
        <f>K26</f>
        <v>43.650000000000013</v>
      </c>
      <c r="L565" s="226">
        <f t="shared" si="523"/>
        <v>2.8636884306987391</v>
      </c>
      <c r="M565" s="220">
        <f t="shared" si="526"/>
        <v>2.8636884306987393E-3</v>
      </c>
      <c r="N565" s="612"/>
    </row>
    <row r="566" spans="1:14" s="191" customFormat="1">
      <c r="A566" s="172" t="str">
        <f>A565</f>
        <v>NR/SBR</v>
      </c>
      <c r="B566" s="149" t="str">
        <f>B565</f>
        <v>particles</v>
      </c>
      <c r="C566" s="149">
        <f t="shared" si="333"/>
        <v>6</v>
      </c>
      <c r="D566" s="149" t="str">
        <f t="shared" si="527"/>
        <v>0,1-1</v>
      </c>
      <c r="E566" s="149">
        <f t="shared" si="527"/>
        <v>1</v>
      </c>
      <c r="F566" s="149" t="str">
        <f t="shared" si="527"/>
        <v>water</v>
      </c>
      <c r="G566" s="146" t="str">
        <f t="shared" si="488"/>
        <v>NR/SBR particles 0,1-1 mm (emission to water)</v>
      </c>
      <c r="H566" s="146" t="str">
        <f>H565</f>
        <v>Reifenabrieb</v>
      </c>
      <c r="I566" s="129">
        <v>0</v>
      </c>
      <c r="J566" s="101" t="s">
        <v>1096</v>
      </c>
      <c r="K566" s="114">
        <f>K27</f>
        <v>43.650000000000013</v>
      </c>
      <c r="L566" s="226">
        <f t="shared" si="523"/>
        <v>2.8636884306987391</v>
      </c>
      <c r="M566" s="220">
        <f t="shared" si="526"/>
        <v>2.8636884306987393E-3</v>
      </c>
      <c r="N566" s="612"/>
    </row>
    <row r="567" spans="1:14" s="191" customFormat="1" ht="15" customHeight="1">
      <c r="A567" s="173" t="str">
        <f>A565</f>
        <v>NR/SBR</v>
      </c>
      <c r="B567" s="150" t="str">
        <f>B565</f>
        <v>particles</v>
      </c>
      <c r="C567" s="150">
        <f t="shared" si="333"/>
        <v>6</v>
      </c>
      <c r="D567" s="150" t="str">
        <f>D565</f>
        <v>0,1-1</v>
      </c>
      <c r="E567" s="150">
        <f>E565</f>
        <v>1</v>
      </c>
      <c r="F567" s="150" t="str">
        <f>F565</f>
        <v>water</v>
      </c>
      <c r="G567" s="147" t="str">
        <f t="shared" si="488"/>
        <v>NR/SBR particles 0,1-1 mm (emission to water)</v>
      </c>
      <c r="H567" s="147" t="str">
        <f>H565</f>
        <v>Reifenabrieb</v>
      </c>
      <c r="I567" s="129">
        <v>0</v>
      </c>
      <c r="J567" s="101" t="s">
        <v>1034</v>
      </c>
      <c r="K567" s="114" t="s">
        <v>596</v>
      </c>
      <c r="L567" s="226">
        <f t="shared" si="523"/>
        <v>0</v>
      </c>
      <c r="M567" s="220">
        <f t="shared" si="526"/>
        <v>0</v>
      </c>
      <c r="N567" s="613"/>
    </row>
    <row r="568" spans="1:14" s="191" customFormat="1" ht="15" customHeight="1">
      <c r="A568" s="231" t="s">
        <v>191</v>
      </c>
      <c r="B568" s="289" t="s">
        <v>1025</v>
      </c>
      <c r="C568" s="289">
        <v>6</v>
      </c>
      <c r="D568" s="290" t="s">
        <v>1028</v>
      </c>
      <c r="E568" s="155">
        <v>1</v>
      </c>
      <c r="F568" s="131" t="s">
        <v>1057</v>
      </c>
      <c r="G568" s="134" t="str">
        <f t="shared" ref="G568:G570" si="528">CONCATENATE(A568," ",B568," ",D568," mm (emission to ",F568,")")</f>
        <v>NR/SBR particles 0,1-1 mm (emission to air)</v>
      </c>
      <c r="H568" s="144"/>
      <c r="I568" s="137">
        <v>0.97699999999999998</v>
      </c>
      <c r="J568" s="101" t="s">
        <v>1019</v>
      </c>
      <c r="K568" s="114">
        <f>K25</f>
        <v>43.650000000000013</v>
      </c>
      <c r="L568" s="226">
        <f t="shared" si="523"/>
        <v>2.8636884306987391</v>
      </c>
      <c r="M568" s="158">
        <f>IF(L568/1000&gt;1000,1000,L568/1000)</f>
        <v>2.8636884306987393E-3</v>
      </c>
      <c r="N568" s="610">
        <f>I568*M568+I569*M569</f>
        <v>2.8636884306987393E-3</v>
      </c>
    </row>
    <row r="569" spans="1:14" s="191" customFormat="1" ht="15" customHeight="1">
      <c r="A569" s="172" t="str">
        <f>A568</f>
        <v>NR/SBR</v>
      </c>
      <c r="B569" s="149" t="str">
        <f>B568</f>
        <v>particles</v>
      </c>
      <c r="C569" s="149">
        <f t="shared" ref="C569:C570" si="529">IF(OR(B569="Folie", B569="Strips", B569="Film",B569="Flakes",B569="Coupon"), 2,IF(OR(B569="Fibers",B569="Pellets"),4,IF(OR(B569="Particles",B569="Shreds",B569="Powder",B569="Fragments",B569="Granules"),6,"")))</f>
        <v>6</v>
      </c>
      <c r="D569" s="149" t="str">
        <f t="shared" ref="D569:F569" si="530">D568</f>
        <v>0,1-1</v>
      </c>
      <c r="E569" s="149">
        <f t="shared" si="530"/>
        <v>1</v>
      </c>
      <c r="F569" s="149" t="str">
        <f t="shared" si="530"/>
        <v>air</v>
      </c>
      <c r="G569" s="146" t="str">
        <f t="shared" si="528"/>
        <v>NR/SBR particles 0,1-1 mm (emission to air)</v>
      </c>
      <c r="H569" s="146">
        <f>H568</f>
        <v>0</v>
      </c>
      <c r="I569" s="129">
        <v>2.3E-2</v>
      </c>
      <c r="J569" s="101" t="s">
        <v>1097</v>
      </c>
      <c r="K569" s="114">
        <f>K26</f>
        <v>43.650000000000013</v>
      </c>
      <c r="L569" s="226">
        <f t="shared" si="523"/>
        <v>2.8636884306987391</v>
      </c>
      <c r="M569" s="158">
        <f>IF(L569/1000&gt;1000,1000,L569/1000)</f>
        <v>2.8636884306987393E-3</v>
      </c>
      <c r="N569" s="610"/>
    </row>
    <row r="570" spans="1:14" s="191" customFormat="1" ht="15" customHeight="1">
      <c r="A570" s="173" t="str">
        <f>A568</f>
        <v>NR/SBR</v>
      </c>
      <c r="B570" s="150" t="str">
        <f>B568</f>
        <v>particles</v>
      </c>
      <c r="C570" s="150">
        <f t="shared" si="529"/>
        <v>6</v>
      </c>
      <c r="D570" s="150" t="str">
        <f>D568</f>
        <v>0,1-1</v>
      </c>
      <c r="E570" s="150">
        <f>E568</f>
        <v>1</v>
      </c>
      <c r="F570" s="150" t="str">
        <f>F568</f>
        <v>air</v>
      </c>
      <c r="G570" s="147" t="str">
        <f t="shared" si="528"/>
        <v>NR/SBR particles 0,1-1 mm (emission to air)</v>
      </c>
      <c r="H570" s="147"/>
      <c r="I570" s="129">
        <v>0</v>
      </c>
      <c r="J570" s="101" t="s">
        <v>1034</v>
      </c>
      <c r="K570" s="151" t="s">
        <v>596</v>
      </c>
      <c r="L570" s="226">
        <f t="shared" si="523"/>
        <v>0</v>
      </c>
      <c r="M570" s="158">
        <f t="shared" ref="M570" si="531">IF(L570/1000&gt;1000,1000,L570/1000)</f>
        <v>0</v>
      </c>
      <c r="N570" s="610"/>
    </row>
    <row r="571" spans="1:14" s="191" customFormat="1" ht="15" customHeight="1">
      <c r="A571" s="176" t="s">
        <v>191</v>
      </c>
      <c r="B571" s="183" t="s">
        <v>1025</v>
      </c>
      <c r="C571" s="184">
        <f t="shared" si="333"/>
        <v>6</v>
      </c>
      <c r="D571" s="184" t="s">
        <v>1026</v>
      </c>
      <c r="E571" s="155">
        <v>10</v>
      </c>
      <c r="F571" s="131" t="s">
        <v>1019</v>
      </c>
      <c r="G571" s="134" t="str">
        <f t="shared" si="488"/>
        <v>NR/SBR particles 1-10 mm (emission to soil)</v>
      </c>
      <c r="H571" s="133" t="s">
        <v>1038</v>
      </c>
      <c r="I571" s="129">
        <v>1</v>
      </c>
      <c r="J571" s="101" t="s">
        <v>1019</v>
      </c>
      <c r="K571" s="114">
        <f>K25</f>
        <v>43.650000000000013</v>
      </c>
      <c r="L571" s="226">
        <f t="shared" ref="L571:L580" si="532">IFERROR(IF(K571="--",0,IF(E571*1000/K571*(1-0.5)^(C571/2)&gt;1000,1000,E571*1000/K571*(1-0.5)^(C571/2))),1000)</f>
        <v>28.63688430698739</v>
      </c>
      <c r="M571" s="158">
        <f>IF(L571/1000&gt;1000,1000,L571/1000)</f>
        <v>2.8636884306987392E-2</v>
      </c>
      <c r="N571" s="610">
        <f>I571*M571+I572*M572</f>
        <v>2.8636884306987392E-2</v>
      </c>
    </row>
    <row r="572" spans="1:14" s="191" customFormat="1" ht="15" customHeight="1">
      <c r="A572" s="172" t="str">
        <f>A571</f>
        <v>NR/SBR</v>
      </c>
      <c r="B572" s="149" t="str">
        <f>B571</f>
        <v>particles</v>
      </c>
      <c r="C572" s="149">
        <f t="shared" si="333"/>
        <v>6</v>
      </c>
      <c r="D572" s="149" t="str">
        <f t="shared" ref="D572:F573" si="533">D571</f>
        <v>1-10</v>
      </c>
      <c r="E572" s="149">
        <f t="shared" si="533"/>
        <v>10</v>
      </c>
      <c r="F572" s="149" t="str">
        <f t="shared" si="533"/>
        <v>soil</v>
      </c>
      <c r="G572" s="146" t="str">
        <f t="shared" si="488"/>
        <v>NR/SBR particles 1-10 mm (emission to soil)</v>
      </c>
      <c r="H572" s="146" t="str">
        <f>H571</f>
        <v>Metallzerkleinerung</v>
      </c>
      <c r="I572" s="129">
        <v>0</v>
      </c>
      <c r="J572" s="101" t="s">
        <v>1097</v>
      </c>
      <c r="K572" s="114">
        <f>K26</f>
        <v>43.650000000000013</v>
      </c>
      <c r="L572" s="226">
        <f t="shared" si="532"/>
        <v>28.63688430698739</v>
      </c>
      <c r="M572" s="158">
        <f>IF(L572/1000&gt;1000,1000,L572/1000)</f>
        <v>2.8636884306987392E-2</v>
      </c>
      <c r="N572" s="610"/>
    </row>
    <row r="573" spans="1:14" s="191" customFormat="1" ht="15" customHeight="1">
      <c r="A573" s="173" t="str">
        <f>A572</f>
        <v>NR/SBR</v>
      </c>
      <c r="B573" s="150" t="str">
        <f>B572</f>
        <v>particles</v>
      </c>
      <c r="C573" s="150">
        <f t="shared" si="333"/>
        <v>6</v>
      </c>
      <c r="D573" s="150" t="str">
        <f t="shared" si="533"/>
        <v>1-10</v>
      </c>
      <c r="E573" s="150">
        <f t="shared" si="533"/>
        <v>10</v>
      </c>
      <c r="F573" s="150" t="str">
        <f t="shared" si="533"/>
        <v>soil</v>
      </c>
      <c r="G573" s="147" t="str">
        <f t="shared" si="488"/>
        <v>NR/SBR particles 1-10 mm (emission to soil)</v>
      </c>
      <c r="H573" s="147" t="str">
        <f>H572</f>
        <v>Metallzerkleinerung</v>
      </c>
      <c r="I573" s="129">
        <v>0</v>
      </c>
      <c r="J573" s="101" t="s">
        <v>1034</v>
      </c>
      <c r="K573" s="151" t="s">
        <v>596</v>
      </c>
      <c r="L573" s="226">
        <f t="shared" si="532"/>
        <v>0</v>
      </c>
      <c r="M573" s="158">
        <f t="shared" ref="M573" si="534">IF(L573/1000&gt;1000,1000,L573/1000)</f>
        <v>0</v>
      </c>
      <c r="N573" s="610"/>
    </row>
    <row r="574" spans="1:14" s="191" customFormat="1" ht="15" customHeight="1">
      <c r="A574" s="176" t="s">
        <v>191</v>
      </c>
      <c r="B574" s="288" t="s">
        <v>1025</v>
      </c>
      <c r="C574" s="290">
        <f t="shared" si="333"/>
        <v>6</v>
      </c>
      <c r="D574" s="290" t="s">
        <v>1026</v>
      </c>
      <c r="E574" s="288">
        <v>10</v>
      </c>
      <c r="F574" s="131" t="s">
        <v>1020</v>
      </c>
      <c r="G574" s="134" t="str">
        <f t="shared" si="488"/>
        <v>NR/SBR particles 1-10 mm (emission to water)</v>
      </c>
      <c r="H574" s="133" t="s">
        <v>1038</v>
      </c>
      <c r="I574" s="137">
        <v>0</v>
      </c>
      <c r="J574" s="101" t="s">
        <v>1019</v>
      </c>
      <c r="K574" s="114">
        <f>K25</f>
        <v>43.650000000000013</v>
      </c>
      <c r="L574" s="226">
        <f t="shared" si="532"/>
        <v>28.63688430698739</v>
      </c>
      <c r="M574" s="220">
        <f t="shared" ref="M574:M577" si="535">IF(L574/1000&gt;1000,1000,L574/1000)</f>
        <v>2.8636884306987392E-2</v>
      </c>
      <c r="N574" s="611">
        <f>I574*M574+I575*M575+I576*M576</f>
        <v>2.8636884306987392E-2</v>
      </c>
    </row>
    <row r="575" spans="1:14" s="191" customFormat="1" ht="15" customHeight="1">
      <c r="A575" s="172" t="str">
        <f>A574</f>
        <v>NR/SBR</v>
      </c>
      <c r="B575" s="149" t="str">
        <f>B574</f>
        <v>particles</v>
      </c>
      <c r="C575" s="149">
        <f t="shared" si="333"/>
        <v>6</v>
      </c>
      <c r="D575" s="149" t="str">
        <f t="shared" ref="D575:F576" si="536">D574</f>
        <v>1-10</v>
      </c>
      <c r="E575" s="149">
        <f t="shared" si="536"/>
        <v>10</v>
      </c>
      <c r="F575" s="149" t="str">
        <f t="shared" si="536"/>
        <v>water</v>
      </c>
      <c r="G575" s="146" t="str">
        <f t="shared" ref="G575:G587" si="537">CONCATENATE(A575," ",B575," ",D575," mm (emission to ",F575,")")</f>
        <v>NR/SBR particles 1-10 mm (emission to water)</v>
      </c>
      <c r="H575" s="146" t="str">
        <f>H574</f>
        <v>Metallzerkleinerung</v>
      </c>
      <c r="I575" s="129">
        <v>1</v>
      </c>
      <c r="J575" s="101" t="s">
        <v>1097</v>
      </c>
      <c r="K575" s="114">
        <f>K26</f>
        <v>43.650000000000013</v>
      </c>
      <c r="L575" s="226">
        <f t="shared" si="532"/>
        <v>28.63688430698739</v>
      </c>
      <c r="M575" s="220">
        <f t="shared" si="535"/>
        <v>2.8636884306987392E-2</v>
      </c>
      <c r="N575" s="612"/>
    </row>
    <row r="576" spans="1:14" s="191" customFormat="1" ht="15" customHeight="1">
      <c r="A576" s="172" t="str">
        <f>A575</f>
        <v>NR/SBR</v>
      </c>
      <c r="B576" s="149" t="str">
        <f>B575</f>
        <v>particles</v>
      </c>
      <c r="C576" s="149">
        <f t="shared" si="333"/>
        <v>6</v>
      </c>
      <c r="D576" s="149" t="str">
        <f t="shared" si="536"/>
        <v>1-10</v>
      </c>
      <c r="E576" s="149">
        <f t="shared" si="536"/>
        <v>10</v>
      </c>
      <c r="F576" s="149" t="str">
        <f t="shared" si="536"/>
        <v>water</v>
      </c>
      <c r="G576" s="146" t="str">
        <f t="shared" si="537"/>
        <v>NR/SBR particles 1-10 mm (emission to water)</v>
      </c>
      <c r="H576" s="146" t="str">
        <f>H575</f>
        <v>Metallzerkleinerung</v>
      </c>
      <c r="I576" s="129">
        <v>0</v>
      </c>
      <c r="J576" s="101" t="s">
        <v>1096</v>
      </c>
      <c r="K576" s="114">
        <f>K27</f>
        <v>43.650000000000013</v>
      </c>
      <c r="L576" s="226">
        <f t="shared" si="532"/>
        <v>28.63688430698739</v>
      </c>
      <c r="M576" s="220">
        <f t="shared" si="535"/>
        <v>2.8636884306987392E-2</v>
      </c>
      <c r="N576" s="612"/>
    </row>
    <row r="577" spans="1:14" s="191" customFormat="1" ht="15" customHeight="1">
      <c r="A577" s="173" t="str">
        <f>A575</f>
        <v>NR/SBR</v>
      </c>
      <c r="B577" s="150" t="str">
        <f>B575</f>
        <v>particles</v>
      </c>
      <c r="C577" s="150">
        <f t="shared" si="333"/>
        <v>6</v>
      </c>
      <c r="D577" s="150" t="str">
        <f>D575</f>
        <v>1-10</v>
      </c>
      <c r="E577" s="150">
        <f>E575</f>
        <v>10</v>
      </c>
      <c r="F577" s="150" t="str">
        <f>F575</f>
        <v>water</v>
      </c>
      <c r="G577" s="147" t="str">
        <f t="shared" si="537"/>
        <v>NR/SBR particles 1-10 mm (emission to water)</v>
      </c>
      <c r="H577" s="147" t="str">
        <f>H575</f>
        <v>Metallzerkleinerung</v>
      </c>
      <c r="I577" s="129">
        <v>0</v>
      </c>
      <c r="J577" s="101" t="s">
        <v>1034</v>
      </c>
      <c r="K577" s="114" t="s">
        <v>596</v>
      </c>
      <c r="L577" s="226">
        <f t="shared" si="532"/>
        <v>0</v>
      </c>
      <c r="M577" s="220">
        <f t="shared" si="535"/>
        <v>0</v>
      </c>
      <c r="N577" s="613"/>
    </row>
    <row r="578" spans="1:14" s="191" customFormat="1" ht="15" customHeight="1">
      <c r="A578" s="231" t="s">
        <v>191</v>
      </c>
      <c r="B578" s="289" t="s">
        <v>1025</v>
      </c>
      <c r="C578" s="289">
        <v>6</v>
      </c>
      <c r="D578" s="290" t="s">
        <v>1026</v>
      </c>
      <c r="E578" s="288">
        <v>10</v>
      </c>
      <c r="F578" s="131" t="s">
        <v>1057</v>
      </c>
      <c r="G578" s="134" t="str">
        <f t="shared" si="537"/>
        <v>NR/SBR particles 1-10 mm (emission to air)</v>
      </c>
      <c r="H578" s="144"/>
      <c r="I578" s="137">
        <v>0.97699999999999998</v>
      </c>
      <c r="J578" s="101" t="s">
        <v>1019</v>
      </c>
      <c r="K578" s="114">
        <f>K25</f>
        <v>43.650000000000013</v>
      </c>
      <c r="L578" s="226">
        <f t="shared" si="532"/>
        <v>28.63688430698739</v>
      </c>
      <c r="M578" s="158">
        <f>IF(L578/1000&gt;1000,1000,L578/1000)</f>
        <v>2.8636884306987392E-2</v>
      </c>
      <c r="N578" s="610">
        <f>I578*M578+I579*M579</f>
        <v>2.8636884306987392E-2</v>
      </c>
    </row>
    <row r="579" spans="1:14" s="191" customFormat="1" ht="15" customHeight="1">
      <c r="A579" s="172" t="str">
        <f>A578</f>
        <v>NR/SBR</v>
      </c>
      <c r="B579" s="149" t="str">
        <f>B578</f>
        <v>particles</v>
      </c>
      <c r="C579" s="149">
        <f t="shared" ref="C579:C580" si="538">IF(OR(B579="Folie", B579="Strips", B579="Film",B579="Flakes",B579="Coupon"), 2,IF(OR(B579="Fibers",B579="Pellets"),4,IF(OR(B579="Particles",B579="Shreds",B579="Powder",B579="Fragments",B579="Granules"),6,"")))</f>
        <v>6</v>
      </c>
      <c r="D579" s="149" t="str">
        <f t="shared" ref="D579:F579" si="539">D578</f>
        <v>1-10</v>
      </c>
      <c r="E579" s="149">
        <f t="shared" si="539"/>
        <v>10</v>
      </c>
      <c r="F579" s="149" t="str">
        <f t="shared" si="539"/>
        <v>air</v>
      </c>
      <c r="G579" s="146" t="str">
        <f t="shared" si="537"/>
        <v>NR/SBR particles 1-10 mm (emission to air)</v>
      </c>
      <c r="H579" s="146">
        <f>H578</f>
        <v>0</v>
      </c>
      <c r="I579" s="129">
        <v>2.3E-2</v>
      </c>
      <c r="J579" s="101" t="s">
        <v>1097</v>
      </c>
      <c r="K579" s="114">
        <f>K26</f>
        <v>43.650000000000013</v>
      </c>
      <c r="L579" s="226">
        <f t="shared" si="532"/>
        <v>28.63688430698739</v>
      </c>
      <c r="M579" s="158">
        <f>IF(L579/1000&gt;1000,1000,L579/1000)</f>
        <v>2.8636884306987392E-2</v>
      </c>
      <c r="N579" s="610"/>
    </row>
    <row r="580" spans="1:14" s="191" customFormat="1" ht="15" customHeight="1" thickBot="1">
      <c r="A580" s="173" t="str">
        <f>A578</f>
        <v>NR/SBR</v>
      </c>
      <c r="B580" s="150" t="str">
        <f>B578</f>
        <v>particles</v>
      </c>
      <c r="C580" s="150">
        <f t="shared" si="538"/>
        <v>6</v>
      </c>
      <c r="D580" s="150" t="str">
        <f>D578</f>
        <v>1-10</v>
      </c>
      <c r="E580" s="150">
        <f>E578</f>
        <v>10</v>
      </c>
      <c r="F580" s="150" t="str">
        <f>F578</f>
        <v>air</v>
      </c>
      <c r="G580" s="147" t="str">
        <f t="shared" si="537"/>
        <v>NR/SBR particles 1-10 mm (emission to air)</v>
      </c>
      <c r="H580" s="147"/>
      <c r="I580" s="129">
        <v>0</v>
      </c>
      <c r="J580" s="101" t="s">
        <v>1034</v>
      </c>
      <c r="K580" s="151" t="s">
        <v>596</v>
      </c>
      <c r="L580" s="226">
        <f t="shared" si="532"/>
        <v>0</v>
      </c>
      <c r="M580" s="158">
        <f t="shared" ref="M580" si="540">IF(L580/1000&gt;1000,1000,L580/1000)</f>
        <v>0</v>
      </c>
      <c r="N580" s="610"/>
    </row>
    <row r="581" spans="1:14" s="102" customFormat="1">
      <c r="A581" s="163" t="s">
        <v>188</v>
      </c>
      <c r="B581" s="164" t="s">
        <v>996</v>
      </c>
      <c r="C581" s="165">
        <f t="shared" ref="C581:C587" si="541">IF(OR(B581="Folie", B581="Strips", B581="Film",B581="Flakes",B581="Coupon"), 2,IF(OR(B581="Fibers",B581="Pellets"),4,IF(OR(B581="Particles",B581="Shreds",B581="Powder",B581="Fragments",B581="Granules"),6,"")))</f>
        <v>2</v>
      </c>
      <c r="D581" s="165" t="s">
        <v>1028</v>
      </c>
      <c r="E581" s="155">
        <v>1</v>
      </c>
      <c r="F581" s="166" t="s">
        <v>1019</v>
      </c>
      <c r="G581" s="167" t="str">
        <f t="shared" si="537"/>
        <v>PA film 0,1-1 mm (emission to soil)</v>
      </c>
      <c r="H581" s="168"/>
      <c r="I581" s="129">
        <v>1</v>
      </c>
      <c r="J581" s="170" t="s">
        <v>1019</v>
      </c>
      <c r="K581" s="171">
        <f>K28</f>
        <v>292</v>
      </c>
      <c r="L581" s="226">
        <f t="shared" ref="L581:L590" si="542">IFERROR(IF(K581="--",0,IF(E581*1000/K581*(1-0.5)^(C581/2)&gt;1000,1000,E581*1000/K581*(1-0.5)^(C581/2))),1000)</f>
        <v>1.7123287671232876</v>
      </c>
      <c r="M581" s="158">
        <f>IF(L581/1000&gt;1000,1000,L581/1000)</f>
        <v>1.7123287671232876E-3</v>
      </c>
      <c r="N581" s="611">
        <f>I581*M581+I582*M582</f>
        <v>1.7123287671232876E-3</v>
      </c>
    </row>
    <row r="582" spans="1:14" s="102" customFormat="1">
      <c r="A582" s="172" t="str">
        <f>A581</f>
        <v>PA</v>
      </c>
      <c r="B582" s="149" t="str">
        <f>B581</f>
        <v>film</v>
      </c>
      <c r="C582" s="149">
        <f t="shared" si="541"/>
        <v>2</v>
      </c>
      <c r="D582" s="149" t="str">
        <f t="shared" ref="D582:F583" si="543">D581</f>
        <v>0,1-1</v>
      </c>
      <c r="E582" s="149">
        <f t="shared" si="543"/>
        <v>1</v>
      </c>
      <c r="F582" s="149" t="str">
        <f t="shared" si="543"/>
        <v>soil</v>
      </c>
      <c r="G582" s="146" t="str">
        <f t="shared" si="537"/>
        <v>PA film 0,1-1 mm (emission to soil)</v>
      </c>
      <c r="H582" s="146"/>
      <c r="I582" s="129">
        <v>0</v>
      </c>
      <c r="J582" s="101" t="s">
        <v>1097</v>
      </c>
      <c r="K582" s="114">
        <f>K29</f>
        <v>292</v>
      </c>
      <c r="L582" s="226">
        <f t="shared" si="542"/>
        <v>1.7123287671232876</v>
      </c>
      <c r="M582" s="158">
        <f>IF(L582/1000&gt;1000,1000,L582/1000)</f>
        <v>1.7123287671232876E-3</v>
      </c>
      <c r="N582" s="612"/>
    </row>
    <row r="583" spans="1:14" s="102" customFormat="1">
      <c r="A583" s="173" t="str">
        <f>A582</f>
        <v>PA</v>
      </c>
      <c r="B583" s="150" t="str">
        <f>B582</f>
        <v>film</v>
      </c>
      <c r="C583" s="150">
        <f t="shared" si="541"/>
        <v>2</v>
      </c>
      <c r="D583" s="150" t="str">
        <f t="shared" si="543"/>
        <v>0,1-1</v>
      </c>
      <c r="E583" s="150">
        <f t="shared" si="543"/>
        <v>1</v>
      </c>
      <c r="F583" s="150" t="str">
        <f t="shared" si="543"/>
        <v>soil</v>
      </c>
      <c r="G583" s="147" t="str">
        <f t="shared" si="537"/>
        <v>PA film 0,1-1 mm (emission to soil)</v>
      </c>
      <c r="H583" s="147"/>
      <c r="I583" s="129">
        <v>0</v>
      </c>
      <c r="J583" s="101" t="s">
        <v>1034</v>
      </c>
      <c r="K583" s="151" t="s">
        <v>596</v>
      </c>
      <c r="L583" s="226">
        <f t="shared" si="542"/>
        <v>0</v>
      </c>
      <c r="M583" s="158">
        <f t="shared" ref="M583" si="544">IF(L583/1000&gt;1000,1000,L583/1000)</f>
        <v>0</v>
      </c>
      <c r="N583" s="613"/>
    </row>
    <row r="584" spans="1:14" s="102" customFormat="1">
      <c r="A584" s="174" t="s">
        <v>188</v>
      </c>
      <c r="B584" s="186" t="s">
        <v>996</v>
      </c>
      <c r="C584" s="188">
        <f t="shared" si="541"/>
        <v>2</v>
      </c>
      <c r="D584" s="188" t="s">
        <v>1028</v>
      </c>
      <c r="E584" s="155">
        <v>1</v>
      </c>
      <c r="F584" s="131" t="s">
        <v>1020</v>
      </c>
      <c r="G584" s="134" t="str">
        <f t="shared" si="537"/>
        <v>PA film 0,1-1 mm (emission to water)</v>
      </c>
      <c r="H584" s="144"/>
      <c r="I584" s="129">
        <v>0</v>
      </c>
      <c r="J584" s="101" t="s">
        <v>1019</v>
      </c>
      <c r="K584" s="114">
        <f>K28</f>
        <v>292</v>
      </c>
      <c r="L584" s="226">
        <f t="shared" si="542"/>
        <v>1.7123287671232876</v>
      </c>
      <c r="M584" s="220">
        <f t="shared" ref="M584:M587" si="545">IF(L584/1000&gt;1000,1000,L584/1000)</f>
        <v>1.7123287671232876E-3</v>
      </c>
      <c r="N584" s="611">
        <f>I584*M584+I585*M585+I586*M586</f>
        <v>1.7123287671232876E-3</v>
      </c>
    </row>
    <row r="585" spans="1:14" s="102" customFormat="1">
      <c r="A585" s="172" t="str">
        <f>A584</f>
        <v>PA</v>
      </c>
      <c r="B585" s="149" t="str">
        <f>B584</f>
        <v>film</v>
      </c>
      <c r="C585" s="149">
        <f t="shared" si="541"/>
        <v>2</v>
      </c>
      <c r="D585" s="149" t="str">
        <f t="shared" ref="D585:F586" si="546">D584</f>
        <v>0,1-1</v>
      </c>
      <c r="E585" s="149">
        <f t="shared" si="546"/>
        <v>1</v>
      </c>
      <c r="F585" s="149" t="str">
        <f t="shared" si="546"/>
        <v>water</v>
      </c>
      <c r="G585" s="146" t="str">
        <f t="shared" si="537"/>
        <v>PA film 0,1-1 mm (emission to water)</v>
      </c>
      <c r="H585" s="146"/>
      <c r="I585" s="129">
        <v>0</v>
      </c>
      <c r="J585" s="101" t="s">
        <v>1097</v>
      </c>
      <c r="K585" s="114">
        <f>K29</f>
        <v>292</v>
      </c>
      <c r="L585" s="226">
        <f t="shared" si="542"/>
        <v>1.7123287671232876</v>
      </c>
      <c r="M585" s="220">
        <f t="shared" si="545"/>
        <v>1.7123287671232876E-3</v>
      </c>
      <c r="N585" s="612"/>
    </row>
    <row r="586" spans="1:14" s="102" customFormat="1">
      <c r="A586" s="172" t="str">
        <f>A585</f>
        <v>PA</v>
      </c>
      <c r="B586" s="149" t="str">
        <f>B585</f>
        <v>film</v>
      </c>
      <c r="C586" s="149">
        <f t="shared" si="541"/>
        <v>2</v>
      </c>
      <c r="D586" s="149" t="str">
        <f t="shared" si="546"/>
        <v>0,1-1</v>
      </c>
      <c r="E586" s="149">
        <f t="shared" si="546"/>
        <v>1</v>
      </c>
      <c r="F586" s="149" t="str">
        <f t="shared" si="546"/>
        <v>water</v>
      </c>
      <c r="G586" s="146" t="str">
        <f t="shared" si="537"/>
        <v>PA film 0,1-1 mm (emission to water)</v>
      </c>
      <c r="H586" s="146">
        <f>H585</f>
        <v>0</v>
      </c>
      <c r="I586" s="129">
        <v>1</v>
      </c>
      <c r="J586" s="101" t="s">
        <v>1096</v>
      </c>
      <c r="K586" s="114">
        <f>K30</f>
        <v>292</v>
      </c>
      <c r="L586" s="226">
        <f t="shared" si="542"/>
        <v>1.7123287671232876</v>
      </c>
      <c r="M586" s="220">
        <f t="shared" si="545"/>
        <v>1.7123287671232876E-3</v>
      </c>
      <c r="N586" s="612"/>
    </row>
    <row r="587" spans="1:14" s="102" customFormat="1">
      <c r="A587" s="173" t="str">
        <f>A585</f>
        <v>PA</v>
      </c>
      <c r="B587" s="150" t="str">
        <f>B585</f>
        <v>film</v>
      </c>
      <c r="C587" s="150">
        <f t="shared" si="541"/>
        <v>2</v>
      </c>
      <c r="D587" s="150" t="str">
        <f>D585</f>
        <v>0,1-1</v>
      </c>
      <c r="E587" s="150">
        <f>E585</f>
        <v>1</v>
      </c>
      <c r="F587" s="150" t="str">
        <f>F585</f>
        <v>water</v>
      </c>
      <c r="G587" s="147" t="str">
        <f t="shared" si="537"/>
        <v>PA film 0,1-1 mm (emission to water)</v>
      </c>
      <c r="H587" s="147"/>
      <c r="I587" s="129">
        <v>0</v>
      </c>
      <c r="J587" s="101" t="s">
        <v>1034</v>
      </c>
      <c r="K587" s="151" t="s">
        <v>596</v>
      </c>
      <c r="L587" s="226">
        <f t="shared" si="542"/>
        <v>0</v>
      </c>
      <c r="M587" s="220">
        <f t="shared" si="545"/>
        <v>0</v>
      </c>
      <c r="N587" s="613"/>
    </row>
    <row r="588" spans="1:14" s="102" customFormat="1">
      <c r="A588" s="174" t="s">
        <v>188</v>
      </c>
      <c r="B588" s="288" t="s">
        <v>996</v>
      </c>
      <c r="C588" s="290">
        <f t="shared" ref="C588:C590" si="547">IF(OR(B588="Folie", B588="Strips", B588="Film",B588="Flakes",B588="Coupon"), 2,IF(OR(B588="Fibers",B588="Pellets"),4,IF(OR(B588="Particles",B588="Shreds",B588="Powder",B588="Fragments",B588="Granules"),6,"")))</f>
        <v>2</v>
      </c>
      <c r="D588" s="290" t="s">
        <v>1028</v>
      </c>
      <c r="E588" s="155">
        <v>1</v>
      </c>
      <c r="F588" s="131" t="s">
        <v>1057</v>
      </c>
      <c r="G588" s="134" t="str">
        <f t="shared" ref="G588:G590" si="548">CONCATENATE(A588," ",B588," ",D588," mm (emission to ",F588,")")</f>
        <v>PA film 0,1-1 mm (emission to air)</v>
      </c>
      <c r="H588" s="144"/>
      <c r="I588" s="137">
        <v>0.97699999999999998</v>
      </c>
      <c r="J588" s="101" t="s">
        <v>1019</v>
      </c>
      <c r="K588" s="151">
        <f>K28</f>
        <v>292</v>
      </c>
      <c r="L588" s="226">
        <f t="shared" si="542"/>
        <v>1.7123287671232876</v>
      </c>
      <c r="M588" s="158">
        <f>IF(L588/1000&gt;1000,1000,L588/1000)</f>
        <v>1.7123287671232876E-3</v>
      </c>
      <c r="N588" s="611">
        <f>I588*M588+I589*M589</f>
        <v>1.7123287671232876E-3</v>
      </c>
    </row>
    <row r="589" spans="1:14" s="102" customFormat="1">
      <c r="A589" s="172" t="str">
        <f>A588</f>
        <v>PA</v>
      </c>
      <c r="B589" s="149" t="str">
        <f>B588</f>
        <v>film</v>
      </c>
      <c r="C589" s="149">
        <f t="shared" si="547"/>
        <v>2</v>
      </c>
      <c r="D589" s="149" t="str">
        <f t="shared" ref="D589:F589" si="549">D588</f>
        <v>0,1-1</v>
      </c>
      <c r="E589" s="149">
        <f t="shared" si="549"/>
        <v>1</v>
      </c>
      <c r="F589" s="149" t="str">
        <f t="shared" si="549"/>
        <v>air</v>
      </c>
      <c r="G589" s="146" t="str">
        <f t="shared" si="548"/>
        <v>PA film 0,1-1 mm (emission to air)</v>
      </c>
      <c r="H589" s="146"/>
      <c r="I589" s="129">
        <v>2.3E-2</v>
      </c>
      <c r="J589" s="101" t="s">
        <v>1097</v>
      </c>
      <c r="K589" s="151">
        <f>K29</f>
        <v>292</v>
      </c>
      <c r="L589" s="226">
        <f t="shared" si="542"/>
        <v>1.7123287671232876</v>
      </c>
      <c r="M589" s="158">
        <f>IF(L589/1000&gt;1000,1000,L589/1000)</f>
        <v>1.7123287671232876E-3</v>
      </c>
      <c r="N589" s="612"/>
    </row>
    <row r="590" spans="1:14" s="102" customFormat="1">
      <c r="A590" s="172" t="str">
        <f>A589</f>
        <v>PA</v>
      </c>
      <c r="B590" s="149" t="str">
        <f>B589</f>
        <v>film</v>
      </c>
      <c r="C590" s="149">
        <f t="shared" si="547"/>
        <v>2</v>
      </c>
      <c r="D590" s="149" t="str">
        <f t="shared" ref="D590:F590" si="550">D589</f>
        <v>0,1-1</v>
      </c>
      <c r="E590" s="149">
        <f t="shared" si="550"/>
        <v>1</v>
      </c>
      <c r="F590" s="149" t="str">
        <f t="shared" si="550"/>
        <v>air</v>
      </c>
      <c r="G590" s="146" t="str">
        <f t="shared" si="548"/>
        <v>PA film 0,1-1 mm (emission to air)</v>
      </c>
      <c r="H590" s="146">
        <f>H589</f>
        <v>0</v>
      </c>
      <c r="I590" s="129">
        <v>0</v>
      </c>
      <c r="J590" s="101" t="s">
        <v>1034</v>
      </c>
      <c r="K590" s="151" t="s">
        <v>596</v>
      </c>
      <c r="L590" s="226">
        <f t="shared" si="542"/>
        <v>0</v>
      </c>
      <c r="M590" s="158">
        <f t="shared" ref="M590" si="551">IF(L590/1000&gt;1000,1000,L590/1000)</f>
        <v>0</v>
      </c>
      <c r="N590" s="613"/>
    </row>
    <row r="591" spans="1:14" s="191" customFormat="1" ht="25.5">
      <c r="A591" s="181" t="s">
        <v>188</v>
      </c>
      <c r="B591" s="159" t="s">
        <v>996</v>
      </c>
      <c r="C591" s="184">
        <f t="shared" si="333"/>
        <v>2</v>
      </c>
      <c r="D591" s="184" t="s">
        <v>1026</v>
      </c>
      <c r="E591" s="155">
        <v>10</v>
      </c>
      <c r="F591" s="131" t="s">
        <v>1019</v>
      </c>
      <c r="G591" s="134" t="str">
        <f t="shared" ref="G591:G647" si="552">CONCATENATE(A591," ",B591," ",D591," mm (emission to ",F591,")")</f>
        <v>PA film 1-10 mm (emission to soil)</v>
      </c>
      <c r="H591" s="157" t="s">
        <v>1049</v>
      </c>
      <c r="I591" s="129">
        <v>1</v>
      </c>
      <c r="J591" s="101" t="s">
        <v>1019</v>
      </c>
      <c r="K591" s="114">
        <f>K28</f>
        <v>292</v>
      </c>
      <c r="L591" s="226">
        <f t="shared" ref="L591:L600" si="553">IFERROR(IF(K591="--",0,IF(E591*1000/K591*(1-0.5)^(C591/2)&gt;1000,1000,E591*1000/K591*(1-0.5)^(C591/2))),1000)</f>
        <v>17.123287671232877</v>
      </c>
      <c r="M591" s="158">
        <f>IF(L591/1000&gt;1000,1000,L591/1000)</f>
        <v>1.7123287671232876E-2</v>
      </c>
      <c r="N591" s="610">
        <f>I591*M591+I592*M592</f>
        <v>1.7123287671232876E-2</v>
      </c>
    </row>
    <row r="592" spans="1:14" s="191" customFormat="1" ht="15" customHeight="1">
      <c r="A592" s="172" t="str">
        <f>A591</f>
        <v>PA</v>
      </c>
      <c r="B592" s="149" t="str">
        <f>B591</f>
        <v>film</v>
      </c>
      <c r="C592" s="149">
        <f t="shared" ref="C592:C647" si="554">IF(OR(B592="Folie", B592="Strips", B592="Film",B592="Flakes",B592="Coupon"), 2,IF(OR(B592="Fibers",B592="Pellets"),4,IF(OR(B592="Particles",B592="Shreds",B592="Powder",B592="Fragments",B592="Granules"),6,"")))</f>
        <v>2</v>
      </c>
      <c r="D592" s="149" t="str">
        <f t="shared" ref="D592:F593" si="555">D591</f>
        <v>1-10</v>
      </c>
      <c r="E592" s="149">
        <f t="shared" si="555"/>
        <v>10</v>
      </c>
      <c r="F592" s="149" t="str">
        <f t="shared" si="555"/>
        <v>soil</v>
      </c>
      <c r="G592" s="146" t="str">
        <f t="shared" si="552"/>
        <v>PA film 1-10 mm (emission to soil)</v>
      </c>
      <c r="H592" s="146" t="str">
        <f>H591</f>
        <v>Fragmentierung bei Abbrucharbeiten; Abrieb von Baukunststoffen</v>
      </c>
      <c r="I592" s="129">
        <v>0</v>
      </c>
      <c r="J592" s="101" t="s">
        <v>1097</v>
      </c>
      <c r="K592" s="114">
        <f>K29</f>
        <v>292</v>
      </c>
      <c r="L592" s="226">
        <f t="shared" si="553"/>
        <v>17.123287671232877</v>
      </c>
      <c r="M592" s="158">
        <f>IF(L592/1000&gt;1000,1000,L592/1000)</f>
        <v>1.7123287671232876E-2</v>
      </c>
      <c r="N592" s="610"/>
    </row>
    <row r="593" spans="1:14" s="191" customFormat="1" ht="15" customHeight="1">
      <c r="A593" s="173" t="str">
        <f>A592</f>
        <v>PA</v>
      </c>
      <c r="B593" s="150" t="str">
        <f>B592</f>
        <v>film</v>
      </c>
      <c r="C593" s="150">
        <f t="shared" si="554"/>
        <v>2</v>
      </c>
      <c r="D593" s="150" t="str">
        <f t="shared" si="555"/>
        <v>1-10</v>
      </c>
      <c r="E593" s="150">
        <f t="shared" si="555"/>
        <v>10</v>
      </c>
      <c r="F593" s="150" t="str">
        <f t="shared" si="555"/>
        <v>soil</v>
      </c>
      <c r="G593" s="147" t="str">
        <f t="shared" si="552"/>
        <v>PA film 1-10 mm (emission to soil)</v>
      </c>
      <c r="H593" s="147" t="str">
        <f>H592</f>
        <v>Fragmentierung bei Abbrucharbeiten; Abrieb von Baukunststoffen</v>
      </c>
      <c r="I593" s="129">
        <v>0</v>
      </c>
      <c r="J593" s="101" t="s">
        <v>1034</v>
      </c>
      <c r="K593" s="151" t="s">
        <v>596</v>
      </c>
      <c r="L593" s="226">
        <f t="shared" si="553"/>
        <v>0</v>
      </c>
      <c r="M593" s="158">
        <f t="shared" ref="M593" si="556">IF(L593/1000&gt;1000,1000,L593/1000)</f>
        <v>0</v>
      </c>
      <c r="N593" s="610"/>
    </row>
    <row r="594" spans="1:14" s="191" customFormat="1" ht="25.5">
      <c r="A594" s="181" t="s">
        <v>188</v>
      </c>
      <c r="B594" s="159" t="s">
        <v>996</v>
      </c>
      <c r="C594" s="184">
        <f t="shared" si="554"/>
        <v>2</v>
      </c>
      <c r="D594" s="184" t="s">
        <v>1026</v>
      </c>
      <c r="E594" s="214">
        <v>10</v>
      </c>
      <c r="F594" s="131" t="s">
        <v>1020</v>
      </c>
      <c r="G594" s="134" t="str">
        <f t="shared" si="552"/>
        <v>PA film 1-10 mm (emission to water)</v>
      </c>
      <c r="H594" s="157" t="s">
        <v>1049</v>
      </c>
      <c r="I594" s="129">
        <v>0</v>
      </c>
      <c r="J594" s="101" t="s">
        <v>1019</v>
      </c>
      <c r="K594" s="114">
        <f>K28</f>
        <v>292</v>
      </c>
      <c r="L594" s="226">
        <f t="shared" si="553"/>
        <v>17.123287671232877</v>
      </c>
      <c r="M594" s="220">
        <f t="shared" ref="M594:M597" si="557">IF(L594/1000&gt;1000,1000,L594/1000)</f>
        <v>1.7123287671232876E-2</v>
      </c>
      <c r="N594" s="611">
        <f>I594*M594+I595*M595+I596*M596</f>
        <v>1.7123287671232876E-2</v>
      </c>
    </row>
    <row r="595" spans="1:14" s="191" customFormat="1" ht="15" customHeight="1">
      <c r="A595" s="172" t="str">
        <f>A594</f>
        <v>PA</v>
      </c>
      <c r="B595" s="149" t="str">
        <f>B594</f>
        <v>film</v>
      </c>
      <c r="C595" s="149">
        <f t="shared" si="554"/>
        <v>2</v>
      </c>
      <c r="D595" s="149" t="str">
        <f t="shared" ref="D595:F596" si="558">D594</f>
        <v>1-10</v>
      </c>
      <c r="E595" s="149">
        <f t="shared" si="558"/>
        <v>10</v>
      </c>
      <c r="F595" s="149" t="str">
        <f t="shared" si="558"/>
        <v>water</v>
      </c>
      <c r="G595" s="146" t="str">
        <f t="shared" si="552"/>
        <v>PA film 1-10 mm (emission to water)</v>
      </c>
      <c r="H595" s="146" t="str">
        <f>H594</f>
        <v>Fragmentierung bei Abbrucharbeiten; Abrieb von Baukunststoffen</v>
      </c>
      <c r="I595" s="129">
        <v>0</v>
      </c>
      <c r="J595" s="101" t="s">
        <v>1097</v>
      </c>
      <c r="K595" s="114">
        <f>K29</f>
        <v>292</v>
      </c>
      <c r="L595" s="226">
        <f t="shared" si="553"/>
        <v>17.123287671232877</v>
      </c>
      <c r="M595" s="220">
        <f t="shared" si="557"/>
        <v>1.7123287671232876E-2</v>
      </c>
      <c r="N595" s="612"/>
    </row>
    <row r="596" spans="1:14" s="191" customFormat="1" ht="15" customHeight="1">
      <c r="A596" s="172" t="str">
        <f>A595</f>
        <v>PA</v>
      </c>
      <c r="B596" s="149" t="str">
        <f>B595</f>
        <v>film</v>
      </c>
      <c r="C596" s="149">
        <f t="shared" si="554"/>
        <v>2</v>
      </c>
      <c r="D596" s="149" t="str">
        <f t="shared" si="558"/>
        <v>1-10</v>
      </c>
      <c r="E596" s="149">
        <f t="shared" si="558"/>
        <v>10</v>
      </c>
      <c r="F596" s="149" t="str">
        <f t="shared" si="558"/>
        <v>water</v>
      </c>
      <c r="G596" s="146" t="str">
        <f t="shared" si="552"/>
        <v>PA film 1-10 mm (emission to water)</v>
      </c>
      <c r="H596" s="146" t="str">
        <f>H595</f>
        <v>Fragmentierung bei Abbrucharbeiten; Abrieb von Baukunststoffen</v>
      </c>
      <c r="I596" s="129">
        <v>1</v>
      </c>
      <c r="J596" s="101" t="s">
        <v>1096</v>
      </c>
      <c r="K596" s="114">
        <f>K30</f>
        <v>292</v>
      </c>
      <c r="L596" s="226">
        <f t="shared" si="553"/>
        <v>17.123287671232877</v>
      </c>
      <c r="M596" s="220">
        <f t="shared" si="557"/>
        <v>1.7123287671232876E-2</v>
      </c>
      <c r="N596" s="612"/>
    </row>
    <row r="597" spans="1:14" s="191" customFormat="1" ht="12.75" customHeight="1">
      <c r="A597" s="173" t="str">
        <f>A595</f>
        <v>PA</v>
      </c>
      <c r="B597" s="150" t="str">
        <f>B595</f>
        <v>film</v>
      </c>
      <c r="C597" s="150">
        <f t="shared" si="554"/>
        <v>2</v>
      </c>
      <c r="D597" s="150" t="str">
        <f>D595</f>
        <v>1-10</v>
      </c>
      <c r="E597" s="150">
        <f>E595</f>
        <v>10</v>
      </c>
      <c r="F597" s="150" t="str">
        <f>F595</f>
        <v>water</v>
      </c>
      <c r="G597" s="147" t="str">
        <f t="shared" si="552"/>
        <v>PA film 1-10 mm (emission to water)</v>
      </c>
      <c r="H597" s="147" t="str">
        <f>H595</f>
        <v>Fragmentierung bei Abbrucharbeiten; Abrieb von Baukunststoffen</v>
      </c>
      <c r="I597" s="129">
        <v>0</v>
      </c>
      <c r="J597" s="101" t="s">
        <v>1034</v>
      </c>
      <c r="K597" s="114" t="s">
        <v>596</v>
      </c>
      <c r="L597" s="226">
        <f t="shared" si="553"/>
        <v>0</v>
      </c>
      <c r="M597" s="220">
        <f t="shared" si="557"/>
        <v>0</v>
      </c>
      <c r="N597" s="613"/>
    </row>
    <row r="598" spans="1:14" s="191" customFormat="1" ht="25.5">
      <c r="A598" s="181" t="s">
        <v>188</v>
      </c>
      <c r="B598" s="159" t="s">
        <v>996</v>
      </c>
      <c r="C598" s="290">
        <f t="shared" si="554"/>
        <v>2</v>
      </c>
      <c r="D598" s="290" t="s">
        <v>1026</v>
      </c>
      <c r="E598" s="155">
        <v>10</v>
      </c>
      <c r="F598" s="131" t="s">
        <v>1057</v>
      </c>
      <c r="G598" s="134" t="str">
        <f t="shared" ref="G598:G600" si="559">CONCATENATE(A598," ",B598," ",D598," mm (emission to ",F598,")")</f>
        <v>PA film 1-10 mm (emission to air)</v>
      </c>
      <c r="H598" s="157" t="s">
        <v>1049</v>
      </c>
      <c r="I598" s="137">
        <v>0.97699999999999998</v>
      </c>
      <c r="J598" s="101" t="s">
        <v>1019</v>
      </c>
      <c r="K598" s="114">
        <f>K28</f>
        <v>292</v>
      </c>
      <c r="L598" s="226">
        <f t="shared" si="553"/>
        <v>17.123287671232877</v>
      </c>
      <c r="M598" s="158">
        <f>IF(L598/1000&gt;1000,1000,L598/1000)</f>
        <v>1.7123287671232876E-2</v>
      </c>
      <c r="N598" s="611">
        <f>I598*M598+I599*M599</f>
        <v>1.7123287671232876E-2</v>
      </c>
    </row>
    <row r="599" spans="1:14" s="191" customFormat="1" ht="15.75" customHeight="1">
      <c r="A599" s="172" t="str">
        <f>A598</f>
        <v>PA</v>
      </c>
      <c r="B599" s="149" t="str">
        <f>B598</f>
        <v>film</v>
      </c>
      <c r="C599" s="149">
        <f t="shared" ref="C599:C600" si="560">IF(OR(B599="Folie", B599="Strips", B599="Film",B599="Flakes",B599="Coupon"), 2,IF(OR(B599="Fibers",B599="Pellets"),4,IF(OR(B599="Particles",B599="Shreds",B599="Powder",B599="Fragments",B599="Granules"),6,"")))</f>
        <v>2</v>
      </c>
      <c r="D599" s="149" t="str">
        <f t="shared" ref="D599:F599" si="561">D598</f>
        <v>1-10</v>
      </c>
      <c r="E599" s="149">
        <f t="shared" si="561"/>
        <v>10</v>
      </c>
      <c r="F599" s="149" t="str">
        <f t="shared" si="561"/>
        <v>air</v>
      </c>
      <c r="G599" s="146" t="str">
        <f t="shared" si="559"/>
        <v>PA film 1-10 mm (emission to air)</v>
      </c>
      <c r="H599" s="146" t="str">
        <f>H598</f>
        <v>Fragmentierung bei Abbrucharbeiten; Abrieb von Baukunststoffen</v>
      </c>
      <c r="I599" s="129">
        <v>2.3E-2</v>
      </c>
      <c r="J599" s="101" t="s">
        <v>1097</v>
      </c>
      <c r="K599" s="114">
        <f>K29</f>
        <v>292</v>
      </c>
      <c r="L599" s="226">
        <f t="shared" si="553"/>
        <v>17.123287671232877</v>
      </c>
      <c r="M599" s="158">
        <f>IF(L599/1000&gt;1000,1000,L599/1000)</f>
        <v>1.7123287671232876E-2</v>
      </c>
      <c r="N599" s="612"/>
    </row>
    <row r="600" spans="1:14" s="191" customFormat="1" ht="15.75" customHeight="1">
      <c r="A600" s="173" t="str">
        <f>A599</f>
        <v>PA</v>
      </c>
      <c r="B600" s="150" t="str">
        <f>B599</f>
        <v>film</v>
      </c>
      <c r="C600" s="150">
        <f t="shared" si="560"/>
        <v>2</v>
      </c>
      <c r="D600" s="150" t="str">
        <f t="shared" ref="D600:F600" si="562">D599</f>
        <v>1-10</v>
      </c>
      <c r="E600" s="150">
        <f t="shared" si="562"/>
        <v>10</v>
      </c>
      <c r="F600" s="150" t="str">
        <f t="shared" si="562"/>
        <v>air</v>
      </c>
      <c r="G600" s="147" t="str">
        <f t="shared" si="559"/>
        <v>PA film 1-10 mm (emission to air)</v>
      </c>
      <c r="H600" s="147" t="str">
        <f>H599</f>
        <v>Fragmentierung bei Abbrucharbeiten; Abrieb von Baukunststoffen</v>
      </c>
      <c r="I600" s="129">
        <v>0</v>
      </c>
      <c r="J600" s="101" t="s">
        <v>1034</v>
      </c>
      <c r="K600" s="151" t="s">
        <v>596</v>
      </c>
      <c r="L600" s="226">
        <f t="shared" si="553"/>
        <v>0</v>
      </c>
      <c r="M600" s="158">
        <f t="shared" ref="M600" si="563">IF(L600/1000&gt;1000,1000,L600/1000)</f>
        <v>0</v>
      </c>
      <c r="N600" s="613"/>
    </row>
    <row r="601" spans="1:14" s="191" customFormat="1">
      <c r="A601" s="175" t="s">
        <v>188</v>
      </c>
      <c r="B601" s="159" t="s">
        <v>1051</v>
      </c>
      <c r="C601" s="188">
        <f t="shared" si="554"/>
        <v>4</v>
      </c>
      <c r="D601" s="188" t="s">
        <v>1028</v>
      </c>
      <c r="E601" s="155">
        <v>1</v>
      </c>
      <c r="F601" s="131" t="s">
        <v>1019</v>
      </c>
      <c r="G601" s="134" t="str">
        <f t="shared" si="552"/>
        <v>PA fibers 0,1-1 mm (emission to soil)</v>
      </c>
      <c r="H601" s="193"/>
      <c r="I601" s="129">
        <v>1</v>
      </c>
      <c r="J601" s="101" t="s">
        <v>1019</v>
      </c>
      <c r="K601" s="114">
        <f>K28</f>
        <v>292</v>
      </c>
      <c r="L601" s="226">
        <f t="shared" ref="L601:L607" si="564">IFERROR(IF(K601="--",0,IF(E601*1000/K601*(1-0.5)^(C601/2)&gt;1000,1000,E601*1000/K601*(1-0.5)^(C601/2))),1000)</f>
        <v>0.85616438356164382</v>
      </c>
      <c r="M601" s="158">
        <f>IF(L601/1000&gt;1000,1000,L601/1000)</f>
        <v>8.5616438356164379E-4</v>
      </c>
      <c r="N601" s="610">
        <f>I601*M601+I602*M602</f>
        <v>8.5616438356164379E-4</v>
      </c>
    </row>
    <row r="602" spans="1:14" s="191" customFormat="1">
      <c r="A602" s="172" t="str">
        <f>A601</f>
        <v>PA</v>
      </c>
      <c r="B602" s="149" t="str">
        <f>B601</f>
        <v>fibers</v>
      </c>
      <c r="C602" s="149">
        <f t="shared" si="554"/>
        <v>4</v>
      </c>
      <c r="D602" s="149" t="str">
        <f t="shared" ref="D602:F603" si="565">D601</f>
        <v>0,1-1</v>
      </c>
      <c r="E602" s="149">
        <f t="shared" si="565"/>
        <v>1</v>
      </c>
      <c r="F602" s="149" t="str">
        <f t="shared" si="565"/>
        <v>soil</v>
      </c>
      <c r="G602" s="146" t="str">
        <f t="shared" si="552"/>
        <v>PA fibers 0,1-1 mm (emission to soil)</v>
      </c>
      <c r="H602" s="146"/>
      <c r="I602" s="129">
        <v>0</v>
      </c>
      <c r="J602" s="101" t="s">
        <v>1097</v>
      </c>
      <c r="K602" s="114">
        <f>K29</f>
        <v>292</v>
      </c>
      <c r="L602" s="226">
        <f t="shared" si="564"/>
        <v>0.85616438356164382</v>
      </c>
      <c r="M602" s="158">
        <f>IF(L602/1000&gt;1000,1000,L602/1000)</f>
        <v>8.5616438356164379E-4</v>
      </c>
      <c r="N602" s="610"/>
    </row>
    <row r="603" spans="1:14" s="191" customFormat="1">
      <c r="A603" s="173" t="str">
        <f>A602</f>
        <v>PA</v>
      </c>
      <c r="B603" s="150" t="str">
        <f>B602</f>
        <v>fibers</v>
      </c>
      <c r="C603" s="150">
        <f t="shared" si="554"/>
        <v>4</v>
      </c>
      <c r="D603" s="150" t="str">
        <f t="shared" si="565"/>
        <v>0,1-1</v>
      </c>
      <c r="E603" s="150">
        <f t="shared" si="565"/>
        <v>1</v>
      </c>
      <c r="F603" s="150" t="str">
        <f t="shared" si="565"/>
        <v>soil</v>
      </c>
      <c r="G603" s="147" t="str">
        <f t="shared" si="552"/>
        <v>PA fibers 0,1-1 mm (emission to soil)</v>
      </c>
      <c r="H603" s="146"/>
      <c r="I603" s="129">
        <v>0</v>
      </c>
      <c r="J603" s="101" t="s">
        <v>1034</v>
      </c>
      <c r="K603" s="151" t="s">
        <v>596</v>
      </c>
      <c r="L603" s="226">
        <f t="shared" si="564"/>
        <v>0</v>
      </c>
      <c r="M603" s="158">
        <f t="shared" ref="M603" si="566">IF(L603/1000&gt;1000,1000,L603/1000)</f>
        <v>0</v>
      </c>
      <c r="N603" s="610"/>
    </row>
    <row r="604" spans="1:14" s="191" customFormat="1">
      <c r="A604" s="175" t="s">
        <v>188</v>
      </c>
      <c r="B604" s="159" t="s">
        <v>1051</v>
      </c>
      <c r="C604" s="184">
        <f t="shared" si="554"/>
        <v>4</v>
      </c>
      <c r="D604" s="184" t="s">
        <v>1028</v>
      </c>
      <c r="E604" s="155">
        <v>1</v>
      </c>
      <c r="F604" s="131" t="s">
        <v>1020</v>
      </c>
      <c r="G604" s="134" t="str">
        <f t="shared" si="552"/>
        <v>PA fibers 0,1-1 mm (emission to water)</v>
      </c>
      <c r="H604" s="192" t="s">
        <v>1052</v>
      </c>
      <c r="I604" s="129">
        <v>0</v>
      </c>
      <c r="J604" s="101" t="s">
        <v>1019</v>
      </c>
      <c r="K604" s="114">
        <f>K28</f>
        <v>292</v>
      </c>
      <c r="L604" s="226">
        <f t="shared" si="564"/>
        <v>0.85616438356164382</v>
      </c>
      <c r="M604" s="220">
        <f t="shared" ref="M604:M607" si="567">IF(L604/1000&gt;1000,1000,L604/1000)</f>
        <v>8.5616438356164379E-4</v>
      </c>
      <c r="N604" s="611">
        <f>I604*M604+I605*M605+I606*M606</f>
        <v>8.5616438356164379E-4</v>
      </c>
    </row>
    <row r="605" spans="1:14" s="191" customFormat="1">
      <c r="A605" s="172" t="str">
        <f>A604</f>
        <v>PA</v>
      </c>
      <c r="B605" s="149" t="str">
        <f>B604</f>
        <v>fibers</v>
      </c>
      <c r="C605" s="149">
        <f t="shared" si="554"/>
        <v>4</v>
      </c>
      <c r="D605" s="149" t="str">
        <f t="shared" ref="D605:F606" si="568">D604</f>
        <v>0,1-1</v>
      </c>
      <c r="E605" s="149">
        <f t="shared" si="568"/>
        <v>1</v>
      </c>
      <c r="F605" s="149" t="str">
        <f t="shared" si="568"/>
        <v>water</v>
      </c>
      <c r="G605" s="146" t="str">
        <f t="shared" si="552"/>
        <v>PA fibers 0,1-1 mm (emission to water)</v>
      </c>
      <c r="H605" s="146"/>
      <c r="I605" s="129">
        <v>0</v>
      </c>
      <c r="J605" s="101" t="s">
        <v>1097</v>
      </c>
      <c r="K605" s="114">
        <f>K29</f>
        <v>292</v>
      </c>
      <c r="L605" s="226">
        <f t="shared" si="564"/>
        <v>0.85616438356164382</v>
      </c>
      <c r="M605" s="220">
        <f t="shared" si="567"/>
        <v>8.5616438356164379E-4</v>
      </c>
      <c r="N605" s="612"/>
    </row>
    <row r="606" spans="1:14" s="191" customFormat="1">
      <c r="A606" s="172" t="str">
        <f>A605</f>
        <v>PA</v>
      </c>
      <c r="B606" s="149" t="str">
        <f>B605</f>
        <v>fibers</v>
      </c>
      <c r="C606" s="149">
        <f t="shared" si="554"/>
        <v>4</v>
      </c>
      <c r="D606" s="149" t="str">
        <f t="shared" si="568"/>
        <v>0,1-1</v>
      </c>
      <c r="E606" s="149">
        <f t="shared" si="568"/>
        <v>1</v>
      </c>
      <c r="F606" s="149" t="str">
        <f t="shared" si="568"/>
        <v>water</v>
      </c>
      <c r="G606" s="146" t="str">
        <f t="shared" si="552"/>
        <v>PA fibers 0,1-1 mm (emission to water)</v>
      </c>
      <c r="H606" s="146">
        <f>H605</f>
        <v>0</v>
      </c>
      <c r="I606" s="129">
        <v>1</v>
      </c>
      <c r="J606" s="101" t="s">
        <v>1096</v>
      </c>
      <c r="K606" s="114">
        <f>K30</f>
        <v>292</v>
      </c>
      <c r="L606" s="226">
        <f t="shared" si="564"/>
        <v>0.85616438356164382</v>
      </c>
      <c r="M606" s="220">
        <f t="shared" si="567"/>
        <v>8.5616438356164379E-4</v>
      </c>
      <c r="N606" s="612"/>
    </row>
    <row r="607" spans="1:14" s="191" customFormat="1">
      <c r="A607" s="173" t="str">
        <f>A605</f>
        <v>PA</v>
      </c>
      <c r="B607" s="150" t="str">
        <f>B605</f>
        <v>fibers</v>
      </c>
      <c r="C607" s="150">
        <f t="shared" si="554"/>
        <v>4</v>
      </c>
      <c r="D607" s="150" t="str">
        <f>D605</f>
        <v>0,1-1</v>
      </c>
      <c r="E607" s="150">
        <f>E605</f>
        <v>1</v>
      </c>
      <c r="F607" s="150" t="str">
        <f>F605</f>
        <v>water</v>
      </c>
      <c r="G607" s="147" t="str">
        <f t="shared" si="552"/>
        <v>PA fibers 0,1-1 mm (emission to water)</v>
      </c>
      <c r="H607" s="147"/>
      <c r="I607" s="129">
        <v>0</v>
      </c>
      <c r="J607" s="101" t="s">
        <v>1034</v>
      </c>
      <c r="K607" s="114" t="s">
        <v>596</v>
      </c>
      <c r="L607" s="226">
        <f t="shared" si="564"/>
        <v>0</v>
      </c>
      <c r="M607" s="220">
        <f t="shared" si="567"/>
        <v>0</v>
      </c>
      <c r="N607" s="613"/>
    </row>
    <row r="608" spans="1:14" s="191" customFormat="1">
      <c r="A608" s="175" t="s">
        <v>188</v>
      </c>
      <c r="B608" s="159" t="s">
        <v>1051</v>
      </c>
      <c r="C608" s="290">
        <f t="shared" ref="C608:C610" si="569">IF(OR(B608="Folie", B608="Strips", B608="Film",B608="Flakes",B608="Coupon"), 2,IF(OR(B608="Fibers",B608="Pellets"),4,IF(OR(B608="Particles",B608="Shreds",B608="Powder",B608="Fragments",B608="Granules"),6,"")))</f>
        <v>4</v>
      </c>
      <c r="D608" s="290" t="s">
        <v>1028</v>
      </c>
      <c r="E608" s="155">
        <v>1</v>
      </c>
      <c r="F608" s="131" t="s">
        <v>1057</v>
      </c>
      <c r="G608" s="134" t="str">
        <f t="shared" ref="G608:G610" si="570">CONCATENATE(A608," ",B608," ",D608," mm (emission to ",F608,")")</f>
        <v>PA fibers 0,1-1 mm (emission to air)</v>
      </c>
      <c r="H608" s="192"/>
      <c r="I608" s="137">
        <v>0.97699999999999998</v>
      </c>
      <c r="J608" s="101" t="s">
        <v>1019</v>
      </c>
      <c r="K608" s="114">
        <f>K28</f>
        <v>292</v>
      </c>
      <c r="L608" s="226">
        <f t="shared" ref="L608:L610" si="571">IFERROR(IF(K608="--",0,IF(E608*1000/K608*(1-0.5)^(C608/2)&gt;1000,1000,E608*1000/K608*(1-0.5)^(C608/2))),1000)</f>
        <v>0.85616438356164382</v>
      </c>
      <c r="M608" s="158">
        <f>IF(L608/1000&gt;1000,1000,L608/1000)</f>
        <v>8.5616438356164379E-4</v>
      </c>
      <c r="N608" s="610">
        <f>I608*M608+I609*M609</f>
        <v>8.5616438356164379E-4</v>
      </c>
    </row>
    <row r="609" spans="1:14" s="191" customFormat="1">
      <c r="A609" s="172" t="str">
        <f>A608</f>
        <v>PA</v>
      </c>
      <c r="B609" s="149" t="str">
        <f>B608</f>
        <v>fibers</v>
      </c>
      <c r="C609" s="149">
        <f t="shared" si="569"/>
        <v>4</v>
      </c>
      <c r="D609" s="149" t="str">
        <f t="shared" ref="D609:F609" si="572">D608</f>
        <v>0,1-1</v>
      </c>
      <c r="E609" s="149">
        <f t="shared" si="572"/>
        <v>1</v>
      </c>
      <c r="F609" s="149" t="str">
        <f t="shared" si="572"/>
        <v>air</v>
      </c>
      <c r="G609" s="146" t="str">
        <f t="shared" si="570"/>
        <v>PA fibers 0,1-1 mm (emission to air)</v>
      </c>
      <c r="H609" s="146"/>
      <c r="I609" s="129">
        <v>2.3E-2</v>
      </c>
      <c r="J609" s="101" t="s">
        <v>1097</v>
      </c>
      <c r="K609" s="114">
        <f>K29</f>
        <v>292</v>
      </c>
      <c r="L609" s="226">
        <f t="shared" si="571"/>
        <v>0.85616438356164382</v>
      </c>
      <c r="M609" s="158">
        <f>IF(L609/1000&gt;1000,1000,L609/1000)</f>
        <v>8.5616438356164379E-4</v>
      </c>
      <c r="N609" s="610"/>
    </row>
    <row r="610" spans="1:14" s="191" customFormat="1">
      <c r="A610" s="173" t="str">
        <f>A609</f>
        <v>PA</v>
      </c>
      <c r="B610" s="150" t="str">
        <f>B609</f>
        <v>fibers</v>
      </c>
      <c r="C610" s="150">
        <f t="shared" si="569"/>
        <v>4</v>
      </c>
      <c r="D610" s="150" t="str">
        <f t="shared" ref="D610:F610" si="573">D609</f>
        <v>0,1-1</v>
      </c>
      <c r="E610" s="150">
        <f t="shared" si="573"/>
        <v>1</v>
      </c>
      <c r="F610" s="150" t="str">
        <f t="shared" si="573"/>
        <v>air</v>
      </c>
      <c r="G610" s="147" t="str">
        <f t="shared" si="570"/>
        <v>PA fibers 0,1-1 mm (emission to air)</v>
      </c>
      <c r="H610" s="146"/>
      <c r="I610" s="129">
        <v>0</v>
      </c>
      <c r="J610" s="101" t="s">
        <v>1034</v>
      </c>
      <c r="K610" s="151" t="s">
        <v>596</v>
      </c>
      <c r="L610" s="226">
        <f t="shared" si="571"/>
        <v>0</v>
      </c>
      <c r="M610" s="158">
        <f t="shared" ref="M610" si="574">IF(L610/1000&gt;1000,1000,L610/1000)</f>
        <v>0</v>
      </c>
      <c r="N610" s="610"/>
    </row>
    <row r="611" spans="1:14" s="191" customFormat="1" ht="25.5">
      <c r="A611" s="175" t="s">
        <v>188</v>
      </c>
      <c r="B611" s="182" t="s">
        <v>372</v>
      </c>
      <c r="C611" s="140">
        <f t="shared" si="554"/>
        <v>4</v>
      </c>
      <c r="D611" s="153" t="s">
        <v>1026</v>
      </c>
      <c r="E611" s="155">
        <v>10</v>
      </c>
      <c r="F611" s="154" t="s">
        <v>1019</v>
      </c>
      <c r="G611" s="134" t="str">
        <f t="shared" si="552"/>
        <v>PA pellets 1-10 mm (emission to soil)</v>
      </c>
      <c r="H611" s="148" t="s">
        <v>1042</v>
      </c>
      <c r="I611" s="129">
        <v>1</v>
      </c>
      <c r="J611" s="101" t="s">
        <v>1019</v>
      </c>
      <c r="K611" s="114">
        <f>K28</f>
        <v>292</v>
      </c>
      <c r="L611" s="226">
        <f t="shared" ref="L611:L617" si="575">IFERROR(IF(K611="--",0,IF(E611*1000/K611*(1-0.5)^(C611/2)&gt;1000,1000,E611*1000/K611*(1-0.5)^(C611/2))),1000)</f>
        <v>8.5616438356164384</v>
      </c>
      <c r="M611" s="158">
        <f>IF(L611/1000&gt;1000,1000,L611/1000)</f>
        <v>8.5616438356164379E-3</v>
      </c>
      <c r="N611" s="610">
        <f>I611*M611+I612*M612</f>
        <v>8.5616438356164379E-3</v>
      </c>
    </row>
    <row r="612" spans="1:14" s="191" customFormat="1" ht="12.75" customHeight="1">
      <c r="A612" s="172" t="str">
        <f>A611</f>
        <v>PA</v>
      </c>
      <c r="B612" s="149" t="str">
        <f>B611</f>
        <v>pellets</v>
      </c>
      <c r="C612" s="149">
        <f t="shared" si="554"/>
        <v>4</v>
      </c>
      <c r="D612" s="149" t="str">
        <f t="shared" ref="D612:F613" si="576">D611</f>
        <v>1-10</v>
      </c>
      <c r="E612" s="149">
        <f t="shared" si="576"/>
        <v>10</v>
      </c>
      <c r="F612" s="149" t="str">
        <f t="shared" si="576"/>
        <v>soil</v>
      </c>
      <c r="G612" s="146" t="str">
        <f t="shared" si="552"/>
        <v>PA pellets 1-10 mm (emission to soil)</v>
      </c>
      <c r="H612" s="146" t="str">
        <f>H611</f>
        <v>Freisetzung durch Unfälle mit Pellets; Unsachgemäße Entsorgung von Pellets</v>
      </c>
      <c r="I612" s="129">
        <v>0</v>
      </c>
      <c r="J612" s="101" t="s">
        <v>1097</v>
      </c>
      <c r="K612" s="114">
        <f>K29</f>
        <v>292</v>
      </c>
      <c r="L612" s="226">
        <f t="shared" si="575"/>
        <v>8.5616438356164384</v>
      </c>
      <c r="M612" s="158">
        <f>IF(L612/1000&gt;1000,1000,L612/1000)</f>
        <v>8.5616438356164379E-3</v>
      </c>
      <c r="N612" s="610"/>
    </row>
    <row r="613" spans="1:14" s="191" customFormat="1" ht="12.75" customHeight="1">
      <c r="A613" s="173" t="str">
        <f>A612</f>
        <v>PA</v>
      </c>
      <c r="B613" s="150" t="str">
        <f>B612</f>
        <v>pellets</v>
      </c>
      <c r="C613" s="150">
        <f t="shared" si="554"/>
        <v>4</v>
      </c>
      <c r="D613" s="150" t="str">
        <f t="shared" si="576"/>
        <v>1-10</v>
      </c>
      <c r="E613" s="150">
        <f t="shared" si="576"/>
        <v>10</v>
      </c>
      <c r="F613" s="150" t="str">
        <f t="shared" si="576"/>
        <v>soil</v>
      </c>
      <c r="G613" s="147" t="str">
        <f t="shared" si="552"/>
        <v>PA pellets 1-10 mm (emission to soil)</v>
      </c>
      <c r="H613" s="147" t="str">
        <f>H612</f>
        <v>Freisetzung durch Unfälle mit Pellets; Unsachgemäße Entsorgung von Pellets</v>
      </c>
      <c r="I613" s="129">
        <v>0</v>
      </c>
      <c r="J613" s="101" t="s">
        <v>1034</v>
      </c>
      <c r="K613" s="151" t="s">
        <v>596</v>
      </c>
      <c r="L613" s="226">
        <f t="shared" si="575"/>
        <v>0</v>
      </c>
      <c r="M613" s="158">
        <f t="shared" ref="M613" si="577">IF(L613/1000&gt;1000,1000,L613/1000)</f>
        <v>0</v>
      </c>
      <c r="N613" s="610"/>
    </row>
    <row r="614" spans="1:14" s="191" customFormat="1" ht="25.5">
      <c r="A614" s="175" t="s">
        <v>188</v>
      </c>
      <c r="B614" s="155" t="s">
        <v>372</v>
      </c>
      <c r="C614" s="184">
        <f t="shared" si="554"/>
        <v>4</v>
      </c>
      <c r="D614" s="153" t="s">
        <v>1026</v>
      </c>
      <c r="E614" s="214">
        <v>10</v>
      </c>
      <c r="F614" s="154" t="s">
        <v>1020</v>
      </c>
      <c r="G614" s="134" t="str">
        <f t="shared" si="552"/>
        <v>PA pellets 1-10 mm (emission to water)</v>
      </c>
      <c r="H614" s="148" t="s">
        <v>1042</v>
      </c>
      <c r="I614" s="129">
        <v>0</v>
      </c>
      <c r="J614" s="101" t="s">
        <v>1019</v>
      </c>
      <c r="K614" s="114">
        <f>K28</f>
        <v>292</v>
      </c>
      <c r="L614" s="226">
        <f t="shared" si="575"/>
        <v>8.5616438356164384</v>
      </c>
      <c r="M614" s="220">
        <f t="shared" ref="M614:M617" si="578">IF(L614/1000&gt;1000,1000,L614/1000)</f>
        <v>8.5616438356164379E-3</v>
      </c>
      <c r="N614" s="611">
        <f>I614*M614+I615*M615+I616*M616</f>
        <v>8.5616438356164379E-3</v>
      </c>
    </row>
    <row r="615" spans="1:14" s="191" customFormat="1" ht="15" customHeight="1">
      <c r="A615" s="172" t="str">
        <f>A614</f>
        <v>PA</v>
      </c>
      <c r="B615" s="149" t="str">
        <f>B614</f>
        <v>pellets</v>
      </c>
      <c r="C615" s="149">
        <f t="shared" si="554"/>
        <v>4</v>
      </c>
      <c r="D615" s="149" t="str">
        <f t="shared" ref="D615:F616" si="579">D614</f>
        <v>1-10</v>
      </c>
      <c r="E615" s="149">
        <f t="shared" si="579"/>
        <v>10</v>
      </c>
      <c r="F615" s="149" t="str">
        <f t="shared" si="579"/>
        <v>water</v>
      </c>
      <c r="G615" s="146" t="str">
        <f t="shared" si="552"/>
        <v>PA pellets 1-10 mm (emission to water)</v>
      </c>
      <c r="H615" s="146" t="str">
        <f>H614</f>
        <v>Freisetzung durch Unfälle mit Pellets; Unsachgemäße Entsorgung von Pellets</v>
      </c>
      <c r="I615" s="129">
        <v>0</v>
      </c>
      <c r="J615" s="101" t="s">
        <v>1097</v>
      </c>
      <c r="K615" s="114">
        <f>K29</f>
        <v>292</v>
      </c>
      <c r="L615" s="226">
        <f t="shared" si="575"/>
        <v>8.5616438356164384</v>
      </c>
      <c r="M615" s="220">
        <f t="shared" si="578"/>
        <v>8.5616438356164379E-3</v>
      </c>
      <c r="N615" s="612"/>
    </row>
    <row r="616" spans="1:14" s="191" customFormat="1" ht="15" customHeight="1">
      <c r="A616" s="172" t="str">
        <f>A615</f>
        <v>PA</v>
      </c>
      <c r="B616" s="149" t="str">
        <f>B615</f>
        <v>pellets</v>
      </c>
      <c r="C616" s="149">
        <f t="shared" si="554"/>
        <v>4</v>
      </c>
      <c r="D616" s="149" t="str">
        <f t="shared" si="579"/>
        <v>1-10</v>
      </c>
      <c r="E616" s="149">
        <f t="shared" si="579"/>
        <v>10</v>
      </c>
      <c r="F616" s="149" t="str">
        <f t="shared" si="579"/>
        <v>water</v>
      </c>
      <c r="G616" s="146" t="str">
        <f t="shared" si="552"/>
        <v>PA pellets 1-10 mm (emission to water)</v>
      </c>
      <c r="H616" s="146" t="str">
        <f>H615</f>
        <v>Freisetzung durch Unfälle mit Pellets; Unsachgemäße Entsorgung von Pellets</v>
      </c>
      <c r="I616" s="129">
        <v>1</v>
      </c>
      <c r="J616" s="101" t="s">
        <v>1096</v>
      </c>
      <c r="K616" s="114">
        <f>K30</f>
        <v>292</v>
      </c>
      <c r="L616" s="226">
        <f t="shared" si="575"/>
        <v>8.5616438356164384</v>
      </c>
      <c r="M616" s="220">
        <f t="shared" si="578"/>
        <v>8.5616438356164379E-3</v>
      </c>
      <c r="N616" s="612"/>
    </row>
    <row r="617" spans="1:14" s="191" customFormat="1" ht="12.75" customHeight="1">
      <c r="A617" s="173" t="str">
        <f>A615</f>
        <v>PA</v>
      </c>
      <c r="B617" s="150" t="str">
        <f>B615</f>
        <v>pellets</v>
      </c>
      <c r="C617" s="150">
        <f t="shared" si="554"/>
        <v>4</v>
      </c>
      <c r="D617" s="150" t="str">
        <f>D615</f>
        <v>1-10</v>
      </c>
      <c r="E617" s="150">
        <f>E615</f>
        <v>10</v>
      </c>
      <c r="F617" s="150" t="str">
        <f>F615</f>
        <v>water</v>
      </c>
      <c r="G617" s="147" t="str">
        <f t="shared" si="552"/>
        <v>PA pellets 1-10 mm (emission to water)</v>
      </c>
      <c r="H617" s="147" t="str">
        <f>H615</f>
        <v>Freisetzung durch Unfälle mit Pellets; Unsachgemäße Entsorgung von Pellets</v>
      </c>
      <c r="I617" s="129">
        <v>0</v>
      </c>
      <c r="J617" s="101" t="s">
        <v>1034</v>
      </c>
      <c r="K617" s="114" t="s">
        <v>596</v>
      </c>
      <c r="L617" s="226">
        <f t="shared" si="575"/>
        <v>0</v>
      </c>
      <c r="M617" s="220">
        <f t="shared" si="578"/>
        <v>0</v>
      </c>
      <c r="N617" s="613"/>
    </row>
    <row r="618" spans="1:14" s="191" customFormat="1" ht="12.75" customHeight="1">
      <c r="A618" s="175" t="s">
        <v>188</v>
      </c>
      <c r="B618" s="287" t="s">
        <v>372</v>
      </c>
      <c r="C618" s="140">
        <f t="shared" ref="C618:C620" si="580">IF(OR(B618="Folie", B618="Strips", B618="Film",B618="Flakes",B618="Coupon"), 2,IF(OR(B618="Fibers",B618="Pellets"),4,IF(OR(B618="Particles",B618="Shreds",B618="Powder",B618="Fragments",B618="Granules"),6,"")))</f>
        <v>4</v>
      </c>
      <c r="D618" s="153" t="s">
        <v>1026</v>
      </c>
      <c r="E618" s="155">
        <v>10</v>
      </c>
      <c r="F618" s="154" t="s">
        <v>1057</v>
      </c>
      <c r="G618" s="134" t="str">
        <f t="shared" ref="G618:G620" si="581">CONCATENATE(A618," ",B618," ",D618," mm (emission to ",F618,")")</f>
        <v>PA pellets 1-10 mm (emission to air)</v>
      </c>
      <c r="H618" s="148" t="s">
        <v>1042</v>
      </c>
      <c r="I618" s="137">
        <v>0.97699999999999998</v>
      </c>
      <c r="J618" s="101" t="s">
        <v>1019</v>
      </c>
      <c r="K618" s="114">
        <f>K28</f>
        <v>292</v>
      </c>
      <c r="L618" s="226">
        <f t="shared" ref="L618:L620" si="582">IFERROR(IF(K618="--",0,IF(E618*1000/K618*(1-0.5)^(C618/2)&gt;1000,1000,E618*1000/K618*(1-0.5)^(C618/2))),1000)</f>
        <v>8.5616438356164384</v>
      </c>
      <c r="M618" s="158">
        <f>IF(L618/1000&gt;1000,1000,L618/1000)</f>
        <v>8.5616438356164379E-3</v>
      </c>
      <c r="N618" s="610">
        <f>I618*M618+I619*M619</f>
        <v>8.5616438356164379E-3</v>
      </c>
    </row>
    <row r="619" spans="1:14" s="191" customFormat="1" ht="12.75" customHeight="1">
      <c r="A619" s="172" t="str">
        <f>A618</f>
        <v>PA</v>
      </c>
      <c r="B619" s="149" t="str">
        <f>B618</f>
        <v>pellets</v>
      </c>
      <c r="C619" s="149">
        <f t="shared" si="580"/>
        <v>4</v>
      </c>
      <c r="D619" s="149" t="str">
        <f t="shared" ref="D619:F619" si="583">D618</f>
        <v>1-10</v>
      </c>
      <c r="E619" s="149">
        <f t="shared" si="583"/>
        <v>10</v>
      </c>
      <c r="F619" s="149" t="str">
        <f t="shared" si="583"/>
        <v>air</v>
      </c>
      <c r="G619" s="146" t="str">
        <f t="shared" si="581"/>
        <v>PA pellets 1-10 mm (emission to air)</v>
      </c>
      <c r="H619" s="146" t="str">
        <f>H618</f>
        <v>Freisetzung durch Unfälle mit Pellets; Unsachgemäße Entsorgung von Pellets</v>
      </c>
      <c r="I619" s="129">
        <v>2.3E-2</v>
      </c>
      <c r="J619" s="101" t="s">
        <v>1097</v>
      </c>
      <c r="K619" s="114">
        <f>K29</f>
        <v>292</v>
      </c>
      <c r="L619" s="226">
        <f t="shared" si="582"/>
        <v>8.5616438356164384</v>
      </c>
      <c r="M619" s="158">
        <f>IF(L619/1000&gt;1000,1000,L619/1000)</f>
        <v>8.5616438356164379E-3</v>
      </c>
      <c r="N619" s="610"/>
    </row>
    <row r="620" spans="1:14" s="191" customFormat="1" ht="12.75" customHeight="1">
      <c r="A620" s="173" t="str">
        <f>A619</f>
        <v>PA</v>
      </c>
      <c r="B620" s="150" t="str">
        <f>B619</f>
        <v>pellets</v>
      </c>
      <c r="C620" s="150">
        <f t="shared" si="580"/>
        <v>4</v>
      </c>
      <c r="D620" s="150" t="str">
        <f t="shared" ref="D620:F620" si="584">D619</f>
        <v>1-10</v>
      </c>
      <c r="E620" s="150">
        <f t="shared" si="584"/>
        <v>10</v>
      </c>
      <c r="F620" s="150" t="str">
        <f t="shared" si="584"/>
        <v>air</v>
      </c>
      <c r="G620" s="147" t="str">
        <f t="shared" si="581"/>
        <v>PA pellets 1-10 mm (emission to air)</v>
      </c>
      <c r="H620" s="147" t="str">
        <f>H619</f>
        <v>Freisetzung durch Unfälle mit Pellets; Unsachgemäße Entsorgung von Pellets</v>
      </c>
      <c r="I620" s="129">
        <v>0</v>
      </c>
      <c r="J620" s="101" t="s">
        <v>1034</v>
      </c>
      <c r="K620" s="151" t="s">
        <v>596</v>
      </c>
      <c r="L620" s="226">
        <f t="shared" si="582"/>
        <v>0</v>
      </c>
      <c r="M620" s="158">
        <f t="shared" ref="M620" si="585">IF(L620/1000&gt;1000,1000,L620/1000)</f>
        <v>0</v>
      </c>
      <c r="N620" s="610"/>
    </row>
    <row r="621" spans="1:14" s="191" customFormat="1" ht="25.5">
      <c r="A621" s="260" t="s">
        <v>188</v>
      </c>
      <c r="B621" s="261" t="s">
        <v>1025</v>
      </c>
      <c r="C621" s="262">
        <f t="shared" si="554"/>
        <v>6</v>
      </c>
      <c r="D621" s="262" t="s">
        <v>1018</v>
      </c>
      <c r="E621" s="237">
        <v>0.1</v>
      </c>
      <c r="F621" s="263" t="s">
        <v>1019</v>
      </c>
      <c r="G621" s="264" t="str">
        <f t="shared" si="552"/>
        <v>PA particles 0,01-0,1 mm (emission to soil)</v>
      </c>
      <c r="H621" s="266" t="s">
        <v>1053</v>
      </c>
      <c r="I621" s="240">
        <v>1</v>
      </c>
      <c r="J621" s="247" t="s">
        <v>1019</v>
      </c>
      <c r="K621" s="248">
        <f>K28</f>
        <v>292</v>
      </c>
      <c r="L621" s="243">
        <f t="shared" ref="L621:L627" si="586">IFERROR(IF(K621="--",0,IF(E621*1000/K621*(1-0.5)^(C621/2)&gt;1000,1000,E621*1000/K621*(1-0.5)^(C621/2))),1000)</f>
        <v>4.2808219178082189E-2</v>
      </c>
      <c r="M621" s="253">
        <f>IF(L621/1000&gt;1000,1000,L621/1000)</f>
        <v>4.2808219178082192E-5</v>
      </c>
      <c r="N621" s="617">
        <f>I621*M621+I622*M622</f>
        <v>4.2808219178082192E-5</v>
      </c>
    </row>
    <row r="622" spans="1:14" s="191" customFormat="1" ht="12.75" customHeight="1">
      <c r="A622" s="244" t="str">
        <f>A621</f>
        <v>PA</v>
      </c>
      <c r="B622" s="245" t="str">
        <f>B621</f>
        <v>particles</v>
      </c>
      <c r="C622" s="245">
        <f t="shared" si="554"/>
        <v>6</v>
      </c>
      <c r="D622" s="245" t="str">
        <f t="shared" ref="D622:F623" si="587">D621</f>
        <v>0,01-0,1</v>
      </c>
      <c r="E622" s="245">
        <f t="shared" si="587"/>
        <v>0.1</v>
      </c>
      <c r="F622" s="245" t="str">
        <f t="shared" si="587"/>
        <v>soil</v>
      </c>
      <c r="G622" s="246" t="str">
        <f t="shared" si="552"/>
        <v>PA particles 0,01-0,1 mm (emission to soil)</v>
      </c>
      <c r="H622" s="246" t="str">
        <f>H621</f>
        <v>Auswaschung von Wasch-, Pflege- und Reinigungsmitteln</v>
      </c>
      <c r="I622" s="240">
        <v>0</v>
      </c>
      <c r="J622" s="247" t="s">
        <v>1097</v>
      </c>
      <c r="K622" s="248">
        <f>K29</f>
        <v>292</v>
      </c>
      <c r="L622" s="243">
        <f t="shared" si="586"/>
        <v>4.2808219178082189E-2</v>
      </c>
      <c r="M622" s="253">
        <f>IF(L622/1000&gt;1000,1000,L622/1000)</f>
        <v>4.2808219178082192E-5</v>
      </c>
      <c r="N622" s="617"/>
    </row>
    <row r="623" spans="1:14" s="191" customFormat="1" ht="12.75" customHeight="1">
      <c r="A623" s="249" t="str">
        <f>A622</f>
        <v>PA</v>
      </c>
      <c r="B623" s="250" t="str">
        <f>B622</f>
        <v>particles</v>
      </c>
      <c r="C623" s="250">
        <f t="shared" si="554"/>
        <v>6</v>
      </c>
      <c r="D623" s="250" t="str">
        <f t="shared" si="587"/>
        <v>0,01-0,1</v>
      </c>
      <c r="E623" s="250">
        <f t="shared" si="587"/>
        <v>0.1</v>
      </c>
      <c r="F623" s="250" t="str">
        <f t="shared" si="587"/>
        <v>soil</v>
      </c>
      <c r="G623" s="251" t="str">
        <f t="shared" si="552"/>
        <v>PA particles 0,01-0,1 mm (emission to soil)</v>
      </c>
      <c r="H623" s="251" t="str">
        <f>H622</f>
        <v>Auswaschung von Wasch-, Pflege- und Reinigungsmitteln</v>
      </c>
      <c r="I623" s="240">
        <v>0</v>
      </c>
      <c r="J623" s="247" t="s">
        <v>1034</v>
      </c>
      <c r="K623" s="252" t="s">
        <v>596</v>
      </c>
      <c r="L623" s="243">
        <f t="shared" si="586"/>
        <v>0</v>
      </c>
      <c r="M623" s="253">
        <f t="shared" ref="M623:M627" si="588">IF(L623/1000&gt;1000,1000,L623/1000)</f>
        <v>0</v>
      </c>
      <c r="N623" s="617"/>
    </row>
    <row r="624" spans="1:14" s="191" customFormat="1" ht="25.5">
      <c r="A624" s="176" t="s">
        <v>188</v>
      </c>
      <c r="B624" s="183" t="s">
        <v>1025</v>
      </c>
      <c r="C624" s="184">
        <f t="shared" si="554"/>
        <v>6</v>
      </c>
      <c r="D624" s="184" t="s">
        <v>1018</v>
      </c>
      <c r="E624" s="155">
        <v>0.1</v>
      </c>
      <c r="F624" s="131" t="s">
        <v>1020</v>
      </c>
      <c r="G624" s="134" t="str">
        <f t="shared" si="552"/>
        <v>PA particles 0,01-0,1 mm (emission to water)</v>
      </c>
      <c r="H624" s="133" t="s">
        <v>1053</v>
      </c>
      <c r="I624" s="129">
        <v>0</v>
      </c>
      <c r="J624" s="101" t="s">
        <v>1019</v>
      </c>
      <c r="K624" s="114">
        <f>K28</f>
        <v>292</v>
      </c>
      <c r="L624" s="226">
        <f t="shared" si="586"/>
        <v>4.2808219178082189E-2</v>
      </c>
      <c r="M624" s="220">
        <f t="shared" si="588"/>
        <v>4.2808219178082192E-5</v>
      </c>
      <c r="N624" s="611">
        <f>I624*M624+I625*M625+I626*M626</f>
        <v>4.2808219178082192E-5</v>
      </c>
    </row>
    <row r="625" spans="1:14" s="191" customFormat="1" ht="12.75" customHeight="1">
      <c r="A625" s="172" t="str">
        <f>A624</f>
        <v>PA</v>
      </c>
      <c r="B625" s="149" t="str">
        <f>B624</f>
        <v>particles</v>
      </c>
      <c r="C625" s="149">
        <f t="shared" si="554"/>
        <v>6</v>
      </c>
      <c r="D625" s="149" t="str">
        <f t="shared" ref="D625:F626" si="589">D624</f>
        <v>0,01-0,1</v>
      </c>
      <c r="E625" s="149">
        <f t="shared" si="589"/>
        <v>0.1</v>
      </c>
      <c r="F625" s="149" t="str">
        <f t="shared" si="589"/>
        <v>water</v>
      </c>
      <c r="G625" s="146" t="str">
        <f t="shared" si="552"/>
        <v>PA particles 0,01-0,1 mm (emission to water)</v>
      </c>
      <c r="H625" s="146" t="str">
        <f>H624</f>
        <v>Auswaschung von Wasch-, Pflege- und Reinigungsmitteln</v>
      </c>
      <c r="I625" s="129">
        <v>0</v>
      </c>
      <c r="J625" s="101" t="s">
        <v>1097</v>
      </c>
      <c r="K625" s="114">
        <f>K29</f>
        <v>292</v>
      </c>
      <c r="L625" s="226">
        <f t="shared" si="586"/>
        <v>4.2808219178082189E-2</v>
      </c>
      <c r="M625" s="220">
        <f t="shared" si="588"/>
        <v>4.2808219178082192E-5</v>
      </c>
      <c r="N625" s="612"/>
    </row>
    <row r="626" spans="1:14" s="191" customFormat="1" ht="12.75" customHeight="1">
      <c r="A626" s="172" t="str">
        <f>A625</f>
        <v>PA</v>
      </c>
      <c r="B626" s="149" t="str">
        <f>B625</f>
        <v>particles</v>
      </c>
      <c r="C626" s="149">
        <f t="shared" ref="C626" si="590">IF(OR(B626="Folie", B626="Strips", B626="Film",B626="Flakes",B626="Coupon"), 2,IF(OR(B626="Fibers",B626="Pellets"),4,IF(OR(B626="Particles",B626="Shreds",B626="Powder",B626="Fragments",B626="Granules"),6,"")))</f>
        <v>6</v>
      </c>
      <c r="D626" s="149" t="str">
        <f t="shared" si="589"/>
        <v>0,01-0,1</v>
      </c>
      <c r="E626" s="149">
        <f t="shared" si="589"/>
        <v>0.1</v>
      </c>
      <c r="F626" s="149" t="str">
        <f t="shared" si="589"/>
        <v>water</v>
      </c>
      <c r="G626" s="146" t="str">
        <f t="shared" ref="G626" si="591">CONCATENATE(A626," ",B626," ",D626," mm (emission to ",F626,")")</f>
        <v>PA particles 0,01-0,1 mm (emission to water)</v>
      </c>
      <c r="H626" s="146" t="str">
        <f>H625</f>
        <v>Auswaschung von Wasch-, Pflege- und Reinigungsmitteln</v>
      </c>
      <c r="I626" s="129">
        <v>1</v>
      </c>
      <c r="J626" s="101" t="s">
        <v>1096</v>
      </c>
      <c r="K626" s="114">
        <f>K30</f>
        <v>292</v>
      </c>
      <c r="L626" s="226">
        <f t="shared" si="586"/>
        <v>4.2808219178082189E-2</v>
      </c>
      <c r="M626" s="220">
        <f t="shared" si="588"/>
        <v>4.2808219178082192E-5</v>
      </c>
      <c r="N626" s="612"/>
    </row>
    <row r="627" spans="1:14" s="191" customFormat="1" ht="12.75" customHeight="1">
      <c r="A627" s="173" t="str">
        <f>A625</f>
        <v>PA</v>
      </c>
      <c r="B627" s="150" t="str">
        <f>B625</f>
        <v>particles</v>
      </c>
      <c r="C627" s="150">
        <f t="shared" si="554"/>
        <v>6</v>
      </c>
      <c r="D627" s="150" t="str">
        <f>D625</f>
        <v>0,01-0,1</v>
      </c>
      <c r="E627" s="150">
        <f>E625</f>
        <v>0.1</v>
      </c>
      <c r="F627" s="150" t="str">
        <f>F625</f>
        <v>water</v>
      </c>
      <c r="G627" s="147" t="str">
        <f t="shared" si="552"/>
        <v>PA particles 0,01-0,1 mm (emission to water)</v>
      </c>
      <c r="H627" s="147" t="str">
        <f>H625</f>
        <v>Auswaschung von Wasch-, Pflege- und Reinigungsmitteln</v>
      </c>
      <c r="I627" s="129">
        <v>0</v>
      </c>
      <c r="J627" s="101" t="s">
        <v>1034</v>
      </c>
      <c r="K627" s="114" t="s">
        <v>596</v>
      </c>
      <c r="L627" s="226">
        <f t="shared" si="586"/>
        <v>0</v>
      </c>
      <c r="M627" s="220">
        <f t="shared" si="588"/>
        <v>0</v>
      </c>
      <c r="N627" s="613"/>
    </row>
    <row r="628" spans="1:14" s="191" customFormat="1" ht="12.75" customHeight="1">
      <c r="A628" s="174" t="s">
        <v>188</v>
      </c>
      <c r="B628" s="288" t="s">
        <v>1025</v>
      </c>
      <c r="C628" s="290">
        <f t="shared" ref="C628:C630" si="592">IF(OR(B628="Folie", B628="Strips", B628="Film",B628="Flakes",B628="Coupon"), 2,IF(OR(B628="Fibers",B628="Pellets"),4,IF(OR(B628="Particles",B628="Shreds",B628="Powder",B628="Fragments",B628="Granules"),6,"")))</f>
        <v>6</v>
      </c>
      <c r="D628" s="290" t="s">
        <v>1018</v>
      </c>
      <c r="E628" s="155">
        <v>0.1</v>
      </c>
      <c r="F628" s="206" t="s">
        <v>1057</v>
      </c>
      <c r="G628" s="144" t="str">
        <f t="shared" ref="G628:G630" si="593">CONCATENATE(A628," ",B628," ",D628," mm (emission to ",F628,")")</f>
        <v>PA particles 0,01-0,1 mm (emission to air)</v>
      </c>
      <c r="H628" s="133" t="s">
        <v>1053</v>
      </c>
      <c r="I628" s="137">
        <v>0.97699999999999998</v>
      </c>
      <c r="J628" s="225" t="s">
        <v>1019</v>
      </c>
      <c r="K628" s="114">
        <f>K28</f>
        <v>292</v>
      </c>
      <c r="L628" s="226">
        <f t="shared" ref="L628:L630" si="594">IFERROR(IF(K628="--",0,IF(E628*1000/K628*(1-0.5)^(C628/2)&gt;1000,1000,E628*1000/K628*(1-0.5)^(C628/2))),1000)</f>
        <v>4.2808219178082189E-2</v>
      </c>
      <c r="M628" s="158">
        <f>IF(L628/1000&gt;1000,1000,L628/1000)</f>
        <v>4.2808219178082192E-5</v>
      </c>
      <c r="N628" s="610">
        <f>I628*M628+I629*M629</f>
        <v>4.2808219178082192E-5</v>
      </c>
    </row>
    <row r="629" spans="1:14" s="191" customFormat="1" ht="12.75" customHeight="1">
      <c r="A629" s="172" t="str">
        <f>A628</f>
        <v>PA</v>
      </c>
      <c r="B629" s="149" t="str">
        <f>B628</f>
        <v>particles</v>
      </c>
      <c r="C629" s="149">
        <f t="shared" si="592"/>
        <v>6</v>
      </c>
      <c r="D629" s="149" t="str">
        <f t="shared" ref="D629:F629" si="595">D628</f>
        <v>0,01-0,1</v>
      </c>
      <c r="E629" s="149">
        <f t="shared" si="595"/>
        <v>0.1</v>
      </c>
      <c r="F629" s="149" t="str">
        <f t="shared" si="595"/>
        <v>air</v>
      </c>
      <c r="G629" s="146" t="str">
        <f t="shared" si="593"/>
        <v>PA particles 0,01-0,1 mm (emission to air)</v>
      </c>
      <c r="H629" s="146" t="str">
        <f>H628</f>
        <v>Auswaschung von Wasch-, Pflege- und Reinigungsmitteln</v>
      </c>
      <c r="I629" s="129">
        <v>2.3E-2</v>
      </c>
      <c r="J629" s="225" t="s">
        <v>1097</v>
      </c>
      <c r="K629" s="114">
        <f>K29</f>
        <v>292</v>
      </c>
      <c r="L629" s="226">
        <f t="shared" si="594"/>
        <v>4.2808219178082189E-2</v>
      </c>
      <c r="M629" s="158">
        <f>IF(L629/1000&gt;1000,1000,L629/1000)</f>
        <v>4.2808219178082192E-5</v>
      </c>
      <c r="N629" s="610"/>
    </row>
    <row r="630" spans="1:14" s="191" customFormat="1" ht="12.75" customHeight="1">
      <c r="A630" s="173" t="str">
        <f>A629</f>
        <v>PA</v>
      </c>
      <c r="B630" s="150" t="str">
        <f>B629</f>
        <v>particles</v>
      </c>
      <c r="C630" s="150">
        <f t="shared" si="592"/>
        <v>6</v>
      </c>
      <c r="D630" s="150" t="str">
        <f t="shared" ref="D630:F630" si="596">D629</f>
        <v>0,01-0,1</v>
      </c>
      <c r="E630" s="150">
        <f t="shared" si="596"/>
        <v>0.1</v>
      </c>
      <c r="F630" s="150" t="str">
        <f t="shared" si="596"/>
        <v>air</v>
      </c>
      <c r="G630" s="147" t="str">
        <f t="shared" si="593"/>
        <v>PA particles 0,01-0,1 mm (emission to air)</v>
      </c>
      <c r="H630" s="147" t="str">
        <f>H629</f>
        <v>Auswaschung von Wasch-, Pflege- und Reinigungsmitteln</v>
      </c>
      <c r="I630" s="129">
        <v>0</v>
      </c>
      <c r="J630" s="225" t="s">
        <v>1034</v>
      </c>
      <c r="K630" s="151" t="s">
        <v>596</v>
      </c>
      <c r="L630" s="226">
        <f t="shared" si="594"/>
        <v>0</v>
      </c>
      <c r="M630" s="158">
        <f t="shared" ref="M630" si="597">IF(L630/1000&gt;1000,1000,L630/1000)</f>
        <v>0</v>
      </c>
      <c r="N630" s="610"/>
    </row>
    <row r="631" spans="1:14" s="102" customFormat="1">
      <c r="A631" s="174" t="s">
        <v>188</v>
      </c>
      <c r="B631" s="186" t="s">
        <v>1025</v>
      </c>
      <c r="C631" s="188">
        <f t="shared" si="554"/>
        <v>6</v>
      </c>
      <c r="D631" s="188" t="s">
        <v>1028</v>
      </c>
      <c r="E631" s="155">
        <v>1</v>
      </c>
      <c r="F631" s="131" t="s">
        <v>1019</v>
      </c>
      <c r="G631" s="134" t="str">
        <f t="shared" si="552"/>
        <v>PA particles 0,1-1 mm (emission to soil)</v>
      </c>
      <c r="H631" s="133"/>
      <c r="I631" s="129">
        <v>1</v>
      </c>
      <c r="J631" s="101" t="s">
        <v>1019</v>
      </c>
      <c r="K631" s="114">
        <f>K28</f>
        <v>292</v>
      </c>
      <c r="L631" s="226">
        <f t="shared" ref="L631:L637" si="598">IFERROR(IF(K631="--",0,IF(E631*1000/K631*(1-0.5)^(C631/2)&gt;1000,1000,E631*1000/K631*(1-0.5)^(C631/2))),1000)</f>
        <v>0.42808219178082191</v>
      </c>
      <c r="M631" s="158">
        <f>IF(L631/1000&gt;1000,1000,L631/1000)</f>
        <v>4.2808219178082189E-4</v>
      </c>
      <c r="N631" s="610">
        <f>I631*M631+I632*M632</f>
        <v>4.2808219178082189E-4</v>
      </c>
    </row>
    <row r="632" spans="1:14" s="102" customFormat="1">
      <c r="A632" s="172" t="str">
        <f>A631</f>
        <v>PA</v>
      </c>
      <c r="B632" s="149" t="str">
        <f>B631</f>
        <v>particles</v>
      </c>
      <c r="C632" s="149">
        <f t="shared" si="554"/>
        <v>6</v>
      </c>
      <c r="D632" s="149" t="str">
        <f t="shared" ref="D632:F633" si="599">D631</f>
        <v>0,1-1</v>
      </c>
      <c r="E632" s="149">
        <f t="shared" si="599"/>
        <v>1</v>
      </c>
      <c r="F632" s="149" t="str">
        <f t="shared" si="599"/>
        <v>soil</v>
      </c>
      <c r="G632" s="146" t="str">
        <f t="shared" si="552"/>
        <v>PA particles 0,1-1 mm (emission to soil)</v>
      </c>
      <c r="H632" s="146"/>
      <c r="I632" s="129">
        <v>0</v>
      </c>
      <c r="J632" s="101" t="s">
        <v>1097</v>
      </c>
      <c r="K632" s="114">
        <f>K29</f>
        <v>292</v>
      </c>
      <c r="L632" s="226">
        <f t="shared" si="598"/>
        <v>0.42808219178082191</v>
      </c>
      <c r="M632" s="158">
        <f>IF(L632/1000&gt;1000,1000,L632/1000)</f>
        <v>4.2808219178082189E-4</v>
      </c>
      <c r="N632" s="610"/>
    </row>
    <row r="633" spans="1:14" s="102" customFormat="1">
      <c r="A633" s="173" t="str">
        <f>A632</f>
        <v>PA</v>
      </c>
      <c r="B633" s="150" t="str">
        <f>B632</f>
        <v>particles</v>
      </c>
      <c r="C633" s="150">
        <f t="shared" si="554"/>
        <v>6</v>
      </c>
      <c r="D633" s="150" t="str">
        <f t="shared" si="599"/>
        <v>0,1-1</v>
      </c>
      <c r="E633" s="150">
        <f t="shared" si="599"/>
        <v>1</v>
      </c>
      <c r="F633" s="150" t="str">
        <f t="shared" si="599"/>
        <v>soil</v>
      </c>
      <c r="G633" s="147" t="str">
        <f t="shared" si="552"/>
        <v>PA particles 0,1-1 mm (emission to soil)</v>
      </c>
      <c r="H633" s="147"/>
      <c r="I633" s="129">
        <v>0</v>
      </c>
      <c r="J633" s="101" t="s">
        <v>1034</v>
      </c>
      <c r="K633" s="151" t="s">
        <v>596</v>
      </c>
      <c r="L633" s="226">
        <f t="shared" si="598"/>
        <v>0</v>
      </c>
      <c r="M633" s="158">
        <f t="shared" ref="M633:M637" si="600">IF(L633/1000&gt;1000,1000,L633/1000)</f>
        <v>0</v>
      </c>
      <c r="N633" s="610"/>
    </row>
    <row r="634" spans="1:14" s="102" customFormat="1">
      <c r="A634" s="174" t="s">
        <v>188</v>
      </c>
      <c r="B634" s="186" t="s">
        <v>1025</v>
      </c>
      <c r="C634" s="188">
        <f t="shared" si="554"/>
        <v>6</v>
      </c>
      <c r="D634" s="188" t="s">
        <v>1028</v>
      </c>
      <c r="E634" s="216">
        <v>1</v>
      </c>
      <c r="F634" s="131" t="s">
        <v>1020</v>
      </c>
      <c r="G634" s="134" t="str">
        <f t="shared" si="552"/>
        <v>PA particles 0,1-1 mm (emission to water)</v>
      </c>
      <c r="H634" s="133"/>
      <c r="I634" s="129">
        <v>0</v>
      </c>
      <c r="J634" s="101" t="s">
        <v>1019</v>
      </c>
      <c r="K634" s="114">
        <f>K28</f>
        <v>292</v>
      </c>
      <c r="L634" s="226">
        <f t="shared" si="598"/>
        <v>0.42808219178082191</v>
      </c>
      <c r="M634" s="220">
        <f t="shared" si="600"/>
        <v>4.2808219178082189E-4</v>
      </c>
      <c r="N634" s="611">
        <f>I634*M634+I635*M635+I636*M636</f>
        <v>4.2808219178082189E-4</v>
      </c>
    </row>
    <row r="635" spans="1:14" s="102" customFormat="1">
      <c r="A635" s="172" t="str">
        <f>A634</f>
        <v>PA</v>
      </c>
      <c r="B635" s="149" t="str">
        <f>B634</f>
        <v>particles</v>
      </c>
      <c r="C635" s="149">
        <f t="shared" si="554"/>
        <v>6</v>
      </c>
      <c r="D635" s="149" t="str">
        <f t="shared" ref="D635:F636" si="601">D634</f>
        <v>0,1-1</v>
      </c>
      <c r="E635" s="149">
        <f t="shared" si="601"/>
        <v>1</v>
      </c>
      <c r="F635" s="149" t="str">
        <f t="shared" si="601"/>
        <v>water</v>
      </c>
      <c r="G635" s="146" t="str">
        <f t="shared" si="552"/>
        <v>PA particles 0,1-1 mm (emission to water)</v>
      </c>
      <c r="H635" s="146"/>
      <c r="I635" s="129">
        <v>0</v>
      </c>
      <c r="J635" s="101" t="s">
        <v>1097</v>
      </c>
      <c r="K635" s="114">
        <f>K29</f>
        <v>292</v>
      </c>
      <c r="L635" s="226">
        <f t="shared" si="598"/>
        <v>0.42808219178082191</v>
      </c>
      <c r="M635" s="220">
        <f t="shared" si="600"/>
        <v>4.2808219178082189E-4</v>
      </c>
      <c r="N635" s="612"/>
    </row>
    <row r="636" spans="1:14" s="102" customFormat="1" ht="12.75" customHeight="1">
      <c r="A636" s="172" t="str">
        <f>A635</f>
        <v>PA</v>
      </c>
      <c r="B636" s="149" t="str">
        <f>B635</f>
        <v>particles</v>
      </c>
      <c r="C636" s="149">
        <f t="shared" ref="C636" si="602">IF(OR(B636="Folie", B636="Strips", B636="Film",B636="Flakes",B636="Coupon"), 2,IF(OR(B636="Fibers",B636="Pellets"),4,IF(OR(B636="Particles",B636="Shreds",B636="Powder",B636="Fragments",B636="Granules"),6,"")))</f>
        <v>6</v>
      </c>
      <c r="D636" s="149" t="str">
        <f t="shared" si="601"/>
        <v>0,1-1</v>
      </c>
      <c r="E636" s="149">
        <f t="shared" si="601"/>
        <v>1</v>
      </c>
      <c r="F636" s="149" t="str">
        <f t="shared" si="601"/>
        <v>water</v>
      </c>
      <c r="G636" s="146" t="str">
        <f t="shared" ref="G636" si="603">CONCATENATE(A636," ",B636," ",D636," mm (emission to ",F636,")")</f>
        <v>PA particles 0,1-1 mm (emission to water)</v>
      </c>
      <c r="H636" s="146">
        <f>H635</f>
        <v>0</v>
      </c>
      <c r="I636" s="129">
        <v>1</v>
      </c>
      <c r="J636" s="101" t="s">
        <v>1096</v>
      </c>
      <c r="K636" s="114">
        <f>K30</f>
        <v>292</v>
      </c>
      <c r="L636" s="226">
        <f t="shared" si="598"/>
        <v>0.42808219178082191</v>
      </c>
      <c r="M636" s="220">
        <f t="shared" si="600"/>
        <v>4.2808219178082189E-4</v>
      </c>
      <c r="N636" s="612"/>
    </row>
    <row r="637" spans="1:14" s="102" customFormat="1">
      <c r="A637" s="173" t="str">
        <f>A635</f>
        <v>PA</v>
      </c>
      <c r="B637" s="150" t="str">
        <f>B635</f>
        <v>particles</v>
      </c>
      <c r="C637" s="150">
        <f t="shared" si="554"/>
        <v>6</v>
      </c>
      <c r="D637" s="150" t="str">
        <f>D635</f>
        <v>0,1-1</v>
      </c>
      <c r="E637" s="150">
        <f>E635</f>
        <v>1</v>
      </c>
      <c r="F637" s="150" t="str">
        <f>F635</f>
        <v>water</v>
      </c>
      <c r="G637" s="147" t="str">
        <f t="shared" si="552"/>
        <v>PA particles 0,1-1 mm (emission to water)</v>
      </c>
      <c r="H637" s="147"/>
      <c r="I637" s="129">
        <v>0</v>
      </c>
      <c r="J637" s="101" t="s">
        <v>1034</v>
      </c>
      <c r="K637" s="151" t="s">
        <v>596</v>
      </c>
      <c r="L637" s="226">
        <f t="shared" si="598"/>
        <v>0</v>
      </c>
      <c r="M637" s="220">
        <f t="shared" si="600"/>
        <v>0</v>
      </c>
      <c r="N637" s="613"/>
    </row>
    <row r="638" spans="1:14" s="102" customFormat="1">
      <c r="A638" s="174" t="s">
        <v>188</v>
      </c>
      <c r="B638" s="288" t="s">
        <v>1025</v>
      </c>
      <c r="C638" s="290">
        <f t="shared" ref="C638:C640" si="604">IF(OR(B638="Folie", B638="Strips", B638="Film",B638="Flakes",B638="Coupon"), 2,IF(OR(B638="Fibers",B638="Pellets"),4,IF(OR(B638="Particles",B638="Shreds",B638="Powder",B638="Fragments",B638="Granules"),6,"")))</f>
        <v>6</v>
      </c>
      <c r="D638" s="290" t="s">
        <v>1028</v>
      </c>
      <c r="E638" s="155">
        <v>1</v>
      </c>
      <c r="F638" s="131" t="s">
        <v>1057</v>
      </c>
      <c r="G638" s="134" t="str">
        <f t="shared" ref="G638:G640" si="605">CONCATENATE(A638," ",B638," ",D638," mm (emission to ",F638,")")</f>
        <v>PA particles 0,1-1 mm (emission to air)</v>
      </c>
      <c r="H638" s="133"/>
      <c r="I638" s="137">
        <v>0.97699999999999998</v>
      </c>
      <c r="J638" s="101" t="s">
        <v>1019</v>
      </c>
      <c r="K638" s="114">
        <f>K28</f>
        <v>292</v>
      </c>
      <c r="L638" s="226">
        <f t="shared" ref="L638:L640" si="606">IFERROR(IF(K638="--",0,IF(E638*1000/K638*(1-0.5)^(C638/2)&gt;1000,1000,E638*1000/K638*(1-0.5)^(C638/2))),1000)</f>
        <v>0.42808219178082191</v>
      </c>
      <c r="M638" s="158">
        <f>IF(L638/1000&gt;1000,1000,L638/1000)</f>
        <v>4.2808219178082189E-4</v>
      </c>
      <c r="N638" s="610">
        <f>I638*M638+I639*M639</f>
        <v>4.2808219178082189E-4</v>
      </c>
    </row>
    <row r="639" spans="1:14" s="102" customFormat="1">
      <c r="A639" s="172" t="str">
        <f>A638</f>
        <v>PA</v>
      </c>
      <c r="B639" s="149" t="str">
        <f>B638</f>
        <v>particles</v>
      </c>
      <c r="C639" s="149">
        <f t="shared" si="604"/>
        <v>6</v>
      </c>
      <c r="D639" s="149" t="str">
        <f t="shared" ref="D639:F639" si="607">D638</f>
        <v>0,1-1</v>
      </c>
      <c r="E639" s="149">
        <f t="shared" si="607"/>
        <v>1</v>
      </c>
      <c r="F639" s="149" t="str">
        <f t="shared" si="607"/>
        <v>air</v>
      </c>
      <c r="G639" s="146" t="str">
        <f t="shared" si="605"/>
        <v>PA particles 0,1-1 mm (emission to air)</v>
      </c>
      <c r="H639" s="146"/>
      <c r="I639" s="129">
        <v>2.3E-2</v>
      </c>
      <c r="J639" s="101" t="s">
        <v>1097</v>
      </c>
      <c r="K639" s="114">
        <f>K29</f>
        <v>292</v>
      </c>
      <c r="L639" s="226">
        <f t="shared" si="606"/>
        <v>0.42808219178082191</v>
      </c>
      <c r="M639" s="158">
        <f>IF(L639/1000&gt;1000,1000,L639/1000)</f>
        <v>4.2808219178082189E-4</v>
      </c>
      <c r="N639" s="610"/>
    </row>
    <row r="640" spans="1:14" s="102" customFormat="1">
      <c r="A640" s="173" t="str">
        <f>A639</f>
        <v>PA</v>
      </c>
      <c r="B640" s="150" t="str">
        <f>B639</f>
        <v>particles</v>
      </c>
      <c r="C640" s="150">
        <f t="shared" si="604"/>
        <v>6</v>
      </c>
      <c r="D640" s="150" t="str">
        <f t="shared" ref="D640:F640" si="608">D639</f>
        <v>0,1-1</v>
      </c>
      <c r="E640" s="150">
        <f t="shared" si="608"/>
        <v>1</v>
      </c>
      <c r="F640" s="150" t="str">
        <f t="shared" si="608"/>
        <v>air</v>
      </c>
      <c r="G640" s="147" t="str">
        <f t="shared" si="605"/>
        <v>PA particles 0,1-1 mm (emission to air)</v>
      </c>
      <c r="H640" s="147"/>
      <c r="I640" s="129">
        <v>0</v>
      </c>
      <c r="J640" s="101" t="s">
        <v>1034</v>
      </c>
      <c r="K640" s="151" t="s">
        <v>596</v>
      </c>
      <c r="L640" s="226">
        <f t="shared" si="606"/>
        <v>0</v>
      </c>
      <c r="M640" s="158">
        <f t="shared" ref="M640" si="609">IF(L640/1000&gt;1000,1000,L640/1000)</f>
        <v>0</v>
      </c>
      <c r="N640" s="610"/>
    </row>
    <row r="641" spans="1:14" s="191" customFormat="1" ht="12.75" customHeight="1">
      <c r="A641" s="176" t="s">
        <v>188</v>
      </c>
      <c r="B641" s="183" t="s">
        <v>1025</v>
      </c>
      <c r="C641" s="184">
        <f t="shared" si="554"/>
        <v>6</v>
      </c>
      <c r="D641" s="184" t="s">
        <v>1026</v>
      </c>
      <c r="E641" s="155">
        <v>10</v>
      </c>
      <c r="F641" s="131" t="s">
        <v>1019</v>
      </c>
      <c r="G641" s="134" t="str">
        <f t="shared" si="552"/>
        <v>PA particles 1-10 mm (emission to soil)</v>
      </c>
      <c r="H641" s="133" t="s">
        <v>1038</v>
      </c>
      <c r="I641" s="129">
        <v>1</v>
      </c>
      <c r="J641" s="101" t="s">
        <v>1019</v>
      </c>
      <c r="K641" s="114">
        <f>K28</f>
        <v>292</v>
      </c>
      <c r="L641" s="226">
        <f t="shared" ref="L641:L647" si="610">IFERROR(IF(K641="--",0,IF(E641*1000/K641*(1-0.5)^(C641/2)&gt;1000,1000,E641*1000/K641*(1-0.5)^(C641/2))),1000)</f>
        <v>4.2808219178082192</v>
      </c>
      <c r="M641" s="158">
        <f>IF(L641/1000&gt;1000,1000,L641/1000)</f>
        <v>4.2808219178082189E-3</v>
      </c>
      <c r="N641" s="610">
        <f>I641*M641+I642*M642</f>
        <v>4.2808219178082189E-3</v>
      </c>
    </row>
    <row r="642" spans="1:14" s="191" customFormat="1" ht="12.75" customHeight="1">
      <c r="A642" s="172" t="str">
        <f>A641</f>
        <v>PA</v>
      </c>
      <c r="B642" s="149" t="str">
        <f>B641</f>
        <v>particles</v>
      </c>
      <c r="C642" s="149">
        <f t="shared" si="554"/>
        <v>6</v>
      </c>
      <c r="D642" s="149" t="str">
        <f t="shared" ref="D642:F643" si="611">D641</f>
        <v>1-10</v>
      </c>
      <c r="E642" s="149">
        <f t="shared" si="611"/>
        <v>10</v>
      </c>
      <c r="F642" s="149" t="str">
        <f t="shared" si="611"/>
        <v>soil</v>
      </c>
      <c r="G642" s="146" t="str">
        <f t="shared" si="552"/>
        <v>PA particles 1-10 mm (emission to soil)</v>
      </c>
      <c r="H642" s="146" t="str">
        <f>H641</f>
        <v>Metallzerkleinerung</v>
      </c>
      <c r="I642" s="129">
        <v>0</v>
      </c>
      <c r="J642" s="101" t="s">
        <v>1097</v>
      </c>
      <c r="K642" s="114">
        <f>K29</f>
        <v>292</v>
      </c>
      <c r="L642" s="226">
        <f t="shared" si="610"/>
        <v>4.2808219178082192</v>
      </c>
      <c r="M642" s="158">
        <f>IF(L642/1000&gt;1000,1000,L642/1000)</f>
        <v>4.2808219178082189E-3</v>
      </c>
      <c r="N642" s="610"/>
    </row>
    <row r="643" spans="1:14" s="191" customFormat="1" ht="12.75" customHeight="1">
      <c r="A643" s="173" t="str">
        <f>A642</f>
        <v>PA</v>
      </c>
      <c r="B643" s="150" t="str">
        <f>B642</f>
        <v>particles</v>
      </c>
      <c r="C643" s="150">
        <f t="shared" si="554"/>
        <v>6</v>
      </c>
      <c r="D643" s="150" t="str">
        <f t="shared" si="611"/>
        <v>1-10</v>
      </c>
      <c r="E643" s="150">
        <f t="shared" si="611"/>
        <v>10</v>
      </c>
      <c r="F643" s="150" t="str">
        <f t="shared" si="611"/>
        <v>soil</v>
      </c>
      <c r="G643" s="147" t="str">
        <f t="shared" si="552"/>
        <v>PA particles 1-10 mm (emission to soil)</v>
      </c>
      <c r="H643" s="147" t="str">
        <f>H642</f>
        <v>Metallzerkleinerung</v>
      </c>
      <c r="I643" s="129">
        <v>0</v>
      </c>
      <c r="J643" s="101" t="s">
        <v>1034</v>
      </c>
      <c r="K643" s="151" t="s">
        <v>596</v>
      </c>
      <c r="L643" s="226">
        <f t="shared" si="610"/>
        <v>0</v>
      </c>
      <c r="M643" s="158">
        <f t="shared" ref="M643:M647" si="612">IF(L643/1000&gt;1000,1000,L643/1000)</f>
        <v>0</v>
      </c>
      <c r="N643" s="610"/>
    </row>
    <row r="644" spans="1:14" s="191" customFormat="1" ht="12.75" customHeight="1">
      <c r="A644" s="176" t="s">
        <v>188</v>
      </c>
      <c r="B644" s="183" t="s">
        <v>1025</v>
      </c>
      <c r="C644" s="184">
        <f t="shared" si="554"/>
        <v>6</v>
      </c>
      <c r="D644" s="184" t="s">
        <v>1026</v>
      </c>
      <c r="E644" s="155">
        <v>10</v>
      </c>
      <c r="F644" s="131" t="s">
        <v>1020</v>
      </c>
      <c r="G644" s="134" t="str">
        <f t="shared" si="552"/>
        <v>PA particles 1-10 mm (emission to water)</v>
      </c>
      <c r="H644" s="133" t="s">
        <v>1038</v>
      </c>
      <c r="I644" s="129">
        <v>0</v>
      </c>
      <c r="J644" s="101" t="s">
        <v>1019</v>
      </c>
      <c r="K644" s="114">
        <f>K28</f>
        <v>292</v>
      </c>
      <c r="L644" s="226">
        <f t="shared" si="610"/>
        <v>4.2808219178082192</v>
      </c>
      <c r="M644" s="220">
        <f t="shared" si="612"/>
        <v>4.2808219178082189E-3</v>
      </c>
      <c r="N644" s="611">
        <f>I644*M644+I645*M645+I646*M646</f>
        <v>4.2808219178082189E-3</v>
      </c>
    </row>
    <row r="645" spans="1:14" s="191" customFormat="1" ht="12.75" customHeight="1">
      <c r="A645" s="172" t="str">
        <f>A644</f>
        <v>PA</v>
      </c>
      <c r="B645" s="149" t="str">
        <f>B644</f>
        <v>particles</v>
      </c>
      <c r="C645" s="149">
        <f t="shared" si="554"/>
        <v>6</v>
      </c>
      <c r="D645" s="149" t="str">
        <f t="shared" ref="D645:F646" si="613">D644</f>
        <v>1-10</v>
      </c>
      <c r="E645" s="149">
        <f t="shared" si="613"/>
        <v>10</v>
      </c>
      <c r="F645" s="149" t="str">
        <f t="shared" si="613"/>
        <v>water</v>
      </c>
      <c r="G645" s="146" t="str">
        <f t="shared" si="552"/>
        <v>PA particles 1-10 mm (emission to water)</v>
      </c>
      <c r="H645" s="146" t="str">
        <f>H644</f>
        <v>Metallzerkleinerung</v>
      </c>
      <c r="I645" s="129">
        <v>0</v>
      </c>
      <c r="J645" s="101" t="s">
        <v>1097</v>
      </c>
      <c r="K645" s="114">
        <f>K29</f>
        <v>292</v>
      </c>
      <c r="L645" s="226">
        <f t="shared" si="610"/>
        <v>4.2808219178082192</v>
      </c>
      <c r="M645" s="220">
        <f t="shared" si="612"/>
        <v>4.2808219178082189E-3</v>
      </c>
      <c r="N645" s="612"/>
    </row>
    <row r="646" spans="1:14" s="191" customFormat="1" ht="12.75" customHeight="1">
      <c r="A646" s="172" t="str">
        <f>A645</f>
        <v>PA</v>
      </c>
      <c r="B646" s="149" t="str">
        <f>B645</f>
        <v>particles</v>
      </c>
      <c r="C646" s="149">
        <f t="shared" ref="C646" si="614">IF(OR(B646="Folie", B646="Strips", B646="Film",B646="Flakes",B646="Coupon"), 2,IF(OR(B646="Fibers",B646="Pellets"),4,IF(OR(B646="Particles",B646="Shreds",B646="Powder",B646="Fragments",B646="Granules"),6,"")))</f>
        <v>6</v>
      </c>
      <c r="D646" s="149" t="str">
        <f t="shared" si="613"/>
        <v>1-10</v>
      </c>
      <c r="E646" s="149">
        <f t="shared" si="613"/>
        <v>10</v>
      </c>
      <c r="F646" s="149" t="str">
        <f t="shared" si="613"/>
        <v>water</v>
      </c>
      <c r="G646" s="146" t="str">
        <f t="shared" ref="G646" si="615">CONCATENATE(A646," ",B646," ",D646," mm (emission to ",F646,")")</f>
        <v>PA particles 1-10 mm (emission to water)</v>
      </c>
      <c r="H646" s="146" t="str">
        <f>H645</f>
        <v>Metallzerkleinerung</v>
      </c>
      <c r="I646" s="129">
        <v>1</v>
      </c>
      <c r="J646" s="101" t="s">
        <v>1096</v>
      </c>
      <c r="K646" s="114">
        <f>K30</f>
        <v>292</v>
      </c>
      <c r="L646" s="226">
        <f t="shared" si="610"/>
        <v>4.2808219178082192</v>
      </c>
      <c r="M646" s="220">
        <f t="shared" si="612"/>
        <v>4.2808219178082189E-3</v>
      </c>
      <c r="N646" s="612"/>
    </row>
    <row r="647" spans="1:14" s="191" customFormat="1" ht="12.75" customHeight="1">
      <c r="A647" s="173" t="str">
        <f>A645</f>
        <v>PA</v>
      </c>
      <c r="B647" s="150" t="str">
        <f>B645</f>
        <v>particles</v>
      </c>
      <c r="C647" s="150">
        <f t="shared" si="554"/>
        <v>6</v>
      </c>
      <c r="D647" s="150" t="str">
        <f>D645</f>
        <v>1-10</v>
      </c>
      <c r="E647" s="150">
        <f>E645</f>
        <v>10</v>
      </c>
      <c r="F647" s="150" t="str">
        <f>F645</f>
        <v>water</v>
      </c>
      <c r="G647" s="147" t="str">
        <f t="shared" si="552"/>
        <v>PA particles 1-10 mm (emission to water)</v>
      </c>
      <c r="H647" s="147" t="str">
        <f>H645</f>
        <v>Metallzerkleinerung</v>
      </c>
      <c r="I647" s="129">
        <v>0</v>
      </c>
      <c r="J647" s="101" t="s">
        <v>1034</v>
      </c>
      <c r="K647" s="114" t="s">
        <v>596</v>
      </c>
      <c r="L647" s="226">
        <f t="shared" si="610"/>
        <v>0</v>
      </c>
      <c r="M647" s="220">
        <f t="shared" si="612"/>
        <v>0</v>
      </c>
      <c r="N647" s="613"/>
    </row>
    <row r="648" spans="1:14" s="191" customFormat="1" ht="12.75" customHeight="1">
      <c r="A648" s="176" t="s">
        <v>188</v>
      </c>
      <c r="B648" s="288" t="s">
        <v>1025</v>
      </c>
      <c r="C648" s="290">
        <f t="shared" ref="C648:C650" si="616">IF(OR(B648="Folie", B648="Strips", B648="Film",B648="Flakes",B648="Coupon"), 2,IF(OR(B648="Fibers",B648="Pellets"),4,IF(OR(B648="Particles",B648="Shreds",B648="Powder",B648="Fragments",B648="Granules"),6,"")))</f>
        <v>6</v>
      </c>
      <c r="D648" s="290" t="s">
        <v>1026</v>
      </c>
      <c r="E648" s="155">
        <v>10</v>
      </c>
      <c r="F648" s="131" t="s">
        <v>1057</v>
      </c>
      <c r="G648" s="134" t="str">
        <f t="shared" ref="G648:G650" si="617">CONCATENATE(A648," ",B648," ",D648," mm (emission to ",F648,")")</f>
        <v>PA particles 1-10 mm (emission to air)</v>
      </c>
      <c r="H648" s="133" t="s">
        <v>1038</v>
      </c>
      <c r="I648" s="137">
        <v>0.97699999999999998</v>
      </c>
      <c r="J648" s="101" t="s">
        <v>1019</v>
      </c>
      <c r="K648" s="114">
        <f>K28</f>
        <v>292</v>
      </c>
      <c r="L648" s="226">
        <f t="shared" ref="L648:L650" si="618">IFERROR(IF(K648="--",0,IF(E648*1000/K648*(1-0.5)^(C648/2)&gt;1000,1000,E648*1000/K648*(1-0.5)^(C648/2))),1000)</f>
        <v>4.2808219178082192</v>
      </c>
      <c r="M648" s="158">
        <f>IF(L648/1000&gt;1000,1000,L648/1000)</f>
        <v>4.2808219178082189E-3</v>
      </c>
      <c r="N648" s="610">
        <f>I648*M648+I649*M649</f>
        <v>4.2808219178082189E-3</v>
      </c>
    </row>
    <row r="649" spans="1:14" s="191" customFormat="1" ht="12.75" customHeight="1">
      <c r="A649" s="172" t="str">
        <f>A648</f>
        <v>PA</v>
      </c>
      <c r="B649" s="149" t="str">
        <f>B648</f>
        <v>particles</v>
      </c>
      <c r="C649" s="149">
        <f t="shared" si="616"/>
        <v>6</v>
      </c>
      <c r="D649" s="149" t="str">
        <f t="shared" ref="D649:F649" si="619">D648</f>
        <v>1-10</v>
      </c>
      <c r="E649" s="149">
        <f t="shared" si="619"/>
        <v>10</v>
      </c>
      <c r="F649" s="149" t="str">
        <f t="shared" si="619"/>
        <v>air</v>
      </c>
      <c r="G649" s="146" t="str">
        <f t="shared" si="617"/>
        <v>PA particles 1-10 mm (emission to air)</v>
      </c>
      <c r="H649" s="146" t="str">
        <f>H648</f>
        <v>Metallzerkleinerung</v>
      </c>
      <c r="I649" s="129">
        <v>2.3E-2</v>
      </c>
      <c r="J649" s="101" t="s">
        <v>1097</v>
      </c>
      <c r="K649" s="114">
        <f>K29</f>
        <v>292</v>
      </c>
      <c r="L649" s="226">
        <f t="shared" si="618"/>
        <v>4.2808219178082192</v>
      </c>
      <c r="M649" s="158">
        <f>IF(L649/1000&gt;1000,1000,L649/1000)</f>
        <v>4.2808219178082189E-3</v>
      </c>
      <c r="N649" s="610"/>
    </row>
    <row r="650" spans="1:14" s="191" customFormat="1" ht="12.75" customHeight="1" thickBot="1">
      <c r="A650" s="173" t="str">
        <f>A649</f>
        <v>PA</v>
      </c>
      <c r="B650" s="150" t="str">
        <f>B649</f>
        <v>particles</v>
      </c>
      <c r="C650" s="150">
        <f t="shared" si="616"/>
        <v>6</v>
      </c>
      <c r="D650" s="150" t="str">
        <f t="shared" ref="D650:F650" si="620">D649</f>
        <v>1-10</v>
      </c>
      <c r="E650" s="150">
        <f t="shared" si="620"/>
        <v>10</v>
      </c>
      <c r="F650" s="150" t="str">
        <f t="shared" si="620"/>
        <v>air</v>
      </c>
      <c r="G650" s="147" t="str">
        <f t="shared" si="617"/>
        <v>PA particles 1-10 mm (emission to air)</v>
      </c>
      <c r="H650" s="147" t="str">
        <f>H649</f>
        <v>Metallzerkleinerung</v>
      </c>
      <c r="I650" s="129">
        <v>0</v>
      </c>
      <c r="J650" s="101" t="s">
        <v>1034</v>
      </c>
      <c r="K650" s="151" t="s">
        <v>596</v>
      </c>
      <c r="L650" s="226">
        <f t="shared" si="618"/>
        <v>0</v>
      </c>
      <c r="M650" s="158">
        <f t="shared" ref="M650" si="621">IF(L650/1000&gt;1000,1000,L650/1000)</f>
        <v>0</v>
      </c>
      <c r="N650" s="610"/>
    </row>
    <row r="651" spans="1:14" s="102" customFormat="1">
      <c r="A651" s="163" t="s">
        <v>69</v>
      </c>
      <c r="B651" s="164" t="s">
        <v>996</v>
      </c>
      <c r="C651" s="165">
        <f>IF(OR(B651="Folie", B651="Strips", B651="Film",B651="Flakes",B651="Coupon"), 2,IF(OR(B651="Fibers",B651="Pellets"),4,IF(OR(B651="Particles",B651="Shreds",B651="Powder",B651="Fragments",B651="Granules"),6,"")))</f>
        <v>2</v>
      </c>
      <c r="D651" s="165" t="s">
        <v>1028</v>
      </c>
      <c r="E651" s="155">
        <v>1</v>
      </c>
      <c r="F651" s="166" t="s">
        <v>1019</v>
      </c>
      <c r="G651" s="167" t="str">
        <f t="shared" ref="G651:G657" si="622">CONCATENATE(A651," ",B651," ",D651," mm (emission to ",F651,")")</f>
        <v>HDPE film 0,1-1 mm (emission to soil)</v>
      </c>
      <c r="H651" s="168"/>
      <c r="I651" s="169">
        <v>1</v>
      </c>
      <c r="J651" s="170" t="s">
        <v>1019</v>
      </c>
      <c r="K651" s="171">
        <f>K31</f>
        <v>11.703124999999968</v>
      </c>
      <c r="L651" s="226">
        <f t="shared" ref="L651:L660" si="623">IFERROR(IF(K651="--",0,IF(E651*1000/K651*(1-0.5)^(C651/2)&gt;1000,1000,E651*1000/K651*(1-0.5)^(C651/2))),1000)</f>
        <v>42.723631508678352</v>
      </c>
      <c r="M651" s="158">
        <f>IF(L651/1000&gt;1000,1000,L651/1000)</f>
        <v>4.2723631508678354E-2</v>
      </c>
      <c r="N651" s="610">
        <f>I651*M651+I652*M652</f>
        <v>4.2723631508678354E-2</v>
      </c>
    </row>
    <row r="652" spans="1:14" s="102" customFormat="1">
      <c r="A652" s="172" t="str">
        <f>A651</f>
        <v>HDPE</v>
      </c>
      <c r="B652" s="149" t="str">
        <f>B651</f>
        <v>film</v>
      </c>
      <c r="C652" s="149">
        <f t="shared" ref="C652:C717" si="624">IF(OR(B652="Folie", B652="Strips", B652="Film",B652="Flakes",B652="Coupon"), 2,IF(OR(B652="Fibers",B652="Pellets"),4,IF(OR(B652="Particles",B652="Shreds",B652="Powder",B652="Fragments",B652="Granules"),6,"")))</f>
        <v>2</v>
      </c>
      <c r="D652" s="149" t="str">
        <f t="shared" ref="D652:F653" si="625">D651</f>
        <v>0,1-1</v>
      </c>
      <c r="E652" s="149">
        <f t="shared" si="625"/>
        <v>1</v>
      </c>
      <c r="F652" s="149" t="str">
        <f t="shared" si="625"/>
        <v>soil</v>
      </c>
      <c r="G652" s="146" t="str">
        <f t="shared" si="622"/>
        <v>HDPE film 0,1-1 mm (emission to soil)</v>
      </c>
      <c r="H652" s="146"/>
      <c r="I652" s="129">
        <v>0</v>
      </c>
      <c r="J652" s="101" t="s">
        <v>1097</v>
      </c>
      <c r="K652" s="114">
        <f>K32</f>
        <v>11.703124999999968</v>
      </c>
      <c r="L652" s="226">
        <f t="shared" si="623"/>
        <v>42.723631508678352</v>
      </c>
      <c r="M652" s="158">
        <f>IF(L652/1000&gt;1000,1000,L652/1000)</f>
        <v>4.2723631508678354E-2</v>
      </c>
      <c r="N652" s="610"/>
    </row>
    <row r="653" spans="1:14" s="102" customFormat="1">
      <c r="A653" s="173" t="str">
        <f>A652</f>
        <v>HDPE</v>
      </c>
      <c r="B653" s="150" t="str">
        <f>B652</f>
        <v>film</v>
      </c>
      <c r="C653" s="150">
        <f t="shared" si="624"/>
        <v>2</v>
      </c>
      <c r="D653" s="150" t="str">
        <f t="shared" si="625"/>
        <v>0,1-1</v>
      </c>
      <c r="E653" s="150">
        <f t="shared" si="625"/>
        <v>1</v>
      </c>
      <c r="F653" s="150" t="str">
        <f t="shared" si="625"/>
        <v>soil</v>
      </c>
      <c r="G653" s="147" t="str">
        <f t="shared" si="622"/>
        <v>HDPE film 0,1-1 mm (emission to soil)</v>
      </c>
      <c r="H653" s="147"/>
      <c r="I653" s="129">
        <v>0</v>
      </c>
      <c r="J653" s="101" t="s">
        <v>1034</v>
      </c>
      <c r="K653" s="151" t="s">
        <v>596</v>
      </c>
      <c r="L653" s="226">
        <f t="shared" si="623"/>
        <v>0</v>
      </c>
      <c r="M653" s="158">
        <f t="shared" ref="M653:M657" si="626">IF(L653/1000&gt;1000,1000,L653/1000)</f>
        <v>0</v>
      </c>
      <c r="N653" s="610"/>
    </row>
    <row r="654" spans="1:14" s="102" customFormat="1">
      <c r="A654" s="174" t="s">
        <v>69</v>
      </c>
      <c r="B654" s="186" t="s">
        <v>996</v>
      </c>
      <c r="C654" s="188">
        <f t="shared" si="624"/>
        <v>2</v>
      </c>
      <c r="D654" s="188" t="s">
        <v>1028</v>
      </c>
      <c r="E654" s="216">
        <v>1</v>
      </c>
      <c r="F654" s="131" t="s">
        <v>1020</v>
      </c>
      <c r="G654" s="134" t="str">
        <f t="shared" si="622"/>
        <v>HDPE film 0,1-1 mm (emission to water)</v>
      </c>
      <c r="H654" s="144"/>
      <c r="I654" s="129">
        <v>0</v>
      </c>
      <c r="J654" s="101" t="s">
        <v>1019</v>
      </c>
      <c r="K654" s="114">
        <f>K31</f>
        <v>11.703124999999968</v>
      </c>
      <c r="L654" s="226">
        <f t="shared" si="623"/>
        <v>42.723631508678352</v>
      </c>
      <c r="M654" s="220">
        <f t="shared" si="626"/>
        <v>4.2723631508678354E-2</v>
      </c>
      <c r="N654" s="611">
        <f>I654*M654+I655*M655+I656*M656</f>
        <v>4.2723631508678354E-2</v>
      </c>
    </row>
    <row r="655" spans="1:14" s="102" customFormat="1">
      <c r="A655" s="172" t="str">
        <f>A654</f>
        <v>HDPE</v>
      </c>
      <c r="B655" s="149" t="str">
        <f>B654</f>
        <v>film</v>
      </c>
      <c r="C655" s="149">
        <f t="shared" si="624"/>
        <v>2</v>
      </c>
      <c r="D655" s="149" t="str">
        <f t="shared" ref="D655:F656" si="627">D654</f>
        <v>0,1-1</v>
      </c>
      <c r="E655" s="149">
        <f t="shared" si="627"/>
        <v>1</v>
      </c>
      <c r="F655" s="149" t="str">
        <f t="shared" si="627"/>
        <v>water</v>
      </c>
      <c r="G655" s="146" t="str">
        <f t="shared" si="622"/>
        <v>HDPE film 0,1-1 mm (emission to water)</v>
      </c>
      <c r="H655" s="146"/>
      <c r="I655" s="129">
        <v>1</v>
      </c>
      <c r="J655" s="101" t="s">
        <v>1097</v>
      </c>
      <c r="K655" s="114">
        <f>K32</f>
        <v>11.703124999999968</v>
      </c>
      <c r="L655" s="226">
        <f t="shared" si="623"/>
        <v>42.723631508678352</v>
      </c>
      <c r="M655" s="220">
        <f t="shared" si="626"/>
        <v>4.2723631508678354E-2</v>
      </c>
      <c r="N655" s="612"/>
    </row>
    <row r="656" spans="1:14" s="102" customFormat="1" ht="12.75" customHeight="1">
      <c r="A656" s="172" t="str">
        <f>A655</f>
        <v>HDPE</v>
      </c>
      <c r="B656" s="149" t="str">
        <f>B655</f>
        <v>film</v>
      </c>
      <c r="C656" s="149">
        <f t="shared" si="624"/>
        <v>2</v>
      </c>
      <c r="D656" s="149" t="str">
        <f t="shared" si="627"/>
        <v>0,1-1</v>
      </c>
      <c r="E656" s="149">
        <f t="shared" si="627"/>
        <v>1</v>
      </c>
      <c r="F656" s="149" t="str">
        <f t="shared" si="627"/>
        <v>water</v>
      </c>
      <c r="G656" s="146" t="str">
        <f t="shared" si="622"/>
        <v>HDPE film 0,1-1 mm (emission to water)</v>
      </c>
      <c r="H656" s="146">
        <f>H655</f>
        <v>0</v>
      </c>
      <c r="I656" s="129">
        <v>0</v>
      </c>
      <c r="J656" s="101" t="s">
        <v>1096</v>
      </c>
      <c r="K656" s="114">
        <f>K33</f>
        <v>11.703124999999968</v>
      </c>
      <c r="L656" s="226">
        <f t="shared" si="623"/>
        <v>42.723631508678352</v>
      </c>
      <c r="M656" s="220">
        <f t="shared" si="626"/>
        <v>4.2723631508678354E-2</v>
      </c>
      <c r="N656" s="612"/>
    </row>
    <row r="657" spans="1:14" s="102" customFormat="1">
      <c r="A657" s="173" t="str">
        <f>A655</f>
        <v>HDPE</v>
      </c>
      <c r="B657" s="150" t="str">
        <f>B655</f>
        <v>film</v>
      </c>
      <c r="C657" s="150">
        <f t="shared" si="624"/>
        <v>2</v>
      </c>
      <c r="D657" s="150" t="str">
        <f>D655</f>
        <v>0,1-1</v>
      </c>
      <c r="E657" s="150">
        <f>E655</f>
        <v>1</v>
      </c>
      <c r="F657" s="150" t="str">
        <f>F655</f>
        <v>water</v>
      </c>
      <c r="G657" s="147" t="str">
        <f t="shared" si="622"/>
        <v>HDPE film 0,1-1 mm (emission to water)</v>
      </c>
      <c r="H657" s="146"/>
      <c r="I657" s="129">
        <v>0</v>
      </c>
      <c r="J657" s="101" t="s">
        <v>1034</v>
      </c>
      <c r="K657" s="151" t="s">
        <v>596</v>
      </c>
      <c r="L657" s="226">
        <f t="shared" si="623"/>
        <v>0</v>
      </c>
      <c r="M657" s="220">
        <f t="shared" si="626"/>
        <v>0</v>
      </c>
      <c r="N657" s="613"/>
    </row>
    <row r="658" spans="1:14" s="102" customFormat="1">
      <c r="A658" s="174" t="s">
        <v>69</v>
      </c>
      <c r="B658" s="288" t="s">
        <v>996</v>
      </c>
      <c r="C658" s="290">
        <f t="shared" ref="C658:C660" si="628">IF(OR(B658="Folie", B658="Strips", B658="Film",B658="Flakes",B658="Coupon"), 2,IF(OR(B658="Fibers",B658="Pellets"),4,IF(OR(B658="Particles",B658="Shreds",B658="Powder",B658="Fragments",B658="Granules"),6,"")))</f>
        <v>2</v>
      </c>
      <c r="D658" s="290" t="s">
        <v>1028</v>
      </c>
      <c r="E658" s="290">
        <v>1</v>
      </c>
      <c r="F658" s="131" t="s">
        <v>1057</v>
      </c>
      <c r="G658" s="134" t="str">
        <f t="shared" ref="G658:G660" si="629">CONCATENATE(A658," ",B658," ",D658," mm (emission to ",F658,")")</f>
        <v>HDPE film 0,1-1 mm (emission to air)</v>
      </c>
      <c r="H658" s="144"/>
      <c r="I658" s="137">
        <v>0.97699999999999998</v>
      </c>
      <c r="J658" s="101" t="s">
        <v>1019</v>
      </c>
      <c r="K658" s="151">
        <f>K31</f>
        <v>11.703124999999968</v>
      </c>
      <c r="L658" s="226">
        <f t="shared" si="623"/>
        <v>42.723631508678352</v>
      </c>
      <c r="M658" s="158">
        <f>IF(L658/1000&gt;1000,1000,L658/1000)</f>
        <v>4.2723631508678354E-2</v>
      </c>
      <c r="N658" s="611">
        <f>I658*M658+I659*M659</f>
        <v>4.2723631508678354E-2</v>
      </c>
    </row>
    <row r="659" spans="1:14" s="102" customFormat="1">
      <c r="A659" s="172" t="str">
        <f>A658</f>
        <v>HDPE</v>
      </c>
      <c r="B659" s="149" t="str">
        <f>B658</f>
        <v>film</v>
      </c>
      <c r="C659" s="149">
        <f t="shared" si="628"/>
        <v>2</v>
      </c>
      <c r="D659" s="149" t="str">
        <f t="shared" ref="D659:F659" si="630">D658</f>
        <v>0,1-1</v>
      </c>
      <c r="E659" s="149">
        <f t="shared" si="630"/>
        <v>1</v>
      </c>
      <c r="F659" s="149" t="str">
        <f t="shared" si="630"/>
        <v>air</v>
      </c>
      <c r="G659" s="146" t="str">
        <f t="shared" si="629"/>
        <v>HDPE film 0,1-1 mm (emission to air)</v>
      </c>
      <c r="H659" s="146"/>
      <c r="I659" s="129">
        <v>2.3E-2</v>
      </c>
      <c r="J659" s="101" t="s">
        <v>1097</v>
      </c>
      <c r="K659" s="151">
        <f>K32</f>
        <v>11.703124999999968</v>
      </c>
      <c r="L659" s="226">
        <f t="shared" si="623"/>
        <v>42.723631508678352</v>
      </c>
      <c r="M659" s="158">
        <f>IF(L659/1000&gt;1000,1000,L659/1000)</f>
        <v>4.2723631508678354E-2</v>
      </c>
      <c r="N659" s="612"/>
    </row>
    <row r="660" spans="1:14" s="102" customFormat="1">
      <c r="A660" s="172" t="str">
        <f>A659</f>
        <v>HDPE</v>
      </c>
      <c r="B660" s="149" t="str">
        <f>B659</f>
        <v>film</v>
      </c>
      <c r="C660" s="149">
        <f t="shared" si="628"/>
        <v>2</v>
      </c>
      <c r="D660" s="149" t="str">
        <f t="shared" ref="D660:F660" si="631">D659</f>
        <v>0,1-1</v>
      </c>
      <c r="E660" s="149">
        <f t="shared" si="631"/>
        <v>1</v>
      </c>
      <c r="F660" s="149" t="str">
        <f t="shared" si="631"/>
        <v>air</v>
      </c>
      <c r="G660" s="146" t="str">
        <f t="shared" si="629"/>
        <v>HDPE film 0,1-1 mm (emission to air)</v>
      </c>
      <c r="H660" s="146">
        <f>H659</f>
        <v>0</v>
      </c>
      <c r="I660" s="129">
        <v>0</v>
      </c>
      <c r="J660" s="101" t="s">
        <v>1034</v>
      </c>
      <c r="K660" s="151" t="s">
        <v>596</v>
      </c>
      <c r="L660" s="226">
        <f t="shared" si="623"/>
        <v>0</v>
      </c>
      <c r="M660" s="158">
        <f t="shared" ref="M660" si="632">IF(L660/1000&gt;1000,1000,L660/1000)</f>
        <v>0</v>
      </c>
      <c r="N660" s="613"/>
    </row>
    <row r="661" spans="1:14" s="102" customFormat="1" ht="25.5">
      <c r="A661" s="174" t="s">
        <v>69</v>
      </c>
      <c r="B661" s="159" t="s">
        <v>996</v>
      </c>
      <c r="C661" s="188">
        <f t="shared" si="624"/>
        <v>2</v>
      </c>
      <c r="D661" s="188" t="s">
        <v>1026</v>
      </c>
      <c r="E661" s="155">
        <v>10</v>
      </c>
      <c r="F661" s="131" t="s">
        <v>1019</v>
      </c>
      <c r="G661" s="134" t="str">
        <f t="shared" ref="G661:G717" si="633">CONCATENATE(A661," ",B661," ",D661," mm (emission to ",F661,")")</f>
        <v>HDPE film 1-10 mm (emission to soil)</v>
      </c>
      <c r="H661" s="157" t="s">
        <v>1049</v>
      </c>
      <c r="I661" s="129">
        <v>1</v>
      </c>
      <c r="J661" s="101" t="s">
        <v>1019</v>
      </c>
      <c r="K661" s="114">
        <f>K31</f>
        <v>11.703124999999968</v>
      </c>
      <c r="L661" s="226">
        <f t="shared" ref="L661:L667" si="634">IFERROR(IF(K661="--",0,IF(E661*1000/K661*(1-0.5)^(C661/2)&gt;1000,1000,E661*1000/K661*(1-0.5)^(C661/2))),1000)</f>
        <v>427.23631508678352</v>
      </c>
      <c r="M661" s="158">
        <f>IF(L661/1000&gt;1000,1000,L661/1000)</f>
        <v>0.4272363150867835</v>
      </c>
      <c r="N661" s="611">
        <f>I661*M661+I662*M662</f>
        <v>0.4272363150867835</v>
      </c>
    </row>
    <row r="662" spans="1:14" s="102" customFormat="1" ht="13.5" customHeight="1">
      <c r="A662" s="172" t="str">
        <f>A661</f>
        <v>HDPE</v>
      </c>
      <c r="B662" s="149" t="str">
        <f>B661</f>
        <v>film</v>
      </c>
      <c r="C662" s="149">
        <f t="shared" si="624"/>
        <v>2</v>
      </c>
      <c r="D662" s="149" t="str">
        <f t="shared" ref="D662:F663" si="635">D661</f>
        <v>1-10</v>
      </c>
      <c r="E662" s="149">
        <f t="shared" si="635"/>
        <v>10</v>
      </c>
      <c r="F662" s="149" t="str">
        <f t="shared" si="635"/>
        <v>soil</v>
      </c>
      <c r="G662" s="146" t="str">
        <f t="shared" si="633"/>
        <v>HDPE film 1-10 mm (emission to soil)</v>
      </c>
      <c r="H662" s="146" t="str">
        <f>H661</f>
        <v>Fragmentierung bei Abbrucharbeiten; Abrieb von Baukunststoffen</v>
      </c>
      <c r="I662" s="129">
        <v>0</v>
      </c>
      <c r="J662" s="101" t="s">
        <v>1097</v>
      </c>
      <c r="K662" s="114">
        <f>K32</f>
        <v>11.703124999999968</v>
      </c>
      <c r="L662" s="226">
        <f t="shared" si="634"/>
        <v>427.23631508678352</v>
      </c>
      <c r="M662" s="158">
        <f>IF(L662/1000&gt;1000,1000,L662/1000)</f>
        <v>0.4272363150867835</v>
      </c>
      <c r="N662" s="612"/>
    </row>
    <row r="663" spans="1:14" s="102" customFormat="1" ht="13.5" customHeight="1">
      <c r="A663" s="173" t="str">
        <f>A662</f>
        <v>HDPE</v>
      </c>
      <c r="B663" s="150" t="str">
        <f>B662</f>
        <v>film</v>
      </c>
      <c r="C663" s="150">
        <f t="shared" si="624"/>
        <v>2</v>
      </c>
      <c r="D663" s="150" t="str">
        <f t="shared" si="635"/>
        <v>1-10</v>
      </c>
      <c r="E663" s="150">
        <f t="shared" si="635"/>
        <v>10</v>
      </c>
      <c r="F663" s="150" t="str">
        <f t="shared" si="635"/>
        <v>soil</v>
      </c>
      <c r="G663" s="147" t="str">
        <f t="shared" si="633"/>
        <v>HDPE film 1-10 mm (emission to soil)</v>
      </c>
      <c r="H663" s="147" t="str">
        <f>H662</f>
        <v>Fragmentierung bei Abbrucharbeiten; Abrieb von Baukunststoffen</v>
      </c>
      <c r="I663" s="129">
        <v>0</v>
      </c>
      <c r="J663" s="101" t="s">
        <v>1034</v>
      </c>
      <c r="K663" s="114" t="s">
        <v>596</v>
      </c>
      <c r="L663" s="226">
        <f t="shared" si="634"/>
        <v>0</v>
      </c>
      <c r="M663" s="158">
        <f t="shared" ref="M663:M667" si="636">IF(L663/1000&gt;1000,1000,L663/1000)</f>
        <v>0</v>
      </c>
      <c r="N663" s="613"/>
    </row>
    <row r="664" spans="1:14" s="102" customFormat="1" ht="25.5">
      <c r="A664" s="174" t="s">
        <v>69</v>
      </c>
      <c r="B664" s="159" t="s">
        <v>996</v>
      </c>
      <c r="C664" s="188">
        <f t="shared" si="624"/>
        <v>2</v>
      </c>
      <c r="D664" s="188" t="s">
        <v>1026</v>
      </c>
      <c r="E664" s="155">
        <v>10</v>
      </c>
      <c r="F664" s="131" t="s">
        <v>1020</v>
      </c>
      <c r="G664" s="134" t="str">
        <f t="shared" si="633"/>
        <v>HDPE film 1-10 mm (emission to water)</v>
      </c>
      <c r="H664" s="157" t="s">
        <v>1049</v>
      </c>
      <c r="I664" s="129">
        <v>0</v>
      </c>
      <c r="J664" s="101" t="s">
        <v>1019</v>
      </c>
      <c r="K664" s="114">
        <f>K31</f>
        <v>11.703124999999968</v>
      </c>
      <c r="L664" s="226">
        <f t="shared" si="634"/>
        <v>427.23631508678352</v>
      </c>
      <c r="M664" s="220">
        <f t="shared" si="636"/>
        <v>0.4272363150867835</v>
      </c>
      <c r="N664" s="611">
        <f>I664*M664+I665*M665+I666*M666</f>
        <v>0.4272363150867835</v>
      </c>
    </row>
    <row r="665" spans="1:14" s="102" customFormat="1" ht="13.5" customHeight="1">
      <c r="A665" s="172" t="str">
        <f>A664</f>
        <v>HDPE</v>
      </c>
      <c r="B665" s="149" t="str">
        <f>B664</f>
        <v>film</v>
      </c>
      <c r="C665" s="149">
        <f t="shared" si="624"/>
        <v>2</v>
      </c>
      <c r="D665" s="149" t="str">
        <f t="shared" ref="D665:F666" si="637">D664</f>
        <v>1-10</v>
      </c>
      <c r="E665" s="149">
        <f t="shared" si="637"/>
        <v>10</v>
      </c>
      <c r="F665" s="149" t="str">
        <f t="shared" si="637"/>
        <v>water</v>
      </c>
      <c r="G665" s="146" t="str">
        <f t="shared" si="633"/>
        <v>HDPE film 1-10 mm (emission to water)</v>
      </c>
      <c r="H665" s="146" t="str">
        <f>H664</f>
        <v>Fragmentierung bei Abbrucharbeiten; Abrieb von Baukunststoffen</v>
      </c>
      <c r="I665" s="129">
        <v>1</v>
      </c>
      <c r="J665" s="101" t="s">
        <v>1097</v>
      </c>
      <c r="K665" s="114">
        <f>K32</f>
        <v>11.703124999999968</v>
      </c>
      <c r="L665" s="226">
        <f t="shared" si="634"/>
        <v>427.23631508678352</v>
      </c>
      <c r="M665" s="220">
        <f t="shared" si="636"/>
        <v>0.4272363150867835</v>
      </c>
      <c r="N665" s="612"/>
    </row>
    <row r="666" spans="1:14" s="102" customFormat="1" ht="13.5" customHeight="1">
      <c r="A666" s="172" t="str">
        <f>A665</f>
        <v>HDPE</v>
      </c>
      <c r="B666" s="149" t="str">
        <f>B665</f>
        <v>film</v>
      </c>
      <c r="C666" s="149">
        <f t="shared" si="624"/>
        <v>2</v>
      </c>
      <c r="D666" s="149" t="str">
        <f t="shared" si="637"/>
        <v>1-10</v>
      </c>
      <c r="E666" s="149">
        <f t="shared" si="637"/>
        <v>10</v>
      </c>
      <c r="F666" s="149" t="str">
        <f t="shared" si="637"/>
        <v>water</v>
      </c>
      <c r="G666" s="146" t="str">
        <f t="shared" si="633"/>
        <v>HDPE film 1-10 mm (emission to water)</v>
      </c>
      <c r="H666" s="146" t="str">
        <f>H665</f>
        <v>Fragmentierung bei Abbrucharbeiten; Abrieb von Baukunststoffen</v>
      </c>
      <c r="I666" s="129">
        <v>0</v>
      </c>
      <c r="J666" s="101" t="s">
        <v>1096</v>
      </c>
      <c r="K666" s="114">
        <f>K33</f>
        <v>11.703124999999968</v>
      </c>
      <c r="L666" s="226">
        <f t="shared" si="634"/>
        <v>427.23631508678352</v>
      </c>
      <c r="M666" s="220">
        <f t="shared" si="636"/>
        <v>0.4272363150867835</v>
      </c>
      <c r="N666" s="612"/>
    </row>
    <row r="667" spans="1:14" s="102" customFormat="1" ht="13.5" customHeight="1">
      <c r="A667" s="173" t="str">
        <f>A665</f>
        <v>HDPE</v>
      </c>
      <c r="B667" s="150" t="str">
        <f>B665</f>
        <v>film</v>
      </c>
      <c r="C667" s="150">
        <f t="shared" si="624"/>
        <v>2</v>
      </c>
      <c r="D667" s="150" t="str">
        <f>D665</f>
        <v>1-10</v>
      </c>
      <c r="E667" s="150">
        <f>E665</f>
        <v>10</v>
      </c>
      <c r="F667" s="150" t="str">
        <f>F665</f>
        <v>water</v>
      </c>
      <c r="G667" s="147" t="str">
        <f t="shared" si="633"/>
        <v>HDPE film 1-10 mm (emission to water)</v>
      </c>
      <c r="H667" s="147"/>
      <c r="I667" s="129">
        <v>0</v>
      </c>
      <c r="J667" s="101" t="s">
        <v>1034</v>
      </c>
      <c r="K667" s="114" t="s">
        <v>596</v>
      </c>
      <c r="L667" s="226">
        <f t="shared" si="634"/>
        <v>0</v>
      </c>
      <c r="M667" s="220">
        <f t="shared" si="636"/>
        <v>0</v>
      </c>
      <c r="N667" s="613"/>
    </row>
    <row r="668" spans="1:14" s="102" customFormat="1" ht="25.5">
      <c r="A668" s="174" t="s">
        <v>69</v>
      </c>
      <c r="B668" s="159" t="s">
        <v>996</v>
      </c>
      <c r="C668" s="290">
        <f t="shared" ref="C668:C670" si="638">IF(OR(B668="Folie", B668="Strips", B668="Film",B668="Flakes",B668="Coupon"), 2,IF(OR(B668="Fibers",B668="Pellets"),4,IF(OR(B668="Particles",B668="Shreds",B668="Powder",B668="Fragments",B668="Granules"),6,"")))</f>
        <v>2</v>
      </c>
      <c r="D668" s="290" t="s">
        <v>1026</v>
      </c>
      <c r="E668" s="155">
        <v>10</v>
      </c>
      <c r="F668" s="131" t="s">
        <v>1057</v>
      </c>
      <c r="G668" s="134" t="str">
        <f t="shared" ref="G668:G670" si="639">CONCATENATE(A668," ",B668," ",D668," mm (emission to ",F668,")")</f>
        <v>HDPE film 1-10 mm (emission to air)</v>
      </c>
      <c r="H668" s="157" t="s">
        <v>1049</v>
      </c>
      <c r="I668" s="137">
        <v>0.97699999999999998</v>
      </c>
      <c r="J668" s="101" t="s">
        <v>1019</v>
      </c>
      <c r="K668" s="114">
        <f>K31</f>
        <v>11.703124999999968</v>
      </c>
      <c r="L668" s="226">
        <f t="shared" ref="L668:L670" si="640">IFERROR(IF(K668="--",0,IF(E668*1000/K668*(1-0.5)^(C668/2)&gt;1000,1000,E668*1000/K668*(1-0.5)^(C668/2))),1000)</f>
        <v>427.23631508678352</v>
      </c>
      <c r="M668" s="158">
        <f>IF(L668/1000&gt;1000,1000,L668/1000)</f>
        <v>0.4272363150867835</v>
      </c>
      <c r="N668" s="611">
        <f>I668*M668+I669*M669</f>
        <v>0.42723631508678345</v>
      </c>
    </row>
    <row r="669" spans="1:14" s="102" customFormat="1" ht="11.25" customHeight="1">
      <c r="A669" s="172" t="str">
        <f>A668</f>
        <v>HDPE</v>
      </c>
      <c r="B669" s="149" t="str">
        <f>B668</f>
        <v>film</v>
      </c>
      <c r="C669" s="149">
        <f t="shared" si="638"/>
        <v>2</v>
      </c>
      <c r="D669" s="149" t="str">
        <f t="shared" ref="D669:F669" si="641">D668</f>
        <v>1-10</v>
      </c>
      <c r="E669" s="149">
        <f t="shared" si="641"/>
        <v>10</v>
      </c>
      <c r="F669" s="149" t="str">
        <f t="shared" si="641"/>
        <v>air</v>
      </c>
      <c r="G669" s="146" t="str">
        <f t="shared" si="639"/>
        <v>HDPE film 1-10 mm (emission to air)</v>
      </c>
      <c r="H669" s="146" t="str">
        <f>H668</f>
        <v>Fragmentierung bei Abbrucharbeiten; Abrieb von Baukunststoffen</v>
      </c>
      <c r="I669" s="129">
        <v>2.3E-2</v>
      </c>
      <c r="J669" s="101" t="s">
        <v>1097</v>
      </c>
      <c r="K669" s="114">
        <f>K32</f>
        <v>11.703124999999968</v>
      </c>
      <c r="L669" s="226">
        <f t="shared" si="640"/>
        <v>427.23631508678352</v>
      </c>
      <c r="M669" s="158">
        <f>IF(L669/1000&gt;1000,1000,L669/1000)</f>
        <v>0.4272363150867835</v>
      </c>
      <c r="N669" s="612"/>
    </row>
    <row r="670" spans="1:14" s="102" customFormat="1" ht="11.25" customHeight="1">
      <c r="A670" s="173" t="str">
        <f>A669</f>
        <v>HDPE</v>
      </c>
      <c r="B670" s="150" t="str">
        <f>B669</f>
        <v>film</v>
      </c>
      <c r="C670" s="150">
        <f t="shared" si="638"/>
        <v>2</v>
      </c>
      <c r="D670" s="150" t="str">
        <f t="shared" ref="D670:F670" si="642">D669</f>
        <v>1-10</v>
      </c>
      <c r="E670" s="150">
        <f t="shared" si="642"/>
        <v>10</v>
      </c>
      <c r="F670" s="150" t="str">
        <f t="shared" si="642"/>
        <v>air</v>
      </c>
      <c r="G670" s="147" t="str">
        <f t="shared" si="639"/>
        <v>HDPE film 1-10 mm (emission to air)</v>
      </c>
      <c r="H670" s="147" t="str">
        <f>H669</f>
        <v>Fragmentierung bei Abbrucharbeiten; Abrieb von Baukunststoffen</v>
      </c>
      <c r="I670" s="129">
        <v>0</v>
      </c>
      <c r="J670" s="101" t="s">
        <v>1034</v>
      </c>
      <c r="K670" s="114" t="s">
        <v>596</v>
      </c>
      <c r="L670" s="226">
        <f t="shared" si="640"/>
        <v>0</v>
      </c>
      <c r="M670" s="158">
        <f t="shared" ref="M670" si="643">IF(L670/1000&gt;1000,1000,L670/1000)</f>
        <v>0</v>
      </c>
      <c r="N670" s="613"/>
    </row>
    <row r="671" spans="1:14" s="102" customFormat="1">
      <c r="A671" s="174" t="s">
        <v>69</v>
      </c>
      <c r="B671" s="159" t="s">
        <v>1051</v>
      </c>
      <c r="C671" s="188">
        <f t="shared" si="624"/>
        <v>4</v>
      </c>
      <c r="D671" s="188" t="s">
        <v>1028</v>
      </c>
      <c r="E671" s="227">
        <v>1</v>
      </c>
      <c r="F671" s="131" t="s">
        <v>1019</v>
      </c>
      <c r="G671" s="134" t="str">
        <f t="shared" si="633"/>
        <v>HDPE fibers 0,1-1 mm (emission to soil)</v>
      </c>
      <c r="H671" s="193"/>
      <c r="I671" s="129">
        <v>1</v>
      </c>
      <c r="J671" s="101" t="s">
        <v>1019</v>
      </c>
      <c r="K671" s="114">
        <f>K31</f>
        <v>11.703124999999968</v>
      </c>
      <c r="L671" s="226">
        <f t="shared" ref="L671:L680" si="644">IFERROR(IF(K671="--",0,IF(E671*1000/K671*(1-0.5)^(C671/2)&gt;1000,1000,E671*1000/K671*(1-0.5)^(C671/2))),1000)</f>
        <v>21.361815754339176</v>
      </c>
      <c r="M671" s="158">
        <f>IF(L671/1000&gt;1000,1000,L671/1000)</f>
        <v>2.1361815754339177E-2</v>
      </c>
      <c r="N671" s="610">
        <f>I671*M671+I672*M672</f>
        <v>2.1361815754339177E-2</v>
      </c>
    </row>
    <row r="672" spans="1:14" s="102" customFormat="1">
      <c r="A672" s="172" t="str">
        <f>A671</f>
        <v>HDPE</v>
      </c>
      <c r="B672" s="149" t="str">
        <f>B671</f>
        <v>fibers</v>
      </c>
      <c r="C672" s="149">
        <f t="shared" si="624"/>
        <v>4</v>
      </c>
      <c r="D672" s="149" t="str">
        <f t="shared" ref="D672:F673" si="645">D671</f>
        <v>0,1-1</v>
      </c>
      <c r="E672" s="149">
        <f t="shared" si="645"/>
        <v>1</v>
      </c>
      <c r="F672" s="149" t="str">
        <f t="shared" si="645"/>
        <v>soil</v>
      </c>
      <c r="G672" s="146" t="str">
        <f t="shared" si="633"/>
        <v>HDPE fibers 0,1-1 mm (emission to soil)</v>
      </c>
      <c r="H672" s="146"/>
      <c r="I672" s="129">
        <v>0</v>
      </c>
      <c r="J672" s="101" t="s">
        <v>1097</v>
      </c>
      <c r="K672" s="114">
        <f>K32</f>
        <v>11.703124999999968</v>
      </c>
      <c r="L672" s="226">
        <f t="shared" si="644"/>
        <v>21.361815754339176</v>
      </c>
      <c r="M672" s="158">
        <f>IF(L672/1000&gt;1000,1000,L672/1000)</f>
        <v>2.1361815754339177E-2</v>
      </c>
      <c r="N672" s="610"/>
    </row>
    <row r="673" spans="1:14" s="102" customFormat="1">
      <c r="A673" s="173" t="str">
        <f>A672</f>
        <v>HDPE</v>
      </c>
      <c r="B673" s="150" t="str">
        <f>B672</f>
        <v>fibers</v>
      </c>
      <c r="C673" s="150">
        <f t="shared" si="624"/>
        <v>4</v>
      </c>
      <c r="D673" s="150" t="str">
        <f t="shared" si="645"/>
        <v>0,1-1</v>
      </c>
      <c r="E673" s="150">
        <f t="shared" si="645"/>
        <v>1</v>
      </c>
      <c r="F673" s="150" t="str">
        <f t="shared" si="645"/>
        <v>soil</v>
      </c>
      <c r="G673" s="147" t="str">
        <f t="shared" si="633"/>
        <v>HDPE fibers 0,1-1 mm (emission to soil)</v>
      </c>
      <c r="H673" s="146"/>
      <c r="I673" s="129">
        <v>0</v>
      </c>
      <c r="J673" s="101" t="s">
        <v>1034</v>
      </c>
      <c r="K673" s="151" t="s">
        <v>596</v>
      </c>
      <c r="L673" s="226">
        <f t="shared" si="644"/>
        <v>0</v>
      </c>
      <c r="M673" s="158">
        <f t="shared" ref="M673:M677" si="646">IF(L673/1000&gt;1000,1000,L673/1000)</f>
        <v>0</v>
      </c>
      <c r="N673" s="610"/>
    </row>
    <row r="674" spans="1:14" s="102" customFormat="1">
      <c r="A674" s="174" t="s">
        <v>69</v>
      </c>
      <c r="B674" s="159" t="s">
        <v>1051</v>
      </c>
      <c r="C674" s="188">
        <f t="shared" si="624"/>
        <v>4</v>
      </c>
      <c r="D674" s="188" t="s">
        <v>1028</v>
      </c>
      <c r="E674" s="216">
        <v>1</v>
      </c>
      <c r="F674" s="131" t="s">
        <v>1020</v>
      </c>
      <c r="G674" s="134" t="str">
        <f t="shared" si="633"/>
        <v>HDPE fibers 0,1-1 mm (emission to water)</v>
      </c>
      <c r="H674" s="192"/>
      <c r="I674" s="129">
        <v>0</v>
      </c>
      <c r="J674" s="101" t="s">
        <v>1019</v>
      </c>
      <c r="K674" s="114">
        <f>K31</f>
        <v>11.703124999999968</v>
      </c>
      <c r="L674" s="226">
        <f t="shared" si="644"/>
        <v>21.361815754339176</v>
      </c>
      <c r="M674" s="220">
        <f t="shared" si="646"/>
        <v>2.1361815754339177E-2</v>
      </c>
      <c r="N674" s="611">
        <f>I674*M674+I675*M675+I676*M676</f>
        <v>2.1361815754339177E-2</v>
      </c>
    </row>
    <row r="675" spans="1:14" s="102" customFormat="1">
      <c r="A675" s="172" t="str">
        <f>A674</f>
        <v>HDPE</v>
      </c>
      <c r="B675" s="149" t="str">
        <f>B674</f>
        <v>fibers</v>
      </c>
      <c r="C675" s="149">
        <f t="shared" si="624"/>
        <v>4</v>
      </c>
      <c r="D675" s="149" t="str">
        <f t="shared" ref="D675:F676" si="647">D674</f>
        <v>0,1-1</v>
      </c>
      <c r="E675" s="149">
        <f t="shared" si="647"/>
        <v>1</v>
      </c>
      <c r="F675" s="149" t="str">
        <f t="shared" si="647"/>
        <v>water</v>
      </c>
      <c r="G675" s="146" t="str">
        <f t="shared" si="633"/>
        <v>HDPE fibers 0,1-1 mm (emission to water)</v>
      </c>
      <c r="H675" s="146"/>
      <c r="I675" s="129">
        <v>1</v>
      </c>
      <c r="J675" s="101" t="s">
        <v>1097</v>
      </c>
      <c r="K675" s="114">
        <f>K32</f>
        <v>11.703124999999968</v>
      </c>
      <c r="L675" s="226">
        <f t="shared" si="644"/>
        <v>21.361815754339176</v>
      </c>
      <c r="M675" s="220">
        <f t="shared" si="646"/>
        <v>2.1361815754339177E-2</v>
      </c>
      <c r="N675" s="612"/>
    </row>
    <row r="676" spans="1:14" s="102" customFormat="1">
      <c r="A676" s="172" t="str">
        <f>A675</f>
        <v>HDPE</v>
      </c>
      <c r="B676" s="149" t="str">
        <f>B675</f>
        <v>fibers</v>
      </c>
      <c r="C676" s="149">
        <f t="shared" ref="C676" si="648">IF(OR(B676="Folie", B676="Strips", B676="Film",B676="Flakes",B676="Coupon"), 2,IF(OR(B676="Fibers",B676="Pellets"),4,IF(OR(B676="Particles",B676="Shreds",B676="Powder",B676="Fragments",B676="Granules"),6,"")))</f>
        <v>4</v>
      </c>
      <c r="D676" s="149" t="str">
        <f t="shared" si="647"/>
        <v>0,1-1</v>
      </c>
      <c r="E676" s="149">
        <f t="shared" si="647"/>
        <v>1</v>
      </c>
      <c r="F676" s="149" t="str">
        <f t="shared" si="647"/>
        <v>water</v>
      </c>
      <c r="G676" s="146" t="str">
        <f t="shared" ref="G676" si="649">CONCATENATE(A676," ",B676," ",D676," mm (emission to ",F676,")")</f>
        <v>HDPE fibers 0,1-1 mm (emission to water)</v>
      </c>
      <c r="H676" s="146">
        <f>H675</f>
        <v>0</v>
      </c>
      <c r="I676" s="129">
        <v>0</v>
      </c>
      <c r="J676" s="101" t="s">
        <v>1096</v>
      </c>
      <c r="K676" s="114">
        <f>K33</f>
        <v>11.703124999999968</v>
      </c>
      <c r="L676" s="226">
        <f t="shared" si="644"/>
        <v>21.361815754339176</v>
      </c>
      <c r="M676" s="220">
        <f t="shared" si="646"/>
        <v>2.1361815754339177E-2</v>
      </c>
      <c r="N676" s="612"/>
    </row>
    <row r="677" spans="1:14" s="102" customFormat="1">
      <c r="A677" s="173" t="str">
        <f>A675</f>
        <v>HDPE</v>
      </c>
      <c r="B677" s="150" t="str">
        <f>B675</f>
        <v>fibers</v>
      </c>
      <c r="C677" s="150">
        <f t="shared" si="624"/>
        <v>4</v>
      </c>
      <c r="D677" s="150" t="str">
        <f>D675</f>
        <v>0,1-1</v>
      </c>
      <c r="E677" s="150">
        <f>E675</f>
        <v>1</v>
      </c>
      <c r="F677" s="150" t="str">
        <f>F675</f>
        <v>water</v>
      </c>
      <c r="G677" s="147" t="str">
        <f t="shared" si="633"/>
        <v>HDPE fibers 0,1-1 mm (emission to water)</v>
      </c>
      <c r="H677" s="147"/>
      <c r="I677" s="129">
        <v>0</v>
      </c>
      <c r="J677" s="101" t="s">
        <v>1034</v>
      </c>
      <c r="K677" s="114" t="s">
        <v>596</v>
      </c>
      <c r="L677" s="226">
        <f t="shared" si="644"/>
        <v>0</v>
      </c>
      <c r="M677" s="220">
        <f t="shared" si="646"/>
        <v>0</v>
      </c>
      <c r="N677" s="613"/>
    </row>
    <row r="678" spans="1:14" s="102" customFormat="1">
      <c r="A678" s="174" t="s">
        <v>69</v>
      </c>
      <c r="B678" s="159" t="s">
        <v>1051</v>
      </c>
      <c r="C678" s="290">
        <f t="shared" ref="C678:C680" si="650">IF(OR(B678="Folie", B678="Strips", B678="Film",B678="Flakes",B678="Coupon"), 2,IF(OR(B678="Fibers",B678="Pellets"),4,IF(OR(B678="Particles",B678="Shreds",B678="Powder",B678="Fragments",B678="Granules"),6,"")))</f>
        <v>4</v>
      </c>
      <c r="D678" s="290" t="s">
        <v>1028</v>
      </c>
      <c r="E678" s="294">
        <v>1</v>
      </c>
      <c r="F678" s="131" t="s">
        <v>1057</v>
      </c>
      <c r="G678" s="134" t="str">
        <f t="shared" ref="G678:G680" si="651">CONCATENATE(A678," ",B678," ",D678," mm (emission to ",F678,")")</f>
        <v>HDPE fibers 0,1-1 mm (emission to air)</v>
      </c>
      <c r="H678" s="193"/>
      <c r="I678" s="137">
        <v>0.97699999999999998</v>
      </c>
      <c r="J678" s="101" t="s">
        <v>1019</v>
      </c>
      <c r="K678" s="114">
        <f>K31</f>
        <v>11.703124999999968</v>
      </c>
      <c r="L678" s="226">
        <f t="shared" si="644"/>
        <v>21.361815754339176</v>
      </c>
      <c r="M678" s="158">
        <f>IF(L678/1000&gt;1000,1000,L678/1000)</f>
        <v>2.1361815754339177E-2</v>
      </c>
      <c r="N678" s="610">
        <f>I678*M678+I679*M679</f>
        <v>2.1361815754339177E-2</v>
      </c>
    </row>
    <row r="679" spans="1:14" s="102" customFormat="1">
      <c r="A679" s="172" t="str">
        <f>A678</f>
        <v>HDPE</v>
      </c>
      <c r="B679" s="149" t="str">
        <f>B678</f>
        <v>fibers</v>
      </c>
      <c r="C679" s="149">
        <f t="shared" si="650"/>
        <v>4</v>
      </c>
      <c r="D679" s="149" t="str">
        <f t="shared" ref="D679:F679" si="652">D678</f>
        <v>0,1-1</v>
      </c>
      <c r="E679" s="149">
        <f t="shared" si="652"/>
        <v>1</v>
      </c>
      <c r="F679" s="149" t="str">
        <f t="shared" si="652"/>
        <v>air</v>
      </c>
      <c r="G679" s="146" t="str">
        <f t="shared" si="651"/>
        <v>HDPE fibers 0,1-1 mm (emission to air)</v>
      </c>
      <c r="H679" s="146"/>
      <c r="I679" s="129">
        <v>2.3E-2</v>
      </c>
      <c r="J679" s="101" t="s">
        <v>1097</v>
      </c>
      <c r="K679" s="114">
        <f>K32</f>
        <v>11.703124999999968</v>
      </c>
      <c r="L679" s="226">
        <f t="shared" si="644"/>
        <v>21.361815754339176</v>
      </c>
      <c r="M679" s="158">
        <f>IF(L679/1000&gt;1000,1000,L679/1000)</f>
        <v>2.1361815754339177E-2</v>
      </c>
      <c r="N679" s="610"/>
    </row>
    <row r="680" spans="1:14" s="102" customFormat="1">
      <c r="A680" s="173" t="str">
        <f>A679</f>
        <v>HDPE</v>
      </c>
      <c r="B680" s="150" t="str">
        <f>B679</f>
        <v>fibers</v>
      </c>
      <c r="C680" s="150">
        <f t="shared" si="650"/>
        <v>4</v>
      </c>
      <c r="D680" s="150" t="str">
        <f t="shared" ref="D680:F680" si="653">D679</f>
        <v>0,1-1</v>
      </c>
      <c r="E680" s="150">
        <f t="shared" si="653"/>
        <v>1</v>
      </c>
      <c r="F680" s="150" t="str">
        <f t="shared" si="653"/>
        <v>air</v>
      </c>
      <c r="G680" s="147" t="str">
        <f t="shared" si="651"/>
        <v>HDPE fibers 0,1-1 mm (emission to air)</v>
      </c>
      <c r="H680" s="146"/>
      <c r="I680" s="129">
        <v>0</v>
      </c>
      <c r="J680" s="101" t="s">
        <v>1034</v>
      </c>
      <c r="K680" s="151" t="s">
        <v>596</v>
      </c>
      <c r="L680" s="226">
        <f t="shared" si="644"/>
        <v>0</v>
      </c>
      <c r="M680" s="158">
        <f t="shared" ref="M680" si="654">IF(L680/1000&gt;1000,1000,L680/1000)</f>
        <v>0</v>
      </c>
      <c r="N680" s="610"/>
    </row>
    <row r="681" spans="1:14" s="135" customFormat="1">
      <c r="A681" s="174" t="s">
        <v>69</v>
      </c>
      <c r="B681" s="185" t="s">
        <v>372</v>
      </c>
      <c r="C681" s="140">
        <f t="shared" si="624"/>
        <v>4</v>
      </c>
      <c r="D681" s="153" t="s">
        <v>1026</v>
      </c>
      <c r="E681" s="155">
        <v>10</v>
      </c>
      <c r="F681" s="154" t="s">
        <v>1019</v>
      </c>
      <c r="G681" s="134" t="str">
        <f t="shared" si="633"/>
        <v>HDPE pellets 1-10 mm (emission to soil)</v>
      </c>
      <c r="H681" s="148"/>
      <c r="I681" s="129">
        <v>1</v>
      </c>
      <c r="J681" s="101" t="s">
        <v>1019</v>
      </c>
      <c r="K681" s="114">
        <f>K31</f>
        <v>11.703124999999968</v>
      </c>
      <c r="L681" s="226">
        <f t="shared" ref="L681:L687" si="655">IFERROR(IF(K681="--",0,IF(E681*1000/K681*(1-0.5)^(C681/2)&gt;1000,1000,E681*1000/K681*(1-0.5)^(C681/2))),1000)</f>
        <v>213.61815754339176</v>
      </c>
      <c r="M681" s="158">
        <f>IF(L681/1000&gt;1000,1000,L681/1000)</f>
        <v>0.21361815754339175</v>
      </c>
      <c r="N681" s="610">
        <f>I681*M681+I682*M682</f>
        <v>0.21361815754339175</v>
      </c>
    </row>
    <row r="682" spans="1:14" s="102" customFormat="1">
      <c r="A682" s="172" t="str">
        <f>A681</f>
        <v>HDPE</v>
      </c>
      <c r="B682" s="149" t="str">
        <f>B681</f>
        <v>pellets</v>
      </c>
      <c r="C682" s="149">
        <f t="shared" si="624"/>
        <v>4</v>
      </c>
      <c r="D682" s="149" t="str">
        <f t="shared" ref="D682:F683" si="656">D681</f>
        <v>1-10</v>
      </c>
      <c r="E682" s="149">
        <f t="shared" si="656"/>
        <v>10</v>
      </c>
      <c r="F682" s="149" t="str">
        <f t="shared" si="656"/>
        <v>soil</v>
      </c>
      <c r="G682" s="146" t="str">
        <f t="shared" si="633"/>
        <v>HDPE pellets 1-10 mm (emission to soil)</v>
      </c>
      <c r="H682" s="146"/>
      <c r="I682" s="129">
        <v>0</v>
      </c>
      <c r="J682" s="101" t="s">
        <v>1097</v>
      </c>
      <c r="K682" s="114">
        <f>K32</f>
        <v>11.703124999999968</v>
      </c>
      <c r="L682" s="226">
        <f t="shared" si="655"/>
        <v>213.61815754339176</v>
      </c>
      <c r="M682" s="158">
        <f>IF(L682/1000&gt;1000,1000,L682/1000)</f>
        <v>0.21361815754339175</v>
      </c>
      <c r="N682" s="610"/>
    </row>
    <row r="683" spans="1:14" s="102" customFormat="1">
      <c r="A683" s="173" t="str">
        <f>A682</f>
        <v>HDPE</v>
      </c>
      <c r="B683" s="150" t="str">
        <f>B682</f>
        <v>pellets</v>
      </c>
      <c r="C683" s="150">
        <f t="shared" si="624"/>
        <v>4</v>
      </c>
      <c r="D683" s="150" t="str">
        <f t="shared" si="656"/>
        <v>1-10</v>
      </c>
      <c r="E683" s="150">
        <f t="shared" si="656"/>
        <v>10</v>
      </c>
      <c r="F683" s="150" t="str">
        <f t="shared" si="656"/>
        <v>soil</v>
      </c>
      <c r="G683" s="147" t="str">
        <f t="shared" si="633"/>
        <v>HDPE pellets 1-10 mm (emission to soil)</v>
      </c>
      <c r="H683" s="147">
        <f>H682</f>
        <v>0</v>
      </c>
      <c r="I683" s="129">
        <v>0</v>
      </c>
      <c r="J683" s="101" t="s">
        <v>1034</v>
      </c>
      <c r="K683" s="114" t="s">
        <v>596</v>
      </c>
      <c r="L683" s="226">
        <f t="shared" si="655"/>
        <v>0</v>
      </c>
      <c r="M683" s="158">
        <f t="shared" ref="M683:M687" si="657">IF(L683/1000&gt;1000,1000,L683/1000)</f>
        <v>0</v>
      </c>
      <c r="N683" s="610"/>
    </row>
    <row r="684" spans="1:14" s="102" customFormat="1">
      <c r="A684" s="174" t="s">
        <v>69</v>
      </c>
      <c r="B684" s="155" t="s">
        <v>372</v>
      </c>
      <c r="C684" s="188">
        <f t="shared" si="624"/>
        <v>4</v>
      </c>
      <c r="D684" s="153" t="s">
        <v>1026</v>
      </c>
      <c r="E684" s="214">
        <v>10</v>
      </c>
      <c r="F684" s="154" t="s">
        <v>1020</v>
      </c>
      <c r="G684" s="134" t="str">
        <f t="shared" si="633"/>
        <v>HDPE pellets 1-10 mm (emission to water)</v>
      </c>
      <c r="H684" s="148"/>
      <c r="I684" s="129">
        <v>0</v>
      </c>
      <c r="J684" s="101" t="s">
        <v>1019</v>
      </c>
      <c r="K684" s="114">
        <f>K31</f>
        <v>11.703124999999968</v>
      </c>
      <c r="L684" s="226">
        <f t="shared" si="655"/>
        <v>213.61815754339176</v>
      </c>
      <c r="M684" s="220">
        <f t="shared" si="657"/>
        <v>0.21361815754339175</v>
      </c>
      <c r="N684" s="611">
        <f>I684*M684+I685*M685+I686*M686</f>
        <v>0.21361815754339175</v>
      </c>
    </row>
    <row r="685" spans="1:14" s="102" customFormat="1">
      <c r="A685" s="172" t="str">
        <f>A684</f>
        <v>HDPE</v>
      </c>
      <c r="B685" s="149" t="str">
        <f>B684</f>
        <v>pellets</v>
      </c>
      <c r="C685" s="149">
        <f t="shared" si="624"/>
        <v>4</v>
      </c>
      <c r="D685" s="149" t="str">
        <f t="shared" ref="D685:F686" si="658">D684</f>
        <v>1-10</v>
      </c>
      <c r="E685" s="149">
        <f t="shared" si="658"/>
        <v>10</v>
      </c>
      <c r="F685" s="149" t="str">
        <f t="shared" si="658"/>
        <v>water</v>
      </c>
      <c r="G685" s="146" t="str">
        <f t="shared" si="633"/>
        <v>HDPE pellets 1-10 mm (emission to water)</v>
      </c>
      <c r="H685" s="146"/>
      <c r="I685" s="129">
        <v>1</v>
      </c>
      <c r="J685" s="101" t="s">
        <v>1097</v>
      </c>
      <c r="K685" s="114">
        <f>K32</f>
        <v>11.703124999999968</v>
      </c>
      <c r="L685" s="226">
        <f t="shared" si="655"/>
        <v>213.61815754339176</v>
      </c>
      <c r="M685" s="220">
        <f t="shared" si="657"/>
        <v>0.21361815754339175</v>
      </c>
      <c r="N685" s="612"/>
    </row>
    <row r="686" spans="1:14" s="102" customFormat="1">
      <c r="A686" s="172" t="str">
        <f>A685</f>
        <v>HDPE</v>
      </c>
      <c r="B686" s="149" t="str">
        <f>B685</f>
        <v>pellets</v>
      </c>
      <c r="C686" s="149">
        <f t="shared" si="624"/>
        <v>4</v>
      </c>
      <c r="D686" s="149" t="str">
        <f t="shared" si="658"/>
        <v>1-10</v>
      </c>
      <c r="E686" s="149">
        <f t="shared" si="658"/>
        <v>10</v>
      </c>
      <c r="F686" s="149" t="str">
        <f t="shared" si="658"/>
        <v>water</v>
      </c>
      <c r="G686" s="146" t="str">
        <f t="shared" si="633"/>
        <v>HDPE pellets 1-10 mm (emission to water)</v>
      </c>
      <c r="H686" s="146">
        <f>H685</f>
        <v>0</v>
      </c>
      <c r="I686" s="129">
        <v>0</v>
      </c>
      <c r="J686" s="101" t="s">
        <v>1096</v>
      </c>
      <c r="K686" s="114">
        <f>K33</f>
        <v>11.703124999999968</v>
      </c>
      <c r="L686" s="226">
        <f t="shared" si="655"/>
        <v>213.61815754339176</v>
      </c>
      <c r="M686" s="220">
        <f t="shared" si="657"/>
        <v>0.21361815754339175</v>
      </c>
      <c r="N686" s="612"/>
    </row>
    <row r="687" spans="1:14" s="102" customFormat="1">
      <c r="A687" s="173" t="str">
        <f>A685</f>
        <v>HDPE</v>
      </c>
      <c r="B687" s="150" t="str">
        <f>B685</f>
        <v>pellets</v>
      </c>
      <c r="C687" s="150">
        <f t="shared" si="624"/>
        <v>4</v>
      </c>
      <c r="D687" s="150" t="str">
        <f>D685</f>
        <v>1-10</v>
      </c>
      <c r="E687" s="150">
        <f>E685</f>
        <v>10</v>
      </c>
      <c r="F687" s="150" t="str">
        <f>F685</f>
        <v>water</v>
      </c>
      <c r="G687" s="147" t="str">
        <f t="shared" si="633"/>
        <v>HDPE pellets 1-10 mm (emission to water)</v>
      </c>
      <c r="H687" s="147"/>
      <c r="I687" s="129">
        <v>0</v>
      </c>
      <c r="J687" s="101" t="s">
        <v>1034</v>
      </c>
      <c r="K687" s="114" t="s">
        <v>596</v>
      </c>
      <c r="L687" s="226">
        <f t="shared" si="655"/>
        <v>0</v>
      </c>
      <c r="M687" s="220">
        <f t="shared" si="657"/>
        <v>0</v>
      </c>
      <c r="N687" s="613"/>
    </row>
    <row r="688" spans="1:14" s="102" customFormat="1">
      <c r="A688" s="174" t="s">
        <v>69</v>
      </c>
      <c r="B688" s="287" t="s">
        <v>372</v>
      </c>
      <c r="C688" s="140">
        <f t="shared" ref="C688:C690" si="659">IF(OR(B688="Folie", B688="Strips", B688="Film",B688="Flakes",B688="Coupon"), 2,IF(OR(B688="Fibers",B688="Pellets"),4,IF(OR(B688="Particles",B688="Shreds",B688="Powder",B688="Fragments",B688="Granules"),6,"")))</f>
        <v>4</v>
      </c>
      <c r="D688" s="153" t="s">
        <v>1026</v>
      </c>
      <c r="E688" s="155">
        <v>10</v>
      </c>
      <c r="F688" s="154" t="s">
        <v>1057</v>
      </c>
      <c r="G688" s="134" t="str">
        <f t="shared" ref="G688:G690" si="660">CONCATENATE(A688," ",B688," ",D688," mm (emission to ",F688,")")</f>
        <v>HDPE pellets 1-10 mm (emission to air)</v>
      </c>
      <c r="H688" s="148"/>
      <c r="I688" s="137">
        <v>0.97699999999999998</v>
      </c>
      <c r="J688" s="101" t="s">
        <v>1019</v>
      </c>
      <c r="K688" s="114">
        <f>K31</f>
        <v>11.703124999999968</v>
      </c>
      <c r="L688" s="226">
        <f t="shared" ref="L688:L690" si="661">IFERROR(IF(K688="--",0,IF(E688*1000/K688*(1-0.5)^(C688/2)&gt;1000,1000,E688*1000/K688*(1-0.5)^(C688/2))),1000)</f>
        <v>213.61815754339176</v>
      </c>
      <c r="M688" s="158">
        <f>IF(L688/1000&gt;1000,1000,L688/1000)</f>
        <v>0.21361815754339175</v>
      </c>
      <c r="N688" s="610">
        <f>I688*M688+I689*M689</f>
        <v>0.21361815754339172</v>
      </c>
    </row>
    <row r="689" spans="1:14" s="102" customFormat="1">
      <c r="A689" s="172" t="str">
        <f>A688</f>
        <v>HDPE</v>
      </c>
      <c r="B689" s="149" t="str">
        <f>B688</f>
        <v>pellets</v>
      </c>
      <c r="C689" s="149">
        <f t="shared" si="659"/>
        <v>4</v>
      </c>
      <c r="D689" s="149" t="str">
        <f t="shared" ref="D689:F689" si="662">D688</f>
        <v>1-10</v>
      </c>
      <c r="E689" s="149">
        <f t="shared" si="662"/>
        <v>10</v>
      </c>
      <c r="F689" s="149" t="str">
        <f t="shared" si="662"/>
        <v>air</v>
      </c>
      <c r="G689" s="146" t="str">
        <f t="shared" si="660"/>
        <v>HDPE pellets 1-10 mm (emission to air)</v>
      </c>
      <c r="H689" s="146"/>
      <c r="I689" s="129">
        <v>2.3E-2</v>
      </c>
      <c r="J689" s="101" t="s">
        <v>1097</v>
      </c>
      <c r="K689" s="114">
        <f>K32</f>
        <v>11.703124999999968</v>
      </c>
      <c r="L689" s="226">
        <f t="shared" si="661"/>
        <v>213.61815754339176</v>
      </c>
      <c r="M689" s="158">
        <f>IF(L689/1000&gt;1000,1000,L689/1000)</f>
        <v>0.21361815754339175</v>
      </c>
      <c r="N689" s="610"/>
    </row>
    <row r="690" spans="1:14" s="102" customFormat="1">
      <c r="A690" s="173" t="str">
        <f>A689</f>
        <v>HDPE</v>
      </c>
      <c r="B690" s="150" t="str">
        <f>B689</f>
        <v>pellets</v>
      </c>
      <c r="C690" s="150">
        <f t="shared" si="659"/>
        <v>4</v>
      </c>
      <c r="D690" s="150" t="str">
        <f t="shared" ref="D690:F690" si="663">D689</f>
        <v>1-10</v>
      </c>
      <c r="E690" s="150">
        <f t="shared" si="663"/>
        <v>10</v>
      </c>
      <c r="F690" s="150" t="str">
        <f t="shared" si="663"/>
        <v>air</v>
      </c>
      <c r="G690" s="147" t="str">
        <f t="shared" si="660"/>
        <v>HDPE pellets 1-10 mm (emission to air)</v>
      </c>
      <c r="H690" s="147">
        <f>H689</f>
        <v>0</v>
      </c>
      <c r="I690" s="129">
        <v>0</v>
      </c>
      <c r="J690" s="101" t="s">
        <v>1034</v>
      </c>
      <c r="K690" s="114" t="s">
        <v>596</v>
      </c>
      <c r="L690" s="226">
        <f t="shared" si="661"/>
        <v>0</v>
      </c>
      <c r="M690" s="158">
        <f t="shared" ref="M690" si="664">IF(L690/1000&gt;1000,1000,L690/1000)</f>
        <v>0</v>
      </c>
      <c r="N690" s="610"/>
    </row>
    <row r="691" spans="1:14" s="102" customFormat="1">
      <c r="A691" s="174" t="s">
        <v>69</v>
      </c>
      <c r="B691" s="186" t="s">
        <v>1025</v>
      </c>
      <c r="C691" s="188">
        <f t="shared" si="624"/>
        <v>6</v>
      </c>
      <c r="D691" s="188" t="s">
        <v>1018</v>
      </c>
      <c r="E691" s="155">
        <v>0.1</v>
      </c>
      <c r="F691" s="131" t="s">
        <v>1019</v>
      </c>
      <c r="G691" s="134" t="str">
        <f t="shared" si="633"/>
        <v>HDPE particles 0,01-0,1 mm (emission to soil)</v>
      </c>
      <c r="H691" s="133"/>
      <c r="I691" s="129">
        <v>1</v>
      </c>
      <c r="J691" s="101" t="s">
        <v>1019</v>
      </c>
      <c r="K691" s="114">
        <f>K31</f>
        <v>11.703124999999968</v>
      </c>
      <c r="L691" s="226">
        <f t="shared" ref="L691:L697" si="665">IFERROR(IF(K691="--",0,IF(E691*1000/K691*(1-0.5)^(C691/2)&gt;1000,1000,E691*1000/K691*(1-0.5)^(C691/2))),1000)</f>
        <v>1.0680907877169588</v>
      </c>
      <c r="M691" s="158">
        <f>IF(L691/1000&gt;1000,1000,L691/1000)</f>
        <v>1.0680907877169588E-3</v>
      </c>
      <c r="N691" s="610">
        <f>I691*M691+I692*M692</f>
        <v>1.0680907877169588E-3</v>
      </c>
    </row>
    <row r="692" spans="1:14" s="102" customFormat="1">
      <c r="A692" s="172" t="str">
        <f>A691</f>
        <v>HDPE</v>
      </c>
      <c r="B692" s="149" t="str">
        <f>B691</f>
        <v>particles</v>
      </c>
      <c r="C692" s="149">
        <f t="shared" si="624"/>
        <v>6</v>
      </c>
      <c r="D692" s="149" t="str">
        <f t="shared" ref="D692:F693" si="666">D691</f>
        <v>0,01-0,1</v>
      </c>
      <c r="E692" s="149">
        <f t="shared" si="666"/>
        <v>0.1</v>
      </c>
      <c r="F692" s="149" t="str">
        <f t="shared" si="666"/>
        <v>soil</v>
      </c>
      <c r="G692" s="146" t="str">
        <f t="shared" si="633"/>
        <v>HDPE particles 0,01-0,1 mm (emission to soil)</v>
      </c>
      <c r="H692" s="146"/>
      <c r="I692" s="129">
        <v>0</v>
      </c>
      <c r="J692" s="101" t="s">
        <v>1097</v>
      </c>
      <c r="K692" s="114">
        <f>K32</f>
        <v>11.703124999999968</v>
      </c>
      <c r="L692" s="226">
        <f t="shared" si="665"/>
        <v>1.0680907877169588</v>
      </c>
      <c r="M692" s="158">
        <f>IF(L692/1000&gt;1000,1000,L692/1000)</f>
        <v>1.0680907877169588E-3</v>
      </c>
      <c r="N692" s="610"/>
    </row>
    <row r="693" spans="1:14" s="102" customFormat="1">
      <c r="A693" s="173" t="str">
        <f>A692</f>
        <v>HDPE</v>
      </c>
      <c r="B693" s="150" t="str">
        <f>B692</f>
        <v>particles</v>
      </c>
      <c r="C693" s="150">
        <f t="shared" si="624"/>
        <v>6</v>
      </c>
      <c r="D693" s="150" t="str">
        <f t="shared" si="666"/>
        <v>0,01-0,1</v>
      </c>
      <c r="E693" s="150">
        <f t="shared" si="666"/>
        <v>0.1</v>
      </c>
      <c r="F693" s="150" t="str">
        <f t="shared" si="666"/>
        <v>soil</v>
      </c>
      <c r="G693" s="147" t="str">
        <f t="shared" si="633"/>
        <v>HDPE particles 0,01-0,1 mm (emission to soil)</v>
      </c>
      <c r="H693" s="147"/>
      <c r="I693" s="129">
        <v>0</v>
      </c>
      <c r="J693" s="101" t="s">
        <v>1034</v>
      </c>
      <c r="K693" s="114" t="s">
        <v>596</v>
      </c>
      <c r="L693" s="226">
        <f t="shared" si="665"/>
        <v>0</v>
      </c>
      <c r="M693" s="158">
        <f t="shared" ref="M693:M697" si="667">IF(L693/1000&gt;1000,1000,L693/1000)</f>
        <v>0</v>
      </c>
      <c r="N693" s="610"/>
    </row>
    <row r="694" spans="1:14" s="102" customFormat="1">
      <c r="A694" s="174" t="s">
        <v>69</v>
      </c>
      <c r="B694" s="186" t="s">
        <v>1025</v>
      </c>
      <c r="C694" s="188">
        <f t="shared" si="624"/>
        <v>6</v>
      </c>
      <c r="D694" s="188" t="s">
        <v>1018</v>
      </c>
      <c r="E694" s="155">
        <v>0.1</v>
      </c>
      <c r="F694" s="131" t="s">
        <v>1020</v>
      </c>
      <c r="G694" s="134" t="str">
        <f t="shared" si="633"/>
        <v>HDPE particles 0,01-0,1 mm (emission to water)</v>
      </c>
      <c r="H694" s="133"/>
      <c r="I694" s="129">
        <v>0</v>
      </c>
      <c r="J694" s="101" t="s">
        <v>1019</v>
      </c>
      <c r="K694" s="114">
        <f>K31</f>
        <v>11.703124999999968</v>
      </c>
      <c r="L694" s="226">
        <f t="shared" si="665"/>
        <v>1.0680907877169588</v>
      </c>
      <c r="M694" s="220">
        <f t="shared" si="667"/>
        <v>1.0680907877169588E-3</v>
      </c>
      <c r="N694" s="611">
        <f>I694*M694+I695*M695+I696*M696</f>
        <v>1.0680907877169588E-3</v>
      </c>
    </row>
    <row r="695" spans="1:14" s="102" customFormat="1">
      <c r="A695" s="172" t="str">
        <f>A694</f>
        <v>HDPE</v>
      </c>
      <c r="B695" s="149" t="str">
        <f>B694</f>
        <v>particles</v>
      </c>
      <c r="C695" s="149">
        <f t="shared" si="624"/>
        <v>6</v>
      </c>
      <c r="D695" s="149" t="str">
        <f t="shared" ref="D695:F696" si="668">D694</f>
        <v>0,01-0,1</v>
      </c>
      <c r="E695" s="149">
        <f t="shared" si="668"/>
        <v>0.1</v>
      </c>
      <c r="F695" s="149" t="str">
        <f t="shared" si="668"/>
        <v>water</v>
      </c>
      <c r="G695" s="146" t="str">
        <f t="shared" si="633"/>
        <v>HDPE particles 0,01-0,1 mm (emission to water)</v>
      </c>
      <c r="H695" s="146"/>
      <c r="I695" s="129">
        <v>1</v>
      </c>
      <c r="J695" s="101" t="s">
        <v>1097</v>
      </c>
      <c r="K695" s="114">
        <f>K32</f>
        <v>11.703124999999968</v>
      </c>
      <c r="L695" s="226">
        <f t="shared" si="665"/>
        <v>1.0680907877169588</v>
      </c>
      <c r="M695" s="220">
        <f t="shared" si="667"/>
        <v>1.0680907877169588E-3</v>
      </c>
      <c r="N695" s="612"/>
    </row>
    <row r="696" spans="1:14" s="102" customFormat="1">
      <c r="A696" s="172" t="str">
        <f>A695</f>
        <v>HDPE</v>
      </c>
      <c r="B696" s="149" t="str">
        <f>B695</f>
        <v>particles</v>
      </c>
      <c r="C696" s="149">
        <f t="shared" si="624"/>
        <v>6</v>
      </c>
      <c r="D696" s="149" t="str">
        <f t="shared" si="668"/>
        <v>0,01-0,1</v>
      </c>
      <c r="E696" s="149">
        <f t="shared" si="668"/>
        <v>0.1</v>
      </c>
      <c r="F696" s="149" t="str">
        <f t="shared" si="668"/>
        <v>water</v>
      </c>
      <c r="G696" s="146" t="str">
        <f t="shared" si="633"/>
        <v>HDPE particles 0,01-0,1 mm (emission to water)</v>
      </c>
      <c r="H696" s="146">
        <f>H695</f>
        <v>0</v>
      </c>
      <c r="I696" s="129">
        <v>0</v>
      </c>
      <c r="J696" s="101" t="s">
        <v>1096</v>
      </c>
      <c r="K696" s="114">
        <f>K33</f>
        <v>11.703124999999968</v>
      </c>
      <c r="L696" s="226">
        <f t="shared" si="665"/>
        <v>1.0680907877169588</v>
      </c>
      <c r="M696" s="220">
        <f t="shared" si="667"/>
        <v>1.0680907877169588E-3</v>
      </c>
      <c r="N696" s="612"/>
    </row>
    <row r="697" spans="1:14" s="102" customFormat="1">
      <c r="A697" s="173" t="str">
        <f>A695</f>
        <v>HDPE</v>
      </c>
      <c r="B697" s="150" t="str">
        <f>B695</f>
        <v>particles</v>
      </c>
      <c r="C697" s="150">
        <f t="shared" si="624"/>
        <v>6</v>
      </c>
      <c r="D697" s="150" t="str">
        <f>D695</f>
        <v>0,01-0,1</v>
      </c>
      <c r="E697" s="150">
        <f>E695</f>
        <v>0.1</v>
      </c>
      <c r="F697" s="150" t="str">
        <f>F695</f>
        <v>water</v>
      </c>
      <c r="G697" s="147" t="str">
        <f t="shared" si="633"/>
        <v>HDPE particles 0,01-0,1 mm (emission to water)</v>
      </c>
      <c r="H697" s="147"/>
      <c r="I697" s="129">
        <v>0</v>
      </c>
      <c r="J697" s="101" t="s">
        <v>1034</v>
      </c>
      <c r="K697" s="114" t="s">
        <v>596</v>
      </c>
      <c r="L697" s="226">
        <f t="shared" si="665"/>
        <v>0</v>
      </c>
      <c r="M697" s="220">
        <f t="shared" si="667"/>
        <v>0</v>
      </c>
      <c r="N697" s="613"/>
    </row>
    <row r="698" spans="1:14" s="102" customFormat="1">
      <c r="A698" s="174" t="s">
        <v>69</v>
      </c>
      <c r="B698" s="288" t="s">
        <v>1025</v>
      </c>
      <c r="C698" s="290">
        <f t="shared" ref="C698:C700" si="669">IF(OR(B698="Folie", B698="Strips", B698="Film",B698="Flakes",B698="Coupon"), 2,IF(OR(B698="Fibers",B698="Pellets"),4,IF(OR(B698="Particles",B698="Shreds",B698="Powder",B698="Fragments",B698="Granules"),6,"")))</f>
        <v>6</v>
      </c>
      <c r="D698" s="290" t="s">
        <v>1018</v>
      </c>
      <c r="E698" s="155">
        <v>0.1</v>
      </c>
      <c r="F698" s="131" t="s">
        <v>1057</v>
      </c>
      <c r="G698" s="134" t="str">
        <f t="shared" ref="G698:G700" si="670">CONCATENATE(A698," ",B698," ",D698," mm (emission to ",F698,")")</f>
        <v>HDPE particles 0,01-0,1 mm (emission to air)</v>
      </c>
      <c r="H698" s="133"/>
      <c r="I698" s="137">
        <v>0.97699999999999998</v>
      </c>
      <c r="J698" s="101" t="s">
        <v>1019</v>
      </c>
      <c r="K698" s="114">
        <f>K31</f>
        <v>11.703124999999968</v>
      </c>
      <c r="L698" s="226">
        <f t="shared" ref="L698:L700" si="671">IFERROR(IF(K698="--",0,IF(E698*1000/K698*(1-0.5)^(C698/2)&gt;1000,1000,E698*1000/K698*(1-0.5)^(C698/2))),1000)</f>
        <v>1.0680907877169588</v>
      </c>
      <c r="M698" s="158">
        <f>IF(L698/1000&gt;1000,1000,L698/1000)</f>
        <v>1.0680907877169588E-3</v>
      </c>
      <c r="N698" s="610">
        <f>I698*M698+I699*M699</f>
        <v>1.0680907877169588E-3</v>
      </c>
    </row>
    <row r="699" spans="1:14" s="102" customFormat="1">
      <c r="A699" s="172" t="str">
        <f>A698</f>
        <v>HDPE</v>
      </c>
      <c r="B699" s="149" t="str">
        <f>B698</f>
        <v>particles</v>
      </c>
      <c r="C699" s="149">
        <f t="shared" si="669"/>
        <v>6</v>
      </c>
      <c r="D699" s="149" t="str">
        <f t="shared" ref="D699:F699" si="672">D698</f>
        <v>0,01-0,1</v>
      </c>
      <c r="E699" s="149">
        <f t="shared" si="672"/>
        <v>0.1</v>
      </c>
      <c r="F699" s="149" t="str">
        <f t="shared" si="672"/>
        <v>air</v>
      </c>
      <c r="G699" s="146" t="str">
        <f t="shared" si="670"/>
        <v>HDPE particles 0,01-0,1 mm (emission to air)</v>
      </c>
      <c r="H699" s="146"/>
      <c r="I699" s="129">
        <v>2.3E-2</v>
      </c>
      <c r="J699" s="101" t="s">
        <v>1097</v>
      </c>
      <c r="K699" s="114">
        <f>K32</f>
        <v>11.703124999999968</v>
      </c>
      <c r="L699" s="226">
        <f t="shared" si="671"/>
        <v>1.0680907877169588</v>
      </c>
      <c r="M699" s="158">
        <f>IF(L699/1000&gt;1000,1000,L699/1000)</f>
        <v>1.0680907877169588E-3</v>
      </c>
      <c r="N699" s="610"/>
    </row>
    <row r="700" spans="1:14" s="102" customFormat="1">
      <c r="A700" s="173" t="str">
        <f>A699</f>
        <v>HDPE</v>
      </c>
      <c r="B700" s="150" t="str">
        <f>B699</f>
        <v>particles</v>
      </c>
      <c r="C700" s="150">
        <f t="shared" si="669"/>
        <v>6</v>
      </c>
      <c r="D700" s="150" t="str">
        <f t="shared" ref="D700:F700" si="673">D699</f>
        <v>0,01-0,1</v>
      </c>
      <c r="E700" s="150">
        <f t="shared" si="673"/>
        <v>0.1</v>
      </c>
      <c r="F700" s="150" t="str">
        <f t="shared" si="673"/>
        <v>air</v>
      </c>
      <c r="G700" s="147" t="str">
        <f t="shared" si="670"/>
        <v>HDPE particles 0,01-0,1 mm (emission to air)</v>
      </c>
      <c r="H700" s="147"/>
      <c r="I700" s="129">
        <v>0</v>
      </c>
      <c r="J700" s="101" t="s">
        <v>1034</v>
      </c>
      <c r="K700" s="114" t="s">
        <v>596</v>
      </c>
      <c r="L700" s="226">
        <f t="shared" si="671"/>
        <v>0</v>
      </c>
      <c r="M700" s="158">
        <f t="shared" ref="M700" si="674">IF(L700/1000&gt;1000,1000,L700/1000)</f>
        <v>0</v>
      </c>
      <c r="N700" s="610"/>
    </row>
    <row r="701" spans="1:14" s="102" customFormat="1">
      <c r="A701" s="174" t="s">
        <v>69</v>
      </c>
      <c r="B701" s="186" t="s">
        <v>1025</v>
      </c>
      <c r="C701" s="188">
        <f t="shared" si="624"/>
        <v>6</v>
      </c>
      <c r="D701" s="188" t="s">
        <v>1028</v>
      </c>
      <c r="E701" s="155">
        <v>1</v>
      </c>
      <c r="F701" s="131" t="s">
        <v>1019</v>
      </c>
      <c r="G701" s="134" t="str">
        <f t="shared" si="633"/>
        <v>HDPE particles 0,1-1 mm (emission to soil)</v>
      </c>
      <c r="H701" s="133"/>
      <c r="I701" s="129">
        <v>1</v>
      </c>
      <c r="J701" s="101" t="s">
        <v>1019</v>
      </c>
      <c r="K701" s="114">
        <f>K31</f>
        <v>11.703124999999968</v>
      </c>
      <c r="L701" s="226">
        <f t="shared" ref="L701:L707" si="675">IFERROR(IF(K701="--",0,IF(E701*1000/K701*(1-0.5)^(C701/2)&gt;1000,1000,E701*1000/K701*(1-0.5)^(C701/2))),1000)</f>
        <v>10.680907877169588</v>
      </c>
      <c r="M701" s="158">
        <f>IF(L701/1000&gt;1000,1000,L701/1000)</f>
        <v>1.0680907877169589E-2</v>
      </c>
      <c r="N701" s="610">
        <f>I701*M701+I702*M702</f>
        <v>1.0680907877169589E-2</v>
      </c>
    </row>
    <row r="702" spans="1:14" s="102" customFormat="1">
      <c r="A702" s="172" t="str">
        <f>A701</f>
        <v>HDPE</v>
      </c>
      <c r="B702" s="149" t="str">
        <f>B701</f>
        <v>particles</v>
      </c>
      <c r="C702" s="149">
        <f t="shared" si="624"/>
        <v>6</v>
      </c>
      <c r="D702" s="149" t="str">
        <f t="shared" ref="D702:F703" si="676">D701</f>
        <v>0,1-1</v>
      </c>
      <c r="E702" s="149">
        <f t="shared" si="676"/>
        <v>1</v>
      </c>
      <c r="F702" s="149" t="str">
        <f t="shared" si="676"/>
        <v>soil</v>
      </c>
      <c r="G702" s="146" t="str">
        <f t="shared" si="633"/>
        <v>HDPE particles 0,1-1 mm (emission to soil)</v>
      </c>
      <c r="H702" s="146"/>
      <c r="I702" s="129">
        <v>0</v>
      </c>
      <c r="J702" s="101" t="s">
        <v>1097</v>
      </c>
      <c r="K702" s="114">
        <f>K32</f>
        <v>11.703124999999968</v>
      </c>
      <c r="L702" s="226">
        <f t="shared" si="675"/>
        <v>10.680907877169588</v>
      </c>
      <c r="M702" s="158">
        <f>IF(L702/1000&gt;1000,1000,L702/1000)</f>
        <v>1.0680907877169589E-2</v>
      </c>
      <c r="N702" s="610"/>
    </row>
    <row r="703" spans="1:14" s="102" customFormat="1">
      <c r="A703" s="173" t="str">
        <f>A702</f>
        <v>HDPE</v>
      </c>
      <c r="B703" s="150" t="str">
        <f>B702</f>
        <v>particles</v>
      </c>
      <c r="C703" s="150">
        <f t="shared" si="624"/>
        <v>6</v>
      </c>
      <c r="D703" s="150" t="str">
        <f t="shared" si="676"/>
        <v>0,1-1</v>
      </c>
      <c r="E703" s="150">
        <f t="shared" si="676"/>
        <v>1</v>
      </c>
      <c r="F703" s="150" t="str">
        <f t="shared" si="676"/>
        <v>soil</v>
      </c>
      <c r="G703" s="147" t="str">
        <f t="shared" si="633"/>
        <v>HDPE particles 0,1-1 mm (emission to soil)</v>
      </c>
      <c r="H703" s="147"/>
      <c r="I703" s="129">
        <v>0</v>
      </c>
      <c r="J703" s="101" t="s">
        <v>1034</v>
      </c>
      <c r="K703" s="151" t="s">
        <v>596</v>
      </c>
      <c r="L703" s="226">
        <f t="shared" si="675"/>
        <v>0</v>
      </c>
      <c r="M703" s="158">
        <f t="shared" ref="M703:M707" si="677">IF(L703/1000&gt;1000,1000,L703/1000)</f>
        <v>0</v>
      </c>
      <c r="N703" s="610"/>
    </row>
    <row r="704" spans="1:14" s="102" customFormat="1">
      <c r="A704" s="174" t="s">
        <v>69</v>
      </c>
      <c r="B704" s="186" t="s">
        <v>1025</v>
      </c>
      <c r="C704" s="188">
        <f t="shared" si="624"/>
        <v>6</v>
      </c>
      <c r="D704" s="188" t="s">
        <v>1028</v>
      </c>
      <c r="E704" s="216">
        <v>1</v>
      </c>
      <c r="F704" s="131" t="s">
        <v>1020</v>
      </c>
      <c r="G704" s="134" t="str">
        <f t="shared" si="633"/>
        <v>HDPE particles 0,1-1 mm (emission to water)</v>
      </c>
      <c r="H704" s="133"/>
      <c r="I704" s="129">
        <v>0</v>
      </c>
      <c r="J704" s="101" t="s">
        <v>1019</v>
      </c>
      <c r="K704" s="114">
        <f>K31</f>
        <v>11.703124999999968</v>
      </c>
      <c r="L704" s="226">
        <f t="shared" si="675"/>
        <v>10.680907877169588</v>
      </c>
      <c r="M704" s="220">
        <f t="shared" si="677"/>
        <v>1.0680907877169589E-2</v>
      </c>
      <c r="N704" s="611">
        <f>I704*M704+I705*M705+I706*M706</f>
        <v>1.0680907877169589E-2</v>
      </c>
    </row>
    <row r="705" spans="1:14" s="102" customFormat="1">
      <c r="A705" s="172" t="str">
        <f>A704</f>
        <v>HDPE</v>
      </c>
      <c r="B705" s="149" t="str">
        <f>B704</f>
        <v>particles</v>
      </c>
      <c r="C705" s="149">
        <f t="shared" si="624"/>
        <v>6</v>
      </c>
      <c r="D705" s="149" t="str">
        <f t="shared" ref="D705:F706" si="678">D704</f>
        <v>0,1-1</v>
      </c>
      <c r="E705" s="149">
        <f t="shared" si="678"/>
        <v>1</v>
      </c>
      <c r="F705" s="149" t="str">
        <f t="shared" si="678"/>
        <v>water</v>
      </c>
      <c r="G705" s="146" t="str">
        <f t="shared" si="633"/>
        <v>HDPE particles 0,1-1 mm (emission to water)</v>
      </c>
      <c r="H705" s="146"/>
      <c r="I705" s="129">
        <v>1</v>
      </c>
      <c r="J705" s="101" t="s">
        <v>1097</v>
      </c>
      <c r="K705" s="114">
        <f>K32</f>
        <v>11.703124999999968</v>
      </c>
      <c r="L705" s="226">
        <f t="shared" si="675"/>
        <v>10.680907877169588</v>
      </c>
      <c r="M705" s="220">
        <f t="shared" si="677"/>
        <v>1.0680907877169589E-2</v>
      </c>
      <c r="N705" s="612"/>
    </row>
    <row r="706" spans="1:14" s="102" customFormat="1">
      <c r="A706" s="172" t="str">
        <f>A705</f>
        <v>HDPE</v>
      </c>
      <c r="B706" s="149" t="str">
        <f>B705</f>
        <v>particles</v>
      </c>
      <c r="C706" s="149">
        <f t="shared" si="624"/>
        <v>6</v>
      </c>
      <c r="D706" s="149" t="str">
        <f t="shared" si="678"/>
        <v>0,1-1</v>
      </c>
      <c r="E706" s="149">
        <f t="shared" si="678"/>
        <v>1</v>
      </c>
      <c r="F706" s="149" t="str">
        <f t="shared" si="678"/>
        <v>water</v>
      </c>
      <c r="G706" s="146" t="str">
        <f t="shared" si="633"/>
        <v>HDPE particles 0,1-1 mm (emission to water)</v>
      </c>
      <c r="H706" s="146">
        <f>H705</f>
        <v>0</v>
      </c>
      <c r="I706" s="129">
        <v>0</v>
      </c>
      <c r="J706" s="101" t="s">
        <v>1096</v>
      </c>
      <c r="K706" s="114">
        <f>K33</f>
        <v>11.703124999999968</v>
      </c>
      <c r="L706" s="226">
        <f t="shared" si="675"/>
        <v>10.680907877169588</v>
      </c>
      <c r="M706" s="220">
        <f t="shared" si="677"/>
        <v>1.0680907877169589E-2</v>
      </c>
      <c r="N706" s="612"/>
    </row>
    <row r="707" spans="1:14" s="102" customFormat="1">
      <c r="A707" s="173" t="str">
        <f>A705</f>
        <v>HDPE</v>
      </c>
      <c r="B707" s="150" t="str">
        <f>B705</f>
        <v>particles</v>
      </c>
      <c r="C707" s="150">
        <f t="shared" si="624"/>
        <v>6</v>
      </c>
      <c r="D707" s="150" t="str">
        <f>D705</f>
        <v>0,1-1</v>
      </c>
      <c r="E707" s="150">
        <f>E705</f>
        <v>1</v>
      </c>
      <c r="F707" s="150" t="str">
        <f>F705</f>
        <v>water</v>
      </c>
      <c r="G707" s="147" t="str">
        <f t="shared" si="633"/>
        <v>HDPE particles 0,1-1 mm (emission to water)</v>
      </c>
      <c r="H707" s="147"/>
      <c r="I707" s="129">
        <v>0</v>
      </c>
      <c r="J707" s="101" t="s">
        <v>1034</v>
      </c>
      <c r="K707" s="151" t="s">
        <v>596</v>
      </c>
      <c r="L707" s="226">
        <f t="shared" si="675"/>
        <v>0</v>
      </c>
      <c r="M707" s="220">
        <f t="shared" si="677"/>
        <v>0</v>
      </c>
      <c r="N707" s="613"/>
    </row>
    <row r="708" spans="1:14" s="102" customFormat="1">
      <c r="A708" s="174" t="s">
        <v>69</v>
      </c>
      <c r="B708" s="288" t="s">
        <v>1025</v>
      </c>
      <c r="C708" s="290">
        <f t="shared" ref="C708:C710" si="679">IF(OR(B708="Folie", B708="Strips", B708="Film",B708="Flakes",B708="Coupon"), 2,IF(OR(B708="Fibers",B708="Pellets"),4,IF(OR(B708="Particles",B708="Shreds",B708="Powder",B708="Fragments",B708="Granules"),6,"")))</f>
        <v>6</v>
      </c>
      <c r="D708" s="290" t="s">
        <v>1028</v>
      </c>
      <c r="E708" s="155">
        <v>1</v>
      </c>
      <c r="F708" s="131" t="s">
        <v>1057</v>
      </c>
      <c r="G708" s="134" t="str">
        <f t="shared" ref="G708:G710" si="680">CONCATENATE(A708," ",B708," ",D708," mm (emission to ",F708,")")</f>
        <v>HDPE particles 0,1-1 mm (emission to air)</v>
      </c>
      <c r="H708" s="133"/>
      <c r="I708" s="137">
        <v>0.97699999999999998</v>
      </c>
      <c r="J708" s="101" t="s">
        <v>1019</v>
      </c>
      <c r="K708" s="114">
        <f>K31</f>
        <v>11.703124999999968</v>
      </c>
      <c r="L708" s="226">
        <f t="shared" ref="L708:L710" si="681">IFERROR(IF(K708="--",0,IF(E708*1000/K708*(1-0.5)^(C708/2)&gt;1000,1000,E708*1000/K708*(1-0.5)^(C708/2))),1000)</f>
        <v>10.680907877169588</v>
      </c>
      <c r="M708" s="158">
        <f>IF(L708/1000&gt;1000,1000,L708/1000)</f>
        <v>1.0680907877169589E-2</v>
      </c>
      <c r="N708" s="610">
        <f>I708*M708+I709*M709</f>
        <v>1.0680907877169589E-2</v>
      </c>
    </row>
    <row r="709" spans="1:14" s="102" customFormat="1">
      <c r="A709" s="172" t="str">
        <f>A708</f>
        <v>HDPE</v>
      </c>
      <c r="B709" s="149" t="str">
        <f>B708</f>
        <v>particles</v>
      </c>
      <c r="C709" s="149">
        <f t="shared" si="679"/>
        <v>6</v>
      </c>
      <c r="D709" s="149" t="str">
        <f t="shared" ref="D709:F709" si="682">D708</f>
        <v>0,1-1</v>
      </c>
      <c r="E709" s="149">
        <f t="shared" si="682"/>
        <v>1</v>
      </c>
      <c r="F709" s="149" t="str">
        <f t="shared" si="682"/>
        <v>air</v>
      </c>
      <c r="G709" s="146" t="str">
        <f t="shared" si="680"/>
        <v>HDPE particles 0,1-1 mm (emission to air)</v>
      </c>
      <c r="H709" s="146"/>
      <c r="I709" s="129">
        <v>2.3E-2</v>
      </c>
      <c r="J709" s="101" t="s">
        <v>1097</v>
      </c>
      <c r="K709" s="114">
        <f>K32</f>
        <v>11.703124999999968</v>
      </c>
      <c r="L709" s="226">
        <f t="shared" si="681"/>
        <v>10.680907877169588</v>
      </c>
      <c r="M709" s="158">
        <f>IF(L709/1000&gt;1000,1000,L709/1000)</f>
        <v>1.0680907877169589E-2</v>
      </c>
      <c r="N709" s="610"/>
    </row>
    <row r="710" spans="1:14" s="102" customFormat="1">
      <c r="A710" s="173" t="str">
        <f>A709</f>
        <v>HDPE</v>
      </c>
      <c r="B710" s="150" t="str">
        <f>B709</f>
        <v>particles</v>
      </c>
      <c r="C710" s="150">
        <f t="shared" si="679"/>
        <v>6</v>
      </c>
      <c r="D710" s="150" t="str">
        <f t="shared" ref="D710:F710" si="683">D709</f>
        <v>0,1-1</v>
      </c>
      <c r="E710" s="150">
        <f t="shared" si="683"/>
        <v>1</v>
      </c>
      <c r="F710" s="150" t="str">
        <f t="shared" si="683"/>
        <v>air</v>
      </c>
      <c r="G710" s="147" t="str">
        <f t="shared" si="680"/>
        <v>HDPE particles 0,1-1 mm (emission to air)</v>
      </c>
      <c r="H710" s="147"/>
      <c r="I710" s="129">
        <v>0</v>
      </c>
      <c r="J710" s="101" t="s">
        <v>1034</v>
      </c>
      <c r="K710" s="151" t="s">
        <v>596</v>
      </c>
      <c r="L710" s="226">
        <f t="shared" si="681"/>
        <v>0</v>
      </c>
      <c r="M710" s="158">
        <f t="shared" ref="M710" si="684">IF(L710/1000&gt;1000,1000,L710/1000)</f>
        <v>0</v>
      </c>
      <c r="N710" s="610"/>
    </row>
    <row r="711" spans="1:14" s="102" customFormat="1">
      <c r="A711" s="174" t="s">
        <v>69</v>
      </c>
      <c r="B711" s="186" t="s">
        <v>1025</v>
      </c>
      <c r="C711" s="188">
        <f t="shared" si="624"/>
        <v>6</v>
      </c>
      <c r="D711" s="188" t="s">
        <v>1026</v>
      </c>
      <c r="E711" s="155">
        <v>10</v>
      </c>
      <c r="F711" s="131" t="s">
        <v>1019</v>
      </c>
      <c r="G711" s="134" t="str">
        <f t="shared" si="633"/>
        <v>HDPE particles 1-10 mm (emission to soil)</v>
      </c>
      <c r="H711" s="133"/>
      <c r="I711" s="129">
        <v>1</v>
      </c>
      <c r="J711" s="101" t="s">
        <v>1019</v>
      </c>
      <c r="K711" s="114">
        <f>K31</f>
        <v>11.703124999999968</v>
      </c>
      <c r="L711" s="226">
        <f t="shared" ref="L711:L717" si="685">IFERROR(IF(K711="--",0,IF(E711*1000/K711*(1-0.5)^(C711/2)&gt;1000,1000,E711*1000/K711*(1-0.5)^(C711/2))),1000)</f>
        <v>106.80907877169588</v>
      </c>
      <c r="M711" s="158">
        <f>IF(L711/1000&gt;1000,1000,L711/1000)</f>
        <v>0.10680907877169588</v>
      </c>
      <c r="N711" s="610">
        <f>I711*M711+I712*M712</f>
        <v>0.10680907877169588</v>
      </c>
    </row>
    <row r="712" spans="1:14" s="102" customFormat="1">
      <c r="A712" s="172" t="str">
        <f>A711</f>
        <v>HDPE</v>
      </c>
      <c r="B712" s="149" t="str">
        <f>B711</f>
        <v>particles</v>
      </c>
      <c r="C712" s="149">
        <f t="shared" si="624"/>
        <v>6</v>
      </c>
      <c r="D712" s="149" t="str">
        <f t="shared" ref="D712:F713" si="686">D711</f>
        <v>1-10</v>
      </c>
      <c r="E712" s="149">
        <f t="shared" si="686"/>
        <v>10</v>
      </c>
      <c r="F712" s="149" t="str">
        <f t="shared" si="686"/>
        <v>soil</v>
      </c>
      <c r="G712" s="146" t="str">
        <f t="shared" si="633"/>
        <v>HDPE particles 1-10 mm (emission to soil)</v>
      </c>
      <c r="H712" s="146"/>
      <c r="I712" s="129">
        <v>0</v>
      </c>
      <c r="J712" s="101" t="s">
        <v>1097</v>
      </c>
      <c r="K712" s="114">
        <f>K32</f>
        <v>11.703124999999968</v>
      </c>
      <c r="L712" s="226">
        <f t="shared" si="685"/>
        <v>106.80907877169588</v>
      </c>
      <c r="M712" s="158">
        <f>IF(L712/1000&gt;1000,1000,L712/1000)</f>
        <v>0.10680907877169588</v>
      </c>
      <c r="N712" s="610"/>
    </row>
    <row r="713" spans="1:14" s="102" customFormat="1">
      <c r="A713" s="173" t="str">
        <f>A712</f>
        <v>HDPE</v>
      </c>
      <c r="B713" s="150" t="str">
        <f>B712</f>
        <v>particles</v>
      </c>
      <c r="C713" s="150">
        <f t="shared" si="624"/>
        <v>6</v>
      </c>
      <c r="D713" s="150" t="str">
        <f t="shared" si="686"/>
        <v>1-10</v>
      </c>
      <c r="E713" s="150">
        <f t="shared" si="686"/>
        <v>10</v>
      </c>
      <c r="F713" s="150" t="str">
        <f t="shared" si="686"/>
        <v>soil</v>
      </c>
      <c r="G713" s="147" t="str">
        <f t="shared" si="633"/>
        <v>HDPE particles 1-10 mm (emission to soil)</v>
      </c>
      <c r="H713" s="147"/>
      <c r="I713" s="129">
        <v>0</v>
      </c>
      <c r="J713" s="101" t="s">
        <v>1034</v>
      </c>
      <c r="K713" s="151" t="s">
        <v>596</v>
      </c>
      <c r="L713" s="226">
        <f t="shared" si="685"/>
        <v>0</v>
      </c>
      <c r="M713" s="158">
        <f t="shared" ref="M713:M717" si="687">IF(L713/1000&gt;1000,1000,L713/1000)</f>
        <v>0</v>
      </c>
      <c r="N713" s="610"/>
    </row>
    <row r="714" spans="1:14" s="102" customFormat="1">
      <c r="A714" s="174" t="s">
        <v>69</v>
      </c>
      <c r="B714" s="186" t="s">
        <v>1025</v>
      </c>
      <c r="C714" s="188">
        <f t="shared" si="624"/>
        <v>6</v>
      </c>
      <c r="D714" s="188" t="s">
        <v>1026</v>
      </c>
      <c r="E714" s="214">
        <v>10</v>
      </c>
      <c r="F714" s="131" t="s">
        <v>1020</v>
      </c>
      <c r="G714" s="134" t="str">
        <f t="shared" si="633"/>
        <v>HDPE particles 1-10 mm (emission to water)</v>
      </c>
      <c r="H714" s="133"/>
      <c r="I714" s="129">
        <v>0</v>
      </c>
      <c r="J714" s="101" t="s">
        <v>1019</v>
      </c>
      <c r="K714" s="114">
        <f>K31</f>
        <v>11.703124999999968</v>
      </c>
      <c r="L714" s="226">
        <f t="shared" si="685"/>
        <v>106.80907877169588</v>
      </c>
      <c r="M714" s="220">
        <f t="shared" si="687"/>
        <v>0.10680907877169588</v>
      </c>
      <c r="N714" s="611">
        <f>I714*M714+I715*M715+I716*M716</f>
        <v>0.10680907877169588</v>
      </c>
    </row>
    <row r="715" spans="1:14" s="102" customFormat="1">
      <c r="A715" s="172" t="str">
        <f>A714</f>
        <v>HDPE</v>
      </c>
      <c r="B715" s="149" t="str">
        <f>B714</f>
        <v>particles</v>
      </c>
      <c r="C715" s="149">
        <f t="shared" si="624"/>
        <v>6</v>
      </c>
      <c r="D715" s="149" t="str">
        <f t="shared" ref="D715:F716" si="688">D714</f>
        <v>1-10</v>
      </c>
      <c r="E715" s="149">
        <f t="shared" si="688"/>
        <v>10</v>
      </c>
      <c r="F715" s="149" t="str">
        <f t="shared" si="688"/>
        <v>water</v>
      </c>
      <c r="G715" s="146" t="str">
        <f t="shared" si="633"/>
        <v>HDPE particles 1-10 mm (emission to water)</v>
      </c>
      <c r="H715" s="146"/>
      <c r="I715" s="129">
        <v>1</v>
      </c>
      <c r="J715" s="101" t="s">
        <v>1097</v>
      </c>
      <c r="K715" s="114">
        <f>K32</f>
        <v>11.703124999999968</v>
      </c>
      <c r="L715" s="226">
        <f t="shared" si="685"/>
        <v>106.80907877169588</v>
      </c>
      <c r="M715" s="220">
        <f t="shared" si="687"/>
        <v>0.10680907877169588</v>
      </c>
      <c r="N715" s="612"/>
    </row>
    <row r="716" spans="1:14" s="102" customFormat="1">
      <c r="A716" s="172" t="str">
        <f>A715</f>
        <v>HDPE</v>
      </c>
      <c r="B716" s="149" t="str">
        <f>B715</f>
        <v>particles</v>
      </c>
      <c r="C716" s="149">
        <f t="shared" si="624"/>
        <v>6</v>
      </c>
      <c r="D716" s="149" t="str">
        <f t="shared" si="688"/>
        <v>1-10</v>
      </c>
      <c r="E716" s="149">
        <f t="shared" si="688"/>
        <v>10</v>
      </c>
      <c r="F716" s="149" t="str">
        <f t="shared" si="688"/>
        <v>water</v>
      </c>
      <c r="G716" s="146" t="str">
        <f t="shared" si="633"/>
        <v>HDPE particles 1-10 mm (emission to water)</v>
      </c>
      <c r="H716" s="146">
        <f>H715</f>
        <v>0</v>
      </c>
      <c r="I716" s="129">
        <v>0</v>
      </c>
      <c r="J716" s="101" t="s">
        <v>1096</v>
      </c>
      <c r="K716" s="160">
        <f>K33</f>
        <v>11.703124999999968</v>
      </c>
      <c r="L716" s="226">
        <f t="shared" si="685"/>
        <v>106.80907877169588</v>
      </c>
      <c r="M716" s="220">
        <f t="shared" si="687"/>
        <v>0.10680907877169588</v>
      </c>
      <c r="N716" s="612"/>
    </row>
    <row r="717" spans="1:14" s="102" customFormat="1">
      <c r="A717" s="173" t="str">
        <f>A715</f>
        <v>HDPE</v>
      </c>
      <c r="B717" s="150" t="str">
        <f>B715</f>
        <v>particles</v>
      </c>
      <c r="C717" s="150">
        <f t="shared" si="624"/>
        <v>6</v>
      </c>
      <c r="D717" s="150" t="str">
        <f>D715</f>
        <v>1-10</v>
      </c>
      <c r="E717" s="150">
        <f>E715</f>
        <v>10</v>
      </c>
      <c r="F717" s="150" t="str">
        <f>F715</f>
        <v>water</v>
      </c>
      <c r="G717" s="147" t="str">
        <f t="shared" si="633"/>
        <v>HDPE particles 1-10 mm (emission to water)</v>
      </c>
      <c r="H717" s="147">
        <f>H715</f>
        <v>0</v>
      </c>
      <c r="I717" s="129">
        <v>0</v>
      </c>
      <c r="J717" s="101" t="s">
        <v>1034</v>
      </c>
      <c r="K717" s="114" t="s">
        <v>596</v>
      </c>
      <c r="L717" s="226">
        <f t="shared" si="685"/>
        <v>0</v>
      </c>
      <c r="M717" s="220">
        <f t="shared" si="687"/>
        <v>0</v>
      </c>
      <c r="N717" s="613"/>
    </row>
    <row r="718" spans="1:14" s="102" customFormat="1">
      <c r="A718" s="174" t="s">
        <v>69</v>
      </c>
      <c r="B718" s="288" t="s">
        <v>1025</v>
      </c>
      <c r="C718" s="290">
        <f t="shared" ref="C718:C720" si="689">IF(OR(B718="Folie", B718="Strips", B718="Film",B718="Flakes",B718="Coupon"), 2,IF(OR(B718="Fibers",B718="Pellets"),4,IF(OR(B718="Particles",B718="Shreds",B718="Powder",B718="Fragments",B718="Granules"),6,"")))</f>
        <v>6</v>
      </c>
      <c r="D718" s="290" t="s">
        <v>1026</v>
      </c>
      <c r="E718" s="155">
        <v>10</v>
      </c>
      <c r="F718" s="131" t="s">
        <v>1057</v>
      </c>
      <c r="G718" s="134" t="str">
        <f t="shared" ref="G718:G720" si="690">CONCATENATE(A718," ",B718," ",D718," mm (emission to ",F718,")")</f>
        <v>HDPE particles 1-10 mm (emission to air)</v>
      </c>
      <c r="H718" s="133"/>
      <c r="I718" s="137">
        <v>0.97699999999999998</v>
      </c>
      <c r="J718" s="101" t="s">
        <v>1019</v>
      </c>
      <c r="K718" s="114">
        <f>K31</f>
        <v>11.703124999999968</v>
      </c>
      <c r="L718" s="226">
        <f t="shared" ref="L718:L720" si="691">IFERROR(IF(K718="--",0,IF(E718*1000/K718*(1-0.5)^(C718/2)&gt;1000,1000,E718*1000/K718*(1-0.5)^(C718/2))),1000)</f>
        <v>106.80907877169588</v>
      </c>
      <c r="M718" s="158">
        <f>IF(L718/1000&gt;1000,1000,L718/1000)</f>
        <v>0.10680907877169588</v>
      </c>
      <c r="N718" s="610">
        <f>I718*M718+I719*M719</f>
        <v>0.10680907877169586</v>
      </c>
    </row>
    <row r="719" spans="1:14" s="102" customFormat="1">
      <c r="A719" s="172" t="str">
        <f>A718</f>
        <v>HDPE</v>
      </c>
      <c r="B719" s="149" t="str">
        <f>B718</f>
        <v>particles</v>
      </c>
      <c r="C719" s="149">
        <f t="shared" si="689"/>
        <v>6</v>
      </c>
      <c r="D719" s="149" t="str">
        <f t="shared" ref="D719:F719" si="692">D718</f>
        <v>1-10</v>
      </c>
      <c r="E719" s="149">
        <f t="shared" si="692"/>
        <v>10</v>
      </c>
      <c r="F719" s="149" t="str">
        <f t="shared" si="692"/>
        <v>air</v>
      </c>
      <c r="G719" s="146" t="str">
        <f t="shared" si="690"/>
        <v>HDPE particles 1-10 mm (emission to air)</v>
      </c>
      <c r="H719" s="146"/>
      <c r="I719" s="129">
        <v>2.3E-2</v>
      </c>
      <c r="J719" s="101" t="s">
        <v>1097</v>
      </c>
      <c r="K719" s="114">
        <f>K32</f>
        <v>11.703124999999968</v>
      </c>
      <c r="L719" s="226">
        <f t="shared" si="691"/>
        <v>106.80907877169588</v>
      </c>
      <c r="M719" s="158">
        <f>IF(L719/1000&gt;1000,1000,L719/1000)</f>
        <v>0.10680907877169588</v>
      </c>
      <c r="N719" s="610"/>
    </row>
    <row r="720" spans="1:14" s="102" customFormat="1" ht="13.5" thickBot="1">
      <c r="A720" s="173" t="str">
        <f>A719</f>
        <v>HDPE</v>
      </c>
      <c r="B720" s="150" t="str">
        <f>B719</f>
        <v>particles</v>
      </c>
      <c r="C720" s="150">
        <f t="shared" si="689"/>
        <v>6</v>
      </c>
      <c r="D720" s="150" t="str">
        <f t="shared" ref="D720:F720" si="693">D719</f>
        <v>1-10</v>
      </c>
      <c r="E720" s="150">
        <f t="shared" si="693"/>
        <v>10</v>
      </c>
      <c r="F720" s="150" t="str">
        <f t="shared" si="693"/>
        <v>air</v>
      </c>
      <c r="G720" s="147" t="str">
        <f t="shared" si="690"/>
        <v>HDPE particles 1-10 mm (emission to air)</v>
      </c>
      <c r="H720" s="147"/>
      <c r="I720" s="129">
        <v>0</v>
      </c>
      <c r="J720" s="101" t="s">
        <v>1034</v>
      </c>
      <c r="K720" s="151" t="s">
        <v>596</v>
      </c>
      <c r="L720" s="226">
        <f t="shared" si="691"/>
        <v>0</v>
      </c>
      <c r="M720" s="158">
        <f t="shared" ref="M720" si="694">IF(L720/1000&gt;1000,1000,L720/1000)</f>
        <v>0</v>
      </c>
      <c r="N720" s="610"/>
    </row>
    <row r="721" spans="1:14" s="102" customFormat="1">
      <c r="A721" s="234" t="s">
        <v>67</v>
      </c>
      <c r="B721" s="235" t="s">
        <v>996</v>
      </c>
      <c r="C721" s="236">
        <f>IF(OR(B721="Folie", B721="Strips", B721="Film",B721="Flakes",B721="Coupon"), 2,IF(OR(B721="Fibers",B721="Pellets"),4,IF(OR(B721="Particles",B721="Shreds",B721="Powder",B721="Fragments",B721="Granules"),6,"")))</f>
        <v>2</v>
      </c>
      <c r="D721" s="236" t="s">
        <v>1028</v>
      </c>
      <c r="E721" s="237">
        <v>1</v>
      </c>
      <c r="F721" s="238" t="s">
        <v>1019</v>
      </c>
      <c r="G721" s="239" t="str">
        <f t="shared" ref="G721:G727" si="695">CONCATENATE(A721," ",B721," ",D721," mm (emission to ",F721,")")</f>
        <v>LDPE film 0,1-1 mm (emission to soil)</v>
      </c>
      <c r="H721" s="239"/>
      <c r="I721" s="240">
        <v>1</v>
      </c>
      <c r="J721" s="241" t="s">
        <v>1019</v>
      </c>
      <c r="K721" s="242">
        <f>K34</f>
        <v>0</v>
      </c>
      <c r="L721" s="243">
        <f t="shared" ref="L721:L727" si="696">IFERROR(IF(K721="--",0,IF(E721*1000/K721*(1-0.5)^(C721/2)&gt;1000,1000,E721*1000/K721*(1-0.5)^(C721/2))),1000)</f>
        <v>1000</v>
      </c>
      <c r="M721" s="253">
        <f>IF(L721/1000&gt;1000,1000,L721/1000)</f>
        <v>1</v>
      </c>
      <c r="N721" s="617">
        <f>I721*M721+I722*M722</f>
        <v>1</v>
      </c>
    </row>
    <row r="722" spans="1:14" s="102" customFormat="1">
      <c r="A722" s="244" t="str">
        <f>A721</f>
        <v>LDPE</v>
      </c>
      <c r="B722" s="245" t="str">
        <f>B721</f>
        <v>film</v>
      </c>
      <c r="C722" s="245">
        <f t="shared" ref="C722:C787" si="697">IF(OR(B722="Folie", B722="Strips", B722="Film",B722="Flakes",B722="Coupon"), 2,IF(OR(B722="Fibers",B722="Pellets"),4,IF(OR(B722="Particles",B722="Shreds",B722="Powder",B722="Fragments",B722="Granules"),6,"")))</f>
        <v>2</v>
      </c>
      <c r="D722" s="245" t="str">
        <f t="shared" ref="D722:F723" si="698">D721</f>
        <v>0,1-1</v>
      </c>
      <c r="E722" s="245">
        <f t="shared" si="698"/>
        <v>1</v>
      </c>
      <c r="F722" s="245" t="str">
        <f t="shared" si="698"/>
        <v>soil</v>
      </c>
      <c r="G722" s="246" t="str">
        <f t="shared" si="695"/>
        <v>LDPE film 0,1-1 mm (emission to soil)</v>
      </c>
      <c r="H722" s="246"/>
      <c r="I722" s="240">
        <v>0</v>
      </c>
      <c r="J722" s="247" t="s">
        <v>1097</v>
      </c>
      <c r="K722" s="248">
        <f>K35</f>
        <v>0</v>
      </c>
      <c r="L722" s="243">
        <f t="shared" si="696"/>
        <v>1000</v>
      </c>
      <c r="M722" s="253">
        <f>IF(L722/1000&gt;1000,1000,L722/1000)</f>
        <v>1</v>
      </c>
      <c r="N722" s="617"/>
    </row>
    <row r="723" spans="1:14" s="102" customFormat="1">
      <c r="A723" s="249" t="str">
        <f>A722</f>
        <v>LDPE</v>
      </c>
      <c r="B723" s="250" t="str">
        <f>B722</f>
        <v>film</v>
      </c>
      <c r="C723" s="250">
        <f t="shared" si="697"/>
        <v>2</v>
      </c>
      <c r="D723" s="250" t="str">
        <f t="shared" si="698"/>
        <v>0,1-1</v>
      </c>
      <c r="E723" s="250">
        <f t="shared" si="698"/>
        <v>1</v>
      </c>
      <c r="F723" s="250" t="str">
        <f t="shared" si="698"/>
        <v>soil</v>
      </c>
      <c r="G723" s="251" t="str">
        <f t="shared" si="695"/>
        <v>LDPE film 0,1-1 mm (emission to soil)</v>
      </c>
      <c r="H723" s="251"/>
      <c r="I723" s="240">
        <v>0</v>
      </c>
      <c r="J723" s="247" t="s">
        <v>1034</v>
      </c>
      <c r="K723" s="252" t="s">
        <v>596</v>
      </c>
      <c r="L723" s="243">
        <f t="shared" si="696"/>
        <v>0</v>
      </c>
      <c r="M723" s="253">
        <f t="shared" ref="M723:M727" si="699">IF(L723/1000&gt;1000,1000,L723/1000)</f>
        <v>0</v>
      </c>
      <c r="N723" s="617"/>
    </row>
    <row r="724" spans="1:14" s="102" customFormat="1">
      <c r="A724" s="174" t="s">
        <v>67</v>
      </c>
      <c r="B724" s="186" t="s">
        <v>996</v>
      </c>
      <c r="C724" s="188">
        <f t="shared" si="697"/>
        <v>2</v>
      </c>
      <c r="D724" s="188" t="s">
        <v>1028</v>
      </c>
      <c r="E724" s="216">
        <v>1</v>
      </c>
      <c r="F724" s="131" t="s">
        <v>1020</v>
      </c>
      <c r="G724" s="134" t="str">
        <f t="shared" si="695"/>
        <v>LDPE film 0,1-1 mm (emission to water)</v>
      </c>
      <c r="H724" s="144"/>
      <c r="I724" s="129">
        <v>0</v>
      </c>
      <c r="J724" s="101" t="s">
        <v>1019</v>
      </c>
      <c r="K724" s="114">
        <f>K34</f>
        <v>0</v>
      </c>
      <c r="L724" s="226">
        <f t="shared" si="696"/>
        <v>1000</v>
      </c>
      <c r="M724" s="220">
        <f t="shared" si="699"/>
        <v>1</v>
      </c>
      <c r="N724" s="611">
        <f>I724*M724+I725*M725+I726*M726</f>
        <v>1</v>
      </c>
    </row>
    <row r="725" spans="1:14" s="102" customFormat="1">
      <c r="A725" s="172" t="str">
        <f>A724</f>
        <v>LDPE</v>
      </c>
      <c r="B725" s="149" t="str">
        <f>B724</f>
        <v>film</v>
      </c>
      <c r="C725" s="149">
        <f t="shared" si="697"/>
        <v>2</v>
      </c>
      <c r="D725" s="149" t="str">
        <f t="shared" ref="D725:F726" si="700">D724</f>
        <v>0,1-1</v>
      </c>
      <c r="E725" s="149">
        <f t="shared" si="700"/>
        <v>1</v>
      </c>
      <c r="F725" s="149" t="str">
        <f t="shared" si="700"/>
        <v>water</v>
      </c>
      <c r="G725" s="146" t="str">
        <f t="shared" si="695"/>
        <v>LDPE film 0,1-1 mm (emission to water)</v>
      </c>
      <c r="H725" s="146"/>
      <c r="I725" s="129">
        <v>1</v>
      </c>
      <c r="J725" s="101" t="s">
        <v>1097</v>
      </c>
      <c r="K725" s="114">
        <f>K35</f>
        <v>0</v>
      </c>
      <c r="L725" s="226">
        <f t="shared" si="696"/>
        <v>1000</v>
      </c>
      <c r="M725" s="220">
        <f t="shared" si="699"/>
        <v>1</v>
      </c>
      <c r="N725" s="612"/>
    </row>
    <row r="726" spans="1:14" s="102" customFormat="1">
      <c r="A726" s="172" t="str">
        <f>A725</f>
        <v>LDPE</v>
      </c>
      <c r="B726" s="149" t="str">
        <f>B725</f>
        <v>film</v>
      </c>
      <c r="C726" s="149">
        <f t="shared" si="697"/>
        <v>2</v>
      </c>
      <c r="D726" s="149" t="str">
        <f t="shared" si="700"/>
        <v>0,1-1</v>
      </c>
      <c r="E726" s="149">
        <f t="shared" si="700"/>
        <v>1</v>
      </c>
      <c r="F726" s="149" t="str">
        <f t="shared" si="700"/>
        <v>water</v>
      </c>
      <c r="G726" s="146" t="str">
        <f t="shared" si="695"/>
        <v>LDPE film 0,1-1 mm (emission to water)</v>
      </c>
      <c r="H726" s="146">
        <f>H725</f>
        <v>0</v>
      </c>
      <c r="I726" s="129">
        <v>0</v>
      </c>
      <c r="J726" s="101" t="s">
        <v>1096</v>
      </c>
      <c r="K726" s="114">
        <f>K36</f>
        <v>0.33485491071428547</v>
      </c>
      <c r="L726" s="226">
        <f t="shared" si="696"/>
        <v>1000</v>
      </c>
      <c r="M726" s="220">
        <f t="shared" si="699"/>
        <v>1</v>
      </c>
      <c r="N726" s="612"/>
    </row>
    <row r="727" spans="1:14" s="102" customFormat="1">
      <c r="A727" s="173" t="str">
        <f>A725</f>
        <v>LDPE</v>
      </c>
      <c r="B727" s="150" t="str">
        <f>B725</f>
        <v>film</v>
      </c>
      <c r="C727" s="150">
        <f t="shared" si="697"/>
        <v>2</v>
      </c>
      <c r="D727" s="150" t="str">
        <f>D725</f>
        <v>0,1-1</v>
      </c>
      <c r="E727" s="150">
        <f>E725</f>
        <v>1</v>
      </c>
      <c r="F727" s="150" t="str">
        <f>F725</f>
        <v>water</v>
      </c>
      <c r="G727" s="147" t="str">
        <f t="shared" si="695"/>
        <v>LDPE film 0,1-1 mm (emission to water)</v>
      </c>
      <c r="H727" s="147"/>
      <c r="I727" s="129">
        <v>0</v>
      </c>
      <c r="J727" s="101" t="s">
        <v>1034</v>
      </c>
      <c r="K727" s="151" t="s">
        <v>596</v>
      </c>
      <c r="L727" s="226">
        <f t="shared" si="696"/>
        <v>0</v>
      </c>
      <c r="M727" s="220">
        <f t="shared" si="699"/>
        <v>0</v>
      </c>
      <c r="N727" s="613"/>
    </row>
    <row r="728" spans="1:14" s="102" customFormat="1">
      <c r="A728" s="174" t="s">
        <v>67</v>
      </c>
      <c r="B728" s="288" t="s">
        <v>996</v>
      </c>
      <c r="C728" s="290">
        <f>IF(OR(B728="Folie", B728="Strips", B728="Film",B728="Flakes",B728="Coupon"), 2,IF(OR(B728="Fibers",B728="Pellets"),4,IF(OR(B728="Particles",B728="Shreds",B728="Powder",B728="Fragments",B728="Granules"),6,"")))</f>
        <v>2</v>
      </c>
      <c r="D728" s="290" t="s">
        <v>1028</v>
      </c>
      <c r="E728" s="155">
        <v>1</v>
      </c>
      <c r="F728" s="206" t="s">
        <v>1057</v>
      </c>
      <c r="G728" s="144" t="str">
        <f t="shared" ref="G728:G730" si="701">CONCATENATE(A728," ",B728," ",D728," mm (emission to ",F728,")")</f>
        <v>LDPE film 0,1-1 mm (emission to air)</v>
      </c>
      <c r="H728" s="144"/>
      <c r="I728" s="137">
        <v>0.97699999999999998</v>
      </c>
      <c r="J728" s="225" t="s">
        <v>1019</v>
      </c>
      <c r="K728" s="114">
        <f>K34</f>
        <v>0</v>
      </c>
      <c r="L728" s="226">
        <f t="shared" ref="L728:L730" si="702">IFERROR(IF(K728="--",0,IF(E728*1000/K728*(1-0.5)^(C728/2)&gt;1000,1000,E728*1000/K728*(1-0.5)^(C728/2))),1000)</f>
        <v>1000</v>
      </c>
      <c r="M728" s="158">
        <f>IF(L728/1000&gt;1000,1000,L728/1000)</f>
        <v>1</v>
      </c>
      <c r="N728" s="610">
        <f>I728*M728+I729*M729</f>
        <v>1</v>
      </c>
    </row>
    <row r="729" spans="1:14" s="102" customFormat="1">
      <c r="A729" s="172" t="str">
        <f>A728</f>
        <v>LDPE</v>
      </c>
      <c r="B729" s="149" t="str">
        <f>B728</f>
        <v>film</v>
      </c>
      <c r="C729" s="149">
        <f t="shared" ref="C729:C730" si="703">IF(OR(B729="Folie", B729="Strips", B729="Film",B729="Flakes",B729="Coupon"), 2,IF(OR(B729="Fibers",B729="Pellets"),4,IF(OR(B729="Particles",B729="Shreds",B729="Powder",B729="Fragments",B729="Granules"),6,"")))</f>
        <v>2</v>
      </c>
      <c r="D729" s="149" t="str">
        <f t="shared" ref="D729:F729" si="704">D728</f>
        <v>0,1-1</v>
      </c>
      <c r="E729" s="149">
        <f t="shared" si="704"/>
        <v>1</v>
      </c>
      <c r="F729" s="149" t="str">
        <f t="shared" si="704"/>
        <v>air</v>
      </c>
      <c r="G729" s="146" t="str">
        <f t="shared" si="701"/>
        <v>LDPE film 0,1-1 mm (emission to air)</v>
      </c>
      <c r="H729" s="146"/>
      <c r="I729" s="129">
        <v>2.3E-2</v>
      </c>
      <c r="J729" s="225" t="s">
        <v>1097</v>
      </c>
      <c r="K729" s="114">
        <f>K35</f>
        <v>0</v>
      </c>
      <c r="L729" s="226">
        <f t="shared" si="702"/>
        <v>1000</v>
      </c>
      <c r="M729" s="158">
        <f>IF(L729/1000&gt;1000,1000,L729/1000)</f>
        <v>1</v>
      </c>
      <c r="N729" s="610"/>
    </row>
    <row r="730" spans="1:14" s="102" customFormat="1">
      <c r="A730" s="173" t="str">
        <f>A729</f>
        <v>LDPE</v>
      </c>
      <c r="B730" s="150" t="str">
        <f>B729</f>
        <v>film</v>
      </c>
      <c r="C730" s="150">
        <f t="shared" si="703"/>
        <v>2</v>
      </c>
      <c r="D730" s="150" t="str">
        <f t="shared" ref="D730:F730" si="705">D729</f>
        <v>0,1-1</v>
      </c>
      <c r="E730" s="150">
        <f t="shared" si="705"/>
        <v>1</v>
      </c>
      <c r="F730" s="150" t="str">
        <f t="shared" si="705"/>
        <v>air</v>
      </c>
      <c r="G730" s="147" t="str">
        <f t="shared" si="701"/>
        <v>LDPE film 0,1-1 mm (emission to air)</v>
      </c>
      <c r="H730" s="147"/>
      <c r="I730" s="129">
        <v>0</v>
      </c>
      <c r="J730" s="225" t="s">
        <v>1034</v>
      </c>
      <c r="K730" s="151" t="s">
        <v>596</v>
      </c>
      <c r="L730" s="226">
        <f t="shared" si="702"/>
        <v>0</v>
      </c>
      <c r="M730" s="158">
        <f t="shared" ref="M730" si="706">IF(L730/1000&gt;1000,1000,L730/1000)</f>
        <v>0</v>
      </c>
      <c r="N730" s="610"/>
    </row>
    <row r="731" spans="1:14" s="102" customFormat="1" ht="25.5">
      <c r="A731" s="174" t="s">
        <v>67</v>
      </c>
      <c r="B731" s="159" t="s">
        <v>996</v>
      </c>
      <c r="C731" s="188">
        <f t="shared" si="697"/>
        <v>2</v>
      </c>
      <c r="D731" s="188" t="s">
        <v>1026</v>
      </c>
      <c r="E731" s="155">
        <v>10</v>
      </c>
      <c r="F731" s="131" t="s">
        <v>1019</v>
      </c>
      <c r="G731" s="134" t="str">
        <f t="shared" ref="G731:G784" si="707">CONCATENATE(A731," ",B731," ",D731," mm (emission to ",F731,")")</f>
        <v>LDPE film 1-10 mm (emission to soil)</v>
      </c>
      <c r="H731" s="157" t="s">
        <v>1049</v>
      </c>
      <c r="I731" s="129">
        <v>1</v>
      </c>
      <c r="J731" s="101" t="s">
        <v>1019</v>
      </c>
      <c r="K731" s="114">
        <f>K34</f>
        <v>0</v>
      </c>
      <c r="L731" s="226">
        <f t="shared" ref="L731:L737" si="708">IFERROR(IF(K731="--",0,IF(E731*1000/K731*(1-0.5)^(C731/2)&gt;1000,1000,E731*1000/K731*(1-0.5)^(C731/2))),1000)</f>
        <v>1000</v>
      </c>
      <c r="M731" s="158">
        <f>IF(L731/1000&gt;1000,1000,L731/1000)</f>
        <v>1</v>
      </c>
      <c r="N731" s="610">
        <f>I731*M731+I732*M732</f>
        <v>1</v>
      </c>
    </row>
    <row r="732" spans="1:14" s="102" customFormat="1" ht="11.25" customHeight="1">
      <c r="A732" s="172" t="str">
        <f>A731</f>
        <v>LDPE</v>
      </c>
      <c r="B732" s="149" t="str">
        <f>B731</f>
        <v>film</v>
      </c>
      <c r="C732" s="149">
        <f t="shared" si="697"/>
        <v>2</v>
      </c>
      <c r="D732" s="149" t="str">
        <f t="shared" ref="D732:F733" si="709">D731</f>
        <v>1-10</v>
      </c>
      <c r="E732" s="149">
        <f t="shared" si="709"/>
        <v>10</v>
      </c>
      <c r="F732" s="149" t="str">
        <f t="shared" si="709"/>
        <v>soil</v>
      </c>
      <c r="G732" s="146" t="str">
        <f t="shared" si="707"/>
        <v>LDPE film 1-10 mm (emission to soil)</v>
      </c>
      <c r="H732" s="146" t="str">
        <f>H731</f>
        <v>Fragmentierung bei Abbrucharbeiten; Abrieb von Baukunststoffen</v>
      </c>
      <c r="I732" s="129">
        <v>0</v>
      </c>
      <c r="J732" s="101" t="s">
        <v>1097</v>
      </c>
      <c r="K732" s="114">
        <f>K35</f>
        <v>0</v>
      </c>
      <c r="L732" s="226">
        <f t="shared" si="708"/>
        <v>1000</v>
      </c>
      <c r="M732" s="158">
        <f>IF(L732/1000&gt;1000,1000,L732/1000)</f>
        <v>1</v>
      </c>
      <c r="N732" s="610"/>
    </row>
    <row r="733" spans="1:14" s="102" customFormat="1" ht="11.25" customHeight="1">
      <c r="A733" s="173" t="str">
        <f>A732</f>
        <v>LDPE</v>
      </c>
      <c r="B733" s="150" t="str">
        <f>B732</f>
        <v>film</v>
      </c>
      <c r="C733" s="150">
        <f t="shared" si="697"/>
        <v>2</v>
      </c>
      <c r="D733" s="150" t="str">
        <f t="shared" si="709"/>
        <v>1-10</v>
      </c>
      <c r="E733" s="150">
        <f t="shared" si="709"/>
        <v>10</v>
      </c>
      <c r="F733" s="150" t="str">
        <f t="shared" si="709"/>
        <v>soil</v>
      </c>
      <c r="G733" s="147" t="str">
        <f t="shared" si="707"/>
        <v>LDPE film 1-10 mm (emission to soil)</v>
      </c>
      <c r="H733" s="147" t="str">
        <f>H732</f>
        <v>Fragmentierung bei Abbrucharbeiten; Abrieb von Baukunststoffen</v>
      </c>
      <c r="I733" s="129">
        <v>0</v>
      </c>
      <c r="J733" s="101" t="s">
        <v>1034</v>
      </c>
      <c r="K733" s="114" t="s">
        <v>596</v>
      </c>
      <c r="L733" s="226">
        <f t="shared" si="708"/>
        <v>0</v>
      </c>
      <c r="M733" s="158">
        <f t="shared" ref="M733:M737" si="710">IF(L733/1000&gt;1000,1000,L733/1000)</f>
        <v>0</v>
      </c>
      <c r="N733" s="610"/>
    </row>
    <row r="734" spans="1:14" s="102" customFormat="1" ht="25.5">
      <c r="A734" s="174" t="s">
        <v>67</v>
      </c>
      <c r="B734" s="159" t="s">
        <v>996</v>
      </c>
      <c r="C734" s="188">
        <f t="shared" si="697"/>
        <v>2</v>
      </c>
      <c r="D734" s="188" t="s">
        <v>1026</v>
      </c>
      <c r="E734" s="214">
        <v>10</v>
      </c>
      <c r="F734" s="131" t="s">
        <v>1020</v>
      </c>
      <c r="G734" s="134" t="str">
        <f t="shared" si="707"/>
        <v>LDPE film 1-10 mm (emission to water)</v>
      </c>
      <c r="H734" s="157" t="s">
        <v>1049</v>
      </c>
      <c r="I734" s="129">
        <v>0</v>
      </c>
      <c r="J734" s="101" t="s">
        <v>1019</v>
      </c>
      <c r="K734" s="114">
        <f>K34</f>
        <v>0</v>
      </c>
      <c r="L734" s="226">
        <f t="shared" si="708"/>
        <v>1000</v>
      </c>
      <c r="M734" s="220">
        <f t="shared" si="710"/>
        <v>1</v>
      </c>
      <c r="N734" s="611">
        <f>I734*M734+I735*M735+I736*M736</f>
        <v>1</v>
      </c>
    </row>
    <row r="735" spans="1:14" s="102" customFormat="1">
      <c r="A735" s="172" t="str">
        <f>A734</f>
        <v>LDPE</v>
      </c>
      <c r="B735" s="149" t="str">
        <f>B734</f>
        <v>film</v>
      </c>
      <c r="C735" s="149">
        <f t="shared" si="697"/>
        <v>2</v>
      </c>
      <c r="D735" s="149" t="str">
        <f t="shared" ref="D735:F736" si="711">D734</f>
        <v>1-10</v>
      </c>
      <c r="E735" s="149">
        <f t="shared" si="711"/>
        <v>10</v>
      </c>
      <c r="F735" s="149" t="str">
        <f t="shared" si="711"/>
        <v>water</v>
      </c>
      <c r="G735" s="146" t="str">
        <f t="shared" si="707"/>
        <v>LDPE film 1-10 mm (emission to water)</v>
      </c>
      <c r="H735" s="146"/>
      <c r="I735" s="129">
        <v>1</v>
      </c>
      <c r="J735" s="101" t="s">
        <v>1097</v>
      </c>
      <c r="K735" s="114">
        <f>K35</f>
        <v>0</v>
      </c>
      <c r="L735" s="226">
        <f t="shared" si="708"/>
        <v>1000</v>
      </c>
      <c r="M735" s="220">
        <f t="shared" si="710"/>
        <v>1</v>
      </c>
      <c r="N735" s="612"/>
    </row>
    <row r="736" spans="1:14" s="102" customFormat="1">
      <c r="A736" s="172" t="str">
        <f>A735</f>
        <v>LDPE</v>
      </c>
      <c r="B736" s="149" t="str">
        <f>B735</f>
        <v>film</v>
      </c>
      <c r="C736" s="149">
        <f t="shared" si="697"/>
        <v>2</v>
      </c>
      <c r="D736" s="149" t="str">
        <f t="shared" si="711"/>
        <v>1-10</v>
      </c>
      <c r="E736" s="149">
        <f t="shared" si="711"/>
        <v>10</v>
      </c>
      <c r="F736" s="149" t="str">
        <f t="shared" si="711"/>
        <v>water</v>
      </c>
      <c r="G736" s="146" t="str">
        <f t="shared" si="707"/>
        <v>LDPE film 1-10 mm (emission to water)</v>
      </c>
      <c r="H736" s="146">
        <f>H735</f>
        <v>0</v>
      </c>
      <c r="I736" s="129">
        <v>0</v>
      </c>
      <c r="J736" s="101" t="s">
        <v>1096</v>
      </c>
      <c r="K736" s="114">
        <f>K36</f>
        <v>0.33485491071428547</v>
      </c>
      <c r="L736" s="226">
        <f t="shared" si="708"/>
        <v>1000</v>
      </c>
      <c r="M736" s="220">
        <f t="shared" si="710"/>
        <v>1</v>
      </c>
      <c r="N736" s="612"/>
    </row>
    <row r="737" spans="1:14" s="102" customFormat="1">
      <c r="A737" s="173" t="str">
        <f>A735</f>
        <v>LDPE</v>
      </c>
      <c r="B737" s="150" t="str">
        <f>B735</f>
        <v>film</v>
      </c>
      <c r="C737" s="150">
        <f t="shared" si="697"/>
        <v>2</v>
      </c>
      <c r="D737" s="150" t="str">
        <f>D735</f>
        <v>1-10</v>
      </c>
      <c r="E737" s="150">
        <f>E735</f>
        <v>10</v>
      </c>
      <c r="F737" s="150" t="str">
        <f>F735</f>
        <v>water</v>
      </c>
      <c r="G737" s="147" t="str">
        <f t="shared" si="707"/>
        <v>LDPE film 1-10 mm (emission to water)</v>
      </c>
      <c r="H737" s="147"/>
      <c r="I737" s="129">
        <v>0</v>
      </c>
      <c r="J737" s="101" t="s">
        <v>1034</v>
      </c>
      <c r="K737" s="114" t="s">
        <v>596</v>
      </c>
      <c r="L737" s="226">
        <f t="shared" si="708"/>
        <v>0</v>
      </c>
      <c r="M737" s="220">
        <f t="shared" si="710"/>
        <v>0</v>
      </c>
      <c r="N737" s="613"/>
    </row>
    <row r="738" spans="1:14" s="102" customFormat="1" ht="25.5">
      <c r="A738" s="174" t="s">
        <v>67</v>
      </c>
      <c r="B738" s="159" t="s">
        <v>996</v>
      </c>
      <c r="C738" s="290">
        <f t="shared" ref="C738:C740" si="712">IF(OR(B738="Folie", B738="Strips", B738="Film",B738="Flakes",B738="Coupon"), 2,IF(OR(B738="Fibers",B738="Pellets"),4,IF(OR(B738="Particles",B738="Shreds",B738="Powder",B738="Fragments",B738="Granules"),6,"")))</f>
        <v>2</v>
      </c>
      <c r="D738" s="290" t="s">
        <v>1026</v>
      </c>
      <c r="E738" s="155">
        <v>10</v>
      </c>
      <c r="F738" s="131" t="s">
        <v>1057</v>
      </c>
      <c r="G738" s="134" t="str">
        <f t="shared" ref="G738:G740" si="713">CONCATENATE(A738," ",B738," ",D738," mm (emission to ",F738,")")</f>
        <v>LDPE film 1-10 mm (emission to air)</v>
      </c>
      <c r="H738" s="157" t="s">
        <v>1049</v>
      </c>
      <c r="I738" s="137">
        <v>0.97699999999999998</v>
      </c>
      <c r="J738" s="101" t="s">
        <v>1019</v>
      </c>
      <c r="K738" s="114">
        <f>K34</f>
        <v>0</v>
      </c>
      <c r="L738" s="226">
        <f t="shared" ref="L738:L740" si="714">IFERROR(IF(K738="--",0,IF(E738*1000/K738*(1-0.5)^(C738/2)&gt;1000,1000,E738*1000/K738*(1-0.5)^(C738/2))),1000)</f>
        <v>1000</v>
      </c>
      <c r="M738" s="158">
        <f>IF(L738/1000&gt;1000,1000,L738/1000)</f>
        <v>1</v>
      </c>
      <c r="N738" s="610">
        <f>I738*M738+I739*M739</f>
        <v>1</v>
      </c>
    </row>
    <row r="739" spans="1:14" s="102" customFormat="1" ht="15" customHeight="1">
      <c r="A739" s="172" t="str">
        <f>A738</f>
        <v>LDPE</v>
      </c>
      <c r="B739" s="149" t="str">
        <f>B738</f>
        <v>film</v>
      </c>
      <c r="C739" s="149">
        <f t="shared" si="712"/>
        <v>2</v>
      </c>
      <c r="D739" s="149" t="str">
        <f t="shared" ref="D739:F739" si="715">D738</f>
        <v>1-10</v>
      </c>
      <c r="E739" s="149">
        <f t="shared" si="715"/>
        <v>10</v>
      </c>
      <c r="F739" s="149" t="str">
        <f t="shared" si="715"/>
        <v>air</v>
      </c>
      <c r="G739" s="146" t="str">
        <f t="shared" si="713"/>
        <v>LDPE film 1-10 mm (emission to air)</v>
      </c>
      <c r="H739" s="146" t="str">
        <f>H738</f>
        <v>Fragmentierung bei Abbrucharbeiten; Abrieb von Baukunststoffen</v>
      </c>
      <c r="I739" s="129">
        <v>2.3E-2</v>
      </c>
      <c r="J739" s="101" t="s">
        <v>1097</v>
      </c>
      <c r="K739" s="114">
        <f>K35</f>
        <v>0</v>
      </c>
      <c r="L739" s="226">
        <f t="shared" si="714"/>
        <v>1000</v>
      </c>
      <c r="M739" s="158">
        <f>IF(L739/1000&gt;1000,1000,L739/1000)</f>
        <v>1</v>
      </c>
      <c r="N739" s="610"/>
    </row>
    <row r="740" spans="1:14" s="102" customFormat="1" ht="15" customHeight="1">
      <c r="A740" s="173" t="str">
        <f>A739</f>
        <v>LDPE</v>
      </c>
      <c r="B740" s="150" t="str">
        <f>B739</f>
        <v>film</v>
      </c>
      <c r="C740" s="150">
        <f t="shared" si="712"/>
        <v>2</v>
      </c>
      <c r="D740" s="150" t="str">
        <f t="shared" ref="D740:F740" si="716">D739</f>
        <v>1-10</v>
      </c>
      <c r="E740" s="150">
        <f t="shared" si="716"/>
        <v>10</v>
      </c>
      <c r="F740" s="150" t="str">
        <f t="shared" si="716"/>
        <v>air</v>
      </c>
      <c r="G740" s="147" t="str">
        <f t="shared" si="713"/>
        <v>LDPE film 1-10 mm (emission to air)</v>
      </c>
      <c r="H740" s="147" t="str">
        <f>H739</f>
        <v>Fragmentierung bei Abbrucharbeiten; Abrieb von Baukunststoffen</v>
      </c>
      <c r="I740" s="129">
        <v>0</v>
      </c>
      <c r="J740" s="101" t="s">
        <v>1034</v>
      </c>
      <c r="K740" s="114" t="s">
        <v>596</v>
      </c>
      <c r="L740" s="226">
        <f t="shared" si="714"/>
        <v>0</v>
      </c>
      <c r="M740" s="158">
        <f t="shared" ref="M740" si="717">IF(L740/1000&gt;1000,1000,L740/1000)</f>
        <v>0</v>
      </c>
      <c r="N740" s="610"/>
    </row>
    <row r="741" spans="1:14" s="102" customFormat="1">
      <c r="A741" s="174" t="s">
        <v>67</v>
      </c>
      <c r="B741" s="159" t="s">
        <v>1051</v>
      </c>
      <c r="C741" s="188">
        <f t="shared" si="697"/>
        <v>4</v>
      </c>
      <c r="D741" s="188" t="s">
        <v>1028</v>
      </c>
      <c r="E741" s="155">
        <v>1</v>
      </c>
      <c r="F741" s="131" t="s">
        <v>1019</v>
      </c>
      <c r="G741" s="134" t="str">
        <f t="shared" si="707"/>
        <v>LDPE fibers 0,1-1 mm (emission to soil)</v>
      </c>
      <c r="H741" s="193"/>
      <c r="I741" s="129">
        <v>1</v>
      </c>
      <c r="J741" s="101" t="s">
        <v>1019</v>
      </c>
      <c r="K741" s="114">
        <f>K34</f>
        <v>0</v>
      </c>
      <c r="L741" s="226">
        <f t="shared" ref="L741:L747" si="718">IFERROR(IF(K741="--",0,IF(E741*1000/K741*(1-0.5)^(C741/2)&gt;1000,1000,E741*1000/K741*(1-0.5)^(C741/2))),1000)</f>
        <v>1000</v>
      </c>
      <c r="M741" s="158">
        <f>IF(L741/1000&gt;1000,1000,L741/1000)</f>
        <v>1</v>
      </c>
      <c r="N741" s="610">
        <f>I741*M741+I742*M742</f>
        <v>1</v>
      </c>
    </row>
    <row r="742" spans="1:14" s="102" customFormat="1">
      <c r="A742" s="172" t="str">
        <f>A741</f>
        <v>LDPE</v>
      </c>
      <c r="B742" s="149" t="str">
        <f>B741</f>
        <v>fibers</v>
      </c>
      <c r="C742" s="149">
        <f t="shared" si="697"/>
        <v>4</v>
      </c>
      <c r="D742" s="149" t="str">
        <f t="shared" ref="D742:F743" si="719">D741</f>
        <v>0,1-1</v>
      </c>
      <c r="E742" s="149">
        <f t="shared" si="719"/>
        <v>1</v>
      </c>
      <c r="F742" s="149" t="str">
        <f t="shared" si="719"/>
        <v>soil</v>
      </c>
      <c r="G742" s="146" t="str">
        <f t="shared" si="707"/>
        <v>LDPE fibers 0,1-1 mm (emission to soil)</v>
      </c>
      <c r="H742" s="146"/>
      <c r="I742" s="129">
        <v>0</v>
      </c>
      <c r="J742" s="101" t="s">
        <v>1097</v>
      </c>
      <c r="K742" s="114">
        <f>K35</f>
        <v>0</v>
      </c>
      <c r="L742" s="226">
        <f t="shared" si="718"/>
        <v>1000</v>
      </c>
      <c r="M742" s="158">
        <f>IF(L742/1000&gt;1000,1000,L742/1000)</f>
        <v>1</v>
      </c>
      <c r="N742" s="610"/>
    </row>
    <row r="743" spans="1:14" s="102" customFormat="1">
      <c r="A743" s="173" t="str">
        <f>A742</f>
        <v>LDPE</v>
      </c>
      <c r="B743" s="150" t="str">
        <f>B742</f>
        <v>fibers</v>
      </c>
      <c r="C743" s="150">
        <f t="shared" si="697"/>
        <v>4</v>
      </c>
      <c r="D743" s="150" t="str">
        <f t="shared" si="719"/>
        <v>0,1-1</v>
      </c>
      <c r="E743" s="150">
        <f t="shared" si="719"/>
        <v>1</v>
      </c>
      <c r="F743" s="150" t="str">
        <f t="shared" si="719"/>
        <v>soil</v>
      </c>
      <c r="G743" s="147" t="str">
        <f t="shared" si="707"/>
        <v>LDPE fibers 0,1-1 mm (emission to soil)</v>
      </c>
      <c r="H743" s="146"/>
      <c r="I743" s="129">
        <v>0</v>
      </c>
      <c r="J743" s="101" t="s">
        <v>1034</v>
      </c>
      <c r="K743" s="151" t="s">
        <v>596</v>
      </c>
      <c r="L743" s="226">
        <f t="shared" si="718"/>
        <v>0</v>
      </c>
      <c r="M743" s="158">
        <f t="shared" ref="M743:M747" si="720">IF(L743/1000&gt;1000,1000,L743/1000)</f>
        <v>0</v>
      </c>
      <c r="N743" s="610"/>
    </row>
    <row r="744" spans="1:14" s="102" customFormat="1">
      <c r="A744" s="174" t="s">
        <v>67</v>
      </c>
      <c r="B744" s="159" t="s">
        <v>1051</v>
      </c>
      <c r="C744" s="188">
        <f t="shared" si="697"/>
        <v>4</v>
      </c>
      <c r="D744" s="188" t="s">
        <v>1028</v>
      </c>
      <c r="E744" s="216">
        <v>1</v>
      </c>
      <c r="F744" s="131" t="s">
        <v>1020</v>
      </c>
      <c r="G744" s="134" t="str">
        <f t="shared" si="707"/>
        <v>LDPE fibers 0,1-1 mm (emission to water)</v>
      </c>
      <c r="H744" s="192"/>
      <c r="I744" s="129">
        <v>0</v>
      </c>
      <c r="J744" s="101" t="s">
        <v>1019</v>
      </c>
      <c r="K744" s="114">
        <f>K34</f>
        <v>0</v>
      </c>
      <c r="L744" s="226">
        <f t="shared" si="718"/>
        <v>1000</v>
      </c>
      <c r="M744" s="220">
        <f t="shared" si="720"/>
        <v>1</v>
      </c>
      <c r="N744" s="611">
        <f>I744*M744+I745*M745+I746*M746</f>
        <v>1</v>
      </c>
    </row>
    <row r="745" spans="1:14" s="102" customFormat="1">
      <c r="A745" s="172" t="str">
        <f>A744</f>
        <v>LDPE</v>
      </c>
      <c r="B745" s="149" t="str">
        <f>B744</f>
        <v>fibers</v>
      </c>
      <c r="C745" s="149">
        <f t="shared" si="697"/>
        <v>4</v>
      </c>
      <c r="D745" s="149" t="str">
        <f t="shared" ref="D745:F746" si="721">D744</f>
        <v>0,1-1</v>
      </c>
      <c r="E745" s="149">
        <f t="shared" si="721"/>
        <v>1</v>
      </c>
      <c r="F745" s="149" t="str">
        <f t="shared" si="721"/>
        <v>water</v>
      </c>
      <c r="G745" s="146" t="str">
        <f t="shared" si="707"/>
        <v>LDPE fibers 0,1-1 mm (emission to water)</v>
      </c>
      <c r="H745" s="146"/>
      <c r="I745" s="129">
        <v>1</v>
      </c>
      <c r="J745" s="101" t="s">
        <v>1097</v>
      </c>
      <c r="K745" s="114">
        <f>K35</f>
        <v>0</v>
      </c>
      <c r="L745" s="226">
        <f t="shared" si="718"/>
        <v>1000</v>
      </c>
      <c r="M745" s="220">
        <f t="shared" si="720"/>
        <v>1</v>
      </c>
      <c r="N745" s="612"/>
    </row>
    <row r="746" spans="1:14" s="102" customFormat="1">
      <c r="A746" s="172" t="str">
        <f>A745</f>
        <v>LDPE</v>
      </c>
      <c r="B746" s="149" t="str">
        <f>B745</f>
        <v>fibers</v>
      </c>
      <c r="C746" s="149">
        <f t="shared" si="697"/>
        <v>4</v>
      </c>
      <c r="D746" s="149" t="str">
        <f t="shared" si="721"/>
        <v>0,1-1</v>
      </c>
      <c r="E746" s="149">
        <f t="shared" si="721"/>
        <v>1</v>
      </c>
      <c r="F746" s="149" t="str">
        <f t="shared" si="721"/>
        <v>water</v>
      </c>
      <c r="G746" s="146" t="str">
        <f t="shared" si="707"/>
        <v>LDPE fibers 0,1-1 mm (emission to water)</v>
      </c>
      <c r="H746" s="146">
        <f>H745</f>
        <v>0</v>
      </c>
      <c r="I746" s="129">
        <v>0</v>
      </c>
      <c r="J746" s="101" t="s">
        <v>1096</v>
      </c>
      <c r="K746" s="114">
        <f>K36</f>
        <v>0.33485491071428547</v>
      </c>
      <c r="L746" s="226">
        <f t="shared" si="718"/>
        <v>746.59200746592057</v>
      </c>
      <c r="M746" s="220">
        <f t="shared" si="720"/>
        <v>0.74659200746592058</v>
      </c>
      <c r="N746" s="612"/>
    </row>
    <row r="747" spans="1:14" s="102" customFormat="1" ht="13.5" customHeight="1">
      <c r="A747" s="173" t="str">
        <f>A745</f>
        <v>LDPE</v>
      </c>
      <c r="B747" s="150" t="str">
        <f>B745</f>
        <v>fibers</v>
      </c>
      <c r="C747" s="150">
        <f t="shared" si="697"/>
        <v>4</v>
      </c>
      <c r="D747" s="150" t="str">
        <f>D745</f>
        <v>0,1-1</v>
      </c>
      <c r="E747" s="150">
        <f>E745</f>
        <v>1</v>
      </c>
      <c r="F747" s="150" t="str">
        <f>F745</f>
        <v>water</v>
      </c>
      <c r="G747" s="147" t="str">
        <f t="shared" si="707"/>
        <v>LDPE fibers 0,1-1 mm (emission to water)</v>
      </c>
      <c r="H747" s="147"/>
      <c r="I747" s="129">
        <v>0</v>
      </c>
      <c r="J747" s="101" t="s">
        <v>1034</v>
      </c>
      <c r="K747" s="114" t="s">
        <v>596</v>
      </c>
      <c r="L747" s="226">
        <f t="shared" si="718"/>
        <v>0</v>
      </c>
      <c r="M747" s="220">
        <f t="shared" si="720"/>
        <v>0</v>
      </c>
      <c r="N747" s="613"/>
    </row>
    <row r="748" spans="1:14" s="102" customFormat="1" ht="13.5" customHeight="1">
      <c r="A748" s="174" t="s">
        <v>67</v>
      </c>
      <c r="B748" s="159" t="s">
        <v>1051</v>
      </c>
      <c r="C748" s="290">
        <f t="shared" ref="C748:C750" si="722">IF(OR(B748="Folie", B748="Strips", B748="Film",B748="Flakes",B748="Coupon"), 2,IF(OR(B748="Fibers",B748="Pellets"),4,IF(OR(B748="Particles",B748="Shreds",B748="Powder",B748="Fragments",B748="Granules"),6,"")))</f>
        <v>4</v>
      </c>
      <c r="D748" s="290" t="s">
        <v>1028</v>
      </c>
      <c r="E748" s="155">
        <v>1</v>
      </c>
      <c r="F748" s="131" t="s">
        <v>1057</v>
      </c>
      <c r="G748" s="134" t="str">
        <f t="shared" ref="G748:G750" si="723">CONCATENATE(A748," ",B748," ",D748," mm (emission to ",F748,")")</f>
        <v>LDPE fibers 0,1-1 mm (emission to air)</v>
      </c>
      <c r="H748" s="192"/>
      <c r="I748" s="137">
        <v>0.97699999999999998</v>
      </c>
      <c r="J748" s="101" t="s">
        <v>1019</v>
      </c>
      <c r="K748" s="114">
        <f>K34</f>
        <v>0</v>
      </c>
      <c r="L748" s="226">
        <f t="shared" ref="L748:L750" si="724">IFERROR(IF(K748="--",0,IF(E748*1000/K748*(1-0.5)^(C748/2)&gt;1000,1000,E748*1000/K748*(1-0.5)^(C748/2))),1000)</f>
        <v>1000</v>
      </c>
      <c r="M748" s="158">
        <f>IF(L748/1000&gt;1000,1000,L748/1000)</f>
        <v>1</v>
      </c>
      <c r="N748" s="610">
        <f>I748*M748+I749*M749</f>
        <v>1</v>
      </c>
    </row>
    <row r="749" spans="1:14" s="102" customFormat="1" ht="13.5" customHeight="1">
      <c r="A749" s="172" t="str">
        <f>A748</f>
        <v>LDPE</v>
      </c>
      <c r="B749" s="149" t="str">
        <f>B748</f>
        <v>fibers</v>
      </c>
      <c r="C749" s="149">
        <f t="shared" si="722"/>
        <v>4</v>
      </c>
      <c r="D749" s="149" t="str">
        <f t="shared" ref="D749:F749" si="725">D748</f>
        <v>0,1-1</v>
      </c>
      <c r="E749" s="149">
        <f t="shared" si="725"/>
        <v>1</v>
      </c>
      <c r="F749" s="149" t="str">
        <f t="shared" si="725"/>
        <v>air</v>
      </c>
      <c r="G749" s="146" t="str">
        <f t="shared" si="723"/>
        <v>LDPE fibers 0,1-1 mm (emission to air)</v>
      </c>
      <c r="H749" s="146"/>
      <c r="I749" s="129">
        <v>2.3E-2</v>
      </c>
      <c r="J749" s="101" t="s">
        <v>1097</v>
      </c>
      <c r="K749" s="114">
        <f>K35</f>
        <v>0</v>
      </c>
      <c r="L749" s="226">
        <f t="shared" si="724"/>
        <v>1000</v>
      </c>
      <c r="M749" s="158">
        <f>IF(L749/1000&gt;1000,1000,L749/1000)</f>
        <v>1</v>
      </c>
      <c r="N749" s="610"/>
    </row>
    <row r="750" spans="1:14" s="102" customFormat="1" ht="13.5" customHeight="1">
      <c r="A750" s="173" t="str">
        <f>A749</f>
        <v>LDPE</v>
      </c>
      <c r="B750" s="150" t="str">
        <f>B749</f>
        <v>fibers</v>
      </c>
      <c r="C750" s="150">
        <f t="shared" si="722"/>
        <v>4</v>
      </c>
      <c r="D750" s="150" t="str">
        <f t="shared" ref="D750:F750" si="726">D749</f>
        <v>0,1-1</v>
      </c>
      <c r="E750" s="150">
        <f t="shared" si="726"/>
        <v>1</v>
      </c>
      <c r="F750" s="150" t="str">
        <f t="shared" si="726"/>
        <v>air</v>
      </c>
      <c r="G750" s="147" t="str">
        <f t="shared" si="723"/>
        <v>LDPE fibers 0,1-1 mm (emission to air)</v>
      </c>
      <c r="H750" s="146"/>
      <c r="I750" s="129">
        <v>0</v>
      </c>
      <c r="J750" s="101" t="s">
        <v>1034</v>
      </c>
      <c r="K750" s="151" t="s">
        <v>596</v>
      </c>
      <c r="L750" s="226">
        <f t="shared" si="724"/>
        <v>0</v>
      </c>
      <c r="M750" s="158">
        <f t="shared" ref="M750" si="727">IF(L750/1000&gt;1000,1000,L750/1000)</f>
        <v>0</v>
      </c>
      <c r="N750" s="610"/>
    </row>
    <row r="751" spans="1:14" s="135" customFormat="1">
      <c r="A751" s="174" t="s">
        <v>67</v>
      </c>
      <c r="B751" s="185" t="s">
        <v>372</v>
      </c>
      <c r="C751" s="140">
        <f t="shared" si="697"/>
        <v>4</v>
      </c>
      <c r="D751" s="153" t="s">
        <v>1026</v>
      </c>
      <c r="E751" s="155">
        <v>10</v>
      </c>
      <c r="F751" s="154" t="s">
        <v>1019</v>
      </c>
      <c r="G751" s="134" t="str">
        <f t="shared" si="707"/>
        <v>LDPE pellets 1-10 mm (emission to soil)</v>
      </c>
      <c r="H751" s="148"/>
      <c r="I751" s="129">
        <v>1</v>
      </c>
      <c r="J751" s="101" t="s">
        <v>1019</v>
      </c>
      <c r="K751" s="114">
        <f>K34</f>
        <v>0</v>
      </c>
      <c r="L751" s="226">
        <f t="shared" ref="L751:L757" si="728">IFERROR(IF(K751="--",0,IF(E751*1000/K751*(1-0.5)^(C751/2)&gt;1000,1000,E751*1000/K751*(1-0.5)^(C751/2))),1000)</f>
        <v>1000</v>
      </c>
      <c r="M751" s="158">
        <f>IF(L751/1000&gt;1000,1000,L751/1000)</f>
        <v>1</v>
      </c>
      <c r="N751" s="610">
        <f>I751*M751+I752*M752</f>
        <v>1</v>
      </c>
    </row>
    <row r="752" spans="1:14" s="102" customFormat="1">
      <c r="A752" s="172" t="str">
        <f>A751</f>
        <v>LDPE</v>
      </c>
      <c r="B752" s="149" t="str">
        <f>B751</f>
        <v>pellets</v>
      </c>
      <c r="C752" s="149">
        <f t="shared" si="697"/>
        <v>4</v>
      </c>
      <c r="D752" s="149" t="str">
        <f t="shared" ref="D752:F753" si="729">D751</f>
        <v>1-10</v>
      </c>
      <c r="E752" s="149">
        <f t="shared" si="729"/>
        <v>10</v>
      </c>
      <c r="F752" s="149" t="str">
        <f t="shared" si="729"/>
        <v>soil</v>
      </c>
      <c r="G752" s="146" t="str">
        <f t="shared" si="707"/>
        <v>LDPE pellets 1-10 mm (emission to soil)</v>
      </c>
      <c r="H752" s="146"/>
      <c r="I752" s="129">
        <v>0</v>
      </c>
      <c r="J752" s="101" t="s">
        <v>1097</v>
      </c>
      <c r="K752" s="114">
        <f>K35</f>
        <v>0</v>
      </c>
      <c r="L752" s="226">
        <f t="shared" si="728"/>
        <v>1000</v>
      </c>
      <c r="M752" s="158">
        <f>IF(L752/1000&gt;1000,1000,L752/1000)</f>
        <v>1</v>
      </c>
      <c r="N752" s="610"/>
    </row>
    <row r="753" spans="1:14" s="102" customFormat="1">
      <c r="A753" s="173" t="str">
        <f>A752</f>
        <v>LDPE</v>
      </c>
      <c r="B753" s="150" t="str">
        <f>B752</f>
        <v>pellets</v>
      </c>
      <c r="C753" s="150">
        <f t="shared" si="697"/>
        <v>4</v>
      </c>
      <c r="D753" s="150" t="str">
        <f t="shared" si="729"/>
        <v>1-10</v>
      </c>
      <c r="E753" s="150">
        <f t="shared" si="729"/>
        <v>10</v>
      </c>
      <c r="F753" s="150" t="str">
        <f t="shared" si="729"/>
        <v>soil</v>
      </c>
      <c r="G753" s="147" t="str">
        <f t="shared" si="707"/>
        <v>LDPE pellets 1-10 mm (emission to soil)</v>
      </c>
      <c r="H753" s="147">
        <f>H752</f>
        <v>0</v>
      </c>
      <c r="I753" s="129">
        <v>0</v>
      </c>
      <c r="J753" s="101" t="s">
        <v>1034</v>
      </c>
      <c r="K753" s="114" t="s">
        <v>596</v>
      </c>
      <c r="L753" s="226">
        <f t="shared" si="728"/>
        <v>0</v>
      </c>
      <c r="M753" s="158">
        <f t="shared" ref="M753:M757" si="730">IF(L753/1000&gt;1000,1000,L753/1000)</f>
        <v>0</v>
      </c>
      <c r="N753" s="610"/>
    </row>
    <row r="754" spans="1:14" s="102" customFormat="1">
      <c r="A754" s="174" t="s">
        <v>67</v>
      </c>
      <c r="B754" s="155" t="s">
        <v>372</v>
      </c>
      <c r="C754" s="188">
        <f t="shared" si="697"/>
        <v>4</v>
      </c>
      <c r="D754" s="153" t="s">
        <v>1026</v>
      </c>
      <c r="E754" s="214">
        <v>10</v>
      </c>
      <c r="F754" s="154" t="s">
        <v>1020</v>
      </c>
      <c r="G754" s="134" t="str">
        <f t="shared" si="707"/>
        <v>LDPE pellets 1-10 mm (emission to water)</v>
      </c>
      <c r="H754" s="148"/>
      <c r="I754" s="129">
        <v>0</v>
      </c>
      <c r="J754" s="101" t="s">
        <v>1019</v>
      </c>
      <c r="K754" s="114">
        <f>K34</f>
        <v>0</v>
      </c>
      <c r="L754" s="226">
        <f t="shared" si="728"/>
        <v>1000</v>
      </c>
      <c r="M754" s="220">
        <f t="shared" si="730"/>
        <v>1</v>
      </c>
      <c r="N754" s="611">
        <f>I754*M754+I755*M755+I756*M756</f>
        <v>1</v>
      </c>
    </row>
    <row r="755" spans="1:14" s="102" customFormat="1">
      <c r="A755" s="172" t="str">
        <f>A754</f>
        <v>LDPE</v>
      </c>
      <c r="B755" s="149" t="str">
        <f>B754</f>
        <v>pellets</v>
      </c>
      <c r="C755" s="149">
        <f t="shared" si="697"/>
        <v>4</v>
      </c>
      <c r="D755" s="149" t="str">
        <f t="shared" ref="D755:F756" si="731">D754</f>
        <v>1-10</v>
      </c>
      <c r="E755" s="149">
        <f t="shared" si="731"/>
        <v>10</v>
      </c>
      <c r="F755" s="149" t="str">
        <f t="shared" si="731"/>
        <v>water</v>
      </c>
      <c r="G755" s="146" t="str">
        <f t="shared" si="707"/>
        <v>LDPE pellets 1-10 mm (emission to water)</v>
      </c>
      <c r="H755" s="146"/>
      <c r="I755" s="129">
        <v>1</v>
      </c>
      <c r="J755" s="101" t="s">
        <v>1097</v>
      </c>
      <c r="K755" s="114">
        <f>K35</f>
        <v>0</v>
      </c>
      <c r="L755" s="226">
        <f t="shared" si="728"/>
        <v>1000</v>
      </c>
      <c r="M755" s="220">
        <f t="shared" si="730"/>
        <v>1</v>
      </c>
      <c r="N755" s="612"/>
    </row>
    <row r="756" spans="1:14" s="102" customFormat="1">
      <c r="A756" s="172" t="str">
        <f>A755</f>
        <v>LDPE</v>
      </c>
      <c r="B756" s="149" t="str">
        <f>B755</f>
        <v>pellets</v>
      </c>
      <c r="C756" s="149">
        <f t="shared" si="697"/>
        <v>4</v>
      </c>
      <c r="D756" s="149" t="str">
        <f t="shared" si="731"/>
        <v>1-10</v>
      </c>
      <c r="E756" s="149">
        <f t="shared" si="731"/>
        <v>10</v>
      </c>
      <c r="F756" s="149" t="str">
        <f t="shared" si="731"/>
        <v>water</v>
      </c>
      <c r="G756" s="146" t="str">
        <f t="shared" si="707"/>
        <v>LDPE pellets 1-10 mm (emission to water)</v>
      </c>
      <c r="H756" s="146">
        <f>H755</f>
        <v>0</v>
      </c>
      <c r="I756" s="129">
        <v>0</v>
      </c>
      <c r="J756" s="101" t="s">
        <v>1096</v>
      </c>
      <c r="K756" s="114">
        <f>K36</f>
        <v>0.33485491071428547</v>
      </c>
      <c r="L756" s="226">
        <f t="shared" si="728"/>
        <v>1000</v>
      </c>
      <c r="M756" s="220">
        <f t="shared" si="730"/>
        <v>1</v>
      </c>
      <c r="N756" s="612"/>
    </row>
    <row r="757" spans="1:14" s="102" customFormat="1">
      <c r="A757" s="173" t="str">
        <f>A755</f>
        <v>LDPE</v>
      </c>
      <c r="B757" s="150" t="str">
        <f>B755</f>
        <v>pellets</v>
      </c>
      <c r="C757" s="150">
        <f t="shared" si="697"/>
        <v>4</v>
      </c>
      <c r="D757" s="150" t="str">
        <f>D755</f>
        <v>1-10</v>
      </c>
      <c r="E757" s="150">
        <f>E755</f>
        <v>10</v>
      </c>
      <c r="F757" s="150" t="str">
        <f>F755</f>
        <v>water</v>
      </c>
      <c r="G757" s="147" t="str">
        <f t="shared" si="707"/>
        <v>LDPE pellets 1-10 mm (emission to water)</v>
      </c>
      <c r="H757" s="147"/>
      <c r="I757" s="129">
        <v>0</v>
      </c>
      <c r="J757" s="101" t="s">
        <v>1034</v>
      </c>
      <c r="K757" s="114" t="s">
        <v>596</v>
      </c>
      <c r="L757" s="226">
        <f t="shared" si="728"/>
        <v>0</v>
      </c>
      <c r="M757" s="220">
        <f t="shared" si="730"/>
        <v>0</v>
      </c>
      <c r="N757" s="613"/>
    </row>
    <row r="758" spans="1:14" s="102" customFormat="1">
      <c r="A758" s="174" t="s">
        <v>67</v>
      </c>
      <c r="B758" s="287" t="s">
        <v>372</v>
      </c>
      <c r="C758" s="140">
        <f t="shared" ref="C758:C760" si="732">IF(OR(B758="Folie", B758="Strips", B758="Film",B758="Flakes",B758="Coupon"), 2,IF(OR(B758="Fibers",B758="Pellets"),4,IF(OR(B758="Particles",B758="Shreds",B758="Powder",B758="Fragments",B758="Granules"),6,"")))</f>
        <v>4</v>
      </c>
      <c r="D758" s="153" t="s">
        <v>1026</v>
      </c>
      <c r="E758" s="155">
        <v>10</v>
      </c>
      <c r="F758" s="154" t="s">
        <v>1057</v>
      </c>
      <c r="G758" s="134" t="str">
        <f t="shared" ref="G758:G760" si="733">CONCATENATE(A758," ",B758," ",D758," mm (emission to ",F758,")")</f>
        <v>LDPE pellets 1-10 mm (emission to air)</v>
      </c>
      <c r="H758" s="148"/>
      <c r="I758" s="137">
        <v>0.97699999999999998</v>
      </c>
      <c r="J758" s="101" t="s">
        <v>1019</v>
      </c>
      <c r="K758" s="114">
        <f>K34</f>
        <v>0</v>
      </c>
      <c r="L758" s="226">
        <f t="shared" ref="L758:L760" si="734">IFERROR(IF(K758="--",0,IF(E758*1000/K758*(1-0.5)^(C758/2)&gt;1000,1000,E758*1000/K758*(1-0.5)^(C758/2))),1000)</f>
        <v>1000</v>
      </c>
      <c r="M758" s="158">
        <f>IF(L758/1000&gt;1000,1000,L758/1000)</f>
        <v>1</v>
      </c>
      <c r="N758" s="610">
        <f>I758*M758+I759*M759</f>
        <v>1</v>
      </c>
    </row>
    <row r="759" spans="1:14" s="102" customFormat="1">
      <c r="A759" s="172" t="str">
        <f>A758</f>
        <v>LDPE</v>
      </c>
      <c r="B759" s="149" t="str">
        <f>B758</f>
        <v>pellets</v>
      </c>
      <c r="C759" s="149">
        <f t="shared" si="732"/>
        <v>4</v>
      </c>
      <c r="D759" s="149" t="str">
        <f t="shared" ref="D759:F759" si="735">D758</f>
        <v>1-10</v>
      </c>
      <c r="E759" s="149">
        <f t="shared" si="735"/>
        <v>10</v>
      </c>
      <c r="F759" s="149" t="str">
        <f t="shared" si="735"/>
        <v>air</v>
      </c>
      <c r="G759" s="146" t="str">
        <f t="shared" si="733"/>
        <v>LDPE pellets 1-10 mm (emission to air)</v>
      </c>
      <c r="H759" s="146"/>
      <c r="I759" s="129">
        <v>2.3E-2</v>
      </c>
      <c r="J759" s="101" t="s">
        <v>1097</v>
      </c>
      <c r="K759" s="114">
        <f>K35</f>
        <v>0</v>
      </c>
      <c r="L759" s="226">
        <f t="shared" si="734"/>
        <v>1000</v>
      </c>
      <c r="M759" s="158">
        <f>IF(L759/1000&gt;1000,1000,L759/1000)</f>
        <v>1</v>
      </c>
      <c r="N759" s="610"/>
    </row>
    <row r="760" spans="1:14" s="102" customFormat="1">
      <c r="A760" s="173" t="str">
        <f>A759</f>
        <v>LDPE</v>
      </c>
      <c r="B760" s="150" t="str">
        <f>B759</f>
        <v>pellets</v>
      </c>
      <c r="C760" s="150">
        <f t="shared" si="732"/>
        <v>4</v>
      </c>
      <c r="D760" s="150" t="str">
        <f t="shared" ref="D760:F760" si="736">D759</f>
        <v>1-10</v>
      </c>
      <c r="E760" s="150">
        <f t="shared" si="736"/>
        <v>10</v>
      </c>
      <c r="F760" s="150" t="str">
        <f t="shared" si="736"/>
        <v>air</v>
      </c>
      <c r="G760" s="147" t="str">
        <f t="shared" si="733"/>
        <v>LDPE pellets 1-10 mm (emission to air)</v>
      </c>
      <c r="H760" s="147">
        <f>H759</f>
        <v>0</v>
      </c>
      <c r="I760" s="129">
        <v>0</v>
      </c>
      <c r="J760" s="101" t="s">
        <v>1034</v>
      </c>
      <c r="K760" s="114" t="s">
        <v>596</v>
      </c>
      <c r="L760" s="226">
        <f t="shared" si="734"/>
        <v>0</v>
      </c>
      <c r="M760" s="158">
        <f t="shared" ref="M760" si="737">IF(L760/1000&gt;1000,1000,L760/1000)</f>
        <v>0</v>
      </c>
      <c r="N760" s="610"/>
    </row>
    <row r="761" spans="1:14" s="102" customFormat="1">
      <c r="A761" s="174" t="s">
        <v>67</v>
      </c>
      <c r="B761" s="186" t="s">
        <v>1025</v>
      </c>
      <c r="C761" s="188">
        <f t="shared" si="697"/>
        <v>6</v>
      </c>
      <c r="D761" s="188" t="s">
        <v>1018</v>
      </c>
      <c r="E761" s="155">
        <v>0.1</v>
      </c>
      <c r="F761" s="131" t="s">
        <v>1019</v>
      </c>
      <c r="G761" s="134" t="str">
        <f t="shared" si="707"/>
        <v>LDPE particles 0,01-0,1 mm (emission to soil)</v>
      </c>
      <c r="H761" s="133"/>
      <c r="I761" s="129">
        <v>1</v>
      </c>
      <c r="J761" s="101" t="s">
        <v>1019</v>
      </c>
      <c r="K761" s="114">
        <f>K34</f>
        <v>0</v>
      </c>
      <c r="L761" s="226">
        <f t="shared" ref="L761:L767" si="738">IFERROR(IF(K761="--",0,IF(E761*1000/K761*(1-0.5)^(C761/2)&gt;1000,1000,E761*1000/K761*(1-0.5)^(C761/2))),1000)</f>
        <v>1000</v>
      </c>
      <c r="M761" s="158">
        <f>IF(L761/1000&gt;1000,1000,L761/1000)</f>
        <v>1</v>
      </c>
      <c r="N761" s="610">
        <f>I761*M761+I762*M762</f>
        <v>1</v>
      </c>
    </row>
    <row r="762" spans="1:14" s="102" customFormat="1">
      <c r="A762" s="172" t="str">
        <f>A761</f>
        <v>LDPE</v>
      </c>
      <c r="B762" s="149" t="str">
        <f>B761</f>
        <v>particles</v>
      </c>
      <c r="C762" s="149">
        <f t="shared" si="697"/>
        <v>6</v>
      </c>
      <c r="D762" s="149" t="str">
        <f t="shared" ref="D762:F763" si="739">D761</f>
        <v>0,01-0,1</v>
      </c>
      <c r="E762" s="149">
        <f t="shared" si="739"/>
        <v>0.1</v>
      </c>
      <c r="F762" s="149" t="str">
        <f t="shared" si="739"/>
        <v>soil</v>
      </c>
      <c r="G762" s="146" t="str">
        <f t="shared" si="707"/>
        <v>LDPE particles 0,01-0,1 mm (emission to soil)</v>
      </c>
      <c r="H762" s="146"/>
      <c r="I762" s="129">
        <v>0</v>
      </c>
      <c r="J762" s="101" t="s">
        <v>1097</v>
      </c>
      <c r="K762" s="114">
        <f>K35</f>
        <v>0</v>
      </c>
      <c r="L762" s="226">
        <f t="shared" si="738"/>
        <v>1000</v>
      </c>
      <c r="M762" s="158">
        <f>IF(L762/1000&gt;1000,1000,L762/1000)</f>
        <v>1</v>
      </c>
      <c r="N762" s="610"/>
    </row>
    <row r="763" spans="1:14" s="102" customFormat="1">
      <c r="A763" s="173" t="str">
        <f>A762</f>
        <v>LDPE</v>
      </c>
      <c r="B763" s="150" t="str">
        <f>B762</f>
        <v>particles</v>
      </c>
      <c r="C763" s="150">
        <f t="shared" si="697"/>
        <v>6</v>
      </c>
      <c r="D763" s="150" t="str">
        <f t="shared" si="739"/>
        <v>0,01-0,1</v>
      </c>
      <c r="E763" s="150">
        <f t="shared" si="739"/>
        <v>0.1</v>
      </c>
      <c r="F763" s="150" t="str">
        <f t="shared" si="739"/>
        <v>soil</v>
      </c>
      <c r="G763" s="147" t="str">
        <f t="shared" si="707"/>
        <v>LDPE particles 0,01-0,1 mm (emission to soil)</v>
      </c>
      <c r="H763" s="147"/>
      <c r="I763" s="129">
        <v>0</v>
      </c>
      <c r="J763" s="101" t="s">
        <v>1034</v>
      </c>
      <c r="K763" s="114" t="s">
        <v>596</v>
      </c>
      <c r="L763" s="226">
        <f t="shared" si="738"/>
        <v>0</v>
      </c>
      <c r="M763" s="158">
        <f t="shared" ref="M763:M767" si="740">IF(L763/1000&gt;1000,1000,L763/1000)</f>
        <v>0</v>
      </c>
      <c r="N763" s="610"/>
    </row>
    <row r="764" spans="1:14" s="102" customFormat="1">
      <c r="A764" s="174" t="s">
        <v>67</v>
      </c>
      <c r="B764" s="186" t="s">
        <v>1025</v>
      </c>
      <c r="C764" s="188">
        <f t="shared" si="697"/>
        <v>6</v>
      </c>
      <c r="D764" s="188" t="s">
        <v>1018</v>
      </c>
      <c r="E764" s="155">
        <v>0.1</v>
      </c>
      <c r="F764" s="131" t="s">
        <v>1020</v>
      </c>
      <c r="G764" s="134" t="str">
        <f t="shared" si="707"/>
        <v>LDPE particles 0,01-0,1 mm (emission to water)</v>
      </c>
      <c r="H764" s="133"/>
      <c r="I764" s="129">
        <v>0</v>
      </c>
      <c r="J764" s="101" t="s">
        <v>1019</v>
      </c>
      <c r="K764" s="114">
        <f>K34</f>
        <v>0</v>
      </c>
      <c r="L764" s="226">
        <f t="shared" si="738"/>
        <v>1000</v>
      </c>
      <c r="M764" s="220">
        <f t="shared" si="740"/>
        <v>1</v>
      </c>
      <c r="N764" s="611">
        <f>I764*M764+I765*M765+I766*M766</f>
        <v>1</v>
      </c>
    </row>
    <row r="765" spans="1:14" s="102" customFormat="1">
      <c r="A765" s="172" t="str">
        <f>A764</f>
        <v>LDPE</v>
      </c>
      <c r="B765" s="149" t="str">
        <f>B764</f>
        <v>particles</v>
      </c>
      <c r="C765" s="149">
        <f t="shared" si="697"/>
        <v>6</v>
      </c>
      <c r="D765" s="149" t="str">
        <f>D764</f>
        <v>0,01-0,1</v>
      </c>
      <c r="E765" s="149">
        <f>E764</f>
        <v>0.1</v>
      </c>
      <c r="F765" s="149" t="str">
        <f>F764</f>
        <v>water</v>
      </c>
      <c r="G765" s="146" t="str">
        <f t="shared" si="707"/>
        <v>LDPE particles 0,01-0,1 mm (emission to water)</v>
      </c>
      <c r="H765" s="146"/>
      <c r="I765" s="129">
        <v>1</v>
      </c>
      <c r="J765" s="101" t="s">
        <v>1097</v>
      </c>
      <c r="K765" s="114">
        <f>K35</f>
        <v>0</v>
      </c>
      <c r="L765" s="226">
        <f t="shared" si="738"/>
        <v>1000</v>
      </c>
      <c r="M765" s="220">
        <f t="shared" si="740"/>
        <v>1</v>
      </c>
      <c r="N765" s="612"/>
    </row>
    <row r="766" spans="1:14" s="102" customFormat="1">
      <c r="A766" s="172" t="str">
        <f>A765</f>
        <v>LDPE</v>
      </c>
      <c r="B766" s="149" t="str">
        <f>B765</f>
        <v>particles</v>
      </c>
      <c r="C766" s="149">
        <f t="shared" ref="C766" si="741">IF(OR(B766="Folie", B766="Strips", B766="Film",B766="Flakes",B766="Coupon"), 2,IF(OR(B766="Fibers",B766="Pellets"),4,IF(OR(B766="Particles",B766="Shreds",B766="Powder",B766="Fragments",B766="Granules"),6,"")))</f>
        <v>6</v>
      </c>
      <c r="D766" s="149" t="str">
        <f t="shared" ref="D766:F766" si="742">D765</f>
        <v>0,01-0,1</v>
      </c>
      <c r="E766" s="149">
        <f t="shared" si="742"/>
        <v>0.1</v>
      </c>
      <c r="F766" s="149" t="str">
        <f t="shared" si="742"/>
        <v>water</v>
      </c>
      <c r="G766" s="146" t="str">
        <f t="shared" ref="G766" si="743">CONCATENATE(A766," ",B766," ",D766," mm (emission to ",F766,")")</f>
        <v>LDPE particles 0,01-0,1 mm (emission to water)</v>
      </c>
      <c r="H766" s="146"/>
      <c r="I766" s="129">
        <v>0</v>
      </c>
      <c r="J766" s="101" t="s">
        <v>1096</v>
      </c>
      <c r="K766" s="114">
        <f>K36</f>
        <v>0.33485491071428547</v>
      </c>
      <c r="L766" s="226">
        <f t="shared" si="738"/>
        <v>37.329600373296032</v>
      </c>
      <c r="M766" s="220">
        <f t="shared" si="740"/>
        <v>3.732960037329603E-2</v>
      </c>
      <c r="N766" s="612"/>
    </row>
    <row r="767" spans="1:14" s="102" customFormat="1">
      <c r="A767" s="173" t="str">
        <f>A765</f>
        <v>LDPE</v>
      </c>
      <c r="B767" s="150" t="str">
        <f>B765</f>
        <v>particles</v>
      </c>
      <c r="C767" s="150">
        <f t="shared" si="697"/>
        <v>6</v>
      </c>
      <c r="D767" s="150" t="str">
        <f t="shared" ref="D767:F767" si="744">D765</f>
        <v>0,01-0,1</v>
      </c>
      <c r="E767" s="150">
        <f t="shared" si="744"/>
        <v>0.1</v>
      </c>
      <c r="F767" s="150" t="str">
        <f t="shared" si="744"/>
        <v>water</v>
      </c>
      <c r="G767" s="147" t="str">
        <f t="shared" si="707"/>
        <v>LDPE particles 0,01-0,1 mm (emission to water)</v>
      </c>
      <c r="H767" s="147"/>
      <c r="I767" s="129">
        <v>0</v>
      </c>
      <c r="J767" s="101" t="s">
        <v>1034</v>
      </c>
      <c r="K767" s="114" t="s">
        <v>596</v>
      </c>
      <c r="L767" s="226">
        <f t="shared" si="738"/>
        <v>0</v>
      </c>
      <c r="M767" s="220">
        <f t="shared" si="740"/>
        <v>0</v>
      </c>
      <c r="N767" s="613"/>
    </row>
    <row r="768" spans="1:14" s="102" customFormat="1">
      <c r="A768" s="174" t="s">
        <v>67</v>
      </c>
      <c r="B768" s="288" t="s">
        <v>1025</v>
      </c>
      <c r="C768" s="290">
        <f t="shared" ref="C768:C770" si="745">IF(OR(B768="Folie", B768="Strips", B768="Film",B768="Flakes",B768="Coupon"), 2,IF(OR(B768="Fibers",B768="Pellets"),4,IF(OR(B768="Particles",B768="Shreds",B768="Powder",B768="Fragments",B768="Granules"),6,"")))</f>
        <v>6</v>
      </c>
      <c r="D768" s="290" t="s">
        <v>1018</v>
      </c>
      <c r="E768" s="155">
        <v>0.1</v>
      </c>
      <c r="F768" s="131" t="s">
        <v>1057</v>
      </c>
      <c r="G768" s="134" t="str">
        <f t="shared" ref="G768:G770" si="746">CONCATENATE(A768," ",B768," ",D768," mm (emission to ",F768,")")</f>
        <v>LDPE particles 0,01-0,1 mm (emission to air)</v>
      </c>
      <c r="H768" s="133"/>
      <c r="I768" s="137">
        <v>0.97699999999999998</v>
      </c>
      <c r="J768" s="101" t="s">
        <v>1019</v>
      </c>
      <c r="K768" s="114">
        <f>K34</f>
        <v>0</v>
      </c>
      <c r="L768" s="226">
        <f t="shared" ref="L768:L770" si="747">IFERROR(IF(K768="--",0,IF(E768*1000/K768*(1-0.5)^(C768/2)&gt;1000,1000,E768*1000/K768*(1-0.5)^(C768/2))),1000)</f>
        <v>1000</v>
      </c>
      <c r="M768" s="158">
        <f>IF(L768/1000&gt;1000,1000,L768/1000)</f>
        <v>1</v>
      </c>
      <c r="N768" s="610">
        <f>I768*M768+I769*M769</f>
        <v>1</v>
      </c>
    </row>
    <row r="769" spans="1:14" s="102" customFormat="1">
      <c r="A769" s="172" t="str">
        <f>A768</f>
        <v>LDPE</v>
      </c>
      <c r="B769" s="149" t="str">
        <f>B768</f>
        <v>particles</v>
      </c>
      <c r="C769" s="149">
        <f t="shared" si="745"/>
        <v>6</v>
      </c>
      <c r="D769" s="149" t="str">
        <f t="shared" ref="D769:F769" si="748">D768</f>
        <v>0,01-0,1</v>
      </c>
      <c r="E769" s="149">
        <f t="shared" si="748"/>
        <v>0.1</v>
      </c>
      <c r="F769" s="149" t="str">
        <f t="shared" si="748"/>
        <v>air</v>
      </c>
      <c r="G769" s="146" t="str">
        <f t="shared" si="746"/>
        <v>LDPE particles 0,01-0,1 mm (emission to air)</v>
      </c>
      <c r="H769" s="146"/>
      <c r="I769" s="129">
        <v>2.3E-2</v>
      </c>
      <c r="J769" s="101" t="s">
        <v>1097</v>
      </c>
      <c r="K769" s="114">
        <f>K35</f>
        <v>0</v>
      </c>
      <c r="L769" s="226">
        <f t="shared" si="747"/>
        <v>1000</v>
      </c>
      <c r="M769" s="158">
        <f>IF(L769/1000&gt;1000,1000,L769/1000)</f>
        <v>1</v>
      </c>
      <c r="N769" s="610"/>
    </row>
    <row r="770" spans="1:14" s="102" customFormat="1">
      <c r="A770" s="173" t="str">
        <f>A769</f>
        <v>LDPE</v>
      </c>
      <c r="B770" s="150" t="str">
        <f>B769</f>
        <v>particles</v>
      </c>
      <c r="C770" s="150">
        <f t="shared" si="745"/>
        <v>6</v>
      </c>
      <c r="D770" s="150" t="str">
        <f t="shared" ref="D770:F770" si="749">D769</f>
        <v>0,01-0,1</v>
      </c>
      <c r="E770" s="150">
        <f t="shared" si="749"/>
        <v>0.1</v>
      </c>
      <c r="F770" s="150" t="str">
        <f t="shared" si="749"/>
        <v>air</v>
      </c>
      <c r="G770" s="147" t="str">
        <f t="shared" si="746"/>
        <v>LDPE particles 0,01-0,1 mm (emission to air)</v>
      </c>
      <c r="H770" s="147"/>
      <c r="I770" s="129">
        <v>0</v>
      </c>
      <c r="J770" s="101" t="s">
        <v>1034</v>
      </c>
      <c r="K770" s="114" t="s">
        <v>596</v>
      </c>
      <c r="L770" s="226">
        <f t="shared" si="747"/>
        <v>0</v>
      </c>
      <c r="M770" s="158">
        <f t="shared" ref="M770" si="750">IF(L770/1000&gt;1000,1000,L770/1000)</f>
        <v>0</v>
      </c>
      <c r="N770" s="610"/>
    </row>
    <row r="771" spans="1:14" s="102" customFormat="1">
      <c r="A771" s="174" t="s">
        <v>67</v>
      </c>
      <c r="B771" s="186" t="s">
        <v>1025</v>
      </c>
      <c r="C771" s="188">
        <f t="shared" si="697"/>
        <v>6</v>
      </c>
      <c r="D771" s="188" t="s">
        <v>1028</v>
      </c>
      <c r="E771" s="155">
        <v>1</v>
      </c>
      <c r="F771" s="131" t="s">
        <v>1019</v>
      </c>
      <c r="G771" s="134" t="str">
        <f t="shared" si="707"/>
        <v>LDPE particles 0,1-1 mm (emission to soil)</v>
      </c>
      <c r="H771" s="133"/>
      <c r="I771" s="129">
        <v>1</v>
      </c>
      <c r="J771" s="101" t="s">
        <v>1019</v>
      </c>
      <c r="K771" s="114">
        <f>K34</f>
        <v>0</v>
      </c>
      <c r="L771" s="226">
        <f t="shared" ref="L771:L777" si="751">IFERROR(IF(K771="--",0,IF(E771*1000/K771*(1-0.5)^(C771/2)&gt;1000,1000,E771*1000/K771*(1-0.5)^(C771/2))),1000)</f>
        <v>1000</v>
      </c>
      <c r="M771" s="158">
        <f>IF(L771/1000&gt;1000,1000,L771/1000)</f>
        <v>1</v>
      </c>
      <c r="N771" s="610">
        <f>I771*M771+I772*M772</f>
        <v>1</v>
      </c>
    </row>
    <row r="772" spans="1:14" s="102" customFormat="1">
      <c r="A772" s="172" t="str">
        <f>A771</f>
        <v>LDPE</v>
      </c>
      <c r="B772" s="149" t="str">
        <f>B771</f>
        <v>particles</v>
      </c>
      <c r="C772" s="149">
        <f t="shared" si="697"/>
        <v>6</v>
      </c>
      <c r="D772" s="149" t="str">
        <f t="shared" ref="D772:F773" si="752">D771</f>
        <v>0,1-1</v>
      </c>
      <c r="E772" s="149">
        <f t="shared" si="752"/>
        <v>1</v>
      </c>
      <c r="F772" s="149" t="str">
        <f t="shared" si="752"/>
        <v>soil</v>
      </c>
      <c r="G772" s="146" t="str">
        <f t="shared" si="707"/>
        <v>LDPE particles 0,1-1 mm (emission to soil)</v>
      </c>
      <c r="H772" s="146"/>
      <c r="I772" s="129">
        <v>0</v>
      </c>
      <c r="J772" s="101" t="s">
        <v>1097</v>
      </c>
      <c r="K772" s="114">
        <f>K35</f>
        <v>0</v>
      </c>
      <c r="L772" s="226">
        <f t="shared" si="751"/>
        <v>1000</v>
      </c>
      <c r="M772" s="158">
        <f>IF(L772/1000&gt;1000,1000,L772/1000)</f>
        <v>1</v>
      </c>
      <c r="N772" s="610"/>
    </row>
    <row r="773" spans="1:14" s="102" customFormat="1">
      <c r="A773" s="173" t="str">
        <f>A772</f>
        <v>LDPE</v>
      </c>
      <c r="B773" s="150" t="str">
        <f>B772</f>
        <v>particles</v>
      </c>
      <c r="C773" s="150">
        <f t="shared" si="697"/>
        <v>6</v>
      </c>
      <c r="D773" s="150" t="str">
        <f t="shared" si="752"/>
        <v>0,1-1</v>
      </c>
      <c r="E773" s="150">
        <f t="shared" si="752"/>
        <v>1</v>
      </c>
      <c r="F773" s="150" t="str">
        <f t="shared" si="752"/>
        <v>soil</v>
      </c>
      <c r="G773" s="147" t="str">
        <f t="shared" si="707"/>
        <v>LDPE particles 0,1-1 mm (emission to soil)</v>
      </c>
      <c r="H773" s="147"/>
      <c r="I773" s="129">
        <v>0</v>
      </c>
      <c r="J773" s="101" t="s">
        <v>1034</v>
      </c>
      <c r="K773" s="151" t="s">
        <v>596</v>
      </c>
      <c r="L773" s="226">
        <f t="shared" si="751"/>
        <v>0</v>
      </c>
      <c r="M773" s="158">
        <f t="shared" ref="M773:M777" si="753">IF(L773/1000&gt;1000,1000,L773/1000)</f>
        <v>0</v>
      </c>
      <c r="N773" s="610"/>
    </row>
    <row r="774" spans="1:14" s="102" customFormat="1">
      <c r="A774" s="174" t="s">
        <v>67</v>
      </c>
      <c r="B774" s="186" t="s">
        <v>1025</v>
      </c>
      <c r="C774" s="188">
        <f t="shared" si="697"/>
        <v>6</v>
      </c>
      <c r="D774" s="188" t="s">
        <v>1028</v>
      </c>
      <c r="E774" s="216">
        <v>1</v>
      </c>
      <c r="F774" s="131" t="s">
        <v>1020</v>
      </c>
      <c r="G774" s="134" t="str">
        <f t="shared" si="707"/>
        <v>LDPE particles 0,1-1 mm (emission to water)</v>
      </c>
      <c r="H774" s="133"/>
      <c r="I774" s="129">
        <v>0</v>
      </c>
      <c r="J774" s="101" t="s">
        <v>1019</v>
      </c>
      <c r="K774" s="114">
        <f>K34</f>
        <v>0</v>
      </c>
      <c r="L774" s="226">
        <f t="shared" si="751"/>
        <v>1000</v>
      </c>
      <c r="M774" s="220">
        <f t="shared" si="753"/>
        <v>1</v>
      </c>
      <c r="N774" s="611">
        <f>I774*M774+I775*M775+I776*M776</f>
        <v>1</v>
      </c>
    </row>
    <row r="775" spans="1:14" s="102" customFormat="1">
      <c r="A775" s="172" t="str">
        <f>A774</f>
        <v>LDPE</v>
      </c>
      <c r="B775" s="149" t="str">
        <f>B774</f>
        <v>particles</v>
      </c>
      <c r="C775" s="149">
        <f t="shared" si="697"/>
        <v>6</v>
      </c>
      <c r="D775" s="149" t="str">
        <f t="shared" ref="D775:F776" si="754">D774</f>
        <v>0,1-1</v>
      </c>
      <c r="E775" s="149">
        <f t="shared" si="754"/>
        <v>1</v>
      </c>
      <c r="F775" s="149" t="str">
        <f t="shared" si="754"/>
        <v>water</v>
      </c>
      <c r="G775" s="146" t="str">
        <f t="shared" si="707"/>
        <v>LDPE particles 0,1-1 mm (emission to water)</v>
      </c>
      <c r="H775" s="146"/>
      <c r="I775" s="129">
        <v>1</v>
      </c>
      <c r="J775" s="101" t="s">
        <v>1097</v>
      </c>
      <c r="K775" s="114">
        <f>K35</f>
        <v>0</v>
      </c>
      <c r="L775" s="226">
        <f t="shared" si="751"/>
        <v>1000</v>
      </c>
      <c r="M775" s="220">
        <f t="shared" si="753"/>
        <v>1</v>
      </c>
      <c r="N775" s="612"/>
    </row>
    <row r="776" spans="1:14" s="102" customFormat="1">
      <c r="A776" s="172" t="str">
        <f>A775</f>
        <v>LDPE</v>
      </c>
      <c r="B776" s="149" t="str">
        <f>B775</f>
        <v>particles</v>
      </c>
      <c r="C776" s="149">
        <f t="shared" ref="C776" si="755">IF(OR(B776="Folie", B776="Strips", B776="Film",B776="Flakes",B776="Coupon"), 2,IF(OR(B776="Fibers",B776="Pellets"),4,IF(OR(B776="Particles",B776="Shreds",B776="Powder",B776="Fragments",B776="Granules"),6,"")))</f>
        <v>6</v>
      </c>
      <c r="D776" s="149" t="str">
        <f t="shared" si="754"/>
        <v>0,1-1</v>
      </c>
      <c r="E776" s="149">
        <f t="shared" si="754"/>
        <v>1</v>
      </c>
      <c r="F776" s="149" t="str">
        <f t="shared" si="754"/>
        <v>water</v>
      </c>
      <c r="G776" s="146" t="str">
        <f t="shared" ref="G776" si="756">CONCATENATE(A776," ",B776," ",D776," mm (emission to ",F776,")")</f>
        <v>LDPE particles 0,1-1 mm (emission to water)</v>
      </c>
      <c r="H776" s="146"/>
      <c r="I776" s="129">
        <v>0</v>
      </c>
      <c r="J776" s="101" t="s">
        <v>1096</v>
      </c>
      <c r="K776" s="114">
        <f>K36</f>
        <v>0.33485491071428547</v>
      </c>
      <c r="L776" s="226">
        <f t="shared" si="751"/>
        <v>373.29600373296029</v>
      </c>
      <c r="M776" s="220">
        <f t="shared" si="753"/>
        <v>0.37329600373296029</v>
      </c>
      <c r="N776" s="612"/>
    </row>
    <row r="777" spans="1:14" s="102" customFormat="1">
      <c r="A777" s="173" t="str">
        <f>A775</f>
        <v>LDPE</v>
      </c>
      <c r="B777" s="150" t="str">
        <f>B775</f>
        <v>particles</v>
      </c>
      <c r="C777" s="150">
        <f t="shared" si="697"/>
        <v>6</v>
      </c>
      <c r="D777" s="150" t="str">
        <f>D775</f>
        <v>0,1-1</v>
      </c>
      <c r="E777" s="150">
        <f>E775</f>
        <v>1</v>
      </c>
      <c r="F777" s="150" t="str">
        <f>F775</f>
        <v>water</v>
      </c>
      <c r="G777" s="147" t="str">
        <f t="shared" si="707"/>
        <v>LDPE particles 0,1-1 mm (emission to water)</v>
      </c>
      <c r="H777" s="147"/>
      <c r="I777" s="129">
        <v>0</v>
      </c>
      <c r="J777" s="101" t="s">
        <v>1034</v>
      </c>
      <c r="K777" s="151" t="s">
        <v>596</v>
      </c>
      <c r="L777" s="226">
        <f t="shared" si="751"/>
        <v>0</v>
      </c>
      <c r="M777" s="220">
        <f t="shared" si="753"/>
        <v>0</v>
      </c>
      <c r="N777" s="613"/>
    </row>
    <row r="778" spans="1:14" s="102" customFormat="1">
      <c r="A778" s="174" t="s">
        <v>67</v>
      </c>
      <c r="B778" s="288" t="s">
        <v>1025</v>
      </c>
      <c r="C778" s="290">
        <f t="shared" ref="C778:C780" si="757">IF(OR(B778="Folie", B778="Strips", B778="Film",B778="Flakes",B778="Coupon"), 2,IF(OR(B778="Fibers",B778="Pellets"),4,IF(OR(B778="Particles",B778="Shreds",B778="Powder",B778="Fragments",B778="Granules"),6,"")))</f>
        <v>6</v>
      </c>
      <c r="D778" s="290" t="s">
        <v>1028</v>
      </c>
      <c r="E778" s="155">
        <v>1</v>
      </c>
      <c r="F778" s="131" t="s">
        <v>1057</v>
      </c>
      <c r="G778" s="134" t="str">
        <f t="shared" ref="G778:G780" si="758">CONCATENATE(A778," ",B778," ",D778," mm (emission to ",F778,")")</f>
        <v>LDPE particles 0,1-1 mm (emission to air)</v>
      </c>
      <c r="H778" s="133"/>
      <c r="I778" s="137">
        <v>0.97699999999999998</v>
      </c>
      <c r="J778" s="101" t="s">
        <v>1019</v>
      </c>
      <c r="K778" s="114">
        <f>K34</f>
        <v>0</v>
      </c>
      <c r="L778" s="226">
        <f t="shared" ref="L778:L780" si="759">IFERROR(IF(K778="--",0,IF(E778*1000/K778*(1-0.5)^(C778/2)&gt;1000,1000,E778*1000/K778*(1-0.5)^(C778/2))),1000)</f>
        <v>1000</v>
      </c>
      <c r="M778" s="158">
        <f>IF(L778/1000&gt;1000,1000,L778/1000)</f>
        <v>1</v>
      </c>
      <c r="N778" s="610">
        <f>I778*M778+I779*M779</f>
        <v>1</v>
      </c>
    </row>
    <row r="779" spans="1:14" s="102" customFormat="1">
      <c r="A779" s="172" t="str">
        <f>A778</f>
        <v>LDPE</v>
      </c>
      <c r="B779" s="149" t="str">
        <f>B778</f>
        <v>particles</v>
      </c>
      <c r="C779" s="149">
        <f t="shared" si="757"/>
        <v>6</v>
      </c>
      <c r="D779" s="149" t="str">
        <f t="shared" ref="D779:F779" si="760">D778</f>
        <v>0,1-1</v>
      </c>
      <c r="E779" s="149">
        <f t="shared" si="760"/>
        <v>1</v>
      </c>
      <c r="F779" s="149" t="str">
        <f t="shared" si="760"/>
        <v>air</v>
      </c>
      <c r="G779" s="146" t="str">
        <f t="shared" si="758"/>
        <v>LDPE particles 0,1-1 mm (emission to air)</v>
      </c>
      <c r="H779" s="146"/>
      <c r="I779" s="129">
        <v>2.3E-2</v>
      </c>
      <c r="J779" s="101" t="s">
        <v>1097</v>
      </c>
      <c r="K779" s="114">
        <f>K35</f>
        <v>0</v>
      </c>
      <c r="L779" s="226">
        <f t="shared" si="759"/>
        <v>1000</v>
      </c>
      <c r="M779" s="158">
        <f>IF(L779/1000&gt;1000,1000,L779/1000)</f>
        <v>1</v>
      </c>
      <c r="N779" s="610"/>
    </row>
    <row r="780" spans="1:14" s="102" customFormat="1">
      <c r="A780" s="173" t="str">
        <f>A779</f>
        <v>LDPE</v>
      </c>
      <c r="B780" s="150" t="str">
        <f>B779</f>
        <v>particles</v>
      </c>
      <c r="C780" s="150">
        <f t="shared" si="757"/>
        <v>6</v>
      </c>
      <c r="D780" s="150" t="str">
        <f t="shared" ref="D780:F780" si="761">D779</f>
        <v>0,1-1</v>
      </c>
      <c r="E780" s="150">
        <f t="shared" si="761"/>
        <v>1</v>
      </c>
      <c r="F780" s="150" t="str">
        <f t="shared" si="761"/>
        <v>air</v>
      </c>
      <c r="G780" s="147" t="str">
        <f t="shared" si="758"/>
        <v>LDPE particles 0,1-1 mm (emission to air)</v>
      </c>
      <c r="H780" s="147"/>
      <c r="I780" s="129">
        <v>0</v>
      </c>
      <c r="J780" s="101" t="s">
        <v>1034</v>
      </c>
      <c r="K780" s="151" t="s">
        <v>596</v>
      </c>
      <c r="L780" s="226">
        <f t="shared" si="759"/>
        <v>0</v>
      </c>
      <c r="M780" s="158">
        <f t="shared" ref="M780" si="762">IF(L780/1000&gt;1000,1000,L780/1000)</f>
        <v>0</v>
      </c>
      <c r="N780" s="610"/>
    </row>
    <row r="781" spans="1:14" s="102" customFormat="1">
      <c r="A781" s="174" t="s">
        <v>67</v>
      </c>
      <c r="B781" s="186" t="s">
        <v>1025</v>
      </c>
      <c r="C781" s="188">
        <f t="shared" si="697"/>
        <v>6</v>
      </c>
      <c r="D781" s="188" t="s">
        <v>1026</v>
      </c>
      <c r="E781" s="155">
        <v>10</v>
      </c>
      <c r="F781" s="131" t="s">
        <v>1019</v>
      </c>
      <c r="G781" s="134" t="str">
        <f t="shared" si="707"/>
        <v>LDPE particles 1-10 mm (emission to soil)</v>
      </c>
      <c r="H781" s="133"/>
      <c r="I781" s="129">
        <v>1</v>
      </c>
      <c r="J781" s="101" t="s">
        <v>1019</v>
      </c>
      <c r="K781" s="114">
        <f>K34</f>
        <v>0</v>
      </c>
      <c r="L781" s="226">
        <f t="shared" ref="L781:L787" si="763">IFERROR(IF(K781="--",0,IF(E781*1000/K781*(1-0.5)^(C781/2)&gt;1000,1000,E781*1000/K781*(1-0.5)^(C781/2))),1000)</f>
        <v>1000</v>
      </c>
      <c r="M781" s="158">
        <f>IF(L781/1000&gt;1000,1000,L781/1000)</f>
        <v>1</v>
      </c>
      <c r="N781" s="610">
        <f>I781*M781+I782*M782</f>
        <v>1</v>
      </c>
    </row>
    <row r="782" spans="1:14" s="102" customFormat="1">
      <c r="A782" s="172" t="str">
        <f>A781</f>
        <v>LDPE</v>
      </c>
      <c r="B782" s="149" t="str">
        <f>B781</f>
        <v>particles</v>
      </c>
      <c r="C782" s="149">
        <f t="shared" si="697"/>
        <v>6</v>
      </c>
      <c r="D782" s="149" t="str">
        <f t="shared" ref="D782:F783" si="764">D781</f>
        <v>1-10</v>
      </c>
      <c r="E782" s="149">
        <f t="shared" si="764"/>
        <v>10</v>
      </c>
      <c r="F782" s="149" t="str">
        <f t="shared" si="764"/>
        <v>soil</v>
      </c>
      <c r="G782" s="146" t="str">
        <f t="shared" si="707"/>
        <v>LDPE particles 1-10 mm (emission to soil)</v>
      </c>
      <c r="H782" s="146"/>
      <c r="I782" s="129">
        <v>0</v>
      </c>
      <c r="J782" s="101" t="s">
        <v>1097</v>
      </c>
      <c r="K782" s="114">
        <f>K35</f>
        <v>0</v>
      </c>
      <c r="L782" s="226">
        <f t="shared" si="763"/>
        <v>1000</v>
      </c>
      <c r="M782" s="158">
        <f>IF(L782/1000&gt;1000,1000,L782/1000)</f>
        <v>1</v>
      </c>
      <c r="N782" s="610"/>
    </row>
    <row r="783" spans="1:14" s="102" customFormat="1">
      <c r="A783" s="173" t="str">
        <f>A782</f>
        <v>LDPE</v>
      </c>
      <c r="B783" s="150" t="str">
        <f>B782</f>
        <v>particles</v>
      </c>
      <c r="C783" s="150">
        <f t="shared" si="697"/>
        <v>6</v>
      </c>
      <c r="D783" s="150" t="str">
        <f t="shared" si="764"/>
        <v>1-10</v>
      </c>
      <c r="E783" s="150">
        <f t="shared" si="764"/>
        <v>10</v>
      </c>
      <c r="F783" s="150" t="str">
        <f t="shared" si="764"/>
        <v>soil</v>
      </c>
      <c r="G783" s="147" t="str">
        <f t="shared" si="707"/>
        <v>LDPE particles 1-10 mm (emission to soil)</v>
      </c>
      <c r="H783" s="147"/>
      <c r="I783" s="129">
        <v>0</v>
      </c>
      <c r="J783" s="101" t="s">
        <v>1034</v>
      </c>
      <c r="K783" s="151" t="s">
        <v>596</v>
      </c>
      <c r="L783" s="226">
        <f t="shared" si="763"/>
        <v>0</v>
      </c>
      <c r="M783" s="158">
        <f t="shared" ref="M783:M787" si="765">IF(L783/1000&gt;1000,1000,L783/1000)</f>
        <v>0</v>
      </c>
      <c r="N783" s="610"/>
    </row>
    <row r="784" spans="1:14" s="102" customFormat="1">
      <c r="A784" s="174" t="s">
        <v>67</v>
      </c>
      <c r="B784" s="186" t="s">
        <v>1025</v>
      </c>
      <c r="C784" s="188">
        <f t="shared" si="697"/>
        <v>6</v>
      </c>
      <c r="D784" s="188" t="s">
        <v>1026</v>
      </c>
      <c r="E784" s="214">
        <v>10</v>
      </c>
      <c r="F784" s="131" t="s">
        <v>1020</v>
      </c>
      <c r="G784" s="134" t="str">
        <f t="shared" si="707"/>
        <v>LDPE particles 1-10 mm (emission to water)</v>
      </c>
      <c r="H784" s="133"/>
      <c r="I784" s="129">
        <v>0</v>
      </c>
      <c r="J784" s="101" t="s">
        <v>1019</v>
      </c>
      <c r="K784" s="114">
        <f>K34</f>
        <v>0</v>
      </c>
      <c r="L784" s="226">
        <f t="shared" si="763"/>
        <v>1000</v>
      </c>
      <c r="M784" s="220">
        <f t="shared" si="765"/>
        <v>1</v>
      </c>
      <c r="N784" s="611">
        <f>I784*M784+I785*M785+I786*M786</f>
        <v>1</v>
      </c>
    </row>
    <row r="785" spans="1:14" s="102" customFormat="1">
      <c r="A785" s="172" t="str">
        <f>A784</f>
        <v>LDPE</v>
      </c>
      <c r="B785" s="149" t="str">
        <f>B784</f>
        <v>particles</v>
      </c>
      <c r="C785" s="149">
        <f t="shared" si="697"/>
        <v>6</v>
      </c>
      <c r="D785" s="149" t="str">
        <f t="shared" ref="D785:F786" si="766">D784</f>
        <v>1-10</v>
      </c>
      <c r="E785" s="149">
        <f t="shared" si="766"/>
        <v>10</v>
      </c>
      <c r="F785" s="149" t="str">
        <f t="shared" si="766"/>
        <v>water</v>
      </c>
      <c r="G785" s="146" t="str">
        <f t="shared" ref="G785:G797" si="767">CONCATENATE(A785," ",B785," ",D785," mm (emission to ",F785,")")</f>
        <v>LDPE particles 1-10 mm (emission to water)</v>
      </c>
      <c r="H785" s="146"/>
      <c r="I785" s="129">
        <v>1</v>
      </c>
      <c r="J785" s="101" t="s">
        <v>1097</v>
      </c>
      <c r="K785" s="114">
        <f>K35</f>
        <v>0</v>
      </c>
      <c r="L785" s="226">
        <f t="shared" si="763"/>
        <v>1000</v>
      </c>
      <c r="M785" s="220">
        <f t="shared" si="765"/>
        <v>1</v>
      </c>
      <c r="N785" s="612"/>
    </row>
    <row r="786" spans="1:14" s="102" customFormat="1">
      <c r="A786" s="172" t="str">
        <f>A785</f>
        <v>LDPE</v>
      </c>
      <c r="B786" s="149" t="str">
        <f>B785</f>
        <v>particles</v>
      </c>
      <c r="C786" s="149">
        <f t="shared" ref="C786" si="768">IF(OR(B786="Folie", B786="Strips", B786="Film",B786="Flakes",B786="Coupon"), 2,IF(OR(B786="Fibers",B786="Pellets"),4,IF(OR(B786="Particles",B786="Shreds",B786="Powder",B786="Fragments",B786="Granules"),6,"")))</f>
        <v>6</v>
      </c>
      <c r="D786" s="149" t="str">
        <f t="shared" si="766"/>
        <v>1-10</v>
      </c>
      <c r="E786" s="149">
        <f t="shared" si="766"/>
        <v>10</v>
      </c>
      <c r="F786" s="149" t="str">
        <f t="shared" si="766"/>
        <v>water</v>
      </c>
      <c r="G786" s="146" t="str">
        <f t="shared" si="767"/>
        <v>LDPE particles 1-10 mm (emission to water)</v>
      </c>
      <c r="H786" s="146"/>
      <c r="I786" s="129">
        <v>0</v>
      </c>
      <c r="J786" s="101" t="s">
        <v>1096</v>
      </c>
      <c r="K786" s="160">
        <f>K36</f>
        <v>0.33485491071428547</v>
      </c>
      <c r="L786" s="226">
        <f t="shared" si="763"/>
        <v>1000</v>
      </c>
      <c r="M786" s="220">
        <f t="shared" si="765"/>
        <v>1</v>
      </c>
      <c r="N786" s="612"/>
    </row>
    <row r="787" spans="1:14" s="102" customFormat="1">
      <c r="A787" s="173" t="str">
        <f>A785</f>
        <v>LDPE</v>
      </c>
      <c r="B787" s="150" t="str">
        <f>B785</f>
        <v>particles</v>
      </c>
      <c r="C787" s="150">
        <f t="shared" si="697"/>
        <v>6</v>
      </c>
      <c r="D787" s="150" t="str">
        <f>D785</f>
        <v>1-10</v>
      </c>
      <c r="E787" s="150">
        <f>E785</f>
        <v>10</v>
      </c>
      <c r="F787" s="150" t="str">
        <f>F785</f>
        <v>water</v>
      </c>
      <c r="G787" s="147" t="str">
        <f t="shared" si="767"/>
        <v>LDPE particles 1-10 mm (emission to water)</v>
      </c>
      <c r="H787" s="147">
        <f>H785</f>
        <v>0</v>
      </c>
      <c r="I787" s="129">
        <v>0</v>
      </c>
      <c r="J787" s="101" t="s">
        <v>1034</v>
      </c>
      <c r="K787" s="114" t="s">
        <v>596</v>
      </c>
      <c r="L787" s="226">
        <f t="shared" si="763"/>
        <v>0</v>
      </c>
      <c r="M787" s="220">
        <f t="shared" si="765"/>
        <v>0</v>
      </c>
      <c r="N787" s="613"/>
    </row>
    <row r="788" spans="1:14" s="102" customFormat="1">
      <c r="A788" s="174" t="s">
        <v>67</v>
      </c>
      <c r="B788" s="288" t="s">
        <v>1025</v>
      </c>
      <c r="C788" s="290">
        <f t="shared" ref="C788:C790" si="769">IF(OR(B788="Folie", B788="Strips", B788="Film",B788="Flakes",B788="Coupon"), 2,IF(OR(B788="Fibers",B788="Pellets"),4,IF(OR(B788="Particles",B788="Shreds",B788="Powder",B788="Fragments",B788="Granules"),6,"")))</f>
        <v>6</v>
      </c>
      <c r="D788" s="290" t="s">
        <v>1026</v>
      </c>
      <c r="E788" s="155">
        <v>10</v>
      </c>
      <c r="F788" s="131" t="s">
        <v>1057</v>
      </c>
      <c r="G788" s="134" t="str">
        <f t="shared" si="767"/>
        <v>LDPE particles 1-10 mm (emission to air)</v>
      </c>
      <c r="H788" s="133"/>
      <c r="I788" s="137">
        <v>0.97699999999999998</v>
      </c>
      <c r="J788" s="101" t="s">
        <v>1019</v>
      </c>
      <c r="K788" s="114">
        <f>K34</f>
        <v>0</v>
      </c>
      <c r="L788" s="226">
        <f t="shared" ref="L788:L790" si="770">IFERROR(IF(K788="--",0,IF(E788*1000/K788*(1-0.5)^(C788/2)&gt;1000,1000,E788*1000/K788*(1-0.5)^(C788/2))),1000)</f>
        <v>1000</v>
      </c>
      <c r="M788" s="158">
        <f>IF(L788/1000&gt;1000,1000,L788/1000)</f>
        <v>1</v>
      </c>
      <c r="N788" s="610">
        <f>I788*M788+I789*M789</f>
        <v>1</v>
      </c>
    </row>
    <row r="789" spans="1:14" s="102" customFormat="1">
      <c r="A789" s="172" t="str">
        <f>A788</f>
        <v>LDPE</v>
      </c>
      <c r="B789" s="149" t="str">
        <f>B788</f>
        <v>particles</v>
      </c>
      <c r="C789" s="149">
        <f t="shared" si="769"/>
        <v>6</v>
      </c>
      <c r="D789" s="149" t="str">
        <f t="shared" ref="D789:F789" si="771">D788</f>
        <v>1-10</v>
      </c>
      <c r="E789" s="149">
        <f t="shared" si="771"/>
        <v>10</v>
      </c>
      <c r="F789" s="149" t="str">
        <f t="shared" si="771"/>
        <v>air</v>
      </c>
      <c r="G789" s="146" t="str">
        <f t="shared" si="767"/>
        <v>LDPE particles 1-10 mm (emission to air)</v>
      </c>
      <c r="H789" s="146"/>
      <c r="I789" s="129">
        <v>2.3E-2</v>
      </c>
      <c r="J789" s="101" t="s">
        <v>1097</v>
      </c>
      <c r="K789" s="114">
        <f>K35</f>
        <v>0</v>
      </c>
      <c r="L789" s="226">
        <f t="shared" si="770"/>
        <v>1000</v>
      </c>
      <c r="M789" s="158">
        <f>IF(L789/1000&gt;1000,1000,L789/1000)</f>
        <v>1</v>
      </c>
      <c r="N789" s="610"/>
    </row>
    <row r="790" spans="1:14" s="102" customFormat="1" ht="13.5" thickBot="1">
      <c r="A790" s="173" t="str">
        <f>A789</f>
        <v>LDPE</v>
      </c>
      <c r="B790" s="150" t="str">
        <f>B789</f>
        <v>particles</v>
      </c>
      <c r="C790" s="150">
        <f t="shared" si="769"/>
        <v>6</v>
      </c>
      <c r="D790" s="150" t="str">
        <f t="shared" ref="D790:F790" si="772">D789</f>
        <v>1-10</v>
      </c>
      <c r="E790" s="150">
        <f t="shared" si="772"/>
        <v>10</v>
      </c>
      <c r="F790" s="150" t="str">
        <f t="shared" si="772"/>
        <v>air</v>
      </c>
      <c r="G790" s="147" t="str">
        <f t="shared" si="767"/>
        <v>LDPE particles 1-10 mm (emission to air)</v>
      </c>
      <c r="H790" s="147"/>
      <c r="I790" s="129">
        <v>0</v>
      </c>
      <c r="J790" s="101" t="s">
        <v>1034</v>
      </c>
      <c r="K790" s="151" t="s">
        <v>596</v>
      </c>
      <c r="L790" s="226">
        <f t="shared" si="770"/>
        <v>0</v>
      </c>
      <c r="M790" s="158">
        <f t="shared" ref="M790" si="773">IF(L790/1000&gt;1000,1000,L790/1000)</f>
        <v>0</v>
      </c>
      <c r="N790" s="610"/>
    </row>
    <row r="791" spans="1:14" s="102" customFormat="1">
      <c r="A791" s="163" t="s">
        <v>18</v>
      </c>
      <c r="B791" s="164" t="s">
        <v>996</v>
      </c>
      <c r="C791" s="165">
        <f>IF(OR(B791="Folie", B791="Strips", B791="Film",B791="Flakes",B791="Coupon"), 2,IF(OR(B791="Fibers",B791="Pellets"),4,IF(OR(B791="Particles",B791="Shreds",B791="Powder",B791="Fragments",B791="Granules"),6,"")))</f>
        <v>2</v>
      </c>
      <c r="D791" s="165" t="s">
        <v>1028</v>
      </c>
      <c r="E791" s="155">
        <v>1</v>
      </c>
      <c r="F791" s="166" t="s">
        <v>1019</v>
      </c>
      <c r="G791" s="167" t="str">
        <f t="shared" si="767"/>
        <v>PHB film 0,1-1 mm (emission to soil)</v>
      </c>
      <c r="H791" s="168"/>
      <c r="I791" s="129">
        <v>1</v>
      </c>
      <c r="J791" s="170" t="s">
        <v>1019</v>
      </c>
      <c r="K791" s="171">
        <f>K37</f>
        <v>789.98664829447762</v>
      </c>
      <c r="L791" s="226">
        <f t="shared" ref="L791:L797" si="774">IFERROR(IF(K791="--",0,IF(E791*1000/K791*(1-0.5)^(C791/2)&gt;1000,1000,E791*1000/K791*(1-0.5)^(C791/2))),1000)</f>
        <v>0.63292208935361471</v>
      </c>
      <c r="M791" s="158">
        <f>IF(L791/1000&gt;1000,1000,L791/1000)</f>
        <v>6.3292208935361474E-4</v>
      </c>
      <c r="N791" s="610">
        <f>I791*M791+I792*M792</f>
        <v>6.3292208935361474E-4</v>
      </c>
    </row>
    <row r="792" spans="1:14" s="102" customFormat="1">
      <c r="A792" s="172" t="str">
        <f>A791</f>
        <v>PHB</v>
      </c>
      <c r="B792" s="149" t="str">
        <f>B791</f>
        <v>film</v>
      </c>
      <c r="C792" s="149">
        <f t="shared" ref="C792:C857" si="775">IF(OR(B792="Folie", B792="Strips", B792="Film",B792="Flakes",B792="Coupon"), 2,IF(OR(B792="Fibers",B792="Pellets"),4,IF(OR(B792="Particles",B792="Shreds",B792="Powder",B792="Fragments",B792="Granules"),6,"")))</f>
        <v>2</v>
      </c>
      <c r="D792" s="149" t="str">
        <f t="shared" ref="D792:F793" si="776">D791</f>
        <v>0,1-1</v>
      </c>
      <c r="E792" s="149">
        <f t="shared" si="776"/>
        <v>1</v>
      </c>
      <c r="F792" s="149" t="str">
        <f t="shared" si="776"/>
        <v>soil</v>
      </c>
      <c r="G792" s="146" t="str">
        <f t="shared" si="767"/>
        <v>PHB film 0,1-1 mm (emission to soil)</v>
      </c>
      <c r="H792" s="146"/>
      <c r="I792" s="129">
        <v>0</v>
      </c>
      <c r="J792" s="101" t="s">
        <v>1097</v>
      </c>
      <c r="K792" s="114">
        <f>K38</f>
        <v>175.98214285714289</v>
      </c>
      <c r="L792" s="226">
        <f t="shared" si="774"/>
        <v>2.8411973617453063</v>
      </c>
      <c r="M792" s="158">
        <f>IF(L792/1000&gt;1000,1000,L792/1000)</f>
        <v>2.8411973617453062E-3</v>
      </c>
      <c r="N792" s="610"/>
    </row>
    <row r="793" spans="1:14" s="102" customFormat="1">
      <c r="A793" s="173" t="str">
        <f>A792</f>
        <v>PHB</v>
      </c>
      <c r="B793" s="150" t="str">
        <f>B792</f>
        <v>film</v>
      </c>
      <c r="C793" s="150">
        <f t="shared" si="775"/>
        <v>2</v>
      </c>
      <c r="D793" s="150" t="str">
        <f t="shared" si="776"/>
        <v>0,1-1</v>
      </c>
      <c r="E793" s="150">
        <f t="shared" si="776"/>
        <v>1</v>
      </c>
      <c r="F793" s="150" t="str">
        <f t="shared" si="776"/>
        <v>soil</v>
      </c>
      <c r="G793" s="147" t="str">
        <f t="shared" si="767"/>
        <v>PHB film 0,1-1 mm (emission to soil)</v>
      </c>
      <c r="H793" s="147"/>
      <c r="I793" s="129">
        <v>0</v>
      </c>
      <c r="J793" s="101" t="s">
        <v>1034</v>
      </c>
      <c r="K793" s="151" t="s">
        <v>596</v>
      </c>
      <c r="L793" s="226">
        <f t="shared" si="774"/>
        <v>0</v>
      </c>
      <c r="M793" s="158">
        <f t="shared" ref="M793:M797" si="777">IF(L793/1000&gt;1000,1000,L793/1000)</f>
        <v>0</v>
      </c>
      <c r="N793" s="610"/>
    </row>
    <row r="794" spans="1:14" s="102" customFormat="1">
      <c r="A794" s="174" t="s">
        <v>18</v>
      </c>
      <c r="B794" s="186" t="s">
        <v>996</v>
      </c>
      <c r="C794" s="188">
        <f t="shared" si="775"/>
        <v>2</v>
      </c>
      <c r="D794" s="188" t="s">
        <v>1028</v>
      </c>
      <c r="E794" s="216">
        <v>1</v>
      </c>
      <c r="F794" s="131" t="s">
        <v>1020</v>
      </c>
      <c r="G794" s="134" t="str">
        <f t="shared" si="767"/>
        <v>PHB film 0,1-1 mm (emission to water)</v>
      </c>
      <c r="H794" s="144"/>
      <c r="I794" s="129">
        <v>0</v>
      </c>
      <c r="J794" s="101" t="s">
        <v>1019</v>
      </c>
      <c r="K794" s="114">
        <f>K37</f>
        <v>789.98664829447762</v>
      </c>
      <c r="L794" s="226">
        <f t="shared" si="774"/>
        <v>0.63292208935361471</v>
      </c>
      <c r="M794" s="220">
        <f t="shared" si="777"/>
        <v>6.3292208935361474E-4</v>
      </c>
      <c r="N794" s="611">
        <f>I794*M794+I795*M795+I796*M796</f>
        <v>2.8411973617453062E-3</v>
      </c>
    </row>
    <row r="795" spans="1:14" s="102" customFormat="1">
      <c r="A795" s="172" t="str">
        <f>A794</f>
        <v>PHB</v>
      </c>
      <c r="B795" s="149" t="str">
        <f>B794</f>
        <v>film</v>
      </c>
      <c r="C795" s="149">
        <f t="shared" si="775"/>
        <v>2</v>
      </c>
      <c r="D795" s="149" t="str">
        <f t="shared" ref="D795:F796" si="778">D794</f>
        <v>0,1-1</v>
      </c>
      <c r="E795" s="149">
        <f t="shared" si="778"/>
        <v>1</v>
      </c>
      <c r="F795" s="149" t="str">
        <f t="shared" si="778"/>
        <v>water</v>
      </c>
      <c r="G795" s="146" t="str">
        <f t="shared" si="767"/>
        <v>PHB film 0,1-1 mm (emission to water)</v>
      </c>
      <c r="H795" s="146"/>
      <c r="I795" s="129">
        <v>0</v>
      </c>
      <c r="J795" s="101" t="s">
        <v>1097</v>
      </c>
      <c r="K795" s="114">
        <f>K38</f>
        <v>175.98214285714289</v>
      </c>
      <c r="L795" s="226">
        <f t="shared" si="774"/>
        <v>2.8411973617453063</v>
      </c>
      <c r="M795" s="220">
        <f t="shared" si="777"/>
        <v>2.8411973617453062E-3</v>
      </c>
      <c r="N795" s="612"/>
    </row>
    <row r="796" spans="1:14" s="102" customFormat="1">
      <c r="A796" s="172" t="str">
        <f>A795</f>
        <v>PHB</v>
      </c>
      <c r="B796" s="149" t="str">
        <f>B795</f>
        <v>film</v>
      </c>
      <c r="C796" s="149">
        <f t="shared" si="775"/>
        <v>2</v>
      </c>
      <c r="D796" s="149" t="str">
        <f t="shared" si="778"/>
        <v>0,1-1</v>
      </c>
      <c r="E796" s="149">
        <f t="shared" si="778"/>
        <v>1</v>
      </c>
      <c r="F796" s="149" t="str">
        <f t="shared" si="778"/>
        <v>water</v>
      </c>
      <c r="G796" s="146" t="str">
        <f t="shared" si="767"/>
        <v>PHB film 0,1-1 mm (emission to water)</v>
      </c>
      <c r="H796" s="146"/>
      <c r="I796" s="129">
        <v>1</v>
      </c>
      <c r="J796" s="101" t="s">
        <v>1096</v>
      </c>
      <c r="K796" s="114">
        <f>K39</f>
        <v>175.98214285714289</v>
      </c>
      <c r="L796" s="226">
        <f t="shared" si="774"/>
        <v>2.8411973617453063</v>
      </c>
      <c r="M796" s="220">
        <f t="shared" si="777"/>
        <v>2.8411973617453062E-3</v>
      </c>
      <c r="N796" s="612"/>
    </row>
    <row r="797" spans="1:14" s="102" customFormat="1">
      <c r="A797" s="173" t="str">
        <f>A795</f>
        <v>PHB</v>
      </c>
      <c r="B797" s="150" t="str">
        <f>B795</f>
        <v>film</v>
      </c>
      <c r="C797" s="150">
        <f t="shared" si="775"/>
        <v>2</v>
      </c>
      <c r="D797" s="150" t="str">
        <f>D795</f>
        <v>0,1-1</v>
      </c>
      <c r="E797" s="150">
        <f>E795</f>
        <v>1</v>
      </c>
      <c r="F797" s="150" t="str">
        <f>F795</f>
        <v>water</v>
      </c>
      <c r="G797" s="147" t="str">
        <f t="shared" si="767"/>
        <v>PHB film 0,1-1 mm (emission to water)</v>
      </c>
      <c r="H797" s="147"/>
      <c r="I797" s="129">
        <v>0</v>
      </c>
      <c r="J797" s="101" t="s">
        <v>1034</v>
      </c>
      <c r="K797" s="151" t="s">
        <v>596</v>
      </c>
      <c r="L797" s="226">
        <f t="shared" si="774"/>
        <v>0</v>
      </c>
      <c r="M797" s="220">
        <f t="shared" si="777"/>
        <v>0</v>
      </c>
      <c r="N797" s="613"/>
    </row>
    <row r="798" spans="1:14" s="102" customFormat="1">
      <c r="A798" s="174" t="s">
        <v>18</v>
      </c>
      <c r="B798" s="288" t="s">
        <v>996</v>
      </c>
      <c r="C798" s="290">
        <f>IF(OR(B798="Folie", B798="Strips", B798="Film",B798="Flakes",B798="Coupon"), 2,IF(OR(B798="Fibers",B798="Pellets"),4,IF(OR(B798="Particles",B798="Shreds",B798="Powder",B798="Fragments",B798="Granules"),6,"")))</f>
        <v>2</v>
      </c>
      <c r="D798" s="290" t="s">
        <v>1028</v>
      </c>
      <c r="E798" s="155">
        <v>1</v>
      </c>
      <c r="F798" s="131" t="s">
        <v>1057</v>
      </c>
      <c r="G798" s="134" t="str">
        <f t="shared" ref="G798:G800" si="779">CONCATENATE(A798," ",B798," ",D798," mm (emission to ",F798,")")</f>
        <v>PHB film 0,1-1 mm (emission to air)</v>
      </c>
      <c r="H798" s="144"/>
      <c r="I798" s="137">
        <v>0.97699999999999998</v>
      </c>
      <c r="J798" s="101" t="s">
        <v>1019</v>
      </c>
      <c r="K798" s="114">
        <f>K37</f>
        <v>789.98664829447762</v>
      </c>
      <c r="L798" s="226">
        <f t="shared" ref="L798:L800" si="780">IFERROR(IF(K798="--",0,IF(E798*1000/K798*(1-0.5)^(C798/2)&gt;1000,1000,E798*1000/K798*(1-0.5)^(C798/2))),1000)</f>
        <v>0.63292208935361471</v>
      </c>
      <c r="M798" s="158">
        <f>IF(L798/1000&gt;1000,1000,L798/1000)</f>
        <v>6.3292208935361474E-4</v>
      </c>
      <c r="N798" s="610">
        <f>I798*M798+I799*M799</f>
        <v>6.8371242061862365E-4</v>
      </c>
    </row>
    <row r="799" spans="1:14" s="102" customFormat="1">
      <c r="A799" s="172" t="str">
        <f>A798</f>
        <v>PHB</v>
      </c>
      <c r="B799" s="149" t="str">
        <f>B798</f>
        <v>film</v>
      </c>
      <c r="C799" s="149">
        <f t="shared" ref="C799:C800" si="781">IF(OR(B799="Folie", B799="Strips", B799="Film",B799="Flakes",B799="Coupon"), 2,IF(OR(B799="Fibers",B799="Pellets"),4,IF(OR(B799="Particles",B799="Shreds",B799="Powder",B799="Fragments",B799="Granules"),6,"")))</f>
        <v>2</v>
      </c>
      <c r="D799" s="149" t="str">
        <f t="shared" ref="D799:F799" si="782">D798</f>
        <v>0,1-1</v>
      </c>
      <c r="E799" s="149">
        <f t="shared" si="782"/>
        <v>1</v>
      </c>
      <c r="F799" s="149" t="str">
        <f t="shared" si="782"/>
        <v>air</v>
      </c>
      <c r="G799" s="146" t="str">
        <f t="shared" si="779"/>
        <v>PHB film 0,1-1 mm (emission to air)</v>
      </c>
      <c r="H799" s="146"/>
      <c r="I799" s="129">
        <v>2.3E-2</v>
      </c>
      <c r="J799" s="101" t="s">
        <v>1097</v>
      </c>
      <c r="K799" s="114">
        <f>K38</f>
        <v>175.98214285714289</v>
      </c>
      <c r="L799" s="226">
        <f t="shared" si="780"/>
        <v>2.8411973617453063</v>
      </c>
      <c r="M799" s="158">
        <f>IF(L799/1000&gt;1000,1000,L799/1000)</f>
        <v>2.8411973617453062E-3</v>
      </c>
      <c r="N799" s="610"/>
    </row>
    <row r="800" spans="1:14" s="102" customFormat="1">
      <c r="A800" s="173" t="str">
        <f>A799</f>
        <v>PHB</v>
      </c>
      <c r="B800" s="150" t="str">
        <f>B799</f>
        <v>film</v>
      </c>
      <c r="C800" s="150">
        <f t="shared" si="781"/>
        <v>2</v>
      </c>
      <c r="D800" s="150" t="str">
        <f t="shared" ref="D800:F800" si="783">D799</f>
        <v>0,1-1</v>
      </c>
      <c r="E800" s="150">
        <f t="shared" si="783"/>
        <v>1</v>
      </c>
      <c r="F800" s="150" t="str">
        <f t="shared" si="783"/>
        <v>air</v>
      </c>
      <c r="G800" s="147" t="str">
        <f t="shared" si="779"/>
        <v>PHB film 0,1-1 mm (emission to air)</v>
      </c>
      <c r="H800" s="147"/>
      <c r="I800" s="129">
        <v>0</v>
      </c>
      <c r="J800" s="101" t="s">
        <v>1034</v>
      </c>
      <c r="K800" s="151" t="s">
        <v>596</v>
      </c>
      <c r="L800" s="226">
        <f t="shared" si="780"/>
        <v>0</v>
      </c>
      <c r="M800" s="158">
        <f t="shared" ref="M800" si="784">IF(L800/1000&gt;1000,1000,L800/1000)</f>
        <v>0</v>
      </c>
      <c r="N800" s="610"/>
    </row>
    <row r="801" spans="1:14" s="102" customFormat="1">
      <c r="A801" s="174" t="s">
        <v>18</v>
      </c>
      <c r="B801" s="159" t="s">
        <v>996</v>
      </c>
      <c r="C801" s="188">
        <f t="shared" si="775"/>
        <v>2</v>
      </c>
      <c r="D801" s="188" t="s">
        <v>1026</v>
      </c>
      <c r="E801" s="155">
        <v>10</v>
      </c>
      <c r="F801" s="131" t="s">
        <v>1019</v>
      </c>
      <c r="G801" s="134" t="str">
        <f t="shared" ref="G801:G854" si="785">CONCATENATE(A801," ",B801," ",D801," mm (emission to ",F801,")")</f>
        <v>PHB film 1-10 mm (emission to soil)</v>
      </c>
      <c r="H801" s="134"/>
      <c r="I801" s="129">
        <v>1</v>
      </c>
      <c r="J801" s="101" t="s">
        <v>1019</v>
      </c>
      <c r="K801" s="114">
        <f>K37</f>
        <v>789.98664829447762</v>
      </c>
      <c r="L801" s="226">
        <f t="shared" ref="L801:L807" si="786">IFERROR(IF(K801="--",0,IF(E801*1000/K801*(1-0.5)^(C801/2)&gt;1000,1000,E801*1000/K801*(1-0.5)^(C801/2))),1000)</f>
        <v>6.3292208935361476</v>
      </c>
      <c r="M801" s="158">
        <f>IF(L801/1000&gt;1000,1000,L801/1000)</f>
        <v>6.3292208935361478E-3</v>
      </c>
      <c r="N801" s="610">
        <f>I801*M801+I802*M802</f>
        <v>6.3292208935361478E-3</v>
      </c>
    </row>
    <row r="802" spans="1:14" s="102" customFormat="1">
      <c r="A802" s="172" t="str">
        <f>A801</f>
        <v>PHB</v>
      </c>
      <c r="B802" s="149" t="str">
        <f>B801</f>
        <v>film</v>
      </c>
      <c r="C802" s="149">
        <f t="shared" si="775"/>
        <v>2</v>
      </c>
      <c r="D802" s="149" t="str">
        <f t="shared" ref="D802:F803" si="787">D801</f>
        <v>1-10</v>
      </c>
      <c r="E802" s="149">
        <f t="shared" si="787"/>
        <v>10</v>
      </c>
      <c r="F802" s="149" t="str">
        <f t="shared" si="787"/>
        <v>soil</v>
      </c>
      <c r="G802" s="146" t="str">
        <f t="shared" si="785"/>
        <v>PHB film 1-10 mm (emission to soil)</v>
      </c>
      <c r="H802" s="146"/>
      <c r="I802" s="129">
        <v>0</v>
      </c>
      <c r="J802" s="101" t="s">
        <v>1097</v>
      </c>
      <c r="K802" s="114">
        <f>K38</f>
        <v>175.98214285714289</v>
      </c>
      <c r="L802" s="226">
        <f t="shared" si="786"/>
        <v>28.411973617453064</v>
      </c>
      <c r="M802" s="158">
        <f>IF(L802/1000&gt;1000,1000,L802/1000)</f>
        <v>2.8411973617453064E-2</v>
      </c>
      <c r="N802" s="610"/>
    </row>
    <row r="803" spans="1:14" s="102" customFormat="1">
      <c r="A803" s="173" t="str">
        <f>A802</f>
        <v>PHB</v>
      </c>
      <c r="B803" s="150" t="str">
        <f>B802</f>
        <v>film</v>
      </c>
      <c r="C803" s="150">
        <f t="shared" si="775"/>
        <v>2</v>
      </c>
      <c r="D803" s="150" t="str">
        <f t="shared" si="787"/>
        <v>1-10</v>
      </c>
      <c r="E803" s="150">
        <f t="shared" si="787"/>
        <v>10</v>
      </c>
      <c r="F803" s="150" t="str">
        <f t="shared" si="787"/>
        <v>soil</v>
      </c>
      <c r="G803" s="147" t="str">
        <f t="shared" si="785"/>
        <v>PHB film 1-10 mm (emission to soil)</v>
      </c>
      <c r="H803" s="147"/>
      <c r="I803" s="129">
        <v>0</v>
      </c>
      <c r="J803" s="101" t="s">
        <v>1034</v>
      </c>
      <c r="K803" s="114" t="s">
        <v>596</v>
      </c>
      <c r="L803" s="226">
        <f t="shared" si="786"/>
        <v>0</v>
      </c>
      <c r="M803" s="158">
        <f t="shared" ref="M803:M807" si="788">IF(L803/1000&gt;1000,1000,L803/1000)</f>
        <v>0</v>
      </c>
      <c r="N803" s="610"/>
    </row>
    <row r="804" spans="1:14" s="102" customFormat="1">
      <c r="A804" s="174" t="s">
        <v>18</v>
      </c>
      <c r="B804" s="159" t="s">
        <v>996</v>
      </c>
      <c r="C804" s="188">
        <f t="shared" si="775"/>
        <v>2</v>
      </c>
      <c r="D804" s="188" t="s">
        <v>1026</v>
      </c>
      <c r="E804" s="214">
        <v>10</v>
      </c>
      <c r="F804" s="131" t="s">
        <v>1020</v>
      </c>
      <c r="G804" s="134" t="str">
        <f t="shared" si="785"/>
        <v>PHB film 1-10 mm (emission to water)</v>
      </c>
      <c r="H804" s="134"/>
      <c r="I804" s="129">
        <v>0</v>
      </c>
      <c r="J804" s="101" t="s">
        <v>1019</v>
      </c>
      <c r="K804" s="114">
        <f>K37</f>
        <v>789.98664829447762</v>
      </c>
      <c r="L804" s="226">
        <f t="shared" si="786"/>
        <v>6.3292208935361476</v>
      </c>
      <c r="M804" s="220">
        <f t="shared" si="788"/>
        <v>6.3292208935361478E-3</v>
      </c>
      <c r="N804" s="611">
        <f>I804*M804+I805*M805+I806*M806</f>
        <v>2.8411973617453064E-2</v>
      </c>
    </row>
    <row r="805" spans="1:14" s="102" customFormat="1">
      <c r="A805" s="172" t="str">
        <f>A804</f>
        <v>PHB</v>
      </c>
      <c r="B805" s="149" t="str">
        <f>B804</f>
        <v>film</v>
      </c>
      <c r="C805" s="149">
        <f t="shared" si="775"/>
        <v>2</v>
      </c>
      <c r="D805" s="149" t="str">
        <f t="shared" ref="D805:F806" si="789">D804</f>
        <v>1-10</v>
      </c>
      <c r="E805" s="149">
        <f t="shared" si="789"/>
        <v>10</v>
      </c>
      <c r="F805" s="149" t="str">
        <f t="shared" si="789"/>
        <v>water</v>
      </c>
      <c r="G805" s="146" t="str">
        <f t="shared" si="785"/>
        <v>PHB film 1-10 mm (emission to water)</v>
      </c>
      <c r="H805" s="146"/>
      <c r="I805" s="129">
        <v>0</v>
      </c>
      <c r="J805" s="101" t="s">
        <v>1097</v>
      </c>
      <c r="K805" s="114">
        <f>K38</f>
        <v>175.98214285714289</v>
      </c>
      <c r="L805" s="226">
        <f t="shared" si="786"/>
        <v>28.411973617453064</v>
      </c>
      <c r="M805" s="220">
        <f t="shared" si="788"/>
        <v>2.8411973617453064E-2</v>
      </c>
      <c r="N805" s="612"/>
    </row>
    <row r="806" spans="1:14" s="102" customFormat="1">
      <c r="A806" s="172" t="str">
        <f>A805</f>
        <v>PHB</v>
      </c>
      <c r="B806" s="149" t="str">
        <f>B805</f>
        <v>film</v>
      </c>
      <c r="C806" s="149">
        <f t="shared" si="775"/>
        <v>2</v>
      </c>
      <c r="D806" s="149" t="str">
        <f t="shared" si="789"/>
        <v>1-10</v>
      </c>
      <c r="E806" s="149">
        <f t="shared" si="789"/>
        <v>10</v>
      </c>
      <c r="F806" s="149" t="str">
        <f t="shared" si="789"/>
        <v>water</v>
      </c>
      <c r="G806" s="146" t="str">
        <f t="shared" si="785"/>
        <v>PHB film 1-10 mm (emission to water)</v>
      </c>
      <c r="H806" s="146"/>
      <c r="I806" s="129">
        <v>1</v>
      </c>
      <c r="J806" s="101"/>
      <c r="K806" s="114">
        <f>K39</f>
        <v>175.98214285714289</v>
      </c>
      <c r="L806" s="226">
        <f t="shared" si="786"/>
        <v>28.411973617453064</v>
      </c>
      <c r="M806" s="220">
        <f t="shared" si="788"/>
        <v>2.8411973617453064E-2</v>
      </c>
      <c r="N806" s="612"/>
    </row>
    <row r="807" spans="1:14" s="102" customFormat="1">
      <c r="A807" s="173" t="str">
        <f>A805</f>
        <v>PHB</v>
      </c>
      <c r="B807" s="150" t="str">
        <f>B805</f>
        <v>film</v>
      </c>
      <c r="C807" s="150">
        <f t="shared" si="775"/>
        <v>2</v>
      </c>
      <c r="D807" s="150" t="str">
        <f>D805</f>
        <v>1-10</v>
      </c>
      <c r="E807" s="150">
        <f>E805</f>
        <v>10</v>
      </c>
      <c r="F807" s="150" t="str">
        <f>F805</f>
        <v>water</v>
      </c>
      <c r="G807" s="147" t="str">
        <f t="shared" si="785"/>
        <v>PHB film 1-10 mm (emission to water)</v>
      </c>
      <c r="H807" s="147"/>
      <c r="I807" s="129">
        <v>0</v>
      </c>
      <c r="J807" s="101" t="s">
        <v>1034</v>
      </c>
      <c r="K807" s="114" t="s">
        <v>596</v>
      </c>
      <c r="L807" s="226">
        <f t="shared" si="786"/>
        <v>0</v>
      </c>
      <c r="M807" s="220">
        <f t="shared" si="788"/>
        <v>0</v>
      </c>
      <c r="N807" s="613"/>
    </row>
    <row r="808" spans="1:14" s="102" customFormat="1">
      <c r="A808" s="174" t="s">
        <v>18</v>
      </c>
      <c r="B808" s="159" t="s">
        <v>996</v>
      </c>
      <c r="C808" s="290">
        <f t="shared" ref="C808:C810" si="790">IF(OR(B808="Folie", B808="Strips", B808="Film",B808="Flakes",B808="Coupon"), 2,IF(OR(B808="Fibers",B808="Pellets"),4,IF(OR(B808="Particles",B808="Shreds",B808="Powder",B808="Fragments",B808="Granules"),6,"")))</f>
        <v>2</v>
      </c>
      <c r="D808" s="290" t="s">
        <v>1026</v>
      </c>
      <c r="E808" s="155">
        <v>10</v>
      </c>
      <c r="F808" s="131" t="s">
        <v>1057</v>
      </c>
      <c r="G808" s="134" t="str">
        <f t="shared" ref="G808:G810" si="791">CONCATENATE(A808," ",B808," ",D808," mm (emission to ",F808,")")</f>
        <v>PHB film 1-10 mm (emission to air)</v>
      </c>
      <c r="H808" s="134"/>
      <c r="I808" s="137">
        <v>0.97699999999999998</v>
      </c>
      <c r="J808" s="101" t="s">
        <v>1019</v>
      </c>
      <c r="K808" s="114">
        <f>K37</f>
        <v>789.98664829447762</v>
      </c>
      <c r="L808" s="226">
        <f t="shared" ref="L808:L810" si="792">IFERROR(IF(K808="--",0,IF(E808*1000/K808*(1-0.5)^(C808/2)&gt;1000,1000,E808*1000/K808*(1-0.5)^(C808/2))),1000)</f>
        <v>6.3292208935361476</v>
      </c>
      <c r="M808" s="158">
        <f>IF(L808/1000&gt;1000,1000,L808/1000)</f>
        <v>6.3292208935361478E-3</v>
      </c>
      <c r="N808" s="610">
        <f>I808*M808+I809*M809</f>
        <v>6.8371242061862373E-3</v>
      </c>
    </row>
    <row r="809" spans="1:14" s="102" customFormat="1">
      <c r="A809" s="172" t="str">
        <f>A808</f>
        <v>PHB</v>
      </c>
      <c r="B809" s="149" t="str">
        <f>B808</f>
        <v>film</v>
      </c>
      <c r="C809" s="149">
        <f t="shared" si="790"/>
        <v>2</v>
      </c>
      <c r="D809" s="149" t="str">
        <f t="shared" ref="D809:F809" si="793">D808</f>
        <v>1-10</v>
      </c>
      <c r="E809" s="149">
        <f t="shared" si="793"/>
        <v>10</v>
      </c>
      <c r="F809" s="149" t="str">
        <f t="shared" si="793"/>
        <v>air</v>
      </c>
      <c r="G809" s="146" t="str">
        <f t="shared" si="791"/>
        <v>PHB film 1-10 mm (emission to air)</v>
      </c>
      <c r="H809" s="146"/>
      <c r="I809" s="129">
        <v>2.3E-2</v>
      </c>
      <c r="J809" s="101" t="s">
        <v>1097</v>
      </c>
      <c r="K809" s="114">
        <f>K38</f>
        <v>175.98214285714289</v>
      </c>
      <c r="L809" s="226">
        <f t="shared" si="792"/>
        <v>28.411973617453064</v>
      </c>
      <c r="M809" s="158">
        <f>IF(L809/1000&gt;1000,1000,L809/1000)</f>
        <v>2.8411973617453064E-2</v>
      </c>
      <c r="N809" s="610"/>
    </row>
    <row r="810" spans="1:14" s="102" customFormat="1">
      <c r="A810" s="173" t="str">
        <f>A809</f>
        <v>PHB</v>
      </c>
      <c r="B810" s="150" t="str">
        <f>B809</f>
        <v>film</v>
      </c>
      <c r="C810" s="150">
        <f t="shared" si="790"/>
        <v>2</v>
      </c>
      <c r="D810" s="150" t="str">
        <f t="shared" ref="D810:F810" si="794">D809</f>
        <v>1-10</v>
      </c>
      <c r="E810" s="150">
        <f t="shared" si="794"/>
        <v>10</v>
      </c>
      <c r="F810" s="150" t="str">
        <f t="shared" si="794"/>
        <v>air</v>
      </c>
      <c r="G810" s="147" t="str">
        <f t="shared" si="791"/>
        <v>PHB film 1-10 mm (emission to air)</v>
      </c>
      <c r="H810" s="147"/>
      <c r="I810" s="129">
        <v>0</v>
      </c>
      <c r="J810" s="101" t="s">
        <v>1034</v>
      </c>
      <c r="K810" s="114" t="s">
        <v>596</v>
      </c>
      <c r="L810" s="226">
        <f t="shared" si="792"/>
        <v>0</v>
      </c>
      <c r="M810" s="158">
        <f t="shared" ref="M810" si="795">IF(L810/1000&gt;1000,1000,L810/1000)</f>
        <v>0</v>
      </c>
      <c r="N810" s="610"/>
    </row>
    <row r="811" spans="1:14" s="102" customFormat="1">
      <c r="A811" s="174" t="s">
        <v>18</v>
      </c>
      <c r="B811" s="159" t="s">
        <v>1051</v>
      </c>
      <c r="C811" s="188">
        <f t="shared" si="775"/>
        <v>4</v>
      </c>
      <c r="D811" s="188" t="s">
        <v>1028</v>
      </c>
      <c r="E811" s="155">
        <v>1</v>
      </c>
      <c r="F811" s="131" t="s">
        <v>1019</v>
      </c>
      <c r="G811" s="134" t="str">
        <f t="shared" si="785"/>
        <v>PHB fibers 0,1-1 mm (emission to soil)</v>
      </c>
      <c r="H811" s="193"/>
      <c r="I811" s="129">
        <v>1</v>
      </c>
      <c r="J811" s="101" t="s">
        <v>1019</v>
      </c>
      <c r="K811" s="114">
        <f>K37</f>
        <v>789.98664829447762</v>
      </c>
      <c r="L811" s="226">
        <f t="shared" ref="L811:L817" si="796">IFERROR(IF(K811="--",0,IF(E811*1000/K811*(1-0.5)^(C811/2)&gt;1000,1000,E811*1000/K811*(1-0.5)^(C811/2))),1000)</f>
        <v>0.31646104467680736</v>
      </c>
      <c r="M811" s="158">
        <f>IF(L811/1000&gt;1000,1000,L811/1000)</f>
        <v>3.1646104467680737E-4</v>
      </c>
      <c r="N811" s="610">
        <f>I811*M811+I812*M812</f>
        <v>3.1646104467680737E-4</v>
      </c>
    </row>
    <row r="812" spans="1:14" s="102" customFormat="1">
      <c r="A812" s="172" t="str">
        <f>A811</f>
        <v>PHB</v>
      </c>
      <c r="B812" s="149" t="str">
        <f>B811</f>
        <v>fibers</v>
      </c>
      <c r="C812" s="149">
        <f t="shared" si="775"/>
        <v>4</v>
      </c>
      <c r="D812" s="149" t="str">
        <f t="shared" ref="D812:F813" si="797">D811</f>
        <v>0,1-1</v>
      </c>
      <c r="E812" s="149">
        <f t="shared" si="797"/>
        <v>1</v>
      </c>
      <c r="F812" s="149" t="str">
        <f t="shared" si="797"/>
        <v>soil</v>
      </c>
      <c r="G812" s="146" t="str">
        <f t="shared" si="785"/>
        <v>PHB fibers 0,1-1 mm (emission to soil)</v>
      </c>
      <c r="H812" s="146"/>
      <c r="I812" s="129">
        <v>0</v>
      </c>
      <c r="J812" s="101" t="s">
        <v>1097</v>
      </c>
      <c r="K812" s="114">
        <f>K38</f>
        <v>175.98214285714289</v>
      </c>
      <c r="L812" s="226">
        <f t="shared" si="796"/>
        <v>1.4205986808726532</v>
      </c>
      <c r="M812" s="158">
        <f>IF(L812/1000&gt;1000,1000,L812/1000)</f>
        <v>1.4205986808726531E-3</v>
      </c>
      <c r="N812" s="610"/>
    </row>
    <row r="813" spans="1:14" s="102" customFormat="1">
      <c r="A813" s="173" t="str">
        <f>A812</f>
        <v>PHB</v>
      </c>
      <c r="B813" s="150" t="str">
        <f>B812</f>
        <v>fibers</v>
      </c>
      <c r="C813" s="150">
        <f t="shared" si="775"/>
        <v>4</v>
      </c>
      <c r="D813" s="150" t="str">
        <f t="shared" si="797"/>
        <v>0,1-1</v>
      </c>
      <c r="E813" s="150">
        <f t="shared" si="797"/>
        <v>1</v>
      </c>
      <c r="F813" s="150" t="str">
        <f t="shared" si="797"/>
        <v>soil</v>
      </c>
      <c r="G813" s="147" t="str">
        <f t="shared" si="785"/>
        <v>PHB fibers 0,1-1 mm (emission to soil)</v>
      </c>
      <c r="H813" s="146"/>
      <c r="I813" s="129">
        <v>0</v>
      </c>
      <c r="J813" s="101" t="s">
        <v>1034</v>
      </c>
      <c r="K813" s="151" t="s">
        <v>596</v>
      </c>
      <c r="L813" s="226">
        <f t="shared" si="796"/>
        <v>0</v>
      </c>
      <c r="M813" s="158">
        <f t="shared" ref="M813:M817" si="798">IF(L813/1000&gt;1000,1000,L813/1000)</f>
        <v>0</v>
      </c>
      <c r="N813" s="610"/>
    </row>
    <row r="814" spans="1:14" s="102" customFormat="1">
      <c r="A814" s="174" t="s">
        <v>18</v>
      </c>
      <c r="B814" s="159" t="s">
        <v>1051</v>
      </c>
      <c r="C814" s="188">
        <f t="shared" si="775"/>
        <v>4</v>
      </c>
      <c r="D814" s="188" t="s">
        <v>1028</v>
      </c>
      <c r="E814" s="216">
        <v>1</v>
      </c>
      <c r="F814" s="131" t="s">
        <v>1020</v>
      </c>
      <c r="G814" s="134" t="str">
        <f t="shared" si="785"/>
        <v>PHB fibers 0,1-1 mm (emission to water)</v>
      </c>
      <c r="H814" s="192"/>
      <c r="I814" s="129">
        <v>0</v>
      </c>
      <c r="J814" s="101" t="s">
        <v>1019</v>
      </c>
      <c r="K814" s="114">
        <f>K37</f>
        <v>789.98664829447762</v>
      </c>
      <c r="L814" s="226">
        <f t="shared" si="796"/>
        <v>0.31646104467680736</v>
      </c>
      <c r="M814" s="220">
        <f t="shared" si="798"/>
        <v>3.1646104467680737E-4</v>
      </c>
      <c r="N814" s="611">
        <f>I814*M814+I815*M815+I816*M816</f>
        <v>1.4205986808726531E-3</v>
      </c>
    </row>
    <row r="815" spans="1:14" s="102" customFormat="1">
      <c r="A815" s="172" t="str">
        <f>A814</f>
        <v>PHB</v>
      </c>
      <c r="B815" s="149" t="str">
        <f>B814</f>
        <v>fibers</v>
      </c>
      <c r="C815" s="149">
        <f t="shared" si="775"/>
        <v>4</v>
      </c>
      <c r="D815" s="149" t="str">
        <f t="shared" ref="D815:F816" si="799">D814</f>
        <v>0,1-1</v>
      </c>
      <c r="E815" s="149">
        <f t="shared" si="799"/>
        <v>1</v>
      </c>
      <c r="F815" s="149" t="str">
        <f t="shared" si="799"/>
        <v>water</v>
      </c>
      <c r="G815" s="146" t="str">
        <f t="shared" si="785"/>
        <v>PHB fibers 0,1-1 mm (emission to water)</v>
      </c>
      <c r="H815" s="146"/>
      <c r="I815" s="129">
        <v>0</v>
      </c>
      <c r="J815" s="101" t="s">
        <v>1097</v>
      </c>
      <c r="K815" s="114">
        <f>K38</f>
        <v>175.98214285714289</v>
      </c>
      <c r="L815" s="226">
        <f t="shared" si="796"/>
        <v>1.4205986808726532</v>
      </c>
      <c r="M815" s="220">
        <f t="shared" si="798"/>
        <v>1.4205986808726531E-3</v>
      </c>
      <c r="N815" s="612"/>
    </row>
    <row r="816" spans="1:14" s="102" customFormat="1">
      <c r="A816" s="172" t="str">
        <f>A815</f>
        <v>PHB</v>
      </c>
      <c r="B816" s="149" t="str">
        <f>B815</f>
        <v>fibers</v>
      </c>
      <c r="C816" s="149">
        <f t="shared" si="775"/>
        <v>4</v>
      </c>
      <c r="D816" s="149" t="str">
        <f t="shared" si="799"/>
        <v>0,1-1</v>
      </c>
      <c r="E816" s="149">
        <f t="shared" si="799"/>
        <v>1</v>
      </c>
      <c r="F816" s="149" t="str">
        <f t="shared" si="799"/>
        <v>water</v>
      </c>
      <c r="G816" s="146" t="str">
        <f t="shared" si="785"/>
        <v>PHB fibers 0,1-1 mm (emission to water)</v>
      </c>
      <c r="H816" s="146"/>
      <c r="I816" s="129">
        <v>1</v>
      </c>
      <c r="J816" s="101"/>
      <c r="K816" s="114">
        <f>K39</f>
        <v>175.98214285714289</v>
      </c>
      <c r="L816" s="226">
        <f t="shared" si="796"/>
        <v>1.4205986808726532</v>
      </c>
      <c r="M816" s="220">
        <f t="shared" si="798"/>
        <v>1.4205986808726531E-3</v>
      </c>
      <c r="N816" s="612"/>
    </row>
    <row r="817" spans="1:14" s="102" customFormat="1">
      <c r="A817" s="173" t="str">
        <f>A815</f>
        <v>PHB</v>
      </c>
      <c r="B817" s="150" t="str">
        <f>B815</f>
        <v>fibers</v>
      </c>
      <c r="C817" s="150">
        <f t="shared" si="775"/>
        <v>4</v>
      </c>
      <c r="D817" s="150" t="str">
        <f>D815</f>
        <v>0,1-1</v>
      </c>
      <c r="E817" s="150">
        <f>E815</f>
        <v>1</v>
      </c>
      <c r="F817" s="150" t="str">
        <f>F815</f>
        <v>water</v>
      </c>
      <c r="G817" s="147" t="str">
        <f t="shared" si="785"/>
        <v>PHB fibers 0,1-1 mm (emission to water)</v>
      </c>
      <c r="H817" s="147"/>
      <c r="I817" s="129">
        <v>0</v>
      </c>
      <c r="J817" s="101" t="s">
        <v>1034</v>
      </c>
      <c r="K817" s="114" t="s">
        <v>596</v>
      </c>
      <c r="L817" s="226">
        <f t="shared" si="796"/>
        <v>0</v>
      </c>
      <c r="M817" s="220">
        <f t="shared" si="798"/>
        <v>0</v>
      </c>
      <c r="N817" s="613"/>
    </row>
    <row r="818" spans="1:14" s="102" customFormat="1">
      <c r="A818" s="174" t="s">
        <v>18</v>
      </c>
      <c r="B818" s="159" t="s">
        <v>1051</v>
      </c>
      <c r="C818" s="290">
        <f t="shared" ref="C818:C820" si="800">IF(OR(B818="Folie", B818="Strips", B818="Film",B818="Flakes",B818="Coupon"), 2,IF(OR(B818="Fibers",B818="Pellets"),4,IF(OR(B818="Particles",B818="Shreds",B818="Powder",B818="Fragments",B818="Granules"),6,"")))</f>
        <v>4</v>
      </c>
      <c r="D818" s="290" t="s">
        <v>1028</v>
      </c>
      <c r="E818" s="155">
        <v>1</v>
      </c>
      <c r="F818" s="131" t="s">
        <v>1057</v>
      </c>
      <c r="G818" s="134" t="str">
        <f t="shared" ref="G818:G820" si="801">CONCATENATE(A818," ",B818," ",D818," mm (emission to ",F818,")")</f>
        <v>PHB fibers 0,1-1 mm (emission to air)</v>
      </c>
      <c r="H818" s="192"/>
      <c r="I818" s="137">
        <v>0.97699999999999998</v>
      </c>
      <c r="J818" s="101" t="s">
        <v>1019</v>
      </c>
      <c r="K818" s="114">
        <f>K37</f>
        <v>789.98664829447762</v>
      </c>
      <c r="L818" s="226">
        <f t="shared" ref="L818:L820" si="802">IFERROR(IF(K818="--",0,IF(E818*1000/K818*(1-0.5)^(C818/2)&gt;1000,1000,E818*1000/K818*(1-0.5)^(C818/2))),1000)</f>
        <v>0.31646104467680736</v>
      </c>
      <c r="M818" s="158">
        <f>IF(L818/1000&gt;1000,1000,L818/1000)</f>
        <v>3.1646104467680737E-4</v>
      </c>
      <c r="N818" s="610">
        <f>I818*M818+I819*M819</f>
        <v>3.4185621030931182E-4</v>
      </c>
    </row>
    <row r="819" spans="1:14" s="102" customFormat="1">
      <c r="A819" s="172" t="str">
        <f>A818</f>
        <v>PHB</v>
      </c>
      <c r="B819" s="149" t="str">
        <f>B818</f>
        <v>fibers</v>
      </c>
      <c r="C819" s="149">
        <f t="shared" si="800"/>
        <v>4</v>
      </c>
      <c r="D819" s="149" t="str">
        <f t="shared" ref="D819:F819" si="803">D818</f>
        <v>0,1-1</v>
      </c>
      <c r="E819" s="149">
        <f t="shared" si="803"/>
        <v>1</v>
      </c>
      <c r="F819" s="149" t="str">
        <f t="shared" si="803"/>
        <v>air</v>
      </c>
      <c r="G819" s="146" t="str">
        <f t="shared" si="801"/>
        <v>PHB fibers 0,1-1 mm (emission to air)</v>
      </c>
      <c r="H819" s="146"/>
      <c r="I819" s="129">
        <v>2.3E-2</v>
      </c>
      <c r="J819" s="101" t="s">
        <v>1097</v>
      </c>
      <c r="K819" s="114">
        <f>K38</f>
        <v>175.98214285714289</v>
      </c>
      <c r="L819" s="226">
        <f t="shared" si="802"/>
        <v>1.4205986808726532</v>
      </c>
      <c r="M819" s="158">
        <f>IF(L819/1000&gt;1000,1000,L819/1000)</f>
        <v>1.4205986808726531E-3</v>
      </c>
      <c r="N819" s="610"/>
    </row>
    <row r="820" spans="1:14" s="102" customFormat="1">
      <c r="A820" s="173" t="str">
        <f>A819</f>
        <v>PHB</v>
      </c>
      <c r="B820" s="150" t="str">
        <f>B819</f>
        <v>fibers</v>
      </c>
      <c r="C820" s="150">
        <f t="shared" si="800"/>
        <v>4</v>
      </c>
      <c r="D820" s="150" t="str">
        <f t="shared" ref="D820:F820" si="804">D819</f>
        <v>0,1-1</v>
      </c>
      <c r="E820" s="150">
        <f t="shared" si="804"/>
        <v>1</v>
      </c>
      <c r="F820" s="150" t="str">
        <f t="shared" si="804"/>
        <v>air</v>
      </c>
      <c r="G820" s="147" t="str">
        <f t="shared" si="801"/>
        <v>PHB fibers 0,1-1 mm (emission to air)</v>
      </c>
      <c r="H820" s="146"/>
      <c r="I820" s="129">
        <v>0</v>
      </c>
      <c r="J820" s="101" t="s">
        <v>1034</v>
      </c>
      <c r="K820" s="151" t="s">
        <v>596</v>
      </c>
      <c r="L820" s="226">
        <f t="shared" si="802"/>
        <v>0</v>
      </c>
      <c r="M820" s="158">
        <f t="shared" ref="M820" si="805">IF(L820/1000&gt;1000,1000,L820/1000)</f>
        <v>0</v>
      </c>
      <c r="N820" s="610"/>
    </row>
    <row r="821" spans="1:14" s="135" customFormat="1">
      <c r="A821" s="174" t="s">
        <v>18</v>
      </c>
      <c r="B821" s="185" t="s">
        <v>372</v>
      </c>
      <c r="C821" s="140">
        <f t="shared" si="775"/>
        <v>4</v>
      </c>
      <c r="D821" s="153" t="s">
        <v>1026</v>
      </c>
      <c r="E821" s="155">
        <v>10</v>
      </c>
      <c r="F821" s="154" t="s">
        <v>1019</v>
      </c>
      <c r="G821" s="134" t="str">
        <f t="shared" si="785"/>
        <v>PHB pellets 1-10 mm (emission to soil)</v>
      </c>
      <c r="H821" s="148"/>
      <c r="I821" s="129">
        <v>1</v>
      </c>
      <c r="J821" s="101" t="s">
        <v>1019</v>
      </c>
      <c r="K821" s="114">
        <f>K37</f>
        <v>789.98664829447762</v>
      </c>
      <c r="L821" s="226">
        <f t="shared" ref="L821:L827" si="806">IFERROR(IF(K821="--",0,IF(E821*1000/K821*(1-0.5)^(C821/2)&gt;1000,1000,E821*1000/K821*(1-0.5)^(C821/2))),1000)</f>
        <v>3.1646104467680738</v>
      </c>
      <c r="M821" s="158">
        <f>IF(L821/1000&gt;1000,1000,L821/1000)</f>
        <v>3.1646104467680739E-3</v>
      </c>
      <c r="N821" s="610">
        <f>I821*M821+I822*M822</f>
        <v>3.1646104467680739E-3</v>
      </c>
    </row>
    <row r="822" spans="1:14" s="102" customFormat="1">
      <c r="A822" s="172" t="str">
        <f>A821</f>
        <v>PHB</v>
      </c>
      <c r="B822" s="149" t="str">
        <f>B821</f>
        <v>pellets</v>
      </c>
      <c r="C822" s="149">
        <f t="shared" si="775"/>
        <v>4</v>
      </c>
      <c r="D822" s="149" t="str">
        <f t="shared" ref="D822:F823" si="807">D821</f>
        <v>1-10</v>
      </c>
      <c r="E822" s="149">
        <f t="shared" si="807"/>
        <v>10</v>
      </c>
      <c r="F822" s="149" t="str">
        <f t="shared" si="807"/>
        <v>soil</v>
      </c>
      <c r="G822" s="146" t="str">
        <f t="shared" si="785"/>
        <v>PHB pellets 1-10 mm (emission to soil)</v>
      </c>
      <c r="H822" s="146"/>
      <c r="I822" s="129">
        <v>0</v>
      </c>
      <c r="J822" s="101" t="s">
        <v>1097</v>
      </c>
      <c r="K822" s="114">
        <f>K38</f>
        <v>175.98214285714289</v>
      </c>
      <c r="L822" s="226">
        <f t="shared" si="806"/>
        <v>14.205986808726532</v>
      </c>
      <c r="M822" s="158">
        <f>IF(L822/1000&gt;1000,1000,L822/1000)</f>
        <v>1.4205986808726532E-2</v>
      </c>
      <c r="N822" s="610"/>
    </row>
    <row r="823" spans="1:14" s="102" customFormat="1">
      <c r="A823" s="173" t="str">
        <f>A822</f>
        <v>PHB</v>
      </c>
      <c r="B823" s="150" t="str">
        <f>B822</f>
        <v>pellets</v>
      </c>
      <c r="C823" s="150">
        <f t="shared" si="775"/>
        <v>4</v>
      </c>
      <c r="D823" s="150" t="str">
        <f t="shared" si="807"/>
        <v>1-10</v>
      </c>
      <c r="E823" s="150">
        <f t="shared" si="807"/>
        <v>10</v>
      </c>
      <c r="F823" s="150" t="str">
        <f t="shared" si="807"/>
        <v>soil</v>
      </c>
      <c r="G823" s="147" t="str">
        <f t="shared" si="785"/>
        <v>PHB pellets 1-10 mm (emission to soil)</v>
      </c>
      <c r="H823" s="147">
        <f>H822</f>
        <v>0</v>
      </c>
      <c r="I823" s="129">
        <v>0</v>
      </c>
      <c r="J823" s="101" t="s">
        <v>1034</v>
      </c>
      <c r="K823" s="114" t="s">
        <v>596</v>
      </c>
      <c r="L823" s="226">
        <f t="shared" si="806"/>
        <v>0</v>
      </c>
      <c r="M823" s="158">
        <f t="shared" ref="M823:M827" si="808">IF(L823/1000&gt;1000,1000,L823/1000)</f>
        <v>0</v>
      </c>
      <c r="N823" s="610"/>
    </row>
    <row r="824" spans="1:14" s="102" customFormat="1">
      <c r="A824" s="174" t="s">
        <v>18</v>
      </c>
      <c r="B824" s="155" t="s">
        <v>372</v>
      </c>
      <c r="C824" s="188">
        <f t="shared" si="775"/>
        <v>4</v>
      </c>
      <c r="D824" s="153" t="s">
        <v>1026</v>
      </c>
      <c r="E824" s="214">
        <v>10</v>
      </c>
      <c r="F824" s="154" t="s">
        <v>1020</v>
      </c>
      <c r="G824" s="134" t="str">
        <f t="shared" si="785"/>
        <v>PHB pellets 1-10 mm (emission to water)</v>
      </c>
      <c r="H824" s="148"/>
      <c r="I824" s="129">
        <v>0</v>
      </c>
      <c r="J824" s="101" t="s">
        <v>1019</v>
      </c>
      <c r="K824" s="114">
        <f>K37</f>
        <v>789.98664829447762</v>
      </c>
      <c r="L824" s="226">
        <f t="shared" si="806"/>
        <v>3.1646104467680738</v>
      </c>
      <c r="M824" s="220">
        <f t="shared" si="808"/>
        <v>3.1646104467680739E-3</v>
      </c>
      <c r="N824" s="611">
        <f>I824*M824+I825*M825+I826*M826</f>
        <v>1.4205986808726532E-2</v>
      </c>
    </row>
    <row r="825" spans="1:14" s="102" customFormat="1">
      <c r="A825" s="172" t="str">
        <f>A824</f>
        <v>PHB</v>
      </c>
      <c r="B825" s="149" t="str">
        <f>B824</f>
        <v>pellets</v>
      </c>
      <c r="C825" s="149">
        <f t="shared" si="775"/>
        <v>4</v>
      </c>
      <c r="D825" s="149" t="str">
        <f t="shared" ref="D825:F826" si="809">D824</f>
        <v>1-10</v>
      </c>
      <c r="E825" s="149">
        <f t="shared" si="809"/>
        <v>10</v>
      </c>
      <c r="F825" s="149" t="str">
        <f t="shared" si="809"/>
        <v>water</v>
      </c>
      <c r="G825" s="146" t="str">
        <f t="shared" si="785"/>
        <v>PHB pellets 1-10 mm (emission to water)</v>
      </c>
      <c r="H825" s="146"/>
      <c r="I825" s="129">
        <v>0</v>
      </c>
      <c r="J825" s="101" t="s">
        <v>1097</v>
      </c>
      <c r="K825" s="114">
        <f>K38</f>
        <v>175.98214285714289</v>
      </c>
      <c r="L825" s="226">
        <f t="shared" si="806"/>
        <v>14.205986808726532</v>
      </c>
      <c r="M825" s="220">
        <f t="shared" si="808"/>
        <v>1.4205986808726532E-2</v>
      </c>
      <c r="N825" s="612"/>
    </row>
    <row r="826" spans="1:14" s="102" customFormat="1">
      <c r="A826" s="172" t="str">
        <f>A825</f>
        <v>PHB</v>
      </c>
      <c r="B826" s="149" t="str">
        <f>B825</f>
        <v>pellets</v>
      </c>
      <c r="C826" s="149">
        <f t="shared" si="775"/>
        <v>4</v>
      </c>
      <c r="D826" s="149" t="str">
        <f t="shared" si="809"/>
        <v>1-10</v>
      </c>
      <c r="E826" s="149">
        <f t="shared" si="809"/>
        <v>10</v>
      </c>
      <c r="F826" s="149" t="str">
        <f t="shared" si="809"/>
        <v>water</v>
      </c>
      <c r="G826" s="146" t="str">
        <f t="shared" si="785"/>
        <v>PHB pellets 1-10 mm (emission to water)</v>
      </c>
      <c r="H826" s="146"/>
      <c r="I826" s="129">
        <v>1</v>
      </c>
      <c r="J826" s="101"/>
      <c r="K826" s="114">
        <f>K39</f>
        <v>175.98214285714289</v>
      </c>
      <c r="L826" s="226">
        <f t="shared" si="806"/>
        <v>14.205986808726532</v>
      </c>
      <c r="M826" s="220">
        <f t="shared" si="808"/>
        <v>1.4205986808726532E-2</v>
      </c>
      <c r="N826" s="612"/>
    </row>
    <row r="827" spans="1:14" s="102" customFormat="1">
      <c r="A827" s="173" t="str">
        <f>A825</f>
        <v>PHB</v>
      </c>
      <c r="B827" s="150" t="str">
        <f>B825</f>
        <v>pellets</v>
      </c>
      <c r="C827" s="150">
        <f t="shared" si="775"/>
        <v>4</v>
      </c>
      <c r="D827" s="150" t="str">
        <f>D825</f>
        <v>1-10</v>
      </c>
      <c r="E827" s="150">
        <f>E825</f>
        <v>10</v>
      </c>
      <c r="F827" s="150" t="str">
        <f>F825</f>
        <v>water</v>
      </c>
      <c r="G827" s="147" t="str">
        <f t="shared" si="785"/>
        <v>PHB pellets 1-10 mm (emission to water)</v>
      </c>
      <c r="H827" s="147"/>
      <c r="I827" s="129">
        <v>0</v>
      </c>
      <c r="J827" s="101" t="s">
        <v>1034</v>
      </c>
      <c r="K827" s="114" t="s">
        <v>596</v>
      </c>
      <c r="L827" s="226">
        <f t="shared" si="806"/>
        <v>0</v>
      </c>
      <c r="M827" s="220">
        <f t="shared" si="808"/>
        <v>0</v>
      </c>
      <c r="N827" s="613"/>
    </row>
    <row r="828" spans="1:14" s="102" customFormat="1">
      <c r="A828" s="174" t="s">
        <v>18</v>
      </c>
      <c r="B828" s="287" t="s">
        <v>372</v>
      </c>
      <c r="C828" s="140">
        <f t="shared" ref="C828:C830" si="810">IF(OR(B828="Folie", B828="Strips", B828="Film",B828="Flakes",B828="Coupon"), 2,IF(OR(B828="Fibers",B828="Pellets"),4,IF(OR(B828="Particles",B828="Shreds",B828="Powder",B828="Fragments",B828="Granules"),6,"")))</f>
        <v>4</v>
      </c>
      <c r="D828" s="153" t="s">
        <v>1026</v>
      </c>
      <c r="E828" s="155">
        <v>10</v>
      </c>
      <c r="F828" s="154" t="s">
        <v>1057</v>
      </c>
      <c r="G828" s="134" t="str">
        <f t="shared" ref="G828:G830" si="811">CONCATENATE(A828," ",B828," ",D828," mm (emission to ",F828,")")</f>
        <v>PHB pellets 1-10 mm (emission to air)</v>
      </c>
      <c r="H828" s="148"/>
      <c r="I828" s="137">
        <v>0.97699999999999998</v>
      </c>
      <c r="J828" s="101" t="s">
        <v>1019</v>
      </c>
      <c r="K828" s="114">
        <f>K37</f>
        <v>789.98664829447762</v>
      </c>
      <c r="L828" s="226">
        <f t="shared" ref="L828:L830" si="812">IFERROR(IF(K828="--",0,IF(E828*1000/K828*(1-0.5)^(C828/2)&gt;1000,1000,E828*1000/K828*(1-0.5)^(C828/2))),1000)</f>
        <v>3.1646104467680738</v>
      </c>
      <c r="M828" s="158">
        <f>IF(L828/1000&gt;1000,1000,L828/1000)</f>
        <v>3.1646104467680739E-3</v>
      </c>
      <c r="N828" s="610">
        <f>I828*M828+I829*M829</f>
        <v>3.4185621030931187E-3</v>
      </c>
    </row>
    <row r="829" spans="1:14" s="102" customFormat="1">
      <c r="A829" s="172" t="str">
        <f>A828</f>
        <v>PHB</v>
      </c>
      <c r="B829" s="149" t="str">
        <f>B828</f>
        <v>pellets</v>
      </c>
      <c r="C829" s="149">
        <f t="shared" si="810"/>
        <v>4</v>
      </c>
      <c r="D829" s="149" t="str">
        <f t="shared" ref="D829:F829" si="813">D828</f>
        <v>1-10</v>
      </c>
      <c r="E829" s="149">
        <f t="shared" si="813"/>
        <v>10</v>
      </c>
      <c r="F829" s="149" t="str">
        <f t="shared" si="813"/>
        <v>air</v>
      </c>
      <c r="G829" s="146" t="str">
        <f t="shared" si="811"/>
        <v>PHB pellets 1-10 mm (emission to air)</v>
      </c>
      <c r="H829" s="146"/>
      <c r="I829" s="129">
        <v>2.3E-2</v>
      </c>
      <c r="J829" s="101" t="s">
        <v>1097</v>
      </c>
      <c r="K829" s="114">
        <f>K38</f>
        <v>175.98214285714289</v>
      </c>
      <c r="L829" s="226">
        <f t="shared" si="812"/>
        <v>14.205986808726532</v>
      </c>
      <c r="M829" s="158">
        <f>IF(L829/1000&gt;1000,1000,L829/1000)</f>
        <v>1.4205986808726532E-2</v>
      </c>
      <c r="N829" s="610"/>
    </row>
    <row r="830" spans="1:14" s="102" customFormat="1">
      <c r="A830" s="173" t="str">
        <f>A829</f>
        <v>PHB</v>
      </c>
      <c r="B830" s="150" t="str">
        <f>B829</f>
        <v>pellets</v>
      </c>
      <c r="C830" s="150">
        <f t="shared" si="810"/>
        <v>4</v>
      </c>
      <c r="D830" s="150" t="str">
        <f t="shared" ref="D830:F830" si="814">D829</f>
        <v>1-10</v>
      </c>
      <c r="E830" s="150">
        <f t="shared" si="814"/>
        <v>10</v>
      </c>
      <c r="F830" s="150" t="str">
        <f t="shared" si="814"/>
        <v>air</v>
      </c>
      <c r="G830" s="147" t="str">
        <f t="shared" si="811"/>
        <v>PHB pellets 1-10 mm (emission to air)</v>
      </c>
      <c r="H830" s="147">
        <f>H829</f>
        <v>0</v>
      </c>
      <c r="I830" s="129">
        <v>0</v>
      </c>
      <c r="J830" s="101" t="s">
        <v>1034</v>
      </c>
      <c r="K830" s="114" t="s">
        <v>596</v>
      </c>
      <c r="L830" s="226">
        <f t="shared" si="812"/>
        <v>0</v>
      </c>
      <c r="M830" s="158">
        <f t="shared" ref="M830" si="815">IF(L830/1000&gt;1000,1000,L830/1000)</f>
        <v>0</v>
      </c>
      <c r="N830" s="610"/>
    </row>
    <row r="831" spans="1:14" s="102" customFormat="1">
      <c r="A831" s="174" t="s">
        <v>18</v>
      </c>
      <c r="B831" s="186" t="s">
        <v>1025</v>
      </c>
      <c r="C831" s="188">
        <f t="shared" si="775"/>
        <v>6</v>
      </c>
      <c r="D831" s="188" t="s">
        <v>1018</v>
      </c>
      <c r="E831" s="155">
        <v>0.1</v>
      </c>
      <c r="F831" s="131" t="s">
        <v>1019</v>
      </c>
      <c r="G831" s="134" t="str">
        <f t="shared" si="785"/>
        <v>PHB particles 0,01-0,1 mm (emission to soil)</v>
      </c>
      <c r="H831" s="133"/>
      <c r="I831" s="129">
        <v>1</v>
      </c>
      <c r="J831" s="101" t="s">
        <v>1019</v>
      </c>
      <c r="K831" s="114">
        <f>K37</f>
        <v>789.98664829447762</v>
      </c>
      <c r="L831" s="226">
        <f t="shared" ref="L831:L837" si="816">IFERROR(IF(K831="--",0,IF(E831*1000/K831*(1-0.5)^(C831/2)&gt;1000,1000,E831*1000/K831*(1-0.5)^(C831/2))),1000)</f>
        <v>1.5823052233840368E-2</v>
      </c>
      <c r="M831" s="158">
        <f>IF(L831/1000&gt;1000,1000,L831/1000)</f>
        <v>1.5823052233840369E-5</v>
      </c>
      <c r="N831" s="610">
        <f>I831*M831+I832*M832</f>
        <v>1.5823052233840369E-5</v>
      </c>
    </row>
    <row r="832" spans="1:14" s="102" customFormat="1">
      <c r="A832" s="172" t="str">
        <f>A831</f>
        <v>PHB</v>
      </c>
      <c r="B832" s="149" t="str">
        <f>B831</f>
        <v>particles</v>
      </c>
      <c r="C832" s="149">
        <f t="shared" si="775"/>
        <v>6</v>
      </c>
      <c r="D832" s="149" t="str">
        <f t="shared" ref="D832:F833" si="817">D831</f>
        <v>0,01-0,1</v>
      </c>
      <c r="E832" s="149">
        <f t="shared" si="817"/>
        <v>0.1</v>
      </c>
      <c r="F832" s="149" t="str">
        <f t="shared" si="817"/>
        <v>soil</v>
      </c>
      <c r="G832" s="146" t="str">
        <f t="shared" si="785"/>
        <v>PHB particles 0,01-0,1 mm (emission to soil)</v>
      </c>
      <c r="H832" s="146"/>
      <c r="I832" s="129">
        <v>0</v>
      </c>
      <c r="J832" s="101" t="s">
        <v>1097</v>
      </c>
      <c r="K832" s="114">
        <f>K38</f>
        <v>175.98214285714289</v>
      </c>
      <c r="L832" s="226">
        <f t="shared" si="816"/>
        <v>7.1029934043632656E-2</v>
      </c>
      <c r="M832" s="158">
        <f>IF(L832/1000&gt;1000,1000,L832/1000)</f>
        <v>7.1029934043632655E-5</v>
      </c>
      <c r="N832" s="610"/>
    </row>
    <row r="833" spans="1:14" s="102" customFormat="1">
      <c r="A833" s="173" t="str">
        <f>A832</f>
        <v>PHB</v>
      </c>
      <c r="B833" s="150" t="str">
        <f>B832</f>
        <v>particles</v>
      </c>
      <c r="C833" s="150">
        <f t="shared" si="775"/>
        <v>6</v>
      </c>
      <c r="D833" s="150" t="str">
        <f t="shared" si="817"/>
        <v>0,01-0,1</v>
      </c>
      <c r="E833" s="150">
        <f t="shared" si="817"/>
        <v>0.1</v>
      </c>
      <c r="F833" s="150" t="str">
        <f t="shared" si="817"/>
        <v>soil</v>
      </c>
      <c r="G833" s="147" t="str">
        <f t="shared" si="785"/>
        <v>PHB particles 0,01-0,1 mm (emission to soil)</v>
      </c>
      <c r="H833" s="147"/>
      <c r="I833" s="129">
        <v>0</v>
      </c>
      <c r="J833" s="101" t="s">
        <v>1034</v>
      </c>
      <c r="K833" s="114" t="s">
        <v>596</v>
      </c>
      <c r="L833" s="226">
        <f t="shared" si="816"/>
        <v>0</v>
      </c>
      <c r="M833" s="158">
        <f t="shared" ref="M833:M837" si="818">IF(L833/1000&gt;1000,1000,L833/1000)</f>
        <v>0</v>
      </c>
      <c r="N833" s="610"/>
    </row>
    <row r="834" spans="1:14" s="102" customFormat="1">
      <c r="A834" s="174" t="s">
        <v>18</v>
      </c>
      <c r="B834" s="186" t="s">
        <v>1025</v>
      </c>
      <c r="C834" s="188">
        <f t="shared" si="775"/>
        <v>6</v>
      </c>
      <c r="D834" s="188" t="s">
        <v>1018</v>
      </c>
      <c r="E834" s="155">
        <v>0.1</v>
      </c>
      <c r="F834" s="131" t="s">
        <v>1020</v>
      </c>
      <c r="G834" s="134" t="str">
        <f t="shared" si="785"/>
        <v>PHB particles 0,01-0,1 mm (emission to water)</v>
      </c>
      <c r="H834" s="133"/>
      <c r="I834" s="129">
        <v>0</v>
      </c>
      <c r="J834" s="101" t="s">
        <v>1019</v>
      </c>
      <c r="K834" s="114">
        <f>K37</f>
        <v>789.98664829447762</v>
      </c>
      <c r="L834" s="226">
        <f t="shared" si="816"/>
        <v>1.5823052233840368E-2</v>
      </c>
      <c r="M834" s="220">
        <f t="shared" si="818"/>
        <v>1.5823052233840369E-5</v>
      </c>
      <c r="N834" s="611">
        <f>I834*M834+I835*M835+I836*M836</f>
        <v>7.1029934043632655E-5</v>
      </c>
    </row>
    <row r="835" spans="1:14" s="102" customFormat="1">
      <c r="A835" s="172" t="str">
        <f>A834</f>
        <v>PHB</v>
      </c>
      <c r="B835" s="149" t="str">
        <f>B834</f>
        <v>particles</v>
      </c>
      <c r="C835" s="149">
        <f t="shared" si="775"/>
        <v>6</v>
      </c>
      <c r="D835" s="149" t="str">
        <f t="shared" ref="D835:F836" si="819">D834</f>
        <v>0,01-0,1</v>
      </c>
      <c r="E835" s="149">
        <f t="shared" si="819"/>
        <v>0.1</v>
      </c>
      <c r="F835" s="149" t="str">
        <f t="shared" si="819"/>
        <v>water</v>
      </c>
      <c r="G835" s="146" t="str">
        <f t="shared" si="785"/>
        <v>PHB particles 0,01-0,1 mm (emission to water)</v>
      </c>
      <c r="H835" s="146"/>
      <c r="I835" s="129">
        <v>0</v>
      </c>
      <c r="J835" s="101" t="s">
        <v>1097</v>
      </c>
      <c r="K835" s="114">
        <f>K38</f>
        <v>175.98214285714289</v>
      </c>
      <c r="L835" s="226">
        <f t="shared" si="816"/>
        <v>7.1029934043632656E-2</v>
      </c>
      <c r="M835" s="220">
        <f t="shared" si="818"/>
        <v>7.1029934043632655E-5</v>
      </c>
      <c r="N835" s="612"/>
    </row>
    <row r="836" spans="1:14" s="102" customFormat="1">
      <c r="A836" s="172" t="str">
        <f>A835</f>
        <v>PHB</v>
      </c>
      <c r="B836" s="149" t="str">
        <f>B835</f>
        <v>particles</v>
      </c>
      <c r="C836" s="149">
        <f t="shared" si="775"/>
        <v>6</v>
      </c>
      <c r="D836" s="149" t="str">
        <f t="shared" si="819"/>
        <v>0,01-0,1</v>
      </c>
      <c r="E836" s="149">
        <f t="shared" si="819"/>
        <v>0.1</v>
      </c>
      <c r="F836" s="149" t="str">
        <f t="shared" si="819"/>
        <v>water</v>
      </c>
      <c r="G836" s="146" t="str">
        <f t="shared" si="785"/>
        <v>PHB particles 0,01-0,1 mm (emission to water)</v>
      </c>
      <c r="H836" s="146"/>
      <c r="I836" s="129">
        <v>1</v>
      </c>
      <c r="J836" s="101"/>
      <c r="K836" s="114">
        <f>K39</f>
        <v>175.98214285714289</v>
      </c>
      <c r="L836" s="226">
        <f t="shared" si="816"/>
        <v>7.1029934043632656E-2</v>
      </c>
      <c r="M836" s="220">
        <f t="shared" si="818"/>
        <v>7.1029934043632655E-5</v>
      </c>
      <c r="N836" s="612"/>
    </row>
    <row r="837" spans="1:14" s="102" customFormat="1">
      <c r="A837" s="173" t="str">
        <f>A835</f>
        <v>PHB</v>
      </c>
      <c r="B837" s="150" t="str">
        <f>B835</f>
        <v>particles</v>
      </c>
      <c r="C837" s="150">
        <f t="shared" si="775"/>
        <v>6</v>
      </c>
      <c r="D837" s="150" t="str">
        <f>D835</f>
        <v>0,01-0,1</v>
      </c>
      <c r="E837" s="150">
        <f>E835</f>
        <v>0.1</v>
      </c>
      <c r="F837" s="150" t="str">
        <f>F835</f>
        <v>water</v>
      </c>
      <c r="G837" s="147" t="str">
        <f t="shared" si="785"/>
        <v>PHB particles 0,01-0,1 mm (emission to water)</v>
      </c>
      <c r="H837" s="147"/>
      <c r="I837" s="129">
        <v>0</v>
      </c>
      <c r="J837" s="101" t="s">
        <v>1034</v>
      </c>
      <c r="K837" s="114" t="s">
        <v>596</v>
      </c>
      <c r="L837" s="226">
        <f t="shared" si="816"/>
        <v>0</v>
      </c>
      <c r="M837" s="220">
        <f t="shared" si="818"/>
        <v>0</v>
      </c>
      <c r="N837" s="613"/>
    </row>
    <row r="838" spans="1:14" s="102" customFormat="1">
      <c r="A838" s="174" t="s">
        <v>18</v>
      </c>
      <c r="B838" s="288" t="s">
        <v>1025</v>
      </c>
      <c r="C838" s="290">
        <f t="shared" ref="C838:C840" si="820">IF(OR(B838="Folie", B838="Strips", B838="Film",B838="Flakes",B838="Coupon"), 2,IF(OR(B838="Fibers",B838="Pellets"),4,IF(OR(B838="Particles",B838="Shreds",B838="Powder",B838="Fragments",B838="Granules"),6,"")))</f>
        <v>6</v>
      </c>
      <c r="D838" s="290" t="s">
        <v>1018</v>
      </c>
      <c r="E838" s="155">
        <v>0.1</v>
      </c>
      <c r="F838" s="131" t="s">
        <v>1057</v>
      </c>
      <c r="G838" s="134" t="str">
        <f t="shared" ref="G838:G840" si="821">CONCATENATE(A838," ",B838," ",D838," mm (emission to ",F838,")")</f>
        <v>PHB particles 0,01-0,1 mm (emission to air)</v>
      </c>
      <c r="H838" s="133"/>
      <c r="I838" s="137">
        <v>0.97699999999999998</v>
      </c>
      <c r="J838" s="101" t="s">
        <v>1019</v>
      </c>
      <c r="K838" s="114">
        <f>K37</f>
        <v>789.98664829447762</v>
      </c>
      <c r="L838" s="226">
        <f t="shared" ref="L838:L840" si="822">IFERROR(IF(K838="--",0,IF(E838*1000/K838*(1-0.5)^(C838/2)&gt;1000,1000,E838*1000/K838*(1-0.5)^(C838/2))),1000)</f>
        <v>1.5823052233840368E-2</v>
      </c>
      <c r="M838" s="158">
        <f>IF(L838/1000&gt;1000,1000,L838/1000)</f>
        <v>1.5823052233840369E-5</v>
      </c>
      <c r="N838" s="610">
        <f>I838*M838+I839*M839</f>
        <v>1.709281051546559E-5</v>
      </c>
    </row>
    <row r="839" spans="1:14" s="102" customFormat="1">
      <c r="A839" s="172" t="str">
        <f>A838</f>
        <v>PHB</v>
      </c>
      <c r="B839" s="149" t="str">
        <f>B838</f>
        <v>particles</v>
      </c>
      <c r="C839" s="149">
        <f t="shared" si="820"/>
        <v>6</v>
      </c>
      <c r="D839" s="149" t="str">
        <f t="shared" ref="D839:F839" si="823">D838</f>
        <v>0,01-0,1</v>
      </c>
      <c r="E839" s="149">
        <f t="shared" si="823"/>
        <v>0.1</v>
      </c>
      <c r="F839" s="149" t="str">
        <f t="shared" si="823"/>
        <v>air</v>
      </c>
      <c r="G839" s="146" t="str">
        <f t="shared" si="821"/>
        <v>PHB particles 0,01-0,1 mm (emission to air)</v>
      </c>
      <c r="H839" s="146"/>
      <c r="I839" s="129">
        <v>2.3E-2</v>
      </c>
      <c r="J839" s="101" t="s">
        <v>1097</v>
      </c>
      <c r="K839" s="114">
        <f>K38</f>
        <v>175.98214285714289</v>
      </c>
      <c r="L839" s="226">
        <f t="shared" si="822"/>
        <v>7.1029934043632656E-2</v>
      </c>
      <c r="M839" s="158">
        <f>IF(L839/1000&gt;1000,1000,L839/1000)</f>
        <v>7.1029934043632655E-5</v>
      </c>
      <c r="N839" s="610"/>
    </row>
    <row r="840" spans="1:14" s="102" customFormat="1">
      <c r="A840" s="173" t="str">
        <f>A839</f>
        <v>PHB</v>
      </c>
      <c r="B840" s="150" t="str">
        <f>B839</f>
        <v>particles</v>
      </c>
      <c r="C840" s="150">
        <f t="shared" si="820"/>
        <v>6</v>
      </c>
      <c r="D840" s="150" t="str">
        <f t="shared" ref="D840:F840" si="824">D839</f>
        <v>0,01-0,1</v>
      </c>
      <c r="E840" s="150">
        <f t="shared" si="824"/>
        <v>0.1</v>
      </c>
      <c r="F840" s="150" t="str">
        <f t="shared" si="824"/>
        <v>air</v>
      </c>
      <c r="G840" s="147" t="str">
        <f t="shared" si="821"/>
        <v>PHB particles 0,01-0,1 mm (emission to air)</v>
      </c>
      <c r="H840" s="147"/>
      <c r="I840" s="129">
        <v>0</v>
      </c>
      <c r="J840" s="101" t="s">
        <v>1034</v>
      </c>
      <c r="K840" s="114" t="s">
        <v>596</v>
      </c>
      <c r="L840" s="226">
        <f t="shared" si="822"/>
        <v>0</v>
      </c>
      <c r="M840" s="158">
        <f t="shared" ref="M840" si="825">IF(L840/1000&gt;1000,1000,L840/1000)</f>
        <v>0</v>
      </c>
      <c r="N840" s="610"/>
    </row>
    <row r="841" spans="1:14" s="102" customFormat="1">
      <c r="A841" s="174" t="s">
        <v>18</v>
      </c>
      <c r="B841" s="186" t="s">
        <v>1025</v>
      </c>
      <c r="C841" s="188">
        <f t="shared" si="775"/>
        <v>6</v>
      </c>
      <c r="D841" s="188" t="s">
        <v>1028</v>
      </c>
      <c r="E841" s="155">
        <v>1</v>
      </c>
      <c r="F841" s="131" t="s">
        <v>1019</v>
      </c>
      <c r="G841" s="134" t="str">
        <f t="shared" si="785"/>
        <v>PHB particles 0,1-1 mm (emission to soil)</v>
      </c>
      <c r="H841" s="133"/>
      <c r="I841" s="129">
        <v>1</v>
      </c>
      <c r="J841" s="101" t="s">
        <v>1019</v>
      </c>
      <c r="K841" s="114">
        <f>K37</f>
        <v>789.98664829447762</v>
      </c>
      <c r="L841" s="226">
        <f t="shared" ref="L841:L847" si="826">IFERROR(IF(K841="--",0,IF(E841*1000/K841*(1-0.5)^(C841/2)&gt;1000,1000,E841*1000/K841*(1-0.5)^(C841/2))),1000)</f>
        <v>0.15823052233840368</v>
      </c>
      <c r="M841" s="158">
        <f>IF(L841/1000&gt;1000,1000,L841/1000)</f>
        <v>1.5823052233840369E-4</v>
      </c>
      <c r="N841" s="610">
        <f>I841*M841+I842*M842</f>
        <v>1.5823052233840369E-4</v>
      </c>
    </row>
    <row r="842" spans="1:14" s="102" customFormat="1">
      <c r="A842" s="172" t="str">
        <f>A841</f>
        <v>PHB</v>
      </c>
      <c r="B842" s="149" t="str">
        <f>B841</f>
        <v>particles</v>
      </c>
      <c r="C842" s="149">
        <f t="shared" si="775"/>
        <v>6</v>
      </c>
      <c r="D842" s="149" t="str">
        <f t="shared" ref="D842:F843" si="827">D841</f>
        <v>0,1-1</v>
      </c>
      <c r="E842" s="149">
        <f t="shared" si="827"/>
        <v>1</v>
      </c>
      <c r="F842" s="149" t="str">
        <f t="shared" si="827"/>
        <v>soil</v>
      </c>
      <c r="G842" s="146" t="str">
        <f t="shared" si="785"/>
        <v>PHB particles 0,1-1 mm (emission to soil)</v>
      </c>
      <c r="H842" s="146"/>
      <c r="I842" s="129">
        <v>0</v>
      </c>
      <c r="J842" s="101" t="s">
        <v>1097</v>
      </c>
      <c r="K842" s="114">
        <f>K38</f>
        <v>175.98214285714289</v>
      </c>
      <c r="L842" s="226">
        <f t="shared" si="826"/>
        <v>0.71029934043632659</v>
      </c>
      <c r="M842" s="158">
        <f>IF(L842/1000&gt;1000,1000,L842/1000)</f>
        <v>7.1029934043632655E-4</v>
      </c>
      <c r="N842" s="610"/>
    </row>
    <row r="843" spans="1:14" s="102" customFormat="1">
      <c r="A843" s="173" t="str">
        <f>A842</f>
        <v>PHB</v>
      </c>
      <c r="B843" s="150" t="str">
        <f>B842</f>
        <v>particles</v>
      </c>
      <c r="C843" s="150">
        <f t="shared" si="775"/>
        <v>6</v>
      </c>
      <c r="D843" s="150" t="str">
        <f t="shared" si="827"/>
        <v>0,1-1</v>
      </c>
      <c r="E843" s="150">
        <f t="shared" si="827"/>
        <v>1</v>
      </c>
      <c r="F843" s="150" t="str">
        <f t="shared" si="827"/>
        <v>soil</v>
      </c>
      <c r="G843" s="147" t="str">
        <f t="shared" si="785"/>
        <v>PHB particles 0,1-1 mm (emission to soil)</v>
      </c>
      <c r="H843" s="147"/>
      <c r="I843" s="129">
        <v>0</v>
      </c>
      <c r="J843" s="101" t="s">
        <v>1034</v>
      </c>
      <c r="K843" s="151" t="s">
        <v>596</v>
      </c>
      <c r="L843" s="226">
        <f t="shared" si="826"/>
        <v>0</v>
      </c>
      <c r="M843" s="158">
        <f t="shared" ref="M843:M847" si="828">IF(L843/1000&gt;1000,1000,L843/1000)</f>
        <v>0</v>
      </c>
      <c r="N843" s="610"/>
    </row>
    <row r="844" spans="1:14" s="102" customFormat="1">
      <c r="A844" s="174" t="s">
        <v>18</v>
      </c>
      <c r="B844" s="186" t="s">
        <v>1025</v>
      </c>
      <c r="C844" s="188">
        <f t="shared" si="775"/>
        <v>6</v>
      </c>
      <c r="D844" s="188" t="s">
        <v>1028</v>
      </c>
      <c r="E844" s="216">
        <v>1</v>
      </c>
      <c r="F844" s="131" t="s">
        <v>1020</v>
      </c>
      <c r="G844" s="134" t="str">
        <f t="shared" si="785"/>
        <v>PHB particles 0,1-1 mm (emission to water)</v>
      </c>
      <c r="H844" s="133"/>
      <c r="I844" s="129">
        <v>0</v>
      </c>
      <c r="J844" s="101" t="s">
        <v>1019</v>
      </c>
      <c r="K844" s="114">
        <f>K37</f>
        <v>789.98664829447762</v>
      </c>
      <c r="L844" s="226">
        <f t="shared" si="826"/>
        <v>0.15823052233840368</v>
      </c>
      <c r="M844" s="220">
        <f t="shared" si="828"/>
        <v>1.5823052233840369E-4</v>
      </c>
      <c r="N844" s="611">
        <f>I844*M844+I845*M845+I846*M846</f>
        <v>7.1029934043632655E-4</v>
      </c>
    </row>
    <row r="845" spans="1:14" s="102" customFormat="1">
      <c r="A845" s="172" t="str">
        <f>A844</f>
        <v>PHB</v>
      </c>
      <c r="B845" s="149" t="str">
        <f>B844</f>
        <v>particles</v>
      </c>
      <c r="C845" s="149">
        <f t="shared" si="775"/>
        <v>6</v>
      </c>
      <c r="D845" s="149" t="str">
        <f t="shared" ref="D845:F846" si="829">D844</f>
        <v>0,1-1</v>
      </c>
      <c r="E845" s="149">
        <f t="shared" si="829"/>
        <v>1</v>
      </c>
      <c r="F845" s="149" t="str">
        <f t="shared" si="829"/>
        <v>water</v>
      </c>
      <c r="G845" s="146" t="str">
        <f t="shared" si="785"/>
        <v>PHB particles 0,1-1 mm (emission to water)</v>
      </c>
      <c r="H845" s="146"/>
      <c r="I845" s="129">
        <v>0</v>
      </c>
      <c r="J845" s="101" t="s">
        <v>1097</v>
      </c>
      <c r="K845" s="114">
        <f>K38</f>
        <v>175.98214285714289</v>
      </c>
      <c r="L845" s="226">
        <f t="shared" si="826"/>
        <v>0.71029934043632659</v>
      </c>
      <c r="M845" s="220">
        <f t="shared" si="828"/>
        <v>7.1029934043632655E-4</v>
      </c>
      <c r="N845" s="612"/>
    </row>
    <row r="846" spans="1:14" s="102" customFormat="1">
      <c r="A846" s="172" t="str">
        <f>A845</f>
        <v>PHB</v>
      </c>
      <c r="B846" s="149" t="str">
        <f>B845</f>
        <v>particles</v>
      </c>
      <c r="C846" s="149">
        <f t="shared" si="775"/>
        <v>6</v>
      </c>
      <c r="D846" s="149" t="str">
        <f t="shared" si="829"/>
        <v>0,1-1</v>
      </c>
      <c r="E846" s="149">
        <f t="shared" si="829"/>
        <v>1</v>
      </c>
      <c r="F846" s="149" t="str">
        <f t="shared" si="829"/>
        <v>water</v>
      </c>
      <c r="G846" s="146" t="str">
        <f t="shared" si="785"/>
        <v>PHB particles 0,1-1 mm (emission to water)</v>
      </c>
      <c r="H846" s="146"/>
      <c r="I846" s="129">
        <v>1</v>
      </c>
      <c r="J846" s="101"/>
      <c r="K846" s="114">
        <f>K39</f>
        <v>175.98214285714289</v>
      </c>
      <c r="L846" s="226">
        <f t="shared" si="826"/>
        <v>0.71029934043632659</v>
      </c>
      <c r="M846" s="220">
        <f t="shared" si="828"/>
        <v>7.1029934043632655E-4</v>
      </c>
      <c r="N846" s="612"/>
    </row>
    <row r="847" spans="1:14" s="102" customFormat="1">
      <c r="A847" s="173" t="str">
        <f>A845</f>
        <v>PHB</v>
      </c>
      <c r="B847" s="150" t="str">
        <f>B845</f>
        <v>particles</v>
      </c>
      <c r="C847" s="150">
        <f t="shared" si="775"/>
        <v>6</v>
      </c>
      <c r="D847" s="150" t="str">
        <f>D845</f>
        <v>0,1-1</v>
      </c>
      <c r="E847" s="150">
        <f>E845</f>
        <v>1</v>
      </c>
      <c r="F847" s="150" t="str">
        <f>F845</f>
        <v>water</v>
      </c>
      <c r="G847" s="147" t="str">
        <f t="shared" si="785"/>
        <v>PHB particles 0,1-1 mm (emission to water)</v>
      </c>
      <c r="H847" s="147"/>
      <c r="I847" s="129">
        <v>0</v>
      </c>
      <c r="J847" s="101" t="s">
        <v>1034</v>
      </c>
      <c r="K847" s="151" t="s">
        <v>596</v>
      </c>
      <c r="L847" s="226">
        <f t="shared" si="826"/>
        <v>0</v>
      </c>
      <c r="M847" s="220">
        <f t="shared" si="828"/>
        <v>0</v>
      </c>
      <c r="N847" s="613"/>
    </row>
    <row r="848" spans="1:14" s="102" customFormat="1">
      <c r="A848" s="174" t="s">
        <v>18</v>
      </c>
      <c r="B848" s="288" t="s">
        <v>1025</v>
      </c>
      <c r="C848" s="290">
        <f t="shared" ref="C848:C850" si="830">IF(OR(B848="Folie", B848="Strips", B848="Film",B848="Flakes",B848="Coupon"), 2,IF(OR(B848="Fibers",B848="Pellets"),4,IF(OR(B848="Particles",B848="Shreds",B848="Powder",B848="Fragments",B848="Granules"),6,"")))</f>
        <v>6</v>
      </c>
      <c r="D848" s="290" t="s">
        <v>1028</v>
      </c>
      <c r="E848" s="155">
        <v>1</v>
      </c>
      <c r="F848" s="131" t="s">
        <v>1057</v>
      </c>
      <c r="G848" s="134" t="str">
        <f t="shared" ref="G848:G850" si="831">CONCATENATE(A848," ",B848," ",D848," mm (emission to ",F848,")")</f>
        <v>PHB particles 0,1-1 mm (emission to air)</v>
      </c>
      <c r="H848" s="133"/>
      <c r="I848" s="137">
        <v>0.97699999999999998</v>
      </c>
      <c r="J848" s="101" t="s">
        <v>1019</v>
      </c>
      <c r="K848" s="114">
        <f>K37</f>
        <v>789.98664829447762</v>
      </c>
      <c r="L848" s="226">
        <f t="shared" ref="L848:L850" si="832">IFERROR(IF(K848="--",0,IF(E848*1000/K848*(1-0.5)^(C848/2)&gt;1000,1000,E848*1000/K848*(1-0.5)^(C848/2))),1000)</f>
        <v>0.15823052233840368</v>
      </c>
      <c r="M848" s="158">
        <f>IF(L848/1000&gt;1000,1000,L848/1000)</f>
        <v>1.5823052233840369E-4</v>
      </c>
      <c r="N848" s="610">
        <f>I848*M848+I849*M849</f>
        <v>1.7092810515465591E-4</v>
      </c>
    </row>
    <row r="849" spans="1:14" s="102" customFormat="1">
      <c r="A849" s="172" t="str">
        <f>A848</f>
        <v>PHB</v>
      </c>
      <c r="B849" s="149" t="str">
        <f>B848</f>
        <v>particles</v>
      </c>
      <c r="C849" s="149">
        <f t="shared" si="830"/>
        <v>6</v>
      </c>
      <c r="D849" s="149" t="str">
        <f t="shared" ref="D849:F849" si="833">D848</f>
        <v>0,1-1</v>
      </c>
      <c r="E849" s="149">
        <f t="shared" si="833"/>
        <v>1</v>
      </c>
      <c r="F849" s="149" t="str">
        <f t="shared" si="833"/>
        <v>air</v>
      </c>
      <c r="G849" s="146" t="str">
        <f t="shared" si="831"/>
        <v>PHB particles 0,1-1 mm (emission to air)</v>
      </c>
      <c r="H849" s="146"/>
      <c r="I849" s="129">
        <v>2.3E-2</v>
      </c>
      <c r="J849" s="101" t="s">
        <v>1097</v>
      </c>
      <c r="K849" s="114">
        <f>K38</f>
        <v>175.98214285714289</v>
      </c>
      <c r="L849" s="226">
        <f t="shared" si="832"/>
        <v>0.71029934043632659</v>
      </c>
      <c r="M849" s="158">
        <f>IF(L849/1000&gt;1000,1000,L849/1000)</f>
        <v>7.1029934043632655E-4</v>
      </c>
      <c r="N849" s="610"/>
    </row>
    <row r="850" spans="1:14" s="102" customFormat="1">
      <c r="A850" s="173" t="str">
        <f>A849</f>
        <v>PHB</v>
      </c>
      <c r="B850" s="150" t="str">
        <f>B849</f>
        <v>particles</v>
      </c>
      <c r="C850" s="150">
        <f t="shared" si="830"/>
        <v>6</v>
      </c>
      <c r="D850" s="150" t="str">
        <f t="shared" ref="D850:F850" si="834">D849</f>
        <v>0,1-1</v>
      </c>
      <c r="E850" s="150">
        <f t="shared" si="834"/>
        <v>1</v>
      </c>
      <c r="F850" s="150" t="str">
        <f t="shared" si="834"/>
        <v>air</v>
      </c>
      <c r="G850" s="147" t="str">
        <f t="shared" si="831"/>
        <v>PHB particles 0,1-1 mm (emission to air)</v>
      </c>
      <c r="H850" s="147"/>
      <c r="I850" s="129">
        <v>0</v>
      </c>
      <c r="J850" s="101" t="s">
        <v>1034</v>
      </c>
      <c r="K850" s="151" t="s">
        <v>596</v>
      </c>
      <c r="L850" s="226">
        <f t="shared" si="832"/>
        <v>0</v>
      </c>
      <c r="M850" s="158">
        <f t="shared" ref="M850" si="835">IF(L850/1000&gt;1000,1000,L850/1000)</f>
        <v>0</v>
      </c>
      <c r="N850" s="610"/>
    </row>
    <row r="851" spans="1:14" s="102" customFormat="1">
      <c r="A851" s="174" t="s">
        <v>18</v>
      </c>
      <c r="B851" s="186" t="s">
        <v>1025</v>
      </c>
      <c r="C851" s="188">
        <f t="shared" si="775"/>
        <v>6</v>
      </c>
      <c r="D851" s="188" t="s">
        <v>1026</v>
      </c>
      <c r="E851" s="155">
        <v>10</v>
      </c>
      <c r="F851" s="131" t="s">
        <v>1019</v>
      </c>
      <c r="G851" s="134" t="str">
        <f t="shared" si="785"/>
        <v>PHB particles 1-10 mm (emission to soil)</v>
      </c>
      <c r="H851" s="133"/>
      <c r="I851" s="129">
        <v>1</v>
      </c>
      <c r="J851" s="101" t="s">
        <v>1019</v>
      </c>
      <c r="K851" s="114">
        <f>K37</f>
        <v>789.98664829447762</v>
      </c>
      <c r="L851" s="226">
        <f t="shared" ref="L851:L857" si="836">IFERROR(IF(K851="--",0,IF(E851*1000/K851*(1-0.5)^(C851/2)&gt;1000,1000,E851*1000/K851*(1-0.5)^(C851/2))),1000)</f>
        <v>1.5823052233840369</v>
      </c>
      <c r="M851" s="158">
        <f>IF(L851/1000&gt;1000,1000,L851/1000)</f>
        <v>1.582305223384037E-3</v>
      </c>
      <c r="N851" s="610">
        <f>I851*M851+I852*M852</f>
        <v>1.582305223384037E-3</v>
      </c>
    </row>
    <row r="852" spans="1:14" s="102" customFormat="1">
      <c r="A852" s="172" t="str">
        <f>A851</f>
        <v>PHB</v>
      </c>
      <c r="B852" s="149" t="str">
        <f>B851</f>
        <v>particles</v>
      </c>
      <c r="C852" s="149">
        <f t="shared" si="775"/>
        <v>6</v>
      </c>
      <c r="D852" s="149" t="str">
        <f t="shared" ref="D852:F853" si="837">D851</f>
        <v>1-10</v>
      </c>
      <c r="E852" s="149">
        <f t="shared" si="837"/>
        <v>10</v>
      </c>
      <c r="F852" s="149" t="str">
        <f t="shared" si="837"/>
        <v>soil</v>
      </c>
      <c r="G852" s="146" t="str">
        <f t="shared" si="785"/>
        <v>PHB particles 1-10 mm (emission to soil)</v>
      </c>
      <c r="H852" s="146"/>
      <c r="I852" s="129">
        <v>0</v>
      </c>
      <c r="J852" s="101" t="s">
        <v>1097</v>
      </c>
      <c r="K852" s="114">
        <f>K38</f>
        <v>175.98214285714289</v>
      </c>
      <c r="L852" s="226">
        <f t="shared" si="836"/>
        <v>7.1029934043632661</v>
      </c>
      <c r="M852" s="158">
        <f>IF(L852/1000&gt;1000,1000,L852/1000)</f>
        <v>7.1029934043632661E-3</v>
      </c>
      <c r="N852" s="610"/>
    </row>
    <row r="853" spans="1:14" s="102" customFormat="1">
      <c r="A853" s="173" t="str">
        <f>A852</f>
        <v>PHB</v>
      </c>
      <c r="B853" s="150" t="str">
        <f>B852</f>
        <v>particles</v>
      </c>
      <c r="C853" s="150">
        <f t="shared" si="775"/>
        <v>6</v>
      </c>
      <c r="D853" s="150" t="str">
        <f t="shared" si="837"/>
        <v>1-10</v>
      </c>
      <c r="E853" s="150">
        <f t="shared" si="837"/>
        <v>10</v>
      </c>
      <c r="F853" s="150" t="str">
        <f t="shared" si="837"/>
        <v>soil</v>
      </c>
      <c r="G853" s="147" t="str">
        <f t="shared" si="785"/>
        <v>PHB particles 1-10 mm (emission to soil)</v>
      </c>
      <c r="H853" s="147"/>
      <c r="I853" s="129">
        <v>0</v>
      </c>
      <c r="J853" s="101" t="s">
        <v>1034</v>
      </c>
      <c r="K853" s="151" t="s">
        <v>596</v>
      </c>
      <c r="L853" s="226">
        <f t="shared" si="836"/>
        <v>0</v>
      </c>
      <c r="M853" s="158">
        <f t="shared" ref="M853:M857" si="838">IF(L853/1000&gt;1000,1000,L853/1000)</f>
        <v>0</v>
      </c>
      <c r="N853" s="610"/>
    </row>
    <row r="854" spans="1:14" s="102" customFormat="1">
      <c r="A854" s="174" t="s">
        <v>18</v>
      </c>
      <c r="B854" s="186" t="s">
        <v>1025</v>
      </c>
      <c r="C854" s="188">
        <f t="shared" si="775"/>
        <v>6</v>
      </c>
      <c r="D854" s="188" t="s">
        <v>1026</v>
      </c>
      <c r="E854" s="214">
        <v>10</v>
      </c>
      <c r="F854" s="131" t="s">
        <v>1020</v>
      </c>
      <c r="G854" s="134" t="str">
        <f t="shared" si="785"/>
        <v>PHB particles 1-10 mm (emission to water)</v>
      </c>
      <c r="H854" s="133"/>
      <c r="I854" s="129">
        <v>0</v>
      </c>
      <c r="J854" s="101" t="s">
        <v>1019</v>
      </c>
      <c r="K854" s="114">
        <f>K37</f>
        <v>789.98664829447762</v>
      </c>
      <c r="L854" s="226">
        <f t="shared" si="836"/>
        <v>1.5823052233840369</v>
      </c>
      <c r="M854" s="220">
        <f t="shared" si="838"/>
        <v>1.582305223384037E-3</v>
      </c>
      <c r="N854" s="611">
        <f>I854*M854+I855*M855+I856*M856</f>
        <v>7.1029934043632661E-3</v>
      </c>
    </row>
    <row r="855" spans="1:14" s="102" customFormat="1">
      <c r="A855" s="172" t="str">
        <f>A854</f>
        <v>PHB</v>
      </c>
      <c r="B855" s="149" t="str">
        <f>B854</f>
        <v>particles</v>
      </c>
      <c r="C855" s="149">
        <f t="shared" si="775"/>
        <v>6</v>
      </c>
      <c r="D855" s="149" t="str">
        <f t="shared" ref="D855:F856" si="839">D854</f>
        <v>1-10</v>
      </c>
      <c r="E855" s="149">
        <f t="shared" si="839"/>
        <v>10</v>
      </c>
      <c r="F855" s="149" t="str">
        <f t="shared" si="839"/>
        <v>water</v>
      </c>
      <c r="G855" s="146" t="str">
        <f t="shared" ref="G855:G867" si="840">CONCATENATE(A855," ",B855," ",D855," mm (emission to ",F855,")")</f>
        <v>PHB particles 1-10 mm (emission to water)</v>
      </c>
      <c r="H855" s="146"/>
      <c r="I855" s="129">
        <v>0</v>
      </c>
      <c r="J855" s="101" t="s">
        <v>1097</v>
      </c>
      <c r="K855" s="114">
        <f>K38</f>
        <v>175.98214285714289</v>
      </c>
      <c r="L855" s="226">
        <f t="shared" si="836"/>
        <v>7.1029934043632661</v>
      </c>
      <c r="M855" s="220">
        <f t="shared" si="838"/>
        <v>7.1029934043632661E-3</v>
      </c>
      <c r="N855" s="612"/>
    </row>
    <row r="856" spans="1:14" s="102" customFormat="1">
      <c r="A856" s="172" t="str">
        <f>A855</f>
        <v>PHB</v>
      </c>
      <c r="B856" s="149" t="str">
        <f>B855</f>
        <v>particles</v>
      </c>
      <c r="C856" s="149">
        <f t="shared" ref="C856" si="841">IF(OR(B856="Folie", B856="Strips", B856="Film",B856="Flakes",B856="Coupon"), 2,IF(OR(B856="Fibers",B856="Pellets"),4,IF(OR(B856="Particles",B856="Shreds",B856="Powder",B856="Fragments",B856="Granules"),6,"")))</f>
        <v>6</v>
      </c>
      <c r="D856" s="149" t="str">
        <f t="shared" si="839"/>
        <v>1-10</v>
      </c>
      <c r="E856" s="149">
        <f t="shared" si="839"/>
        <v>10</v>
      </c>
      <c r="F856" s="149" t="str">
        <f t="shared" si="839"/>
        <v>water</v>
      </c>
      <c r="G856" s="146" t="str">
        <f t="shared" si="840"/>
        <v>PHB particles 1-10 mm (emission to water)</v>
      </c>
      <c r="H856" s="146"/>
      <c r="I856" s="129">
        <v>1</v>
      </c>
      <c r="J856" s="134"/>
      <c r="K856" s="160">
        <f>K39</f>
        <v>175.98214285714289</v>
      </c>
      <c r="L856" s="226">
        <f t="shared" si="836"/>
        <v>7.1029934043632661</v>
      </c>
      <c r="M856" s="220">
        <f t="shared" si="838"/>
        <v>7.1029934043632661E-3</v>
      </c>
      <c r="N856" s="612"/>
    </row>
    <row r="857" spans="1:14" s="102" customFormat="1">
      <c r="A857" s="173" t="str">
        <f>A855</f>
        <v>PHB</v>
      </c>
      <c r="B857" s="150" t="str">
        <f>B855</f>
        <v>particles</v>
      </c>
      <c r="C857" s="150">
        <f t="shared" si="775"/>
        <v>6</v>
      </c>
      <c r="D857" s="150" t="str">
        <f>D855</f>
        <v>1-10</v>
      </c>
      <c r="E857" s="150">
        <f>E855</f>
        <v>10</v>
      </c>
      <c r="F857" s="150" t="str">
        <f>F855</f>
        <v>water</v>
      </c>
      <c r="G857" s="147" t="str">
        <f t="shared" si="840"/>
        <v>PHB particles 1-10 mm (emission to water)</v>
      </c>
      <c r="H857" s="147">
        <f>H855</f>
        <v>0</v>
      </c>
      <c r="I857" s="129">
        <v>0</v>
      </c>
      <c r="J857" s="101" t="s">
        <v>1034</v>
      </c>
      <c r="K857" s="114" t="s">
        <v>596</v>
      </c>
      <c r="L857" s="226">
        <f t="shared" si="836"/>
        <v>0</v>
      </c>
      <c r="M857" s="220">
        <f t="shared" si="838"/>
        <v>0</v>
      </c>
      <c r="N857" s="613"/>
    </row>
    <row r="858" spans="1:14" s="102" customFormat="1">
      <c r="A858" s="174" t="s">
        <v>18</v>
      </c>
      <c r="B858" s="288" t="s">
        <v>1025</v>
      </c>
      <c r="C858" s="290">
        <f t="shared" ref="C858:C860" si="842">IF(OR(B858="Folie", B858="Strips", B858="Film",B858="Flakes",B858="Coupon"), 2,IF(OR(B858="Fibers",B858="Pellets"),4,IF(OR(B858="Particles",B858="Shreds",B858="Powder",B858="Fragments",B858="Granules"),6,"")))</f>
        <v>6</v>
      </c>
      <c r="D858" s="290" t="s">
        <v>1026</v>
      </c>
      <c r="E858" s="155">
        <v>10</v>
      </c>
      <c r="F858" s="131" t="s">
        <v>1057</v>
      </c>
      <c r="G858" s="134" t="str">
        <f t="shared" si="840"/>
        <v>PHB particles 1-10 mm (emission to air)</v>
      </c>
      <c r="H858" s="133"/>
      <c r="I858" s="137">
        <v>0.97699999999999998</v>
      </c>
      <c r="J858" s="101" t="s">
        <v>1019</v>
      </c>
      <c r="K858" s="114">
        <f>K37</f>
        <v>789.98664829447762</v>
      </c>
      <c r="L858" s="226">
        <f t="shared" ref="L858:L860" si="843">IFERROR(IF(K858="--",0,IF(E858*1000/K858*(1-0.5)^(C858/2)&gt;1000,1000,E858*1000/K858*(1-0.5)^(C858/2))),1000)</f>
        <v>1.5823052233840369</v>
      </c>
      <c r="M858" s="158">
        <f>IF(L858/1000&gt;1000,1000,L858/1000)</f>
        <v>1.582305223384037E-3</v>
      </c>
      <c r="N858" s="610">
        <f>I858*M858+I859*M859</f>
        <v>1.7092810515465593E-3</v>
      </c>
    </row>
    <row r="859" spans="1:14" s="102" customFormat="1">
      <c r="A859" s="172" t="str">
        <f>A858</f>
        <v>PHB</v>
      </c>
      <c r="B859" s="149" t="str">
        <f>B858</f>
        <v>particles</v>
      </c>
      <c r="C859" s="149">
        <f t="shared" si="842"/>
        <v>6</v>
      </c>
      <c r="D859" s="149" t="str">
        <f t="shared" ref="D859:F859" si="844">D858</f>
        <v>1-10</v>
      </c>
      <c r="E859" s="149">
        <f t="shared" si="844"/>
        <v>10</v>
      </c>
      <c r="F859" s="149" t="str">
        <f t="shared" si="844"/>
        <v>air</v>
      </c>
      <c r="G859" s="146" t="str">
        <f t="shared" si="840"/>
        <v>PHB particles 1-10 mm (emission to air)</v>
      </c>
      <c r="H859" s="146"/>
      <c r="I859" s="129">
        <v>2.3E-2</v>
      </c>
      <c r="J859" s="101" t="s">
        <v>1097</v>
      </c>
      <c r="K859" s="114">
        <f>K38</f>
        <v>175.98214285714289</v>
      </c>
      <c r="L859" s="226">
        <f t="shared" si="843"/>
        <v>7.1029934043632661</v>
      </c>
      <c r="M859" s="158">
        <f>IF(L859/1000&gt;1000,1000,L859/1000)</f>
        <v>7.1029934043632661E-3</v>
      </c>
      <c r="N859" s="610"/>
    </row>
    <row r="860" spans="1:14" s="102" customFormat="1" ht="13.5" thickBot="1">
      <c r="A860" s="173" t="str">
        <f>A859</f>
        <v>PHB</v>
      </c>
      <c r="B860" s="150" t="str">
        <f>B859</f>
        <v>particles</v>
      </c>
      <c r="C860" s="150">
        <f t="shared" si="842"/>
        <v>6</v>
      </c>
      <c r="D860" s="150" t="str">
        <f t="shared" ref="D860:F860" si="845">D859</f>
        <v>1-10</v>
      </c>
      <c r="E860" s="178">
        <f t="shared" si="845"/>
        <v>10</v>
      </c>
      <c r="F860" s="178" t="str">
        <f t="shared" si="845"/>
        <v>air</v>
      </c>
      <c r="G860" s="179" t="str">
        <f t="shared" si="840"/>
        <v>PHB particles 1-10 mm (emission to air)</v>
      </c>
      <c r="H860" s="179"/>
      <c r="I860" s="277">
        <v>0</v>
      </c>
      <c r="J860" s="101" t="s">
        <v>1034</v>
      </c>
      <c r="K860" s="151" t="s">
        <v>596</v>
      </c>
      <c r="L860" s="226">
        <f t="shared" si="843"/>
        <v>0</v>
      </c>
      <c r="M860" s="158">
        <f t="shared" ref="M860" si="846">IF(L860/1000&gt;1000,1000,L860/1000)</f>
        <v>0</v>
      </c>
      <c r="N860" s="610"/>
    </row>
    <row r="861" spans="1:14" s="102" customFormat="1">
      <c r="A861" s="163" t="s">
        <v>19</v>
      </c>
      <c r="B861" s="164" t="s">
        <v>996</v>
      </c>
      <c r="C861" s="165">
        <f>IF(OR(B861="Folie", B861="Strips", B861="Film",B861="Flakes",B861="Coupon"), 2,IF(OR(B861="Fibers",B861="Pellets"),4,IF(OR(B861="Particles",B861="Shreds",B861="Powder",B861="Fragments",B861="Granules"),6,"")))</f>
        <v>2</v>
      </c>
      <c r="D861" s="165" t="s">
        <v>1028</v>
      </c>
      <c r="E861" s="293">
        <v>1</v>
      </c>
      <c r="F861" s="166" t="s">
        <v>1019</v>
      </c>
      <c r="G861" s="167" t="str">
        <f t="shared" si="840"/>
        <v>PHBV film 0,1-1 mm (emission to soil)</v>
      </c>
      <c r="H861" s="168"/>
      <c r="I861" s="169">
        <v>1</v>
      </c>
      <c r="J861" s="170" t="s">
        <v>1019</v>
      </c>
      <c r="K861" s="171">
        <f>K40</f>
        <v>432.08646933463126</v>
      </c>
      <c r="L861" s="226">
        <f t="shared" ref="L861:L867" si="847">IFERROR(IF(K861="--",0,IF(E861*1000/K861*(1-0.5)^(C861/2)&gt;1000,1000,E861*1000/K861*(1-0.5)^(C861/2))),1000)</f>
        <v>1.1571757865270547</v>
      </c>
      <c r="M861" s="158">
        <f>IF(L861/1000&gt;1000,1000,L861/1000)</f>
        <v>1.1571757865270547E-3</v>
      </c>
      <c r="N861" s="610">
        <f>I861*M861+I862*M862</f>
        <v>1.1571757865270547E-3</v>
      </c>
    </row>
    <row r="862" spans="1:14" s="102" customFormat="1">
      <c r="A862" s="172" t="str">
        <f>A861</f>
        <v>PHBV</v>
      </c>
      <c r="B862" s="149" t="str">
        <f>B861</f>
        <v>film</v>
      </c>
      <c r="C862" s="149">
        <f t="shared" ref="C862:C927" si="848">IF(OR(B862="Folie", B862="Strips", B862="Film",B862="Flakes",B862="Coupon"), 2,IF(OR(B862="Fibers",B862="Pellets"),4,IF(OR(B862="Particles",B862="Shreds",B862="Powder",B862="Fragments",B862="Granules"),6,"")))</f>
        <v>2</v>
      </c>
      <c r="D862" s="149" t="str">
        <f t="shared" ref="D862:F863" si="849">D861</f>
        <v>0,1-1</v>
      </c>
      <c r="E862" s="149">
        <f t="shared" si="849"/>
        <v>1</v>
      </c>
      <c r="F862" s="149" t="str">
        <f t="shared" si="849"/>
        <v>soil</v>
      </c>
      <c r="G862" s="146" t="str">
        <f t="shared" si="840"/>
        <v>PHBV film 0,1-1 mm (emission to soil)</v>
      </c>
      <c r="H862" s="146"/>
      <c r="I862" s="129">
        <v>0</v>
      </c>
      <c r="J862" s="101" t="s">
        <v>1097</v>
      </c>
      <c r="K862" s="114">
        <f>K41</f>
        <v>416.76682692307691</v>
      </c>
      <c r="L862" s="226">
        <f t="shared" si="847"/>
        <v>1.1997116077865899</v>
      </c>
      <c r="M862" s="158">
        <f>IF(L862/1000&gt;1000,1000,L862/1000)</f>
        <v>1.1997116077865899E-3</v>
      </c>
      <c r="N862" s="610"/>
    </row>
    <row r="863" spans="1:14" s="102" customFormat="1">
      <c r="A863" s="173" t="str">
        <f>A862</f>
        <v>PHBV</v>
      </c>
      <c r="B863" s="150" t="str">
        <f>B862</f>
        <v>film</v>
      </c>
      <c r="C863" s="150">
        <f t="shared" si="848"/>
        <v>2</v>
      </c>
      <c r="D863" s="150" t="str">
        <f t="shared" si="849"/>
        <v>0,1-1</v>
      </c>
      <c r="E863" s="150">
        <f t="shared" si="849"/>
        <v>1</v>
      </c>
      <c r="F863" s="150" t="str">
        <f t="shared" si="849"/>
        <v>soil</v>
      </c>
      <c r="G863" s="147" t="str">
        <f t="shared" si="840"/>
        <v>PHBV film 0,1-1 mm (emission to soil)</v>
      </c>
      <c r="H863" s="147"/>
      <c r="I863" s="129">
        <v>0</v>
      </c>
      <c r="J863" s="101" t="s">
        <v>1034</v>
      </c>
      <c r="K863" s="151" t="s">
        <v>596</v>
      </c>
      <c r="L863" s="226">
        <f t="shared" si="847"/>
        <v>0</v>
      </c>
      <c r="M863" s="158">
        <f t="shared" ref="M863:M867" si="850">IF(L863/1000&gt;1000,1000,L863/1000)</f>
        <v>0</v>
      </c>
      <c r="N863" s="610"/>
    </row>
    <row r="864" spans="1:14" s="102" customFormat="1">
      <c r="A864" s="174" t="s">
        <v>19</v>
      </c>
      <c r="B864" s="186" t="s">
        <v>996</v>
      </c>
      <c r="C864" s="188">
        <f t="shared" si="848"/>
        <v>2</v>
      </c>
      <c r="D864" s="188" t="s">
        <v>1028</v>
      </c>
      <c r="E864" s="216">
        <v>1</v>
      </c>
      <c r="F864" s="131" t="s">
        <v>1020</v>
      </c>
      <c r="G864" s="134" t="str">
        <f t="shared" si="840"/>
        <v>PHBV film 0,1-1 mm (emission to water)</v>
      </c>
      <c r="H864" s="144"/>
      <c r="I864" s="129">
        <v>0</v>
      </c>
      <c r="J864" s="101" t="s">
        <v>1019</v>
      </c>
      <c r="K864" s="114">
        <f>K40</f>
        <v>432.08646933463126</v>
      </c>
      <c r="L864" s="226">
        <f t="shared" si="847"/>
        <v>1.1571757865270547</v>
      </c>
      <c r="M864" s="220">
        <f t="shared" si="850"/>
        <v>1.1571757865270547E-3</v>
      </c>
      <c r="N864" s="611">
        <f>I864*M864+I865*M865+I866*M866</f>
        <v>1.1997116077865899E-3</v>
      </c>
    </row>
    <row r="865" spans="1:14" s="102" customFormat="1">
      <c r="A865" s="172" t="str">
        <f>A864</f>
        <v>PHBV</v>
      </c>
      <c r="B865" s="149" t="str">
        <f>B864</f>
        <v>film</v>
      </c>
      <c r="C865" s="149">
        <f t="shared" si="848"/>
        <v>2</v>
      </c>
      <c r="D865" s="149" t="str">
        <f t="shared" ref="D865:F866" si="851">D864</f>
        <v>0,1-1</v>
      </c>
      <c r="E865" s="149">
        <f t="shared" si="851"/>
        <v>1</v>
      </c>
      <c r="F865" s="149" t="str">
        <f t="shared" si="851"/>
        <v>water</v>
      </c>
      <c r="G865" s="146" t="str">
        <f t="shared" si="840"/>
        <v>PHBV film 0,1-1 mm (emission to water)</v>
      </c>
      <c r="H865" s="146"/>
      <c r="I865" s="129">
        <v>0</v>
      </c>
      <c r="J865" s="101" t="s">
        <v>1097</v>
      </c>
      <c r="K865" s="114">
        <f>K41</f>
        <v>416.76682692307691</v>
      </c>
      <c r="L865" s="226">
        <f t="shared" si="847"/>
        <v>1.1997116077865899</v>
      </c>
      <c r="M865" s="220">
        <f t="shared" si="850"/>
        <v>1.1997116077865899E-3</v>
      </c>
      <c r="N865" s="612"/>
    </row>
    <row r="866" spans="1:14" s="102" customFormat="1">
      <c r="A866" s="172" t="str">
        <f>A865</f>
        <v>PHBV</v>
      </c>
      <c r="B866" s="149" t="str">
        <f>B865</f>
        <v>film</v>
      </c>
      <c r="C866" s="149">
        <f t="shared" si="848"/>
        <v>2</v>
      </c>
      <c r="D866" s="149" t="str">
        <f t="shared" si="851"/>
        <v>0,1-1</v>
      </c>
      <c r="E866" s="149">
        <f t="shared" si="851"/>
        <v>1</v>
      </c>
      <c r="F866" s="149" t="str">
        <f t="shared" si="851"/>
        <v>water</v>
      </c>
      <c r="G866" s="146" t="str">
        <f t="shared" si="840"/>
        <v>PHBV film 0,1-1 mm (emission to water)</v>
      </c>
      <c r="H866" s="146"/>
      <c r="I866" s="129">
        <v>1</v>
      </c>
      <c r="J866" s="101" t="s">
        <v>1096</v>
      </c>
      <c r="K866" s="114">
        <f>K42</f>
        <v>416.76682692307691</v>
      </c>
      <c r="L866" s="226">
        <f t="shared" si="847"/>
        <v>1.1997116077865899</v>
      </c>
      <c r="M866" s="220">
        <f t="shared" si="850"/>
        <v>1.1997116077865899E-3</v>
      </c>
      <c r="N866" s="612"/>
    </row>
    <row r="867" spans="1:14" s="102" customFormat="1">
      <c r="A867" s="173" t="str">
        <f>A865</f>
        <v>PHBV</v>
      </c>
      <c r="B867" s="150" t="str">
        <f>B865</f>
        <v>film</v>
      </c>
      <c r="C867" s="150">
        <f t="shared" si="848"/>
        <v>2</v>
      </c>
      <c r="D867" s="150" t="str">
        <f>D865</f>
        <v>0,1-1</v>
      </c>
      <c r="E867" s="150">
        <f>E865</f>
        <v>1</v>
      </c>
      <c r="F867" s="150" t="str">
        <f>F865</f>
        <v>water</v>
      </c>
      <c r="G867" s="147" t="str">
        <f t="shared" si="840"/>
        <v>PHBV film 0,1-1 mm (emission to water)</v>
      </c>
      <c r="H867" s="147"/>
      <c r="I867" s="129">
        <v>0</v>
      </c>
      <c r="J867" s="101" t="s">
        <v>1034</v>
      </c>
      <c r="K867" s="151" t="s">
        <v>596</v>
      </c>
      <c r="L867" s="226">
        <f t="shared" si="847"/>
        <v>0</v>
      </c>
      <c r="M867" s="220">
        <f t="shared" si="850"/>
        <v>0</v>
      </c>
      <c r="N867" s="613"/>
    </row>
    <row r="868" spans="1:14" s="102" customFormat="1">
      <c r="A868" s="174" t="s">
        <v>19</v>
      </c>
      <c r="B868" s="288" t="s">
        <v>996</v>
      </c>
      <c r="C868" s="290">
        <f>IF(OR(B868="Folie", B868="Strips", B868="Film",B868="Flakes",B868="Coupon"), 2,IF(OR(B868="Fibers",B868="Pellets"),4,IF(OR(B868="Particles",B868="Shreds",B868="Powder",B868="Fragments",B868="Granules"),6,"")))</f>
        <v>2</v>
      </c>
      <c r="D868" s="290" t="s">
        <v>1028</v>
      </c>
      <c r="E868" s="155">
        <v>1</v>
      </c>
      <c r="F868" s="131" t="s">
        <v>1057</v>
      </c>
      <c r="G868" s="134" t="str">
        <f t="shared" ref="G868:G870" si="852">CONCATENATE(A868," ",B868," ",D868," mm (emission to ",F868,")")</f>
        <v>PHBV film 0,1-1 mm (emission to air)</v>
      </c>
      <c r="H868" s="144"/>
      <c r="I868" s="137">
        <v>0.97699999999999998</v>
      </c>
      <c r="J868" s="101" t="s">
        <v>1019</v>
      </c>
      <c r="K868" s="114">
        <f>K40</f>
        <v>432.08646933463126</v>
      </c>
      <c r="L868" s="226">
        <f t="shared" ref="L868:L870" si="853">IFERROR(IF(K868="--",0,IF(E868*1000/K868*(1-0.5)^(C868/2)&gt;1000,1000,E868*1000/K868*(1-0.5)^(C868/2))),1000)</f>
        <v>1.1571757865270547</v>
      </c>
      <c r="M868" s="158">
        <f>IF(L868/1000&gt;1000,1000,L868/1000)</f>
        <v>1.1571757865270547E-3</v>
      </c>
      <c r="N868" s="610">
        <f>I868*M868+I869*M869</f>
        <v>1.1581541104160242E-3</v>
      </c>
    </row>
    <row r="869" spans="1:14" s="102" customFormat="1">
      <c r="A869" s="172" t="str">
        <f>A868</f>
        <v>PHBV</v>
      </c>
      <c r="B869" s="149" t="str">
        <f>B868</f>
        <v>film</v>
      </c>
      <c r="C869" s="149">
        <f t="shared" ref="C869:C870" si="854">IF(OR(B869="Folie", B869="Strips", B869="Film",B869="Flakes",B869="Coupon"), 2,IF(OR(B869="Fibers",B869="Pellets"),4,IF(OR(B869="Particles",B869="Shreds",B869="Powder",B869="Fragments",B869="Granules"),6,"")))</f>
        <v>2</v>
      </c>
      <c r="D869" s="149" t="str">
        <f t="shared" ref="D869:F869" si="855">D868</f>
        <v>0,1-1</v>
      </c>
      <c r="E869" s="149">
        <f t="shared" si="855"/>
        <v>1</v>
      </c>
      <c r="F869" s="149" t="str">
        <f t="shared" si="855"/>
        <v>air</v>
      </c>
      <c r="G869" s="146" t="str">
        <f t="shared" si="852"/>
        <v>PHBV film 0,1-1 mm (emission to air)</v>
      </c>
      <c r="H869" s="146"/>
      <c r="I869" s="129">
        <v>2.3E-2</v>
      </c>
      <c r="J869" s="101" t="s">
        <v>1097</v>
      </c>
      <c r="K869" s="114">
        <f>K41</f>
        <v>416.76682692307691</v>
      </c>
      <c r="L869" s="226">
        <f t="shared" si="853"/>
        <v>1.1997116077865899</v>
      </c>
      <c r="M869" s="158">
        <f>IF(L869/1000&gt;1000,1000,L869/1000)</f>
        <v>1.1997116077865899E-3</v>
      </c>
      <c r="N869" s="610"/>
    </row>
    <row r="870" spans="1:14" s="102" customFormat="1">
      <c r="A870" s="173" t="str">
        <f>A869</f>
        <v>PHBV</v>
      </c>
      <c r="B870" s="150" t="str">
        <f>B869</f>
        <v>film</v>
      </c>
      <c r="C870" s="150">
        <f t="shared" si="854"/>
        <v>2</v>
      </c>
      <c r="D870" s="150" t="str">
        <f t="shared" ref="D870:F870" si="856">D869</f>
        <v>0,1-1</v>
      </c>
      <c r="E870" s="150">
        <f t="shared" si="856"/>
        <v>1</v>
      </c>
      <c r="F870" s="150" t="str">
        <f t="shared" si="856"/>
        <v>air</v>
      </c>
      <c r="G870" s="147" t="str">
        <f t="shared" si="852"/>
        <v>PHBV film 0,1-1 mm (emission to air)</v>
      </c>
      <c r="H870" s="147"/>
      <c r="I870" s="129">
        <v>0</v>
      </c>
      <c r="J870" s="101" t="s">
        <v>1034</v>
      </c>
      <c r="K870" s="151" t="s">
        <v>596</v>
      </c>
      <c r="L870" s="226">
        <f t="shared" si="853"/>
        <v>0</v>
      </c>
      <c r="M870" s="158">
        <f t="shared" ref="M870" si="857">IF(L870/1000&gt;1000,1000,L870/1000)</f>
        <v>0</v>
      </c>
      <c r="N870" s="610"/>
    </row>
    <row r="871" spans="1:14" s="102" customFormat="1">
      <c r="A871" s="174" t="s">
        <v>19</v>
      </c>
      <c r="B871" s="159" t="s">
        <v>996</v>
      </c>
      <c r="C871" s="188">
        <f t="shared" si="848"/>
        <v>2</v>
      </c>
      <c r="D871" s="188" t="s">
        <v>1026</v>
      </c>
      <c r="E871" s="155">
        <v>10</v>
      </c>
      <c r="F871" s="131" t="s">
        <v>1019</v>
      </c>
      <c r="G871" s="134" t="str">
        <f t="shared" ref="G871:G924" si="858">CONCATENATE(A871," ",B871," ",D871," mm (emission to ",F871,")")</f>
        <v>PHBV film 1-10 mm (emission to soil)</v>
      </c>
      <c r="H871" s="134"/>
      <c r="I871" s="129">
        <v>1</v>
      </c>
      <c r="J871" s="101" t="s">
        <v>1019</v>
      </c>
      <c r="K871" s="114">
        <f>K40</f>
        <v>432.08646933463126</v>
      </c>
      <c r="L871" s="226">
        <f t="shared" ref="L871:L877" si="859">IFERROR(IF(K871="--",0,IF(E871*1000/K871*(1-0.5)^(C871/2)&gt;1000,1000,E871*1000/K871*(1-0.5)^(C871/2))),1000)</f>
        <v>11.571757865270547</v>
      </c>
      <c r="M871" s="158">
        <f>IF(L871/1000&gt;1000,1000,L871/1000)</f>
        <v>1.1571757865270546E-2</v>
      </c>
      <c r="N871" s="610">
        <f>I871*M871+I872*M872</f>
        <v>1.1571757865270546E-2</v>
      </c>
    </row>
    <row r="872" spans="1:14" s="102" customFormat="1">
      <c r="A872" s="172" t="str">
        <f>A871</f>
        <v>PHBV</v>
      </c>
      <c r="B872" s="149" t="str">
        <f>B871</f>
        <v>film</v>
      </c>
      <c r="C872" s="149">
        <f t="shared" si="848"/>
        <v>2</v>
      </c>
      <c r="D872" s="149" t="str">
        <f t="shared" ref="D872:F873" si="860">D871</f>
        <v>1-10</v>
      </c>
      <c r="E872" s="149">
        <f t="shared" si="860"/>
        <v>10</v>
      </c>
      <c r="F872" s="149" t="str">
        <f t="shared" si="860"/>
        <v>soil</v>
      </c>
      <c r="G872" s="146" t="str">
        <f t="shared" si="858"/>
        <v>PHBV film 1-10 mm (emission to soil)</v>
      </c>
      <c r="H872" s="146"/>
      <c r="I872" s="129">
        <v>0</v>
      </c>
      <c r="J872" s="101" t="s">
        <v>1097</v>
      </c>
      <c r="K872" s="114">
        <f>K41</f>
        <v>416.76682692307691</v>
      </c>
      <c r="L872" s="226">
        <f t="shared" si="859"/>
        <v>11.997116077865899</v>
      </c>
      <c r="M872" s="158">
        <f>IF(L872/1000&gt;1000,1000,L872/1000)</f>
        <v>1.1997116077865898E-2</v>
      </c>
      <c r="N872" s="610"/>
    </row>
    <row r="873" spans="1:14" s="102" customFormat="1">
      <c r="A873" s="173" t="str">
        <f>A872</f>
        <v>PHBV</v>
      </c>
      <c r="B873" s="150" t="str">
        <f>B872</f>
        <v>film</v>
      </c>
      <c r="C873" s="150">
        <f t="shared" si="848"/>
        <v>2</v>
      </c>
      <c r="D873" s="150" t="str">
        <f t="shared" si="860"/>
        <v>1-10</v>
      </c>
      <c r="E873" s="150">
        <f t="shared" si="860"/>
        <v>10</v>
      </c>
      <c r="F873" s="150" t="str">
        <f t="shared" si="860"/>
        <v>soil</v>
      </c>
      <c r="G873" s="147" t="str">
        <f t="shared" si="858"/>
        <v>PHBV film 1-10 mm (emission to soil)</v>
      </c>
      <c r="H873" s="147"/>
      <c r="I873" s="129">
        <v>0</v>
      </c>
      <c r="J873" s="101" t="s">
        <v>1034</v>
      </c>
      <c r="K873" s="114" t="s">
        <v>596</v>
      </c>
      <c r="L873" s="226">
        <f t="shared" si="859"/>
        <v>0</v>
      </c>
      <c r="M873" s="158">
        <f t="shared" ref="M873:M877" si="861">IF(L873/1000&gt;1000,1000,L873/1000)</f>
        <v>0</v>
      </c>
      <c r="N873" s="610"/>
    </row>
    <row r="874" spans="1:14" s="102" customFormat="1">
      <c r="A874" s="174" t="s">
        <v>19</v>
      </c>
      <c r="B874" s="159" t="s">
        <v>996</v>
      </c>
      <c r="C874" s="188">
        <f t="shared" si="848"/>
        <v>2</v>
      </c>
      <c r="D874" s="188" t="s">
        <v>1026</v>
      </c>
      <c r="E874" s="214">
        <v>10</v>
      </c>
      <c r="F874" s="131" t="s">
        <v>1020</v>
      </c>
      <c r="G874" s="134" t="str">
        <f t="shared" si="858"/>
        <v>PHBV film 1-10 mm (emission to water)</v>
      </c>
      <c r="H874" s="134"/>
      <c r="I874" s="129">
        <v>0</v>
      </c>
      <c r="J874" s="101" t="s">
        <v>1019</v>
      </c>
      <c r="K874" s="114">
        <f>K40</f>
        <v>432.08646933463126</v>
      </c>
      <c r="L874" s="226">
        <f t="shared" si="859"/>
        <v>11.571757865270547</v>
      </c>
      <c r="M874" s="220">
        <f t="shared" si="861"/>
        <v>1.1571757865270546E-2</v>
      </c>
      <c r="N874" s="611">
        <f>I874*M874+I875*M875+I876*M876</f>
        <v>1.1997116077865898E-2</v>
      </c>
    </row>
    <row r="875" spans="1:14" s="102" customFormat="1">
      <c r="A875" s="172" t="str">
        <f>A874</f>
        <v>PHBV</v>
      </c>
      <c r="B875" s="149" t="str">
        <f>B874</f>
        <v>film</v>
      </c>
      <c r="C875" s="149">
        <f t="shared" si="848"/>
        <v>2</v>
      </c>
      <c r="D875" s="149" t="str">
        <f t="shared" ref="D875:F876" si="862">D874</f>
        <v>1-10</v>
      </c>
      <c r="E875" s="149">
        <f t="shared" si="862"/>
        <v>10</v>
      </c>
      <c r="F875" s="149" t="str">
        <f t="shared" si="862"/>
        <v>water</v>
      </c>
      <c r="G875" s="146" t="str">
        <f t="shared" si="858"/>
        <v>PHBV film 1-10 mm (emission to water)</v>
      </c>
      <c r="H875" s="146"/>
      <c r="I875" s="129">
        <v>0</v>
      </c>
      <c r="J875" s="101" t="s">
        <v>1097</v>
      </c>
      <c r="K875" s="114">
        <f>K41</f>
        <v>416.76682692307691</v>
      </c>
      <c r="L875" s="226">
        <f t="shared" si="859"/>
        <v>11.997116077865899</v>
      </c>
      <c r="M875" s="220">
        <f t="shared" si="861"/>
        <v>1.1997116077865898E-2</v>
      </c>
      <c r="N875" s="612"/>
    </row>
    <row r="876" spans="1:14" s="102" customFormat="1">
      <c r="A876" s="172" t="str">
        <f>A875</f>
        <v>PHBV</v>
      </c>
      <c r="B876" s="149" t="str">
        <f>B875</f>
        <v>film</v>
      </c>
      <c r="C876" s="149">
        <f t="shared" si="848"/>
        <v>2</v>
      </c>
      <c r="D876" s="149" t="str">
        <f t="shared" si="862"/>
        <v>1-10</v>
      </c>
      <c r="E876" s="149">
        <f t="shared" si="862"/>
        <v>10</v>
      </c>
      <c r="F876" s="149" t="str">
        <f t="shared" si="862"/>
        <v>water</v>
      </c>
      <c r="G876" s="146" t="str">
        <f t="shared" si="858"/>
        <v>PHBV film 1-10 mm (emission to water)</v>
      </c>
      <c r="H876" s="146"/>
      <c r="I876" s="129">
        <v>1</v>
      </c>
      <c r="J876" s="101" t="s">
        <v>1096</v>
      </c>
      <c r="K876" s="114">
        <f>K42</f>
        <v>416.76682692307691</v>
      </c>
      <c r="L876" s="226">
        <f t="shared" si="859"/>
        <v>11.997116077865899</v>
      </c>
      <c r="M876" s="220">
        <f t="shared" si="861"/>
        <v>1.1997116077865898E-2</v>
      </c>
      <c r="N876" s="612"/>
    </row>
    <row r="877" spans="1:14" s="102" customFormat="1">
      <c r="A877" s="173" t="str">
        <f>A875</f>
        <v>PHBV</v>
      </c>
      <c r="B877" s="150" t="str">
        <f>B875</f>
        <v>film</v>
      </c>
      <c r="C877" s="150">
        <f t="shared" si="848"/>
        <v>2</v>
      </c>
      <c r="D877" s="150" t="str">
        <f>D875</f>
        <v>1-10</v>
      </c>
      <c r="E877" s="150">
        <f>E875</f>
        <v>10</v>
      </c>
      <c r="F877" s="150" t="str">
        <f>F875</f>
        <v>water</v>
      </c>
      <c r="G877" s="147" t="str">
        <f t="shared" si="858"/>
        <v>PHBV film 1-10 mm (emission to water)</v>
      </c>
      <c r="H877" s="147"/>
      <c r="I877" s="129">
        <v>0</v>
      </c>
      <c r="J877" s="101" t="s">
        <v>1034</v>
      </c>
      <c r="K877" s="114" t="s">
        <v>596</v>
      </c>
      <c r="L877" s="226">
        <f t="shared" si="859"/>
        <v>0</v>
      </c>
      <c r="M877" s="220">
        <f t="shared" si="861"/>
        <v>0</v>
      </c>
      <c r="N877" s="613"/>
    </row>
    <row r="878" spans="1:14" s="102" customFormat="1">
      <c r="A878" s="174" t="s">
        <v>19</v>
      </c>
      <c r="B878" s="159" t="s">
        <v>996</v>
      </c>
      <c r="C878" s="290">
        <f t="shared" ref="C878:C880" si="863">IF(OR(B878="Folie", B878="Strips", B878="Film",B878="Flakes",B878="Coupon"), 2,IF(OR(B878="Fibers",B878="Pellets"),4,IF(OR(B878="Particles",B878="Shreds",B878="Powder",B878="Fragments",B878="Granules"),6,"")))</f>
        <v>2</v>
      </c>
      <c r="D878" s="290" t="s">
        <v>1026</v>
      </c>
      <c r="E878" s="155">
        <v>10</v>
      </c>
      <c r="F878" s="131" t="s">
        <v>1057</v>
      </c>
      <c r="G878" s="134" t="str">
        <f t="shared" ref="G878:G880" si="864">CONCATENATE(A878," ",B878," ",D878," mm (emission to ",F878,")")</f>
        <v>PHBV film 1-10 mm (emission to air)</v>
      </c>
      <c r="H878" s="134"/>
      <c r="I878" s="137">
        <v>0.97699999999999998</v>
      </c>
      <c r="J878" s="101" t="s">
        <v>1019</v>
      </c>
      <c r="K878" s="114">
        <f>K40</f>
        <v>432.08646933463126</v>
      </c>
      <c r="L878" s="226">
        <f t="shared" ref="L878:L880" si="865">IFERROR(IF(K878="--",0,IF(E878*1000/K878*(1-0.5)^(C878/2)&gt;1000,1000,E878*1000/K878*(1-0.5)^(C878/2))),1000)</f>
        <v>11.571757865270547</v>
      </c>
      <c r="M878" s="158">
        <f>IF(L878/1000&gt;1000,1000,L878/1000)</f>
        <v>1.1571757865270546E-2</v>
      </c>
      <c r="N878" s="610">
        <f>I878*M878+I879*M879</f>
        <v>1.158154110416024E-2</v>
      </c>
    </row>
    <row r="879" spans="1:14" s="102" customFormat="1">
      <c r="A879" s="172" t="str">
        <f>A878</f>
        <v>PHBV</v>
      </c>
      <c r="B879" s="149" t="str">
        <f>B878</f>
        <v>film</v>
      </c>
      <c r="C879" s="149">
        <f t="shared" si="863"/>
        <v>2</v>
      </c>
      <c r="D879" s="149" t="str">
        <f t="shared" ref="D879:F879" si="866">D878</f>
        <v>1-10</v>
      </c>
      <c r="E879" s="149">
        <f t="shared" si="866"/>
        <v>10</v>
      </c>
      <c r="F879" s="149" t="str">
        <f t="shared" si="866"/>
        <v>air</v>
      </c>
      <c r="G879" s="146" t="str">
        <f t="shared" si="864"/>
        <v>PHBV film 1-10 mm (emission to air)</v>
      </c>
      <c r="H879" s="146"/>
      <c r="I879" s="129">
        <v>2.3E-2</v>
      </c>
      <c r="J879" s="101" t="s">
        <v>1097</v>
      </c>
      <c r="K879" s="114">
        <f>K41</f>
        <v>416.76682692307691</v>
      </c>
      <c r="L879" s="226">
        <f t="shared" si="865"/>
        <v>11.997116077865899</v>
      </c>
      <c r="M879" s="158">
        <f>IF(L879/1000&gt;1000,1000,L879/1000)</f>
        <v>1.1997116077865898E-2</v>
      </c>
      <c r="N879" s="610"/>
    </row>
    <row r="880" spans="1:14" s="102" customFormat="1">
      <c r="A880" s="173" t="str">
        <f>A879</f>
        <v>PHBV</v>
      </c>
      <c r="B880" s="150" t="str">
        <f>B879</f>
        <v>film</v>
      </c>
      <c r="C880" s="150">
        <f t="shared" si="863"/>
        <v>2</v>
      </c>
      <c r="D880" s="150" t="str">
        <f t="shared" ref="D880:F880" si="867">D879</f>
        <v>1-10</v>
      </c>
      <c r="E880" s="150">
        <f t="shared" si="867"/>
        <v>10</v>
      </c>
      <c r="F880" s="150" t="str">
        <f t="shared" si="867"/>
        <v>air</v>
      </c>
      <c r="G880" s="147" t="str">
        <f t="shared" si="864"/>
        <v>PHBV film 1-10 mm (emission to air)</v>
      </c>
      <c r="H880" s="147"/>
      <c r="I880" s="129">
        <v>0</v>
      </c>
      <c r="J880" s="101" t="s">
        <v>1034</v>
      </c>
      <c r="K880" s="114" t="s">
        <v>596</v>
      </c>
      <c r="L880" s="226">
        <f t="shared" si="865"/>
        <v>0</v>
      </c>
      <c r="M880" s="158">
        <f t="shared" ref="M880" si="868">IF(L880/1000&gt;1000,1000,L880/1000)</f>
        <v>0</v>
      </c>
      <c r="N880" s="610"/>
    </row>
    <row r="881" spans="1:14" s="102" customFormat="1">
      <c r="A881" s="174" t="s">
        <v>19</v>
      </c>
      <c r="B881" s="159" t="s">
        <v>1051</v>
      </c>
      <c r="C881" s="188">
        <f t="shared" si="848"/>
        <v>4</v>
      </c>
      <c r="D881" s="188" t="s">
        <v>1028</v>
      </c>
      <c r="E881" s="155">
        <v>1</v>
      </c>
      <c r="F881" s="131" t="s">
        <v>1019</v>
      </c>
      <c r="G881" s="134" t="str">
        <f t="shared" si="858"/>
        <v>PHBV fibers 0,1-1 mm (emission to soil)</v>
      </c>
      <c r="H881" s="193"/>
      <c r="I881" s="129">
        <v>1</v>
      </c>
      <c r="J881" s="101" t="s">
        <v>1019</v>
      </c>
      <c r="K881" s="114">
        <f>K40</f>
        <v>432.08646933463126</v>
      </c>
      <c r="L881" s="226">
        <f t="shared" ref="L881:L887" si="869">IFERROR(IF(K881="--",0,IF(E881*1000/K881*(1-0.5)^(C881/2)&gt;1000,1000,E881*1000/K881*(1-0.5)^(C881/2))),1000)</f>
        <v>0.57858789326352733</v>
      </c>
      <c r="M881" s="158">
        <f>IF(L881/1000&gt;1000,1000,L881/1000)</f>
        <v>5.7858789326352736E-4</v>
      </c>
      <c r="N881" s="610">
        <f>I881*M881+I882*M882</f>
        <v>5.7858789326352736E-4</v>
      </c>
    </row>
    <row r="882" spans="1:14" s="102" customFormat="1">
      <c r="A882" s="172" t="str">
        <f>A881</f>
        <v>PHBV</v>
      </c>
      <c r="B882" s="149" t="str">
        <f>B881</f>
        <v>fibers</v>
      </c>
      <c r="C882" s="149">
        <f t="shared" si="848"/>
        <v>4</v>
      </c>
      <c r="D882" s="149" t="str">
        <f t="shared" ref="D882:F883" si="870">D881</f>
        <v>0,1-1</v>
      </c>
      <c r="E882" s="149">
        <f t="shared" si="870"/>
        <v>1</v>
      </c>
      <c r="F882" s="149" t="str">
        <f t="shared" si="870"/>
        <v>soil</v>
      </c>
      <c r="G882" s="146" t="str">
        <f t="shared" si="858"/>
        <v>PHBV fibers 0,1-1 mm (emission to soil)</v>
      </c>
      <c r="H882" s="146"/>
      <c r="I882" s="129">
        <v>0</v>
      </c>
      <c r="J882" s="101" t="s">
        <v>1097</v>
      </c>
      <c r="K882" s="114">
        <f>K41</f>
        <v>416.76682692307691</v>
      </c>
      <c r="L882" s="226">
        <f t="shared" si="869"/>
        <v>0.59985580389329496</v>
      </c>
      <c r="M882" s="158">
        <f>IF(L882/1000&gt;1000,1000,L882/1000)</f>
        <v>5.9985580389329497E-4</v>
      </c>
      <c r="N882" s="610"/>
    </row>
    <row r="883" spans="1:14" s="102" customFormat="1">
      <c r="A883" s="173" t="str">
        <f>A882</f>
        <v>PHBV</v>
      </c>
      <c r="B883" s="150" t="str">
        <f>B882</f>
        <v>fibers</v>
      </c>
      <c r="C883" s="150">
        <f t="shared" si="848"/>
        <v>4</v>
      </c>
      <c r="D883" s="150" t="str">
        <f t="shared" si="870"/>
        <v>0,1-1</v>
      </c>
      <c r="E883" s="150">
        <f t="shared" si="870"/>
        <v>1</v>
      </c>
      <c r="F883" s="150" t="str">
        <f t="shared" si="870"/>
        <v>soil</v>
      </c>
      <c r="G883" s="147" t="str">
        <f t="shared" si="858"/>
        <v>PHBV fibers 0,1-1 mm (emission to soil)</v>
      </c>
      <c r="H883" s="146"/>
      <c r="I883" s="129">
        <v>0</v>
      </c>
      <c r="J883" s="101" t="s">
        <v>1034</v>
      </c>
      <c r="K883" s="151" t="s">
        <v>596</v>
      </c>
      <c r="L883" s="226">
        <f t="shared" si="869"/>
        <v>0</v>
      </c>
      <c r="M883" s="158">
        <f t="shared" ref="M883:M887" si="871">IF(L883/1000&gt;1000,1000,L883/1000)</f>
        <v>0</v>
      </c>
      <c r="N883" s="610"/>
    </row>
    <row r="884" spans="1:14" s="102" customFormat="1">
      <c r="A884" s="174" t="s">
        <v>19</v>
      </c>
      <c r="B884" s="159" t="s">
        <v>1051</v>
      </c>
      <c r="C884" s="188">
        <f t="shared" si="848"/>
        <v>4</v>
      </c>
      <c r="D884" s="188" t="s">
        <v>1028</v>
      </c>
      <c r="E884" s="216">
        <v>1</v>
      </c>
      <c r="F884" s="131" t="s">
        <v>1020</v>
      </c>
      <c r="G884" s="134" t="str">
        <f t="shared" si="858"/>
        <v>PHBV fibers 0,1-1 mm (emission to water)</v>
      </c>
      <c r="H884" s="192"/>
      <c r="I884" s="129">
        <v>0</v>
      </c>
      <c r="J884" s="101" t="s">
        <v>1019</v>
      </c>
      <c r="K884" s="114">
        <f>K40</f>
        <v>432.08646933463126</v>
      </c>
      <c r="L884" s="226">
        <f t="shared" si="869"/>
        <v>0.57858789326352733</v>
      </c>
      <c r="M884" s="220">
        <f t="shared" si="871"/>
        <v>5.7858789326352736E-4</v>
      </c>
      <c r="N884" s="611">
        <f>I884*M884+I885*M885+I886*M886</f>
        <v>5.9985580389329497E-4</v>
      </c>
    </row>
    <row r="885" spans="1:14" s="102" customFormat="1">
      <c r="A885" s="172" t="str">
        <f>A884</f>
        <v>PHBV</v>
      </c>
      <c r="B885" s="149" t="str">
        <f>B884</f>
        <v>fibers</v>
      </c>
      <c r="C885" s="149">
        <f t="shared" si="848"/>
        <v>4</v>
      </c>
      <c r="D885" s="149" t="str">
        <f t="shared" ref="D885:F886" si="872">D884</f>
        <v>0,1-1</v>
      </c>
      <c r="E885" s="149">
        <f t="shared" si="872"/>
        <v>1</v>
      </c>
      <c r="F885" s="149" t="str">
        <f t="shared" si="872"/>
        <v>water</v>
      </c>
      <c r="G885" s="146" t="str">
        <f t="shared" si="858"/>
        <v>PHBV fibers 0,1-1 mm (emission to water)</v>
      </c>
      <c r="H885" s="146"/>
      <c r="I885" s="129">
        <v>0</v>
      </c>
      <c r="J885" s="101" t="s">
        <v>1097</v>
      </c>
      <c r="K885" s="114">
        <f>K41</f>
        <v>416.76682692307691</v>
      </c>
      <c r="L885" s="226">
        <f t="shared" si="869"/>
        <v>0.59985580389329496</v>
      </c>
      <c r="M885" s="220">
        <f t="shared" si="871"/>
        <v>5.9985580389329497E-4</v>
      </c>
      <c r="N885" s="612"/>
    </row>
    <row r="886" spans="1:14" s="102" customFormat="1">
      <c r="A886" s="172" t="str">
        <f>A885</f>
        <v>PHBV</v>
      </c>
      <c r="B886" s="149" t="str">
        <f>B885</f>
        <v>fibers</v>
      </c>
      <c r="C886" s="149">
        <f t="shared" si="848"/>
        <v>4</v>
      </c>
      <c r="D886" s="149" t="str">
        <f t="shared" si="872"/>
        <v>0,1-1</v>
      </c>
      <c r="E886" s="149">
        <f t="shared" si="872"/>
        <v>1</v>
      </c>
      <c r="F886" s="149" t="str">
        <f t="shared" si="872"/>
        <v>water</v>
      </c>
      <c r="G886" s="146" t="str">
        <f t="shared" si="858"/>
        <v>PHBV fibers 0,1-1 mm (emission to water)</v>
      </c>
      <c r="H886" s="146"/>
      <c r="I886" s="129">
        <v>1</v>
      </c>
      <c r="J886" s="101" t="s">
        <v>1096</v>
      </c>
      <c r="K886" s="114">
        <f>K42</f>
        <v>416.76682692307691</v>
      </c>
      <c r="L886" s="226">
        <f t="shared" si="869"/>
        <v>0.59985580389329496</v>
      </c>
      <c r="M886" s="220">
        <f t="shared" si="871"/>
        <v>5.9985580389329497E-4</v>
      </c>
      <c r="N886" s="612"/>
    </row>
    <row r="887" spans="1:14" s="102" customFormat="1">
      <c r="A887" s="173" t="str">
        <f>A885</f>
        <v>PHBV</v>
      </c>
      <c r="B887" s="150" t="str">
        <f>B885</f>
        <v>fibers</v>
      </c>
      <c r="C887" s="150">
        <f t="shared" si="848"/>
        <v>4</v>
      </c>
      <c r="D887" s="150" t="str">
        <f>D885</f>
        <v>0,1-1</v>
      </c>
      <c r="E887" s="150">
        <f>E885</f>
        <v>1</v>
      </c>
      <c r="F887" s="150" t="str">
        <f>F885</f>
        <v>water</v>
      </c>
      <c r="G887" s="147" t="str">
        <f t="shared" si="858"/>
        <v>PHBV fibers 0,1-1 mm (emission to water)</v>
      </c>
      <c r="H887" s="147"/>
      <c r="I887" s="129">
        <v>0</v>
      </c>
      <c r="J887" s="101" t="s">
        <v>1034</v>
      </c>
      <c r="K887" s="114" t="s">
        <v>596</v>
      </c>
      <c r="L887" s="226">
        <f t="shared" si="869"/>
        <v>0</v>
      </c>
      <c r="M887" s="220">
        <f t="shared" si="871"/>
        <v>0</v>
      </c>
      <c r="N887" s="613"/>
    </row>
    <row r="888" spans="1:14" s="102" customFormat="1">
      <c r="A888" s="174" t="s">
        <v>19</v>
      </c>
      <c r="B888" s="159" t="s">
        <v>1051</v>
      </c>
      <c r="C888" s="290">
        <f t="shared" ref="C888:C890" si="873">IF(OR(B888="Folie", B888="Strips", B888="Film",B888="Flakes",B888="Coupon"), 2,IF(OR(B888="Fibers",B888="Pellets"),4,IF(OR(B888="Particles",B888="Shreds",B888="Powder",B888="Fragments",B888="Granules"),6,"")))</f>
        <v>4</v>
      </c>
      <c r="D888" s="290" t="s">
        <v>1028</v>
      </c>
      <c r="E888" s="155">
        <v>1</v>
      </c>
      <c r="F888" s="131" t="s">
        <v>1057</v>
      </c>
      <c r="G888" s="134" t="str">
        <f t="shared" ref="G888:G890" si="874">CONCATENATE(A888," ",B888," ",D888," mm (emission to ",F888,")")</f>
        <v>PHBV fibers 0,1-1 mm (emission to air)</v>
      </c>
      <c r="H888" s="192"/>
      <c r="I888" s="137">
        <v>0.97699999999999998</v>
      </c>
      <c r="J888" s="101" t="s">
        <v>1019</v>
      </c>
      <c r="K888" s="114">
        <f>K40</f>
        <v>432.08646933463126</v>
      </c>
      <c r="L888" s="226">
        <f t="shared" ref="L888:L890" si="875">IFERROR(IF(K888="--",0,IF(E888*1000/K888*(1-0.5)^(C888/2)&gt;1000,1000,E888*1000/K888*(1-0.5)^(C888/2))),1000)</f>
        <v>0.57858789326352733</v>
      </c>
      <c r="M888" s="158">
        <f>IF(L888/1000&gt;1000,1000,L888/1000)</f>
        <v>5.7858789326352736E-4</v>
      </c>
      <c r="N888" s="610">
        <f>I888*M888+I889*M889</f>
        <v>5.790770552080121E-4</v>
      </c>
    </row>
    <row r="889" spans="1:14" s="102" customFormat="1">
      <c r="A889" s="172" t="str">
        <f>A888</f>
        <v>PHBV</v>
      </c>
      <c r="B889" s="149" t="str">
        <f>B888</f>
        <v>fibers</v>
      </c>
      <c r="C889" s="149">
        <f t="shared" si="873"/>
        <v>4</v>
      </c>
      <c r="D889" s="149" t="str">
        <f t="shared" ref="D889:F889" si="876">D888</f>
        <v>0,1-1</v>
      </c>
      <c r="E889" s="149">
        <f t="shared" si="876"/>
        <v>1</v>
      </c>
      <c r="F889" s="149" t="str">
        <f t="shared" si="876"/>
        <v>air</v>
      </c>
      <c r="G889" s="146" t="str">
        <f t="shared" si="874"/>
        <v>PHBV fibers 0,1-1 mm (emission to air)</v>
      </c>
      <c r="H889" s="146"/>
      <c r="I889" s="129">
        <v>2.3E-2</v>
      </c>
      <c r="J889" s="101" t="s">
        <v>1097</v>
      </c>
      <c r="K889" s="114">
        <f>K41</f>
        <v>416.76682692307691</v>
      </c>
      <c r="L889" s="226">
        <f t="shared" si="875"/>
        <v>0.59985580389329496</v>
      </c>
      <c r="M889" s="158">
        <f>IF(L889/1000&gt;1000,1000,L889/1000)</f>
        <v>5.9985580389329497E-4</v>
      </c>
      <c r="N889" s="610"/>
    </row>
    <row r="890" spans="1:14" s="102" customFormat="1">
      <c r="A890" s="173" t="str">
        <f>A889</f>
        <v>PHBV</v>
      </c>
      <c r="B890" s="150" t="str">
        <f>B889</f>
        <v>fibers</v>
      </c>
      <c r="C890" s="150">
        <f t="shared" si="873"/>
        <v>4</v>
      </c>
      <c r="D890" s="150" t="str">
        <f t="shared" ref="D890:F890" si="877">D889</f>
        <v>0,1-1</v>
      </c>
      <c r="E890" s="150">
        <f t="shared" si="877"/>
        <v>1</v>
      </c>
      <c r="F890" s="150" t="str">
        <f t="shared" si="877"/>
        <v>air</v>
      </c>
      <c r="G890" s="147" t="str">
        <f t="shared" si="874"/>
        <v>PHBV fibers 0,1-1 mm (emission to air)</v>
      </c>
      <c r="H890" s="146"/>
      <c r="I890" s="129">
        <v>0</v>
      </c>
      <c r="J890" s="101" t="s">
        <v>1034</v>
      </c>
      <c r="K890" s="151" t="s">
        <v>596</v>
      </c>
      <c r="L890" s="226">
        <f t="shared" si="875"/>
        <v>0</v>
      </c>
      <c r="M890" s="158">
        <f t="shared" ref="M890" si="878">IF(L890/1000&gt;1000,1000,L890/1000)</f>
        <v>0</v>
      </c>
      <c r="N890" s="610"/>
    </row>
    <row r="891" spans="1:14" s="135" customFormat="1">
      <c r="A891" s="174" t="s">
        <v>19</v>
      </c>
      <c r="B891" s="185" t="s">
        <v>372</v>
      </c>
      <c r="C891" s="140">
        <f t="shared" si="848"/>
        <v>4</v>
      </c>
      <c r="D891" s="153" t="s">
        <v>1026</v>
      </c>
      <c r="E891" s="155">
        <v>10</v>
      </c>
      <c r="F891" s="154" t="s">
        <v>1019</v>
      </c>
      <c r="G891" s="134" t="str">
        <f t="shared" si="858"/>
        <v>PHBV pellets 1-10 mm (emission to soil)</v>
      </c>
      <c r="H891" s="148"/>
      <c r="I891" s="129">
        <v>1</v>
      </c>
      <c r="J891" s="101" t="s">
        <v>1019</v>
      </c>
      <c r="K891" s="114">
        <f>K40</f>
        <v>432.08646933463126</v>
      </c>
      <c r="L891" s="226">
        <f t="shared" ref="L891:L897" si="879">IFERROR(IF(K891="--",0,IF(E891*1000/K891*(1-0.5)^(C891/2)&gt;1000,1000,E891*1000/K891*(1-0.5)^(C891/2))),1000)</f>
        <v>5.7858789326352733</v>
      </c>
      <c r="M891" s="158">
        <f>IF(L891/1000&gt;1000,1000,L891/1000)</f>
        <v>5.7858789326352732E-3</v>
      </c>
      <c r="N891" s="610">
        <f>I891*M891+I892*M892</f>
        <v>5.7858789326352732E-3</v>
      </c>
    </row>
    <row r="892" spans="1:14" s="102" customFormat="1">
      <c r="A892" s="172" t="str">
        <f>A891</f>
        <v>PHBV</v>
      </c>
      <c r="B892" s="149" t="str">
        <f>B891</f>
        <v>pellets</v>
      </c>
      <c r="C892" s="149">
        <f t="shared" si="848"/>
        <v>4</v>
      </c>
      <c r="D892" s="149" t="str">
        <f t="shared" ref="D892:F893" si="880">D891</f>
        <v>1-10</v>
      </c>
      <c r="E892" s="149">
        <f t="shared" si="880"/>
        <v>10</v>
      </c>
      <c r="F892" s="149" t="str">
        <f t="shared" si="880"/>
        <v>soil</v>
      </c>
      <c r="G892" s="146" t="str">
        <f t="shared" si="858"/>
        <v>PHBV pellets 1-10 mm (emission to soil)</v>
      </c>
      <c r="H892" s="146"/>
      <c r="I892" s="129">
        <v>0</v>
      </c>
      <c r="J892" s="101" t="s">
        <v>1097</v>
      </c>
      <c r="K892" s="114">
        <f>K41</f>
        <v>416.76682692307691</v>
      </c>
      <c r="L892" s="226">
        <f t="shared" si="879"/>
        <v>5.9985580389329494</v>
      </c>
      <c r="M892" s="158">
        <f>IF(L892/1000&gt;1000,1000,L892/1000)</f>
        <v>5.9985580389329491E-3</v>
      </c>
      <c r="N892" s="610"/>
    </row>
    <row r="893" spans="1:14" s="102" customFormat="1">
      <c r="A893" s="173" t="str">
        <f>A892</f>
        <v>PHBV</v>
      </c>
      <c r="B893" s="150" t="str">
        <f>B892</f>
        <v>pellets</v>
      </c>
      <c r="C893" s="150">
        <f t="shared" si="848"/>
        <v>4</v>
      </c>
      <c r="D893" s="150" t="str">
        <f t="shared" si="880"/>
        <v>1-10</v>
      </c>
      <c r="E893" s="150">
        <f t="shared" si="880"/>
        <v>10</v>
      </c>
      <c r="F893" s="150" t="str">
        <f t="shared" si="880"/>
        <v>soil</v>
      </c>
      <c r="G893" s="147" t="str">
        <f t="shared" si="858"/>
        <v>PHBV pellets 1-10 mm (emission to soil)</v>
      </c>
      <c r="H893" s="147">
        <f>H892</f>
        <v>0</v>
      </c>
      <c r="I893" s="129">
        <v>0</v>
      </c>
      <c r="J893" s="101" t="s">
        <v>1034</v>
      </c>
      <c r="K893" s="114" t="s">
        <v>596</v>
      </c>
      <c r="L893" s="226">
        <f t="shared" si="879"/>
        <v>0</v>
      </c>
      <c r="M893" s="158">
        <f t="shared" ref="M893:M897" si="881">IF(L893/1000&gt;1000,1000,L893/1000)</f>
        <v>0</v>
      </c>
      <c r="N893" s="610"/>
    </row>
    <row r="894" spans="1:14" s="102" customFormat="1">
      <c r="A894" s="174" t="s">
        <v>19</v>
      </c>
      <c r="B894" s="155" t="s">
        <v>372</v>
      </c>
      <c r="C894" s="188">
        <f t="shared" si="848"/>
        <v>4</v>
      </c>
      <c r="D894" s="153" t="s">
        <v>1026</v>
      </c>
      <c r="E894" s="214">
        <v>10</v>
      </c>
      <c r="F894" s="154" t="s">
        <v>1020</v>
      </c>
      <c r="G894" s="134" t="str">
        <f t="shared" si="858"/>
        <v>PHBV pellets 1-10 mm (emission to water)</v>
      </c>
      <c r="H894" s="148"/>
      <c r="I894" s="129">
        <v>0</v>
      </c>
      <c r="J894" s="101" t="s">
        <v>1019</v>
      </c>
      <c r="K894" s="114">
        <f>K40</f>
        <v>432.08646933463126</v>
      </c>
      <c r="L894" s="226">
        <f t="shared" si="879"/>
        <v>5.7858789326352733</v>
      </c>
      <c r="M894" s="220">
        <f t="shared" si="881"/>
        <v>5.7858789326352732E-3</v>
      </c>
      <c r="N894" s="611">
        <f>I894*M894+I895*M895+I896*M896</f>
        <v>5.9985580389329491E-3</v>
      </c>
    </row>
    <row r="895" spans="1:14" s="102" customFormat="1">
      <c r="A895" s="172" t="str">
        <f>A894</f>
        <v>PHBV</v>
      </c>
      <c r="B895" s="149" t="str">
        <f>B894</f>
        <v>pellets</v>
      </c>
      <c r="C895" s="149">
        <f t="shared" si="848"/>
        <v>4</v>
      </c>
      <c r="D895" s="149" t="str">
        <f t="shared" ref="D895:F896" si="882">D894</f>
        <v>1-10</v>
      </c>
      <c r="E895" s="149">
        <f t="shared" si="882"/>
        <v>10</v>
      </c>
      <c r="F895" s="149" t="str">
        <f t="shared" si="882"/>
        <v>water</v>
      </c>
      <c r="G895" s="146" t="str">
        <f t="shared" si="858"/>
        <v>PHBV pellets 1-10 mm (emission to water)</v>
      </c>
      <c r="H895" s="146"/>
      <c r="I895" s="129">
        <v>0</v>
      </c>
      <c r="J895" s="101" t="s">
        <v>1097</v>
      </c>
      <c r="K895" s="114">
        <f>K41</f>
        <v>416.76682692307691</v>
      </c>
      <c r="L895" s="226">
        <f t="shared" si="879"/>
        <v>5.9985580389329494</v>
      </c>
      <c r="M895" s="220">
        <f t="shared" si="881"/>
        <v>5.9985580389329491E-3</v>
      </c>
      <c r="N895" s="612"/>
    </row>
    <row r="896" spans="1:14" s="102" customFormat="1">
      <c r="A896" s="172" t="str">
        <f>A895</f>
        <v>PHBV</v>
      </c>
      <c r="B896" s="149" t="str">
        <f>B895</f>
        <v>pellets</v>
      </c>
      <c r="C896" s="149">
        <f t="shared" si="848"/>
        <v>4</v>
      </c>
      <c r="D896" s="149" t="str">
        <f t="shared" si="882"/>
        <v>1-10</v>
      </c>
      <c r="E896" s="149">
        <f t="shared" si="882"/>
        <v>10</v>
      </c>
      <c r="F896" s="149" t="str">
        <f t="shared" si="882"/>
        <v>water</v>
      </c>
      <c r="G896" s="146" t="str">
        <f t="shared" si="858"/>
        <v>PHBV pellets 1-10 mm (emission to water)</v>
      </c>
      <c r="H896" s="146"/>
      <c r="I896" s="129">
        <v>1</v>
      </c>
      <c r="J896" s="101" t="s">
        <v>1096</v>
      </c>
      <c r="K896" s="114">
        <f>K42</f>
        <v>416.76682692307691</v>
      </c>
      <c r="L896" s="226">
        <f t="shared" si="879"/>
        <v>5.9985580389329494</v>
      </c>
      <c r="M896" s="220">
        <f t="shared" si="881"/>
        <v>5.9985580389329491E-3</v>
      </c>
      <c r="N896" s="612"/>
    </row>
    <row r="897" spans="1:14" s="102" customFormat="1">
      <c r="A897" s="173" t="str">
        <f>A895</f>
        <v>PHBV</v>
      </c>
      <c r="B897" s="150" t="str">
        <f>B895</f>
        <v>pellets</v>
      </c>
      <c r="C897" s="150">
        <f t="shared" si="848"/>
        <v>4</v>
      </c>
      <c r="D897" s="150" t="str">
        <f>D895</f>
        <v>1-10</v>
      </c>
      <c r="E897" s="150">
        <f>E895</f>
        <v>10</v>
      </c>
      <c r="F897" s="150" t="str">
        <f>F895</f>
        <v>water</v>
      </c>
      <c r="G897" s="147" t="str">
        <f t="shared" si="858"/>
        <v>PHBV pellets 1-10 mm (emission to water)</v>
      </c>
      <c r="H897" s="147"/>
      <c r="I897" s="129">
        <v>0</v>
      </c>
      <c r="J897" s="101" t="s">
        <v>1034</v>
      </c>
      <c r="K897" s="114" t="s">
        <v>596</v>
      </c>
      <c r="L897" s="226">
        <f t="shared" si="879"/>
        <v>0</v>
      </c>
      <c r="M897" s="220">
        <f t="shared" si="881"/>
        <v>0</v>
      </c>
      <c r="N897" s="613"/>
    </row>
    <row r="898" spans="1:14" s="102" customFormat="1">
      <c r="A898" s="174" t="s">
        <v>19</v>
      </c>
      <c r="B898" s="287" t="s">
        <v>372</v>
      </c>
      <c r="C898" s="140">
        <f t="shared" ref="C898:C900" si="883">IF(OR(B898="Folie", B898="Strips", B898="Film",B898="Flakes",B898="Coupon"), 2,IF(OR(B898="Fibers",B898="Pellets"),4,IF(OR(B898="Particles",B898="Shreds",B898="Powder",B898="Fragments",B898="Granules"),6,"")))</f>
        <v>4</v>
      </c>
      <c r="D898" s="153" t="s">
        <v>1026</v>
      </c>
      <c r="E898" s="155">
        <v>10</v>
      </c>
      <c r="F898" s="154" t="s">
        <v>1057</v>
      </c>
      <c r="G898" s="134" t="str">
        <f t="shared" ref="G898:G900" si="884">CONCATENATE(A898," ",B898," ",D898," mm (emission to ",F898,")")</f>
        <v>PHBV pellets 1-10 mm (emission to air)</v>
      </c>
      <c r="H898" s="148"/>
      <c r="I898" s="137">
        <v>0.97699999999999998</v>
      </c>
      <c r="J898" s="101" t="s">
        <v>1019</v>
      </c>
      <c r="K898" s="114">
        <f>K40</f>
        <v>432.08646933463126</v>
      </c>
      <c r="L898" s="226">
        <f t="shared" ref="L898:L900" si="885">IFERROR(IF(K898="--",0,IF(E898*1000/K898*(1-0.5)^(C898/2)&gt;1000,1000,E898*1000/K898*(1-0.5)^(C898/2))),1000)</f>
        <v>5.7858789326352733</v>
      </c>
      <c r="M898" s="158">
        <f>IF(L898/1000&gt;1000,1000,L898/1000)</f>
        <v>5.7858789326352732E-3</v>
      </c>
      <c r="N898" s="610">
        <f>I898*M898+I899*M899</f>
        <v>5.7907705520801201E-3</v>
      </c>
    </row>
    <row r="899" spans="1:14" s="102" customFormat="1">
      <c r="A899" s="172" t="str">
        <f>A898</f>
        <v>PHBV</v>
      </c>
      <c r="B899" s="149" t="str">
        <f>B898</f>
        <v>pellets</v>
      </c>
      <c r="C899" s="149">
        <f t="shared" si="883"/>
        <v>4</v>
      </c>
      <c r="D899" s="149" t="str">
        <f t="shared" ref="D899:F899" si="886">D898</f>
        <v>1-10</v>
      </c>
      <c r="E899" s="149">
        <f t="shared" si="886"/>
        <v>10</v>
      </c>
      <c r="F899" s="149" t="str">
        <f t="shared" si="886"/>
        <v>air</v>
      </c>
      <c r="G899" s="146" t="str">
        <f t="shared" si="884"/>
        <v>PHBV pellets 1-10 mm (emission to air)</v>
      </c>
      <c r="H899" s="146"/>
      <c r="I899" s="129">
        <v>2.3E-2</v>
      </c>
      <c r="J899" s="101" t="s">
        <v>1097</v>
      </c>
      <c r="K899" s="114">
        <f>K41</f>
        <v>416.76682692307691</v>
      </c>
      <c r="L899" s="226">
        <f t="shared" si="885"/>
        <v>5.9985580389329494</v>
      </c>
      <c r="M899" s="158">
        <f>IF(L899/1000&gt;1000,1000,L899/1000)</f>
        <v>5.9985580389329491E-3</v>
      </c>
      <c r="N899" s="610"/>
    </row>
    <row r="900" spans="1:14" s="102" customFormat="1">
      <c r="A900" s="173" t="str">
        <f>A899</f>
        <v>PHBV</v>
      </c>
      <c r="B900" s="150" t="str">
        <f>B899</f>
        <v>pellets</v>
      </c>
      <c r="C900" s="150">
        <f t="shared" si="883"/>
        <v>4</v>
      </c>
      <c r="D900" s="150" t="str">
        <f t="shared" ref="D900:F900" si="887">D899</f>
        <v>1-10</v>
      </c>
      <c r="E900" s="150">
        <f t="shared" si="887"/>
        <v>10</v>
      </c>
      <c r="F900" s="150" t="str">
        <f t="shared" si="887"/>
        <v>air</v>
      </c>
      <c r="G900" s="147" t="str">
        <f t="shared" si="884"/>
        <v>PHBV pellets 1-10 mm (emission to air)</v>
      </c>
      <c r="H900" s="147">
        <f>H899</f>
        <v>0</v>
      </c>
      <c r="I900" s="129">
        <v>0</v>
      </c>
      <c r="J900" s="101" t="s">
        <v>1034</v>
      </c>
      <c r="K900" s="114" t="s">
        <v>596</v>
      </c>
      <c r="L900" s="226">
        <f t="shared" si="885"/>
        <v>0</v>
      </c>
      <c r="M900" s="158">
        <f t="shared" ref="M900" si="888">IF(L900/1000&gt;1000,1000,L900/1000)</f>
        <v>0</v>
      </c>
      <c r="N900" s="610"/>
    </row>
    <row r="901" spans="1:14" s="102" customFormat="1">
      <c r="A901" s="174" t="s">
        <v>19</v>
      </c>
      <c r="B901" s="186" t="s">
        <v>1025</v>
      </c>
      <c r="C901" s="188">
        <f t="shared" si="848"/>
        <v>6</v>
      </c>
      <c r="D901" s="188" t="s">
        <v>1018</v>
      </c>
      <c r="E901" s="155">
        <v>0.1</v>
      </c>
      <c r="F901" s="131" t="s">
        <v>1019</v>
      </c>
      <c r="G901" s="134" t="str">
        <f t="shared" si="858"/>
        <v>PHBV particles 0,01-0,1 mm (emission to soil)</v>
      </c>
      <c r="H901" s="133"/>
      <c r="I901" s="129">
        <v>1</v>
      </c>
      <c r="J901" s="101" t="s">
        <v>1019</v>
      </c>
      <c r="K901" s="114">
        <f>K40</f>
        <v>432.08646933463126</v>
      </c>
      <c r="L901" s="226">
        <f t="shared" ref="L901:L907" si="889">IFERROR(IF(K901="--",0,IF(E901*1000/K901*(1-0.5)^(C901/2)&gt;1000,1000,E901*1000/K901*(1-0.5)^(C901/2))),1000)</f>
        <v>2.8929394663176365E-2</v>
      </c>
      <c r="M901" s="158">
        <f>IF(L901/1000&gt;1000,1000,L901/1000)</f>
        <v>2.8929394663176367E-5</v>
      </c>
      <c r="N901" s="610">
        <f>I901*M901+I902*M902</f>
        <v>2.8929394663176367E-5</v>
      </c>
    </row>
    <row r="902" spans="1:14" s="102" customFormat="1">
      <c r="A902" s="172" t="str">
        <f>A901</f>
        <v>PHBV</v>
      </c>
      <c r="B902" s="149" t="str">
        <f>B901</f>
        <v>particles</v>
      </c>
      <c r="C902" s="149">
        <f t="shared" si="848"/>
        <v>6</v>
      </c>
      <c r="D902" s="149" t="str">
        <f t="shared" ref="D902:F903" si="890">D901</f>
        <v>0,01-0,1</v>
      </c>
      <c r="E902" s="149">
        <f t="shared" si="890"/>
        <v>0.1</v>
      </c>
      <c r="F902" s="149" t="str">
        <f t="shared" si="890"/>
        <v>soil</v>
      </c>
      <c r="G902" s="146" t="str">
        <f t="shared" si="858"/>
        <v>PHBV particles 0,01-0,1 mm (emission to soil)</v>
      </c>
      <c r="H902" s="146"/>
      <c r="I902" s="129">
        <v>0</v>
      </c>
      <c r="J902" s="101" t="s">
        <v>1097</v>
      </c>
      <c r="K902" s="114">
        <f>K41</f>
        <v>416.76682692307691</v>
      </c>
      <c r="L902" s="226">
        <f t="shared" si="889"/>
        <v>2.9992790194664744E-2</v>
      </c>
      <c r="M902" s="158">
        <f>IF(L902/1000&gt;1000,1000,L902/1000)</f>
        <v>2.9992790194664744E-5</v>
      </c>
      <c r="N902" s="610"/>
    </row>
    <row r="903" spans="1:14" s="102" customFormat="1">
      <c r="A903" s="173" t="str">
        <f>A902</f>
        <v>PHBV</v>
      </c>
      <c r="B903" s="150" t="str">
        <f>B902</f>
        <v>particles</v>
      </c>
      <c r="C903" s="150">
        <f t="shared" si="848"/>
        <v>6</v>
      </c>
      <c r="D903" s="150" t="str">
        <f t="shared" si="890"/>
        <v>0,01-0,1</v>
      </c>
      <c r="E903" s="150">
        <f t="shared" si="890"/>
        <v>0.1</v>
      </c>
      <c r="F903" s="150" t="str">
        <f t="shared" si="890"/>
        <v>soil</v>
      </c>
      <c r="G903" s="147" t="str">
        <f t="shared" si="858"/>
        <v>PHBV particles 0,01-0,1 mm (emission to soil)</v>
      </c>
      <c r="H903" s="147"/>
      <c r="I903" s="129">
        <v>0</v>
      </c>
      <c r="J903" s="101" t="s">
        <v>1034</v>
      </c>
      <c r="K903" s="114" t="s">
        <v>596</v>
      </c>
      <c r="L903" s="226">
        <f t="shared" si="889"/>
        <v>0</v>
      </c>
      <c r="M903" s="158">
        <f t="shared" ref="M903:M907" si="891">IF(L903/1000&gt;1000,1000,L903/1000)</f>
        <v>0</v>
      </c>
      <c r="N903" s="610"/>
    </row>
    <row r="904" spans="1:14" s="102" customFormat="1">
      <c r="A904" s="174" t="s">
        <v>19</v>
      </c>
      <c r="B904" s="186" t="s">
        <v>1025</v>
      </c>
      <c r="C904" s="188">
        <f t="shared" si="848"/>
        <v>6</v>
      </c>
      <c r="D904" s="188" t="s">
        <v>1018</v>
      </c>
      <c r="E904" s="155">
        <v>0.1</v>
      </c>
      <c r="F904" s="131" t="s">
        <v>1020</v>
      </c>
      <c r="G904" s="134" t="str">
        <f t="shared" si="858"/>
        <v>PHBV particles 0,01-0,1 mm (emission to water)</v>
      </c>
      <c r="H904" s="133"/>
      <c r="I904" s="129">
        <v>0</v>
      </c>
      <c r="J904" s="101" t="s">
        <v>1019</v>
      </c>
      <c r="K904" s="114">
        <f>K40</f>
        <v>432.08646933463126</v>
      </c>
      <c r="L904" s="226">
        <f t="shared" si="889"/>
        <v>2.8929394663176365E-2</v>
      </c>
      <c r="M904" s="220">
        <f t="shared" si="891"/>
        <v>2.8929394663176367E-5</v>
      </c>
      <c r="N904" s="611">
        <f>I904*M904+I905*M905+I906*M906</f>
        <v>2.9992790194664744E-5</v>
      </c>
    </row>
    <row r="905" spans="1:14" s="102" customFormat="1">
      <c r="A905" s="172" t="str">
        <f>A904</f>
        <v>PHBV</v>
      </c>
      <c r="B905" s="149" t="str">
        <f>B904</f>
        <v>particles</v>
      </c>
      <c r="C905" s="149">
        <f t="shared" si="848"/>
        <v>6</v>
      </c>
      <c r="D905" s="149" t="str">
        <f t="shared" ref="D905:F906" si="892">D904</f>
        <v>0,01-0,1</v>
      </c>
      <c r="E905" s="149">
        <f t="shared" si="892"/>
        <v>0.1</v>
      </c>
      <c r="F905" s="149" t="str">
        <f t="shared" si="892"/>
        <v>water</v>
      </c>
      <c r="G905" s="146" t="str">
        <f t="shared" si="858"/>
        <v>PHBV particles 0,01-0,1 mm (emission to water)</v>
      </c>
      <c r="H905" s="146"/>
      <c r="I905" s="129">
        <v>0</v>
      </c>
      <c r="J905" s="101" t="s">
        <v>1097</v>
      </c>
      <c r="K905" s="114">
        <f>K41</f>
        <v>416.76682692307691</v>
      </c>
      <c r="L905" s="226">
        <f t="shared" si="889"/>
        <v>2.9992790194664744E-2</v>
      </c>
      <c r="M905" s="220">
        <f t="shared" si="891"/>
        <v>2.9992790194664744E-5</v>
      </c>
      <c r="N905" s="612"/>
    </row>
    <row r="906" spans="1:14" s="102" customFormat="1">
      <c r="A906" s="172" t="str">
        <f>A905</f>
        <v>PHBV</v>
      </c>
      <c r="B906" s="149" t="str">
        <f>B905</f>
        <v>particles</v>
      </c>
      <c r="C906" s="149">
        <f t="shared" si="848"/>
        <v>6</v>
      </c>
      <c r="D906" s="149" t="str">
        <f t="shared" si="892"/>
        <v>0,01-0,1</v>
      </c>
      <c r="E906" s="149">
        <f t="shared" si="892"/>
        <v>0.1</v>
      </c>
      <c r="F906" s="149" t="str">
        <f t="shared" si="892"/>
        <v>water</v>
      </c>
      <c r="G906" s="146" t="str">
        <f t="shared" si="858"/>
        <v>PHBV particles 0,01-0,1 mm (emission to water)</v>
      </c>
      <c r="H906" s="146"/>
      <c r="I906" s="129">
        <v>1</v>
      </c>
      <c r="J906" s="101" t="s">
        <v>1096</v>
      </c>
      <c r="K906" s="114">
        <f>K42</f>
        <v>416.76682692307691</v>
      </c>
      <c r="L906" s="226">
        <f t="shared" si="889"/>
        <v>2.9992790194664744E-2</v>
      </c>
      <c r="M906" s="220">
        <f t="shared" si="891"/>
        <v>2.9992790194664744E-5</v>
      </c>
      <c r="N906" s="612"/>
    </row>
    <row r="907" spans="1:14" s="102" customFormat="1">
      <c r="A907" s="173" t="str">
        <f>A905</f>
        <v>PHBV</v>
      </c>
      <c r="B907" s="150" t="str">
        <f>B905</f>
        <v>particles</v>
      </c>
      <c r="C907" s="150">
        <f t="shared" si="848"/>
        <v>6</v>
      </c>
      <c r="D907" s="150" t="str">
        <f>D905</f>
        <v>0,01-0,1</v>
      </c>
      <c r="E907" s="150">
        <f>E905</f>
        <v>0.1</v>
      </c>
      <c r="F907" s="150" t="str">
        <f>F905</f>
        <v>water</v>
      </c>
      <c r="G907" s="147" t="str">
        <f>CONCATENATE(A907," ",B907," ",D907," mm (emission to ",F907,")")</f>
        <v>PHBV particles 0,01-0,1 mm (emission to water)</v>
      </c>
      <c r="H907" s="147"/>
      <c r="I907" s="129">
        <v>0</v>
      </c>
      <c r="J907" s="101" t="s">
        <v>1034</v>
      </c>
      <c r="K907" s="114" t="s">
        <v>596</v>
      </c>
      <c r="L907" s="226">
        <f t="shared" si="889"/>
        <v>0</v>
      </c>
      <c r="M907" s="220">
        <f t="shared" si="891"/>
        <v>0</v>
      </c>
      <c r="N907" s="613"/>
    </row>
    <row r="908" spans="1:14" s="102" customFormat="1">
      <c r="A908" s="174" t="s">
        <v>19</v>
      </c>
      <c r="B908" s="288" t="s">
        <v>1025</v>
      </c>
      <c r="C908" s="290">
        <f t="shared" ref="C908:C910" si="893">IF(OR(B908="Folie", B908="Strips", B908="Film",B908="Flakes",B908="Coupon"), 2,IF(OR(B908="Fibers",B908="Pellets"),4,IF(OR(B908="Particles",B908="Shreds",B908="Powder",B908="Fragments",B908="Granules"),6,"")))</f>
        <v>6</v>
      </c>
      <c r="D908" s="290" t="s">
        <v>1018</v>
      </c>
      <c r="E908" s="155">
        <v>0.1</v>
      </c>
      <c r="F908" s="131" t="s">
        <v>1057</v>
      </c>
      <c r="G908" s="134" t="str">
        <f t="shared" ref="G908:G910" si="894">CONCATENATE(A908," ",B908," ",D908," mm (emission to ",F908,")")</f>
        <v>PHBV particles 0,01-0,1 mm (emission to air)</v>
      </c>
      <c r="H908" s="133"/>
      <c r="I908" s="137">
        <v>0.97699999999999998</v>
      </c>
      <c r="J908" s="101" t="s">
        <v>1019</v>
      </c>
      <c r="K908" s="114">
        <f>K40</f>
        <v>432.08646933463126</v>
      </c>
      <c r="L908" s="226">
        <f t="shared" ref="L908:L910" si="895">IFERROR(IF(K908="--",0,IF(E908*1000/K908*(1-0.5)^(C908/2)&gt;1000,1000,E908*1000/K908*(1-0.5)^(C908/2))),1000)</f>
        <v>2.8929394663176365E-2</v>
      </c>
      <c r="M908" s="158">
        <f>IF(L908/1000&gt;1000,1000,L908/1000)</f>
        <v>2.8929394663176367E-5</v>
      </c>
      <c r="N908" s="610">
        <f>I908*M908+I909*M909</f>
        <v>2.8953852760400599E-5</v>
      </c>
    </row>
    <row r="909" spans="1:14" s="102" customFormat="1">
      <c r="A909" s="172" t="str">
        <f>A908</f>
        <v>PHBV</v>
      </c>
      <c r="B909" s="149" t="str">
        <f>B908</f>
        <v>particles</v>
      </c>
      <c r="C909" s="149">
        <f t="shared" si="893"/>
        <v>6</v>
      </c>
      <c r="D909" s="149" t="str">
        <f t="shared" ref="D909:F909" si="896">D908</f>
        <v>0,01-0,1</v>
      </c>
      <c r="E909" s="149">
        <f t="shared" si="896"/>
        <v>0.1</v>
      </c>
      <c r="F909" s="149" t="str">
        <f t="shared" si="896"/>
        <v>air</v>
      </c>
      <c r="G909" s="146" t="str">
        <f t="shared" si="894"/>
        <v>PHBV particles 0,01-0,1 mm (emission to air)</v>
      </c>
      <c r="H909" s="146"/>
      <c r="I909" s="129">
        <v>2.3E-2</v>
      </c>
      <c r="J909" s="101" t="s">
        <v>1097</v>
      </c>
      <c r="K909" s="114">
        <f>K41</f>
        <v>416.76682692307691</v>
      </c>
      <c r="L909" s="226">
        <f t="shared" si="895"/>
        <v>2.9992790194664744E-2</v>
      </c>
      <c r="M909" s="158">
        <f>IF(L909/1000&gt;1000,1000,L909/1000)</f>
        <v>2.9992790194664744E-5</v>
      </c>
      <c r="N909" s="610"/>
    </row>
    <row r="910" spans="1:14" s="102" customFormat="1">
      <c r="A910" s="173" t="str">
        <f>A909</f>
        <v>PHBV</v>
      </c>
      <c r="B910" s="150" t="str">
        <f>B909</f>
        <v>particles</v>
      </c>
      <c r="C910" s="150">
        <f t="shared" si="893"/>
        <v>6</v>
      </c>
      <c r="D910" s="150" t="str">
        <f t="shared" ref="D910:F910" si="897">D909</f>
        <v>0,01-0,1</v>
      </c>
      <c r="E910" s="150">
        <f t="shared" si="897"/>
        <v>0.1</v>
      </c>
      <c r="F910" s="150" t="str">
        <f t="shared" si="897"/>
        <v>air</v>
      </c>
      <c r="G910" s="147" t="str">
        <f t="shared" si="894"/>
        <v>PHBV particles 0,01-0,1 mm (emission to air)</v>
      </c>
      <c r="H910" s="147"/>
      <c r="I910" s="129">
        <v>0</v>
      </c>
      <c r="J910" s="101" t="s">
        <v>1034</v>
      </c>
      <c r="K910" s="114" t="s">
        <v>596</v>
      </c>
      <c r="L910" s="226">
        <f t="shared" si="895"/>
        <v>0</v>
      </c>
      <c r="M910" s="158">
        <f t="shared" ref="M910" si="898">IF(L910/1000&gt;1000,1000,L910/1000)</f>
        <v>0</v>
      </c>
      <c r="N910" s="610"/>
    </row>
    <row r="911" spans="1:14" s="102" customFormat="1">
      <c r="A911" s="174" t="s">
        <v>19</v>
      </c>
      <c r="B911" s="186" t="s">
        <v>1025</v>
      </c>
      <c r="C911" s="188">
        <f t="shared" si="848"/>
        <v>6</v>
      </c>
      <c r="D911" s="188" t="s">
        <v>1028</v>
      </c>
      <c r="E911" s="155">
        <v>1</v>
      </c>
      <c r="F911" s="131" t="s">
        <v>1019</v>
      </c>
      <c r="G911" s="134" t="str">
        <f t="shared" si="858"/>
        <v>PHBV particles 0,1-1 mm (emission to soil)</v>
      </c>
      <c r="H911" s="133"/>
      <c r="I911" s="129">
        <v>1</v>
      </c>
      <c r="J911" s="101" t="s">
        <v>1019</v>
      </c>
      <c r="K911" s="114">
        <f>K40</f>
        <v>432.08646933463126</v>
      </c>
      <c r="L911" s="226">
        <f t="shared" ref="L911:L917" si="899">IFERROR(IF(K911="--",0,IF(E911*1000/K911*(1-0.5)^(C911/2)&gt;1000,1000,E911*1000/K911*(1-0.5)^(C911/2))),1000)</f>
        <v>0.28929394663176367</v>
      </c>
      <c r="M911" s="158">
        <f>IF(L911/1000&gt;1000,1000,L911/1000)</f>
        <v>2.8929394663176368E-4</v>
      </c>
      <c r="N911" s="610">
        <f>I911*M911+I912*M912</f>
        <v>2.8929394663176368E-4</v>
      </c>
    </row>
    <row r="912" spans="1:14" s="102" customFormat="1">
      <c r="A912" s="172" t="str">
        <f>A911</f>
        <v>PHBV</v>
      </c>
      <c r="B912" s="149" t="str">
        <f>B911</f>
        <v>particles</v>
      </c>
      <c r="C912" s="149">
        <f t="shared" si="848"/>
        <v>6</v>
      </c>
      <c r="D912" s="149" t="str">
        <f t="shared" ref="D912:F913" si="900">D911</f>
        <v>0,1-1</v>
      </c>
      <c r="E912" s="149">
        <f t="shared" si="900"/>
        <v>1</v>
      </c>
      <c r="F912" s="149" t="str">
        <f t="shared" si="900"/>
        <v>soil</v>
      </c>
      <c r="G912" s="146" t="str">
        <f t="shared" si="858"/>
        <v>PHBV particles 0,1-1 mm (emission to soil)</v>
      </c>
      <c r="H912" s="146"/>
      <c r="I912" s="129">
        <v>0</v>
      </c>
      <c r="J912" s="101" t="s">
        <v>1097</v>
      </c>
      <c r="K912" s="114">
        <f>K41</f>
        <v>416.76682692307691</v>
      </c>
      <c r="L912" s="226">
        <f t="shared" si="899"/>
        <v>0.29992790194664748</v>
      </c>
      <c r="M912" s="158">
        <f>IF(L912/1000&gt;1000,1000,L912/1000)</f>
        <v>2.9992790194664749E-4</v>
      </c>
      <c r="N912" s="610"/>
    </row>
    <row r="913" spans="1:14" s="102" customFormat="1">
      <c r="A913" s="173" t="str">
        <f>A912</f>
        <v>PHBV</v>
      </c>
      <c r="B913" s="150" t="str">
        <f>B912</f>
        <v>particles</v>
      </c>
      <c r="C913" s="150">
        <f t="shared" si="848"/>
        <v>6</v>
      </c>
      <c r="D913" s="150" t="str">
        <f t="shared" si="900"/>
        <v>0,1-1</v>
      </c>
      <c r="E913" s="150">
        <f t="shared" si="900"/>
        <v>1</v>
      </c>
      <c r="F913" s="150" t="str">
        <f t="shared" si="900"/>
        <v>soil</v>
      </c>
      <c r="G913" s="147" t="str">
        <f t="shared" si="858"/>
        <v>PHBV particles 0,1-1 mm (emission to soil)</v>
      </c>
      <c r="H913" s="147"/>
      <c r="I913" s="129">
        <v>0</v>
      </c>
      <c r="J913" s="101" t="s">
        <v>1034</v>
      </c>
      <c r="K913" s="151" t="s">
        <v>596</v>
      </c>
      <c r="L913" s="226">
        <f t="shared" si="899"/>
        <v>0</v>
      </c>
      <c r="M913" s="158">
        <f t="shared" ref="M913:M917" si="901">IF(L913/1000&gt;1000,1000,L913/1000)</f>
        <v>0</v>
      </c>
      <c r="N913" s="610"/>
    </row>
    <row r="914" spans="1:14" s="102" customFormat="1">
      <c r="A914" s="174" t="s">
        <v>19</v>
      </c>
      <c r="B914" s="186" t="s">
        <v>1025</v>
      </c>
      <c r="C914" s="188">
        <f t="shared" si="848"/>
        <v>6</v>
      </c>
      <c r="D914" s="188" t="s">
        <v>1028</v>
      </c>
      <c r="E914" s="216">
        <v>1</v>
      </c>
      <c r="F914" s="131" t="s">
        <v>1020</v>
      </c>
      <c r="G914" s="134" t="str">
        <f t="shared" si="858"/>
        <v>PHBV particles 0,1-1 mm (emission to water)</v>
      </c>
      <c r="H914" s="133"/>
      <c r="I914" s="129">
        <v>0</v>
      </c>
      <c r="J914" s="101" t="s">
        <v>1019</v>
      </c>
      <c r="K914" s="114">
        <f>K40</f>
        <v>432.08646933463126</v>
      </c>
      <c r="L914" s="226">
        <f t="shared" si="899"/>
        <v>0.28929394663176367</v>
      </c>
      <c r="M914" s="220">
        <f t="shared" si="901"/>
        <v>2.8929394663176368E-4</v>
      </c>
      <c r="N914" s="611">
        <f>I914*M914+I915*M915+I916*M916</f>
        <v>2.9992790194664749E-4</v>
      </c>
    </row>
    <row r="915" spans="1:14" s="102" customFormat="1">
      <c r="A915" s="172" t="str">
        <f>A914</f>
        <v>PHBV</v>
      </c>
      <c r="B915" s="149" t="str">
        <f>B914</f>
        <v>particles</v>
      </c>
      <c r="C915" s="149">
        <f t="shared" si="848"/>
        <v>6</v>
      </c>
      <c r="D915" s="149" t="str">
        <f t="shared" ref="D915:F916" si="902">D914</f>
        <v>0,1-1</v>
      </c>
      <c r="E915" s="149">
        <f t="shared" si="902"/>
        <v>1</v>
      </c>
      <c r="F915" s="149" t="str">
        <f t="shared" si="902"/>
        <v>water</v>
      </c>
      <c r="G915" s="146" t="str">
        <f t="shared" si="858"/>
        <v>PHBV particles 0,1-1 mm (emission to water)</v>
      </c>
      <c r="H915" s="146"/>
      <c r="I915" s="129">
        <v>0</v>
      </c>
      <c r="J915" s="101" t="s">
        <v>1097</v>
      </c>
      <c r="K915" s="114">
        <f>K41</f>
        <v>416.76682692307691</v>
      </c>
      <c r="L915" s="226">
        <f t="shared" si="899"/>
        <v>0.29992790194664748</v>
      </c>
      <c r="M915" s="220">
        <f t="shared" si="901"/>
        <v>2.9992790194664749E-4</v>
      </c>
      <c r="N915" s="612"/>
    </row>
    <row r="916" spans="1:14" s="102" customFormat="1">
      <c r="A916" s="172" t="str">
        <f>A915</f>
        <v>PHBV</v>
      </c>
      <c r="B916" s="149" t="str">
        <f>B915</f>
        <v>particles</v>
      </c>
      <c r="C916" s="149">
        <f t="shared" si="848"/>
        <v>6</v>
      </c>
      <c r="D916" s="149" t="str">
        <f t="shared" si="902"/>
        <v>0,1-1</v>
      </c>
      <c r="E916" s="149">
        <f t="shared" si="902"/>
        <v>1</v>
      </c>
      <c r="F916" s="149" t="str">
        <f t="shared" si="902"/>
        <v>water</v>
      </c>
      <c r="G916" s="146" t="str">
        <f t="shared" si="858"/>
        <v>PHBV particles 0,1-1 mm (emission to water)</v>
      </c>
      <c r="H916" s="146"/>
      <c r="I916" s="129">
        <v>1</v>
      </c>
      <c r="J916" s="101" t="s">
        <v>1096</v>
      </c>
      <c r="K916" s="114">
        <f>K42</f>
        <v>416.76682692307691</v>
      </c>
      <c r="L916" s="226">
        <f t="shared" si="899"/>
        <v>0.29992790194664748</v>
      </c>
      <c r="M916" s="220">
        <f t="shared" si="901"/>
        <v>2.9992790194664749E-4</v>
      </c>
      <c r="N916" s="612"/>
    </row>
    <row r="917" spans="1:14" s="102" customFormat="1">
      <c r="A917" s="173" t="str">
        <f>A915</f>
        <v>PHBV</v>
      </c>
      <c r="B917" s="150" t="str">
        <f>B915</f>
        <v>particles</v>
      </c>
      <c r="C917" s="150">
        <f t="shared" si="848"/>
        <v>6</v>
      </c>
      <c r="D917" s="150" t="str">
        <f>D915</f>
        <v>0,1-1</v>
      </c>
      <c r="E917" s="150">
        <f>E915</f>
        <v>1</v>
      </c>
      <c r="F917" s="150" t="str">
        <f>F915</f>
        <v>water</v>
      </c>
      <c r="G917" s="147" t="str">
        <f t="shared" si="858"/>
        <v>PHBV particles 0,1-1 mm (emission to water)</v>
      </c>
      <c r="H917" s="147"/>
      <c r="I917" s="129">
        <v>0</v>
      </c>
      <c r="J917" s="101" t="s">
        <v>1034</v>
      </c>
      <c r="K917" s="151" t="s">
        <v>596</v>
      </c>
      <c r="L917" s="226">
        <f t="shared" si="899"/>
        <v>0</v>
      </c>
      <c r="M917" s="220">
        <f t="shared" si="901"/>
        <v>0</v>
      </c>
      <c r="N917" s="613"/>
    </row>
    <row r="918" spans="1:14" s="102" customFormat="1">
      <c r="A918" s="174" t="s">
        <v>19</v>
      </c>
      <c r="B918" s="288" t="s">
        <v>1025</v>
      </c>
      <c r="C918" s="290">
        <f t="shared" ref="C918:C920" si="903">IF(OR(B918="Folie", B918="Strips", B918="Film",B918="Flakes",B918="Coupon"), 2,IF(OR(B918="Fibers",B918="Pellets"),4,IF(OR(B918="Particles",B918="Shreds",B918="Powder",B918="Fragments",B918="Granules"),6,"")))</f>
        <v>6</v>
      </c>
      <c r="D918" s="290" t="s">
        <v>1028</v>
      </c>
      <c r="E918" s="155">
        <v>1</v>
      </c>
      <c r="F918" s="131" t="s">
        <v>1057</v>
      </c>
      <c r="G918" s="134" t="str">
        <f t="shared" ref="G918:G920" si="904">CONCATENATE(A918," ",B918," ",D918," mm (emission to ",F918,")")</f>
        <v>PHBV particles 0,1-1 mm (emission to air)</v>
      </c>
      <c r="H918" s="133"/>
      <c r="I918" s="137">
        <v>0.97699999999999998</v>
      </c>
      <c r="J918" s="101" t="s">
        <v>1019</v>
      </c>
      <c r="K918" s="114">
        <f>K40</f>
        <v>432.08646933463126</v>
      </c>
      <c r="L918" s="226">
        <f t="shared" ref="L918:L920" si="905">IFERROR(IF(K918="--",0,IF(E918*1000/K918*(1-0.5)^(C918/2)&gt;1000,1000,E918*1000/K918*(1-0.5)^(C918/2))),1000)</f>
        <v>0.28929394663176367</v>
      </c>
      <c r="M918" s="158">
        <f>IF(L918/1000&gt;1000,1000,L918/1000)</f>
        <v>2.8929394663176368E-4</v>
      </c>
      <c r="N918" s="610">
        <f>I918*M918+I919*M919</f>
        <v>2.8953852760400605E-4</v>
      </c>
    </row>
    <row r="919" spans="1:14" s="102" customFormat="1">
      <c r="A919" s="172" t="str">
        <f>A918</f>
        <v>PHBV</v>
      </c>
      <c r="B919" s="149" t="str">
        <f>B918</f>
        <v>particles</v>
      </c>
      <c r="C919" s="149">
        <f t="shared" si="903"/>
        <v>6</v>
      </c>
      <c r="D919" s="149" t="str">
        <f t="shared" ref="D919:F919" si="906">D918</f>
        <v>0,1-1</v>
      </c>
      <c r="E919" s="149">
        <f t="shared" si="906"/>
        <v>1</v>
      </c>
      <c r="F919" s="149" t="str">
        <f t="shared" si="906"/>
        <v>air</v>
      </c>
      <c r="G919" s="146" t="str">
        <f t="shared" si="904"/>
        <v>PHBV particles 0,1-1 mm (emission to air)</v>
      </c>
      <c r="H919" s="146"/>
      <c r="I919" s="129">
        <v>2.3E-2</v>
      </c>
      <c r="J919" s="101" t="s">
        <v>1097</v>
      </c>
      <c r="K919" s="114">
        <f>K41</f>
        <v>416.76682692307691</v>
      </c>
      <c r="L919" s="226">
        <f t="shared" si="905"/>
        <v>0.29992790194664748</v>
      </c>
      <c r="M919" s="158">
        <f>IF(L919/1000&gt;1000,1000,L919/1000)</f>
        <v>2.9992790194664749E-4</v>
      </c>
      <c r="N919" s="610"/>
    </row>
    <row r="920" spans="1:14" s="102" customFormat="1">
      <c r="A920" s="173" t="str">
        <f>A919</f>
        <v>PHBV</v>
      </c>
      <c r="B920" s="150" t="str">
        <f>B919</f>
        <v>particles</v>
      </c>
      <c r="C920" s="150">
        <f t="shared" si="903"/>
        <v>6</v>
      </c>
      <c r="D920" s="150" t="str">
        <f t="shared" ref="D920:F920" si="907">D919</f>
        <v>0,1-1</v>
      </c>
      <c r="E920" s="150">
        <f t="shared" si="907"/>
        <v>1</v>
      </c>
      <c r="F920" s="150" t="str">
        <f t="shared" si="907"/>
        <v>air</v>
      </c>
      <c r="G920" s="147" t="str">
        <f t="shared" si="904"/>
        <v>PHBV particles 0,1-1 mm (emission to air)</v>
      </c>
      <c r="H920" s="147"/>
      <c r="I920" s="129">
        <v>0</v>
      </c>
      <c r="J920" s="101" t="s">
        <v>1034</v>
      </c>
      <c r="K920" s="151" t="s">
        <v>596</v>
      </c>
      <c r="L920" s="226">
        <f t="shared" si="905"/>
        <v>0</v>
      </c>
      <c r="M920" s="158">
        <f t="shared" ref="M920" si="908">IF(L920/1000&gt;1000,1000,L920/1000)</f>
        <v>0</v>
      </c>
      <c r="N920" s="610"/>
    </row>
    <row r="921" spans="1:14" s="102" customFormat="1">
      <c r="A921" s="174" t="s">
        <v>19</v>
      </c>
      <c r="B921" s="186" t="s">
        <v>1025</v>
      </c>
      <c r="C921" s="188">
        <f t="shared" si="848"/>
        <v>6</v>
      </c>
      <c r="D921" s="188" t="s">
        <v>1026</v>
      </c>
      <c r="E921" s="155">
        <v>10</v>
      </c>
      <c r="F921" s="131" t="s">
        <v>1019</v>
      </c>
      <c r="G921" s="134" t="str">
        <f t="shared" si="858"/>
        <v>PHBV particles 1-10 mm (emission to soil)</v>
      </c>
      <c r="H921" s="133"/>
      <c r="I921" s="129">
        <v>1</v>
      </c>
      <c r="J921" s="101" t="s">
        <v>1019</v>
      </c>
      <c r="K921" s="114">
        <f>K40</f>
        <v>432.08646933463126</v>
      </c>
      <c r="L921" s="226">
        <f t="shared" ref="L921:L927" si="909">IFERROR(IF(K921="--",0,IF(E921*1000/K921*(1-0.5)^(C921/2)&gt;1000,1000,E921*1000/K921*(1-0.5)^(C921/2))),1000)</f>
        <v>2.8929394663176367</v>
      </c>
      <c r="M921" s="158">
        <f>IF(L921/1000&gt;1000,1000,L921/1000)</f>
        <v>2.8929394663176366E-3</v>
      </c>
      <c r="N921" s="610">
        <f>I921*M921+I922*M922</f>
        <v>2.8929394663176366E-3</v>
      </c>
    </row>
    <row r="922" spans="1:14" s="102" customFormat="1">
      <c r="A922" s="172" t="str">
        <f>A921</f>
        <v>PHBV</v>
      </c>
      <c r="B922" s="149" t="str">
        <f>B921</f>
        <v>particles</v>
      </c>
      <c r="C922" s="149">
        <f t="shared" si="848"/>
        <v>6</v>
      </c>
      <c r="D922" s="149" t="str">
        <f t="shared" ref="D922:F923" si="910">D921</f>
        <v>1-10</v>
      </c>
      <c r="E922" s="149">
        <f t="shared" si="910"/>
        <v>10</v>
      </c>
      <c r="F922" s="149" t="str">
        <f t="shared" si="910"/>
        <v>soil</v>
      </c>
      <c r="G922" s="146" t="str">
        <f t="shared" si="858"/>
        <v>PHBV particles 1-10 mm (emission to soil)</v>
      </c>
      <c r="H922" s="146"/>
      <c r="I922" s="129">
        <v>0</v>
      </c>
      <c r="J922" s="101" t="s">
        <v>1097</v>
      </c>
      <c r="K922" s="114">
        <f>K41</f>
        <v>416.76682692307691</v>
      </c>
      <c r="L922" s="226">
        <f t="shared" si="909"/>
        <v>2.9992790194664747</v>
      </c>
      <c r="M922" s="158">
        <f>IF(L922/1000&gt;1000,1000,L922/1000)</f>
        <v>2.9992790194664745E-3</v>
      </c>
      <c r="N922" s="610"/>
    </row>
    <row r="923" spans="1:14" s="102" customFormat="1">
      <c r="A923" s="173" t="str">
        <f>A922</f>
        <v>PHBV</v>
      </c>
      <c r="B923" s="150" t="str">
        <f>B922</f>
        <v>particles</v>
      </c>
      <c r="C923" s="150">
        <f t="shared" si="848"/>
        <v>6</v>
      </c>
      <c r="D923" s="150" t="str">
        <f t="shared" si="910"/>
        <v>1-10</v>
      </c>
      <c r="E923" s="150">
        <f t="shared" si="910"/>
        <v>10</v>
      </c>
      <c r="F923" s="150" t="str">
        <f t="shared" si="910"/>
        <v>soil</v>
      </c>
      <c r="G923" s="147" t="str">
        <f t="shared" si="858"/>
        <v>PHBV particles 1-10 mm (emission to soil)</v>
      </c>
      <c r="H923" s="147"/>
      <c r="I923" s="129">
        <v>0</v>
      </c>
      <c r="J923" s="101" t="s">
        <v>1034</v>
      </c>
      <c r="K923" s="151" t="s">
        <v>596</v>
      </c>
      <c r="L923" s="226">
        <f t="shared" si="909"/>
        <v>0</v>
      </c>
      <c r="M923" s="158">
        <f t="shared" ref="M923:M927" si="911">IF(L923/1000&gt;1000,1000,L923/1000)</f>
        <v>0</v>
      </c>
      <c r="N923" s="610"/>
    </row>
    <row r="924" spans="1:14" s="102" customFormat="1">
      <c r="A924" s="174" t="s">
        <v>19</v>
      </c>
      <c r="B924" s="186" t="s">
        <v>1025</v>
      </c>
      <c r="C924" s="188">
        <f t="shared" si="848"/>
        <v>6</v>
      </c>
      <c r="D924" s="188" t="s">
        <v>1026</v>
      </c>
      <c r="E924" s="214">
        <v>10</v>
      </c>
      <c r="F924" s="131" t="s">
        <v>1020</v>
      </c>
      <c r="G924" s="134" t="str">
        <f t="shared" si="858"/>
        <v>PHBV particles 1-10 mm (emission to water)</v>
      </c>
      <c r="H924" s="133"/>
      <c r="I924" s="129">
        <v>0</v>
      </c>
      <c r="J924" s="101" t="s">
        <v>1019</v>
      </c>
      <c r="K924" s="114">
        <f>K40</f>
        <v>432.08646933463126</v>
      </c>
      <c r="L924" s="226">
        <f t="shared" si="909"/>
        <v>2.8929394663176367</v>
      </c>
      <c r="M924" s="220">
        <f t="shared" si="911"/>
        <v>2.8929394663176366E-3</v>
      </c>
      <c r="N924" s="611">
        <f>I924*M924+I925*M925+I926*M926</f>
        <v>2.9992790194664745E-3</v>
      </c>
    </row>
    <row r="925" spans="1:14" s="102" customFormat="1">
      <c r="A925" s="172" t="str">
        <f>A924</f>
        <v>PHBV</v>
      </c>
      <c r="B925" s="149" t="str">
        <f>B924</f>
        <v>particles</v>
      </c>
      <c r="C925" s="149">
        <f t="shared" si="848"/>
        <v>6</v>
      </c>
      <c r="D925" s="149" t="str">
        <f t="shared" ref="D925:F926" si="912">D924</f>
        <v>1-10</v>
      </c>
      <c r="E925" s="149">
        <f t="shared" si="912"/>
        <v>10</v>
      </c>
      <c r="F925" s="149" t="str">
        <f t="shared" si="912"/>
        <v>water</v>
      </c>
      <c r="G925" s="146" t="str">
        <f t="shared" ref="G925:G937" si="913">CONCATENATE(A925," ",B925," ",D925," mm (emission to ",F925,")")</f>
        <v>PHBV particles 1-10 mm (emission to water)</v>
      </c>
      <c r="H925" s="146"/>
      <c r="I925" s="129">
        <v>0</v>
      </c>
      <c r="J925" s="101" t="s">
        <v>1097</v>
      </c>
      <c r="K925" s="114">
        <f>K41</f>
        <v>416.76682692307691</v>
      </c>
      <c r="L925" s="226">
        <f t="shared" si="909"/>
        <v>2.9992790194664747</v>
      </c>
      <c r="M925" s="220">
        <f t="shared" si="911"/>
        <v>2.9992790194664745E-3</v>
      </c>
      <c r="N925" s="612"/>
    </row>
    <row r="926" spans="1:14" s="102" customFormat="1">
      <c r="A926" s="172" t="str">
        <f>A925</f>
        <v>PHBV</v>
      </c>
      <c r="B926" s="149" t="str">
        <f>B925</f>
        <v>particles</v>
      </c>
      <c r="C926" s="149">
        <f t="shared" si="848"/>
        <v>6</v>
      </c>
      <c r="D926" s="149" t="str">
        <f t="shared" si="912"/>
        <v>1-10</v>
      </c>
      <c r="E926" s="149">
        <f t="shared" si="912"/>
        <v>10</v>
      </c>
      <c r="F926" s="149" t="str">
        <f t="shared" si="912"/>
        <v>water</v>
      </c>
      <c r="G926" s="146" t="str">
        <f t="shared" si="913"/>
        <v>PHBV particles 1-10 mm (emission to water)</v>
      </c>
      <c r="H926" s="146"/>
      <c r="I926" s="129">
        <v>1</v>
      </c>
      <c r="J926" s="134" t="s">
        <v>1096</v>
      </c>
      <c r="K926" s="160">
        <f>K42</f>
        <v>416.76682692307691</v>
      </c>
      <c r="L926" s="226">
        <f t="shared" si="909"/>
        <v>2.9992790194664747</v>
      </c>
      <c r="M926" s="220">
        <f t="shared" si="911"/>
        <v>2.9992790194664745E-3</v>
      </c>
      <c r="N926" s="612"/>
    </row>
    <row r="927" spans="1:14" s="102" customFormat="1">
      <c r="A927" s="173" t="str">
        <f>A925</f>
        <v>PHBV</v>
      </c>
      <c r="B927" s="150" t="str">
        <f>B925</f>
        <v>particles</v>
      </c>
      <c r="C927" s="150">
        <f t="shared" si="848"/>
        <v>6</v>
      </c>
      <c r="D927" s="150" t="str">
        <f>D925</f>
        <v>1-10</v>
      </c>
      <c r="E927" s="150">
        <f>E925</f>
        <v>10</v>
      </c>
      <c r="F927" s="150" t="str">
        <f>F925</f>
        <v>water</v>
      </c>
      <c r="G927" s="147" t="str">
        <f t="shared" si="913"/>
        <v>PHBV particles 1-10 mm (emission to water)</v>
      </c>
      <c r="H927" s="147">
        <f>H925</f>
        <v>0</v>
      </c>
      <c r="I927" s="129">
        <v>0</v>
      </c>
      <c r="J927" s="101" t="s">
        <v>1034</v>
      </c>
      <c r="K927" s="114" t="s">
        <v>596</v>
      </c>
      <c r="L927" s="226">
        <f t="shared" si="909"/>
        <v>0</v>
      </c>
      <c r="M927" s="220">
        <f t="shared" si="911"/>
        <v>0</v>
      </c>
      <c r="N927" s="613"/>
    </row>
    <row r="928" spans="1:14" s="102" customFormat="1">
      <c r="A928" s="174" t="s">
        <v>19</v>
      </c>
      <c r="B928" s="288" t="s">
        <v>1025</v>
      </c>
      <c r="C928" s="290">
        <f t="shared" ref="C928:C930" si="914">IF(OR(B928="Folie", B928="Strips", B928="Film",B928="Flakes",B928="Coupon"), 2,IF(OR(B928="Fibers",B928="Pellets"),4,IF(OR(B928="Particles",B928="Shreds",B928="Powder",B928="Fragments",B928="Granules"),6,"")))</f>
        <v>6</v>
      </c>
      <c r="D928" s="290" t="s">
        <v>1026</v>
      </c>
      <c r="E928" s="155">
        <v>10</v>
      </c>
      <c r="F928" s="131" t="s">
        <v>1057</v>
      </c>
      <c r="G928" s="134" t="str">
        <f t="shared" si="913"/>
        <v>PHBV particles 1-10 mm (emission to air)</v>
      </c>
      <c r="H928" s="133"/>
      <c r="I928" s="137">
        <v>0.97699999999999998</v>
      </c>
      <c r="J928" s="101" t="s">
        <v>1019</v>
      </c>
      <c r="K928" s="114">
        <f>K40</f>
        <v>432.08646933463126</v>
      </c>
      <c r="L928" s="226">
        <f t="shared" ref="L928:L930" si="915">IFERROR(IF(K928="--",0,IF(E928*1000/K928*(1-0.5)^(C928/2)&gt;1000,1000,E928*1000/K928*(1-0.5)^(C928/2))),1000)</f>
        <v>2.8929394663176367</v>
      </c>
      <c r="M928" s="158">
        <f>IF(L928/1000&gt;1000,1000,L928/1000)</f>
        <v>2.8929394663176366E-3</v>
      </c>
      <c r="N928" s="610">
        <f>I928*M928+I929*M929</f>
        <v>2.8953852760400601E-3</v>
      </c>
    </row>
    <row r="929" spans="1:14" s="102" customFormat="1">
      <c r="A929" s="172" t="str">
        <f>A928</f>
        <v>PHBV</v>
      </c>
      <c r="B929" s="149" t="str">
        <f>B928</f>
        <v>particles</v>
      </c>
      <c r="C929" s="149">
        <f t="shared" si="914"/>
        <v>6</v>
      </c>
      <c r="D929" s="149" t="str">
        <f t="shared" ref="D929:F929" si="916">D928</f>
        <v>1-10</v>
      </c>
      <c r="E929" s="149">
        <f t="shared" si="916"/>
        <v>10</v>
      </c>
      <c r="F929" s="149" t="str">
        <f t="shared" si="916"/>
        <v>air</v>
      </c>
      <c r="G929" s="146" t="str">
        <f t="shared" si="913"/>
        <v>PHBV particles 1-10 mm (emission to air)</v>
      </c>
      <c r="H929" s="146"/>
      <c r="I929" s="129">
        <v>2.3E-2</v>
      </c>
      <c r="J929" s="101" t="s">
        <v>1097</v>
      </c>
      <c r="K929" s="114">
        <f>K41</f>
        <v>416.76682692307691</v>
      </c>
      <c r="L929" s="226">
        <f t="shared" si="915"/>
        <v>2.9992790194664747</v>
      </c>
      <c r="M929" s="158">
        <f>IF(L929/1000&gt;1000,1000,L929/1000)</f>
        <v>2.9992790194664745E-3</v>
      </c>
      <c r="N929" s="610"/>
    </row>
    <row r="930" spans="1:14" s="102" customFormat="1" ht="13.5" thickBot="1">
      <c r="A930" s="173" t="str">
        <f>A929</f>
        <v>PHBV</v>
      </c>
      <c r="B930" s="150" t="str">
        <f>B929</f>
        <v>particles</v>
      </c>
      <c r="C930" s="150">
        <f t="shared" si="914"/>
        <v>6</v>
      </c>
      <c r="D930" s="178" t="str">
        <f t="shared" ref="D930:F930" si="917">D929</f>
        <v>1-10</v>
      </c>
      <c r="E930" s="178">
        <f t="shared" si="917"/>
        <v>10</v>
      </c>
      <c r="F930" s="178" t="str">
        <f t="shared" si="917"/>
        <v>air</v>
      </c>
      <c r="G930" s="179" t="str">
        <f t="shared" si="913"/>
        <v>PHBV particles 1-10 mm (emission to air)</v>
      </c>
      <c r="H930" s="179"/>
      <c r="I930" s="277">
        <v>0</v>
      </c>
      <c r="J930" s="180" t="s">
        <v>1034</v>
      </c>
      <c r="K930" s="278" t="s">
        <v>596</v>
      </c>
      <c r="L930" s="279">
        <f t="shared" si="915"/>
        <v>0</v>
      </c>
      <c r="M930" s="158">
        <f t="shared" ref="M930" si="918">IF(L930/1000&gt;1000,1000,L930/1000)</f>
        <v>0</v>
      </c>
      <c r="N930" s="610"/>
    </row>
    <row r="931" spans="1:14" s="102" customFormat="1">
      <c r="A931" s="163" t="s">
        <v>42</v>
      </c>
      <c r="B931" s="164" t="s">
        <v>996</v>
      </c>
      <c r="C931" s="165">
        <f>IF(OR(B931="Folie", B931="Strips", B931="Film",B931="Flakes",B931="Coupon"), 2,IF(OR(B931="Fibers",B931="Pellets"),4,IF(OR(B931="Particles",B931="Shreds",B931="Powder",B931="Fragments",B931="Granules"),6,"")))</f>
        <v>2</v>
      </c>
      <c r="D931" s="165" t="s">
        <v>1028</v>
      </c>
      <c r="E931" s="293">
        <v>1</v>
      </c>
      <c r="F931" s="166" t="s">
        <v>1019</v>
      </c>
      <c r="G931" s="167" t="str">
        <f t="shared" si="913"/>
        <v>PBS film 0,1-1 mm (emission to soil)</v>
      </c>
      <c r="H931" s="168"/>
      <c r="I931" s="169">
        <v>1</v>
      </c>
      <c r="J931" s="170" t="s">
        <v>1019</v>
      </c>
      <c r="K931" s="171">
        <f>K43</f>
        <v>68.285919898456569</v>
      </c>
      <c r="L931" s="276">
        <f t="shared" ref="L931:L937" si="919">IFERROR(IF(K931="--",0,IF(E931*1000/K931*(1-0.5)^(C931/2)&gt;1000,1000,E931*1000/K931*(1-0.5)^(C931/2))),1000)</f>
        <v>7.3221536847349586</v>
      </c>
      <c r="M931" s="158">
        <f>IF(L931/1000&gt;1000,1000,L931/1000)</f>
        <v>7.3221536847349585E-3</v>
      </c>
      <c r="N931" s="610">
        <f>I931*M931+I932*M932</f>
        <v>7.3221536847349585E-3</v>
      </c>
    </row>
    <row r="932" spans="1:14" s="102" customFormat="1">
      <c r="A932" s="172" t="str">
        <f>A931</f>
        <v>PBS</v>
      </c>
      <c r="B932" s="149" t="str">
        <f>B931</f>
        <v>film</v>
      </c>
      <c r="C932" s="149">
        <f t="shared" ref="C932:C997" si="920">IF(OR(B932="Folie", B932="Strips", B932="Film",B932="Flakes",B932="Coupon"), 2,IF(OR(B932="Fibers",B932="Pellets"),4,IF(OR(B932="Particles",B932="Shreds",B932="Powder",B932="Fragments",B932="Granules"),6,"")))</f>
        <v>2</v>
      </c>
      <c r="D932" s="149" t="str">
        <f t="shared" ref="D932:F933" si="921">D931</f>
        <v>0,1-1</v>
      </c>
      <c r="E932" s="149">
        <f t="shared" si="921"/>
        <v>1</v>
      </c>
      <c r="F932" s="149" t="str">
        <f t="shared" si="921"/>
        <v>soil</v>
      </c>
      <c r="G932" s="146" t="str">
        <f t="shared" si="913"/>
        <v>PBS film 0,1-1 mm (emission to soil)</v>
      </c>
      <c r="H932" s="146"/>
      <c r="I932" s="129">
        <v>0</v>
      </c>
      <c r="J932" s="101" t="s">
        <v>1097</v>
      </c>
      <c r="K932" s="114">
        <f>K44</f>
        <v>13.035714285714299</v>
      </c>
      <c r="L932" s="226">
        <f t="shared" si="919"/>
        <v>38.356164383561605</v>
      </c>
      <c r="M932" s="158">
        <f>IF(L932/1000&gt;1000,1000,L932/1000)</f>
        <v>3.8356164383561604E-2</v>
      </c>
      <c r="N932" s="610"/>
    </row>
    <row r="933" spans="1:14" s="102" customFormat="1">
      <c r="A933" s="173" t="str">
        <f>A932</f>
        <v>PBS</v>
      </c>
      <c r="B933" s="150" t="str">
        <f>B932</f>
        <v>film</v>
      </c>
      <c r="C933" s="150">
        <f t="shared" si="920"/>
        <v>2</v>
      </c>
      <c r="D933" s="150" t="str">
        <f t="shared" si="921"/>
        <v>0,1-1</v>
      </c>
      <c r="E933" s="150">
        <f t="shared" si="921"/>
        <v>1</v>
      </c>
      <c r="F933" s="150" t="str">
        <f t="shared" si="921"/>
        <v>soil</v>
      </c>
      <c r="G933" s="147" t="str">
        <f t="shared" si="913"/>
        <v>PBS film 0,1-1 mm (emission to soil)</v>
      </c>
      <c r="H933" s="147"/>
      <c r="I933" s="129">
        <v>0</v>
      </c>
      <c r="J933" s="101" t="s">
        <v>1034</v>
      </c>
      <c r="K933" s="151" t="s">
        <v>596</v>
      </c>
      <c r="L933" s="226">
        <f t="shared" si="919"/>
        <v>0</v>
      </c>
      <c r="M933" s="158">
        <f t="shared" ref="M933:M937" si="922">IF(L933/1000&gt;1000,1000,L933/1000)</f>
        <v>0</v>
      </c>
      <c r="N933" s="610"/>
    </row>
    <row r="934" spans="1:14" s="102" customFormat="1">
      <c r="A934" s="174" t="s">
        <v>42</v>
      </c>
      <c r="B934" s="288" t="s">
        <v>996</v>
      </c>
      <c r="C934" s="290">
        <f t="shared" si="920"/>
        <v>2</v>
      </c>
      <c r="D934" s="290" t="s">
        <v>1028</v>
      </c>
      <c r="E934" s="290">
        <v>1</v>
      </c>
      <c r="F934" s="206" t="s">
        <v>1020</v>
      </c>
      <c r="G934" s="144" t="str">
        <f t="shared" si="913"/>
        <v>PBS film 0,1-1 mm (emission to water)</v>
      </c>
      <c r="H934" s="144"/>
      <c r="I934" s="129">
        <v>0</v>
      </c>
      <c r="J934" s="225" t="s">
        <v>1019</v>
      </c>
      <c r="K934" s="114">
        <f>K43</f>
        <v>68.285919898456569</v>
      </c>
      <c r="L934" s="226">
        <f t="shared" si="919"/>
        <v>7.3221536847349586</v>
      </c>
      <c r="M934" s="295">
        <f t="shared" si="922"/>
        <v>7.3221536847349585E-3</v>
      </c>
      <c r="N934" s="614">
        <f>I934*M934+I935*M935+I936*M936</f>
        <v>3.8356164383561604E-2</v>
      </c>
    </row>
    <row r="935" spans="1:14" s="102" customFormat="1">
      <c r="A935" s="172" t="str">
        <f>A934</f>
        <v>PBS</v>
      </c>
      <c r="B935" s="149" t="str">
        <f>B934</f>
        <v>film</v>
      </c>
      <c r="C935" s="149">
        <f t="shared" si="920"/>
        <v>2</v>
      </c>
      <c r="D935" s="149" t="str">
        <f t="shared" ref="D935:F936" si="923">D934</f>
        <v>0,1-1</v>
      </c>
      <c r="E935" s="149">
        <f t="shared" si="923"/>
        <v>1</v>
      </c>
      <c r="F935" s="149" t="str">
        <f t="shared" si="923"/>
        <v>water</v>
      </c>
      <c r="G935" s="146" t="str">
        <f t="shared" si="913"/>
        <v>PBS film 0,1-1 mm (emission to water)</v>
      </c>
      <c r="H935" s="146"/>
      <c r="I935" s="129">
        <v>0</v>
      </c>
      <c r="J935" s="225" t="s">
        <v>1097</v>
      </c>
      <c r="K935" s="114">
        <f>K44</f>
        <v>13.035714285714299</v>
      </c>
      <c r="L935" s="226">
        <f t="shared" si="919"/>
        <v>38.356164383561605</v>
      </c>
      <c r="M935" s="295">
        <f t="shared" si="922"/>
        <v>3.8356164383561604E-2</v>
      </c>
      <c r="N935" s="615"/>
    </row>
    <row r="936" spans="1:14" s="102" customFormat="1">
      <c r="A936" s="172" t="str">
        <f>A935</f>
        <v>PBS</v>
      </c>
      <c r="B936" s="149" t="str">
        <f>B935</f>
        <v>film</v>
      </c>
      <c r="C936" s="149">
        <f t="shared" ref="C936" si="924">IF(OR(B936="Folie", B936="Strips", B936="Film",B936="Flakes",B936="Coupon"), 2,IF(OR(B936="Fibers",B936="Pellets"),4,IF(OR(B936="Particles",B936="Shreds",B936="Powder",B936="Fragments",B936="Granules"),6,"")))</f>
        <v>2</v>
      </c>
      <c r="D936" s="149" t="str">
        <f t="shared" si="923"/>
        <v>0,1-1</v>
      </c>
      <c r="E936" s="149">
        <f t="shared" si="923"/>
        <v>1</v>
      </c>
      <c r="F936" s="149" t="str">
        <f t="shared" si="923"/>
        <v>water</v>
      </c>
      <c r="G936" s="146" t="str">
        <f t="shared" ref="G936" si="925">CONCATENATE(A936," ",B936," ",D936," mm (emission to ",F936,")")</f>
        <v>PBS film 0,1-1 mm (emission to water)</v>
      </c>
      <c r="H936" s="146"/>
      <c r="I936" s="129">
        <v>1</v>
      </c>
      <c r="J936" s="225" t="s">
        <v>1096</v>
      </c>
      <c r="K936" s="114">
        <f>K45</f>
        <v>13.035714285714299</v>
      </c>
      <c r="L936" s="226">
        <f t="shared" si="919"/>
        <v>38.356164383561605</v>
      </c>
      <c r="M936" s="295">
        <f t="shared" si="922"/>
        <v>3.8356164383561604E-2</v>
      </c>
      <c r="N936" s="615"/>
    </row>
    <row r="937" spans="1:14" s="102" customFormat="1">
      <c r="A937" s="173" t="str">
        <f>A935</f>
        <v>PBS</v>
      </c>
      <c r="B937" s="150" t="str">
        <f>B935</f>
        <v>film</v>
      </c>
      <c r="C937" s="150">
        <f t="shared" si="920"/>
        <v>2</v>
      </c>
      <c r="D937" s="150" t="str">
        <f>D935</f>
        <v>0,1-1</v>
      </c>
      <c r="E937" s="150">
        <f>E935</f>
        <v>1</v>
      </c>
      <c r="F937" s="150" t="str">
        <f>F935</f>
        <v>water</v>
      </c>
      <c r="G937" s="147" t="str">
        <f t="shared" si="913"/>
        <v>PBS film 0,1-1 mm (emission to water)</v>
      </c>
      <c r="H937" s="147"/>
      <c r="I937" s="129">
        <v>0</v>
      </c>
      <c r="J937" s="225" t="s">
        <v>1034</v>
      </c>
      <c r="K937" s="151" t="s">
        <v>596</v>
      </c>
      <c r="L937" s="226">
        <f t="shared" si="919"/>
        <v>0</v>
      </c>
      <c r="M937" s="295">
        <f t="shared" si="922"/>
        <v>0</v>
      </c>
      <c r="N937" s="616"/>
    </row>
    <row r="938" spans="1:14" s="191" customFormat="1">
      <c r="A938" s="174" t="s">
        <v>42</v>
      </c>
      <c r="B938" s="288" t="s">
        <v>996</v>
      </c>
      <c r="C938" s="290">
        <f>IF(OR(B938="Folie", B938="Strips", B938="Film",B938="Flakes",B938="Coupon"), 2,IF(OR(B938="Fibers",B938="Pellets"),4,IF(OR(B938="Particles",B938="Shreds",B938="Powder",B938="Fragments",B938="Granules"),6,"")))</f>
        <v>2</v>
      </c>
      <c r="D938" s="290" t="s">
        <v>1028</v>
      </c>
      <c r="E938" s="155">
        <v>1</v>
      </c>
      <c r="F938" s="131" t="s">
        <v>1057</v>
      </c>
      <c r="G938" s="134" t="str">
        <f t="shared" ref="G938:G940" si="926">CONCATENATE(A938," ",B938," ",D938," mm (emission to ",F938,")")</f>
        <v>PBS film 0,1-1 mm (emission to air)</v>
      </c>
      <c r="H938" s="144"/>
      <c r="I938" s="137">
        <v>0.97699999999999998</v>
      </c>
      <c r="J938" s="101" t="s">
        <v>1019</v>
      </c>
      <c r="K938" s="114">
        <f>K43</f>
        <v>68.285919898456569</v>
      </c>
      <c r="L938" s="226">
        <f t="shared" ref="L938:L940" si="927">IFERROR(IF(K938="--",0,IF(E938*1000/K938*(1-0.5)^(C938/2)&gt;1000,1000,E938*1000/K938*(1-0.5)^(C938/2))),1000)</f>
        <v>7.3221536847349586</v>
      </c>
      <c r="M938" s="158">
        <f>IF(L938/1000&gt;1000,1000,L938/1000)</f>
        <v>7.3221536847349585E-3</v>
      </c>
      <c r="N938" s="610">
        <f>I938*M938+I939*M939</f>
        <v>8.0359359308079716E-3</v>
      </c>
    </row>
    <row r="939" spans="1:14" s="191" customFormat="1">
      <c r="A939" s="172" t="str">
        <f>A938</f>
        <v>PBS</v>
      </c>
      <c r="B939" s="149" t="str">
        <f>B938</f>
        <v>film</v>
      </c>
      <c r="C939" s="149">
        <f t="shared" ref="C939:C940" si="928">IF(OR(B939="Folie", B939="Strips", B939="Film",B939="Flakes",B939="Coupon"), 2,IF(OR(B939="Fibers",B939="Pellets"),4,IF(OR(B939="Particles",B939="Shreds",B939="Powder",B939="Fragments",B939="Granules"),6,"")))</f>
        <v>2</v>
      </c>
      <c r="D939" s="149" t="str">
        <f t="shared" ref="D939:F939" si="929">D938</f>
        <v>0,1-1</v>
      </c>
      <c r="E939" s="149">
        <f t="shared" si="929"/>
        <v>1</v>
      </c>
      <c r="F939" s="149" t="str">
        <f t="shared" si="929"/>
        <v>air</v>
      </c>
      <c r="G939" s="146" t="str">
        <f t="shared" si="926"/>
        <v>PBS film 0,1-1 mm (emission to air)</v>
      </c>
      <c r="H939" s="146"/>
      <c r="I939" s="129">
        <v>2.3E-2</v>
      </c>
      <c r="J939" s="101" t="s">
        <v>1097</v>
      </c>
      <c r="K939" s="114">
        <f>K44</f>
        <v>13.035714285714299</v>
      </c>
      <c r="L939" s="226">
        <f t="shared" si="927"/>
        <v>38.356164383561605</v>
      </c>
      <c r="M939" s="158">
        <f>IF(L939/1000&gt;1000,1000,L939/1000)</f>
        <v>3.8356164383561604E-2</v>
      </c>
      <c r="N939" s="610"/>
    </row>
    <row r="940" spans="1:14" s="191" customFormat="1">
      <c r="A940" s="173" t="str">
        <f>A939</f>
        <v>PBS</v>
      </c>
      <c r="B940" s="150" t="str">
        <f>B939</f>
        <v>film</v>
      </c>
      <c r="C940" s="150">
        <f t="shared" si="928"/>
        <v>2</v>
      </c>
      <c r="D940" s="150" t="str">
        <f t="shared" ref="D940:F940" si="930">D939</f>
        <v>0,1-1</v>
      </c>
      <c r="E940" s="150">
        <f t="shared" si="930"/>
        <v>1</v>
      </c>
      <c r="F940" s="150" t="str">
        <f t="shared" si="930"/>
        <v>air</v>
      </c>
      <c r="G940" s="147" t="str">
        <f t="shared" si="926"/>
        <v>PBS film 0,1-1 mm (emission to air)</v>
      </c>
      <c r="H940" s="147"/>
      <c r="I940" s="129">
        <v>0</v>
      </c>
      <c r="J940" s="101" t="s">
        <v>1034</v>
      </c>
      <c r="K940" s="151" t="s">
        <v>596</v>
      </c>
      <c r="L940" s="226">
        <f t="shared" si="927"/>
        <v>0</v>
      </c>
      <c r="M940" s="158">
        <f t="shared" ref="M940" si="931">IF(L940/1000&gt;1000,1000,L940/1000)</f>
        <v>0</v>
      </c>
      <c r="N940" s="610"/>
    </row>
    <row r="941" spans="1:14" s="102" customFormat="1">
      <c r="A941" s="174" t="s">
        <v>42</v>
      </c>
      <c r="B941" s="159" t="s">
        <v>996</v>
      </c>
      <c r="C941" s="188">
        <f t="shared" si="920"/>
        <v>2</v>
      </c>
      <c r="D941" s="188" t="s">
        <v>1026</v>
      </c>
      <c r="E941" s="155">
        <v>10</v>
      </c>
      <c r="F941" s="131" t="s">
        <v>1019</v>
      </c>
      <c r="G941" s="134" t="str">
        <f t="shared" ref="G941:G994" si="932">CONCATENATE(A941," ",B941," ",D941," mm (emission to ",F941,")")</f>
        <v>PBS film 1-10 mm (emission to soil)</v>
      </c>
      <c r="H941" s="134"/>
      <c r="I941" s="129">
        <v>1</v>
      </c>
      <c r="J941" s="101" t="s">
        <v>1019</v>
      </c>
      <c r="K941" s="114">
        <f>K43</f>
        <v>68.285919898456569</v>
      </c>
      <c r="L941" s="226">
        <f t="shared" ref="L941:L957" si="933">IFERROR(IF(K941="--",0,IF(E941*1000/K941*(1-0.5)^(C941/2)&gt;1000,1000,E941*1000/K941*(1-0.5)^(C941/2))),1000)</f>
        <v>73.221536847349583</v>
      </c>
      <c r="M941" s="158">
        <f>IF(L941/1000&gt;1000,1000,L941/1000)</f>
        <v>7.3221536847349583E-2</v>
      </c>
      <c r="N941" s="610">
        <f>I941*M941+I942*M942</f>
        <v>7.3221536847349583E-2</v>
      </c>
    </row>
    <row r="942" spans="1:14" s="102" customFormat="1">
      <c r="A942" s="172" t="str">
        <f>A941</f>
        <v>PBS</v>
      </c>
      <c r="B942" s="149" t="str">
        <f>B941</f>
        <v>film</v>
      </c>
      <c r="C942" s="149">
        <f t="shared" si="920"/>
        <v>2</v>
      </c>
      <c r="D942" s="149" t="str">
        <f t="shared" ref="D942:F943" si="934">D941</f>
        <v>1-10</v>
      </c>
      <c r="E942" s="149">
        <f t="shared" si="934"/>
        <v>10</v>
      </c>
      <c r="F942" s="149" t="str">
        <f t="shared" si="934"/>
        <v>soil</v>
      </c>
      <c r="G942" s="146" t="str">
        <f t="shared" si="932"/>
        <v>PBS film 1-10 mm (emission to soil)</v>
      </c>
      <c r="H942" s="146"/>
      <c r="I942" s="129">
        <v>0</v>
      </c>
      <c r="J942" s="101" t="s">
        <v>1097</v>
      </c>
      <c r="K942" s="114">
        <f>K44</f>
        <v>13.035714285714299</v>
      </c>
      <c r="L942" s="226">
        <f t="shared" si="933"/>
        <v>383.56164383561605</v>
      </c>
      <c r="M942" s="158">
        <f>IF(L942/1000&gt;1000,1000,L942/1000)</f>
        <v>0.38356164383561603</v>
      </c>
      <c r="N942" s="610"/>
    </row>
    <row r="943" spans="1:14" s="102" customFormat="1">
      <c r="A943" s="173" t="str">
        <f>A942</f>
        <v>PBS</v>
      </c>
      <c r="B943" s="150" t="str">
        <f>B942</f>
        <v>film</v>
      </c>
      <c r="C943" s="150">
        <f t="shared" si="920"/>
        <v>2</v>
      </c>
      <c r="D943" s="150" t="str">
        <f t="shared" si="934"/>
        <v>1-10</v>
      </c>
      <c r="E943" s="150">
        <f t="shared" si="934"/>
        <v>10</v>
      </c>
      <c r="F943" s="150" t="str">
        <f t="shared" si="934"/>
        <v>soil</v>
      </c>
      <c r="G943" s="147" t="str">
        <f t="shared" si="932"/>
        <v>PBS film 1-10 mm (emission to soil)</v>
      </c>
      <c r="H943" s="147"/>
      <c r="I943" s="129">
        <v>0</v>
      </c>
      <c r="J943" s="101" t="s">
        <v>1034</v>
      </c>
      <c r="K943" s="114" t="s">
        <v>596</v>
      </c>
      <c r="L943" s="226">
        <f t="shared" si="933"/>
        <v>0</v>
      </c>
      <c r="M943" s="158">
        <f t="shared" ref="M943:M947" si="935">IF(L943/1000&gt;1000,1000,L943/1000)</f>
        <v>0</v>
      </c>
      <c r="N943" s="610"/>
    </row>
    <row r="944" spans="1:14" s="102" customFormat="1">
      <c r="A944" s="174" t="s">
        <v>42</v>
      </c>
      <c r="B944" s="159" t="s">
        <v>996</v>
      </c>
      <c r="C944" s="290">
        <f t="shared" si="920"/>
        <v>2</v>
      </c>
      <c r="D944" s="290" t="s">
        <v>1026</v>
      </c>
      <c r="E944" s="288">
        <v>10</v>
      </c>
      <c r="F944" s="206" t="s">
        <v>1020</v>
      </c>
      <c r="G944" s="144" t="str">
        <f t="shared" si="932"/>
        <v>PBS film 1-10 mm (emission to water)</v>
      </c>
      <c r="H944" s="144"/>
      <c r="I944" s="129">
        <v>0</v>
      </c>
      <c r="J944" s="225" t="s">
        <v>1019</v>
      </c>
      <c r="K944" s="114">
        <f>K43</f>
        <v>68.285919898456569</v>
      </c>
      <c r="L944" s="226">
        <f t="shared" si="933"/>
        <v>73.221536847349583</v>
      </c>
      <c r="M944" s="295">
        <f t="shared" si="935"/>
        <v>7.3221536847349583E-2</v>
      </c>
      <c r="N944" s="614">
        <f>I944*M944+I945*M945+I946*M946</f>
        <v>0.38356164383561603</v>
      </c>
    </row>
    <row r="945" spans="1:14" s="102" customFormat="1">
      <c r="A945" s="172" t="str">
        <f>A944</f>
        <v>PBS</v>
      </c>
      <c r="B945" s="149" t="str">
        <f>B944</f>
        <v>film</v>
      </c>
      <c r="C945" s="149">
        <f t="shared" si="920"/>
        <v>2</v>
      </c>
      <c r="D945" s="149" t="str">
        <f t="shared" ref="D945:F946" si="936">D944</f>
        <v>1-10</v>
      </c>
      <c r="E945" s="149">
        <f t="shared" si="936"/>
        <v>10</v>
      </c>
      <c r="F945" s="149" t="str">
        <f t="shared" si="936"/>
        <v>water</v>
      </c>
      <c r="G945" s="146" t="str">
        <f t="shared" si="932"/>
        <v>PBS film 1-10 mm (emission to water)</v>
      </c>
      <c r="H945" s="146"/>
      <c r="I945" s="129">
        <v>0</v>
      </c>
      <c r="J945" s="225" t="s">
        <v>1097</v>
      </c>
      <c r="K945" s="114">
        <f>K44</f>
        <v>13.035714285714299</v>
      </c>
      <c r="L945" s="226">
        <f t="shared" si="933"/>
        <v>383.56164383561605</v>
      </c>
      <c r="M945" s="295">
        <f t="shared" si="935"/>
        <v>0.38356164383561603</v>
      </c>
      <c r="N945" s="615"/>
    </row>
    <row r="946" spans="1:14" s="102" customFormat="1">
      <c r="A946" s="172" t="str">
        <f>A945</f>
        <v>PBS</v>
      </c>
      <c r="B946" s="149" t="str">
        <f>B945</f>
        <v>film</v>
      </c>
      <c r="C946" s="149">
        <f t="shared" ref="C946" si="937">IF(OR(B946="Folie", B946="Strips", B946="Film",B946="Flakes",B946="Coupon"), 2,IF(OR(B946="Fibers",B946="Pellets"),4,IF(OR(B946="Particles",B946="Shreds",B946="Powder",B946="Fragments",B946="Granules"),6,"")))</f>
        <v>2</v>
      </c>
      <c r="D946" s="149" t="str">
        <f t="shared" si="936"/>
        <v>1-10</v>
      </c>
      <c r="E946" s="149">
        <f t="shared" si="936"/>
        <v>10</v>
      </c>
      <c r="F946" s="149" t="str">
        <f t="shared" si="936"/>
        <v>water</v>
      </c>
      <c r="G946" s="146" t="str">
        <f t="shared" ref="G946" si="938">CONCATENATE(A946," ",B946," ",D946," mm (emission to ",F946,")")</f>
        <v>PBS film 1-10 mm (emission to water)</v>
      </c>
      <c r="H946" s="146"/>
      <c r="I946" s="129">
        <v>1</v>
      </c>
      <c r="J946" s="225" t="s">
        <v>1096</v>
      </c>
      <c r="K946" s="114">
        <f>K45</f>
        <v>13.035714285714299</v>
      </c>
      <c r="L946" s="226">
        <f t="shared" si="933"/>
        <v>383.56164383561605</v>
      </c>
      <c r="M946" s="295">
        <f t="shared" si="935"/>
        <v>0.38356164383561603</v>
      </c>
      <c r="N946" s="615"/>
    </row>
    <row r="947" spans="1:14" s="102" customFormat="1">
      <c r="A947" s="173" t="str">
        <f>A945</f>
        <v>PBS</v>
      </c>
      <c r="B947" s="150" t="str">
        <f>B945</f>
        <v>film</v>
      </c>
      <c r="C947" s="150">
        <f t="shared" si="920"/>
        <v>2</v>
      </c>
      <c r="D947" s="150" t="str">
        <f>D945</f>
        <v>1-10</v>
      </c>
      <c r="E947" s="150">
        <f>E945</f>
        <v>10</v>
      </c>
      <c r="F947" s="150" t="str">
        <f>F945</f>
        <v>water</v>
      </c>
      <c r="G947" s="147" t="str">
        <f t="shared" si="932"/>
        <v>PBS film 1-10 mm (emission to water)</v>
      </c>
      <c r="H947" s="147"/>
      <c r="I947" s="129">
        <v>0</v>
      </c>
      <c r="J947" s="225" t="s">
        <v>1034</v>
      </c>
      <c r="K947" s="114" t="s">
        <v>596</v>
      </c>
      <c r="L947" s="226">
        <f t="shared" si="933"/>
        <v>0</v>
      </c>
      <c r="M947" s="295">
        <f t="shared" si="935"/>
        <v>0</v>
      </c>
      <c r="N947" s="616"/>
    </row>
    <row r="948" spans="1:14" s="102" customFormat="1">
      <c r="A948" s="174" t="s">
        <v>42</v>
      </c>
      <c r="B948" s="159" t="s">
        <v>996</v>
      </c>
      <c r="C948" s="290">
        <f t="shared" ref="C948:C950" si="939">IF(OR(B948="Folie", B948="Strips", B948="Film",B948="Flakes",B948="Coupon"), 2,IF(OR(B948="Fibers",B948="Pellets"),4,IF(OR(B948="Particles",B948="Shreds",B948="Powder",B948="Fragments",B948="Granules"),6,"")))</f>
        <v>2</v>
      </c>
      <c r="D948" s="290" t="s">
        <v>1026</v>
      </c>
      <c r="E948" s="155">
        <v>10</v>
      </c>
      <c r="F948" s="131" t="s">
        <v>1057</v>
      </c>
      <c r="G948" s="134" t="str">
        <f t="shared" ref="G948:G950" si="940">CONCATENATE(A948," ",B948," ",D948," mm (emission to ",F948,")")</f>
        <v>PBS film 1-10 mm (emission to air)</v>
      </c>
      <c r="H948" s="134"/>
      <c r="I948" s="137">
        <v>0.97699999999999998</v>
      </c>
      <c r="J948" s="101" t="s">
        <v>1019</v>
      </c>
      <c r="K948" s="114">
        <f>K43</f>
        <v>68.285919898456569</v>
      </c>
      <c r="L948" s="226">
        <f t="shared" si="933"/>
        <v>73.221536847349583</v>
      </c>
      <c r="M948" s="158">
        <f>IF(L948/1000&gt;1000,1000,L948/1000)</f>
        <v>7.3221536847349583E-2</v>
      </c>
      <c r="N948" s="610">
        <f>I948*M948+I949*M949</f>
        <v>8.0359359308079706E-2</v>
      </c>
    </row>
    <row r="949" spans="1:14" s="102" customFormat="1">
      <c r="A949" s="172" t="str">
        <f>A948</f>
        <v>PBS</v>
      </c>
      <c r="B949" s="149" t="str">
        <f>B948</f>
        <v>film</v>
      </c>
      <c r="C949" s="149">
        <f t="shared" si="939"/>
        <v>2</v>
      </c>
      <c r="D949" s="149" t="str">
        <f t="shared" ref="D949:F949" si="941">D948</f>
        <v>1-10</v>
      </c>
      <c r="E949" s="149">
        <f t="shared" si="941"/>
        <v>10</v>
      </c>
      <c r="F949" s="149" t="str">
        <f t="shared" si="941"/>
        <v>air</v>
      </c>
      <c r="G949" s="146" t="str">
        <f t="shared" si="940"/>
        <v>PBS film 1-10 mm (emission to air)</v>
      </c>
      <c r="H949" s="146"/>
      <c r="I949" s="129">
        <v>2.3E-2</v>
      </c>
      <c r="J949" s="101" t="s">
        <v>1097</v>
      </c>
      <c r="K949" s="114">
        <f>K44</f>
        <v>13.035714285714299</v>
      </c>
      <c r="L949" s="226">
        <f t="shared" si="933"/>
        <v>383.56164383561605</v>
      </c>
      <c r="M949" s="158">
        <f>IF(L949/1000&gt;1000,1000,L949/1000)</f>
        <v>0.38356164383561603</v>
      </c>
      <c r="N949" s="610"/>
    </row>
    <row r="950" spans="1:14" s="102" customFormat="1">
      <c r="A950" s="173" t="str">
        <f>A949</f>
        <v>PBS</v>
      </c>
      <c r="B950" s="150" t="str">
        <f>B949</f>
        <v>film</v>
      </c>
      <c r="C950" s="150">
        <f t="shared" si="939"/>
        <v>2</v>
      </c>
      <c r="D950" s="150" t="str">
        <f t="shared" ref="D950:F950" si="942">D949</f>
        <v>1-10</v>
      </c>
      <c r="E950" s="150">
        <f t="shared" si="942"/>
        <v>10</v>
      </c>
      <c r="F950" s="150" t="str">
        <f t="shared" si="942"/>
        <v>air</v>
      </c>
      <c r="G950" s="147" t="str">
        <f t="shared" si="940"/>
        <v>PBS film 1-10 mm (emission to air)</v>
      </c>
      <c r="H950" s="147"/>
      <c r="I950" s="129">
        <v>0</v>
      </c>
      <c r="J950" s="101" t="s">
        <v>1034</v>
      </c>
      <c r="K950" s="114" t="s">
        <v>596</v>
      </c>
      <c r="L950" s="226">
        <f t="shared" si="933"/>
        <v>0</v>
      </c>
      <c r="M950" s="158">
        <f t="shared" ref="M950" si="943">IF(L950/1000&gt;1000,1000,L950/1000)</f>
        <v>0</v>
      </c>
      <c r="N950" s="610"/>
    </row>
    <row r="951" spans="1:14" s="102" customFormat="1">
      <c r="A951" s="174" t="s">
        <v>42</v>
      </c>
      <c r="B951" s="159" t="s">
        <v>1051</v>
      </c>
      <c r="C951" s="188">
        <f t="shared" si="920"/>
        <v>4</v>
      </c>
      <c r="D951" s="188" t="s">
        <v>1028</v>
      </c>
      <c r="E951" s="155">
        <v>1</v>
      </c>
      <c r="F951" s="131" t="s">
        <v>1019</v>
      </c>
      <c r="G951" s="134" t="str">
        <f t="shared" si="932"/>
        <v>PBS fibers 0,1-1 mm (emission to soil)</v>
      </c>
      <c r="H951" s="193"/>
      <c r="I951" s="137">
        <v>1</v>
      </c>
      <c r="J951" s="101" t="s">
        <v>1019</v>
      </c>
      <c r="K951" s="114">
        <f>K43</f>
        <v>68.285919898456569</v>
      </c>
      <c r="L951" s="226">
        <f t="shared" si="933"/>
        <v>3.6610768423674793</v>
      </c>
      <c r="M951" s="158">
        <f>IF(L951/1000&gt;1000,1000,L951/1000)</f>
        <v>3.6610768423674792E-3</v>
      </c>
      <c r="N951" s="610">
        <f>I951*M951+I952*M952</f>
        <v>3.6610768423674792E-3</v>
      </c>
    </row>
    <row r="952" spans="1:14" s="102" customFormat="1">
      <c r="A952" s="172" t="str">
        <f>A951</f>
        <v>PBS</v>
      </c>
      <c r="B952" s="149" t="str">
        <f>B951</f>
        <v>fibers</v>
      </c>
      <c r="C952" s="149">
        <f t="shared" si="920"/>
        <v>4</v>
      </c>
      <c r="D952" s="149" t="str">
        <f t="shared" ref="D952:F953" si="944">D951</f>
        <v>0,1-1</v>
      </c>
      <c r="E952" s="149">
        <f t="shared" si="944"/>
        <v>1</v>
      </c>
      <c r="F952" s="149" t="str">
        <f t="shared" si="944"/>
        <v>soil</v>
      </c>
      <c r="G952" s="146" t="str">
        <f t="shared" si="932"/>
        <v>PBS fibers 0,1-1 mm (emission to soil)</v>
      </c>
      <c r="H952" s="146"/>
      <c r="I952" s="129">
        <v>0</v>
      </c>
      <c r="J952" s="101" t="s">
        <v>1097</v>
      </c>
      <c r="K952" s="114">
        <f>K44</f>
        <v>13.035714285714299</v>
      </c>
      <c r="L952" s="226">
        <f t="shared" si="933"/>
        <v>19.178082191780803</v>
      </c>
      <c r="M952" s="158">
        <f>IF(L952/1000&gt;1000,1000,L952/1000)</f>
        <v>1.9178082191780802E-2</v>
      </c>
      <c r="N952" s="610"/>
    </row>
    <row r="953" spans="1:14" s="102" customFormat="1">
      <c r="A953" s="173" t="str">
        <f>A952</f>
        <v>PBS</v>
      </c>
      <c r="B953" s="150" t="str">
        <f>B952</f>
        <v>fibers</v>
      </c>
      <c r="C953" s="150">
        <f t="shared" si="920"/>
        <v>4</v>
      </c>
      <c r="D953" s="150" t="str">
        <f t="shared" si="944"/>
        <v>0,1-1</v>
      </c>
      <c r="E953" s="150">
        <f t="shared" si="944"/>
        <v>1</v>
      </c>
      <c r="F953" s="150" t="str">
        <f t="shared" si="944"/>
        <v>soil</v>
      </c>
      <c r="G953" s="147" t="str">
        <f t="shared" si="932"/>
        <v>PBS fibers 0,1-1 mm (emission to soil)</v>
      </c>
      <c r="H953" s="146"/>
      <c r="I953" s="129">
        <v>0</v>
      </c>
      <c r="J953" s="101" t="s">
        <v>1034</v>
      </c>
      <c r="K953" s="151" t="s">
        <v>596</v>
      </c>
      <c r="L953" s="226">
        <f t="shared" si="933"/>
        <v>0</v>
      </c>
      <c r="M953" s="158">
        <f t="shared" ref="M953:M957" si="945">IF(L953/1000&gt;1000,1000,L953/1000)</f>
        <v>0</v>
      </c>
      <c r="N953" s="610"/>
    </row>
    <row r="954" spans="1:14" s="102" customFormat="1">
      <c r="A954" s="174" t="s">
        <v>42</v>
      </c>
      <c r="B954" s="159" t="s">
        <v>1051</v>
      </c>
      <c r="C954" s="290">
        <f t="shared" si="920"/>
        <v>4</v>
      </c>
      <c r="D954" s="290" t="s">
        <v>1028</v>
      </c>
      <c r="E954" s="290">
        <v>1</v>
      </c>
      <c r="F954" s="206" t="s">
        <v>1020</v>
      </c>
      <c r="G954" s="144" t="str">
        <f t="shared" si="932"/>
        <v>PBS fibers 0,1-1 mm (emission to water)</v>
      </c>
      <c r="H954" s="192"/>
      <c r="I954" s="129">
        <v>0</v>
      </c>
      <c r="J954" s="225" t="s">
        <v>1019</v>
      </c>
      <c r="K954" s="114">
        <f>K43</f>
        <v>68.285919898456569</v>
      </c>
      <c r="L954" s="226">
        <f t="shared" si="933"/>
        <v>3.6610768423674793</v>
      </c>
      <c r="M954" s="295">
        <f t="shared" si="945"/>
        <v>3.6610768423674792E-3</v>
      </c>
      <c r="N954" s="614">
        <f>I954*M954+I955*M955+I956*M956</f>
        <v>1.9178082191780802E-2</v>
      </c>
    </row>
    <row r="955" spans="1:14" s="102" customFormat="1">
      <c r="A955" s="172" t="str">
        <f>A954</f>
        <v>PBS</v>
      </c>
      <c r="B955" s="149" t="str">
        <f>B954</f>
        <v>fibers</v>
      </c>
      <c r="C955" s="149">
        <f t="shared" si="920"/>
        <v>4</v>
      </c>
      <c r="D955" s="149" t="str">
        <f t="shared" ref="D955:F956" si="946">D954</f>
        <v>0,1-1</v>
      </c>
      <c r="E955" s="149">
        <f t="shared" si="946"/>
        <v>1</v>
      </c>
      <c r="F955" s="149" t="str">
        <f t="shared" si="946"/>
        <v>water</v>
      </c>
      <c r="G955" s="146" t="str">
        <f t="shared" si="932"/>
        <v>PBS fibers 0,1-1 mm (emission to water)</v>
      </c>
      <c r="H955" s="146"/>
      <c r="I955" s="129">
        <v>0</v>
      </c>
      <c r="J955" s="225" t="s">
        <v>1097</v>
      </c>
      <c r="K955" s="114">
        <f>K44</f>
        <v>13.035714285714299</v>
      </c>
      <c r="L955" s="226">
        <f t="shared" si="933"/>
        <v>19.178082191780803</v>
      </c>
      <c r="M955" s="295">
        <f t="shared" si="945"/>
        <v>1.9178082191780802E-2</v>
      </c>
      <c r="N955" s="615"/>
    </row>
    <row r="956" spans="1:14" s="102" customFormat="1">
      <c r="A956" s="172" t="str">
        <f>A955</f>
        <v>PBS</v>
      </c>
      <c r="B956" s="149" t="str">
        <f>B955</f>
        <v>fibers</v>
      </c>
      <c r="C956" s="149">
        <f t="shared" ref="C956" si="947">IF(OR(B956="Folie", B956="Strips", B956="Film",B956="Flakes",B956="Coupon"), 2,IF(OR(B956="Fibers",B956="Pellets"),4,IF(OR(B956="Particles",B956="Shreds",B956="Powder",B956="Fragments",B956="Granules"),6,"")))</f>
        <v>4</v>
      </c>
      <c r="D956" s="149" t="str">
        <f t="shared" si="946"/>
        <v>0,1-1</v>
      </c>
      <c r="E956" s="149">
        <f t="shared" si="946"/>
        <v>1</v>
      </c>
      <c r="F956" s="149" t="str">
        <f t="shared" si="946"/>
        <v>water</v>
      </c>
      <c r="G956" s="146" t="str">
        <f t="shared" ref="G956" si="948">CONCATENATE(A956," ",B956," ",D956," mm (emission to ",F956,")")</f>
        <v>PBS fibers 0,1-1 mm (emission to water)</v>
      </c>
      <c r="H956" s="146"/>
      <c r="I956" s="129">
        <v>1</v>
      </c>
      <c r="J956" s="225" t="s">
        <v>1096</v>
      </c>
      <c r="K956" s="114">
        <f>K45</f>
        <v>13.035714285714299</v>
      </c>
      <c r="L956" s="226">
        <f t="shared" si="933"/>
        <v>19.178082191780803</v>
      </c>
      <c r="M956" s="295">
        <f t="shared" si="945"/>
        <v>1.9178082191780802E-2</v>
      </c>
      <c r="N956" s="615"/>
    </row>
    <row r="957" spans="1:14" s="102" customFormat="1">
      <c r="A957" s="173" t="str">
        <f>A955</f>
        <v>PBS</v>
      </c>
      <c r="B957" s="150" t="str">
        <f>B955</f>
        <v>fibers</v>
      </c>
      <c r="C957" s="150">
        <f t="shared" si="920"/>
        <v>4</v>
      </c>
      <c r="D957" s="150" t="str">
        <f>D955</f>
        <v>0,1-1</v>
      </c>
      <c r="E957" s="150">
        <f>E955</f>
        <v>1</v>
      </c>
      <c r="F957" s="150" t="str">
        <f>F955</f>
        <v>water</v>
      </c>
      <c r="G957" s="147" t="str">
        <f t="shared" si="932"/>
        <v>PBS fibers 0,1-1 mm (emission to water)</v>
      </c>
      <c r="H957" s="147"/>
      <c r="I957" s="129">
        <v>0</v>
      </c>
      <c r="J957" s="225" t="s">
        <v>1034</v>
      </c>
      <c r="K957" s="114" t="s">
        <v>596</v>
      </c>
      <c r="L957" s="226">
        <f t="shared" si="933"/>
        <v>0</v>
      </c>
      <c r="M957" s="295">
        <f t="shared" si="945"/>
        <v>0</v>
      </c>
      <c r="N957" s="616"/>
    </row>
    <row r="958" spans="1:14" s="102" customFormat="1">
      <c r="A958" s="174" t="s">
        <v>42</v>
      </c>
      <c r="B958" s="159" t="s">
        <v>1051</v>
      </c>
      <c r="C958" s="290">
        <f t="shared" ref="C958:C960" si="949">IF(OR(B958="Folie", B958="Strips", B958="Film",B958="Flakes",B958="Coupon"), 2,IF(OR(B958="Fibers",B958="Pellets"),4,IF(OR(B958="Particles",B958="Shreds",B958="Powder",B958="Fragments",B958="Granules"),6,"")))</f>
        <v>4</v>
      </c>
      <c r="D958" s="290" t="s">
        <v>1028</v>
      </c>
      <c r="E958" s="155">
        <v>1</v>
      </c>
      <c r="F958" s="131" t="s">
        <v>1057</v>
      </c>
      <c r="G958" s="134" t="str">
        <f t="shared" ref="G958:G960" si="950">CONCATENATE(A958," ",B958," ",D958," mm (emission to ",F958,")")</f>
        <v>PBS fibers 0,1-1 mm (emission to air)</v>
      </c>
      <c r="H958" s="192"/>
      <c r="I958" s="137">
        <v>0.97699999999999998</v>
      </c>
      <c r="J958" s="101" t="s">
        <v>1019</v>
      </c>
      <c r="K958" s="114">
        <f>K43</f>
        <v>68.285919898456569</v>
      </c>
      <c r="L958" s="226">
        <f t="shared" ref="L958:L960" si="951">IFERROR(IF(K958="--",0,IF(E958*1000/K958*(1-0.5)^(C958/2)&gt;1000,1000,E958*1000/K958*(1-0.5)^(C958/2))),1000)</f>
        <v>3.6610768423674793</v>
      </c>
      <c r="M958" s="158">
        <f>IF(L958/1000&gt;1000,1000,L958/1000)</f>
        <v>3.6610768423674792E-3</v>
      </c>
      <c r="N958" s="610">
        <f>I958*M958+I959*M959</f>
        <v>4.0179679654039858E-3</v>
      </c>
    </row>
    <row r="959" spans="1:14" s="102" customFormat="1">
      <c r="A959" s="172" t="str">
        <f>A958</f>
        <v>PBS</v>
      </c>
      <c r="B959" s="149" t="str">
        <f>B958</f>
        <v>fibers</v>
      </c>
      <c r="C959" s="149">
        <f t="shared" si="949"/>
        <v>4</v>
      </c>
      <c r="D959" s="149" t="str">
        <f t="shared" ref="D959:F959" si="952">D958</f>
        <v>0,1-1</v>
      </c>
      <c r="E959" s="149">
        <f t="shared" si="952"/>
        <v>1</v>
      </c>
      <c r="F959" s="149" t="str">
        <f t="shared" si="952"/>
        <v>air</v>
      </c>
      <c r="G959" s="146" t="str">
        <f t="shared" si="950"/>
        <v>PBS fibers 0,1-1 mm (emission to air)</v>
      </c>
      <c r="H959" s="146"/>
      <c r="I959" s="129">
        <v>2.3E-2</v>
      </c>
      <c r="J959" s="101" t="s">
        <v>1097</v>
      </c>
      <c r="K959" s="114">
        <f>K44</f>
        <v>13.035714285714299</v>
      </c>
      <c r="L959" s="226">
        <f t="shared" si="951"/>
        <v>19.178082191780803</v>
      </c>
      <c r="M959" s="158">
        <f>IF(L959/1000&gt;1000,1000,L959/1000)</f>
        <v>1.9178082191780802E-2</v>
      </c>
      <c r="N959" s="610"/>
    </row>
    <row r="960" spans="1:14" s="102" customFormat="1">
      <c r="A960" s="173" t="str">
        <f>A959</f>
        <v>PBS</v>
      </c>
      <c r="B960" s="150" t="str">
        <f>B959</f>
        <v>fibers</v>
      </c>
      <c r="C960" s="150">
        <f t="shared" si="949"/>
        <v>4</v>
      </c>
      <c r="D960" s="150" t="str">
        <f t="shared" ref="D960:F960" si="953">D959</f>
        <v>0,1-1</v>
      </c>
      <c r="E960" s="150">
        <f t="shared" si="953"/>
        <v>1</v>
      </c>
      <c r="F960" s="150" t="str">
        <f t="shared" si="953"/>
        <v>air</v>
      </c>
      <c r="G960" s="147" t="str">
        <f t="shared" si="950"/>
        <v>PBS fibers 0,1-1 mm (emission to air)</v>
      </c>
      <c r="H960" s="146"/>
      <c r="I960" s="129">
        <v>0</v>
      </c>
      <c r="J960" s="101" t="s">
        <v>1034</v>
      </c>
      <c r="K960" s="151" t="s">
        <v>596</v>
      </c>
      <c r="L960" s="226">
        <f t="shared" si="951"/>
        <v>0</v>
      </c>
      <c r="M960" s="158">
        <f t="shared" ref="M960" si="954">IF(L960/1000&gt;1000,1000,L960/1000)</f>
        <v>0</v>
      </c>
      <c r="N960" s="610"/>
    </row>
    <row r="961" spans="1:14" s="135" customFormat="1">
      <c r="A961" s="174" t="s">
        <v>42</v>
      </c>
      <c r="B961" s="185" t="s">
        <v>372</v>
      </c>
      <c r="C961" s="140">
        <f t="shared" si="920"/>
        <v>4</v>
      </c>
      <c r="D961" s="153" t="s">
        <v>1026</v>
      </c>
      <c r="E961" s="155">
        <v>10</v>
      </c>
      <c r="F961" s="154" t="s">
        <v>1019</v>
      </c>
      <c r="G961" s="134" t="str">
        <f t="shared" si="932"/>
        <v>PBS pellets 1-10 mm (emission to soil)</v>
      </c>
      <c r="H961" s="148"/>
      <c r="I961" s="129">
        <v>1</v>
      </c>
      <c r="J961" s="101" t="s">
        <v>1019</v>
      </c>
      <c r="K961" s="114">
        <f>K43</f>
        <v>68.285919898456569</v>
      </c>
      <c r="L961" s="226">
        <f t="shared" ref="L961:L967" si="955">IFERROR(IF(K961="--",0,IF(E961*1000/K961*(1-0.5)^(C961/2)&gt;1000,1000,E961*1000/K961*(1-0.5)^(C961/2))),1000)</f>
        <v>36.610768423674791</v>
      </c>
      <c r="M961" s="158">
        <f>IF(L961/1000&gt;1000,1000,L961/1000)</f>
        <v>3.6610768423674792E-2</v>
      </c>
      <c r="N961" s="610">
        <f>I961*M961+I962*M962</f>
        <v>3.6610768423674792E-2</v>
      </c>
    </row>
    <row r="962" spans="1:14" s="102" customFormat="1">
      <c r="A962" s="172" t="str">
        <f>A961</f>
        <v>PBS</v>
      </c>
      <c r="B962" s="149" t="str">
        <f>B961</f>
        <v>pellets</v>
      </c>
      <c r="C962" s="149">
        <f t="shared" si="920"/>
        <v>4</v>
      </c>
      <c r="D962" s="149" t="str">
        <f t="shared" ref="D962:F963" si="956">D961</f>
        <v>1-10</v>
      </c>
      <c r="E962" s="149">
        <f t="shared" si="956"/>
        <v>10</v>
      </c>
      <c r="F962" s="149" t="str">
        <f t="shared" si="956"/>
        <v>soil</v>
      </c>
      <c r="G962" s="146" t="str">
        <f t="shared" si="932"/>
        <v>PBS pellets 1-10 mm (emission to soil)</v>
      </c>
      <c r="H962" s="146"/>
      <c r="I962" s="129">
        <v>0</v>
      </c>
      <c r="J962" s="101" t="s">
        <v>1097</v>
      </c>
      <c r="K962" s="114">
        <f>K44</f>
        <v>13.035714285714299</v>
      </c>
      <c r="L962" s="226">
        <f t="shared" si="955"/>
        <v>191.78082191780803</v>
      </c>
      <c r="M962" s="158">
        <f>IF(L962/1000&gt;1000,1000,L962/1000)</f>
        <v>0.19178082191780801</v>
      </c>
      <c r="N962" s="610"/>
    </row>
    <row r="963" spans="1:14" s="102" customFormat="1">
      <c r="A963" s="173" t="str">
        <f>A962</f>
        <v>PBS</v>
      </c>
      <c r="B963" s="150" t="str">
        <f>B962</f>
        <v>pellets</v>
      </c>
      <c r="C963" s="150">
        <f t="shared" si="920"/>
        <v>4</v>
      </c>
      <c r="D963" s="150" t="str">
        <f t="shared" si="956"/>
        <v>1-10</v>
      </c>
      <c r="E963" s="150">
        <f t="shared" si="956"/>
        <v>10</v>
      </c>
      <c r="F963" s="150" t="str">
        <f t="shared" si="956"/>
        <v>soil</v>
      </c>
      <c r="G963" s="147" t="str">
        <f t="shared" si="932"/>
        <v>PBS pellets 1-10 mm (emission to soil)</v>
      </c>
      <c r="H963" s="147">
        <f>H962</f>
        <v>0</v>
      </c>
      <c r="I963" s="129">
        <v>0</v>
      </c>
      <c r="J963" s="101" t="s">
        <v>1034</v>
      </c>
      <c r="K963" s="114" t="s">
        <v>596</v>
      </c>
      <c r="L963" s="226">
        <f t="shared" si="955"/>
        <v>0</v>
      </c>
      <c r="M963" s="158">
        <f t="shared" ref="M963:M967" si="957">IF(L963/1000&gt;1000,1000,L963/1000)</f>
        <v>0</v>
      </c>
      <c r="N963" s="610"/>
    </row>
    <row r="964" spans="1:14" s="102" customFormat="1">
      <c r="A964" s="174" t="s">
        <v>42</v>
      </c>
      <c r="B964" s="155" t="s">
        <v>372</v>
      </c>
      <c r="C964" s="290">
        <f t="shared" si="920"/>
        <v>4</v>
      </c>
      <c r="D964" s="153" t="s">
        <v>1026</v>
      </c>
      <c r="E964" s="288">
        <v>10</v>
      </c>
      <c r="F964" s="189" t="s">
        <v>1020</v>
      </c>
      <c r="G964" s="144" t="str">
        <f t="shared" si="932"/>
        <v>PBS pellets 1-10 mm (emission to water)</v>
      </c>
      <c r="H964" s="192"/>
      <c r="I964" s="129">
        <v>0</v>
      </c>
      <c r="J964" s="225" t="s">
        <v>1019</v>
      </c>
      <c r="K964" s="114">
        <f>K43</f>
        <v>68.285919898456569</v>
      </c>
      <c r="L964" s="226">
        <f t="shared" si="955"/>
        <v>36.610768423674791</v>
      </c>
      <c r="M964" s="295">
        <f t="shared" si="957"/>
        <v>3.6610768423674792E-2</v>
      </c>
      <c r="N964" s="614">
        <f>I964*M964+I965*M965+I966*M966</f>
        <v>0.19178082191780801</v>
      </c>
    </row>
    <row r="965" spans="1:14" s="102" customFormat="1">
      <c r="A965" s="172" t="str">
        <f>A964</f>
        <v>PBS</v>
      </c>
      <c r="B965" s="149" t="str">
        <f>B964</f>
        <v>pellets</v>
      </c>
      <c r="C965" s="149">
        <f t="shared" si="920"/>
        <v>4</v>
      </c>
      <c r="D965" s="149" t="str">
        <f t="shared" ref="D965:F966" si="958">D964</f>
        <v>1-10</v>
      </c>
      <c r="E965" s="149">
        <f t="shared" si="958"/>
        <v>10</v>
      </c>
      <c r="F965" s="149" t="str">
        <f t="shared" si="958"/>
        <v>water</v>
      </c>
      <c r="G965" s="146" t="str">
        <f t="shared" si="932"/>
        <v>PBS pellets 1-10 mm (emission to water)</v>
      </c>
      <c r="H965" s="146"/>
      <c r="I965" s="129">
        <v>0</v>
      </c>
      <c r="J965" s="225" t="s">
        <v>1097</v>
      </c>
      <c r="K965" s="114">
        <f>K44</f>
        <v>13.035714285714299</v>
      </c>
      <c r="L965" s="226">
        <f t="shared" si="955"/>
        <v>191.78082191780803</v>
      </c>
      <c r="M965" s="295">
        <f t="shared" si="957"/>
        <v>0.19178082191780801</v>
      </c>
      <c r="N965" s="615"/>
    </row>
    <row r="966" spans="1:14" s="102" customFormat="1">
      <c r="A966" s="172" t="str">
        <f>A965</f>
        <v>PBS</v>
      </c>
      <c r="B966" s="149" t="str">
        <f>B965</f>
        <v>pellets</v>
      </c>
      <c r="C966" s="149">
        <f t="shared" ref="C966" si="959">IF(OR(B966="Folie", B966="Strips", B966="Film",B966="Flakes",B966="Coupon"), 2,IF(OR(B966="Fibers",B966="Pellets"),4,IF(OR(B966="Particles",B966="Shreds",B966="Powder",B966="Fragments",B966="Granules"),6,"")))</f>
        <v>4</v>
      </c>
      <c r="D966" s="149" t="str">
        <f t="shared" si="958"/>
        <v>1-10</v>
      </c>
      <c r="E966" s="149">
        <f t="shared" si="958"/>
        <v>10</v>
      </c>
      <c r="F966" s="149" t="str">
        <f t="shared" si="958"/>
        <v>water</v>
      </c>
      <c r="G966" s="146" t="str">
        <f t="shared" ref="G966" si="960">CONCATENATE(A966," ",B966," ",D966," mm (emission to ",F966,")")</f>
        <v>PBS pellets 1-10 mm (emission to water)</v>
      </c>
      <c r="H966" s="146"/>
      <c r="I966" s="129">
        <v>1</v>
      </c>
      <c r="J966" s="225" t="s">
        <v>1096</v>
      </c>
      <c r="K966" s="114">
        <f>K45</f>
        <v>13.035714285714299</v>
      </c>
      <c r="L966" s="226">
        <f t="shared" si="955"/>
        <v>191.78082191780803</v>
      </c>
      <c r="M966" s="295">
        <f t="shared" si="957"/>
        <v>0.19178082191780801</v>
      </c>
      <c r="N966" s="615"/>
    </row>
    <row r="967" spans="1:14" s="102" customFormat="1">
      <c r="A967" s="173" t="str">
        <f>A965</f>
        <v>PBS</v>
      </c>
      <c r="B967" s="150" t="str">
        <f>B965</f>
        <v>pellets</v>
      </c>
      <c r="C967" s="150">
        <f t="shared" si="920"/>
        <v>4</v>
      </c>
      <c r="D967" s="150" t="str">
        <f>D965</f>
        <v>1-10</v>
      </c>
      <c r="E967" s="150">
        <f>E965</f>
        <v>10</v>
      </c>
      <c r="F967" s="150" t="str">
        <f>F965</f>
        <v>water</v>
      </c>
      <c r="G967" s="147" t="str">
        <f t="shared" si="932"/>
        <v>PBS pellets 1-10 mm (emission to water)</v>
      </c>
      <c r="H967" s="147"/>
      <c r="I967" s="129">
        <v>0</v>
      </c>
      <c r="J967" s="225" t="s">
        <v>1034</v>
      </c>
      <c r="K967" s="114" t="s">
        <v>596</v>
      </c>
      <c r="L967" s="226">
        <f t="shared" si="955"/>
        <v>0</v>
      </c>
      <c r="M967" s="295">
        <f t="shared" si="957"/>
        <v>0</v>
      </c>
      <c r="N967" s="616"/>
    </row>
    <row r="968" spans="1:14" s="102" customFormat="1">
      <c r="A968" s="174" t="s">
        <v>42</v>
      </c>
      <c r="B968" s="287" t="s">
        <v>372</v>
      </c>
      <c r="C968" s="140">
        <f t="shared" ref="C968:C970" si="961">IF(OR(B968="Folie", B968="Strips", B968="Film",B968="Flakes",B968="Coupon"), 2,IF(OR(B968="Fibers",B968="Pellets"),4,IF(OR(B968="Particles",B968="Shreds",B968="Powder",B968="Fragments",B968="Granules"),6,"")))</f>
        <v>4</v>
      </c>
      <c r="D968" s="153" t="s">
        <v>1026</v>
      </c>
      <c r="E968" s="155">
        <v>10</v>
      </c>
      <c r="F968" s="154" t="s">
        <v>1057</v>
      </c>
      <c r="G968" s="134" t="str">
        <f t="shared" ref="G968:G970" si="962">CONCATENATE(A968," ",B968," ",D968," mm (emission to ",F968,")")</f>
        <v>PBS pellets 1-10 mm (emission to air)</v>
      </c>
      <c r="H968" s="148"/>
      <c r="I968" s="137">
        <v>0.97699999999999998</v>
      </c>
      <c r="J968" s="101" t="s">
        <v>1019</v>
      </c>
      <c r="K968" s="114">
        <f>K43</f>
        <v>68.285919898456569</v>
      </c>
      <c r="L968" s="226">
        <f t="shared" ref="L968:L970" si="963">IFERROR(IF(K968="--",0,IF(E968*1000/K968*(1-0.5)^(C968/2)&gt;1000,1000,E968*1000/K968*(1-0.5)^(C968/2))),1000)</f>
        <v>36.610768423674791</v>
      </c>
      <c r="M968" s="158">
        <f>IF(L968/1000&gt;1000,1000,L968/1000)</f>
        <v>3.6610768423674792E-2</v>
      </c>
      <c r="N968" s="610">
        <f>I968*M968+I969*M969</f>
        <v>4.0179679654039853E-2</v>
      </c>
    </row>
    <row r="969" spans="1:14" s="102" customFormat="1">
      <c r="A969" s="172" t="str">
        <f>A968</f>
        <v>PBS</v>
      </c>
      <c r="B969" s="149" t="str">
        <f>B968</f>
        <v>pellets</v>
      </c>
      <c r="C969" s="149">
        <f t="shared" si="961"/>
        <v>4</v>
      </c>
      <c r="D969" s="149" t="str">
        <f t="shared" ref="D969:F969" si="964">D968</f>
        <v>1-10</v>
      </c>
      <c r="E969" s="149">
        <f t="shared" si="964"/>
        <v>10</v>
      </c>
      <c r="F969" s="149" t="str">
        <f t="shared" si="964"/>
        <v>air</v>
      </c>
      <c r="G969" s="146" t="str">
        <f t="shared" si="962"/>
        <v>PBS pellets 1-10 mm (emission to air)</v>
      </c>
      <c r="H969" s="146"/>
      <c r="I969" s="129">
        <v>2.3E-2</v>
      </c>
      <c r="J969" s="101" t="s">
        <v>1097</v>
      </c>
      <c r="K969" s="114">
        <f>K44</f>
        <v>13.035714285714299</v>
      </c>
      <c r="L969" s="226">
        <f t="shared" si="963"/>
        <v>191.78082191780803</v>
      </c>
      <c r="M969" s="158">
        <f>IF(L969/1000&gt;1000,1000,L969/1000)</f>
        <v>0.19178082191780801</v>
      </c>
      <c r="N969" s="610"/>
    </row>
    <row r="970" spans="1:14" s="102" customFormat="1">
      <c r="A970" s="173" t="str">
        <f>A969</f>
        <v>PBS</v>
      </c>
      <c r="B970" s="150" t="str">
        <f>B969</f>
        <v>pellets</v>
      </c>
      <c r="C970" s="150">
        <f t="shared" si="961"/>
        <v>4</v>
      </c>
      <c r="D970" s="150" t="str">
        <f t="shared" ref="D970:F970" si="965">D969</f>
        <v>1-10</v>
      </c>
      <c r="E970" s="150">
        <f t="shared" si="965"/>
        <v>10</v>
      </c>
      <c r="F970" s="150" t="str">
        <f t="shared" si="965"/>
        <v>air</v>
      </c>
      <c r="G970" s="147" t="str">
        <f t="shared" si="962"/>
        <v>PBS pellets 1-10 mm (emission to air)</v>
      </c>
      <c r="H970" s="147">
        <f>H969</f>
        <v>0</v>
      </c>
      <c r="I970" s="129">
        <v>0</v>
      </c>
      <c r="J970" s="101" t="s">
        <v>1034</v>
      </c>
      <c r="K970" s="114" t="s">
        <v>596</v>
      </c>
      <c r="L970" s="226">
        <f t="shared" si="963"/>
        <v>0</v>
      </c>
      <c r="M970" s="158">
        <f t="shared" ref="M970" si="966">IF(L970/1000&gt;1000,1000,L970/1000)</f>
        <v>0</v>
      </c>
      <c r="N970" s="610"/>
    </row>
    <row r="971" spans="1:14" s="102" customFormat="1">
      <c r="A971" s="174" t="s">
        <v>42</v>
      </c>
      <c r="B971" s="186" t="s">
        <v>1025</v>
      </c>
      <c r="C971" s="188">
        <f t="shared" si="920"/>
        <v>6</v>
      </c>
      <c r="D971" s="188" t="s">
        <v>1018</v>
      </c>
      <c r="E971" s="155">
        <v>0.1</v>
      </c>
      <c r="F971" s="131" t="s">
        <v>1019</v>
      </c>
      <c r="G971" s="134" t="str">
        <f t="shared" si="932"/>
        <v>PBS particles 0,01-0,1 mm (emission to soil)</v>
      </c>
      <c r="H971" s="133"/>
      <c r="I971" s="129">
        <v>1</v>
      </c>
      <c r="J971" s="101" t="s">
        <v>1019</v>
      </c>
      <c r="K971" s="114">
        <f>K43</f>
        <v>68.285919898456569</v>
      </c>
      <c r="L971" s="226">
        <f t="shared" ref="L971:L987" si="967">IFERROR(IF(K971="--",0,IF(E971*1000/K971*(1-0.5)^(C971/2)&gt;1000,1000,E971*1000/K971*(1-0.5)^(C971/2))),1000)</f>
        <v>0.18305384211837397</v>
      </c>
      <c r="M971" s="158">
        <f>IF(L971/1000&gt;1000,1000,L971/1000)</f>
        <v>1.8305384211837397E-4</v>
      </c>
      <c r="N971" s="610">
        <f>I971*M971+I972*M972</f>
        <v>1.8305384211837397E-4</v>
      </c>
    </row>
    <row r="972" spans="1:14" s="102" customFormat="1">
      <c r="A972" s="172" t="str">
        <f>A971</f>
        <v>PBS</v>
      </c>
      <c r="B972" s="149" t="str">
        <f>B971</f>
        <v>particles</v>
      </c>
      <c r="C972" s="149">
        <f t="shared" si="920"/>
        <v>6</v>
      </c>
      <c r="D972" s="149" t="str">
        <f t="shared" ref="D972:F973" si="968">D971</f>
        <v>0,01-0,1</v>
      </c>
      <c r="E972" s="149">
        <f t="shared" si="968"/>
        <v>0.1</v>
      </c>
      <c r="F972" s="149" t="str">
        <f t="shared" si="968"/>
        <v>soil</v>
      </c>
      <c r="G972" s="146" t="str">
        <f t="shared" si="932"/>
        <v>PBS particles 0,01-0,1 mm (emission to soil)</v>
      </c>
      <c r="H972" s="146"/>
      <c r="I972" s="129">
        <v>0</v>
      </c>
      <c r="J972" s="101" t="s">
        <v>1097</v>
      </c>
      <c r="K972" s="114">
        <f>K44</f>
        <v>13.035714285714299</v>
      </c>
      <c r="L972" s="226">
        <f t="shared" si="967"/>
        <v>0.95890410958904015</v>
      </c>
      <c r="M972" s="158">
        <f>IF(L972/1000&gt;1000,1000,L972/1000)</f>
        <v>9.5890410958904011E-4</v>
      </c>
      <c r="N972" s="610"/>
    </row>
    <row r="973" spans="1:14" s="102" customFormat="1">
      <c r="A973" s="173" t="str">
        <f>A972</f>
        <v>PBS</v>
      </c>
      <c r="B973" s="150" t="str">
        <f>B972</f>
        <v>particles</v>
      </c>
      <c r="C973" s="150">
        <f t="shared" si="920"/>
        <v>6</v>
      </c>
      <c r="D973" s="150" t="str">
        <f t="shared" si="968"/>
        <v>0,01-0,1</v>
      </c>
      <c r="E973" s="150">
        <f t="shared" si="968"/>
        <v>0.1</v>
      </c>
      <c r="F973" s="150" t="str">
        <f t="shared" si="968"/>
        <v>soil</v>
      </c>
      <c r="G973" s="147" t="str">
        <f t="shared" si="932"/>
        <v>PBS particles 0,01-0,1 mm (emission to soil)</v>
      </c>
      <c r="H973" s="147"/>
      <c r="I973" s="129">
        <v>0</v>
      </c>
      <c r="J973" s="101" t="s">
        <v>1034</v>
      </c>
      <c r="K973" s="114" t="s">
        <v>596</v>
      </c>
      <c r="L973" s="226">
        <f t="shared" si="967"/>
        <v>0</v>
      </c>
      <c r="M973" s="158">
        <f t="shared" ref="M973:M977" si="969">IF(L973/1000&gt;1000,1000,L973/1000)</f>
        <v>0</v>
      </c>
      <c r="N973" s="610"/>
    </row>
    <row r="974" spans="1:14" s="102" customFormat="1">
      <c r="A974" s="174" t="s">
        <v>42</v>
      </c>
      <c r="B974" s="288" t="s">
        <v>1025</v>
      </c>
      <c r="C974" s="290">
        <f t="shared" si="920"/>
        <v>6</v>
      </c>
      <c r="D974" s="290" t="s">
        <v>1018</v>
      </c>
      <c r="E974" s="155">
        <v>0.1</v>
      </c>
      <c r="F974" s="206" t="s">
        <v>1020</v>
      </c>
      <c r="G974" s="144" t="str">
        <f t="shared" si="932"/>
        <v>PBS particles 0,01-0,1 mm (emission to water)</v>
      </c>
      <c r="H974" s="133"/>
      <c r="I974" s="129">
        <v>0</v>
      </c>
      <c r="J974" s="225" t="s">
        <v>1019</v>
      </c>
      <c r="K974" s="114">
        <f>K43</f>
        <v>68.285919898456569</v>
      </c>
      <c r="L974" s="226">
        <f t="shared" si="967"/>
        <v>0.18305384211837397</v>
      </c>
      <c r="M974" s="295">
        <f t="shared" si="969"/>
        <v>1.8305384211837397E-4</v>
      </c>
      <c r="N974" s="614">
        <f>I974*M974+I975*M975+I976*M976</f>
        <v>9.5890410958904011E-4</v>
      </c>
    </row>
    <row r="975" spans="1:14" s="102" customFormat="1">
      <c r="A975" s="172" t="str">
        <f>A974</f>
        <v>PBS</v>
      </c>
      <c r="B975" s="149" t="str">
        <f>B974</f>
        <v>particles</v>
      </c>
      <c r="C975" s="149">
        <f t="shared" si="920"/>
        <v>6</v>
      </c>
      <c r="D975" s="149" t="str">
        <f t="shared" ref="D975:F976" si="970">D974</f>
        <v>0,01-0,1</v>
      </c>
      <c r="E975" s="149">
        <f t="shared" si="970"/>
        <v>0.1</v>
      </c>
      <c r="F975" s="149" t="str">
        <f t="shared" si="970"/>
        <v>water</v>
      </c>
      <c r="G975" s="146" t="str">
        <f t="shared" si="932"/>
        <v>PBS particles 0,01-0,1 mm (emission to water)</v>
      </c>
      <c r="H975" s="146"/>
      <c r="I975" s="129">
        <v>0</v>
      </c>
      <c r="J975" s="225" t="s">
        <v>1097</v>
      </c>
      <c r="K975" s="114">
        <f>K44</f>
        <v>13.035714285714299</v>
      </c>
      <c r="L975" s="226">
        <f t="shared" si="967"/>
        <v>0.95890410958904015</v>
      </c>
      <c r="M975" s="295">
        <f t="shared" si="969"/>
        <v>9.5890410958904011E-4</v>
      </c>
      <c r="N975" s="615"/>
    </row>
    <row r="976" spans="1:14" s="102" customFormat="1">
      <c r="A976" s="172" t="str">
        <f>A975</f>
        <v>PBS</v>
      </c>
      <c r="B976" s="149" t="str">
        <f>B975</f>
        <v>particles</v>
      </c>
      <c r="C976" s="149">
        <f t="shared" ref="C976" si="971">IF(OR(B976="Folie", B976="Strips", B976="Film",B976="Flakes",B976="Coupon"), 2,IF(OR(B976="Fibers",B976="Pellets"),4,IF(OR(B976="Particles",B976="Shreds",B976="Powder",B976="Fragments",B976="Granules"),6,"")))</f>
        <v>6</v>
      </c>
      <c r="D976" s="149" t="str">
        <f t="shared" si="970"/>
        <v>0,01-0,1</v>
      </c>
      <c r="E976" s="149">
        <f t="shared" si="970"/>
        <v>0.1</v>
      </c>
      <c r="F976" s="149" t="str">
        <f t="shared" si="970"/>
        <v>water</v>
      </c>
      <c r="G976" s="146" t="str">
        <f t="shared" ref="G976" si="972">CONCATENATE(A976," ",B976," ",D976," mm (emission to ",F976,")")</f>
        <v>PBS particles 0,01-0,1 mm (emission to water)</v>
      </c>
      <c r="H976" s="146"/>
      <c r="I976" s="129">
        <v>1</v>
      </c>
      <c r="J976" s="225" t="s">
        <v>1096</v>
      </c>
      <c r="K976" s="114">
        <f>K45</f>
        <v>13.035714285714299</v>
      </c>
      <c r="L976" s="226">
        <f t="shared" si="967"/>
        <v>0.95890410958904015</v>
      </c>
      <c r="M976" s="295">
        <f t="shared" si="969"/>
        <v>9.5890410958904011E-4</v>
      </c>
      <c r="N976" s="615"/>
    </row>
    <row r="977" spans="1:14" s="102" customFormat="1">
      <c r="A977" s="173" t="str">
        <f>A975</f>
        <v>PBS</v>
      </c>
      <c r="B977" s="150" t="str">
        <f>B975</f>
        <v>particles</v>
      </c>
      <c r="C977" s="150">
        <f t="shared" si="920"/>
        <v>6</v>
      </c>
      <c r="D977" s="150" t="str">
        <f>D975</f>
        <v>0,01-0,1</v>
      </c>
      <c r="E977" s="150">
        <f>E975</f>
        <v>0.1</v>
      </c>
      <c r="F977" s="150" t="str">
        <f>F975</f>
        <v>water</v>
      </c>
      <c r="G977" s="147" t="str">
        <f t="shared" si="932"/>
        <v>PBS particles 0,01-0,1 mm (emission to water)</v>
      </c>
      <c r="H977" s="147"/>
      <c r="I977" s="129">
        <v>0</v>
      </c>
      <c r="J977" s="225" t="s">
        <v>1034</v>
      </c>
      <c r="K977" s="114" t="s">
        <v>596</v>
      </c>
      <c r="L977" s="226">
        <f t="shared" si="967"/>
        <v>0</v>
      </c>
      <c r="M977" s="295">
        <f t="shared" si="969"/>
        <v>0</v>
      </c>
      <c r="N977" s="616"/>
    </row>
    <row r="978" spans="1:14" s="191" customFormat="1">
      <c r="A978" s="174" t="s">
        <v>42</v>
      </c>
      <c r="B978" s="288" t="s">
        <v>1025</v>
      </c>
      <c r="C978" s="290">
        <f t="shared" ref="C978:C980" si="973">IF(OR(B978="Folie", B978="Strips", B978="Film",B978="Flakes",B978="Coupon"), 2,IF(OR(B978="Fibers",B978="Pellets"),4,IF(OR(B978="Particles",B978="Shreds",B978="Powder",B978="Fragments",B978="Granules"),6,"")))</f>
        <v>6</v>
      </c>
      <c r="D978" s="290" t="s">
        <v>1018</v>
      </c>
      <c r="E978" s="155">
        <v>0.1</v>
      </c>
      <c r="F978" s="131" t="s">
        <v>1057</v>
      </c>
      <c r="G978" s="134" t="str">
        <f t="shared" ref="G978:G980" si="974">CONCATENATE(A978," ",B978," ",D978," mm (emission to ",F978,")")</f>
        <v>PBS particles 0,01-0,1 mm (emission to air)</v>
      </c>
      <c r="H978" s="133"/>
      <c r="I978" s="137">
        <v>0.97699999999999998</v>
      </c>
      <c r="J978" s="101" t="s">
        <v>1019</v>
      </c>
      <c r="K978" s="114">
        <f>K43</f>
        <v>68.285919898456569</v>
      </c>
      <c r="L978" s="226">
        <f t="shared" si="967"/>
        <v>0.18305384211837397</v>
      </c>
      <c r="M978" s="158">
        <f>IF(L978/1000&gt;1000,1000,L978/1000)</f>
        <v>1.8305384211837397E-4</v>
      </c>
      <c r="N978" s="610">
        <f>I978*M978+I979*M979</f>
        <v>2.0089839827019929E-4</v>
      </c>
    </row>
    <row r="979" spans="1:14" s="191" customFormat="1">
      <c r="A979" s="172" t="str">
        <f>A978</f>
        <v>PBS</v>
      </c>
      <c r="B979" s="149" t="str">
        <f>B978</f>
        <v>particles</v>
      </c>
      <c r="C979" s="149">
        <f t="shared" si="973"/>
        <v>6</v>
      </c>
      <c r="D979" s="149" t="str">
        <f t="shared" ref="D979:F979" si="975">D978</f>
        <v>0,01-0,1</v>
      </c>
      <c r="E979" s="149">
        <f t="shared" si="975"/>
        <v>0.1</v>
      </c>
      <c r="F979" s="149" t="str">
        <f t="shared" si="975"/>
        <v>air</v>
      </c>
      <c r="G979" s="146" t="str">
        <f t="shared" si="974"/>
        <v>PBS particles 0,01-0,1 mm (emission to air)</v>
      </c>
      <c r="H979" s="146"/>
      <c r="I979" s="129">
        <v>2.3E-2</v>
      </c>
      <c r="J979" s="101" t="s">
        <v>1097</v>
      </c>
      <c r="K979" s="114">
        <f>K44</f>
        <v>13.035714285714299</v>
      </c>
      <c r="L979" s="226">
        <f t="shared" si="967"/>
        <v>0.95890410958904015</v>
      </c>
      <c r="M979" s="158">
        <f>IF(L979/1000&gt;1000,1000,L979/1000)</f>
        <v>9.5890410958904011E-4</v>
      </c>
      <c r="N979" s="610"/>
    </row>
    <row r="980" spans="1:14" s="191" customFormat="1">
      <c r="A980" s="173" t="str">
        <f>A979</f>
        <v>PBS</v>
      </c>
      <c r="B980" s="150" t="str">
        <f>B979</f>
        <v>particles</v>
      </c>
      <c r="C980" s="150">
        <f t="shared" si="973"/>
        <v>6</v>
      </c>
      <c r="D980" s="150" t="str">
        <f t="shared" ref="D980:F980" si="976">D979</f>
        <v>0,01-0,1</v>
      </c>
      <c r="E980" s="150">
        <f t="shared" si="976"/>
        <v>0.1</v>
      </c>
      <c r="F980" s="150" t="str">
        <f t="shared" si="976"/>
        <v>air</v>
      </c>
      <c r="G980" s="147" t="str">
        <f t="shared" si="974"/>
        <v>PBS particles 0,01-0,1 mm (emission to air)</v>
      </c>
      <c r="H980" s="147"/>
      <c r="I980" s="129">
        <v>0</v>
      </c>
      <c r="J980" s="101" t="s">
        <v>1034</v>
      </c>
      <c r="K980" s="114" t="s">
        <v>596</v>
      </c>
      <c r="L980" s="226">
        <f t="shared" si="967"/>
        <v>0</v>
      </c>
      <c r="M980" s="158">
        <f t="shared" ref="M980" si="977">IF(L980/1000&gt;1000,1000,L980/1000)</f>
        <v>0</v>
      </c>
      <c r="N980" s="610"/>
    </row>
    <row r="981" spans="1:14" s="102" customFormat="1">
      <c r="A981" s="174" t="s">
        <v>42</v>
      </c>
      <c r="B981" s="186" t="s">
        <v>1025</v>
      </c>
      <c r="C981" s="188">
        <f t="shared" si="920"/>
        <v>6</v>
      </c>
      <c r="D981" s="188" t="s">
        <v>1028</v>
      </c>
      <c r="E981" s="155">
        <v>1</v>
      </c>
      <c r="F981" s="131" t="s">
        <v>1019</v>
      </c>
      <c r="G981" s="134" t="str">
        <f t="shared" si="932"/>
        <v>PBS particles 0,1-1 mm (emission to soil)</v>
      </c>
      <c r="H981" s="133"/>
      <c r="I981" s="129">
        <v>1</v>
      </c>
      <c r="J981" s="101" t="s">
        <v>1019</v>
      </c>
      <c r="K981" s="114">
        <f>K43</f>
        <v>68.285919898456569</v>
      </c>
      <c r="L981" s="226">
        <f t="shared" si="967"/>
        <v>1.8305384211837397</v>
      </c>
      <c r="M981" s="158">
        <f>IF(L981/1000&gt;1000,1000,L981/1000)</f>
        <v>1.8305384211837396E-3</v>
      </c>
      <c r="N981" s="610">
        <f>I981*M981+I982*M982</f>
        <v>1.8305384211837396E-3</v>
      </c>
    </row>
    <row r="982" spans="1:14" s="102" customFormat="1">
      <c r="A982" s="172" t="str">
        <f>A981</f>
        <v>PBS</v>
      </c>
      <c r="B982" s="149" t="str">
        <f>B981</f>
        <v>particles</v>
      </c>
      <c r="C982" s="149">
        <f t="shared" si="920"/>
        <v>6</v>
      </c>
      <c r="D982" s="149" t="str">
        <f t="shared" ref="D982:F983" si="978">D981</f>
        <v>0,1-1</v>
      </c>
      <c r="E982" s="149">
        <f t="shared" si="978"/>
        <v>1</v>
      </c>
      <c r="F982" s="149" t="str">
        <f t="shared" si="978"/>
        <v>soil</v>
      </c>
      <c r="G982" s="146" t="str">
        <f t="shared" si="932"/>
        <v>PBS particles 0,1-1 mm (emission to soil)</v>
      </c>
      <c r="H982" s="146"/>
      <c r="I982" s="129">
        <v>0</v>
      </c>
      <c r="J982" s="101" t="s">
        <v>1097</v>
      </c>
      <c r="K982" s="114">
        <f>K44</f>
        <v>13.035714285714299</v>
      </c>
      <c r="L982" s="226">
        <f t="shared" si="967"/>
        <v>9.5890410958904013</v>
      </c>
      <c r="M982" s="158">
        <f>IF(L982/1000&gt;1000,1000,L982/1000)</f>
        <v>9.5890410958904011E-3</v>
      </c>
      <c r="N982" s="610"/>
    </row>
    <row r="983" spans="1:14" s="102" customFormat="1">
      <c r="A983" s="173" t="str">
        <f>A982</f>
        <v>PBS</v>
      </c>
      <c r="B983" s="150" t="str">
        <f>B982</f>
        <v>particles</v>
      </c>
      <c r="C983" s="150">
        <f t="shared" si="920"/>
        <v>6</v>
      </c>
      <c r="D983" s="150" t="str">
        <f t="shared" si="978"/>
        <v>0,1-1</v>
      </c>
      <c r="E983" s="150">
        <f t="shared" si="978"/>
        <v>1</v>
      </c>
      <c r="F983" s="150" t="str">
        <f t="shared" si="978"/>
        <v>soil</v>
      </c>
      <c r="G983" s="147" t="str">
        <f t="shared" si="932"/>
        <v>PBS particles 0,1-1 mm (emission to soil)</v>
      </c>
      <c r="H983" s="147"/>
      <c r="I983" s="129">
        <v>0</v>
      </c>
      <c r="J983" s="101" t="s">
        <v>1034</v>
      </c>
      <c r="K983" s="151" t="s">
        <v>596</v>
      </c>
      <c r="L983" s="226">
        <f t="shared" si="967"/>
        <v>0</v>
      </c>
      <c r="M983" s="158">
        <f t="shared" ref="M983:M987" si="979">IF(L983/1000&gt;1000,1000,L983/1000)</f>
        <v>0</v>
      </c>
      <c r="N983" s="610"/>
    </row>
    <row r="984" spans="1:14" s="102" customFormat="1">
      <c r="A984" s="174" t="s">
        <v>42</v>
      </c>
      <c r="B984" s="288" t="s">
        <v>1025</v>
      </c>
      <c r="C984" s="290">
        <f t="shared" si="920"/>
        <v>6</v>
      </c>
      <c r="D984" s="290" t="s">
        <v>1028</v>
      </c>
      <c r="E984" s="290">
        <v>1</v>
      </c>
      <c r="F984" s="206" t="s">
        <v>1020</v>
      </c>
      <c r="G984" s="144" t="str">
        <f t="shared" si="932"/>
        <v>PBS particles 0,1-1 mm (emission to water)</v>
      </c>
      <c r="H984" s="133"/>
      <c r="I984" s="129">
        <v>0</v>
      </c>
      <c r="J984" s="225" t="s">
        <v>1019</v>
      </c>
      <c r="K984" s="114">
        <f>K43</f>
        <v>68.285919898456569</v>
      </c>
      <c r="L984" s="226">
        <f t="shared" si="967"/>
        <v>1.8305384211837397</v>
      </c>
      <c r="M984" s="295">
        <f t="shared" si="979"/>
        <v>1.8305384211837396E-3</v>
      </c>
      <c r="N984" s="614">
        <f>I984*M984+I985*M985+I986*M986</f>
        <v>9.5890410958904011E-3</v>
      </c>
    </row>
    <row r="985" spans="1:14" s="102" customFormat="1">
      <c r="A985" s="172" t="str">
        <f>A984</f>
        <v>PBS</v>
      </c>
      <c r="B985" s="149" t="str">
        <f>B984</f>
        <v>particles</v>
      </c>
      <c r="C985" s="149">
        <f t="shared" si="920"/>
        <v>6</v>
      </c>
      <c r="D985" s="149" t="str">
        <f t="shared" ref="D985:F986" si="980">D984</f>
        <v>0,1-1</v>
      </c>
      <c r="E985" s="149">
        <f t="shared" si="980"/>
        <v>1</v>
      </c>
      <c r="F985" s="149" t="str">
        <f t="shared" si="980"/>
        <v>water</v>
      </c>
      <c r="G985" s="146" t="str">
        <f t="shared" si="932"/>
        <v>PBS particles 0,1-1 mm (emission to water)</v>
      </c>
      <c r="H985" s="146"/>
      <c r="I985" s="129">
        <v>0</v>
      </c>
      <c r="J985" s="225" t="s">
        <v>1097</v>
      </c>
      <c r="K985" s="114">
        <f>K44</f>
        <v>13.035714285714299</v>
      </c>
      <c r="L985" s="226">
        <f t="shared" si="967"/>
        <v>9.5890410958904013</v>
      </c>
      <c r="M985" s="295">
        <f t="shared" si="979"/>
        <v>9.5890410958904011E-3</v>
      </c>
      <c r="N985" s="615"/>
    </row>
    <row r="986" spans="1:14" s="102" customFormat="1">
      <c r="A986" s="172" t="str">
        <f>A985</f>
        <v>PBS</v>
      </c>
      <c r="B986" s="149" t="str">
        <f>B985</f>
        <v>particles</v>
      </c>
      <c r="C986" s="149">
        <f t="shared" ref="C986" si="981">IF(OR(B986="Folie", B986="Strips", B986="Film",B986="Flakes",B986="Coupon"), 2,IF(OR(B986="Fibers",B986="Pellets"),4,IF(OR(B986="Particles",B986="Shreds",B986="Powder",B986="Fragments",B986="Granules"),6,"")))</f>
        <v>6</v>
      </c>
      <c r="D986" s="149" t="str">
        <f t="shared" si="980"/>
        <v>0,1-1</v>
      </c>
      <c r="E986" s="149">
        <f t="shared" si="980"/>
        <v>1</v>
      </c>
      <c r="F986" s="149" t="str">
        <f t="shared" si="980"/>
        <v>water</v>
      </c>
      <c r="G986" s="146" t="str">
        <f t="shared" ref="G986" si="982">CONCATENATE(A986," ",B986," ",D986," mm (emission to ",F986,")")</f>
        <v>PBS particles 0,1-1 mm (emission to water)</v>
      </c>
      <c r="H986" s="146"/>
      <c r="I986" s="129">
        <v>1</v>
      </c>
      <c r="J986" s="225" t="s">
        <v>1096</v>
      </c>
      <c r="K986" s="114">
        <f>K45</f>
        <v>13.035714285714299</v>
      </c>
      <c r="L986" s="226">
        <f t="shared" si="967"/>
        <v>9.5890410958904013</v>
      </c>
      <c r="M986" s="295">
        <f t="shared" si="979"/>
        <v>9.5890410958904011E-3</v>
      </c>
      <c r="N986" s="615"/>
    </row>
    <row r="987" spans="1:14" s="102" customFormat="1">
      <c r="A987" s="173" t="str">
        <f>A985</f>
        <v>PBS</v>
      </c>
      <c r="B987" s="150" t="str">
        <f>B985</f>
        <v>particles</v>
      </c>
      <c r="C987" s="150">
        <f t="shared" si="920"/>
        <v>6</v>
      </c>
      <c r="D987" s="150" t="str">
        <f>D985</f>
        <v>0,1-1</v>
      </c>
      <c r="E987" s="150">
        <f>E985</f>
        <v>1</v>
      </c>
      <c r="F987" s="150" t="str">
        <f>F985</f>
        <v>water</v>
      </c>
      <c r="G987" s="147" t="str">
        <f t="shared" si="932"/>
        <v>PBS particles 0,1-1 mm (emission to water)</v>
      </c>
      <c r="H987" s="147"/>
      <c r="I987" s="129">
        <v>0</v>
      </c>
      <c r="J987" s="225" t="s">
        <v>1034</v>
      </c>
      <c r="K987" s="151" t="s">
        <v>596</v>
      </c>
      <c r="L987" s="226">
        <f t="shared" si="967"/>
        <v>0</v>
      </c>
      <c r="M987" s="295">
        <f t="shared" si="979"/>
        <v>0</v>
      </c>
      <c r="N987" s="616"/>
    </row>
    <row r="988" spans="1:14" s="191" customFormat="1">
      <c r="A988" s="174" t="s">
        <v>42</v>
      </c>
      <c r="B988" s="288" t="s">
        <v>1025</v>
      </c>
      <c r="C988" s="290">
        <f t="shared" ref="C988:C990" si="983">IF(OR(B988="Folie", B988="Strips", B988="Film",B988="Flakes",B988="Coupon"), 2,IF(OR(B988="Fibers",B988="Pellets"),4,IF(OR(B988="Particles",B988="Shreds",B988="Powder",B988="Fragments",B988="Granules"),6,"")))</f>
        <v>6</v>
      </c>
      <c r="D988" s="290" t="s">
        <v>1028</v>
      </c>
      <c r="E988" s="155">
        <v>1</v>
      </c>
      <c r="F988" s="131" t="s">
        <v>1057</v>
      </c>
      <c r="G988" s="134" t="str">
        <f t="shared" ref="G988:G990" si="984">CONCATENATE(A988," ",B988," ",D988," mm (emission to ",F988,")")</f>
        <v>PBS particles 0,1-1 mm (emission to air)</v>
      </c>
      <c r="H988" s="133"/>
      <c r="I988" s="137">
        <v>0.97699999999999998</v>
      </c>
      <c r="J988" s="101" t="s">
        <v>1019</v>
      </c>
      <c r="K988" s="114">
        <f>K43</f>
        <v>68.285919898456569</v>
      </c>
      <c r="L988" s="226">
        <f t="shared" ref="L988:L990" si="985">IFERROR(IF(K988="--",0,IF(E988*1000/K988*(1-0.5)^(C988/2)&gt;1000,1000,E988*1000/K988*(1-0.5)^(C988/2))),1000)</f>
        <v>1.8305384211837397</v>
      </c>
      <c r="M988" s="158">
        <f>IF(L988/1000&gt;1000,1000,L988/1000)</f>
        <v>1.8305384211837396E-3</v>
      </c>
      <c r="N988" s="610">
        <f>I988*M988+I989*M989</f>
        <v>2.0089839827019929E-3</v>
      </c>
    </row>
    <row r="989" spans="1:14" s="191" customFormat="1">
      <c r="A989" s="172" t="str">
        <f>A988</f>
        <v>PBS</v>
      </c>
      <c r="B989" s="149" t="str">
        <f>B988</f>
        <v>particles</v>
      </c>
      <c r="C989" s="149">
        <f t="shared" si="983"/>
        <v>6</v>
      </c>
      <c r="D989" s="149" t="str">
        <f t="shared" ref="D989:F989" si="986">D988</f>
        <v>0,1-1</v>
      </c>
      <c r="E989" s="149">
        <f t="shared" si="986"/>
        <v>1</v>
      </c>
      <c r="F989" s="149" t="str">
        <f t="shared" si="986"/>
        <v>air</v>
      </c>
      <c r="G989" s="146" t="str">
        <f t="shared" si="984"/>
        <v>PBS particles 0,1-1 mm (emission to air)</v>
      </c>
      <c r="H989" s="146"/>
      <c r="I989" s="129">
        <v>2.3E-2</v>
      </c>
      <c r="J989" s="101" t="s">
        <v>1097</v>
      </c>
      <c r="K989" s="114">
        <f>K44</f>
        <v>13.035714285714299</v>
      </c>
      <c r="L989" s="226">
        <f t="shared" si="985"/>
        <v>9.5890410958904013</v>
      </c>
      <c r="M989" s="158">
        <f>IF(L989/1000&gt;1000,1000,L989/1000)</f>
        <v>9.5890410958904011E-3</v>
      </c>
      <c r="N989" s="610"/>
    </row>
    <row r="990" spans="1:14" s="191" customFormat="1">
      <c r="A990" s="173" t="str">
        <f>A989</f>
        <v>PBS</v>
      </c>
      <c r="B990" s="150" t="str">
        <f>B989</f>
        <v>particles</v>
      </c>
      <c r="C990" s="150">
        <f t="shared" si="983"/>
        <v>6</v>
      </c>
      <c r="D990" s="150" t="str">
        <f t="shared" ref="D990:F990" si="987">D989</f>
        <v>0,1-1</v>
      </c>
      <c r="E990" s="150">
        <f t="shared" si="987"/>
        <v>1</v>
      </c>
      <c r="F990" s="150" t="str">
        <f t="shared" si="987"/>
        <v>air</v>
      </c>
      <c r="G990" s="147" t="str">
        <f t="shared" si="984"/>
        <v>PBS particles 0,1-1 mm (emission to air)</v>
      </c>
      <c r="H990" s="147"/>
      <c r="I990" s="129">
        <v>0</v>
      </c>
      <c r="J990" s="101" t="s">
        <v>1034</v>
      </c>
      <c r="K990" s="151" t="s">
        <v>596</v>
      </c>
      <c r="L990" s="226">
        <f t="shared" si="985"/>
        <v>0</v>
      </c>
      <c r="M990" s="158">
        <f t="shared" ref="M990" si="988">IF(L990/1000&gt;1000,1000,L990/1000)</f>
        <v>0</v>
      </c>
      <c r="N990" s="610"/>
    </row>
    <row r="991" spans="1:14" s="102" customFormat="1">
      <c r="A991" s="174" t="s">
        <v>42</v>
      </c>
      <c r="B991" s="186" t="s">
        <v>1025</v>
      </c>
      <c r="C991" s="188">
        <f t="shared" si="920"/>
        <v>6</v>
      </c>
      <c r="D991" s="188" t="s">
        <v>1026</v>
      </c>
      <c r="E991" s="155">
        <v>10</v>
      </c>
      <c r="F991" s="131" t="s">
        <v>1019</v>
      </c>
      <c r="G991" s="134" t="str">
        <f t="shared" si="932"/>
        <v>PBS particles 1-10 mm (emission to soil)</v>
      </c>
      <c r="H991" s="133"/>
      <c r="I991" s="129">
        <v>1</v>
      </c>
      <c r="J991" s="101" t="s">
        <v>1019</v>
      </c>
      <c r="K991" s="114">
        <f>K43</f>
        <v>68.285919898456569</v>
      </c>
      <c r="L991" s="226">
        <f t="shared" ref="L991:L997" si="989">IFERROR(IF(K991="--",0,IF(E991*1000/K991*(1-0.5)^(C991/2)&gt;1000,1000,E991*1000/K991*(1-0.5)^(C991/2))),1000)</f>
        <v>18.305384211837396</v>
      </c>
      <c r="M991" s="158">
        <f>IF(L991/1000&gt;1000,1000,L991/1000)</f>
        <v>1.8305384211837396E-2</v>
      </c>
      <c r="N991" s="610">
        <f>I991*M991+I992*M992</f>
        <v>1.8305384211837396E-2</v>
      </c>
    </row>
    <row r="992" spans="1:14" s="102" customFormat="1">
      <c r="A992" s="172" t="str">
        <f>A991</f>
        <v>PBS</v>
      </c>
      <c r="B992" s="149" t="str">
        <f>B991</f>
        <v>particles</v>
      </c>
      <c r="C992" s="149">
        <f t="shared" si="920"/>
        <v>6</v>
      </c>
      <c r="D992" s="149" t="str">
        <f t="shared" ref="D992:F993" si="990">D991</f>
        <v>1-10</v>
      </c>
      <c r="E992" s="149">
        <f t="shared" si="990"/>
        <v>10</v>
      </c>
      <c r="F992" s="149" t="str">
        <f t="shared" si="990"/>
        <v>soil</v>
      </c>
      <c r="G992" s="146" t="str">
        <f t="shared" si="932"/>
        <v>PBS particles 1-10 mm (emission to soil)</v>
      </c>
      <c r="H992" s="146"/>
      <c r="I992" s="129">
        <v>0</v>
      </c>
      <c r="J992" s="101" t="s">
        <v>1097</v>
      </c>
      <c r="K992" s="114">
        <f>K44</f>
        <v>13.035714285714299</v>
      </c>
      <c r="L992" s="226">
        <f t="shared" si="989"/>
        <v>95.890410958904013</v>
      </c>
      <c r="M992" s="158">
        <f>IF(L992/1000&gt;1000,1000,L992/1000)</f>
        <v>9.5890410958904007E-2</v>
      </c>
      <c r="N992" s="610"/>
    </row>
    <row r="993" spans="1:14" s="102" customFormat="1">
      <c r="A993" s="173" t="str">
        <f>A992</f>
        <v>PBS</v>
      </c>
      <c r="B993" s="150" t="str">
        <f>B992</f>
        <v>particles</v>
      </c>
      <c r="C993" s="150">
        <f t="shared" si="920"/>
        <v>6</v>
      </c>
      <c r="D993" s="150" t="str">
        <f t="shared" si="990"/>
        <v>1-10</v>
      </c>
      <c r="E993" s="150">
        <f t="shared" si="990"/>
        <v>10</v>
      </c>
      <c r="F993" s="150" t="str">
        <f t="shared" si="990"/>
        <v>soil</v>
      </c>
      <c r="G993" s="147" t="str">
        <f t="shared" si="932"/>
        <v>PBS particles 1-10 mm (emission to soil)</v>
      </c>
      <c r="H993" s="147"/>
      <c r="I993" s="129">
        <v>0</v>
      </c>
      <c r="J993" s="101" t="s">
        <v>1034</v>
      </c>
      <c r="K993" s="151" t="s">
        <v>596</v>
      </c>
      <c r="L993" s="226">
        <f t="shared" si="989"/>
        <v>0</v>
      </c>
      <c r="M993" s="158">
        <f t="shared" ref="M993:M997" si="991">IF(L993/1000&gt;1000,1000,L993/1000)</f>
        <v>0</v>
      </c>
      <c r="N993" s="610"/>
    </row>
    <row r="994" spans="1:14" s="102" customFormat="1">
      <c r="A994" s="174" t="s">
        <v>42</v>
      </c>
      <c r="B994" s="288" t="s">
        <v>1025</v>
      </c>
      <c r="C994" s="290">
        <f t="shared" si="920"/>
        <v>6</v>
      </c>
      <c r="D994" s="290" t="s">
        <v>1026</v>
      </c>
      <c r="E994" s="288">
        <v>10</v>
      </c>
      <c r="F994" s="206" t="s">
        <v>1020</v>
      </c>
      <c r="G994" s="144" t="str">
        <f t="shared" si="932"/>
        <v>PBS particles 1-10 mm (emission to water)</v>
      </c>
      <c r="H994" s="133"/>
      <c r="I994" s="129">
        <v>0</v>
      </c>
      <c r="J994" s="225" t="s">
        <v>1019</v>
      </c>
      <c r="K994" s="114">
        <f>K43</f>
        <v>68.285919898456569</v>
      </c>
      <c r="L994" s="226">
        <f t="shared" si="989"/>
        <v>18.305384211837396</v>
      </c>
      <c r="M994" s="295">
        <f t="shared" si="991"/>
        <v>1.8305384211837396E-2</v>
      </c>
      <c r="N994" s="614">
        <f>I994*M994+I995*M995+I996*M996</f>
        <v>9.5890410958904007E-2</v>
      </c>
    </row>
    <row r="995" spans="1:14" s="102" customFormat="1">
      <c r="A995" s="172" t="str">
        <f>A994</f>
        <v>PBS</v>
      </c>
      <c r="B995" s="149" t="str">
        <f>B994</f>
        <v>particles</v>
      </c>
      <c r="C995" s="149">
        <f t="shared" si="920"/>
        <v>6</v>
      </c>
      <c r="D995" s="149" t="str">
        <f t="shared" ref="D995:F996" si="992">D994</f>
        <v>1-10</v>
      </c>
      <c r="E995" s="149">
        <f t="shared" si="992"/>
        <v>10</v>
      </c>
      <c r="F995" s="149" t="str">
        <f t="shared" si="992"/>
        <v>water</v>
      </c>
      <c r="G995" s="146" t="str">
        <f t="shared" ref="G995:G1007" si="993">CONCATENATE(A995," ",B995," ",D995," mm (emission to ",F995,")")</f>
        <v>PBS particles 1-10 mm (emission to water)</v>
      </c>
      <c r="H995" s="146"/>
      <c r="I995" s="129">
        <v>0</v>
      </c>
      <c r="J995" s="225" t="s">
        <v>1097</v>
      </c>
      <c r="K995" s="114">
        <f>K44</f>
        <v>13.035714285714299</v>
      </c>
      <c r="L995" s="226">
        <f t="shared" si="989"/>
        <v>95.890410958904013</v>
      </c>
      <c r="M995" s="295">
        <f t="shared" si="991"/>
        <v>9.5890410958904007E-2</v>
      </c>
      <c r="N995" s="615"/>
    </row>
    <row r="996" spans="1:14" s="102" customFormat="1">
      <c r="A996" s="172" t="str">
        <f>A995</f>
        <v>PBS</v>
      </c>
      <c r="B996" s="149" t="str">
        <f>B995</f>
        <v>particles</v>
      </c>
      <c r="C996" s="149">
        <f t="shared" ref="C996" si="994">IF(OR(B996="Folie", B996="Strips", B996="Film",B996="Flakes",B996="Coupon"), 2,IF(OR(B996="Fibers",B996="Pellets"),4,IF(OR(B996="Particles",B996="Shreds",B996="Powder",B996="Fragments",B996="Granules"),6,"")))</f>
        <v>6</v>
      </c>
      <c r="D996" s="149" t="str">
        <f t="shared" si="992"/>
        <v>1-10</v>
      </c>
      <c r="E996" s="149">
        <f t="shared" si="992"/>
        <v>10</v>
      </c>
      <c r="F996" s="149" t="str">
        <f t="shared" si="992"/>
        <v>water</v>
      </c>
      <c r="G996" s="146" t="str">
        <f t="shared" ref="G996" si="995">CONCATENATE(A996," ",B996," ",D996," mm (emission to ",F996,")")</f>
        <v>PBS particles 1-10 mm (emission to water)</v>
      </c>
      <c r="H996" s="146"/>
      <c r="I996" s="129">
        <v>1</v>
      </c>
      <c r="J996" s="225" t="s">
        <v>1096</v>
      </c>
      <c r="K996" s="114">
        <f>K45</f>
        <v>13.035714285714299</v>
      </c>
      <c r="L996" s="226">
        <f t="shared" si="989"/>
        <v>95.890410958904013</v>
      </c>
      <c r="M996" s="295">
        <f t="shared" si="991"/>
        <v>9.5890410958904007E-2</v>
      </c>
      <c r="N996" s="615"/>
    </row>
    <row r="997" spans="1:14" s="102" customFormat="1">
      <c r="A997" s="173" t="str">
        <f>A995</f>
        <v>PBS</v>
      </c>
      <c r="B997" s="150" t="str">
        <f>B995</f>
        <v>particles</v>
      </c>
      <c r="C997" s="150">
        <f t="shared" si="920"/>
        <v>6</v>
      </c>
      <c r="D997" s="150" t="str">
        <f>D995</f>
        <v>1-10</v>
      </c>
      <c r="E997" s="150">
        <f>E995</f>
        <v>10</v>
      </c>
      <c r="F997" s="150" t="str">
        <f>F995</f>
        <v>water</v>
      </c>
      <c r="G997" s="147" t="str">
        <f t="shared" si="993"/>
        <v>PBS particles 1-10 mm (emission to water)</v>
      </c>
      <c r="H997" s="147">
        <f>H995</f>
        <v>0</v>
      </c>
      <c r="I997" s="129">
        <v>0</v>
      </c>
      <c r="J997" s="225" t="s">
        <v>1034</v>
      </c>
      <c r="K997" s="114" t="s">
        <v>596</v>
      </c>
      <c r="L997" s="226">
        <f t="shared" si="989"/>
        <v>0</v>
      </c>
      <c r="M997" s="295">
        <f t="shared" si="991"/>
        <v>0</v>
      </c>
      <c r="N997" s="616"/>
    </row>
    <row r="998" spans="1:14" s="191" customFormat="1">
      <c r="A998" s="174" t="s">
        <v>42</v>
      </c>
      <c r="B998" s="288" t="s">
        <v>1025</v>
      </c>
      <c r="C998" s="290">
        <f t="shared" ref="C998:C1000" si="996">IF(OR(B998="Folie", B998="Strips", B998="Film",B998="Flakes",B998="Coupon"), 2,IF(OR(B998="Fibers",B998="Pellets"),4,IF(OR(B998="Particles",B998="Shreds",B998="Powder",B998="Fragments",B998="Granules"),6,"")))</f>
        <v>6</v>
      </c>
      <c r="D998" s="290" t="s">
        <v>1026</v>
      </c>
      <c r="E998" s="155">
        <v>10</v>
      </c>
      <c r="F998" s="131" t="s">
        <v>1057</v>
      </c>
      <c r="G998" s="134" t="str">
        <f t="shared" si="993"/>
        <v>PBS particles 1-10 mm (emission to air)</v>
      </c>
      <c r="H998" s="133"/>
      <c r="I998" s="137">
        <v>0.97699999999999998</v>
      </c>
      <c r="J998" s="101" t="s">
        <v>1019</v>
      </c>
      <c r="K998" s="114">
        <f>K43</f>
        <v>68.285919898456569</v>
      </c>
      <c r="L998" s="226">
        <f t="shared" ref="L998:L1000" si="997">IFERROR(IF(K998="--",0,IF(E998*1000/K998*(1-0.5)^(C998/2)&gt;1000,1000,E998*1000/K998*(1-0.5)^(C998/2))),1000)</f>
        <v>18.305384211837396</v>
      </c>
      <c r="M998" s="158">
        <f>IF(L998/1000&gt;1000,1000,L998/1000)</f>
        <v>1.8305384211837396E-2</v>
      </c>
      <c r="N998" s="610">
        <f>I998*M998+I999*M999</f>
        <v>2.0089839827019926E-2</v>
      </c>
    </row>
    <row r="999" spans="1:14" s="191" customFormat="1">
      <c r="A999" s="172" t="str">
        <f>A998</f>
        <v>PBS</v>
      </c>
      <c r="B999" s="149" t="str">
        <f>B998</f>
        <v>particles</v>
      </c>
      <c r="C999" s="149">
        <f t="shared" si="996"/>
        <v>6</v>
      </c>
      <c r="D999" s="149" t="str">
        <f t="shared" ref="D999:F999" si="998">D998</f>
        <v>1-10</v>
      </c>
      <c r="E999" s="149">
        <f t="shared" si="998"/>
        <v>10</v>
      </c>
      <c r="F999" s="149" t="str">
        <f t="shared" si="998"/>
        <v>air</v>
      </c>
      <c r="G999" s="146" t="str">
        <f t="shared" si="993"/>
        <v>PBS particles 1-10 mm (emission to air)</v>
      </c>
      <c r="H999" s="146"/>
      <c r="I999" s="129">
        <v>2.3E-2</v>
      </c>
      <c r="J999" s="101" t="s">
        <v>1097</v>
      </c>
      <c r="K999" s="114">
        <f>K44</f>
        <v>13.035714285714299</v>
      </c>
      <c r="L999" s="226">
        <f t="shared" si="997"/>
        <v>95.890410958904013</v>
      </c>
      <c r="M999" s="158">
        <f>IF(L999/1000&gt;1000,1000,L999/1000)</f>
        <v>9.5890410958904007E-2</v>
      </c>
      <c r="N999" s="610"/>
    </row>
    <row r="1000" spans="1:14" s="191" customFormat="1" ht="13.5" thickBot="1">
      <c r="A1000" s="173" t="str">
        <f>A999</f>
        <v>PBS</v>
      </c>
      <c r="B1000" s="150" t="str">
        <f>B999</f>
        <v>particles</v>
      </c>
      <c r="C1000" s="150">
        <f t="shared" si="996"/>
        <v>6</v>
      </c>
      <c r="D1000" s="150" t="str">
        <f t="shared" ref="D1000:F1000" si="999">D999</f>
        <v>1-10</v>
      </c>
      <c r="E1000" s="178">
        <f t="shared" si="999"/>
        <v>10</v>
      </c>
      <c r="F1000" s="178" t="str">
        <f t="shared" si="999"/>
        <v>air</v>
      </c>
      <c r="G1000" s="179" t="str">
        <f t="shared" si="993"/>
        <v>PBS particles 1-10 mm (emission to air)</v>
      </c>
      <c r="H1000" s="179"/>
      <c r="I1000" s="277">
        <v>0</v>
      </c>
      <c r="J1000" s="101" t="s">
        <v>1034</v>
      </c>
      <c r="K1000" s="151" t="s">
        <v>596</v>
      </c>
      <c r="L1000" s="226">
        <f t="shared" si="997"/>
        <v>0</v>
      </c>
      <c r="M1000" s="158">
        <f t="shared" ref="M1000" si="1000">IF(L1000/1000&gt;1000,1000,L1000/1000)</f>
        <v>0</v>
      </c>
      <c r="N1000" s="610"/>
    </row>
    <row r="1001" spans="1:14" s="102" customFormat="1">
      <c r="A1001" s="163" t="s">
        <v>20</v>
      </c>
      <c r="B1001" s="164" t="s">
        <v>996</v>
      </c>
      <c r="C1001" s="165">
        <f>IF(OR(B1001="Folie", B1001="Strips", B1001="Film",B1001="Flakes",B1001="Coupon"), 2,IF(OR(B1001="Fibers",B1001="Pellets"),4,IF(OR(B1001="Particles",B1001="Shreds",B1001="Powder",B1001="Fragments",B1001="Granules"),6,"")))</f>
        <v>2</v>
      </c>
      <c r="D1001" s="165" t="s">
        <v>1028</v>
      </c>
      <c r="E1001" s="293">
        <v>1</v>
      </c>
      <c r="F1001" s="166" t="s">
        <v>1019</v>
      </c>
      <c r="G1001" s="167" t="str">
        <f t="shared" si="993"/>
        <v>PHA film 0,1-1 mm (emission to soil)</v>
      </c>
      <c r="H1001" s="168"/>
      <c r="I1001" s="169">
        <v>1</v>
      </c>
      <c r="J1001" s="170" t="s">
        <v>1019</v>
      </c>
      <c r="K1001" s="171">
        <f>K46</f>
        <v>1238.3928571428573</v>
      </c>
      <c r="L1001" s="226">
        <f t="shared" ref="L1001:L1007" si="1001">IFERROR(IF(K1001="--",0,IF(E1001*1000/K1001*(1-0.5)^(C1001/2)&gt;1000,1000,E1001*1000/K1001*(1-0.5)^(C1001/2))),1000)</f>
        <v>0.40374909877433302</v>
      </c>
      <c r="M1001" s="158">
        <f>IF(L1001/1000&gt;1000,1000,L1001/1000)</f>
        <v>4.0374909877433302E-4</v>
      </c>
      <c r="N1001" s="610">
        <f>I1001*M1001+I1002*M1002</f>
        <v>4.0374909877433302E-4</v>
      </c>
    </row>
    <row r="1002" spans="1:14" s="102" customFormat="1">
      <c r="A1002" s="172" t="str">
        <f>A1001</f>
        <v>PHA</v>
      </c>
      <c r="B1002" s="149" t="str">
        <f>B1001</f>
        <v>film</v>
      </c>
      <c r="C1002" s="149">
        <f t="shared" ref="C1002:C1067" si="1002">IF(OR(B1002="Folie", B1002="Strips", B1002="Film",B1002="Flakes",B1002="Coupon"), 2,IF(OR(B1002="Fibers",B1002="Pellets"),4,IF(OR(B1002="Particles",B1002="Shreds",B1002="Powder",B1002="Fragments",B1002="Granules"),6,"")))</f>
        <v>2</v>
      </c>
      <c r="D1002" s="149" t="str">
        <f t="shared" ref="D1002:F1003" si="1003">D1001</f>
        <v>0,1-1</v>
      </c>
      <c r="E1002" s="149">
        <f t="shared" si="1003"/>
        <v>1</v>
      </c>
      <c r="F1002" s="149" t="str">
        <f t="shared" si="1003"/>
        <v>soil</v>
      </c>
      <c r="G1002" s="146" t="str">
        <f t="shared" si="993"/>
        <v>PHA film 0,1-1 mm (emission to soil)</v>
      </c>
      <c r="H1002" s="146"/>
      <c r="I1002" s="129">
        <v>0</v>
      </c>
      <c r="J1002" s="101" t="s">
        <v>1097</v>
      </c>
      <c r="K1002" s="114">
        <f>K47</f>
        <v>21.270396270396269</v>
      </c>
      <c r="L1002" s="226">
        <f t="shared" si="1001"/>
        <v>23.506849315068497</v>
      </c>
      <c r="M1002" s="158">
        <f>IF(L1002/1000&gt;1000,1000,L1002/1000)</f>
        <v>2.3506849315068495E-2</v>
      </c>
      <c r="N1002" s="610"/>
    </row>
    <row r="1003" spans="1:14" s="102" customFormat="1">
      <c r="A1003" s="173" t="str">
        <f>A1002</f>
        <v>PHA</v>
      </c>
      <c r="B1003" s="150" t="str">
        <f>B1002</f>
        <v>film</v>
      </c>
      <c r="C1003" s="150">
        <f t="shared" si="1002"/>
        <v>2</v>
      </c>
      <c r="D1003" s="150" t="str">
        <f t="shared" si="1003"/>
        <v>0,1-1</v>
      </c>
      <c r="E1003" s="150">
        <f t="shared" si="1003"/>
        <v>1</v>
      </c>
      <c r="F1003" s="150" t="str">
        <f t="shared" si="1003"/>
        <v>soil</v>
      </c>
      <c r="G1003" s="147" t="str">
        <f t="shared" si="993"/>
        <v>PHA film 0,1-1 mm (emission to soil)</v>
      </c>
      <c r="H1003" s="147"/>
      <c r="I1003" s="129">
        <v>0</v>
      </c>
      <c r="J1003" s="101" t="s">
        <v>1034</v>
      </c>
      <c r="K1003" s="151" t="s">
        <v>596</v>
      </c>
      <c r="L1003" s="226">
        <f t="shared" si="1001"/>
        <v>0</v>
      </c>
      <c r="M1003" s="158">
        <f t="shared" ref="M1003:M1007" si="1004">IF(L1003/1000&gt;1000,1000,L1003/1000)</f>
        <v>0</v>
      </c>
      <c r="N1003" s="610"/>
    </row>
    <row r="1004" spans="1:14" s="102" customFormat="1">
      <c r="A1004" s="174" t="s">
        <v>20</v>
      </c>
      <c r="B1004" s="288" t="s">
        <v>996</v>
      </c>
      <c r="C1004" s="290">
        <f t="shared" si="1002"/>
        <v>2</v>
      </c>
      <c r="D1004" s="290" t="s">
        <v>1028</v>
      </c>
      <c r="E1004" s="290">
        <v>1</v>
      </c>
      <c r="F1004" s="206" t="s">
        <v>1020</v>
      </c>
      <c r="G1004" s="144" t="str">
        <f t="shared" si="993"/>
        <v>PHA film 0,1-1 mm (emission to water)</v>
      </c>
      <c r="H1004" s="144"/>
      <c r="I1004" s="129">
        <v>0</v>
      </c>
      <c r="J1004" s="225" t="s">
        <v>1019</v>
      </c>
      <c r="K1004" s="114">
        <f>K46</f>
        <v>1238.3928571428573</v>
      </c>
      <c r="L1004" s="226">
        <f t="shared" si="1001"/>
        <v>0.40374909877433302</v>
      </c>
      <c r="M1004" s="295">
        <f t="shared" si="1004"/>
        <v>4.0374909877433302E-4</v>
      </c>
      <c r="N1004" s="614" t="e">
        <f>I1004*M1004+I1005*M1005+I1006*M1006</f>
        <v>#VALUE!</v>
      </c>
    </row>
    <row r="1005" spans="1:14" s="102" customFormat="1">
      <c r="A1005" s="172" t="str">
        <f>A1004</f>
        <v>PHA</v>
      </c>
      <c r="B1005" s="149" t="str">
        <f>B1004</f>
        <v>film</v>
      </c>
      <c r="C1005" s="149">
        <f t="shared" si="1002"/>
        <v>2</v>
      </c>
      <c r="D1005" s="149" t="str">
        <f t="shared" ref="D1005:F1006" si="1005">D1004</f>
        <v>0,1-1</v>
      </c>
      <c r="E1005" s="149">
        <f t="shared" si="1005"/>
        <v>1</v>
      </c>
      <c r="F1005" s="149" t="str">
        <f t="shared" si="1005"/>
        <v>water</v>
      </c>
      <c r="G1005" s="146" t="str">
        <f t="shared" si="993"/>
        <v>PHA film 0,1-1 mm (emission to water)</v>
      </c>
      <c r="H1005" s="146"/>
      <c r="I1005" s="221" t="s">
        <v>1102</v>
      </c>
      <c r="J1005" s="225" t="s">
        <v>1097</v>
      </c>
      <c r="K1005" s="114">
        <f>K47</f>
        <v>21.270396270396269</v>
      </c>
      <c r="L1005" s="226">
        <f t="shared" si="1001"/>
        <v>23.506849315068497</v>
      </c>
      <c r="M1005" s="295">
        <f t="shared" si="1004"/>
        <v>2.3506849315068495E-2</v>
      </c>
      <c r="N1005" s="615"/>
    </row>
    <row r="1006" spans="1:14" s="102" customFormat="1">
      <c r="A1006" s="172" t="str">
        <f>A1005</f>
        <v>PHA</v>
      </c>
      <c r="B1006" s="149" t="str">
        <f>B1005</f>
        <v>film</v>
      </c>
      <c r="C1006" s="149">
        <f t="shared" ref="C1006" si="1006">IF(OR(B1006="Folie", B1006="Strips", B1006="Film",B1006="Flakes",B1006="Coupon"), 2,IF(OR(B1006="Fibers",B1006="Pellets"),4,IF(OR(B1006="Particles",B1006="Shreds",B1006="Powder",B1006="Fragments",B1006="Granules"),6,"")))</f>
        <v>2</v>
      </c>
      <c r="D1006" s="149" t="str">
        <f t="shared" si="1005"/>
        <v>0,1-1</v>
      </c>
      <c r="E1006" s="149">
        <f t="shared" si="1005"/>
        <v>1</v>
      </c>
      <c r="F1006" s="149" t="str">
        <f t="shared" si="1005"/>
        <v>water</v>
      </c>
      <c r="G1006" s="146" t="str">
        <f t="shared" ref="G1006" si="1007">CONCATENATE(A1006," ",B1006," ",D1006," mm (emission to ",F1006,")")</f>
        <v>PHA film 0,1-1 mm (emission to water)</v>
      </c>
      <c r="H1006" s="146"/>
      <c r="I1006" s="221" t="s">
        <v>1102</v>
      </c>
      <c r="J1006" s="225" t="s">
        <v>1096</v>
      </c>
      <c r="K1006" s="114">
        <f>K48</f>
        <v>80.351389947493232</v>
      </c>
      <c r="L1006" s="226">
        <f t="shared" ref="L1006" si="1008">IFERROR(IF(K1006="--",0,IF(E1006*1000/K1006*(1-0.5)^(C1006/2)&gt;1000,1000,E1006*1000/K1006*(1-0.5)^(C1006/2))),1000)</f>
        <v>6.2226677139839417</v>
      </c>
      <c r="M1006" s="295">
        <f t="shared" si="1004"/>
        <v>6.2226677139839417E-3</v>
      </c>
      <c r="N1006" s="615"/>
    </row>
    <row r="1007" spans="1:14" s="102" customFormat="1">
      <c r="A1007" s="173" t="str">
        <f>A1005</f>
        <v>PHA</v>
      </c>
      <c r="B1007" s="150" t="str">
        <f>B1005</f>
        <v>film</v>
      </c>
      <c r="C1007" s="150">
        <f t="shared" si="1002"/>
        <v>2</v>
      </c>
      <c r="D1007" s="150" t="str">
        <f>D1005</f>
        <v>0,1-1</v>
      </c>
      <c r="E1007" s="150">
        <f>E1005</f>
        <v>1</v>
      </c>
      <c r="F1007" s="150" t="str">
        <f>F1005</f>
        <v>water</v>
      </c>
      <c r="G1007" s="147" t="str">
        <f t="shared" si="993"/>
        <v>PHA film 0,1-1 mm (emission to water)</v>
      </c>
      <c r="H1007" s="147"/>
      <c r="I1007" s="129">
        <v>0</v>
      </c>
      <c r="J1007" s="225" t="s">
        <v>1034</v>
      </c>
      <c r="K1007" s="151" t="s">
        <v>596</v>
      </c>
      <c r="L1007" s="226">
        <f t="shared" si="1001"/>
        <v>0</v>
      </c>
      <c r="M1007" s="295">
        <f t="shared" si="1004"/>
        <v>0</v>
      </c>
      <c r="N1007" s="616"/>
    </row>
    <row r="1008" spans="1:14" s="102" customFormat="1">
      <c r="A1008" s="174" t="s">
        <v>20</v>
      </c>
      <c r="B1008" s="288" t="s">
        <v>996</v>
      </c>
      <c r="C1008" s="290">
        <f>IF(OR(B1008="Folie", B1008="Strips", B1008="Film",B1008="Flakes",B1008="Coupon"), 2,IF(OR(B1008="Fibers",B1008="Pellets"),4,IF(OR(B1008="Particles",B1008="Shreds",B1008="Powder",B1008="Fragments",B1008="Granules"),6,"")))</f>
        <v>2</v>
      </c>
      <c r="D1008" s="290" t="s">
        <v>1028</v>
      </c>
      <c r="E1008" s="155">
        <v>1</v>
      </c>
      <c r="F1008" s="131" t="s">
        <v>1057</v>
      </c>
      <c r="G1008" s="134" t="str">
        <f t="shared" ref="G1008:G1010" si="1009">CONCATENATE(A1008," ",B1008," ",D1008," mm (emission to ",F1008,")")</f>
        <v>PHA film 0,1-1 mm (emission to air)</v>
      </c>
      <c r="H1008" s="144"/>
      <c r="I1008" s="137">
        <v>0.97699999999999998</v>
      </c>
      <c r="J1008" s="101" t="s">
        <v>1019</v>
      </c>
      <c r="K1008" s="114">
        <f>K46</f>
        <v>1238.3928571428573</v>
      </c>
      <c r="L1008" s="226">
        <f t="shared" ref="L1008:L1010" si="1010">IFERROR(IF(K1008="--",0,IF(E1008*1000/K1008*(1-0.5)^(C1008/2)&gt;1000,1000,E1008*1000/K1008*(1-0.5)^(C1008/2))),1000)</f>
        <v>0.40374909877433302</v>
      </c>
      <c r="M1008" s="158">
        <f>IF(L1008/1000&gt;1000,1000,L1008/1000)</f>
        <v>4.0374909877433302E-4</v>
      </c>
      <c r="N1008" s="610">
        <f>I1008*M1008+I1009*M1009</f>
        <v>9.3512040374909883E-4</v>
      </c>
    </row>
    <row r="1009" spans="1:14" s="102" customFormat="1">
      <c r="A1009" s="172" t="str">
        <f>A1008</f>
        <v>PHA</v>
      </c>
      <c r="B1009" s="149" t="str">
        <f>B1008</f>
        <v>film</v>
      </c>
      <c r="C1009" s="149">
        <f t="shared" ref="C1009:C1010" si="1011">IF(OR(B1009="Folie", B1009="Strips", B1009="Film",B1009="Flakes",B1009="Coupon"), 2,IF(OR(B1009="Fibers",B1009="Pellets"),4,IF(OR(B1009="Particles",B1009="Shreds",B1009="Powder",B1009="Fragments",B1009="Granules"),6,"")))</f>
        <v>2</v>
      </c>
      <c r="D1009" s="149" t="str">
        <f t="shared" ref="D1009:F1009" si="1012">D1008</f>
        <v>0,1-1</v>
      </c>
      <c r="E1009" s="149">
        <f t="shared" si="1012"/>
        <v>1</v>
      </c>
      <c r="F1009" s="149" t="str">
        <f t="shared" si="1012"/>
        <v>air</v>
      </c>
      <c r="G1009" s="146" t="str">
        <f t="shared" si="1009"/>
        <v>PHA film 0,1-1 mm (emission to air)</v>
      </c>
      <c r="H1009" s="146"/>
      <c r="I1009" s="129">
        <v>2.3E-2</v>
      </c>
      <c r="J1009" s="101" t="s">
        <v>1097</v>
      </c>
      <c r="K1009" s="114">
        <f>K47</f>
        <v>21.270396270396269</v>
      </c>
      <c r="L1009" s="226">
        <f t="shared" si="1010"/>
        <v>23.506849315068497</v>
      </c>
      <c r="M1009" s="158">
        <f>IF(L1009/1000&gt;1000,1000,L1009/1000)</f>
        <v>2.3506849315068495E-2</v>
      </c>
      <c r="N1009" s="610"/>
    </row>
    <row r="1010" spans="1:14" s="102" customFormat="1">
      <c r="A1010" s="173" t="str">
        <f>A1009</f>
        <v>PHA</v>
      </c>
      <c r="B1010" s="150" t="str">
        <f>B1009</f>
        <v>film</v>
      </c>
      <c r="C1010" s="150">
        <f t="shared" si="1011"/>
        <v>2</v>
      </c>
      <c r="D1010" s="150" t="str">
        <f t="shared" ref="D1010:F1010" si="1013">D1009</f>
        <v>0,1-1</v>
      </c>
      <c r="E1010" s="150">
        <f t="shared" si="1013"/>
        <v>1</v>
      </c>
      <c r="F1010" s="150" t="str">
        <f t="shared" si="1013"/>
        <v>air</v>
      </c>
      <c r="G1010" s="147" t="str">
        <f t="shared" si="1009"/>
        <v>PHA film 0,1-1 mm (emission to air)</v>
      </c>
      <c r="H1010" s="147"/>
      <c r="I1010" s="129">
        <v>0</v>
      </c>
      <c r="J1010" s="101" t="s">
        <v>1034</v>
      </c>
      <c r="K1010" s="151" t="s">
        <v>596</v>
      </c>
      <c r="L1010" s="226">
        <f t="shared" si="1010"/>
        <v>0</v>
      </c>
      <c r="M1010" s="158">
        <f t="shared" ref="M1010" si="1014">IF(L1010/1000&gt;1000,1000,L1010/1000)</f>
        <v>0</v>
      </c>
      <c r="N1010" s="610"/>
    </row>
    <row r="1011" spans="1:14" s="102" customFormat="1">
      <c r="A1011" s="174" t="s">
        <v>20</v>
      </c>
      <c r="B1011" s="159" t="s">
        <v>996</v>
      </c>
      <c r="C1011" s="188">
        <f t="shared" si="1002"/>
        <v>2</v>
      </c>
      <c r="D1011" s="188" t="s">
        <v>1026</v>
      </c>
      <c r="E1011" s="155">
        <v>10</v>
      </c>
      <c r="F1011" s="131" t="s">
        <v>1019</v>
      </c>
      <c r="G1011" s="134" t="str">
        <f t="shared" ref="G1011:G1064" si="1015">CONCATENATE(A1011," ",B1011," ",D1011," mm (emission to ",F1011,")")</f>
        <v>PHA film 1-10 mm (emission to soil)</v>
      </c>
      <c r="H1011" s="134"/>
      <c r="I1011" s="129">
        <v>1</v>
      </c>
      <c r="J1011" s="101" t="s">
        <v>1019</v>
      </c>
      <c r="K1011" s="114">
        <f>K46</f>
        <v>1238.3928571428573</v>
      </c>
      <c r="L1011" s="226">
        <f t="shared" ref="L1011:L1017" si="1016">IFERROR(IF(K1011="--",0,IF(E1011*1000/K1011*(1-0.5)^(C1011/2)&gt;1000,1000,E1011*1000/K1011*(1-0.5)^(C1011/2))),1000)</f>
        <v>4.0374909877433307</v>
      </c>
      <c r="M1011" s="158">
        <f>IF(L1011/1000&gt;1000,1000,L1011/1000)</f>
        <v>4.0374909877433311E-3</v>
      </c>
      <c r="N1011" s="610">
        <f>I1011*M1011+I1012*M1012</f>
        <v>4.0374909877433311E-3</v>
      </c>
    </row>
    <row r="1012" spans="1:14" s="102" customFormat="1">
      <c r="A1012" s="172" t="str">
        <f>A1011</f>
        <v>PHA</v>
      </c>
      <c r="B1012" s="149" t="str">
        <f>B1011</f>
        <v>film</v>
      </c>
      <c r="C1012" s="149">
        <f t="shared" si="1002"/>
        <v>2</v>
      </c>
      <c r="D1012" s="149" t="str">
        <f t="shared" ref="D1012:F1013" si="1017">D1011</f>
        <v>1-10</v>
      </c>
      <c r="E1012" s="149">
        <f t="shared" si="1017"/>
        <v>10</v>
      </c>
      <c r="F1012" s="149" t="str">
        <f t="shared" si="1017"/>
        <v>soil</v>
      </c>
      <c r="G1012" s="146" t="str">
        <f t="shared" si="1015"/>
        <v>PHA film 1-10 mm (emission to soil)</v>
      </c>
      <c r="H1012" s="146"/>
      <c r="I1012" s="129">
        <v>0</v>
      </c>
      <c r="J1012" s="101" t="s">
        <v>1097</v>
      </c>
      <c r="K1012" s="114">
        <f>K47</f>
        <v>21.270396270396269</v>
      </c>
      <c r="L1012" s="226">
        <f t="shared" si="1016"/>
        <v>235.06849315068496</v>
      </c>
      <c r="M1012" s="158">
        <f>IF(L1012/1000&gt;1000,1000,L1012/1000)</f>
        <v>0.23506849315068495</v>
      </c>
      <c r="N1012" s="610"/>
    </row>
    <row r="1013" spans="1:14" s="102" customFormat="1">
      <c r="A1013" s="173" t="str">
        <f>A1012</f>
        <v>PHA</v>
      </c>
      <c r="B1013" s="150" t="str">
        <f>B1012</f>
        <v>film</v>
      </c>
      <c r="C1013" s="150">
        <f t="shared" si="1002"/>
        <v>2</v>
      </c>
      <c r="D1013" s="150" t="str">
        <f t="shared" si="1017"/>
        <v>1-10</v>
      </c>
      <c r="E1013" s="150">
        <f t="shared" si="1017"/>
        <v>10</v>
      </c>
      <c r="F1013" s="150" t="str">
        <f t="shared" si="1017"/>
        <v>soil</v>
      </c>
      <c r="G1013" s="147" t="str">
        <f t="shared" si="1015"/>
        <v>PHA film 1-10 mm (emission to soil)</v>
      </c>
      <c r="H1013" s="147"/>
      <c r="I1013" s="129">
        <v>0</v>
      </c>
      <c r="J1013" s="101" t="s">
        <v>1034</v>
      </c>
      <c r="K1013" s="114" t="s">
        <v>596</v>
      </c>
      <c r="L1013" s="226">
        <f t="shared" si="1016"/>
        <v>0</v>
      </c>
      <c r="M1013" s="158">
        <f t="shared" ref="M1013:M1017" si="1018">IF(L1013/1000&gt;1000,1000,L1013/1000)</f>
        <v>0</v>
      </c>
      <c r="N1013" s="610"/>
    </row>
    <row r="1014" spans="1:14" s="102" customFormat="1">
      <c r="A1014" s="174" t="s">
        <v>20</v>
      </c>
      <c r="B1014" s="159" t="s">
        <v>996</v>
      </c>
      <c r="C1014" s="290">
        <f t="shared" si="1002"/>
        <v>2</v>
      </c>
      <c r="D1014" s="290" t="s">
        <v>1026</v>
      </c>
      <c r="E1014" s="288">
        <v>10</v>
      </c>
      <c r="F1014" s="206" t="s">
        <v>1020</v>
      </c>
      <c r="G1014" s="144" t="str">
        <f t="shared" si="1015"/>
        <v>PHA film 1-10 mm (emission to water)</v>
      </c>
      <c r="H1014" s="144"/>
      <c r="I1014" s="129">
        <v>0</v>
      </c>
      <c r="J1014" s="225" t="s">
        <v>1019</v>
      </c>
      <c r="K1014" s="114">
        <f>K46</f>
        <v>1238.3928571428573</v>
      </c>
      <c r="L1014" s="226">
        <f t="shared" si="1016"/>
        <v>4.0374909877433307</v>
      </c>
      <c r="M1014" s="295">
        <f t="shared" si="1018"/>
        <v>4.0374909877433311E-3</v>
      </c>
      <c r="N1014" s="614" t="e">
        <f>I1014*M1014+I1015*M1015+I1016*M1016</f>
        <v>#VALUE!</v>
      </c>
    </row>
    <row r="1015" spans="1:14" s="102" customFormat="1">
      <c r="A1015" s="172" t="str">
        <f>A1014</f>
        <v>PHA</v>
      </c>
      <c r="B1015" s="149" t="str">
        <f>B1014</f>
        <v>film</v>
      </c>
      <c r="C1015" s="149">
        <f t="shared" si="1002"/>
        <v>2</v>
      </c>
      <c r="D1015" s="149" t="str">
        <f t="shared" ref="D1015:F1016" si="1019">D1014</f>
        <v>1-10</v>
      </c>
      <c r="E1015" s="149">
        <f t="shared" si="1019"/>
        <v>10</v>
      </c>
      <c r="F1015" s="149" t="str">
        <f t="shared" si="1019"/>
        <v>water</v>
      </c>
      <c r="G1015" s="146" t="str">
        <f t="shared" si="1015"/>
        <v>PHA film 1-10 mm (emission to water)</v>
      </c>
      <c r="H1015" s="146"/>
      <c r="I1015" s="221" t="s">
        <v>1102</v>
      </c>
      <c r="J1015" s="225" t="s">
        <v>1097</v>
      </c>
      <c r="K1015" s="114">
        <f>K47</f>
        <v>21.270396270396269</v>
      </c>
      <c r="L1015" s="226">
        <f t="shared" si="1016"/>
        <v>235.06849315068496</v>
      </c>
      <c r="M1015" s="295">
        <f t="shared" si="1018"/>
        <v>0.23506849315068495</v>
      </c>
      <c r="N1015" s="615"/>
    </row>
    <row r="1016" spans="1:14" s="102" customFormat="1">
      <c r="A1016" s="172" t="str">
        <f>A1015</f>
        <v>PHA</v>
      </c>
      <c r="B1016" s="149" t="str">
        <f>B1015</f>
        <v>film</v>
      </c>
      <c r="C1016" s="149">
        <f t="shared" ref="C1016" si="1020">IF(OR(B1016="Folie", B1016="Strips", B1016="Film",B1016="Flakes",B1016="Coupon"), 2,IF(OR(B1016="Fibers",B1016="Pellets"),4,IF(OR(B1016="Particles",B1016="Shreds",B1016="Powder",B1016="Fragments",B1016="Granules"),6,"")))</f>
        <v>2</v>
      </c>
      <c r="D1016" s="149" t="str">
        <f t="shared" si="1019"/>
        <v>1-10</v>
      </c>
      <c r="E1016" s="149">
        <f t="shared" si="1019"/>
        <v>10</v>
      </c>
      <c r="F1016" s="149" t="str">
        <f t="shared" si="1019"/>
        <v>water</v>
      </c>
      <c r="G1016" s="146" t="str">
        <f t="shared" ref="G1016" si="1021">CONCATENATE(A1016," ",B1016," ",D1016," mm (emission to ",F1016,")")</f>
        <v>PHA film 1-10 mm (emission to water)</v>
      </c>
      <c r="H1016" s="146"/>
      <c r="I1016" s="221" t="s">
        <v>1102</v>
      </c>
      <c r="J1016" s="225" t="s">
        <v>1096</v>
      </c>
      <c r="K1016" s="114">
        <f>K48</f>
        <v>80.351389947493232</v>
      </c>
      <c r="L1016" s="226">
        <f t="shared" ref="L1016" si="1022">IFERROR(IF(K1016="--",0,IF(E1016*1000/K1016*(1-0.5)^(C1016/2)&gt;1000,1000,E1016*1000/K1016*(1-0.5)^(C1016/2))),1000)</f>
        <v>62.226677139839417</v>
      </c>
      <c r="M1016" s="295">
        <f t="shared" si="1018"/>
        <v>6.2226677139839419E-2</v>
      </c>
      <c r="N1016" s="615"/>
    </row>
    <row r="1017" spans="1:14" s="102" customFormat="1">
      <c r="A1017" s="173" t="str">
        <f>A1015</f>
        <v>PHA</v>
      </c>
      <c r="B1017" s="150" t="str">
        <f>B1015</f>
        <v>film</v>
      </c>
      <c r="C1017" s="150">
        <f t="shared" si="1002"/>
        <v>2</v>
      </c>
      <c r="D1017" s="150" t="str">
        <f>D1015</f>
        <v>1-10</v>
      </c>
      <c r="E1017" s="150">
        <f>E1015</f>
        <v>10</v>
      </c>
      <c r="F1017" s="150" t="str">
        <f>F1015</f>
        <v>water</v>
      </c>
      <c r="G1017" s="147" t="str">
        <f t="shared" si="1015"/>
        <v>PHA film 1-10 mm (emission to water)</v>
      </c>
      <c r="H1017" s="147"/>
      <c r="I1017" s="129">
        <v>0</v>
      </c>
      <c r="J1017" s="225" t="s">
        <v>1034</v>
      </c>
      <c r="K1017" s="114" t="s">
        <v>596</v>
      </c>
      <c r="L1017" s="226">
        <f t="shared" si="1016"/>
        <v>0</v>
      </c>
      <c r="M1017" s="295">
        <f t="shared" si="1018"/>
        <v>0</v>
      </c>
      <c r="N1017" s="616"/>
    </row>
    <row r="1018" spans="1:14" s="102" customFormat="1">
      <c r="A1018" s="174" t="s">
        <v>20</v>
      </c>
      <c r="B1018" s="159" t="s">
        <v>996</v>
      </c>
      <c r="C1018" s="290">
        <f t="shared" ref="C1018:C1020" si="1023">IF(OR(B1018="Folie", B1018="Strips", B1018="Film",B1018="Flakes",B1018="Coupon"), 2,IF(OR(B1018="Fibers",B1018="Pellets"),4,IF(OR(B1018="Particles",B1018="Shreds",B1018="Powder",B1018="Fragments",B1018="Granules"),6,"")))</f>
        <v>2</v>
      </c>
      <c r="D1018" s="290" t="s">
        <v>1026</v>
      </c>
      <c r="E1018" s="155">
        <v>10</v>
      </c>
      <c r="F1018" s="131" t="s">
        <v>1057</v>
      </c>
      <c r="G1018" s="134" t="str">
        <f t="shared" ref="G1018:G1020" si="1024">CONCATENATE(A1018," ",B1018," ",D1018," mm (emission to ",F1018,")")</f>
        <v>PHA film 1-10 mm (emission to air)</v>
      </c>
      <c r="H1018" s="134"/>
      <c r="I1018" s="137">
        <v>0.97699999999999998</v>
      </c>
      <c r="J1018" s="101" t="s">
        <v>1019</v>
      </c>
      <c r="K1018" s="114">
        <f>K46</f>
        <v>1238.3928571428573</v>
      </c>
      <c r="L1018" s="226">
        <f t="shared" ref="L1018:L1020" si="1025">IFERROR(IF(K1018="--",0,IF(E1018*1000/K1018*(1-0.5)^(C1018/2)&gt;1000,1000,E1018*1000/K1018*(1-0.5)^(C1018/2))),1000)</f>
        <v>4.0374909877433307</v>
      </c>
      <c r="M1018" s="158">
        <f>IF(L1018/1000&gt;1000,1000,L1018/1000)</f>
        <v>4.0374909877433311E-3</v>
      </c>
      <c r="N1018" s="610">
        <f>I1018*M1018+I1019*M1019</f>
        <v>9.3512040374909879E-3</v>
      </c>
    </row>
    <row r="1019" spans="1:14" s="102" customFormat="1">
      <c r="A1019" s="172" t="str">
        <f>A1018</f>
        <v>PHA</v>
      </c>
      <c r="B1019" s="149" t="str">
        <f>B1018</f>
        <v>film</v>
      </c>
      <c r="C1019" s="149">
        <f t="shared" si="1023"/>
        <v>2</v>
      </c>
      <c r="D1019" s="149" t="str">
        <f t="shared" ref="D1019:F1019" si="1026">D1018</f>
        <v>1-10</v>
      </c>
      <c r="E1019" s="149">
        <f t="shared" si="1026"/>
        <v>10</v>
      </c>
      <c r="F1019" s="149" t="str">
        <f t="shared" si="1026"/>
        <v>air</v>
      </c>
      <c r="G1019" s="146" t="str">
        <f t="shared" si="1024"/>
        <v>PHA film 1-10 mm (emission to air)</v>
      </c>
      <c r="H1019" s="146"/>
      <c r="I1019" s="129">
        <v>2.3E-2</v>
      </c>
      <c r="J1019" s="101" t="s">
        <v>1097</v>
      </c>
      <c r="K1019" s="114">
        <f>K47</f>
        <v>21.270396270396269</v>
      </c>
      <c r="L1019" s="226">
        <f t="shared" si="1025"/>
        <v>235.06849315068496</v>
      </c>
      <c r="M1019" s="158">
        <f>IF(L1019/1000&gt;1000,1000,L1019/1000)</f>
        <v>0.23506849315068495</v>
      </c>
      <c r="N1019" s="610"/>
    </row>
    <row r="1020" spans="1:14" s="102" customFormat="1">
      <c r="A1020" s="173" t="str">
        <f>A1019</f>
        <v>PHA</v>
      </c>
      <c r="B1020" s="150" t="str">
        <f>B1019</f>
        <v>film</v>
      </c>
      <c r="C1020" s="150">
        <f t="shared" si="1023"/>
        <v>2</v>
      </c>
      <c r="D1020" s="150" t="str">
        <f t="shared" ref="D1020:F1020" si="1027">D1019</f>
        <v>1-10</v>
      </c>
      <c r="E1020" s="150">
        <f t="shared" si="1027"/>
        <v>10</v>
      </c>
      <c r="F1020" s="150" t="str">
        <f t="shared" si="1027"/>
        <v>air</v>
      </c>
      <c r="G1020" s="147" t="str">
        <f t="shared" si="1024"/>
        <v>PHA film 1-10 mm (emission to air)</v>
      </c>
      <c r="H1020" s="147"/>
      <c r="I1020" s="129">
        <v>0</v>
      </c>
      <c r="J1020" s="101" t="s">
        <v>1034</v>
      </c>
      <c r="K1020" s="114" t="s">
        <v>596</v>
      </c>
      <c r="L1020" s="226">
        <f t="shared" si="1025"/>
        <v>0</v>
      </c>
      <c r="M1020" s="158">
        <f t="shared" ref="M1020" si="1028">IF(L1020/1000&gt;1000,1000,L1020/1000)</f>
        <v>0</v>
      </c>
      <c r="N1020" s="610"/>
    </row>
    <row r="1021" spans="1:14" s="102" customFormat="1">
      <c r="A1021" s="174" t="s">
        <v>20</v>
      </c>
      <c r="B1021" s="159" t="s">
        <v>1051</v>
      </c>
      <c r="C1021" s="290">
        <f t="shared" si="1002"/>
        <v>4</v>
      </c>
      <c r="D1021" s="290" t="s">
        <v>1028</v>
      </c>
      <c r="E1021" s="155">
        <v>1</v>
      </c>
      <c r="F1021" s="206" t="s">
        <v>1019</v>
      </c>
      <c r="G1021" s="144" t="str">
        <f t="shared" si="1015"/>
        <v>PHA fibers 0,1-1 mm (emission to soil)</v>
      </c>
      <c r="H1021" s="193"/>
      <c r="I1021" s="129">
        <v>1</v>
      </c>
      <c r="J1021" s="101" t="s">
        <v>1019</v>
      </c>
      <c r="K1021" s="114">
        <f>K46</f>
        <v>1238.3928571428573</v>
      </c>
      <c r="L1021" s="226">
        <f t="shared" ref="L1021:L1027" si="1029">IFERROR(IF(K1021="--",0,IF(E1021*1000/K1021*(1-0.5)^(C1021/2)&gt;1000,1000,E1021*1000/K1021*(1-0.5)^(C1021/2))),1000)</f>
        <v>0.20187454938716651</v>
      </c>
      <c r="M1021" s="158">
        <f>IF(L1021/1000&gt;1000,1000,L1021/1000)</f>
        <v>2.0187454938716651E-4</v>
      </c>
      <c r="N1021" s="610">
        <f>I1021*M1021+I1022*M1022</f>
        <v>2.0187454938716651E-4</v>
      </c>
    </row>
    <row r="1022" spans="1:14" s="102" customFormat="1">
      <c r="A1022" s="172" t="str">
        <f>A1021</f>
        <v>PHA</v>
      </c>
      <c r="B1022" s="149" t="str">
        <f>B1021</f>
        <v>fibers</v>
      </c>
      <c r="C1022" s="149">
        <f t="shared" si="1002"/>
        <v>4</v>
      </c>
      <c r="D1022" s="149" t="str">
        <f t="shared" ref="D1022:F1023" si="1030">D1021</f>
        <v>0,1-1</v>
      </c>
      <c r="E1022" s="149">
        <f t="shared" si="1030"/>
        <v>1</v>
      </c>
      <c r="F1022" s="149" t="str">
        <f t="shared" si="1030"/>
        <v>soil</v>
      </c>
      <c r="G1022" s="146" t="str">
        <f t="shared" si="1015"/>
        <v>PHA fibers 0,1-1 mm (emission to soil)</v>
      </c>
      <c r="H1022" s="146"/>
      <c r="I1022" s="129">
        <v>0</v>
      </c>
      <c r="J1022" s="101" t="s">
        <v>1097</v>
      </c>
      <c r="K1022" s="114">
        <f>K47</f>
        <v>21.270396270396269</v>
      </c>
      <c r="L1022" s="226">
        <f t="shared" si="1029"/>
        <v>11.753424657534248</v>
      </c>
      <c r="M1022" s="158">
        <f>IF(L1022/1000&gt;1000,1000,L1022/1000)</f>
        <v>1.1753424657534248E-2</v>
      </c>
      <c r="N1022" s="610"/>
    </row>
    <row r="1023" spans="1:14" s="102" customFormat="1">
      <c r="A1023" s="173" t="str">
        <f>A1022</f>
        <v>PHA</v>
      </c>
      <c r="B1023" s="150" t="str">
        <f>B1022</f>
        <v>fibers</v>
      </c>
      <c r="C1023" s="150">
        <f t="shared" si="1002"/>
        <v>4</v>
      </c>
      <c r="D1023" s="150" t="str">
        <f t="shared" si="1030"/>
        <v>0,1-1</v>
      </c>
      <c r="E1023" s="150">
        <f t="shared" si="1030"/>
        <v>1</v>
      </c>
      <c r="F1023" s="150" t="str">
        <f t="shared" si="1030"/>
        <v>soil</v>
      </c>
      <c r="G1023" s="147" t="str">
        <f t="shared" si="1015"/>
        <v>PHA fibers 0,1-1 mm (emission to soil)</v>
      </c>
      <c r="H1023" s="146"/>
      <c r="I1023" s="129">
        <v>0</v>
      </c>
      <c r="J1023" s="101" t="s">
        <v>1034</v>
      </c>
      <c r="K1023" s="151" t="s">
        <v>596</v>
      </c>
      <c r="L1023" s="226">
        <f t="shared" si="1029"/>
        <v>0</v>
      </c>
      <c r="M1023" s="158">
        <f t="shared" ref="M1023:M1027" si="1031">IF(L1023/1000&gt;1000,1000,L1023/1000)</f>
        <v>0</v>
      </c>
      <c r="N1023" s="610"/>
    </row>
    <row r="1024" spans="1:14" s="102" customFormat="1">
      <c r="A1024" s="174" t="s">
        <v>20</v>
      </c>
      <c r="B1024" s="159" t="s">
        <v>1051</v>
      </c>
      <c r="C1024" s="290">
        <f t="shared" si="1002"/>
        <v>4</v>
      </c>
      <c r="D1024" s="290" t="s">
        <v>1028</v>
      </c>
      <c r="E1024" s="290">
        <v>1</v>
      </c>
      <c r="F1024" s="206" t="s">
        <v>1020</v>
      </c>
      <c r="G1024" s="144" t="str">
        <f t="shared" si="1015"/>
        <v>PHA fibers 0,1-1 mm (emission to water)</v>
      </c>
      <c r="H1024" s="192"/>
      <c r="I1024" s="129">
        <v>0</v>
      </c>
      <c r="J1024" s="225" t="s">
        <v>1019</v>
      </c>
      <c r="K1024" s="114">
        <f>K46</f>
        <v>1238.3928571428573</v>
      </c>
      <c r="L1024" s="226">
        <f t="shared" si="1029"/>
        <v>0.20187454938716651</v>
      </c>
      <c r="M1024" s="295">
        <f t="shared" si="1031"/>
        <v>2.0187454938716651E-4</v>
      </c>
      <c r="N1024" s="614" t="e">
        <f>I1024*M1024+I1025*M1025+I1026*M1026</f>
        <v>#VALUE!</v>
      </c>
    </row>
    <row r="1025" spans="1:14" s="102" customFormat="1">
      <c r="A1025" s="172" t="str">
        <f>A1024</f>
        <v>PHA</v>
      </c>
      <c r="B1025" s="149" t="str">
        <f>B1024</f>
        <v>fibers</v>
      </c>
      <c r="C1025" s="149">
        <f t="shared" si="1002"/>
        <v>4</v>
      </c>
      <c r="D1025" s="149" t="str">
        <f t="shared" ref="D1025:F1026" si="1032">D1024</f>
        <v>0,1-1</v>
      </c>
      <c r="E1025" s="149">
        <f t="shared" si="1032"/>
        <v>1</v>
      </c>
      <c r="F1025" s="149" t="str">
        <f t="shared" si="1032"/>
        <v>water</v>
      </c>
      <c r="G1025" s="146" t="str">
        <f t="shared" si="1015"/>
        <v>PHA fibers 0,1-1 mm (emission to water)</v>
      </c>
      <c r="H1025" s="146"/>
      <c r="I1025" s="221" t="s">
        <v>1102</v>
      </c>
      <c r="J1025" s="225" t="s">
        <v>1097</v>
      </c>
      <c r="K1025" s="114">
        <f>K47</f>
        <v>21.270396270396269</v>
      </c>
      <c r="L1025" s="226">
        <f t="shared" si="1029"/>
        <v>11.753424657534248</v>
      </c>
      <c r="M1025" s="295">
        <f t="shared" si="1031"/>
        <v>1.1753424657534248E-2</v>
      </c>
      <c r="N1025" s="615"/>
    </row>
    <row r="1026" spans="1:14" s="102" customFormat="1">
      <c r="A1026" s="172" t="str">
        <f>A1025</f>
        <v>PHA</v>
      </c>
      <c r="B1026" s="149" t="str">
        <f>B1025</f>
        <v>fibers</v>
      </c>
      <c r="C1026" s="149">
        <f t="shared" ref="C1026" si="1033">IF(OR(B1026="Folie", B1026="Strips", B1026="Film",B1026="Flakes",B1026="Coupon"), 2,IF(OR(B1026="Fibers",B1026="Pellets"),4,IF(OR(B1026="Particles",B1026="Shreds",B1026="Powder",B1026="Fragments",B1026="Granules"),6,"")))</f>
        <v>4</v>
      </c>
      <c r="D1026" s="149" t="str">
        <f t="shared" si="1032"/>
        <v>0,1-1</v>
      </c>
      <c r="E1026" s="149">
        <f t="shared" si="1032"/>
        <v>1</v>
      </c>
      <c r="F1026" s="149" t="str">
        <f t="shared" si="1032"/>
        <v>water</v>
      </c>
      <c r="G1026" s="146" t="str">
        <f t="shared" ref="G1026" si="1034">CONCATENATE(A1026," ",B1026," ",D1026," mm (emission to ",F1026,")")</f>
        <v>PHA fibers 0,1-1 mm (emission to water)</v>
      </c>
      <c r="H1026" s="146"/>
      <c r="I1026" s="221" t="s">
        <v>1102</v>
      </c>
      <c r="J1026" s="225" t="s">
        <v>1096</v>
      </c>
      <c r="K1026" s="114">
        <f>K48</f>
        <v>80.351389947493232</v>
      </c>
      <c r="L1026" s="226">
        <f t="shared" ref="L1026" si="1035">IFERROR(IF(K1026="--",0,IF(E1026*1000/K1026*(1-0.5)^(C1026/2)&gt;1000,1000,E1026*1000/K1026*(1-0.5)^(C1026/2))),1000)</f>
        <v>3.1113338569919708</v>
      </c>
      <c r="M1026" s="295">
        <f t="shared" si="1031"/>
        <v>3.1113338569919709E-3</v>
      </c>
      <c r="N1026" s="615"/>
    </row>
    <row r="1027" spans="1:14" s="102" customFormat="1">
      <c r="A1027" s="173" t="str">
        <f>A1025</f>
        <v>PHA</v>
      </c>
      <c r="B1027" s="150" t="str">
        <f>B1025</f>
        <v>fibers</v>
      </c>
      <c r="C1027" s="150">
        <f t="shared" si="1002"/>
        <v>4</v>
      </c>
      <c r="D1027" s="150" t="str">
        <f>D1025</f>
        <v>0,1-1</v>
      </c>
      <c r="E1027" s="150">
        <f>E1025</f>
        <v>1</v>
      </c>
      <c r="F1027" s="150" t="str">
        <f>F1025</f>
        <v>water</v>
      </c>
      <c r="G1027" s="147" t="str">
        <f t="shared" si="1015"/>
        <v>PHA fibers 0,1-1 mm (emission to water)</v>
      </c>
      <c r="H1027" s="147"/>
      <c r="I1027" s="129">
        <v>0</v>
      </c>
      <c r="J1027" s="225" t="s">
        <v>1034</v>
      </c>
      <c r="K1027" s="114" t="s">
        <v>596</v>
      </c>
      <c r="L1027" s="226">
        <f t="shared" si="1029"/>
        <v>0</v>
      </c>
      <c r="M1027" s="295">
        <f t="shared" si="1031"/>
        <v>0</v>
      </c>
      <c r="N1027" s="616"/>
    </row>
    <row r="1028" spans="1:14" s="102" customFormat="1">
      <c r="A1028" s="174" t="s">
        <v>20</v>
      </c>
      <c r="B1028" s="159" t="s">
        <v>1051</v>
      </c>
      <c r="C1028" s="290">
        <f t="shared" ref="C1028:C1030" si="1036">IF(OR(B1028="Folie", B1028="Strips", B1028="Film",B1028="Flakes",B1028="Coupon"), 2,IF(OR(B1028="Fibers",B1028="Pellets"),4,IF(OR(B1028="Particles",B1028="Shreds",B1028="Powder",B1028="Fragments",B1028="Granules"),6,"")))</f>
        <v>4</v>
      </c>
      <c r="D1028" s="290" t="s">
        <v>1028</v>
      </c>
      <c r="E1028" s="155">
        <v>1</v>
      </c>
      <c r="F1028" s="206" t="s">
        <v>1057</v>
      </c>
      <c r="G1028" s="144" t="str">
        <f t="shared" ref="G1028:G1030" si="1037">CONCATENATE(A1028," ",B1028," ",D1028," mm (emission to ",F1028,")")</f>
        <v>PHA fibers 0,1-1 mm (emission to air)</v>
      </c>
      <c r="H1028" s="192"/>
      <c r="I1028" s="137">
        <v>0.97699999999999998</v>
      </c>
      <c r="J1028" s="101" t="s">
        <v>1019</v>
      </c>
      <c r="K1028" s="114">
        <f>K46</f>
        <v>1238.3928571428573</v>
      </c>
      <c r="L1028" s="226">
        <f t="shared" ref="L1028:L1030" si="1038">IFERROR(IF(K1028="--",0,IF(E1028*1000/K1028*(1-0.5)^(C1028/2)&gt;1000,1000,E1028*1000/K1028*(1-0.5)^(C1028/2))),1000)</f>
        <v>0.20187454938716651</v>
      </c>
      <c r="M1028" s="158">
        <f>IF(L1028/1000&gt;1000,1000,L1028/1000)</f>
        <v>2.0187454938716651E-4</v>
      </c>
      <c r="N1028" s="610">
        <f>I1028*M1028+I1029*M1029</f>
        <v>4.6756020187454941E-4</v>
      </c>
    </row>
    <row r="1029" spans="1:14" s="102" customFormat="1">
      <c r="A1029" s="172" t="str">
        <f>A1028</f>
        <v>PHA</v>
      </c>
      <c r="B1029" s="149" t="str">
        <f>B1028</f>
        <v>fibers</v>
      </c>
      <c r="C1029" s="149">
        <f t="shared" si="1036"/>
        <v>4</v>
      </c>
      <c r="D1029" s="149" t="str">
        <f t="shared" ref="D1029:F1029" si="1039">D1028</f>
        <v>0,1-1</v>
      </c>
      <c r="E1029" s="149">
        <f t="shared" si="1039"/>
        <v>1</v>
      </c>
      <c r="F1029" s="149" t="str">
        <f t="shared" si="1039"/>
        <v>air</v>
      </c>
      <c r="G1029" s="146" t="str">
        <f t="shared" si="1037"/>
        <v>PHA fibers 0,1-1 mm (emission to air)</v>
      </c>
      <c r="H1029" s="146"/>
      <c r="I1029" s="129">
        <v>2.3E-2</v>
      </c>
      <c r="J1029" s="101" t="s">
        <v>1097</v>
      </c>
      <c r="K1029" s="114">
        <f>K47</f>
        <v>21.270396270396269</v>
      </c>
      <c r="L1029" s="226">
        <f t="shared" si="1038"/>
        <v>11.753424657534248</v>
      </c>
      <c r="M1029" s="158">
        <f>IF(L1029/1000&gt;1000,1000,L1029/1000)</f>
        <v>1.1753424657534248E-2</v>
      </c>
      <c r="N1029" s="610"/>
    </row>
    <row r="1030" spans="1:14" s="102" customFormat="1">
      <c r="A1030" s="173" t="str">
        <f>A1029</f>
        <v>PHA</v>
      </c>
      <c r="B1030" s="150" t="str">
        <f>B1029</f>
        <v>fibers</v>
      </c>
      <c r="C1030" s="150">
        <f t="shared" si="1036"/>
        <v>4</v>
      </c>
      <c r="D1030" s="150" t="str">
        <f t="shared" ref="D1030:F1030" si="1040">D1029</f>
        <v>0,1-1</v>
      </c>
      <c r="E1030" s="150">
        <f t="shared" si="1040"/>
        <v>1</v>
      </c>
      <c r="F1030" s="150" t="str">
        <f t="shared" si="1040"/>
        <v>air</v>
      </c>
      <c r="G1030" s="147" t="str">
        <f t="shared" si="1037"/>
        <v>PHA fibers 0,1-1 mm (emission to air)</v>
      </c>
      <c r="H1030" s="146"/>
      <c r="I1030" s="129">
        <v>0</v>
      </c>
      <c r="J1030" s="101" t="s">
        <v>1034</v>
      </c>
      <c r="K1030" s="151" t="s">
        <v>596</v>
      </c>
      <c r="L1030" s="226">
        <f t="shared" si="1038"/>
        <v>0</v>
      </c>
      <c r="M1030" s="158">
        <f t="shared" ref="M1030" si="1041">IF(L1030/1000&gt;1000,1000,L1030/1000)</f>
        <v>0</v>
      </c>
      <c r="N1030" s="610"/>
    </row>
    <row r="1031" spans="1:14" s="135" customFormat="1">
      <c r="A1031" s="174" t="s">
        <v>20</v>
      </c>
      <c r="B1031" s="185" t="s">
        <v>372</v>
      </c>
      <c r="C1031" s="140">
        <f t="shared" si="1002"/>
        <v>4</v>
      </c>
      <c r="D1031" s="153" t="s">
        <v>1026</v>
      </c>
      <c r="E1031" s="155">
        <v>10</v>
      </c>
      <c r="F1031" s="154" t="s">
        <v>1019</v>
      </c>
      <c r="G1031" s="134" t="str">
        <f t="shared" si="1015"/>
        <v>PHA pellets 1-10 mm (emission to soil)</v>
      </c>
      <c r="H1031" s="148"/>
      <c r="I1031" s="129">
        <v>1</v>
      </c>
      <c r="J1031" s="101" t="s">
        <v>1019</v>
      </c>
      <c r="K1031" s="114">
        <f>K46</f>
        <v>1238.3928571428573</v>
      </c>
      <c r="L1031" s="226">
        <f t="shared" ref="L1031:L1037" si="1042">IFERROR(IF(K1031="--",0,IF(E1031*1000/K1031*(1-0.5)^(C1031/2)&gt;1000,1000,E1031*1000/K1031*(1-0.5)^(C1031/2))),1000)</f>
        <v>2.0187454938716654</v>
      </c>
      <c r="M1031" s="158">
        <f>IF(L1031/1000&gt;1000,1000,L1031/1000)</f>
        <v>2.0187454938716655E-3</v>
      </c>
      <c r="N1031" s="610">
        <f>I1031*M1031+I1032*M1032</f>
        <v>2.0187454938716655E-3</v>
      </c>
    </row>
    <row r="1032" spans="1:14" s="102" customFormat="1">
      <c r="A1032" s="172" t="str">
        <f>A1031</f>
        <v>PHA</v>
      </c>
      <c r="B1032" s="149" t="str">
        <f>B1031</f>
        <v>pellets</v>
      </c>
      <c r="C1032" s="149">
        <f t="shared" si="1002"/>
        <v>4</v>
      </c>
      <c r="D1032" s="149" t="str">
        <f t="shared" ref="D1032:F1033" si="1043">D1031</f>
        <v>1-10</v>
      </c>
      <c r="E1032" s="149">
        <f t="shared" si="1043"/>
        <v>10</v>
      </c>
      <c r="F1032" s="149" t="str">
        <f t="shared" si="1043"/>
        <v>soil</v>
      </c>
      <c r="G1032" s="146" t="str">
        <f t="shared" si="1015"/>
        <v>PHA pellets 1-10 mm (emission to soil)</v>
      </c>
      <c r="H1032" s="146"/>
      <c r="I1032" s="129">
        <v>0</v>
      </c>
      <c r="J1032" s="101" t="s">
        <v>1097</v>
      </c>
      <c r="K1032" s="114">
        <f>K47</f>
        <v>21.270396270396269</v>
      </c>
      <c r="L1032" s="226">
        <f t="shared" si="1042"/>
        <v>117.53424657534248</v>
      </c>
      <c r="M1032" s="158">
        <f>IF(L1032/1000&gt;1000,1000,L1032/1000)</f>
        <v>0.11753424657534248</v>
      </c>
      <c r="N1032" s="610"/>
    </row>
    <row r="1033" spans="1:14" s="102" customFormat="1">
      <c r="A1033" s="173" t="str">
        <f>A1032</f>
        <v>PHA</v>
      </c>
      <c r="B1033" s="150" t="str">
        <f>B1032</f>
        <v>pellets</v>
      </c>
      <c r="C1033" s="150">
        <f t="shared" si="1002"/>
        <v>4</v>
      </c>
      <c r="D1033" s="150" t="str">
        <f t="shared" si="1043"/>
        <v>1-10</v>
      </c>
      <c r="E1033" s="150">
        <f t="shared" si="1043"/>
        <v>10</v>
      </c>
      <c r="F1033" s="150" t="str">
        <f t="shared" si="1043"/>
        <v>soil</v>
      </c>
      <c r="G1033" s="147" t="str">
        <f t="shared" si="1015"/>
        <v>PHA pellets 1-10 mm (emission to soil)</v>
      </c>
      <c r="H1033" s="147">
        <f>H1032</f>
        <v>0</v>
      </c>
      <c r="I1033" s="129">
        <v>0</v>
      </c>
      <c r="J1033" s="101" t="s">
        <v>1034</v>
      </c>
      <c r="K1033" s="114" t="s">
        <v>596</v>
      </c>
      <c r="L1033" s="226">
        <f t="shared" si="1042"/>
        <v>0</v>
      </c>
      <c r="M1033" s="158">
        <f t="shared" ref="M1033:M1037" si="1044">IF(L1033/1000&gt;1000,1000,L1033/1000)</f>
        <v>0</v>
      </c>
      <c r="N1033" s="610"/>
    </row>
    <row r="1034" spans="1:14" s="102" customFormat="1">
      <c r="A1034" s="174" t="s">
        <v>20</v>
      </c>
      <c r="B1034" s="155" t="s">
        <v>372</v>
      </c>
      <c r="C1034" s="290">
        <f t="shared" si="1002"/>
        <v>4</v>
      </c>
      <c r="D1034" s="153" t="s">
        <v>1026</v>
      </c>
      <c r="E1034" s="288">
        <v>10</v>
      </c>
      <c r="F1034" s="189" t="s">
        <v>1020</v>
      </c>
      <c r="G1034" s="144" t="str">
        <f t="shared" si="1015"/>
        <v>PHA pellets 1-10 mm (emission to water)</v>
      </c>
      <c r="H1034" s="192"/>
      <c r="I1034" s="129">
        <v>0</v>
      </c>
      <c r="J1034" s="225" t="s">
        <v>1019</v>
      </c>
      <c r="K1034" s="114">
        <f>K46</f>
        <v>1238.3928571428573</v>
      </c>
      <c r="L1034" s="226">
        <f t="shared" si="1042"/>
        <v>2.0187454938716654</v>
      </c>
      <c r="M1034" s="295">
        <f t="shared" si="1044"/>
        <v>2.0187454938716655E-3</v>
      </c>
      <c r="N1034" s="614" t="e">
        <f>I1034*M1034+I1035*M1035+I1036*M1036</f>
        <v>#VALUE!</v>
      </c>
    </row>
    <row r="1035" spans="1:14" s="102" customFormat="1">
      <c r="A1035" s="172" t="str">
        <f>A1034</f>
        <v>PHA</v>
      </c>
      <c r="B1035" s="149" t="str">
        <f>B1034</f>
        <v>pellets</v>
      </c>
      <c r="C1035" s="149">
        <f t="shared" si="1002"/>
        <v>4</v>
      </c>
      <c r="D1035" s="149" t="str">
        <f t="shared" ref="D1035:F1036" si="1045">D1034</f>
        <v>1-10</v>
      </c>
      <c r="E1035" s="149">
        <f t="shared" si="1045"/>
        <v>10</v>
      </c>
      <c r="F1035" s="149" t="str">
        <f t="shared" si="1045"/>
        <v>water</v>
      </c>
      <c r="G1035" s="146" t="str">
        <f t="shared" si="1015"/>
        <v>PHA pellets 1-10 mm (emission to water)</v>
      </c>
      <c r="H1035" s="146"/>
      <c r="I1035" s="221" t="s">
        <v>1102</v>
      </c>
      <c r="J1035" s="225" t="s">
        <v>1097</v>
      </c>
      <c r="K1035" s="114">
        <f>K47</f>
        <v>21.270396270396269</v>
      </c>
      <c r="L1035" s="226">
        <f t="shared" si="1042"/>
        <v>117.53424657534248</v>
      </c>
      <c r="M1035" s="295">
        <f t="shared" si="1044"/>
        <v>0.11753424657534248</v>
      </c>
      <c r="N1035" s="615"/>
    </row>
    <row r="1036" spans="1:14" s="102" customFormat="1">
      <c r="A1036" s="172" t="str">
        <f>A1035</f>
        <v>PHA</v>
      </c>
      <c r="B1036" s="149" t="str">
        <f>B1035</f>
        <v>pellets</v>
      </c>
      <c r="C1036" s="149">
        <f t="shared" ref="C1036" si="1046">IF(OR(B1036="Folie", B1036="Strips", B1036="Film",B1036="Flakes",B1036="Coupon"), 2,IF(OR(B1036="Fibers",B1036="Pellets"),4,IF(OR(B1036="Particles",B1036="Shreds",B1036="Powder",B1036="Fragments",B1036="Granules"),6,"")))</f>
        <v>4</v>
      </c>
      <c r="D1036" s="149" t="str">
        <f t="shared" si="1045"/>
        <v>1-10</v>
      </c>
      <c r="E1036" s="149">
        <f t="shared" si="1045"/>
        <v>10</v>
      </c>
      <c r="F1036" s="149" t="str">
        <f t="shared" si="1045"/>
        <v>water</v>
      </c>
      <c r="G1036" s="146" t="str">
        <f t="shared" ref="G1036" si="1047">CONCATENATE(A1036," ",B1036," ",D1036," mm (emission to ",F1036,")")</f>
        <v>PHA pellets 1-10 mm (emission to water)</v>
      </c>
      <c r="H1036" s="146"/>
      <c r="I1036" s="221" t="s">
        <v>1102</v>
      </c>
      <c r="J1036" s="225" t="s">
        <v>1096</v>
      </c>
      <c r="K1036" s="114">
        <f>K48</f>
        <v>80.351389947493232</v>
      </c>
      <c r="L1036" s="226">
        <f t="shared" ref="L1036" si="1048">IFERROR(IF(K1036="--",0,IF(E1036*1000/K1036*(1-0.5)^(C1036/2)&gt;1000,1000,E1036*1000/K1036*(1-0.5)^(C1036/2))),1000)</f>
        <v>31.113338569919708</v>
      </c>
      <c r="M1036" s="295">
        <f t="shared" si="1044"/>
        <v>3.1113338569919709E-2</v>
      </c>
      <c r="N1036" s="615"/>
    </row>
    <row r="1037" spans="1:14" s="102" customFormat="1">
      <c r="A1037" s="173" t="str">
        <f>A1035</f>
        <v>PHA</v>
      </c>
      <c r="B1037" s="150" t="str">
        <f>B1035</f>
        <v>pellets</v>
      </c>
      <c r="C1037" s="150">
        <f t="shared" si="1002"/>
        <v>4</v>
      </c>
      <c r="D1037" s="150" t="str">
        <f>D1035</f>
        <v>1-10</v>
      </c>
      <c r="E1037" s="150">
        <f>E1035</f>
        <v>10</v>
      </c>
      <c r="F1037" s="150" t="str">
        <f>F1035</f>
        <v>water</v>
      </c>
      <c r="G1037" s="147" t="str">
        <f t="shared" si="1015"/>
        <v>PHA pellets 1-10 mm (emission to water)</v>
      </c>
      <c r="H1037" s="147"/>
      <c r="I1037" s="129">
        <v>0</v>
      </c>
      <c r="J1037" s="225" t="s">
        <v>1034</v>
      </c>
      <c r="K1037" s="114" t="s">
        <v>596</v>
      </c>
      <c r="L1037" s="226">
        <f t="shared" si="1042"/>
        <v>0</v>
      </c>
      <c r="M1037" s="295">
        <f t="shared" si="1044"/>
        <v>0</v>
      </c>
      <c r="N1037" s="616"/>
    </row>
    <row r="1038" spans="1:14" s="102" customFormat="1">
      <c r="A1038" s="174" t="s">
        <v>20</v>
      </c>
      <c r="B1038" s="287" t="s">
        <v>372</v>
      </c>
      <c r="C1038" s="140">
        <f t="shared" ref="C1038:C1040" si="1049">IF(OR(B1038="Folie", B1038="Strips", B1038="Film",B1038="Flakes",B1038="Coupon"), 2,IF(OR(B1038="Fibers",B1038="Pellets"),4,IF(OR(B1038="Particles",B1038="Shreds",B1038="Powder",B1038="Fragments",B1038="Granules"),6,"")))</f>
        <v>4</v>
      </c>
      <c r="D1038" s="153" t="s">
        <v>1026</v>
      </c>
      <c r="E1038" s="155">
        <v>10</v>
      </c>
      <c r="F1038" s="154" t="s">
        <v>1057</v>
      </c>
      <c r="G1038" s="134" t="str">
        <f t="shared" ref="G1038:G1040" si="1050">CONCATENATE(A1038," ",B1038," ",D1038," mm (emission to ",F1038,")")</f>
        <v>PHA pellets 1-10 mm (emission to air)</v>
      </c>
      <c r="H1038" s="148"/>
      <c r="I1038" s="137">
        <v>0.97699999999999998</v>
      </c>
      <c r="J1038" s="101" t="s">
        <v>1019</v>
      </c>
      <c r="K1038" s="114">
        <f>K46</f>
        <v>1238.3928571428573</v>
      </c>
      <c r="L1038" s="226">
        <f t="shared" ref="L1038:L1040" si="1051">IFERROR(IF(K1038="--",0,IF(E1038*1000/K1038*(1-0.5)^(C1038/2)&gt;1000,1000,E1038*1000/K1038*(1-0.5)^(C1038/2))),1000)</f>
        <v>2.0187454938716654</v>
      </c>
      <c r="M1038" s="158">
        <f>IF(L1038/1000&gt;1000,1000,L1038/1000)</f>
        <v>2.0187454938716655E-3</v>
      </c>
      <c r="N1038" s="610">
        <f>I1038*M1038+I1039*M1039</f>
        <v>4.6756020187454939E-3</v>
      </c>
    </row>
    <row r="1039" spans="1:14" s="102" customFormat="1">
      <c r="A1039" s="172" t="str">
        <f>A1038</f>
        <v>PHA</v>
      </c>
      <c r="B1039" s="149" t="str">
        <f>B1038</f>
        <v>pellets</v>
      </c>
      <c r="C1039" s="149">
        <f t="shared" si="1049"/>
        <v>4</v>
      </c>
      <c r="D1039" s="149" t="str">
        <f t="shared" ref="D1039:F1039" si="1052">D1038</f>
        <v>1-10</v>
      </c>
      <c r="E1039" s="149">
        <f t="shared" si="1052"/>
        <v>10</v>
      </c>
      <c r="F1039" s="149" t="str">
        <f t="shared" si="1052"/>
        <v>air</v>
      </c>
      <c r="G1039" s="146" t="str">
        <f t="shared" si="1050"/>
        <v>PHA pellets 1-10 mm (emission to air)</v>
      </c>
      <c r="H1039" s="146"/>
      <c r="I1039" s="129">
        <v>2.3E-2</v>
      </c>
      <c r="J1039" s="101" t="s">
        <v>1097</v>
      </c>
      <c r="K1039" s="114">
        <f>K47</f>
        <v>21.270396270396269</v>
      </c>
      <c r="L1039" s="226">
        <f t="shared" si="1051"/>
        <v>117.53424657534248</v>
      </c>
      <c r="M1039" s="158">
        <f>IF(L1039/1000&gt;1000,1000,L1039/1000)</f>
        <v>0.11753424657534248</v>
      </c>
      <c r="N1039" s="610"/>
    </row>
    <row r="1040" spans="1:14" s="102" customFormat="1">
      <c r="A1040" s="173" t="str">
        <f>A1039</f>
        <v>PHA</v>
      </c>
      <c r="B1040" s="150" t="str">
        <f>B1039</f>
        <v>pellets</v>
      </c>
      <c r="C1040" s="150">
        <f t="shared" si="1049"/>
        <v>4</v>
      </c>
      <c r="D1040" s="150" t="str">
        <f t="shared" ref="D1040:F1040" si="1053">D1039</f>
        <v>1-10</v>
      </c>
      <c r="E1040" s="150">
        <f t="shared" si="1053"/>
        <v>10</v>
      </c>
      <c r="F1040" s="150" t="str">
        <f t="shared" si="1053"/>
        <v>air</v>
      </c>
      <c r="G1040" s="147" t="str">
        <f t="shared" si="1050"/>
        <v>PHA pellets 1-10 mm (emission to air)</v>
      </c>
      <c r="H1040" s="147">
        <f>H1039</f>
        <v>0</v>
      </c>
      <c r="I1040" s="129">
        <v>0</v>
      </c>
      <c r="J1040" s="101" t="s">
        <v>1034</v>
      </c>
      <c r="K1040" s="114" t="s">
        <v>596</v>
      </c>
      <c r="L1040" s="226">
        <f t="shared" si="1051"/>
        <v>0</v>
      </c>
      <c r="M1040" s="158">
        <f t="shared" ref="M1040" si="1054">IF(L1040/1000&gt;1000,1000,L1040/1000)</f>
        <v>0</v>
      </c>
      <c r="N1040" s="610"/>
    </row>
    <row r="1041" spans="1:14" s="102" customFormat="1">
      <c r="A1041" s="174" t="s">
        <v>20</v>
      </c>
      <c r="B1041" s="186" t="s">
        <v>1025</v>
      </c>
      <c r="C1041" s="188">
        <f t="shared" si="1002"/>
        <v>6</v>
      </c>
      <c r="D1041" s="188" t="s">
        <v>1018</v>
      </c>
      <c r="E1041" s="155">
        <v>0.1</v>
      </c>
      <c r="F1041" s="131" t="s">
        <v>1019</v>
      </c>
      <c r="G1041" s="134" t="str">
        <f t="shared" si="1015"/>
        <v>PHA particles 0,01-0,1 mm (emission to soil)</v>
      </c>
      <c r="H1041" s="133"/>
      <c r="I1041" s="129">
        <v>1</v>
      </c>
      <c r="J1041" s="101" t="s">
        <v>1019</v>
      </c>
      <c r="K1041" s="114">
        <f>K46</f>
        <v>1238.3928571428573</v>
      </c>
      <c r="L1041" s="226">
        <f t="shared" ref="L1041:L1047" si="1055">IFERROR(IF(K1041="--",0,IF(E1041*1000/K1041*(1-0.5)^(C1041/2)&gt;1000,1000,E1041*1000/K1041*(1-0.5)^(C1041/2))),1000)</f>
        <v>1.0093727469358325E-2</v>
      </c>
      <c r="M1041" s="158">
        <f>IF(L1041/1000&gt;1000,1000,L1041/1000)</f>
        <v>1.0093727469358325E-5</v>
      </c>
      <c r="N1041" s="610">
        <f>I1041*M1041+I1042*M1042</f>
        <v>1.0093727469358325E-5</v>
      </c>
    </row>
    <row r="1042" spans="1:14" s="102" customFormat="1">
      <c r="A1042" s="172" t="str">
        <f>A1041</f>
        <v>PHA</v>
      </c>
      <c r="B1042" s="149" t="str">
        <f>B1041</f>
        <v>particles</v>
      </c>
      <c r="C1042" s="149">
        <f t="shared" si="1002"/>
        <v>6</v>
      </c>
      <c r="D1042" s="149" t="str">
        <f t="shared" ref="D1042:F1043" si="1056">D1041</f>
        <v>0,01-0,1</v>
      </c>
      <c r="E1042" s="149">
        <f t="shared" si="1056"/>
        <v>0.1</v>
      </c>
      <c r="F1042" s="149" t="str">
        <f t="shared" si="1056"/>
        <v>soil</v>
      </c>
      <c r="G1042" s="146" t="str">
        <f t="shared" si="1015"/>
        <v>PHA particles 0,01-0,1 mm (emission to soil)</v>
      </c>
      <c r="H1042" s="146"/>
      <c r="I1042" s="129">
        <v>0</v>
      </c>
      <c r="J1042" s="101" t="s">
        <v>1097</v>
      </c>
      <c r="K1042" s="114">
        <f>K47</f>
        <v>21.270396270396269</v>
      </c>
      <c r="L1042" s="226">
        <f t="shared" si="1055"/>
        <v>0.58767123287671241</v>
      </c>
      <c r="M1042" s="158">
        <f>IF(L1042/1000&gt;1000,1000,L1042/1000)</f>
        <v>5.8767123287671238E-4</v>
      </c>
      <c r="N1042" s="610"/>
    </row>
    <row r="1043" spans="1:14" s="102" customFormat="1">
      <c r="A1043" s="173" t="str">
        <f>A1042</f>
        <v>PHA</v>
      </c>
      <c r="B1043" s="150" t="str">
        <f>B1042</f>
        <v>particles</v>
      </c>
      <c r="C1043" s="150">
        <f t="shared" si="1002"/>
        <v>6</v>
      </c>
      <c r="D1043" s="150" t="str">
        <f t="shared" si="1056"/>
        <v>0,01-0,1</v>
      </c>
      <c r="E1043" s="150">
        <f t="shared" si="1056"/>
        <v>0.1</v>
      </c>
      <c r="F1043" s="150" t="str">
        <f t="shared" si="1056"/>
        <v>soil</v>
      </c>
      <c r="G1043" s="147" t="str">
        <f t="shared" si="1015"/>
        <v>PHA particles 0,01-0,1 mm (emission to soil)</v>
      </c>
      <c r="H1043" s="147"/>
      <c r="I1043" s="129">
        <v>0</v>
      </c>
      <c r="J1043" s="101" t="s">
        <v>1034</v>
      </c>
      <c r="K1043" s="114" t="s">
        <v>596</v>
      </c>
      <c r="L1043" s="226">
        <f t="shared" si="1055"/>
        <v>0</v>
      </c>
      <c r="M1043" s="158">
        <f t="shared" ref="M1043:M1047" si="1057">IF(L1043/1000&gt;1000,1000,L1043/1000)</f>
        <v>0</v>
      </c>
      <c r="N1043" s="610"/>
    </row>
    <row r="1044" spans="1:14" s="102" customFormat="1">
      <c r="A1044" s="174" t="s">
        <v>20</v>
      </c>
      <c r="B1044" s="288" t="s">
        <v>1025</v>
      </c>
      <c r="C1044" s="290">
        <f t="shared" si="1002"/>
        <v>6</v>
      </c>
      <c r="D1044" s="290" t="s">
        <v>1018</v>
      </c>
      <c r="E1044" s="155">
        <v>0.1</v>
      </c>
      <c r="F1044" s="206" t="s">
        <v>1020</v>
      </c>
      <c r="G1044" s="144" t="str">
        <f t="shared" si="1015"/>
        <v>PHA particles 0,01-0,1 mm (emission to water)</v>
      </c>
      <c r="H1044" s="133"/>
      <c r="I1044" s="129">
        <v>0</v>
      </c>
      <c r="J1044" s="225" t="s">
        <v>1019</v>
      </c>
      <c r="K1044" s="114">
        <f>K46</f>
        <v>1238.3928571428573</v>
      </c>
      <c r="L1044" s="226">
        <f t="shared" si="1055"/>
        <v>1.0093727469358325E-2</v>
      </c>
      <c r="M1044" s="295">
        <f t="shared" si="1057"/>
        <v>1.0093727469358325E-5</v>
      </c>
      <c r="N1044" s="614" t="e">
        <f>I1044*M1044+I1045*M1045+I1046*M1046</f>
        <v>#VALUE!</v>
      </c>
    </row>
    <row r="1045" spans="1:14" s="102" customFormat="1">
      <c r="A1045" s="172" t="str">
        <f>A1044</f>
        <v>PHA</v>
      </c>
      <c r="B1045" s="149" t="str">
        <f>B1044</f>
        <v>particles</v>
      </c>
      <c r="C1045" s="149">
        <f t="shared" si="1002"/>
        <v>6</v>
      </c>
      <c r="D1045" s="149" t="str">
        <f t="shared" ref="D1045:F1046" si="1058">D1044</f>
        <v>0,01-0,1</v>
      </c>
      <c r="E1045" s="149">
        <f t="shared" si="1058"/>
        <v>0.1</v>
      </c>
      <c r="F1045" s="149" t="str">
        <f t="shared" si="1058"/>
        <v>water</v>
      </c>
      <c r="G1045" s="146" t="str">
        <f t="shared" si="1015"/>
        <v>PHA particles 0,01-0,1 mm (emission to water)</v>
      </c>
      <c r="H1045" s="146"/>
      <c r="I1045" s="221" t="s">
        <v>1102</v>
      </c>
      <c r="J1045" s="225" t="s">
        <v>1097</v>
      </c>
      <c r="K1045" s="114">
        <f>K47</f>
        <v>21.270396270396269</v>
      </c>
      <c r="L1045" s="226">
        <f t="shared" si="1055"/>
        <v>0.58767123287671241</v>
      </c>
      <c r="M1045" s="295">
        <f t="shared" si="1057"/>
        <v>5.8767123287671238E-4</v>
      </c>
      <c r="N1045" s="615"/>
    </row>
    <row r="1046" spans="1:14" s="102" customFormat="1">
      <c r="A1046" s="172" t="str">
        <f>A1045</f>
        <v>PHA</v>
      </c>
      <c r="B1046" s="149" t="str">
        <f>B1045</f>
        <v>particles</v>
      </c>
      <c r="C1046" s="149">
        <f t="shared" ref="C1046" si="1059">IF(OR(B1046="Folie", B1046="Strips", B1046="Film",B1046="Flakes",B1046="Coupon"), 2,IF(OR(B1046="Fibers",B1046="Pellets"),4,IF(OR(B1046="Particles",B1046="Shreds",B1046="Powder",B1046="Fragments",B1046="Granules"),6,"")))</f>
        <v>6</v>
      </c>
      <c r="D1046" s="149" t="str">
        <f t="shared" si="1058"/>
        <v>0,01-0,1</v>
      </c>
      <c r="E1046" s="149">
        <f t="shared" si="1058"/>
        <v>0.1</v>
      </c>
      <c r="F1046" s="149" t="str">
        <f t="shared" si="1058"/>
        <v>water</v>
      </c>
      <c r="G1046" s="146" t="str">
        <f t="shared" ref="G1046" si="1060">CONCATENATE(A1046," ",B1046," ",D1046," mm (emission to ",F1046,")")</f>
        <v>PHA particles 0,01-0,1 mm (emission to water)</v>
      </c>
      <c r="H1046" s="146"/>
      <c r="I1046" s="221" t="s">
        <v>1102</v>
      </c>
      <c r="J1046" s="225" t="s">
        <v>1096</v>
      </c>
      <c r="K1046" s="114">
        <f>K48</f>
        <v>80.351389947493232</v>
      </c>
      <c r="L1046" s="226">
        <f t="shared" ref="L1046" si="1061">IFERROR(IF(K1046="--",0,IF(E1046*1000/K1046*(1-0.5)^(C1046/2)&gt;1000,1000,E1046*1000/K1046*(1-0.5)^(C1046/2))),1000)</f>
        <v>0.15556669284959854</v>
      </c>
      <c r="M1046" s="295">
        <f t="shared" si="1057"/>
        <v>1.5556669284959854E-4</v>
      </c>
      <c r="N1046" s="615"/>
    </row>
    <row r="1047" spans="1:14" s="102" customFormat="1">
      <c r="A1047" s="173" t="str">
        <f>A1045</f>
        <v>PHA</v>
      </c>
      <c r="B1047" s="150" t="str">
        <f>B1045</f>
        <v>particles</v>
      </c>
      <c r="C1047" s="150">
        <f t="shared" si="1002"/>
        <v>6</v>
      </c>
      <c r="D1047" s="150" t="str">
        <f>D1045</f>
        <v>0,01-0,1</v>
      </c>
      <c r="E1047" s="150">
        <f>E1045</f>
        <v>0.1</v>
      </c>
      <c r="F1047" s="150" t="str">
        <f>F1045</f>
        <v>water</v>
      </c>
      <c r="G1047" s="147" t="str">
        <f t="shared" si="1015"/>
        <v>PHA particles 0,01-0,1 mm (emission to water)</v>
      </c>
      <c r="H1047" s="147"/>
      <c r="I1047" s="129">
        <v>0</v>
      </c>
      <c r="J1047" s="225" t="s">
        <v>1034</v>
      </c>
      <c r="K1047" s="151" t="s">
        <v>596</v>
      </c>
      <c r="L1047" s="226">
        <f t="shared" si="1055"/>
        <v>0</v>
      </c>
      <c r="M1047" s="295">
        <f t="shared" si="1057"/>
        <v>0</v>
      </c>
      <c r="N1047" s="616"/>
    </row>
    <row r="1048" spans="1:14" s="102" customFormat="1">
      <c r="A1048" s="174" t="s">
        <v>20</v>
      </c>
      <c r="B1048" s="288" t="s">
        <v>1025</v>
      </c>
      <c r="C1048" s="290">
        <f t="shared" ref="C1048:C1050" si="1062">IF(OR(B1048="Folie", B1048="Strips", B1048="Film",B1048="Flakes",B1048="Coupon"), 2,IF(OR(B1048="Fibers",B1048="Pellets"),4,IF(OR(B1048="Particles",B1048="Shreds",B1048="Powder",B1048="Fragments",B1048="Granules"),6,"")))</f>
        <v>6</v>
      </c>
      <c r="D1048" s="290" t="s">
        <v>1018</v>
      </c>
      <c r="E1048" s="155">
        <v>0.1</v>
      </c>
      <c r="F1048" s="131" t="s">
        <v>1057</v>
      </c>
      <c r="G1048" s="134" t="str">
        <f t="shared" ref="G1048:G1050" si="1063">CONCATENATE(A1048," ",B1048," ",D1048," mm (emission to ",F1048,")")</f>
        <v>PHA particles 0,01-0,1 mm (emission to air)</v>
      </c>
      <c r="H1048" s="133"/>
      <c r="I1048" s="137">
        <v>0.97699999999999998</v>
      </c>
      <c r="J1048" s="101" t="s">
        <v>1019</v>
      </c>
      <c r="K1048" s="114">
        <f>K46</f>
        <v>1238.3928571428573</v>
      </c>
      <c r="L1048" s="226">
        <f t="shared" ref="L1048:L1050" si="1064">IFERROR(IF(K1048="--",0,IF(E1048*1000/K1048*(1-0.5)^(C1048/2)&gt;1000,1000,E1048*1000/K1048*(1-0.5)^(C1048/2))),1000)</f>
        <v>1.0093727469358325E-2</v>
      </c>
      <c r="M1048" s="158">
        <f>IF(L1048/1000&gt;1000,1000,L1048/1000)</f>
        <v>1.0093727469358325E-5</v>
      </c>
      <c r="N1048" s="610">
        <f>I1048*M1048+I1049*M1049</f>
        <v>2.3378010093727468E-5</v>
      </c>
    </row>
    <row r="1049" spans="1:14" s="102" customFormat="1">
      <c r="A1049" s="172" t="str">
        <f>A1048</f>
        <v>PHA</v>
      </c>
      <c r="B1049" s="149" t="str">
        <f>B1048</f>
        <v>particles</v>
      </c>
      <c r="C1049" s="149">
        <f t="shared" si="1062"/>
        <v>6</v>
      </c>
      <c r="D1049" s="149" t="str">
        <f t="shared" ref="D1049:F1049" si="1065">D1048</f>
        <v>0,01-0,1</v>
      </c>
      <c r="E1049" s="149">
        <f t="shared" si="1065"/>
        <v>0.1</v>
      </c>
      <c r="F1049" s="149" t="str">
        <f t="shared" si="1065"/>
        <v>air</v>
      </c>
      <c r="G1049" s="146" t="str">
        <f t="shared" si="1063"/>
        <v>PHA particles 0,01-0,1 mm (emission to air)</v>
      </c>
      <c r="H1049" s="146"/>
      <c r="I1049" s="129">
        <v>2.3E-2</v>
      </c>
      <c r="J1049" s="101" t="s">
        <v>1097</v>
      </c>
      <c r="K1049" s="114">
        <f>K47</f>
        <v>21.270396270396269</v>
      </c>
      <c r="L1049" s="226">
        <f t="shared" si="1064"/>
        <v>0.58767123287671241</v>
      </c>
      <c r="M1049" s="158">
        <f>IF(L1049/1000&gt;1000,1000,L1049/1000)</f>
        <v>5.8767123287671238E-4</v>
      </c>
      <c r="N1049" s="610"/>
    </row>
    <row r="1050" spans="1:14" s="102" customFormat="1">
      <c r="A1050" s="173" t="str">
        <f>A1049</f>
        <v>PHA</v>
      </c>
      <c r="B1050" s="150" t="str">
        <f>B1049</f>
        <v>particles</v>
      </c>
      <c r="C1050" s="150">
        <f t="shared" si="1062"/>
        <v>6</v>
      </c>
      <c r="D1050" s="150" t="str">
        <f t="shared" ref="D1050:F1050" si="1066">D1049</f>
        <v>0,01-0,1</v>
      </c>
      <c r="E1050" s="150">
        <f t="shared" si="1066"/>
        <v>0.1</v>
      </c>
      <c r="F1050" s="150" t="str">
        <f t="shared" si="1066"/>
        <v>air</v>
      </c>
      <c r="G1050" s="147" t="str">
        <f t="shared" si="1063"/>
        <v>PHA particles 0,01-0,1 mm (emission to air)</v>
      </c>
      <c r="H1050" s="147"/>
      <c r="I1050" s="129">
        <v>0</v>
      </c>
      <c r="J1050" s="101" t="s">
        <v>1034</v>
      </c>
      <c r="K1050" s="114" t="s">
        <v>596</v>
      </c>
      <c r="L1050" s="226">
        <f t="shared" si="1064"/>
        <v>0</v>
      </c>
      <c r="M1050" s="158">
        <f t="shared" ref="M1050" si="1067">IF(L1050/1000&gt;1000,1000,L1050/1000)</f>
        <v>0</v>
      </c>
      <c r="N1050" s="610"/>
    </row>
    <row r="1051" spans="1:14" s="102" customFormat="1">
      <c r="A1051" s="174" t="s">
        <v>20</v>
      </c>
      <c r="B1051" s="186" t="s">
        <v>1025</v>
      </c>
      <c r="C1051" s="188">
        <f t="shared" si="1002"/>
        <v>6</v>
      </c>
      <c r="D1051" s="188" t="s">
        <v>1028</v>
      </c>
      <c r="E1051" s="155">
        <v>1</v>
      </c>
      <c r="F1051" s="131" t="s">
        <v>1019</v>
      </c>
      <c r="G1051" s="134" t="str">
        <f t="shared" si="1015"/>
        <v>PHA particles 0,1-1 mm (emission to soil)</v>
      </c>
      <c r="H1051" s="133"/>
      <c r="I1051" s="129">
        <v>1</v>
      </c>
      <c r="J1051" s="101" t="s">
        <v>1019</v>
      </c>
      <c r="K1051" s="114">
        <f>K46</f>
        <v>1238.3928571428573</v>
      </c>
      <c r="L1051" s="226">
        <f t="shared" ref="L1051:L1057" si="1068">IFERROR(IF(K1051="--",0,IF(E1051*1000/K1051*(1-0.5)^(C1051/2)&gt;1000,1000,E1051*1000/K1051*(1-0.5)^(C1051/2))),1000)</f>
        <v>0.10093727469358325</v>
      </c>
      <c r="M1051" s="158">
        <f>IF(L1051/1000&gt;1000,1000,L1051/1000)</f>
        <v>1.0093727469358325E-4</v>
      </c>
      <c r="N1051" s="610">
        <f>I1051*M1051+I1052*M1052</f>
        <v>1.0093727469358325E-4</v>
      </c>
    </row>
    <row r="1052" spans="1:14" s="102" customFormat="1">
      <c r="A1052" s="172" t="str">
        <f>A1051</f>
        <v>PHA</v>
      </c>
      <c r="B1052" s="149" t="str">
        <f>B1051</f>
        <v>particles</v>
      </c>
      <c r="C1052" s="149">
        <f t="shared" si="1002"/>
        <v>6</v>
      </c>
      <c r="D1052" s="149" t="str">
        <f t="shared" ref="D1052:F1053" si="1069">D1051</f>
        <v>0,1-1</v>
      </c>
      <c r="E1052" s="149">
        <f t="shared" si="1069"/>
        <v>1</v>
      </c>
      <c r="F1052" s="149" t="str">
        <f t="shared" si="1069"/>
        <v>soil</v>
      </c>
      <c r="G1052" s="146" t="str">
        <f t="shared" si="1015"/>
        <v>PHA particles 0,1-1 mm (emission to soil)</v>
      </c>
      <c r="H1052" s="146"/>
      <c r="I1052" s="129">
        <v>0</v>
      </c>
      <c r="J1052" s="101" t="s">
        <v>1097</v>
      </c>
      <c r="K1052" s="114">
        <f>K47</f>
        <v>21.270396270396269</v>
      </c>
      <c r="L1052" s="226">
        <f t="shared" si="1068"/>
        <v>5.8767123287671241</v>
      </c>
      <c r="M1052" s="158">
        <f>IF(L1052/1000&gt;1000,1000,L1052/1000)</f>
        <v>5.8767123287671238E-3</v>
      </c>
      <c r="N1052" s="610"/>
    </row>
    <row r="1053" spans="1:14" s="102" customFormat="1">
      <c r="A1053" s="173" t="str">
        <f>A1052</f>
        <v>PHA</v>
      </c>
      <c r="B1053" s="150" t="str">
        <f>B1052</f>
        <v>particles</v>
      </c>
      <c r="C1053" s="150">
        <f t="shared" si="1002"/>
        <v>6</v>
      </c>
      <c r="D1053" s="150" t="str">
        <f t="shared" si="1069"/>
        <v>0,1-1</v>
      </c>
      <c r="E1053" s="150">
        <f t="shared" si="1069"/>
        <v>1</v>
      </c>
      <c r="F1053" s="150" t="str">
        <f t="shared" si="1069"/>
        <v>soil</v>
      </c>
      <c r="G1053" s="147" t="str">
        <f t="shared" si="1015"/>
        <v>PHA particles 0,1-1 mm (emission to soil)</v>
      </c>
      <c r="H1053" s="147"/>
      <c r="I1053" s="129">
        <v>0</v>
      </c>
      <c r="J1053" s="101" t="s">
        <v>1034</v>
      </c>
      <c r="K1053" s="151" t="s">
        <v>596</v>
      </c>
      <c r="L1053" s="226">
        <f t="shared" si="1068"/>
        <v>0</v>
      </c>
      <c r="M1053" s="158">
        <f t="shared" ref="M1053:M1057" si="1070">IF(L1053/1000&gt;1000,1000,L1053/1000)</f>
        <v>0</v>
      </c>
      <c r="N1053" s="610"/>
    </row>
    <row r="1054" spans="1:14" s="102" customFormat="1">
      <c r="A1054" s="174" t="s">
        <v>20</v>
      </c>
      <c r="B1054" s="288" t="s">
        <v>1025</v>
      </c>
      <c r="C1054" s="290">
        <f t="shared" si="1002"/>
        <v>6</v>
      </c>
      <c r="D1054" s="290" t="s">
        <v>1028</v>
      </c>
      <c r="E1054" s="290">
        <v>1</v>
      </c>
      <c r="F1054" s="206" t="s">
        <v>1020</v>
      </c>
      <c r="G1054" s="144" t="str">
        <f t="shared" si="1015"/>
        <v>PHA particles 0,1-1 mm (emission to water)</v>
      </c>
      <c r="H1054" s="133"/>
      <c r="I1054" s="129">
        <v>0</v>
      </c>
      <c r="J1054" s="225" t="s">
        <v>1019</v>
      </c>
      <c r="K1054" s="114">
        <f>K46</f>
        <v>1238.3928571428573</v>
      </c>
      <c r="L1054" s="226">
        <f t="shared" si="1068"/>
        <v>0.10093727469358325</v>
      </c>
      <c r="M1054" s="295">
        <f t="shared" si="1070"/>
        <v>1.0093727469358325E-4</v>
      </c>
      <c r="N1054" s="614" t="e">
        <f>I1054*M1054+I1055*M1055+I1056*M1056</f>
        <v>#VALUE!</v>
      </c>
    </row>
    <row r="1055" spans="1:14" s="102" customFormat="1">
      <c r="A1055" s="172" t="str">
        <f>A1054</f>
        <v>PHA</v>
      </c>
      <c r="B1055" s="149" t="str">
        <f>B1054</f>
        <v>particles</v>
      </c>
      <c r="C1055" s="149">
        <f t="shared" si="1002"/>
        <v>6</v>
      </c>
      <c r="D1055" s="149" t="str">
        <f t="shared" ref="D1055:F1056" si="1071">D1054</f>
        <v>0,1-1</v>
      </c>
      <c r="E1055" s="149">
        <f t="shared" si="1071"/>
        <v>1</v>
      </c>
      <c r="F1055" s="149" t="str">
        <f t="shared" si="1071"/>
        <v>water</v>
      </c>
      <c r="G1055" s="146" t="str">
        <f t="shared" si="1015"/>
        <v>PHA particles 0,1-1 mm (emission to water)</v>
      </c>
      <c r="H1055" s="146"/>
      <c r="I1055" s="221" t="s">
        <v>1102</v>
      </c>
      <c r="J1055" s="225" t="s">
        <v>1097</v>
      </c>
      <c r="K1055" s="114">
        <f>K47</f>
        <v>21.270396270396269</v>
      </c>
      <c r="L1055" s="226">
        <f t="shared" si="1068"/>
        <v>5.8767123287671241</v>
      </c>
      <c r="M1055" s="295">
        <f t="shared" si="1070"/>
        <v>5.8767123287671238E-3</v>
      </c>
      <c r="N1055" s="615"/>
    </row>
    <row r="1056" spans="1:14" s="102" customFormat="1">
      <c r="A1056" s="172" t="str">
        <f>A1055</f>
        <v>PHA</v>
      </c>
      <c r="B1056" s="149" t="str">
        <f>B1055</f>
        <v>particles</v>
      </c>
      <c r="C1056" s="149">
        <f t="shared" ref="C1056" si="1072">IF(OR(B1056="Folie", B1056="Strips", B1056="Film",B1056="Flakes",B1056="Coupon"), 2,IF(OR(B1056="Fibers",B1056="Pellets"),4,IF(OR(B1056="Particles",B1056="Shreds",B1056="Powder",B1056="Fragments",B1056="Granules"),6,"")))</f>
        <v>6</v>
      </c>
      <c r="D1056" s="149" t="str">
        <f t="shared" si="1071"/>
        <v>0,1-1</v>
      </c>
      <c r="E1056" s="149">
        <f t="shared" si="1071"/>
        <v>1</v>
      </c>
      <c r="F1056" s="149" t="str">
        <f t="shared" si="1071"/>
        <v>water</v>
      </c>
      <c r="G1056" s="146" t="str">
        <f t="shared" ref="G1056" si="1073">CONCATENATE(A1056," ",B1056," ",D1056," mm (emission to ",F1056,")")</f>
        <v>PHA particles 0,1-1 mm (emission to water)</v>
      </c>
      <c r="H1056" s="146"/>
      <c r="I1056" s="221" t="s">
        <v>1102</v>
      </c>
      <c r="J1056" s="225" t="s">
        <v>1096</v>
      </c>
      <c r="K1056" s="114">
        <f>K48</f>
        <v>80.351389947493232</v>
      </c>
      <c r="L1056" s="226">
        <f t="shared" ref="L1056" si="1074">IFERROR(IF(K1056="--",0,IF(E1056*1000/K1056*(1-0.5)^(C1056/2)&gt;1000,1000,E1056*1000/K1056*(1-0.5)^(C1056/2))),1000)</f>
        <v>1.5556669284959854</v>
      </c>
      <c r="M1056" s="295">
        <f t="shared" si="1070"/>
        <v>1.5556669284959854E-3</v>
      </c>
      <c r="N1056" s="615"/>
    </row>
    <row r="1057" spans="1:14" s="102" customFormat="1">
      <c r="A1057" s="173" t="str">
        <f>A1055</f>
        <v>PHA</v>
      </c>
      <c r="B1057" s="150" t="str">
        <f>B1055</f>
        <v>particles</v>
      </c>
      <c r="C1057" s="150">
        <f t="shared" si="1002"/>
        <v>6</v>
      </c>
      <c r="D1057" s="150" t="str">
        <f>D1055</f>
        <v>0,1-1</v>
      </c>
      <c r="E1057" s="150">
        <f>E1055</f>
        <v>1</v>
      </c>
      <c r="F1057" s="150" t="str">
        <f>F1055</f>
        <v>water</v>
      </c>
      <c r="G1057" s="147" t="str">
        <f t="shared" si="1015"/>
        <v>PHA particles 0,1-1 mm (emission to water)</v>
      </c>
      <c r="H1057" s="147"/>
      <c r="I1057" s="129">
        <v>0</v>
      </c>
      <c r="J1057" s="225" t="s">
        <v>1034</v>
      </c>
      <c r="K1057" s="151" t="s">
        <v>596</v>
      </c>
      <c r="L1057" s="226">
        <f t="shared" si="1068"/>
        <v>0</v>
      </c>
      <c r="M1057" s="295">
        <f t="shared" si="1070"/>
        <v>0</v>
      </c>
      <c r="N1057" s="616"/>
    </row>
    <row r="1058" spans="1:14" s="102" customFormat="1">
      <c r="A1058" s="174" t="s">
        <v>20</v>
      </c>
      <c r="B1058" s="288" t="s">
        <v>1025</v>
      </c>
      <c r="C1058" s="290">
        <f t="shared" ref="C1058:C1060" si="1075">IF(OR(B1058="Folie", B1058="Strips", B1058="Film",B1058="Flakes",B1058="Coupon"), 2,IF(OR(B1058="Fibers",B1058="Pellets"),4,IF(OR(B1058="Particles",B1058="Shreds",B1058="Powder",B1058="Fragments",B1058="Granules"),6,"")))</f>
        <v>6</v>
      </c>
      <c r="D1058" s="290" t="s">
        <v>1028</v>
      </c>
      <c r="E1058" s="155">
        <v>1</v>
      </c>
      <c r="F1058" s="131" t="s">
        <v>1057</v>
      </c>
      <c r="G1058" s="134" t="str">
        <f t="shared" ref="G1058:G1060" si="1076">CONCATENATE(A1058," ",B1058," ",D1058," mm (emission to ",F1058,")")</f>
        <v>PHA particles 0,1-1 mm (emission to air)</v>
      </c>
      <c r="H1058" s="133"/>
      <c r="I1058" s="137">
        <v>0.97699999999999998</v>
      </c>
      <c r="J1058" s="101" t="s">
        <v>1019</v>
      </c>
      <c r="K1058" s="114">
        <f>K46</f>
        <v>1238.3928571428573</v>
      </c>
      <c r="L1058" s="226">
        <f t="shared" ref="L1058:L1060" si="1077">IFERROR(IF(K1058="--",0,IF(E1058*1000/K1058*(1-0.5)^(C1058/2)&gt;1000,1000,E1058*1000/K1058*(1-0.5)^(C1058/2))),1000)</f>
        <v>0.10093727469358325</v>
      </c>
      <c r="M1058" s="158">
        <f>IF(L1058/1000&gt;1000,1000,L1058/1000)</f>
        <v>1.0093727469358325E-4</v>
      </c>
      <c r="N1058" s="610">
        <f>I1058*M1058+I1059*M1059</f>
        <v>2.3378010093727471E-4</v>
      </c>
    </row>
    <row r="1059" spans="1:14" s="102" customFormat="1">
      <c r="A1059" s="172" t="str">
        <f>A1058</f>
        <v>PHA</v>
      </c>
      <c r="B1059" s="149" t="str">
        <f>B1058</f>
        <v>particles</v>
      </c>
      <c r="C1059" s="149">
        <f t="shared" si="1075"/>
        <v>6</v>
      </c>
      <c r="D1059" s="149" t="str">
        <f t="shared" ref="D1059:F1059" si="1078">D1058</f>
        <v>0,1-1</v>
      </c>
      <c r="E1059" s="149">
        <f t="shared" si="1078"/>
        <v>1</v>
      </c>
      <c r="F1059" s="149" t="str">
        <f t="shared" si="1078"/>
        <v>air</v>
      </c>
      <c r="G1059" s="146" t="str">
        <f t="shared" si="1076"/>
        <v>PHA particles 0,1-1 mm (emission to air)</v>
      </c>
      <c r="H1059" s="146"/>
      <c r="I1059" s="129">
        <v>2.3E-2</v>
      </c>
      <c r="J1059" s="101" t="s">
        <v>1097</v>
      </c>
      <c r="K1059" s="114">
        <f>K47</f>
        <v>21.270396270396269</v>
      </c>
      <c r="L1059" s="226">
        <f t="shared" si="1077"/>
        <v>5.8767123287671241</v>
      </c>
      <c r="M1059" s="158">
        <f>IF(L1059/1000&gt;1000,1000,L1059/1000)</f>
        <v>5.8767123287671238E-3</v>
      </c>
      <c r="N1059" s="610"/>
    </row>
    <row r="1060" spans="1:14" s="102" customFormat="1">
      <c r="A1060" s="173" t="str">
        <f>A1059</f>
        <v>PHA</v>
      </c>
      <c r="B1060" s="150" t="str">
        <f>B1059</f>
        <v>particles</v>
      </c>
      <c r="C1060" s="150">
        <f t="shared" si="1075"/>
        <v>6</v>
      </c>
      <c r="D1060" s="150" t="str">
        <f t="shared" ref="D1060:F1060" si="1079">D1059</f>
        <v>0,1-1</v>
      </c>
      <c r="E1060" s="150">
        <f t="shared" si="1079"/>
        <v>1</v>
      </c>
      <c r="F1060" s="150" t="str">
        <f t="shared" si="1079"/>
        <v>air</v>
      </c>
      <c r="G1060" s="147" t="str">
        <f t="shared" si="1076"/>
        <v>PHA particles 0,1-1 mm (emission to air)</v>
      </c>
      <c r="H1060" s="147"/>
      <c r="I1060" s="129">
        <v>0</v>
      </c>
      <c r="J1060" s="101" t="s">
        <v>1034</v>
      </c>
      <c r="K1060" s="151" t="s">
        <v>596</v>
      </c>
      <c r="L1060" s="226">
        <f t="shared" si="1077"/>
        <v>0</v>
      </c>
      <c r="M1060" s="158">
        <f t="shared" ref="M1060" si="1080">IF(L1060/1000&gt;1000,1000,L1060/1000)</f>
        <v>0</v>
      </c>
      <c r="N1060" s="610"/>
    </row>
    <row r="1061" spans="1:14" s="102" customFormat="1">
      <c r="A1061" s="174" t="s">
        <v>20</v>
      </c>
      <c r="B1061" s="288" t="s">
        <v>1025</v>
      </c>
      <c r="C1061" s="290">
        <f t="shared" si="1002"/>
        <v>6</v>
      </c>
      <c r="D1061" s="290" t="s">
        <v>1026</v>
      </c>
      <c r="E1061" s="155">
        <v>10</v>
      </c>
      <c r="F1061" s="206" t="s">
        <v>1019</v>
      </c>
      <c r="G1061" s="144" t="str">
        <f t="shared" si="1015"/>
        <v>PHA particles 1-10 mm (emission to soil)</v>
      </c>
      <c r="H1061" s="133"/>
      <c r="I1061" s="129">
        <v>1</v>
      </c>
      <c r="J1061" s="101" t="s">
        <v>1019</v>
      </c>
      <c r="K1061" s="114">
        <f>K46</f>
        <v>1238.3928571428573</v>
      </c>
      <c r="L1061" s="226">
        <f t="shared" ref="L1061:L1067" si="1081">IFERROR(IF(K1061="--",0,IF(E1061*1000/K1061*(1-0.5)^(C1061/2)&gt;1000,1000,E1061*1000/K1061*(1-0.5)^(C1061/2))),1000)</f>
        <v>1.0093727469358327</v>
      </c>
      <c r="M1061" s="158">
        <f>IF(L1061/1000&gt;1000,1000,L1061/1000)</f>
        <v>1.0093727469358328E-3</v>
      </c>
      <c r="N1061" s="610">
        <f>I1061*M1061+I1062*M1062</f>
        <v>1.0093727469358328E-3</v>
      </c>
    </row>
    <row r="1062" spans="1:14" s="102" customFormat="1">
      <c r="A1062" s="172" t="str">
        <f>A1061</f>
        <v>PHA</v>
      </c>
      <c r="B1062" s="149" t="str">
        <f>B1061</f>
        <v>particles</v>
      </c>
      <c r="C1062" s="149">
        <f t="shared" si="1002"/>
        <v>6</v>
      </c>
      <c r="D1062" s="149" t="str">
        <f t="shared" ref="D1062:F1063" si="1082">D1061</f>
        <v>1-10</v>
      </c>
      <c r="E1062" s="149">
        <f t="shared" si="1082"/>
        <v>10</v>
      </c>
      <c r="F1062" s="149" t="str">
        <f t="shared" si="1082"/>
        <v>soil</v>
      </c>
      <c r="G1062" s="146" t="str">
        <f t="shared" si="1015"/>
        <v>PHA particles 1-10 mm (emission to soil)</v>
      </c>
      <c r="H1062" s="146"/>
      <c r="I1062" s="129">
        <v>0</v>
      </c>
      <c r="J1062" s="101" t="s">
        <v>1097</v>
      </c>
      <c r="K1062" s="114">
        <f>K47</f>
        <v>21.270396270396269</v>
      </c>
      <c r="L1062" s="226">
        <f t="shared" si="1081"/>
        <v>58.767123287671239</v>
      </c>
      <c r="M1062" s="158">
        <f>IF(L1062/1000&gt;1000,1000,L1062/1000)</f>
        <v>5.8767123287671238E-2</v>
      </c>
      <c r="N1062" s="610"/>
    </row>
    <row r="1063" spans="1:14" s="102" customFormat="1">
      <c r="A1063" s="173" t="str">
        <f>A1062</f>
        <v>PHA</v>
      </c>
      <c r="B1063" s="150" t="str">
        <f>B1062</f>
        <v>particles</v>
      </c>
      <c r="C1063" s="150">
        <f t="shared" si="1002"/>
        <v>6</v>
      </c>
      <c r="D1063" s="150" t="str">
        <f t="shared" si="1082"/>
        <v>1-10</v>
      </c>
      <c r="E1063" s="150">
        <f t="shared" si="1082"/>
        <v>10</v>
      </c>
      <c r="F1063" s="150" t="str">
        <f t="shared" si="1082"/>
        <v>soil</v>
      </c>
      <c r="G1063" s="147" t="str">
        <f t="shared" si="1015"/>
        <v>PHA particles 1-10 mm (emission to soil)</v>
      </c>
      <c r="H1063" s="147"/>
      <c r="I1063" s="129">
        <v>0</v>
      </c>
      <c r="J1063" s="101" t="s">
        <v>1034</v>
      </c>
      <c r="K1063" s="151" t="s">
        <v>596</v>
      </c>
      <c r="L1063" s="226">
        <f t="shared" si="1081"/>
        <v>0</v>
      </c>
      <c r="M1063" s="158">
        <f t="shared" ref="M1063:M1067" si="1083">IF(L1063/1000&gt;1000,1000,L1063/1000)</f>
        <v>0</v>
      </c>
      <c r="N1063" s="610"/>
    </row>
    <row r="1064" spans="1:14" s="102" customFormat="1">
      <c r="A1064" s="174" t="s">
        <v>20</v>
      </c>
      <c r="B1064" s="288" t="s">
        <v>1025</v>
      </c>
      <c r="C1064" s="290">
        <f t="shared" si="1002"/>
        <v>6</v>
      </c>
      <c r="D1064" s="290" t="s">
        <v>1026</v>
      </c>
      <c r="E1064" s="288">
        <v>10</v>
      </c>
      <c r="F1064" s="206" t="s">
        <v>1020</v>
      </c>
      <c r="G1064" s="144" t="str">
        <f t="shared" si="1015"/>
        <v>PHA particles 1-10 mm (emission to water)</v>
      </c>
      <c r="H1064" s="133"/>
      <c r="I1064" s="129">
        <v>0</v>
      </c>
      <c r="J1064" s="225" t="s">
        <v>1019</v>
      </c>
      <c r="K1064" s="114">
        <f>K46</f>
        <v>1238.3928571428573</v>
      </c>
      <c r="L1064" s="226">
        <f t="shared" si="1081"/>
        <v>1.0093727469358327</v>
      </c>
      <c r="M1064" s="295">
        <f t="shared" si="1083"/>
        <v>1.0093727469358328E-3</v>
      </c>
      <c r="N1064" s="614" t="e">
        <f>I1064*M1064+I1065*M1065+I1066*M1066</f>
        <v>#VALUE!</v>
      </c>
    </row>
    <row r="1065" spans="1:14" s="102" customFormat="1">
      <c r="A1065" s="172" t="str">
        <f>A1064</f>
        <v>PHA</v>
      </c>
      <c r="B1065" s="149" t="str">
        <f>B1064</f>
        <v>particles</v>
      </c>
      <c r="C1065" s="149">
        <f t="shared" si="1002"/>
        <v>6</v>
      </c>
      <c r="D1065" s="149" t="str">
        <f t="shared" ref="D1065:F1066" si="1084">D1064</f>
        <v>1-10</v>
      </c>
      <c r="E1065" s="149">
        <f t="shared" si="1084"/>
        <v>10</v>
      </c>
      <c r="F1065" s="149" t="str">
        <f t="shared" si="1084"/>
        <v>water</v>
      </c>
      <c r="G1065" s="146" t="str">
        <f t="shared" ref="G1065:G1077" si="1085">CONCATENATE(A1065," ",B1065," ",D1065," mm (emission to ",F1065,")")</f>
        <v>PHA particles 1-10 mm (emission to water)</v>
      </c>
      <c r="H1065" s="146"/>
      <c r="I1065" s="221" t="s">
        <v>1102</v>
      </c>
      <c r="J1065" s="225" t="s">
        <v>1097</v>
      </c>
      <c r="K1065" s="114">
        <f>K47</f>
        <v>21.270396270396269</v>
      </c>
      <c r="L1065" s="226">
        <f t="shared" si="1081"/>
        <v>58.767123287671239</v>
      </c>
      <c r="M1065" s="295">
        <f t="shared" si="1083"/>
        <v>5.8767123287671238E-2</v>
      </c>
      <c r="N1065" s="615"/>
    </row>
    <row r="1066" spans="1:14" s="102" customFormat="1">
      <c r="A1066" s="172" t="str">
        <f>A1065</f>
        <v>PHA</v>
      </c>
      <c r="B1066" s="149" t="str">
        <f>B1065</f>
        <v>particles</v>
      </c>
      <c r="C1066" s="149">
        <f t="shared" ref="C1066" si="1086">IF(OR(B1066="Folie", B1066="Strips", B1066="Film",B1066="Flakes",B1066="Coupon"), 2,IF(OR(B1066="Fibers",B1066="Pellets"),4,IF(OR(B1066="Particles",B1066="Shreds",B1066="Powder",B1066="Fragments",B1066="Granules"),6,"")))</f>
        <v>6</v>
      </c>
      <c r="D1066" s="149" t="str">
        <f t="shared" si="1084"/>
        <v>1-10</v>
      </c>
      <c r="E1066" s="149">
        <f t="shared" si="1084"/>
        <v>10</v>
      </c>
      <c r="F1066" s="149" t="str">
        <f t="shared" si="1084"/>
        <v>water</v>
      </c>
      <c r="G1066" s="146" t="str">
        <f t="shared" si="1085"/>
        <v>PHA particles 1-10 mm (emission to water)</v>
      </c>
      <c r="H1066" s="146"/>
      <c r="I1066" s="221" t="s">
        <v>1102</v>
      </c>
      <c r="J1066" s="225" t="s">
        <v>1096</v>
      </c>
      <c r="K1066" s="114">
        <f>K48</f>
        <v>80.351389947493232</v>
      </c>
      <c r="L1066" s="226">
        <f t="shared" ref="L1066" si="1087">IFERROR(IF(K1066="--",0,IF(E1066*1000/K1066*(1-0.5)^(C1066/2)&gt;1000,1000,E1066*1000/K1066*(1-0.5)^(C1066/2))),1000)</f>
        <v>15.556669284959854</v>
      </c>
      <c r="M1066" s="295">
        <f t="shared" si="1083"/>
        <v>1.5556669284959855E-2</v>
      </c>
      <c r="N1066" s="615"/>
    </row>
    <row r="1067" spans="1:14" s="102" customFormat="1">
      <c r="A1067" s="173" t="str">
        <f>A1065</f>
        <v>PHA</v>
      </c>
      <c r="B1067" s="150" t="str">
        <f>B1065</f>
        <v>particles</v>
      </c>
      <c r="C1067" s="150">
        <f t="shared" si="1002"/>
        <v>6</v>
      </c>
      <c r="D1067" s="150" t="str">
        <f>D1065</f>
        <v>1-10</v>
      </c>
      <c r="E1067" s="150">
        <f>E1065</f>
        <v>10</v>
      </c>
      <c r="F1067" s="150" t="str">
        <f>F1065</f>
        <v>water</v>
      </c>
      <c r="G1067" s="147" t="str">
        <f t="shared" si="1085"/>
        <v>PHA particles 1-10 mm (emission to water)</v>
      </c>
      <c r="H1067" s="147">
        <f>H1065</f>
        <v>0</v>
      </c>
      <c r="I1067" s="129">
        <v>0</v>
      </c>
      <c r="J1067" s="225" t="s">
        <v>1034</v>
      </c>
      <c r="K1067" s="114" t="s">
        <v>596</v>
      </c>
      <c r="L1067" s="226">
        <f t="shared" si="1081"/>
        <v>0</v>
      </c>
      <c r="M1067" s="295">
        <f t="shared" si="1083"/>
        <v>0</v>
      </c>
      <c r="N1067" s="616"/>
    </row>
    <row r="1068" spans="1:14" s="102" customFormat="1">
      <c r="A1068" s="174" t="s">
        <v>20</v>
      </c>
      <c r="B1068" s="288" t="s">
        <v>1025</v>
      </c>
      <c r="C1068" s="290">
        <f t="shared" ref="C1068:C1070" si="1088">IF(OR(B1068="Folie", B1068="Strips", B1068="Film",B1068="Flakes",B1068="Coupon"), 2,IF(OR(B1068="Fibers",B1068="Pellets"),4,IF(OR(B1068="Particles",B1068="Shreds",B1068="Powder",B1068="Fragments",B1068="Granules"),6,"")))</f>
        <v>6</v>
      </c>
      <c r="D1068" s="290" t="s">
        <v>1026</v>
      </c>
      <c r="E1068" s="155">
        <v>10</v>
      </c>
      <c r="F1068" s="206" t="s">
        <v>1057</v>
      </c>
      <c r="G1068" s="144" t="str">
        <f t="shared" si="1085"/>
        <v>PHA particles 1-10 mm (emission to air)</v>
      </c>
      <c r="H1068" s="133"/>
      <c r="I1068" s="137">
        <v>0.97699999999999998</v>
      </c>
      <c r="J1068" s="101" t="s">
        <v>1019</v>
      </c>
      <c r="K1068" s="114">
        <f>K46</f>
        <v>1238.3928571428573</v>
      </c>
      <c r="L1068" s="226">
        <f t="shared" ref="L1068:L1070" si="1089">IFERROR(IF(K1068="--",0,IF(E1068*1000/K1068*(1-0.5)^(C1068/2)&gt;1000,1000,E1068*1000/K1068*(1-0.5)^(C1068/2))),1000)</f>
        <v>1.0093727469358327</v>
      </c>
      <c r="M1068" s="158">
        <f>IF(L1068/1000&gt;1000,1000,L1068/1000)</f>
        <v>1.0093727469358328E-3</v>
      </c>
      <c r="N1068" s="610">
        <f>I1068*M1068+I1069*M1069</f>
        <v>2.337801009372747E-3</v>
      </c>
    </row>
    <row r="1069" spans="1:14" s="102" customFormat="1">
      <c r="A1069" s="172" t="str">
        <f>A1068</f>
        <v>PHA</v>
      </c>
      <c r="B1069" s="149" t="str">
        <f>B1068</f>
        <v>particles</v>
      </c>
      <c r="C1069" s="149">
        <f t="shared" si="1088"/>
        <v>6</v>
      </c>
      <c r="D1069" s="149" t="str">
        <f t="shared" ref="D1069:F1069" si="1090">D1068</f>
        <v>1-10</v>
      </c>
      <c r="E1069" s="149">
        <f t="shared" si="1090"/>
        <v>10</v>
      </c>
      <c r="F1069" s="149" t="str">
        <f t="shared" si="1090"/>
        <v>air</v>
      </c>
      <c r="G1069" s="146" t="str">
        <f t="shared" si="1085"/>
        <v>PHA particles 1-10 mm (emission to air)</v>
      </c>
      <c r="H1069" s="146"/>
      <c r="I1069" s="129">
        <v>2.3E-2</v>
      </c>
      <c r="J1069" s="101" t="s">
        <v>1097</v>
      </c>
      <c r="K1069" s="114">
        <f>K47</f>
        <v>21.270396270396269</v>
      </c>
      <c r="L1069" s="226">
        <f t="shared" si="1089"/>
        <v>58.767123287671239</v>
      </c>
      <c r="M1069" s="158">
        <f>IF(L1069/1000&gt;1000,1000,L1069/1000)</f>
        <v>5.8767123287671238E-2</v>
      </c>
      <c r="N1069" s="610"/>
    </row>
    <row r="1070" spans="1:14" s="102" customFormat="1" ht="13.5" thickBot="1">
      <c r="A1070" s="173" t="str">
        <f>A1069</f>
        <v>PHA</v>
      </c>
      <c r="B1070" s="150" t="str">
        <f>B1069</f>
        <v>particles</v>
      </c>
      <c r="C1070" s="150">
        <f t="shared" si="1088"/>
        <v>6</v>
      </c>
      <c r="D1070" s="150" t="str">
        <f t="shared" ref="D1070:F1070" si="1091">D1069</f>
        <v>1-10</v>
      </c>
      <c r="E1070" s="178">
        <f t="shared" si="1091"/>
        <v>10</v>
      </c>
      <c r="F1070" s="178" t="str">
        <f t="shared" si="1091"/>
        <v>air</v>
      </c>
      <c r="G1070" s="179" t="str">
        <f t="shared" si="1085"/>
        <v>PHA particles 1-10 mm (emission to air)</v>
      </c>
      <c r="H1070" s="179"/>
      <c r="I1070" s="277">
        <v>0</v>
      </c>
      <c r="J1070" s="180" t="s">
        <v>1034</v>
      </c>
      <c r="K1070" s="278" t="s">
        <v>596</v>
      </c>
      <c r="L1070" s="279">
        <f t="shared" si="1089"/>
        <v>0</v>
      </c>
      <c r="M1070" s="158">
        <f t="shared" ref="M1070" si="1092">IF(L1070/1000&gt;1000,1000,L1070/1000)</f>
        <v>0</v>
      </c>
      <c r="N1070" s="610"/>
    </row>
    <row r="1071" spans="1:14" s="102" customFormat="1">
      <c r="A1071" s="163" t="s">
        <v>647</v>
      </c>
      <c r="B1071" s="164" t="s">
        <v>996</v>
      </c>
      <c r="C1071" s="165">
        <f>IF(OR(B1071="Folie", B1071="Strips", B1071="Film",B1071="Flakes",B1071="Coupon"), 2,IF(OR(B1071="Fibers",B1071="Pellets"),4,IF(OR(B1071="Particles",B1071="Shreds",B1071="Powder",B1071="Fragments",B1071="Granules"),6,"")))</f>
        <v>2</v>
      </c>
      <c r="D1071" s="165" t="s">
        <v>1028</v>
      </c>
      <c r="E1071" s="293">
        <v>1</v>
      </c>
      <c r="F1071" s="292" t="s">
        <v>1019</v>
      </c>
      <c r="G1071" s="168" t="str">
        <f t="shared" si="1085"/>
        <v>PEA film 0,1-1 mm (emission to soil)</v>
      </c>
      <c r="H1071" s="168"/>
      <c r="I1071" s="169">
        <v>1</v>
      </c>
      <c r="J1071" s="170" t="s">
        <v>1019</v>
      </c>
      <c r="K1071" s="171">
        <f>K49</f>
        <v>397.58928571428572</v>
      </c>
      <c r="L1071" s="276">
        <f t="shared" ref="L1071:L1077" si="1093">IFERROR(IF(K1071="--",0,IF(E1071*1000/K1071*(1-0.5)^(C1071/2)&gt;1000,1000,E1071*1000/K1071*(1-0.5)^(C1071/2))),1000)</f>
        <v>1.2575791601167752</v>
      </c>
      <c r="M1071" s="158">
        <f>IF(L1071/1000&gt;1000,1000,L1071/1000)</f>
        <v>1.2575791601167751E-3</v>
      </c>
      <c r="N1071" s="610">
        <f>I1071*M1071+I1072*M1072</f>
        <v>1.2575791601167751E-3</v>
      </c>
    </row>
    <row r="1072" spans="1:14" s="102" customFormat="1">
      <c r="A1072" s="172" t="str">
        <f>A1071</f>
        <v>PEA</v>
      </c>
      <c r="B1072" s="149" t="str">
        <f>B1071</f>
        <v>film</v>
      </c>
      <c r="C1072" s="149">
        <f t="shared" ref="C1072:C1137" si="1094">IF(OR(B1072="Folie", B1072="Strips", B1072="Film",B1072="Flakes",B1072="Coupon"), 2,IF(OR(B1072="Fibers",B1072="Pellets"),4,IF(OR(B1072="Particles",B1072="Shreds",B1072="Powder",B1072="Fragments",B1072="Granules"),6,"")))</f>
        <v>2</v>
      </c>
      <c r="D1072" s="149" t="str">
        <f t="shared" ref="D1072:F1073" si="1095">D1071</f>
        <v>0,1-1</v>
      </c>
      <c r="E1072" s="149">
        <f t="shared" si="1095"/>
        <v>1</v>
      </c>
      <c r="F1072" s="149" t="str">
        <f t="shared" si="1095"/>
        <v>soil</v>
      </c>
      <c r="G1072" s="146" t="str">
        <f t="shared" si="1085"/>
        <v>PEA film 0,1-1 mm (emission to soil)</v>
      </c>
      <c r="H1072" s="146"/>
      <c r="I1072" s="129">
        <v>0</v>
      </c>
      <c r="J1072" s="101" t="s">
        <v>1097</v>
      </c>
      <c r="K1072" s="114">
        <f>K50</f>
        <v>397.58928571428572</v>
      </c>
      <c r="L1072" s="226">
        <f t="shared" si="1093"/>
        <v>1.2575791601167752</v>
      </c>
      <c r="M1072" s="158">
        <f>IF(L1072/1000&gt;1000,1000,L1072/1000)</f>
        <v>1.2575791601167751E-3</v>
      </c>
      <c r="N1072" s="610"/>
    </row>
    <row r="1073" spans="1:14" s="102" customFormat="1">
      <c r="A1073" s="173" t="str">
        <f>A1072</f>
        <v>PEA</v>
      </c>
      <c r="B1073" s="150" t="str">
        <f>B1072</f>
        <v>film</v>
      </c>
      <c r="C1073" s="150">
        <f t="shared" si="1094"/>
        <v>2</v>
      </c>
      <c r="D1073" s="150" t="str">
        <f t="shared" si="1095"/>
        <v>0,1-1</v>
      </c>
      <c r="E1073" s="150">
        <f t="shared" si="1095"/>
        <v>1</v>
      </c>
      <c r="F1073" s="150" t="str">
        <f t="shared" si="1095"/>
        <v>soil</v>
      </c>
      <c r="G1073" s="147" t="str">
        <f t="shared" si="1085"/>
        <v>PEA film 0,1-1 mm (emission to soil)</v>
      </c>
      <c r="H1073" s="147"/>
      <c r="I1073" s="129">
        <v>0</v>
      </c>
      <c r="J1073" s="101" t="s">
        <v>1034</v>
      </c>
      <c r="K1073" s="151" t="s">
        <v>596</v>
      </c>
      <c r="L1073" s="226">
        <f t="shared" si="1093"/>
        <v>0</v>
      </c>
      <c r="M1073" s="158">
        <f t="shared" ref="M1073:M1077" si="1096">IF(L1073/1000&gt;1000,1000,L1073/1000)</f>
        <v>0</v>
      </c>
      <c r="N1073" s="610"/>
    </row>
    <row r="1074" spans="1:14" s="102" customFormat="1">
      <c r="A1074" s="174" t="s">
        <v>647</v>
      </c>
      <c r="B1074" s="288" t="s">
        <v>996</v>
      </c>
      <c r="C1074" s="290">
        <f t="shared" si="1094"/>
        <v>2</v>
      </c>
      <c r="D1074" s="290" t="s">
        <v>1028</v>
      </c>
      <c r="E1074" s="290">
        <v>1</v>
      </c>
      <c r="F1074" s="206" t="s">
        <v>1020</v>
      </c>
      <c r="G1074" s="144" t="str">
        <f t="shared" si="1085"/>
        <v>PEA film 0,1-1 mm (emission to water)</v>
      </c>
      <c r="H1074" s="144"/>
      <c r="I1074" s="129">
        <v>0</v>
      </c>
      <c r="J1074" s="225" t="s">
        <v>1019</v>
      </c>
      <c r="K1074" s="114">
        <f>K49</f>
        <v>397.58928571428572</v>
      </c>
      <c r="L1074" s="226">
        <f t="shared" si="1093"/>
        <v>1.2575791601167752</v>
      </c>
      <c r="M1074" s="295">
        <f t="shared" si="1096"/>
        <v>1.2575791601167751E-3</v>
      </c>
      <c r="N1074" s="614" t="e">
        <f>I1074*M1074+I1075*M1075+I1076*M1076</f>
        <v>#VALUE!</v>
      </c>
    </row>
    <row r="1075" spans="1:14" s="102" customFormat="1">
      <c r="A1075" s="172" t="str">
        <f>A1074</f>
        <v>PEA</v>
      </c>
      <c r="B1075" s="149" t="str">
        <f>B1074</f>
        <v>film</v>
      </c>
      <c r="C1075" s="149">
        <f t="shared" si="1094"/>
        <v>2</v>
      </c>
      <c r="D1075" s="149" t="str">
        <f t="shared" ref="D1075:F1076" si="1097">D1074</f>
        <v>0,1-1</v>
      </c>
      <c r="E1075" s="149">
        <f t="shared" si="1097"/>
        <v>1</v>
      </c>
      <c r="F1075" s="149" t="str">
        <f t="shared" si="1097"/>
        <v>water</v>
      </c>
      <c r="G1075" s="146" t="str">
        <f t="shared" si="1085"/>
        <v>PEA film 0,1-1 mm (emission to water)</v>
      </c>
      <c r="H1075" s="146"/>
      <c r="I1075" s="221" t="s">
        <v>1102</v>
      </c>
      <c r="J1075" s="225" t="s">
        <v>1097</v>
      </c>
      <c r="K1075" s="114">
        <f>K50</f>
        <v>397.58928571428572</v>
      </c>
      <c r="L1075" s="226">
        <f t="shared" si="1093"/>
        <v>1.2575791601167752</v>
      </c>
      <c r="M1075" s="295">
        <f t="shared" si="1096"/>
        <v>1.2575791601167751E-3</v>
      </c>
      <c r="N1075" s="615"/>
    </row>
    <row r="1076" spans="1:14" s="102" customFormat="1">
      <c r="A1076" s="172" t="str">
        <f>A1075</f>
        <v>PEA</v>
      </c>
      <c r="B1076" s="149" t="str">
        <f>B1075</f>
        <v>film</v>
      </c>
      <c r="C1076" s="149">
        <f t="shared" si="1094"/>
        <v>2</v>
      </c>
      <c r="D1076" s="149" t="str">
        <f t="shared" si="1097"/>
        <v>0,1-1</v>
      </c>
      <c r="E1076" s="149">
        <f t="shared" si="1097"/>
        <v>1</v>
      </c>
      <c r="F1076" s="149" t="str">
        <f t="shared" si="1097"/>
        <v>water</v>
      </c>
      <c r="G1076" s="146" t="str">
        <f t="shared" si="1085"/>
        <v>PEA film 0,1-1 mm (emission to water)</v>
      </c>
      <c r="H1076" s="146"/>
      <c r="I1076" s="221" t="s">
        <v>1102</v>
      </c>
      <c r="J1076" s="225" t="s">
        <v>1096</v>
      </c>
      <c r="K1076" s="114">
        <f>K51</f>
        <v>397.58928571428572</v>
      </c>
      <c r="L1076" s="226">
        <f t="shared" ref="L1076" si="1098">IFERROR(IF(K1076="--",0,IF(E1076*1000/K1076*(1-0.5)^(C1076/2)&gt;1000,1000,E1076*1000/K1076*(1-0.5)^(C1076/2))),1000)</f>
        <v>1.2575791601167752</v>
      </c>
      <c r="M1076" s="295">
        <f t="shared" si="1096"/>
        <v>1.2575791601167751E-3</v>
      </c>
      <c r="N1076" s="615"/>
    </row>
    <row r="1077" spans="1:14" s="102" customFormat="1">
      <c r="A1077" s="173" t="str">
        <f>A1075</f>
        <v>PEA</v>
      </c>
      <c r="B1077" s="150" t="str">
        <f>B1075</f>
        <v>film</v>
      </c>
      <c r="C1077" s="150">
        <f t="shared" si="1094"/>
        <v>2</v>
      </c>
      <c r="D1077" s="150" t="str">
        <f>D1075</f>
        <v>0,1-1</v>
      </c>
      <c r="E1077" s="150">
        <f>E1075</f>
        <v>1</v>
      </c>
      <c r="F1077" s="150" t="str">
        <f>F1075</f>
        <v>water</v>
      </c>
      <c r="G1077" s="147" t="str">
        <f t="shared" si="1085"/>
        <v>PEA film 0,1-1 mm (emission to water)</v>
      </c>
      <c r="H1077" s="147"/>
      <c r="I1077" s="129">
        <v>0</v>
      </c>
      <c r="J1077" s="225" t="s">
        <v>1034</v>
      </c>
      <c r="K1077" s="151" t="s">
        <v>596</v>
      </c>
      <c r="L1077" s="226">
        <f t="shared" si="1093"/>
        <v>0</v>
      </c>
      <c r="M1077" s="295">
        <f t="shared" si="1096"/>
        <v>0</v>
      </c>
      <c r="N1077" s="616"/>
    </row>
    <row r="1078" spans="1:14" s="102" customFormat="1">
      <c r="A1078" s="174" t="s">
        <v>647</v>
      </c>
      <c r="B1078" s="288" t="s">
        <v>996</v>
      </c>
      <c r="C1078" s="290">
        <f>IF(OR(B1078="Folie", B1078="Strips", B1078="Film",B1078="Flakes",B1078="Coupon"), 2,IF(OR(B1078="Fibers",B1078="Pellets"),4,IF(OR(B1078="Particles",B1078="Shreds",B1078="Powder",B1078="Fragments",B1078="Granules"),6,"")))</f>
        <v>2</v>
      </c>
      <c r="D1078" s="290" t="s">
        <v>1028</v>
      </c>
      <c r="E1078" s="155">
        <v>1</v>
      </c>
      <c r="F1078" s="206" t="s">
        <v>1057</v>
      </c>
      <c r="G1078" s="144" t="str">
        <f t="shared" ref="G1078:G1080" si="1099">CONCATENATE(A1078," ",B1078," ",D1078," mm (emission to ",F1078,")")</f>
        <v>PEA film 0,1-1 mm (emission to air)</v>
      </c>
      <c r="H1078" s="144"/>
      <c r="I1078" s="137">
        <v>0.97699999999999998</v>
      </c>
      <c r="J1078" s="101" t="s">
        <v>1019</v>
      </c>
      <c r="K1078" s="114">
        <f>K49</f>
        <v>397.58928571428572</v>
      </c>
      <c r="L1078" s="226">
        <f t="shared" ref="L1078:L1080" si="1100">IFERROR(IF(K1078="--",0,IF(E1078*1000/K1078*(1-0.5)^(C1078/2)&gt;1000,1000,E1078*1000/K1078*(1-0.5)^(C1078/2))),1000)</f>
        <v>1.2575791601167752</v>
      </c>
      <c r="M1078" s="158">
        <f>IF(L1078/1000&gt;1000,1000,L1078/1000)</f>
        <v>1.2575791601167751E-3</v>
      </c>
      <c r="N1078" s="610">
        <f>I1078*M1078+I1079*M1079</f>
        <v>1.2575791601167751E-3</v>
      </c>
    </row>
    <row r="1079" spans="1:14" s="102" customFormat="1">
      <c r="A1079" s="172" t="str">
        <f>A1078</f>
        <v>PEA</v>
      </c>
      <c r="B1079" s="149" t="str">
        <f>B1078</f>
        <v>film</v>
      </c>
      <c r="C1079" s="149">
        <f t="shared" ref="C1079:C1080" si="1101">IF(OR(B1079="Folie", B1079="Strips", B1079="Film",B1079="Flakes",B1079="Coupon"), 2,IF(OR(B1079="Fibers",B1079="Pellets"),4,IF(OR(B1079="Particles",B1079="Shreds",B1079="Powder",B1079="Fragments",B1079="Granules"),6,"")))</f>
        <v>2</v>
      </c>
      <c r="D1079" s="149" t="str">
        <f t="shared" ref="D1079:F1079" si="1102">D1078</f>
        <v>0,1-1</v>
      </c>
      <c r="E1079" s="149">
        <f t="shared" si="1102"/>
        <v>1</v>
      </c>
      <c r="F1079" s="149" t="str">
        <f t="shared" si="1102"/>
        <v>air</v>
      </c>
      <c r="G1079" s="146" t="str">
        <f t="shared" si="1099"/>
        <v>PEA film 0,1-1 mm (emission to air)</v>
      </c>
      <c r="H1079" s="146"/>
      <c r="I1079" s="129">
        <v>2.3E-2</v>
      </c>
      <c r="J1079" s="101" t="s">
        <v>1097</v>
      </c>
      <c r="K1079" s="114">
        <f>K50</f>
        <v>397.58928571428572</v>
      </c>
      <c r="L1079" s="226">
        <f t="shared" si="1100"/>
        <v>1.2575791601167752</v>
      </c>
      <c r="M1079" s="158">
        <f>IF(L1079/1000&gt;1000,1000,L1079/1000)</f>
        <v>1.2575791601167751E-3</v>
      </c>
      <c r="N1079" s="610"/>
    </row>
    <row r="1080" spans="1:14" s="102" customFormat="1">
      <c r="A1080" s="173" t="str">
        <f>A1079</f>
        <v>PEA</v>
      </c>
      <c r="B1080" s="150" t="str">
        <f>B1079</f>
        <v>film</v>
      </c>
      <c r="C1080" s="150">
        <f t="shared" si="1101"/>
        <v>2</v>
      </c>
      <c r="D1080" s="150" t="str">
        <f t="shared" ref="D1080:F1080" si="1103">D1079</f>
        <v>0,1-1</v>
      </c>
      <c r="E1080" s="150">
        <f t="shared" si="1103"/>
        <v>1</v>
      </c>
      <c r="F1080" s="150" t="str">
        <f t="shared" si="1103"/>
        <v>air</v>
      </c>
      <c r="G1080" s="147" t="str">
        <f t="shared" si="1099"/>
        <v>PEA film 0,1-1 mm (emission to air)</v>
      </c>
      <c r="H1080" s="147"/>
      <c r="I1080" s="129">
        <v>0</v>
      </c>
      <c r="J1080" s="101" t="s">
        <v>1034</v>
      </c>
      <c r="K1080" s="151" t="s">
        <v>596</v>
      </c>
      <c r="L1080" s="226">
        <f t="shared" si="1100"/>
        <v>0</v>
      </c>
      <c r="M1080" s="158">
        <f t="shared" ref="M1080" si="1104">IF(L1080/1000&gt;1000,1000,L1080/1000)</f>
        <v>0</v>
      </c>
      <c r="N1080" s="610"/>
    </row>
    <row r="1081" spans="1:14" s="102" customFormat="1">
      <c r="A1081" s="174" t="s">
        <v>647</v>
      </c>
      <c r="B1081" s="159" t="s">
        <v>996</v>
      </c>
      <c r="C1081" s="290">
        <f t="shared" si="1094"/>
        <v>2</v>
      </c>
      <c r="D1081" s="290" t="s">
        <v>1026</v>
      </c>
      <c r="E1081" s="155">
        <v>10</v>
      </c>
      <c r="F1081" s="206" t="s">
        <v>1019</v>
      </c>
      <c r="G1081" s="144" t="str">
        <f t="shared" ref="G1081:G1134" si="1105">CONCATENATE(A1081," ",B1081," ",D1081," mm (emission to ",F1081,")")</f>
        <v>PEA film 1-10 mm (emission to soil)</v>
      </c>
      <c r="H1081" s="144"/>
      <c r="I1081" s="129">
        <v>1</v>
      </c>
      <c r="J1081" s="101" t="s">
        <v>1019</v>
      </c>
      <c r="K1081" s="114">
        <f>K49</f>
        <v>397.58928571428572</v>
      </c>
      <c r="L1081" s="226">
        <f t="shared" ref="L1081:L1087" si="1106">IFERROR(IF(K1081="--",0,IF(E1081*1000/K1081*(1-0.5)^(C1081/2)&gt;1000,1000,E1081*1000/K1081*(1-0.5)^(C1081/2))),1000)</f>
        <v>12.575791601167753</v>
      </c>
      <c r="M1081" s="158">
        <f>IF(L1081/1000&gt;1000,1000,L1081/1000)</f>
        <v>1.2575791601167752E-2</v>
      </c>
      <c r="N1081" s="610">
        <f>I1081*M1081+I1082*M1082</f>
        <v>1.2575791601167752E-2</v>
      </c>
    </row>
    <row r="1082" spans="1:14" s="102" customFormat="1">
      <c r="A1082" s="172" t="str">
        <f>A1081</f>
        <v>PEA</v>
      </c>
      <c r="B1082" s="149" t="str">
        <f>B1081</f>
        <v>film</v>
      </c>
      <c r="C1082" s="149">
        <f t="shared" si="1094"/>
        <v>2</v>
      </c>
      <c r="D1082" s="149" t="str">
        <f t="shared" ref="D1082:F1083" si="1107">D1081</f>
        <v>1-10</v>
      </c>
      <c r="E1082" s="149">
        <f t="shared" si="1107"/>
        <v>10</v>
      </c>
      <c r="F1082" s="149" t="str">
        <f t="shared" si="1107"/>
        <v>soil</v>
      </c>
      <c r="G1082" s="146" t="str">
        <f t="shared" si="1105"/>
        <v>PEA film 1-10 mm (emission to soil)</v>
      </c>
      <c r="H1082" s="146"/>
      <c r="I1082" s="129">
        <v>0</v>
      </c>
      <c r="J1082" s="101" t="s">
        <v>1097</v>
      </c>
      <c r="K1082" s="114">
        <f>K50</f>
        <v>397.58928571428572</v>
      </c>
      <c r="L1082" s="226">
        <f t="shared" si="1106"/>
        <v>12.575791601167753</v>
      </c>
      <c r="M1082" s="158">
        <f>IF(L1082/1000&gt;1000,1000,L1082/1000)</f>
        <v>1.2575791601167752E-2</v>
      </c>
      <c r="N1082" s="610"/>
    </row>
    <row r="1083" spans="1:14" s="102" customFormat="1">
      <c r="A1083" s="173" t="str">
        <f>A1082</f>
        <v>PEA</v>
      </c>
      <c r="B1083" s="150" t="str">
        <f>B1082</f>
        <v>film</v>
      </c>
      <c r="C1083" s="150">
        <f t="shared" si="1094"/>
        <v>2</v>
      </c>
      <c r="D1083" s="150" t="str">
        <f t="shared" si="1107"/>
        <v>1-10</v>
      </c>
      <c r="E1083" s="150">
        <f t="shared" si="1107"/>
        <v>10</v>
      </c>
      <c r="F1083" s="150" t="str">
        <f t="shared" si="1107"/>
        <v>soil</v>
      </c>
      <c r="G1083" s="147" t="str">
        <f t="shared" si="1105"/>
        <v>PEA film 1-10 mm (emission to soil)</v>
      </c>
      <c r="H1083" s="147"/>
      <c r="I1083" s="129">
        <v>0</v>
      </c>
      <c r="J1083" s="101" t="s">
        <v>1034</v>
      </c>
      <c r="K1083" s="114" t="s">
        <v>596</v>
      </c>
      <c r="L1083" s="226">
        <f t="shared" si="1106"/>
        <v>0</v>
      </c>
      <c r="M1083" s="158">
        <f t="shared" ref="M1083:M1087" si="1108">IF(L1083/1000&gt;1000,1000,L1083/1000)</f>
        <v>0</v>
      </c>
      <c r="N1083" s="610"/>
    </row>
    <row r="1084" spans="1:14" s="102" customFormat="1">
      <c r="A1084" s="174" t="s">
        <v>647</v>
      </c>
      <c r="B1084" s="159" t="s">
        <v>996</v>
      </c>
      <c r="C1084" s="290">
        <f t="shared" si="1094"/>
        <v>2</v>
      </c>
      <c r="D1084" s="290" t="s">
        <v>1026</v>
      </c>
      <c r="E1084" s="288">
        <v>10</v>
      </c>
      <c r="F1084" s="206" t="s">
        <v>1020</v>
      </c>
      <c r="G1084" s="144" t="str">
        <f t="shared" si="1105"/>
        <v>PEA film 1-10 mm (emission to water)</v>
      </c>
      <c r="H1084" s="144"/>
      <c r="I1084" s="129">
        <v>0</v>
      </c>
      <c r="J1084" s="225" t="s">
        <v>1019</v>
      </c>
      <c r="K1084" s="114">
        <f>K49</f>
        <v>397.58928571428572</v>
      </c>
      <c r="L1084" s="226">
        <f t="shared" si="1106"/>
        <v>12.575791601167753</v>
      </c>
      <c r="M1084" s="295">
        <f t="shared" si="1108"/>
        <v>1.2575791601167752E-2</v>
      </c>
      <c r="N1084" s="614" t="e">
        <f>I1084*M1084+I1085*M1085+I1086*M1086</f>
        <v>#VALUE!</v>
      </c>
    </row>
    <row r="1085" spans="1:14" s="102" customFormat="1">
      <c r="A1085" s="172" t="str">
        <f>A1084</f>
        <v>PEA</v>
      </c>
      <c r="B1085" s="149" t="str">
        <f>B1084</f>
        <v>film</v>
      </c>
      <c r="C1085" s="149">
        <f t="shared" si="1094"/>
        <v>2</v>
      </c>
      <c r="D1085" s="149" t="str">
        <f t="shared" ref="D1085:F1086" si="1109">D1084</f>
        <v>1-10</v>
      </c>
      <c r="E1085" s="149">
        <f t="shared" si="1109"/>
        <v>10</v>
      </c>
      <c r="F1085" s="149" t="str">
        <f t="shared" si="1109"/>
        <v>water</v>
      </c>
      <c r="G1085" s="146" t="str">
        <f t="shared" si="1105"/>
        <v>PEA film 1-10 mm (emission to water)</v>
      </c>
      <c r="H1085" s="146"/>
      <c r="I1085" s="221" t="s">
        <v>1102</v>
      </c>
      <c r="J1085" s="225" t="s">
        <v>1097</v>
      </c>
      <c r="K1085" s="114">
        <f>K50</f>
        <v>397.58928571428572</v>
      </c>
      <c r="L1085" s="226">
        <f t="shared" si="1106"/>
        <v>12.575791601167753</v>
      </c>
      <c r="M1085" s="295">
        <f t="shared" si="1108"/>
        <v>1.2575791601167752E-2</v>
      </c>
      <c r="N1085" s="615"/>
    </row>
    <row r="1086" spans="1:14" s="102" customFormat="1">
      <c r="A1086" s="172" t="str">
        <f>A1085</f>
        <v>PEA</v>
      </c>
      <c r="B1086" s="149" t="str">
        <f>B1085</f>
        <v>film</v>
      </c>
      <c r="C1086" s="149">
        <f t="shared" si="1094"/>
        <v>2</v>
      </c>
      <c r="D1086" s="149" t="str">
        <f t="shared" si="1109"/>
        <v>1-10</v>
      </c>
      <c r="E1086" s="149">
        <f t="shared" si="1109"/>
        <v>10</v>
      </c>
      <c r="F1086" s="149" t="str">
        <f t="shared" si="1109"/>
        <v>water</v>
      </c>
      <c r="G1086" s="146" t="str">
        <f t="shared" si="1105"/>
        <v>PEA film 1-10 mm (emission to water)</v>
      </c>
      <c r="H1086" s="146"/>
      <c r="I1086" s="221" t="s">
        <v>1102</v>
      </c>
      <c r="J1086" s="225" t="s">
        <v>1096</v>
      </c>
      <c r="K1086" s="114">
        <f>K51</f>
        <v>397.58928571428572</v>
      </c>
      <c r="L1086" s="226">
        <f t="shared" ref="L1086" si="1110">IFERROR(IF(K1086="--",0,IF(E1086*1000/K1086*(1-0.5)^(C1086/2)&gt;1000,1000,E1086*1000/K1086*(1-0.5)^(C1086/2))),1000)</f>
        <v>12.575791601167753</v>
      </c>
      <c r="M1086" s="295">
        <f t="shared" si="1108"/>
        <v>1.2575791601167752E-2</v>
      </c>
      <c r="N1086" s="615"/>
    </row>
    <row r="1087" spans="1:14" s="102" customFormat="1">
      <c r="A1087" s="173" t="str">
        <f>A1085</f>
        <v>PEA</v>
      </c>
      <c r="B1087" s="150" t="str">
        <f>B1085</f>
        <v>film</v>
      </c>
      <c r="C1087" s="150">
        <f t="shared" si="1094"/>
        <v>2</v>
      </c>
      <c r="D1087" s="150" t="str">
        <f>D1085</f>
        <v>1-10</v>
      </c>
      <c r="E1087" s="150">
        <f>E1085</f>
        <v>10</v>
      </c>
      <c r="F1087" s="150" t="str">
        <f>F1085</f>
        <v>water</v>
      </c>
      <c r="G1087" s="147" t="str">
        <f t="shared" si="1105"/>
        <v>PEA film 1-10 mm (emission to water)</v>
      </c>
      <c r="H1087" s="147"/>
      <c r="I1087" s="129">
        <v>0</v>
      </c>
      <c r="J1087" s="225" t="s">
        <v>1034</v>
      </c>
      <c r="K1087" s="114" t="s">
        <v>596</v>
      </c>
      <c r="L1087" s="226">
        <f t="shared" si="1106"/>
        <v>0</v>
      </c>
      <c r="M1087" s="295">
        <f t="shared" si="1108"/>
        <v>0</v>
      </c>
      <c r="N1087" s="616"/>
    </row>
    <row r="1088" spans="1:14" s="102" customFormat="1">
      <c r="A1088" s="174" t="s">
        <v>647</v>
      </c>
      <c r="B1088" s="159" t="s">
        <v>996</v>
      </c>
      <c r="C1088" s="290">
        <f t="shared" ref="C1088:C1090" si="1111">IF(OR(B1088="Folie", B1088="Strips", B1088="Film",B1088="Flakes",B1088="Coupon"), 2,IF(OR(B1088="Fibers",B1088="Pellets"),4,IF(OR(B1088="Particles",B1088="Shreds",B1088="Powder",B1088="Fragments",B1088="Granules"),6,"")))</f>
        <v>2</v>
      </c>
      <c r="D1088" s="290" t="s">
        <v>1026</v>
      </c>
      <c r="E1088" s="155">
        <v>10</v>
      </c>
      <c r="F1088" s="206" t="s">
        <v>1057</v>
      </c>
      <c r="G1088" s="144" t="str">
        <f t="shared" ref="G1088:G1090" si="1112">CONCATENATE(A1088," ",B1088," ",D1088," mm (emission to ",F1088,")")</f>
        <v>PEA film 1-10 mm (emission to air)</v>
      </c>
      <c r="H1088" s="144"/>
      <c r="I1088" s="137">
        <v>0.97699999999999998</v>
      </c>
      <c r="J1088" s="101" t="s">
        <v>1019</v>
      </c>
      <c r="K1088" s="114">
        <f>K49</f>
        <v>397.58928571428572</v>
      </c>
      <c r="L1088" s="226">
        <f t="shared" ref="L1088:L1090" si="1113">IFERROR(IF(K1088="--",0,IF(E1088*1000/K1088*(1-0.5)^(C1088/2)&gt;1000,1000,E1088*1000/K1088*(1-0.5)^(C1088/2))),1000)</f>
        <v>12.575791601167753</v>
      </c>
      <c r="M1088" s="158">
        <f>IF(L1088/1000&gt;1000,1000,L1088/1000)</f>
        <v>1.2575791601167752E-2</v>
      </c>
      <c r="N1088" s="610">
        <f>I1088*M1088+I1089*M1089</f>
        <v>1.257579160116775E-2</v>
      </c>
    </row>
    <row r="1089" spans="1:14" s="102" customFormat="1">
      <c r="A1089" s="172" t="str">
        <f>A1088</f>
        <v>PEA</v>
      </c>
      <c r="B1089" s="149" t="str">
        <f>B1088</f>
        <v>film</v>
      </c>
      <c r="C1089" s="149">
        <f t="shared" si="1111"/>
        <v>2</v>
      </c>
      <c r="D1089" s="149" t="str">
        <f t="shared" ref="D1089:F1089" si="1114">D1088</f>
        <v>1-10</v>
      </c>
      <c r="E1089" s="149">
        <f t="shared" si="1114"/>
        <v>10</v>
      </c>
      <c r="F1089" s="149" t="str">
        <f t="shared" si="1114"/>
        <v>air</v>
      </c>
      <c r="G1089" s="146" t="str">
        <f t="shared" si="1112"/>
        <v>PEA film 1-10 mm (emission to air)</v>
      </c>
      <c r="H1089" s="146"/>
      <c r="I1089" s="129">
        <v>2.3E-2</v>
      </c>
      <c r="J1089" s="101" t="s">
        <v>1097</v>
      </c>
      <c r="K1089" s="114">
        <f>K50</f>
        <v>397.58928571428572</v>
      </c>
      <c r="L1089" s="226">
        <f t="shared" si="1113"/>
        <v>12.575791601167753</v>
      </c>
      <c r="M1089" s="158">
        <f>IF(L1089/1000&gt;1000,1000,L1089/1000)</f>
        <v>1.2575791601167752E-2</v>
      </c>
      <c r="N1089" s="610"/>
    </row>
    <row r="1090" spans="1:14" s="102" customFormat="1">
      <c r="A1090" s="173" t="str">
        <f>A1089</f>
        <v>PEA</v>
      </c>
      <c r="B1090" s="150" t="str">
        <f>B1089</f>
        <v>film</v>
      </c>
      <c r="C1090" s="150">
        <f t="shared" si="1111"/>
        <v>2</v>
      </c>
      <c r="D1090" s="150" t="str">
        <f t="shared" ref="D1090:F1090" si="1115">D1089</f>
        <v>1-10</v>
      </c>
      <c r="E1090" s="150">
        <f t="shared" si="1115"/>
        <v>10</v>
      </c>
      <c r="F1090" s="150" t="str">
        <f t="shared" si="1115"/>
        <v>air</v>
      </c>
      <c r="G1090" s="147" t="str">
        <f t="shared" si="1112"/>
        <v>PEA film 1-10 mm (emission to air)</v>
      </c>
      <c r="H1090" s="147"/>
      <c r="I1090" s="129">
        <v>0</v>
      </c>
      <c r="J1090" s="101" t="s">
        <v>1034</v>
      </c>
      <c r="K1090" s="114" t="s">
        <v>596</v>
      </c>
      <c r="L1090" s="226">
        <f t="shared" si="1113"/>
        <v>0</v>
      </c>
      <c r="M1090" s="158">
        <f t="shared" ref="M1090" si="1116">IF(L1090/1000&gt;1000,1000,L1090/1000)</f>
        <v>0</v>
      </c>
      <c r="N1090" s="610"/>
    </row>
    <row r="1091" spans="1:14" s="102" customFormat="1">
      <c r="A1091" s="174" t="s">
        <v>647</v>
      </c>
      <c r="B1091" s="159" t="s">
        <v>1051</v>
      </c>
      <c r="C1091" s="290">
        <f t="shared" si="1094"/>
        <v>4</v>
      </c>
      <c r="D1091" s="290" t="s">
        <v>1028</v>
      </c>
      <c r="E1091" s="155">
        <v>1</v>
      </c>
      <c r="F1091" s="206" t="s">
        <v>1019</v>
      </c>
      <c r="G1091" s="144" t="str">
        <f t="shared" si="1105"/>
        <v>PEA fibers 0,1-1 mm (emission to soil)</v>
      </c>
      <c r="H1091" s="193"/>
      <c r="I1091" s="129">
        <v>1</v>
      </c>
      <c r="J1091" s="101" t="s">
        <v>1019</v>
      </c>
      <c r="K1091" s="114">
        <f>K49</f>
        <v>397.58928571428572</v>
      </c>
      <c r="L1091" s="226">
        <f t="shared" ref="L1091:L1097" si="1117">IFERROR(IF(K1091="--",0,IF(E1091*1000/K1091*(1-0.5)^(C1091/2)&gt;1000,1000,E1091*1000/K1091*(1-0.5)^(C1091/2))),1000)</f>
        <v>0.62878958005838759</v>
      </c>
      <c r="M1091" s="158">
        <f>IF(L1091/1000&gt;1000,1000,L1091/1000)</f>
        <v>6.2878958005838754E-4</v>
      </c>
      <c r="N1091" s="610">
        <f>I1091*M1091+I1092*M1092</f>
        <v>6.2878958005838754E-4</v>
      </c>
    </row>
    <row r="1092" spans="1:14" s="102" customFormat="1">
      <c r="A1092" s="172" t="str">
        <f>A1091</f>
        <v>PEA</v>
      </c>
      <c r="B1092" s="149" t="str">
        <f>B1091</f>
        <v>fibers</v>
      </c>
      <c r="C1092" s="149">
        <f t="shared" si="1094"/>
        <v>4</v>
      </c>
      <c r="D1092" s="149" t="str">
        <f t="shared" ref="D1092:F1093" si="1118">D1091</f>
        <v>0,1-1</v>
      </c>
      <c r="E1092" s="149">
        <f t="shared" si="1118"/>
        <v>1</v>
      </c>
      <c r="F1092" s="149" t="str">
        <f t="shared" si="1118"/>
        <v>soil</v>
      </c>
      <c r="G1092" s="146" t="str">
        <f t="shared" si="1105"/>
        <v>PEA fibers 0,1-1 mm (emission to soil)</v>
      </c>
      <c r="H1092" s="146"/>
      <c r="I1092" s="129">
        <v>0</v>
      </c>
      <c r="J1092" s="101" t="s">
        <v>1097</v>
      </c>
      <c r="K1092" s="114">
        <f>K50</f>
        <v>397.58928571428572</v>
      </c>
      <c r="L1092" s="226">
        <f t="shared" si="1117"/>
        <v>0.62878958005838759</v>
      </c>
      <c r="M1092" s="158">
        <f>IF(L1092/1000&gt;1000,1000,L1092/1000)</f>
        <v>6.2878958005838754E-4</v>
      </c>
      <c r="N1092" s="610"/>
    </row>
    <row r="1093" spans="1:14" s="102" customFormat="1">
      <c r="A1093" s="173" t="str">
        <f>A1092</f>
        <v>PEA</v>
      </c>
      <c r="B1093" s="150" t="str">
        <f>B1092</f>
        <v>fibers</v>
      </c>
      <c r="C1093" s="150">
        <f t="shared" si="1094"/>
        <v>4</v>
      </c>
      <c r="D1093" s="150" t="str">
        <f t="shared" si="1118"/>
        <v>0,1-1</v>
      </c>
      <c r="E1093" s="150">
        <f t="shared" si="1118"/>
        <v>1</v>
      </c>
      <c r="F1093" s="150" t="str">
        <f t="shared" si="1118"/>
        <v>soil</v>
      </c>
      <c r="G1093" s="147" t="str">
        <f t="shared" si="1105"/>
        <v>PEA fibers 0,1-1 mm (emission to soil)</v>
      </c>
      <c r="H1093" s="146"/>
      <c r="I1093" s="129">
        <v>0</v>
      </c>
      <c r="J1093" s="101" t="s">
        <v>1034</v>
      </c>
      <c r="K1093" s="151" t="s">
        <v>596</v>
      </c>
      <c r="L1093" s="226">
        <f t="shared" si="1117"/>
        <v>0</v>
      </c>
      <c r="M1093" s="158">
        <f t="shared" ref="M1093:M1097" si="1119">IF(L1093/1000&gt;1000,1000,L1093/1000)</f>
        <v>0</v>
      </c>
      <c r="N1093" s="610"/>
    </row>
    <row r="1094" spans="1:14" s="102" customFormat="1">
      <c r="A1094" s="174" t="s">
        <v>647</v>
      </c>
      <c r="B1094" s="159" t="s">
        <v>1051</v>
      </c>
      <c r="C1094" s="290">
        <f t="shared" si="1094"/>
        <v>4</v>
      </c>
      <c r="D1094" s="290" t="s">
        <v>1028</v>
      </c>
      <c r="E1094" s="290">
        <v>1</v>
      </c>
      <c r="F1094" s="206" t="s">
        <v>1020</v>
      </c>
      <c r="G1094" s="144" t="str">
        <f t="shared" si="1105"/>
        <v>PEA fibers 0,1-1 mm (emission to water)</v>
      </c>
      <c r="H1094" s="192"/>
      <c r="I1094" s="129">
        <v>0</v>
      </c>
      <c r="J1094" s="225" t="s">
        <v>1019</v>
      </c>
      <c r="K1094" s="114">
        <f>K49</f>
        <v>397.58928571428572</v>
      </c>
      <c r="L1094" s="226">
        <f t="shared" si="1117"/>
        <v>0.62878958005838759</v>
      </c>
      <c r="M1094" s="295">
        <f t="shared" si="1119"/>
        <v>6.2878958005838754E-4</v>
      </c>
      <c r="N1094" s="614" t="e">
        <f>I1094*M1094+I1095*M1095+I1096*M1096</f>
        <v>#VALUE!</v>
      </c>
    </row>
    <row r="1095" spans="1:14" s="102" customFormat="1">
      <c r="A1095" s="172" t="str">
        <f>A1094</f>
        <v>PEA</v>
      </c>
      <c r="B1095" s="149" t="str">
        <f>B1094</f>
        <v>fibers</v>
      </c>
      <c r="C1095" s="149">
        <f t="shared" si="1094"/>
        <v>4</v>
      </c>
      <c r="D1095" s="149" t="str">
        <f t="shared" ref="D1095:F1096" si="1120">D1094</f>
        <v>0,1-1</v>
      </c>
      <c r="E1095" s="149">
        <f t="shared" si="1120"/>
        <v>1</v>
      </c>
      <c r="F1095" s="149" t="str">
        <f t="shared" si="1120"/>
        <v>water</v>
      </c>
      <c r="G1095" s="146" t="str">
        <f t="shared" si="1105"/>
        <v>PEA fibers 0,1-1 mm (emission to water)</v>
      </c>
      <c r="H1095" s="146"/>
      <c r="I1095" s="221" t="s">
        <v>1102</v>
      </c>
      <c r="J1095" s="225" t="s">
        <v>1097</v>
      </c>
      <c r="K1095" s="114">
        <f>K50</f>
        <v>397.58928571428572</v>
      </c>
      <c r="L1095" s="226">
        <f t="shared" si="1117"/>
        <v>0.62878958005838759</v>
      </c>
      <c r="M1095" s="295">
        <f t="shared" si="1119"/>
        <v>6.2878958005838754E-4</v>
      </c>
      <c r="N1095" s="615"/>
    </row>
    <row r="1096" spans="1:14" s="102" customFormat="1">
      <c r="A1096" s="172" t="str">
        <f>A1095</f>
        <v>PEA</v>
      </c>
      <c r="B1096" s="149" t="str">
        <f>B1095</f>
        <v>fibers</v>
      </c>
      <c r="C1096" s="149">
        <f t="shared" si="1094"/>
        <v>4</v>
      </c>
      <c r="D1096" s="149" t="str">
        <f t="shared" si="1120"/>
        <v>0,1-1</v>
      </c>
      <c r="E1096" s="149">
        <f t="shared" si="1120"/>
        <v>1</v>
      </c>
      <c r="F1096" s="149" t="str">
        <f t="shared" si="1120"/>
        <v>water</v>
      </c>
      <c r="G1096" s="146" t="str">
        <f t="shared" si="1105"/>
        <v>PEA fibers 0,1-1 mm (emission to water)</v>
      </c>
      <c r="H1096" s="146"/>
      <c r="I1096" s="221" t="s">
        <v>1102</v>
      </c>
      <c r="J1096" s="225" t="s">
        <v>1096</v>
      </c>
      <c r="K1096" s="114">
        <f>K51</f>
        <v>397.58928571428572</v>
      </c>
      <c r="L1096" s="226">
        <f t="shared" ref="L1096" si="1121">IFERROR(IF(K1096="--",0,IF(E1096*1000/K1096*(1-0.5)^(C1096/2)&gt;1000,1000,E1096*1000/K1096*(1-0.5)^(C1096/2))),1000)</f>
        <v>0.62878958005838759</v>
      </c>
      <c r="M1096" s="295">
        <f t="shared" si="1119"/>
        <v>6.2878958005838754E-4</v>
      </c>
      <c r="N1096" s="615"/>
    </row>
    <row r="1097" spans="1:14" s="102" customFormat="1">
      <c r="A1097" s="173" t="str">
        <f>A1095</f>
        <v>PEA</v>
      </c>
      <c r="B1097" s="150" t="str">
        <f>B1095</f>
        <v>fibers</v>
      </c>
      <c r="C1097" s="150">
        <f t="shared" si="1094"/>
        <v>4</v>
      </c>
      <c r="D1097" s="150" t="str">
        <f>D1095</f>
        <v>0,1-1</v>
      </c>
      <c r="E1097" s="150">
        <f>E1095</f>
        <v>1</v>
      </c>
      <c r="F1097" s="150" t="str">
        <f>F1095</f>
        <v>water</v>
      </c>
      <c r="G1097" s="147" t="str">
        <f t="shared" si="1105"/>
        <v>PEA fibers 0,1-1 mm (emission to water)</v>
      </c>
      <c r="H1097" s="147"/>
      <c r="I1097" s="129">
        <v>0</v>
      </c>
      <c r="J1097" s="225" t="s">
        <v>1034</v>
      </c>
      <c r="K1097" s="114" t="s">
        <v>596</v>
      </c>
      <c r="L1097" s="226">
        <f t="shared" si="1117"/>
        <v>0</v>
      </c>
      <c r="M1097" s="295">
        <f t="shared" si="1119"/>
        <v>0</v>
      </c>
      <c r="N1097" s="616"/>
    </row>
    <row r="1098" spans="1:14" s="102" customFormat="1">
      <c r="A1098" s="174" t="s">
        <v>647</v>
      </c>
      <c r="B1098" s="159" t="s">
        <v>1051</v>
      </c>
      <c r="C1098" s="290">
        <f t="shared" ref="C1098:C1100" si="1122">IF(OR(B1098="Folie", B1098="Strips", B1098="Film",B1098="Flakes",B1098="Coupon"), 2,IF(OR(B1098="Fibers",B1098="Pellets"),4,IF(OR(B1098="Particles",B1098="Shreds",B1098="Powder",B1098="Fragments",B1098="Granules"),6,"")))</f>
        <v>4</v>
      </c>
      <c r="D1098" s="290" t="s">
        <v>1028</v>
      </c>
      <c r="E1098" s="155">
        <v>1</v>
      </c>
      <c r="F1098" s="206" t="s">
        <v>1057</v>
      </c>
      <c r="G1098" s="144" t="str">
        <f t="shared" ref="G1098:G1100" si="1123">CONCATENATE(A1098," ",B1098," ",D1098," mm (emission to ",F1098,")")</f>
        <v>PEA fibers 0,1-1 mm (emission to air)</v>
      </c>
      <c r="H1098" s="192"/>
      <c r="I1098" s="137">
        <v>0.97699999999999998</v>
      </c>
      <c r="J1098" s="101" t="s">
        <v>1019</v>
      </c>
      <c r="K1098" s="114">
        <f>K49</f>
        <v>397.58928571428572</v>
      </c>
      <c r="L1098" s="226">
        <f t="shared" ref="L1098:L1100" si="1124">IFERROR(IF(K1098="--",0,IF(E1098*1000/K1098*(1-0.5)^(C1098/2)&gt;1000,1000,E1098*1000/K1098*(1-0.5)^(C1098/2))),1000)</f>
        <v>0.62878958005838759</v>
      </c>
      <c r="M1098" s="158">
        <f>IF(L1098/1000&gt;1000,1000,L1098/1000)</f>
        <v>6.2878958005838754E-4</v>
      </c>
      <c r="N1098" s="610">
        <f>I1098*M1098+I1099*M1099</f>
        <v>6.2878958005838754E-4</v>
      </c>
    </row>
    <row r="1099" spans="1:14" s="102" customFormat="1">
      <c r="A1099" s="172" t="str">
        <f>A1098</f>
        <v>PEA</v>
      </c>
      <c r="B1099" s="149" t="str">
        <f>B1098</f>
        <v>fibers</v>
      </c>
      <c r="C1099" s="149">
        <f t="shared" si="1122"/>
        <v>4</v>
      </c>
      <c r="D1099" s="149" t="str">
        <f t="shared" ref="D1099:F1099" si="1125">D1098</f>
        <v>0,1-1</v>
      </c>
      <c r="E1099" s="149">
        <f t="shared" si="1125"/>
        <v>1</v>
      </c>
      <c r="F1099" s="149" t="str">
        <f t="shared" si="1125"/>
        <v>air</v>
      </c>
      <c r="G1099" s="146" t="str">
        <f t="shared" si="1123"/>
        <v>PEA fibers 0,1-1 mm (emission to air)</v>
      </c>
      <c r="H1099" s="146"/>
      <c r="I1099" s="129">
        <v>2.3E-2</v>
      </c>
      <c r="J1099" s="101" t="s">
        <v>1097</v>
      </c>
      <c r="K1099" s="114">
        <f>K50</f>
        <v>397.58928571428572</v>
      </c>
      <c r="L1099" s="226">
        <f t="shared" si="1124"/>
        <v>0.62878958005838759</v>
      </c>
      <c r="M1099" s="158">
        <f>IF(L1099/1000&gt;1000,1000,L1099/1000)</f>
        <v>6.2878958005838754E-4</v>
      </c>
      <c r="N1099" s="610"/>
    </row>
    <row r="1100" spans="1:14" s="102" customFormat="1">
      <c r="A1100" s="173" t="str">
        <f>A1099</f>
        <v>PEA</v>
      </c>
      <c r="B1100" s="150" t="str">
        <f>B1099</f>
        <v>fibers</v>
      </c>
      <c r="C1100" s="150">
        <f t="shared" si="1122"/>
        <v>4</v>
      </c>
      <c r="D1100" s="150" t="str">
        <f t="shared" ref="D1100:F1100" si="1126">D1099</f>
        <v>0,1-1</v>
      </c>
      <c r="E1100" s="150">
        <f t="shared" si="1126"/>
        <v>1</v>
      </c>
      <c r="F1100" s="150" t="str">
        <f t="shared" si="1126"/>
        <v>air</v>
      </c>
      <c r="G1100" s="147" t="str">
        <f t="shared" si="1123"/>
        <v>PEA fibers 0,1-1 mm (emission to air)</v>
      </c>
      <c r="H1100" s="146"/>
      <c r="I1100" s="129">
        <v>0</v>
      </c>
      <c r="J1100" s="101" t="s">
        <v>1034</v>
      </c>
      <c r="K1100" s="151" t="s">
        <v>596</v>
      </c>
      <c r="L1100" s="226">
        <f t="shared" si="1124"/>
        <v>0</v>
      </c>
      <c r="M1100" s="158">
        <f t="shared" ref="M1100" si="1127">IF(L1100/1000&gt;1000,1000,L1100/1000)</f>
        <v>0</v>
      </c>
      <c r="N1100" s="610"/>
    </row>
    <row r="1101" spans="1:14" s="135" customFormat="1">
      <c r="A1101" s="174" t="s">
        <v>647</v>
      </c>
      <c r="B1101" s="155" t="s">
        <v>372</v>
      </c>
      <c r="C1101" s="290">
        <f t="shared" si="1094"/>
        <v>4</v>
      </c>
      <c r="D1101" s="153" t="s">
        <v>1026</v>
      </c>
      <c r="E1101" s="155">
        <v>10</v>
      </c>
      <c r="F1101" s="189" t="s">
        <v>1019</v>
      </c>
      <c r="G1101" s="144" t="str">
        <f t="shared" si="1105"/>
        <v>PEA pellets 1-10 mm (emission to soil)</v>
      </c>
      <c r="H1101" s="192"/>
      <c r="I1101" s="129">
        <v>1</v>
      </c>
      <c r="J1101" s="101" t="s">
        <v>1019</v>
      </c>
      <c r="K1101" s="114">
        <f>K49</f>
        <v>397.58928571428572</v>
      </c>
      <c r="L1101" s="226">
        <f t="shared" ref="L1101:L1107" si="1128">IFERROR(IF(K1101="--",0,IF(E1101*1000/K1101*(1-0.5)^(C1101/2)&gt;1000,1000,E1101*1000/K1101*(1-0.5)^(C1101/2))),1000)</f>
        <v>6.2878958005838763</v>
      </c>
      <c r="M1101" s="158">
        <f>IF(L1101/1000&gt;1000,1000,L1101/1000)</f>
        <v>6.287895800583876E-3</v>
      </c>
      <c r="N1101" s="610">
        <f>I1101*M1101+I1102*M1102</f>
        <v>6.287895800583876E-3</v>
      </c>
    </row>
    <row r="1102" spans="1:14" s="102" customFormat="1">
      <c r="A1102" s="172" t="str">
        <f>A1101</f>
        <v>PEA</v>
      </c>
      <c r="B1102" s="149" t="str">
        <f>B1101</f>
        <v>pellets</v>
      </c>
      <c r="C1102" s="149">
        <f t="shared" si="1094"/>
        <v>4</v>
      </c>
      <c r="D1102" s="149" t="str">
        <f t="shared" ref="D1102:F1103" si="1129">D1101</f>
        <v>1-10</v>
      </c>
      <c r="E1102" s="149">
        <f t="shared" si="1129"/>
        <v>10</v>
      </c>
      <c r="F1102" s="149" t="str">
        <f t="shared" si="1129"/>
        <v>soil</v>
      </c>
      <c r="G1102" s="146" t="str">
        <f t="shared" si="1105"/>
        <v>PEA pellets 1-10 mm (emission to soil)</v>
      </c>
      <c r="H1102" s="146"/>
      <c r="I1102" s="129">
        <v>0</v>
      </c>
      <c r="J1102" s="101" t="s">
        <v>1097</v>
      </c>
      <c r="K1102" s="114">
        <f>K50</f>
        <v>397.58928571428572</v>
      </c>
      <c r="L1102" s="226">
        <f t="shared" si="1128"/>
        <v>6.2878958005838763</v>
      </c>
      <c r="M1102" s="158">
        <f>IF(L1102/1000&gt;1000,1000,L1102/1000)</f>
        <v>6.287895800583876E-3</v>
      </c>
      <c r="N1102" s="610"/>
    </row>
    <row r="1103" spans="1:14" s="102" customFormat="1">
      <c r="A1103" s="173" t="str">
        <f>A1102</f>
        <v>PEA</v>
      </c>
      <c r="B1103" s="150" t="str">
        <f>B1102</f>
        <v>pellets</v>
      </c>
      <c r="C1103" s="150">
        <f t="shared" si="1094"/>
        <v>4</v>
      </c>
      <c r="D1103" s="150" t="str">
        <f t="shared" si="1129"/>
        <v>1-10</v>
      </c>
      <c r="E1103" s="150">
        <f t="shared" si="1129"/>
        <v>10</v>
      </c>
      <c r="F1103" s="150" t="str">
        <f t="shared" si="1129"/>
        <v>soil</v>
      </c>
      <c r="G1103" s="147" t="str">
        <f t="shared" si="1105"/>
        <v>PEA pellets 1-10 mm (emission to soil)</v>
      </c>
      <c r="H1103" s="147">
        <f>H1102</f>
        <v>0</v>
      </c>
      <c r="I1103" s="129">
        <v>0</v>
      </c>
      <c r="J1103" s="101" t="s">
        <v>1034</v>
      </c>
      <c r="K1103" s="114" t="s">
        <v>596</v>
      </c>
      <c r="L1103" s="226">
        <f t="shared" si="1128"/>
        <v>0</v>
      </c>
      <c r="M1103" s="158">
        <f t="shared" ref="M1103:M1107" si="1130">IF(L1103/1000&gt;1000,1000,L1103/1000)</f>
        <v>0</v>
      </c>
      <c r="N1103" s="610"/>
    </row>
    <row r="1104" spans="1:14" s="102" customFormat="1">
      <c r="A1104" s="174" t="s">
        <v>647</v>
      </c>
      <c r="B1104" s="155" t="s">
        <v>372</v>
      </c>
      <c r="C1104" s="290">
        <f t="shared" si="1094"/>
        <v>4</v>
      </c>
      <c r="D1104" s="153" t="s">
        <v>1026</v>
      </c>
      <c r="E1104" s="288">
        <v>10</v>
      </c>
      <c r="F1104" s="189" t="s">
        <v>1020</v>
      </c>
      <c r="G1104" s="144" t="str">
        <f t="shared" si="1105"/>
        <v>PEA pellets 1-10 mm (emission to water)</v>
      </c>
      <c r="H1104" s="192"/>
      <c r="I1104" s="129">
        <v>0</v>
      </c>
      <c r="J1104" s="225" t="s">
        <v>1019</v>
      </c>
      <c r="K1104" s="114">
        <f>K49</f>
        <v>397.58928571428572</v>
      </c>
      <c r="L1104" s="226">
        <f t="shared" si="1128"/>
        <v>6.2878958005838763</v>
      </c>
      <c r="M1104" s="295">
        <f t="shared" si="1130"/>
        <v>6.287895800583876E-3</v>
      </c>
      <c r="N1104" s="614" t="e">
        <f>I1104*M1104+I1105*M1105+I1106*M1106</f>
        <v>#VALUE!</v>
      </c>
    </row>
    <row r="1105" spans="1:14" s="102" customFormat="1">
      <c r="A1105" s="172" t="str">
        <f>A1104</f>
        <v>PEA</v>
      </c>
      <c r="B1105" s="149" t="str">
        <f>B1104</f>
        <v>pellets</v>
      </c>
      <c r="C1105" s="149">
        <f t="shared" si="1094"/>
        <v>4</v>
      </c>
      <c r="D1105" s="149" t="str">
        <f t="shared" ref="D1105:F1106" si="1131">D1104</f>
        <v>1-10</v>
      </c>
      <c r="E1105" s="149">
        <f t="shared" si="1131"/>
        <v>10</v>
      </c>
      <c r="F1105" s="149" t="str">
        <f t="shared" si="1131"/>
        <v>water</v>
      </c>
      <c r="G1105" s="146" t="str">
        <f t="shared" si="1105"/>
        <v>PEA pellets 1-10 mm (emission to water)</v>
      </c>
      <c r="H1105" s="146"/>
      <c r="I1105" s="221" t="s">
        <v>1102</v>
      </c>
      <c r="J1105" s="225" t="s">
        <v>1097</v>
      </c>
      <c r="K1105" s="114">
        <f>K50</f>
        <v>397.58928571428572</v>
      </c>
      <c r="L1105" s="226">
        <f t="shared" si="1128"/>
        <v>6.2878958005838763</v>
      </c>
      <c r="M1105" s="295">
        <f t="shared" si="1130"/>
        <v>6.287895800583876E-3</v>
      </c>
      <c r="N1105" s="615"/>
    </row>
    <row r="1106" spans="1:14" s="102" customFormat="1">
      <c r="A1106" s="172" t="str">
        <f>A1105</f>
        <v>PEA</v>
      </c>
      <c r="B1106" s="149" t="str">
        <f>B1105</f>
        <v>pellets</v>
      </c>
      <c r="C1106" s="149">
        <f t="shared" si="1094"/>
        <v>4</v>
      </c>
      <c r="D1106" s="149" t="str">
        <f t="shared" si="1131"/>
        <v>1-10</v>
      </c>
      <c r="E1106" s="149">
        <f t="shared" si="1131"/>
        <v>10</v>
      </c>
      <c r="F1106" s="149" t="str">
        <f t="shared" si="1131"/>
        <v>water</v>
      </c>
      <c r="G1106" s="146" t="str">
        <f t="shared" si="1105"/>
        <v>PEA pellets 1-10 mm (emission to water)</v>
      </c>
      <c r="H1106" s="146"/>
      <c r="I1106" s="221" t="s">
        <v>1102</v>
      </c>
      <c r="J1106" s="225" t="s">
        <v>1096</v>
      </c>
      <c r="K1106" s="114">
        <f>K51</f>
        <v>397.58928571428572</v>
      </c>
      <c r="L1106" s="226">
        <f t="shared" ref="L1106" si="1132">IFERROR(IF(K1106="--",0,IF(E1106*1000/K1106*(1-0.5)^(C1106/2)&gt;1000,1000,E1106*1000/K1106*(1-0.5)^(C1106/2))),1000)</f>
        <v>6.2878958005838763</v>
      </c>
      <c r="M1106" s="295">
        <f t="shared" si="1130"/>
        <v>6.287895800583876E-3</v>
      </c>
      <c r="N1106" s="615"/>
    </row>
    <row r="1107" spans="1:14" s="102" customFormat="1">
      <c r="A1107" s="173" t="str">
        <f>A1105</f>
        <v>PEA</v>
      </c>
      <c r="B1107" s="150" t="str">
        <f>B1105</f>
        <v>pellets</v>
      </c>
      <c r="C1107" s="150">
        <f t="shared" si="1094"/>
        <v>4</v>
      </c>
      <c r="D1107" s="150" t="str">
        <f>D1105</f>
        <v>1-10</v>
      </c>
      <c r="E1107" s="150">
        <f>E1105</f>
        <v>10</v>
      </c>
      <c r="F1107" s="150" t="str">
        <f>F1105</f>
        <v>water</v>
      </c>
      <c r="G1107" s="147" t="str">
        <f t="shared" si="1105"/>
        <v>PEA pellets 1-10 mm (emission to water)</v>
      </c>
      <c r="H1107" s="147"/>
      <c r="I1107" s="129">
        <v>0</v>
      </c>
      <c r="J1107" s="225" t="s">
        <v>1034</v>
      </c>
      <c r="K1107" s="114" t="s">
        <v>596</v>
      </c>
      <c r="L1107" s="226">
        <f t="shared" si="1128"/>
        <v>0</v>
      </c>
      <c r="M1107" s="295">
        <f t="shared" si="1130"/>
        <v>0</v>
      </c>
      <c r="N1107" s="616"/>
    </row>
    <row r="1108" spans="1:14" s="102" customFormat="1">
      <c r="A1108" s="174" t="s">
        <v>647</v>
      </c>
      <c r="B1108" s="155" t="s">
        <v>372</v>
      </c>
      <c r="C1108" s="290">
        <f t="shared" ref="C1108:C1110" si="1133">IF(OR(B1108="Folie", B1108="Strips", B1108="Film",B1108="Flakes",B1108="Coupon"), 2,IF(OR(B1108="Fibers",B1108="Pellets"),4,IF(OR(B1108="Particles",B1108="Shreds",B1108="Powder",B1108="Fragments",B1108="Granules"),6,"")))</f>
        <v>4</v>
      </c>
      <c r="D1108" s="153" t="s">
        <v>1026</v>
      </c>
      <c r="E1108" s="155">
        <v>10</v>
      </c>
      <c r="F1108" s="189" t="s">
        <v>1057</v>
      </c>
      <c r="G1108" s="144" t="str">
        <f t="shared" ref="G1108:G1110" si="1134">CONCATENATE(A1108," ",B1108," ",D1108," mm (emission to ",F1108,")")</f>
        <v>PEA pellets 1-10 mm (emission to air)</v>
      </c>
      <c r="H1108" s="192"/>
      <c r="I1108" s="137">
        <v>0.97699999999999998</v>
      </c>
      <c r="J1108" s="101" t="s">
        <v>1019</v>
      </c>
      <c r="K1108" s="114">
        <f>K49</f>
        <v>397.58928571428572</v>
      </c>
      <c r="L1108" s="226">
        <f t="shared" ref="L1108:L1110" si="1135">IFERROR(IF(K1108="--",0,IF(E1108*1000/K1108*(1-0.5)^(C1108/2)&gt;1000,1000,E1108*1000/K1108*(1-0.5)^(C1108/2))),1000)</f>
        <v>6.2878958005838763</v>
      </c>
      <c r="M1108" s="158">
        <f>IF(L1108/1000&gt;1000,1000,L1108/1000)</f>
        <v>6.287895800583876E-3</v>
      </c>
      <c r="N1108" s="610">
        <f>I1108*M1108+I1109*M1109</f>
        <v>6.2878958005838752E-3</v>
      </c>
    </row>
    <row r="1109" spans="1:14" s="102" customFormat="1">
      <c r="A1109" s="172" t="str">
        <f>A1108</f>
        <v>PEA</v>
      </c>
      <c r="B1109" s="149" t="str">
        <f>B1108</f>
        <v>pellets</v>
      </c>
      <c r="C1109" s="149">
        <f t="shared" si="1133"/>
        <v>4</v>
      </c>
      <c r="D1109" s="149" t="str">
        <f t="shared" ref="D1109:F1109" si="1136">D1108</f>
        <v>1-10</v>
      </c>
      <c r="E1109" s="149">
        <f t="shared" si="1136"/>
        <v>10</v>
      </c>
      <c r="F1109" s="149" t="str">
        <f t="shared" si="1136"/>
        <v>air</v>
      </c>
      <c r="G1109" s="146" t="str">
        <f t="shared" si="1134"/>
        <v>PEA pellets 1-10 mm (emission to air)</v>
      </c>
      <c r="H1109" s="146"/>
      <c r="I1109" s="129">
        <v>2.3E-2</v>
      </c>
      <c r="J1109" s="101" t="s">
        <v>1097</v>
      </c>
      <c r="K1109" s="114">
        <f>K50</f>
        <v>397.58928571428572</v>
      </c>
      <c r="L1109" s="226">
        <f t="shared" si="1135"/>
        <v>6.2878958005838763</v>
      </c>
      <c r="M1109" s="158">
        <f>IF(L1109/1000&gt;1000,1000,L1109/1000)</f>
        <v>6.287895800583876E-3</v>
      </c>
      <c r="N1109" s="610"/>
    </row>
    <row r="1110" spans="1:14" s="102" customFormat="1">
      <c r="A1110" s="173" t="str">
        <f>A1109</f>
        <v>PEA</v>
      </c>
      <c r="B1110" s="150" t="str">
        <f>B1109</f>
        <v>pellets</v>
      </c>
      <c r="C1110" s="150">
        <f t="shared" si="1133"/>
        <v>4</v>
      </c>
      <c r="D1110" s="150" t="str">
        <f t="shared" ref="D1110:F1110" si="1137">D1109</f>
        <v>1-10</v>
      </c>
      <c r="E1110" s="150">
        <f t="shared" si="1137"/>
        <v>10</v>
      </c>
      <c r="F1110" s="150" t="str">
        <f t="shared" si="1137"/>
        <v>air</v>
      </c>
      <c r="G1110" s="147" t="str">
        <f t="shared" si="1134"/>
        <v>PEA pellets 1-10 mm (emission to air)</v>
      </c>
      <c r="H1110" s="147">
        <f>H1109</f>
        <v>0</v>
      </c>
      <c r="I1110" s="129">
        <v>0</v>
      </c>
      <c r="J1110" s="101" t="s">
        <v>1034</v>
      </c>
      <c r="K1110" s="114" t="s">
        <v>596</v>
      </c>
      <c r="L1110" s="226">
        <f t="shared" si="1135"/>
        <v>0</v>
      </c>
      <c r="M1110" s="158">
        <f t="shared" ref="M1110" si="1138">IF(L1110/1000&gt;1000,1000,L1110/1000)</f>
        <v>0</v>
      </c>
      <c r="N1110" s="610"/>
    </row>
    <row r="1111" spans="1:14" s="102" customFormat="1">
      <c r="A1111" s="174" t="s">
        <v>647</v>
      </c>
      <c r="B1111" s="288" t="s">
        <v>1025</v>
      </c>
      <c r="C1111" s="290">
        <f t="shared" si="1094"/>
        <v>6</v>
      </c>
      <c r="D1111" s="290" t="s">
        <v>1018</v>
      </c>
      <c r="E1111" s="155">
        <v>0.1</v>
      </c>
      <c r="F1111" s="206" t="s">
        <v>1019</v>
      </c>
      <c r="G1111" s="144" t="str">
        <f t="shared" si="1105"/>
        <v>PEA particles 0,01-0,1 mm (emission to soil)</v>
      </c>
      <c r="H1111" s="133"/>
      <c r="I1111" s="129">
        <v>1</v>
      </c>
      <c r="J1111" s="101" t="s">
        <v>1019</v>
      </c>
      <c r="K1111" s="114">
        <f>K49</f>
        <v>397.58928571428572</v>
      </c>
      <c r="L1111" s="226">
        <f t="shared" ref="L1111:L1117" si="1139">IFERROR(IF(K1111="--",0,IF(E1111*1000/K1111*(1-0.5)^(C1111/2)&gt;1000,1000,E1111*1000/K1111*(1-0.5)^(C1111/2))),1000)</f>
        <v>3.1439479002919379E-2</v>
      </c>
      <c r="M1111" s="158">
        <f>IF(L1111/1000&gt;1000,1000,L1111/1000)</f>
        <v>3.1439479002919382E-5</v>
      </c>
      <c r="N1111" s="610">
        <f>I1111*M1111+I1112*M1112</f>
        <v>3.1439479002919382E-5</v>
      </c>
    </row>
    <row r="1112" spans="1:14" s="102" customFormat="1">
      <c r="A1112" s="172" t="str">
        <f>A1111</f>
        <v>PEA</v>
      </c>
      <c r="B1112" s="149" t="str">
        <f>B1111</f>
        <v>particles</v>
      </c>
      <c r="C1112" s="149">
        <f t="shared" si="1094"/>
        <v>6</v>
      </c>
      <c r="D1112" s="149" t="str">
        <f t="shared" ref="D1112:F1113" si="1140">D1111</f>
        <v>0,01-0,1</v>
      </c>
      <c r="E1112" s="149">
        <f t="shared" si="1140"/>
        <v>0.1</v>
      </c>
      <c r="F1112" s="149" t="str">
        <f t="shared" si="1140"/>
        <v>soil</v>
      </c>
      <c r="G1112" s="146" t="str">
        <f t="shared" si="1105"/>
        <v>PEA particles 0,01-0,1 mm (emission to soil)</v>
      </c>
      <c r="H1112" s="146"/>
      <c r="I1112" s="129">
        <v>0</v>
      </c>
      <c r="J1112" s="101" t="s">
        <v>1097</v>
      </c>
      <c r="K1112" s="114">
        <f>K50</f>
        <v>397.58928571428572</v>
      </c>
      <c r="L1112" s="226">
        <f t="shared" si="1139"/>
        <v>3.1439479002919379E-2</v>
      </c>
      <c r="M1112" s="158">
        <f>IF(L1112/1000&gt;1000,1000,L1112/1000)</f>
        <v>3.1439479002919382E-5</v>
      </c>
      <c r="N1112" s="610"/>
    </row>
    <row r="1113" spans="1:14" s="102" customFormat="1">
      <c r="A1113" s="173" t="str">
        <f>A1112</f>
        <v>PEA</v>
      </c>
      <c r="B1113" s="150" t="str">
        <f>B1112</f>
        <v>particles</v>
      </c>
      <c r="C1113" s="150">
        <f t="shared" si="1094"/>
        <v>6</v>
      </c>
      <c r="D1113" s="150" t="str">
        <f t="shared" si="1140"/>
        <v>0,01-0,1</v>
      </c>
      <c r="E1113" s="150">
        <f t="shared" si="1140"/>
        <v>0.1</v>
      </c>
      <c r="F1113" s="150" t="str">
        <f t="shared" si="1140"/>
        <v>soil</v>
      </c>
      <c r="G1113" s="147" t="str">
        <f t="shared" si="1105"/>
        <v>PEA particles 0,01-0,1 mm (emission to soil)</v>
      </c>
      <c r="H1113" s="147"/>
      <c r="I1113" s="129">
        <v>0</v>
      </c>
      <c r="J1113" s="101" t="s">
        <v>1034</v>
      </c>
      <c r="K1113" s="114" t="s">
        <v>596</v>
      </c>
      <c r="L1113" s="226">
        <f t="shared" si="1139"/>
        <v>0</v>
      </c>
      <c r="M1113" s="158">
        <f t="shared" ref="M1113:M1117" si="1141">IF(L1113/1000&gt;1000,1000,L1113/1000)</f>
        <v>0</v>
      </c>
      <c r="N1113" s="610"/>
    </row>
    <row r="1114" spans="1:14" s="102" customFormat="1">
      <c r="A1114" s="174" t="s">
        <v>647</v>
      </c>
      <c r="B1114" s="288" t="s">
        <v>1025</v>
      </c>
      <c r="C1114" s="290">
        <f t="shared" si="1094"/>
        <v>6</v>
      </c>
      <c r="D1114" s="290" t="s">
        <v>1018</v>
      </c>
      <c r="E1114" s="155">
        <v>0.1</v>
      </c>
      <c r="F1114" s="206" t="s">
        <v>1020</v>
      </c>
      <c r="G1114" s="144" t="str">
        <f t="shared" si="1105"/>
        <v>PEA particles 0,01-0,1 mm (emission to water)</v>
      </c>
      <c r="H1114" s="133"/>
      <c r="I1114" s="129">
        <v>0</v>
      </c>
      <c r="J1114" s="225" t="s">
        <v>1019</v>
      </c>
      <c r="K1114" s="114">
        <f>K49</f>
        <v>397.58928571428572</v>
      </c>
      <c r="L1114" s="226">
        <f t="shared" si="1139"/>
        <v>3.1439479002919379E-2</v>
      </c>
      <c r="M1114" s="295">
        <f t="shared" si="1141"/>
        <v>3.1439479002919382E-5</v>
      </c>
      <c r="N1114" s="614" t="e">
        <f>I1114*M1114+I1115*M1115+I1116*M1116</f>
        <v>#VALUE!</v>
      </c>
    </row>
    <row r="1115" spans="1:14" s="102" customFormat="1">
      <c r="A1115" s="172" t="str">
        <f>A1114</f>
        <v>PEA</v>
      </c>
      <c r="B1115" s="149" t="str">
        <f>B1114</f>
        <v>particles</v>
      </c>
      <c r="C1115" s="149">
        <f t="shared" si="1094"/>
        <v>6</v>
      </c>
      <c r="D1115" s="149" t="str">
        <f t="shared" ref="D1115:F1116" si="1142">D1114</f>
        <v>0,01-0,1</v>
      </c>
      <c r="E1115" s="149">
        <f t="shared" si="1142"/>
        <v>0.1</v>
      </c>
      <c r="F1115" s="149" t="str">
        <f t="shared" si="1142"/>
        <v>water</v>
      </c>
      <c r="G1115" s="146" t="str">
        <f t="shared" si="1105"/>
        <v>PEA particles 0,01-0,1 mm (emission to water)</v>
      </c>
      <c r="H1115" s="146"/>
      <c r="I1115" s="221" t="s">
        <v>1102</v>
      </c>
      <c r="J1115" s="225" t="s">
        <v>1097</v>
      </c>
      <c r="K1115" s="114">
        <f>K50</f>
        <v>397.58928571428572</v>
      </c>
      <c r="L1115" s="226">
        <f t="shared" si="1139"/>
        <v>3.1439479002919379E-2</v>
      </c>
      <c r="M1115" s="295">
        <f t="shared" si="1141"/>
        <v>3.1439479002919382E-5</v>
      </c>
      <c r="N1115" s="615"/>
    </row>
    <row r="1116" spans="1:14" s="102" customFormat="1">
      <c r="A1116" s="172" t="str">
        <f>A1115</f>
        <v>PEA</v>
      </c>
      <c r="B1116" s="149" t="str">
        <f>B1115</f>
        <v>particles</v>
      </c>
      <c r="C1116" s="149">
        <f t="shared" si="1094"/>
        <v>6</v>
      </c>
      <c r="D1116" s="149" t="str">
        <f t="shared" si="1142"/>
        <v>0,01-0,1</v>
      </c>
      <c r="E1116" s="149">
        <f t="shared" si="1142"/>
        <v>0.1</v>
      </c>
      <c r="F1116" s="149" t="str">
        <f t="shared" si="1142"/>
        <v>water</v>
      </c>
      <c r="G1116" s="146" t="str">
        <f t="shared" si="1105"/>
        <v>PEA particles 0,01-0,1 mm (emission to water)</v>
      </c>
      <c r="H1116" s="146"/>
      <c r="I1116" s="221" t="s">
        <v>1102</v>
      </c>
      <c r="J1116" s="225" t="s">
        <v>1096</v>
      </c>
      <c r="K1116" s="114">
        <f>K51</f>
        <v>397.58928571428572</v>
      </c>
      <c r="L1116" s="226">
        <f t="shared" ref="L1116" si="1143">IFERROR(IF(K1116="--",0,IF(E1116*1000/K1116*(1-0.5)^(C1116/2)&gt;1000,1000,E1116*1000/K1116*(1-0.5)^(C1116/2))),1000)</f>
        <v>3.1439479002919379E-2</v>
      </c>
      <c r="M1116" s="295">
        <f t="shared" si="1141"/>
        <v>3.1439479002919382E-5</v>
      </c>
      <c r="N1116" s="615"/>
    </row>
    <row r="1117" spans="1:14" s="102" customFormat="1">
      <c r="A1117" s="173" t="str">
        <f>A1115</f>
        <v>PEA</v>
      </c>
      <c r="B1117" s="150" t="str">
        <f>B1115</f>
        <v>particles</v>
      </c>
      <c r="C1117" s="150">
        <f t="shared" si="1094"/>
        <v>6</v>
      </c>
      <c r="D1117" s="150" t="str">
        <f>D1115</f>
        <v>0,01-0,1</v>
      </c>
      <c r="E1117" s="150">
        <f>E1115</f>
        <v>0.1</v>
      </c>
      <c r="F1117" s="150" t="str">
        <f>F1115</f>
        <v>water</v>
      </c>
      <c r="G1117" s="147" t="str">
        <f t="shared" si="1105"/>
        <v>PEA particles 0,01-0,1 mm (emission to water)</v>
      </c>
      <c r="H1117" s="147"/>
      <c r="I1117" s="129">
        <v>0</v>
      </c>
      <c r="J1117" s="225" t="s">
        <v>1034</v>
      </c>
      <c r="K1117" s="114" t="s">
        <v>596</v>
      </c>
      <c r="L1117" s="226">
        <f t="shared" si="1139"/>
        <v>0</v>
      </c>
      <c r="M1117" s="295">
        <f t="shared" si="1141"/>
        <v>0</v>
      </c>
      <c r="N1117" s="616"/>
    </row>
    <row r="1118" spans="1:14" s="102" customFormat="1">
      <c r="A1118" s="174" t="s">
        <v>647</v>
      </c>
      <c r="B1118" s="288" t="s">
        <v>1025</v>
      </c>
      <c r="C1118" s="290">
        <f t="shared" ref="C1118:C1120" si="1144">IF(OR(B1118="Folie", B1118="Strips", B1118="Film",B1118="Flakes",B1118="Coupon"), 2,IF(OR(B1118="Fibers",B1118="Pellets"),4,IF(OR(B1118="Particles",B1118="Shreds",B1118="Powder",B1118="Fragments",B1118="Granules"),6,"")))</f>
        <v>6</v>
      </c>
      <c r="D1118" s="290" t="s">
        <v>1018</v>
      </c>
      <c r="E1118" s="155">
        <v>0.1</v>
      </c>
      <c r="F1118" s="206" t="s">
        <v>1057</v>
      </c>
      <c r="G1118" s="144" t="str">
        <f t="shared" ref="G1118:G1120" si="1145">CONCATENATE(A1118," ",B1118," ",D1118," mm (emission to ",F1118,")")</f>
        <v>PEA particles 0,01-0,1 mm (emission to air)</v>
      </c>
      <c r="H1118" s="133"/>
      <c r="I1118" s="137">
        <v>0.97699999999999998</v>
      </c>
      <c r="J1118" s="101" t="s">
        <v>1019</v>
      </c>
      <c r="K1118" s="114">
        <f>K49</f>
        <v>397.58928571428572</v>
      </c>
      <c r="L1118" s="226">
        <f t="shared" ref="L1118:L1120" si="1146">IFERROR(IF(K1118="--",0,IF(E1118*1000/K1118*(1-0.5)^(C1118/2)&gt;1000,1000,E1118*1000/K1118*(1-0.5)^(C1118/2))),1000)</f>
        <v>3.1439479002919379E-2</v>
      </c>
      <c r="M1118" s="158">
        <f>IF(L1118/1000&gt;1000,1000,L1118/1000)</f>
        <v>3.1439479002919382E-5</v>
      </c>
      <c r="N1118" s="610">
        <f>I1118*M1118+I1119*M1119</f>
        <v>3.1439479002919382E-5</v>
      </c>
    </row>
    <row r="1119" spans="1:14" s="102" customFormat="1">
      <c r="A1119" s="172" t="str">
        <f>A1118</f>
        <v>PEA</v>
      </c>
      <c r="B1119" s="149" t="str">
        <f>B1118</f>
        <v>particles</v>
      </c>
      <c r="C1119" s="149">
        <f t="shared" si="1144"/>
        <v>6</v>
      </c>
      <c r="D1119" s="149" t="str">
        <f t="shared" ref="D1119:F1119" si="1147">D1118</f>
        <v>0,01-0,1</v>
      </c>
      <c r="E1119" s="149">
        <f t="shared" si="1147"/>
        <v>0.1</v>
      </c>
      <c r="F1119" s="149" t="str">
        <f t="shared" si="1147"/>
        <v>air</v>
      </c>
      <c r="G1119" s="146" t="str">
        <f t="shared" si="1145"/>
        <v>PEA particles 0,01-0,1 mm (emission to air)</v>
      </c>
      <c r="H1119" s="146"/>
      <c r="I1119" s="129">
        <v>2.3E-2</v>
      </c>
      <c r="J1119" s="101" t="s">
        <v>1097</v>
      </c>
      <c r="K1119" s="114">
        <f>K50</f>
        <v>397.58928571428572</v>
      </c>
      <c r="L1119" s="226">
        <f t="shared" si="1146"/>
        <v>3.1439479002919379E-2</v>
      </c>
      <c r="M1119" s="158">
        <f>IF(L1119/1000&gt;1000,1000,L1119/1000)</f>
        <v>3.1439479002919382E-5</v>
      </c>
      <c r="N1119" s="610"/>
    </row>
    <row r="1120" spans="1:14" s="102" customFormat="1">
      <c r="A1120" s="173" t="str">
        <f>A1119</f>
        <v>PEA</v>
      </c>
      <c r="B1120" s="150" t="str">
        <f>B1119</f>
        <v>particles</v>
      </c>
      <c r="C1120" s="150">
        <f t="shared" si="1144"/>
        <v>6</v>
      </c>
      <c r="D1120" s="150" t="str">
        <f t="shared" ref="D1120:F1120" si="1148">D1119</f>
        <v>0,01-0,1</v>
      </c>
      <c r="E1120" s="150">
        <f t="shared" si="1148"/>
        <v>0.1</v>
      </c>
      <c r="F1120" s="150" t="str">
        <f t="shared" si="1148"/>
        <v>air</v>
      </c>
      <c r="G1120" s="147" t="str">
        <f t="shared" si="1145"/>
        <v>PEA particles 0,01-0,1 mm (emission to air)</v>
      </c>
      <c r="H1120" s="147"/>
      <c r="I1120" s="129">
        <v>0</v>
      </c>
      <c r="J1120" s="101" t="s">
        <v>1034</v>
      </c>
      <c r="K1120" s="114" t="s">
        <v>596</v>
      </c>
      <c r="L1120" s="226">
        <f t="shared" si="1146"/>
        <v>0</v>
      </c>
      <c r="M1120" s="158">
        <f t="shared" ref="M1120" si="1149">IF(L1120/1000&gt;1000,1000,L1120/1000)</f>
        <v>0</v>
      </c>
      <c r="N1120" s="610"/>
    </row>
    <row r="1121" spans="1:14" s="102" customFormat="1">
      <c r="A1121" s="174" t="s">
        <v>647</v>
      </c>
      <c r="B1121" s="288" t="s">
        <v>1025</v>
      </c>
      <c r="C1121" s="290">
        <f t="shared" si="1094"/>
        <v>6</v>
      </c>
      <c r="D1121" s="290" t="s">
        <v>1028</v>
      </c>
      <c r="E1121" s="155">
        <v>1</v>
      </c>
      <c r="F1121" s="206" t="s">
        <v>1019</v>
      </c>
      <c r="G1121" s="144" t="str">
        <f t="shared" si="1105"/>
        <v>PEA particles 0,1-1 mm (emission to soil)</v>
      </c>
      <c r="H1121" s="133"/>
      <c r="I1121" s="129">
        <v>1</v>
      </c>
      <c r="J1121" s="101" t="s">
        <v>1019</v>
      </c>
      <c r="K1121" s="114">
        <f>K49</f>
        <v>397.58928571428572</v>
      </c>
      <c r="L1121" s="226">
        <f t="shared" ref="L1121:L1127" si="1150">IFERROR(IF(K1121="--",0,IF(E1121*1000/K1121*(1-0.5)^(C1121/2)&gt;1000,1000,E1121*1000/K1121*(1-0.5)^(C1121/2))),1000)</f>
        <v>0.31439479002919379</v>
      </c>
      <c r="M1121" s="158">
        <f>IF(L1121/1000&gt;1000,1000,L1121/1000)</f>
        <v>3.1439479002919377E-4</v>
      </c>
      <c r="N1121" s="610">
        <f>I1121*M1121+I1122*M1122</f>
        <v>3.1439479002919377E-4</v>
      </c>
    </row>
    <row r="1122" spans="1:14" s="102" customFormat="1">
      <c r="A1122" s="172" t="str">
        <f>A1121</f>
        <v>PEA</v>
      </c>
      <c r="B1122" s="149" t="str">
        <f>B1121</f>
        <v>particles</v>
      </c>
      <c r="C1122" s="149">
        <f t="shared" si="1094"/>
        <v>6</v>
      </c>
      <c r="D1122" s="149" t="str">
        <f t="shared" ref="D1122:F1123" si="1151">D1121</f>
        <v>0,1-1</v>
      </c>
      <c r="E1122" s="149">
        <f t="shared" si="1151"/>
        <v>1</v>
      </c>
      <c r="F1122" s="149" t="str">
        <f t="shared" si="1151"/>
        <v>soil</v>
      </c>
      <c r="G1122" s="146" t="str">
        <f t="shared" si="1105"/>
        <v>PEA particles 0,1-1 mm (emission to soil)</v>
      </c>
      <c r="H1122" s="146"/>
      <c r="I1122" s="129">
        <v>0</v>
      </c>
      <c r="J1122" s="101" t="s">
        <v>1097</v>
      </c>
      <c r="K1122" s="114">
        <f>K50</f>
        <v>397.58928571428572</v>
      </c>
      <c r="L1122" s="226">
        <f t="shared" si="1150"/>
        <v>0.31439479002919379</v>
      </c>
      <c r="M1122" s="158">
        <f>IF(L1122/1000&gt;1000,1000,L1122/1000)</f>
        <v>3.1439479002919377E-4</v>
      </c>
      <c r="N1122" s="610"/>
    </row>
    <row r="1123" spans="1:14" s="102" customFormat="1">
      <c r="A1123" s="173" t="str">
        <f>A1122</f>
        <v>PEA</v>
      </c>
      <c r="B1123" s="150" t="str">
        <f>B1122</f>
        <v>particles</v>
      </c>
      <c r="C1123" s="150">
        <f t="shared" si="1094"/>
        <v>6</v>
      </c>
      <c r="D1123" s="150" t="str">
        <f t="shared" si="1151"/>
        <v>0,1-1</v>
      </c>
      <c r="E1123" s="150">
        <f t="shared" si="1151"/>
        <v>1</v>
      </c>
      <c r="F1123" s="150" t="str">
        <f t="shared" si="1151"/>
        <v>soil</v>
      </c>
      <c r="G1123" s="147" t="str">
        <f t="shared" si="1105"/>
        <v>PEA particles 0,1-1 mm (emission to soil)</v>
      </c>
      <c r="H1123" s="147"/>
      <c r="I1123" s="129">
        <v>0</v>
      </c>
      <c r="J1123" s="101" t="s">
        <v>1034</v>
      </c>
      <c r="K1123" s="151" t="s">
        <v>596</v>
      </c>
      <c r="L1123" s="226">
        <f t="shared" si="1150"/>
        <v>0</v>
      </c>
      <c r="M1123" s="158">
        <f t="shared" ref="M1123:M1127" si="1152">IF(L1123/1000&gt;1000,1000,L1123/1000)</f>
        <v>0</v>
      </c>
      <c r="N1123" s="610"/>
    </row>
    <row r="1124" spans="1:14" s="102" customFormat="1">
      <c r="A1124" s="174" t="s">
        <v>647</v>
      </c>
      <c r="B1124" s="288" t="s">
        <v>1025</v>
      </c>
      <c r="C1124" s="290">
        <f t="shared" si="1094"/>
        <v>6</v>
      </c>
      <c r="D1124" s="290" t="s">
        <v>1028</v>
      </c>
      <c r="E1124" s="290">
        <v>1</v>
      </c>
      <c r="F1124" s="206" t="s">
        <v>1020</v>
      </c>
      <c r="G1124" s="144" t="str">
        <f t="shared" si="1105"/>
        <v>PEA particles 0,1-1 mm (emission to water)</v>
      </c>
      <c r="H1124" s="133"/>
      <c r="I1124" s="129">
        <v>0</v>
      </c>
      <c r="J1124" s="225" t="s">
        <v>1019</v>
      </c>
      <c r="K1124" s="114">
        <f>K49</f>
        <v>397.58928571428572</v>
      </c>
      <c r="L1124" s="226">
        <f t="shared" si="1150"/>
        <v>0.31439479002919379</v>
      </c>
      <c r="M1124" s="295">
        <f t="shared" si="1152"/>
        <v>3.1439479002919377E-4</v>
      </c>
      <c r="N1124" s="614" t="e">
        <f>I1124*M1124+I1125*M1125+I1126*M1126</f>
        <v>#VALUE!</v>
      </c>
    </row>
    <row r="1125" spans="1:14" s="102" customFormat="1">
      <c r="A1125" s="172" t="str">
        <f>A1124</f>
        <v>PEA</v>
      </c>
      <c r="B1125" s="149" t="str">
        <f>B1124</f>
        <v>particles</v>
      </c>
      <c r="C1125" s="149">
        <f t="shared" si="1094"/>
        <v>6</v>
      </c>
      <c r="D1125" s="149" t="str">
        <f t="shared" ref="D1125:F1126" si="1153">D1124</f>
        <v>0,1-1</v>
      </c>
      <c r="E1125" s="149">
        <f t="shared" si="1153"/>
        <v>1</v>
      </c>
      <c r="F1125" s="149" t="str">
        <f t="shared" si="1153"/>
        <v>water</v>
      </c>
      <c r="G1125" s="146" t="str">
        <f t="shared" si="1105"/>
        <v>PEA particles 0,1-1 mm (emission to water)</v>
      </c>
      <c r="H1125" s="146"/>
      <c r="I1125" s="221" t="s">
        <v>1102</v>
      </c>
      <c r="J1125" s="225" t="s">
        <v>1097</v>
      </c>
      <c r="K1125" s="114">
        <f>K50</f>
        <v>397.58928571428572</v>
      </c>
      <c r="L1125" s="226">
        <f t="shared" si="1150"/>
        <v>0.31439479002919379</v>
      </c>
      <c r="M1125" s="295">
        <f t="shared" si="1152"/>
        <v>3.1439479002919377E-4</v>
      </c>
      <c r="N1125" s="615"/>
    </row>
    <row r="1126" spans="1:14" s="102" customFormat="1">
      <c r="A1126" s="172" t="str">
        <f>A1125</f>
        <v>PEA</v>
      </c>
      <c r="B1126" s="149" t="str">
        <f>B1125</f>
        <v>particles</v>
      </c>
      <c r="C1126" s="149">
        <f t="shared" si="1094"/>
        <v>6</v>
      </c>
      <c r="D1126" s="149" t="str">
        <f t="shared" si="1153"/>
        <v>0,1-1</v>
      </c>
      <c r="E1126" s="149">
        <f t="shared" si="1153"/>
        <v>1</v>
      </c>
      <c r="F1126" s="149" t="str">
        <f t="shared" si="1153"/>
        <v>water</v>
      </c>
      <c r="G1126" s="146" t="str">
        <f t="shared" si="1105"/>
        <v>PEA particles 0,1-1 mm (emission to water)</v>
      </c>
      <c r="H1126" s="146"/>
      <c r="I1126" s="221" t="s">
        <v>1102</v>
      </c>
      <c r="J1126" s="225" t="s">
        <v>1096</v>
      </c>
      <c r="K1126" s="114">
        <f>K51</f>
        <v>397.58928571428572</v>
      </c>
      <c r="L1126" s="226">
        <f t="shared" ref="L1126" si="1154">IFERROR(IF(K1126="--",0,IF(E1126*1000/K1126*(1-0.5)^(C1126/2)&gt;1000,1000,E1126*1000/K1126*(1-0.5)^(C1126/2))),1000)</f>
        <v>0.31439479002919379</v>
      </c>
      <c r="M1126" s="295">
        <f t="shared" si="1152"/>
        <v>3.1439479002919377E-4</v>
      </c>
      <c r="N1126" s="615"/>
    </row>
    <row r="1127" spans="1:14" s="102" customFormat="1">
      <c r="A1127" s="173" t="str">
        <f>A1125</f>
        <v>PEA</v>
      </c>
      <c r="B1127" s="150" t="str">
        <f>B1125</f>
        <v>particles</v>
      </c>
      <c r="C1127" s="150">
        <f t="shared" si="1094"/>
        <v>6</v>
      </c>
      <c r="D1127" s="150" t="str">
        <f>D1125</f>
        <v>0,1-1</v>
      </c>
      <c r="E1127" s="150">
        <f>E1125</f>
        <v>1</v>
      </c>
      <c r="F1127" s="150" t="str">
        <f>F1125</f>
        <v>water</v>
      </c>
      <c r="G1127" s="147" t="str">
        <f t="shared" si="1105"/>
        <v>PEA particles 0,1-1 mm (emission to water)</v>
      </c>
      <c r="H1127" s="147"/>
      <c r="I1127" s="129">
        <v>0</v>
      </c>
      <c r="J1127" s="225" t="s">
        <v>1034</v>
      </c>
      <c r="K1127" s="151" t="s">
        <v>596</v>
      </c>
      <c r="L1127" s="226">
        <f t="shared" si="1150"/>
        <v>0</v>
      </c>
      <c r="M1127" s="295">
        <f t="shared" si="1152"/>
        <v>0</v>
      </c>
      <c r="N1127" s="616"/>
    </row>
    <row r="1128" spans="1:14" s="102" customFormat="1">
      <c r="A1128" s="174" t="s">
        <v>647</v>
      </c>
      <c r="B1128" s="288" t="s">
        <v>1025</v>
      </c>
      <c r="C1128" s="290">
        <f t="shared" ref="C1128:C1130" si="1155">IF(OR(B1128="Folie", B1128="Strips", B1128="Film",B1128="Flakes",B1128="Coupon"), 2,IF(OR(B1128="Fibers",B1128="Pellets"),4,IF(OR(B1128="Particles",B1128="Shreds",B1128="Powder",B1128="Fragments",B1128="Granules"),6,"")))</f>
        <v>6</v>
      </c>
      <c r="D1128" s="290" t="s">
        <v>1028</v>
      </c>
      <c r="E1128" s="155">
        <v>1</v>
      </c>
      <c r="F1128" s="206" t="s">
        <v>1057</v>
      </c>
      <c r="G1128" s="144" t="str">
        <f t="shared" ref="G1128:G1130" si="1156">CONCATENATE(A1128," ",B1128," ",D1128," mm (emission to ",F1128,")")</f>
        <v>PEA particles 0,1-1 mm (emission to air)</v>
      </c>
      <c r="H1128" s="133"/>
      <c r="I1128" s="137">
        <v>0.97699999999999998</v>
      </c>
      <c r="J1128" s="101" t="s">
        <v>1019</v>
      </c>
      <c r="K1128" s="114">
        <f>K49</f>
        <v>397.58928571428572</v>
      </c>
      <c r="L1128" s="226">
        <f t="shared" ref="L1128:L1130" si="1157">IFERROR(IF(K1128="--",0,IF(E1128*1000/K1128*(1-0.5)^(C1128/2)&gt;1000,1000,E1128*1000/K1128*(1-0.5)^(C1128/2))),1000)</f>
        <v>0.31439479002919379</v>
      </c>
      <c r="M1128" s="158">
        <f>IF(L1128/1000&gt;1000,1000,L1128/1000)</f>
        <v>3.1439479002919377E-4</v>
      </c>
      <c r="N1128" s="610">
        <f>I1128*M1128+I1129*M1129</f>
        <v>3.1439479002919377E-4</v>
      </c>
    </row>
    <row r="1129" spans="1:14" s="102" customFormat="1">
      <c r="A1129" s="172" t="str">
        <f>A1128</f>
        <v>PEA</v>
      </c>
      <c r="B1129" s="149" t="str">
        <f>B1128</f>
        <v>particles</v>
      </c>
      <c r="C1129" s="149">
        <f t="shared" si="1155"/>
        <v>6</v>
      </c>
      <c r="D1129" s="149" t="str">
        <f t="shared" ref="D1129:F1129" si="1158">D1128</f>
        <v>0,1-1</v>
      </c>
      <c r="E1129" s="149">
        <f t="shared" si="1158"/>
        <v>1</v>
      </c>
      <c r="F1129" s="149" t="str">
        <f t="shared" si="1158"/>
        <v>air</v>
      </c>
      <c r="G1129" s="146" t="str">
        <f t="shared" si="1156"/>
        <v>PEA particles 0,1-1 mm (emission to air)</v>
      </c>
      <c r="H1129" s="146"/>
      <c r="I1129" s="129">
        <v>2.3E-2</v>
      </c>
      <c r="J1129" s="101" t="s">
        <v>1097</v>
      </c>
      <c r="K1129" s="114">
        <f>K50</f>
        <v>397.58928571428572</v>
      </c>
      <c r="L1129" s="226">
        <f t="shared" si="1157"/>
        <v>0.31439479002919379</v>
      </c>
      <c r="M1129" s="158">
        <f>IF(L1129/1000&gt;1000,1000,L1129/1000)</f>
        <v>3.1439479002919377E-4</v>
      </c>
      <c r="N1129" s="610"/>
    </row>
    <row r="1130" spans="1:14" s="102" customFormat="1">
      <c r="A1130" s="173" t="str">
        <f>A1129</f>
        <v>PEA</v>
      </c>
      <c r="B1130" s="150" t="str">
        <f>B1129</f>
        <v>particles</v>
      </c>
      <c r="C1130" s="150">
        <f t="shared" si="1155"/>
        <v>6</v>
      </c>
      <c r="D1130" s="150" t="str">
        <f t="shared" ref="D1130:F1130" si="1159">D1129</f>
        <v>0,1-1</v>
      </c>
      <c r="E1130" s="150">
        <f t="shared" si="1159"/>
        <v>1</v>
      </c>
      <c r="F1130" s="150" t="str">
        <f t="shared" si="1159"/>
        <v>air</v>
      </c>
      <c r="G1130" s="147" t="str">
        <f t="shared" si="1156"/>
        <v>PEA particles 0,1-1 mm (emission to air)</v>
      </c>
      <c r="H1130" s="147"/>
      <c r="I1130" s="129">
        <v>0</v>
      </c>
      <c r="J1130" s="101" t="s">
        <v>1034</v>
      </c>
      <c r="K1130" s="151" t="s">
        <v>596</v>
      </c>
      <c r="L1130" s="226">
        <f t="shared" si="1157"/>
        <v>0</v>
      </c>
      <c r="M1130" s="158">
        <f t="shared" ref="M1130" si="1160">IF(L1130/1000&gt;1000,1000,L1130/1000)</f>
        <v>0</v>
      </c>
      <c r="N1130" s="610"/>
    </row>
    <row r="1131" spans="1:14" s="102" customFormat="1">
      <c r="A1131" s="174" t="s">
        <v>647</v>
      </c>
      <c r="B1131" s="288" t="s">
        <v>1025</v>
      </c>
      <c r="C1131" s="290">
        <f t="shared" si="1094"/>
        <v>6</v>
      </c>
      <c r="D1131" s="290" t="s">
        <v>1026</v>
      </c>
      <c r="E1131" s="155">
        <v>10</v>
      </c>
      <c r="F1131" s="206" t="s">
        <v>1019</v>
      </c>
      <c r="G1131" s="144" t="str">
        <f t="shared" si="1105"/>
        <v>PEA particles 1-10 mm (emission to soil)</v>
      </c>
      <c r="H1131" s="133"/>
      <c r="I1131" s="129">
        <v>1</v>
      </c>
      <c r="J1131" s="101" t="s">
        <v>1019</v>
      </c>
      <c r="K1131" s="114">
        <f>K49</f>
        <v>397.58928571428572</v>
      </c>
      <c r="L1131" s="226">
        <f t="shared" ref="L1131:L1137" si="1161">IFERROR(IF(K1131="--",0,IF(E1131*1000/K1131*(1-0.5)^(C1131/2)&gt;1000,1000,E1131*1000/K1131*(1-0.5)^(C1131/2))),1000)</f>
        <v>3.1439479002919382</v>
      </c>
      <c r="M1131" s="158">
        <f>IF(L1131/1000&gt;1000,1000,L1131/1000)</f>
        <v>3.143947900291938E-3</v>
      </c>
      <c r="N1131" s="610">
        <f>I1131*M1131+I1132*M1132</f>
        <v>3.143947900291938E-3</v>
      </c>
    </row>
    <row r="1132" spans="1:14" s="102" customFormat="1">
      <c r="A1132" s="172" t="str">
        <f>A1131</f>
        <v>PEA</v>
      </c>
      <c r="B1132" s="149" t="str">
        <f>B1131</f>
        <v>particles</v>
      </c>
      <c r="C1132" s="149">
        <f t="shared" si="1094"/>
        <v>6</v>
      </c>
      <c r="D1132" s="149" t="str">
        <f t="shared" ref="D1132:F1133" si="1162">D1131</f>
        <v>1-10</v>
      </c>
      <c r="E1132" s="149">
        <f t="shared" si="1162"/>
        <v>10</v>
      </c>
      <c r="F1132" s="149" t="str">
        <f t="shared" si="1162"/>
        <v>soil</v>
      </c>
      <c r="G1132" s="146" t="str">
        <f t="shared" si="1105"/>
        <v>PEA particles 1-10 mm (emission to soil)</v>
      </c>
      <c r="H1132" s="146"/>
      <c r="I1132" s="129">
        <v>0</v>
      </c>
      <c r="J1132" s="101" t="s">
        <v>1097</v>
      </c>
      <c r="K1132" s="114">
        <f>K50</f>
        <v>397.58928571428572</v>
      </c>
      <c r="L1132" s="226">
        <f t="shared" si="1161"/>
        <v>3.1439479002919382</v>
      </c>
      <c r="M1132" s="158">
        <f>IF(L1132/1000&gt;1000,1000,L1132/1000)</f>
        <v>3.143947900291938E-3</v>
      </c>
      <c r="N1132" s="610"/>
    </row>
    <row r="1133" spans="1:14" s="102" customFormat="1">
      <c r="A1133" s="173" t="str">
        <f>A1132</f>
        <v>PEA</v>
      </c>
      <c r="B1133" s="150" t="str">
        <f>B1132</f>
        <v>particles</v>
      </c>
      <c r="C1133" s="150">
        <f t="shared" si="1094"/>
        <v>6</v>
      </c>
      <c r="D1133" s="150" t="str">
        <f t="shared" si="1162"/>
        <v>1-10</v>
      </c>
      <c r="E1133" s="150">
        <f t="shared" si="1162"/>
        <v>10</v>
      </c>
      <c r="F1133" s="150" t="str">
        <f t="shared" si="1162"/>
        <v>soil</v>
      </c>
      <c r="G1133" s="147" t="str">
        <f t="shared" si="1105"/>
        <v>PEA particles 1-10 mm (emission to soil)</v>
      </c>
      <c r="H1133" s="147"/>
      <c r="I1133" s="129">
        <v>0</v>
      </c>
      <c r="J1133" s="101" t="s">
        <v>1034</v>
      </c>
      <c r="K1133" s="151" t="s">
        <v>596</v>
      </c>
      <c r="L1133" s="226">
        <f t="shared" si="1161"/>
        <v>0</v>
      </c>
      <c r="M1133" s="158">
        <f t="shared" ref="M1133:M1137" si="1163">IF(L1133/1000&gt;1000,1000,L1133/1000)</f>
        <v>0</v>
      </c>
      <c r="N1133" s="610"/>
    </row>
    <row r="1134" spans="1:14" s="102" customFormat="1">
      <c r="A1134" s="174" t="s">
        <v>647</v>
      </c>
      <c r="B1134" s="288" t="s">
        <v>1025</v>
      </c>
      <c r="C1134" s="290">
        <f t="shared" si="1094"/>
        <v>6</v>
      </c>
      <c r="D1134" s="290" t="s">
        <v>1026</v>
      </c>
      <c r="E1134" s="288">
        <v>10</v>
      </c>
      <c r="F1134" s="206" t="s">
        <v>1020</v>
      </c>
      <c r="G1134" s="144" t="str">
        <f t="shared" si="1105"/>
        <v>PEA particles 1-10 mm (emission to water)</v>
      </c>
      <c r="H1134" s="133"/>
      <c r="I1134" s="129">
        <v>0</v>
      </c>
      <c r="J1134" s="225" t="s">
        <v>1019</v>
      </c>
      <c r="K1134" s="114">
        <f>K49</f>
        <v>397.58928571428572</v>
      </c>
      <c r="L1134" s="226">
        <f t="shared" si="1161"/>
        <v>3.1439479002919382</v>
      </c>
      <c r="M1134" s="295">
        <f t="shared" si="1163"/>
        <v>3.143947900291938E-3</v>
      </c>
      <c r="N1134" s="614" t="e">
        <f>I1134*M1134+I1135*M1135+I1136*M1136</f>
        <v>#VALUE!</v>
      </c>
    </row>
    <row r="1135" spans="1:14" s="102" customFormat="1">
      <c r="A1135" s="172" t="str">
        <f>A1134</f>
        <v>PEA</v>
      </c>
      <c r="B1135" s="149" t="str">
        <f>B1134</f>
        <v>particles</v>
      </c>
      <c r="C1135" s="149">
        <f t="shared" si="1094"/>
        <v>6</v>
      </c>
      <c r="D1135" s="149" t="str">
        <f t="shared" ref="D1135:F1136" si="1164">D1134</f>
        <v>1-10</v>
      </c>
      <c r="E1135" s="149">
        <f t="shared" si="1164"/>
        <v>10</v>
      </c>
      <c r="F1135" s="149" t="str">
        <f t="shared" si="1164"/>
        <v>water</v>
      </c>
      <c r="G1135" s="146" t="str">
        <f t="shared" ref="G1135:G1147" si="1165">CONCATENATE(A1135," ",B1135," ",D1135," mm (emission to ",F1135,")")</f>
        <v>PEA particles 1-10 mm (emission to water)</v>
      </c>
      <c r="H1135" s="146"/>
      <c r="I1135" s="221" t="s">
        <v>1102</v>
      </c>
      <c r="J1135" s="225" t="s">
        <v>1097</v>
      </c>
      <c r="K1135" s="114">
        <f>K50</f>
        <v>397.58928571428572</v>
      </c>
      <c r="L1135" s="226">
        <f t="shared" si="1161"/>
        <v>3.1439479002919382</v>
      </c>
      <c r="M1135" s="295">
        <f t="shared" si="1163"/>
        <v>3.143947900291938E-3</v>
      </c>
      <c r="N1135" s="615"/>
    </row>
    <row r="1136" spans="1:14" s="102" customFormat="1">
      <c r="A1136" s="172" t="str">
        <f>A1135</f>
        <v>PEA</v>
      </c>
      <c r="B1136" s="149" t="str">
        <f>B1135</f>
        <v>particles</v>
      </c>
      <c r="C1136" s="149">
        <f t="shared" si="1094"/>
        <v>6</v>
      </c>
      <c r="D1136" s="149" t="str">
        <f t="shared" si="1164"/>
        <v>1-10</v>
      </c>
      <c r="E1136" s="149">
        <f t="shared" si="1164"/>
        <v>10</v>
      </c>
      <c r="F1136" s="149" t="str">
        <f t="shared" si="1164"/>
        <v>water</v>
      </c>
      <c r="G1136" s="146" t="str">
        <f t="shared" si="1165"/>
        <v>PEA particles 1-10 mm (emission to water)</v>
      </c>
      <c r="H1136" s="146"/>
      <c r="I1136" s="221" t="s">
        <v>1102</v>
      </c>
      <c r="J1136" s="225" t="s">
        <v>1096</v>
      </c>
      <c r="K1136" s="114">
        <f>K51</f>
        <v>397.58928571428572</v>
      </c>
      <c r="L1136" s="226">
        <f t="shared" ref="L1136" si="1166">IFERROR(IF(K1136="--",0,IF(E1136*1000/K1136*(1-0.5)^(C1136/2)&gt;1000,1000,E1136*1000/K1136*(1-0.5)^(C1136/2))),1000)</f>
        <v>3.1439479002919382</v>
      </c>
      <c r="M1136" s="295">
        <f t="shared" si="1163"/>
        <v>3.143947900291938E-3</v>
      </c>
      <c r="N1136" s="615"/>
    </row>
    <row r="1137" spans="1:14" s="102" customFormat="1">
      <c r="A1137" s="173" t="str">
        <f>A1135</f>
        <v>PEA</v>
      </c>
      <c r="B1137" s="150" t="str">
        <f>B1135</f>
        <v>particles</v>
      </c>
      <c r="C1137" s="150">
        <f t="shared" si="1094"/>
        <v>6</v>
      </c>
      <c r="D1137" s="150" t="str">
        <f>D1135</f>
        <v>1-10</v>
      </c>
      <c r="E1137" s="150">
        <f>E1135</f>
        <v>10</v>
      </c>
      <c r="F1137" s="150" t="str">
        <f>F1135</f>
        <v>water</v>
      </c>
      <c r="G1137" s="147" t="str">
        <f t="shared" si="1165"/>
        <v>PEA particles 1-10 mm (emission to water)</v>
      </c>
      <c r="H1137" s="147">
        <f>H1135</f>
        <v>0</v>
      </c>
      <c r="I1137" s="129">
        <v>0</v>
      </c>
      <c r="J1137" s="225" t="s">
        <v>1034</v>
      </c>
      <c r="K1137" s="114" t="s">
        <v>596</v>
      </c>
      <c r="L1137" s="226">
        <f t="shared" si="1161"/>
        <v>0</v>
      </c>
      <c r="M1137" s="295">
        <f t="shared" si="1163"/>
        <v>0</v>
      </c>
      <c r="N1137" s="616"/>
    </row>
    <row r="1138" spans="1:14" s="102" customFormat="1">
      <c r="A1138" s="174" t="s">
        <v>647</v>
      </c>
      <c r="B1138" s="288" t="s">
        <v>1025</v>
      </c>
      <c r="C1138" s="290">
        <f t="shared" ref="C1138:C1140" si="1167">IF(OR(B1138="Folie", B1138="Strips", B1138="Film",B1138="Flakes",B1138="Coupon"), 2,IF(OR(B1138="Fibers",B1138="Pellets"),4,IF(OR(B1138="Particles",B1138="Shreds",B1138="Powder",B1138="Fragments",B1138="Granules"),6,"")))</f>
        <v>6</v>
      </c>
      <c r="D1138" s="290" t="s">
        <v>1026</v>
      </c>
      <c r="E1138" s="155">
        <v>10</v>
      </c>
      <c r="F1138" s="206" t="s">
        <v>1057</v>
      </c>
      <c r="G1138" s="144" t="str">
        <f t="shared" si="1165"/>
        <v>PEA particles 1-10 mm (emission to air)</v>
      </c>
      <c r="H1138" s="133"/>
      <c r="I1138" s="137">
        <v>0.97699999999999998</v>
      </c>
      <c r="J1138" s="101" t="s">
        <v>1019</v>
      </c>
      <c r="K1138" s="114">
        <f>K49</f>
        <v>397.58928571428572</v>
      </c>
      <c r="L1138" s="226">
        <f t="shared" ref="L1138:L1140" si="1168">IFERROR(IF(K1138="--",0,IF(E1138*1000/K1138*(1-0.5)^(C1138/2)&gt;1000,1000,E1138*1000/K1138*(1-0.5)^(C1138/2))),1000)</f>
        <v>3.1439479002919382</v>
      </c>
      <c r="M1138" s="158">
        <f>IF(L1138/1000&gt;1000,1000,L1138/1000)</f>
        <v>3.143947900291938E-3</v>
      </c>
      <c r="N1138" s="610">
        <f>I1138*M1138+I1139*M1139</f>
        <v>3.1439479002919376E-3</v>
      </c>
    </row>
    <row r="1139" spans="1:14" s="102" customFormat="1">
      <c r="A1139" s="172" t="str">
        <f>A1138</f>
        <v>PEA</v>
      </c>
      <c r="B1139" s="149" t="str">
        <f>B1138</f>
        <v>particles</v>
      </c>
      <c r="C1139" s="149">
        <f t="shared" si="1167"/>
        <v>6</v>
      </c>
      <c r="D1139" s="149" t="str">
        <f t="shared" ref="D1139:F1139" si="1169">D1138</f>
        <v>1-10</v>
      </c>
      <c r="E1139" s="149">
        <f t="shared" si="1169"/>
        <v>10</v>
      </c>
      <c r="F1139" s="149" t="str">
        <f t="shared" si="1169"/>
        <v>air</v>
      </c>
      <c r="G1139" s="146" t="str">
        <f t="shared" si="1165"/>
        <v>PEA particles 1-10 mm (emission to air)</v>
      </c>
      <c r="H1139" s="146"/>
      <c r="I1139" s="129">
        <v>2.3E-2</v>
      </c>
      <c r="J1139" s="101" t="s">
        <v>1097</v>
      </c>
      <c r="K1139" s="114">
        <f>K50</f>
        <v>397.58928571428572</v>
      </c>
      <c r="L1139" s="226">
        <f t="shared" si="1168"/>
        <v>3.1439479002919382</v>
      </c>
      <c r="M1139" s="158">
        <f>IF(L1139/1000&gt;1000,1000,L1139/1000)</f>
        <v>3.143947900291938E-3</v>
      </c>
      <c r="N1139" s="610"/>
    </row>
    <row r="1140" spans="1:14" s="102" customFormat="1" ht="13.5" thickBot="1">
      <c r="A1140" s="173" t="str">
        <f>A1139</f>
        <v>PEA</v>
      </c>
      <c r="B1140" s="150" t="str">
        <f>B1139</f>
        <v>particles</v>
      </c>
      <c r="C1140" s="150">
        <f t="shared" si="1167"/>
        <v>6</v>
      </c>
      <c r="D1140" s="150" t="str">
        <f t="shared" ref="D1140:F1140" si="1170">D1139</f>
        <v>1-10</v>
      </c>
      <c r="E1140" s="178">
        <f t="shared" si="1170"/>
        <v>10</v>
      </c>
      <c r="F1140" s="178" t="str">
        <f t="shared" si="1170"/>
        <v>air</v>
      </c>
      <c r="G1140" s="179" t="str">
        <f t="shared" si="1165"/>
        <v>PEA particles 1-10 mm (emission to air)</v>
      </c>
      <c r="H1140" s="179"/>
      <c r="I1140" s="277">
        <v>0</v>
      </c>
      <c r="J1140" s="180" t="s">
        <v>1034</v>
      </c>
      <c r="K1140" s="278" t="s">
        <v>596</v>
      </c>
      <c r="L1140" s="279">
        <f t="shared" si="1168"/>
        <v>0</v>
      </c>
      <c r="M1140" s="158">
        <f t="shared" ref="M1140" si="1171">IF(L1140/1000&gt;1000,1000,L1140/1000)</f>
        <v>0</v>
      </c>
      <c r="N1140" s="610"/>
    </row>
    <row r="1141" spans="1:14" s="102" customFormat="1">
      <c r="A1141" s="163" t="s">
        <v>48</v>
      </c>
      <c r="B1141" s="164" t="s">
        <v>996</v>
      </c>
      <c r="C1141" s="165">
        <f>IF(OR(B1141="Folie", B1141="Strips", B1141="Film",B1141="Flakes",B1141="Coupon"), 2,IF(OR(B1141="Fibers",B1141="Pellets"),4,IF(OR(B1141="Particles",B1141="Shreds",B1141="Powder",B1141="Fragments",B1141="Granules"),6,"")))</f>
        <v>2</v>
      </c>
      <c r="D1141" s="165" t="s">
        <v>1028</v>
      </c>
      <c r="E1141" s="293">
        <v>1</v>
      </c>
      <c r="F1141" s="166" t="s">
        <v>1019</v>
      </c>
      <c r="G1141" s="167" t="str">
        <f t="shared" si="1165"/>
        <v>PCL film 0,1-1 mm (emission to soil)</v>
      </c>
      <c r="H1141" s="168"/>
      <c r="I1141" s="169">
        <v>1</v>
      </c>
      <c r="J1141" s="170" t="s">
        <v>1019</v>
      </c>
      <c r="K1141" s="171">
        <f>K52</f>
        <v>400.84821428571433</v>
      </c>
      <c r="L1141" s="276">
        <f t="shared" ref="L1141:L1147" si="1172">IFERROR(IF(K1141="--",0,IF(E1141*1000/K1141*(1-0.5)^(C1141/2)&gt;1000,1000,E1141*1000/K1141*(1-0.5)^(C1141/2))),1000)</f>
        <v>1.2473549393028176</v>
      </c>
      <c r="M1141" s="158">
        <f>IF(L1141/1000&gt;1000,1000,L1141/1000)</f>
        <v>1.2473549393028176E-3</v>
      </c>
      <c r="N1141" s="610">
        <f>I1141*M1141+I1142*M1142</f>
        <v>1.2473549393028176E-3</v>
      </c>
    </row>
    <row r="1142" spans="1:14" s="102" customFormat="1">
      <c r="A1142" s="172" t="str">
        <f>A1141</f>
        <v>PCL</v>
      </c>
      <c r="B1142" s="149" t="str">
        <f>B1141</f>
        <v>film</v>
      </c>
      <c r="C1142" s="149">
        <f t="shared" ref="C1142:C1207" si="1173">IF(OR(B1142="Folie", B1142="Strips", B1142="Film",B1142="Flakes",B1142="Coupon"), 2,IF(OR(B1142="Fibers",B1142="Pellets"),4,IF(OR(B1142="Particles",B1142="Shreds",B1142="Powder",B1142="Fragments",B1142="Granules"),6,"")))</f>
        <v>2</v>
      </c>
      <c r="D1142" s="149" t="str">
        <f t="shared" ref="D1142:F1143" si="1174">D1141</f>
        <v>0,1-1</v>
      </c>
      <c r="E1142" s="149">
        <f t="shared" si="1174"/>
        <v>1</v>
      </c>
      <c r="F1142" s="149" t="str">
        <f t="shared" si="1174"/>
        <v>soil</v>
      </c>
      <c r="G1142" s="146" t="str">
        <f t="shared" si="1165"/>
        <v>PCL film 0,1-1 mm (emission to soil)</v>
      </c>
      <c r="H1142" s="146"/>
      <c r="I1142" s="129">
        <v>0</v>
      </c>
      <c r="J1142" s="101" t="s">
        <v>1097</v>
      </c>
      <c r="K1142" s="114">
        <f>K53</f>
        <v>400.84821428571433</v>
      </c>
      <c r="L1142" s="226">
        <f t="shared" si="1172"/>
        <v>1.2473549393028176</v>
      </c>
      <c r="M1142" s="158">
        <f>IF(L1142/1000&gt;1000,1000,L1142/1000)</f>
        <v>1.2473549393028176E-3</v>
      </c>
      <c r="N1142" s="610"/>
    </row>
    <row r="1143" spans="1:14" s="102" customFormat="1">
      <c r="A1143" s="173" t="str">
        <f>A1142</f>
        <v>PCL</v>
      </c>
      <c r="B1143" s="150" t="str">
        <f>B1142</f>
        <v>film</v>
      </c>
      <c r="C1143" s="150">
        <f t="shared" si="1173"/>
        <v>2</v>
      </c>
      <c r="D1143" s="150" t="str">
        <f t="shared" si="1174"/>
        <v>0,1-1</v>
      </c>
      <c r="E1143" s="150">
        <f t="shared" si="1174"/>
        <v>1</v>
      </c>
      <c r="F1143" s="150" t="str">
        <f t="shared" si="1174"/>
        <v>soil</v>
      </c>
      <c r="G1143" s="147" t="str">
        <f t="shared" si="1165"/>
        <v>PCL film 0,1-1 mm (emission to soil)</v>
      </c>
      <c r="H1143" s="147"/>
      <c r="I1143" s="129">
        <v>0</v>
      </c>
      <c r="J1143" s="101" t="s">
        <v>1034</v>
      </c>
      <c r="K1143" s="151" t="s">
        <v>596</v>
      </c>
      <c r="L1143" s="226">
        <f t="shared" si="1172"/>
        <v>0</v>
      </c>
      <c r="M1143" s="158">
        <f t="shared" ref="M1143:M1147" si="1175">IF(L1143/1000&gt;1000,1000,L1143/1000)</f>
        <v>0</v>
      </c>
      <c r="N1143" s="610"/>
    </row>
    <row r="1144" spans="1:14" s="102" customFormat="1">
      <c r="A1144" s="174" t="s">
        <v>48</v>
      </c>
      <c r="B1144" s="288" t="s">
        <v>996</v>
      </c>
      <c r="C1144" s="290">
        <f t="shared" si="1173"/>
        <v>2</v>
      </c>
      <c r="D1144" s="290" t="s">
        <v>1028</v>
      </c>
      <c r="E1144" s="290">
        <v>1</v>
      </c>
      <c r="F1144" s="206" t="s">
        <v>1020</v>
      </c>
      <c r="G1144" s="144" t="str">
        <f t="shared" si="1165"/>
        <v>PCL film 0,1-1 mm (emission to water)</v>
      </c>
      <c r="H1144" s="144"/>
      <c r="I1144" s="129">
        <v>0</v>
      </c>
      <c r="J1144" s="225" t="s">
        <v>1019</v>
      </c>
      <c r="K1144" s="114">
        <f>K52</f>
        <v>400.84821428571433</v>
      </c>
      <c r="L1144" s="226">
        <f t="shared" si="1172"/>
        <v>1.2473549393028176</v>
      </c>
      <c r="M1144" s="295">
        <f t="shared" si="1175"/>
        <v>1.2473549393028176E-3</v>
      </c>
      <c r="N1144" s="614">
        <f>I1144*M1144+I1145*M1145+I1146*M1146</f>
        <v>1.2473549393028176E-3</v>
      </c>
    </row>
    <row r="1145" spans="1:14" s="102" customFormat="1">
      <c r="A1145" s="172" t="str">
        <f>A1144</f>
        <v>PCL</v>
      </c>
      <c r="B1145" s="149" t="str">
        <f>B1144</f>
        <v>film</v>
      </c>
      <c r="C1145" s="149">
        <f t="shared" si="1173"/>
        <v>2</v>
      </c>
      <c r="D1145" s="149" t="str">
        <f t="shared" ref="D1145:F1146" si="1176">D1144</f>
        <v>0,1-1</v>
      </c>
      <c r="E1145" s="149">
        <f t="shared" si="1176"/>
        <v>1</v>
      </c>
      <c r="F1145" s="149" t="str">
        <f t="shared" si="1176"/>
        <v>water</v>
      </c>
      <c r="G1145" s="146" t="str">
        <f t="shared" si="1165"/>
        <v>PCL film 0,1-1 mm (emission to water)</v>
      </c>
      <c r="H1145" s="146"/>
      <c r="I1145" s="129">
        <v>0</v>
      </c>
      <c r="J1145" s="225" t="s">
        <v>1097</v>
      </c>
      <c r="K1145" s="114">
        <f>K53</f>
        <v>400.84821428571433</v>
      </c>
      <c r="L1145" s="226">
        <f t="shared" si="1172"/>
        <v>1.2473549393028176</v>
      </c>
      <c r="M1145" s="295">
        <f t="shared" si="1175"/>
        <v>1.2473549393028176E-3</v>
      </c>
      <c r="N1145" s="615"/>
    </row>
    <row r="1146" spans="1:14" s="102" customFormat="1">
      <c r="A1146" s="172" t="str">
        <f>A1145</f>
        <v>PCL</v>
      </c>
      <c r="B1146" s="149" t="str">
        <f>B1145</f>
        <v>film</v>
      </c>
      <c r="C1146" s="149">
        <f t="shared" ref="C1146" si="1177">IF(OR(B1146="Folie", B1146="Strips", B1146="Film",B1146="Flakes",B1146="Coupon"), 2,IF(OR(B1146="Fibers",B1146="Pellets"),4,IF(OR(B1146="Particles",B1146="Shreds",B1146="Powder",B1146="Fragments",B1146="Granules"),6,"")))</f>
        <v>2</v>
      </c>
      <c r="D1146" s="149" t="str">
        <f t="shared" si="1176"/>
        <v>0,1-1</v>
      </c>
      <c r="E1146" s="149">
        <f t="shared" si="1176"/>
        <v>1</v>
      </c>
      <c r="F1146" s="149" t="str">
        <f t="shared" si="1176"/>
        <v>water</v>
      </c>
      <c r="G1146" s="146" t="str">
        <f t="shared" ref="G1146" si="1178">CONCATENATE(A1146," ",B1146," ",D1146," mm (emission to ",F1146,")")</f>
        <v>PCL film 0,1-1 mm (emission to water)</v>
      </c>
      <c r="H1146" s="146"/>
      <c r="I1146" s="129">
        <v>1</v>
      </c>
      <c r="J1146" s="225" t="s">
        <v>1096</v>
      </c>
      <c r="K1146" s="114">
        <f>K54</f>
        <v>400.84821428571433</v>
      </c>
      <c r="L1146" s="226">
        <f t="shared" ref="L1146" si="1179">IFERROR(IF(K1146="--",0,IF(E1146*1000/K1146*(1-0.5)^(C1146/2)&gt;1000,1000,E1146*1000/K1146*(1-0.5)^(C1146/2))),1000)</f>
        <v>1.2473549393028176</v>
      </c>
      <c r="M1146" s="295">
        <f t="shared" si="1175"/>
        <v>1.2473549393028176E-3</v>
      </c>
      <c r="N1146" s="615"/>
    </row>
    <row r="1147" spans="1:14" s="102" customFormat="1">
      <c r="A1147" s="173" t="str">
        <f>A1145</f>
        <v>PCL</v>
      </c>
      <c r="B1147" s="150" t="str">
        <f>B1145</f>
        <v>film</v>
      </c>
      <c r="C1147" s="150">
        <f t="shared" si="1173"/>
        <v>2</v>
      </c>
      <c r="D1147" s="150" t="str">
        <f>D1145</f>
        <v>0,1-1</v>
      </c>
      <c r="E1147" s="150">
        <f>E1145</f>
        <v>1</v>
      </c>
      <c r="F1147" s="150" t="str">
        <f>F1145</f>
        <v>water</v>
      </c>
      <c r="G1147" s="147" t="str">
        <f t="shared" si="1165"/>
        <v>PCL film 0,1-1 mm (emission to water)</v>
      </c>
      <c r="H1147" s="147"/>
      <c r="I1147" s="129">
        <v>0</v>
      </c>
      <c r="J1147" s="225" t="s">
        <v>1034</v>
      </c>
      <c r="K1147" s="151" t="s">
        <v>596</v>
      </c>
      <c r="L1147" s="226">
        <f t="shared" si="1172"/>
        <v>0</v>
      </c>
      <c r="M1147" s="295">
        <f t="shared" si="1175"/>
        <v>0</v>
      </c>
      <c r="N1147" s="616"/>
    </row>
    <row r="1148" spans="1:14" s="191" customFormat="1">
      <c r="A1148" s="174" t="s">
        <v>48</v>
      </c>
      <c r="B1148" s="288" t="s">
        <v>996</v>
      </c>
      <c r="C1148" s="290">
        <f>IF(OR(B1148="Folie", B1148="Strips", B1148="Film",B1148="Flakes",B1148="Coupon"), 2,IF(OR(B1148="Fibers",B1148="Pellets"),4,IF(OR(B1148="Particles",B1148="Shreds",B1148="Powder",B1148="Fragments",B1148="Granules"),6,"")))</f>
        <v>2</v>
      </c>
      <c r="D1148" s="290" t="s">
        <v>1028</v>
      </c>
      <c r="E1148" s="155">
        <v>1</v>
      </c>
      <c r="F1148" s="131" t="s">
        <v>1057</v>
      </c>
      <c r="G1148" s="134" t="str">
        <f t="shared" ref="G1148:G1150" si="1180">CONCATENATE(A1148," ",B1148," ",D1148," mm (emission to ",F1148,")")</f>
        <v>PCL film 0,1-1 mm (emission to air)</v>
      </c>
      <c r="H1148" s="144"/>
      <c r="I1148" s="137">
        <v>0.97699999999999998</v>
      </c>
      <c r="J1148" s="101" t="s">
        <v>1019</v>
      </c>
      <c r="K1148" s="114">
        <f>K52</f>
        <v>400.84821428571433</v>
      </c>
      <c r="L1148" s="226">
        <f t="shared" ref="L1148:L1150" si="1181">IFERROR(IF(K1148="--",0,IF(E1148*1000/K1148*(1-0.5)^(C1148/2)&gt;1000,1000,E1148*1000/K1148*(1-0.5)^(C1148/2))),1000)</f>
        <v>1.2473549393028176</v>
      </c>
      <c r="M1148" s="158">
        <f>IF(L1148/1000&gt;1000,1000,L1148/1000)</f>
        <v>1.2473549393028176E-3</v>
      </c>
      <c r="N1148" s="610">
        <f>I1148*M1148+I1149*M1149</f>
        <v>1.2473549393028176E-3</v>
      </c>
    </row>
    <row r="1149" spans="1:14" s="191" customFormat="1">
      <c r="A1149" s="172" t="str">
        <f>A1148</f>
        <v>PCL</v>
      </c>
      <c r="B1149" s="149" t="str">
        <f>B1148</f>
        <v>film</v>
      </c>
      <c r="C1149" s="149">
        <f t="shared" ref="C1149:C1150" si="1182">IF(OR(B1149="Folie", B1149="Strips", B1149="Film",B1149="Flakes",B1149="Coupon"), 2,IF(OR(B1149="Fibers",B1149="Pellets"),4,IF(OR(B1149="Particles",B1149="Shreds",B1149="Powder",B1149="Fragments",B1149="Granules"),6,"")))</f>
        <v>2</v>
      </c>
      <c r="D1149" s="149" t="str">
        <f t="shared" ref="D1149:F1149" si="1183">D1148</f>
        <v>0,1-1</v>
      </c>
      <c r="E1149" s="149">
        <f t="shared" si="1183"/>
        <v>1</v>
      </c>
      <c r="F1149" s="149" t="str">
        <f t="shared" si="1183"/>
        <v>air</v>
      </c>
      <c r="G1149" s="146" t="str">
        <f t="shared" si="1180"/>
        <v>PCL film 0,1-1 mm (emission to air)</v>
      </c>
      <c r="H1149" s="146"/>
      <c r="I1149" s="129">
        <v>2.3E-2</v>
      </c>
      <c r="J1149" s="101" t="s">
        <v>1097</v>
      </c>
      <c r="K1149" s="114">
        <f>K53</f>
        <v>400.84821428571433</v>
      </c>
      <c r="L1149" s="226">
        <f t="shared" si="1181"/>
        <v>1.2473549393028176</v>
      </c>
      <c r="M1149" s="158">
        <f>IF(L1149/1000&gt;1000,1000,L1149/1000)</f>
        <v>1.2473549393028176E-3</v>
      </c>
      <c r="N1149" s="610"/>
    </row>
    <row r="1150" spans="1:14" s="191" customFormat="1">
      <c r="A1150" s="173" t="str">
        <f>A1149</f>
        <v>PCL</v>
      </c>
      <c r="B1150" s="150" t="str">
        <f>B1149</f>
        <v>film</v>
      </c>
      <c r="C1150" s="150">
        <f t="shared" si="1182"/>
        <v>2</v>
      </c>
      <c r="D1150" s="150" t="str">
        <f t="shared" ref="D1150:F1150" si="1184">D1149</f>
        <v>0,1-1</v>
      </c>
      <c r="E1150" s="150">
        <f t="shared" si="1184"/>
        <v>1</v>
      </c>
      <c r="F1150" s="150" t="str">
        <f t="shared" si="1184"/>
        <v>air</v>
      </c>
      <c r="G1150" s="147" t="str">
        <f t="shared" si="1180"/>
        <v>PCL film 0,1-1 mm (emission to air)</v>
      </c>
      <c r="H1150" s="147"/>
      <c r="I1150" s="129">
        <v>0</v>
      </c>
      <c r="J1150" s="101" t="s">
        <v>1034</v>
      </c>
      <c r="K1150" s="151" t="s">
        <v>596</v>
      </c>
      <c r="L1150" s="226">
        <f t="shared" si="1181"/>
        <v>0</v>
      </c>
      <c r="M1150" s="158">
        <f t="shared" ref="M1150" si="1185">IF(L1150/1000&gt;1000,1000,L1150/1000)</f>
        <v>0</v>
      </c>
      <c r="N1150" s="610"/>
    </row>
    <row r="1151" spans="1:14" s="102" customFormat="1">
      <c r="A1151" s="174" t="s">
        <v>48</v>
      </c>
      <c r="B1151" s="159" t="s">
        <v>996</v>
      </c>
      <c r="C1151" s="188">
        <f t="shared" si="1173"/>
        <v>2</v>
      </c>
      <c r="D1151" s="188" t="s">
        <v>1026</v>
      </c>
      <c r="E1151" s="155">
        <v>10</v>
      </c>
      <c r="F1151" s="131" t="s">
        <v>1019</v>
      </c>
      <c r="G1151" s="134" t="str">
        <f t="shared" ref="G1151:G1204" si="1186">CONCATENATE(A1151," ",B1151," ",D1151," mm (emission to ",F1151,")")</f>
        <v>PCL film 1-10 mm (emission to soil)</v>
      </c>
      <c r="H1151" s="134"/>
      <c r="I1151" s="129">
        <v>1</v>
      </c>
      <c r="J1151" s="101" t="s">
        <v>1019</v>
      </c>
      <c r="K1151" s="114">
        <f>K52</f>
        <v>400.84821428571433</v>
      </c>
      <c r="L1151" s="226">
        <f t="shared" ref="L1151:L1157" si="1187">IFERROR(IF(K1151="--",0,IF(E1151*1000/K1151*(1-0.5)^(C1151/2)&gt;1000,1000,E1151*1000/K1151*(1-0.5)^(C1151/2))),1000)</f>
        <v>12.473549393028176</v>
      </c>
      <c r="M1151" s="158">
        <f>IF(L1151/1000&gt;1000,1000,L1151/1000)</f>
        <v>1.2473549393028176E-2</v>
      </c>
      <c r="N1151" s="610">
        <f>I1151*M1151+I1152*M1152</f>
        <v>1.2473549393028176E-2</v>
      </c>
    </row>
    <row r="1152" spans="1:14" s="102" customFormat="1">
      <c r="A1152" s="172" t="str">
        <f>A1151</f>
        <v>PCL</v>
      </c>
      <c r="B1152" s="149" t="str">
        <f>B1151</f>
        <v>film</v>
      </c>
      <c r="C1152" s="149">
        <f t="shared" si="1173"/>
        <v>2</v>
      </c>
      <c r="D1152" s="149" t="str">
        <f t="shared" ref="D1152:F1153" si="1188">D1151</f>
        <v>1-10</v>
      </c>
      <c r="E1152" s="149">
        <f t="shared" si="1188"/>
        <v>10</v>
      </c>
      <c r="F1152" s="149" t="str">
        <f t="shared" si="1188"/>
        <v>soil</v>
      </c>
      <c r="G1152" s="146" t="str">
        <f t="shared" si="1186"/>
        <v>PCL film 1-10 mm (emission to soil)</v>
      </c>
      <c r="H1152" s="146"/>
      <c r="I1152" s="129">
        <v>0</v>
      </c>
      <c r="J1152" s="101" t="s">
        <v>1097</v>
      </c>
      <c r="K1152" s="114">
        <f>K53</f>
        <v>400.84821428571433</v>
      </c>
      <c r="L1152" s="226">
        <f t="shared" si="1187"/>
        <v>12.473549393028176</v>
      </c>
      <c r="M1152" s="158">
        <f>IF(L1152/1000&gt;1000,1000,L1152/1000)</f>
        <v>1.2473549393028176E-2</v>
      </c>
      <c r="N1152" s="610"/>
    </row>
    <row r="1153" spans="1:14" s="102" customFormat="1">
      <c r="A1153" s="173" t="str">
        <f>A1152</f>
        <v>PCL</v>
      </c>
      <c r="B1153" s="150" t="str">
        <f>B1152</f>
        <v>film</v>
      </c>
      <c r="C1153" s="150">
        <f t="shared" si="1173"/>
        <v>2</v>
      </c>
      <c r="D1153" s="150" t="str">
        <f t="shared" si="1188"/>
        <v>1-10</v>
      </c>
      <c r="E1153" s="150">
        <f t="shared" si="1188"/>
        <v>10</v>
      </c>
      <c r="F1153" s="150" t="str">
        <f t="shared" si="1188"/>
        <v>soil</v>
      </c>
      <c r="G1153" s="147" t="str">
        <f t="shared" si="1186"/>
        <v>PCL film 1-10 mm (emission to soil)</v>
      </c>
      <c r="H1153" s="147"/>
      <c r="I1153" s="129">
        <v>0</v>
      </c>
      <c r="J1153" s="101" t="s">
        <v>1034</v>
      </c>
      <c r="K1153" s="114" t="s">
        <v>596</v>
      </c>
      <c r="L1153" s="226">
        <f t="shared" si="1187"/>
        <v>0</v>
      </c>
      <c r="M1153" s="158">
        <f t="shared" ref="M1153:M1157" si="1189">IF(L1153/1000&gt;1000,1000,L1153/1000)</f>
        <v>0</v>
      </c>
      <c r="N1153" s="610"/>
    </row>
    <row r="1154" spans="1:14" s="102" customFormat="1">
      <c r="A1154" s="174" t="s">
        <v>48</v>
      </c>
      <c r="B1154" s="159" t="s">
        <v>996</v>
      </c>
      <c r="C1154" s="290">
        <f t="shared" si="1173"/>
        <v>2</v>
      </c>
      <c r="D1154" s="290" t="s">
        <v>1026</v>
      </c>
      <c r="E1154" s="288">
        <v>10</v>
      </c>
      <c r="F1154" s="206" t="s">
        <v>1020</v>
      </c>
      <c r="G1154" s="144" t="str">
        <f t="shared" si="1186"/>
        <v>PCL film 1-10 mm (emission to water)</v>
      </c>
      <c r="H1154" s="144"/>
      <c r="I1154" s="129">
        <v>0</v>
      </c>
      <c r="J1154" s="225" t="s">
        <v>1019</v>
      </c>
      <c r="K1154" s="114">
        <f>K52</f>
        <v>400.84821428571433</v>
      </c>
      <c r="L1154" s="226">
        <f t="shared" si="1187"/>
        <v>12.473549393028176</v>
      </c>
      <c r="M1154" s="295">
        <f t="shared" si="1189"/>
        <v>1.2473549393028176E-2</v>
      </c>
      <c r="N1154" s="614">
        <f>I1154*M1154+I1155*M1155+I1156*M1156</f>
        <v>1.2473549393028176E-2</v>
      </c>
    </row>
    <row r="1155" spans="1:14" s="102" customFormat="1">
      <c r="A1155" s="172" t="str">
        <f>A1154</f>
        <v>PCL</v>
      </c>
      <c r="B1155" s="149" t="str">
        <f>B1154</f>
        <v>film</v>
      </c>
      <c r="C1155" s="149">
        <f t="shared" si="1173"/>
        <v>2</v>
      </c>
      <c r="D1155" s="149" t="str">
        <f t="shared" ref="D1155:F1156" si="1190">D1154</f>
        <v>1-10</v>
      </c>
      <c r="E1155" s="149">
        <f t="shared" si="1190"/>
        <v>10</v>
      </c>
      <c r="F1155" s="149" t="str">
        <f t="shared" si="1190"/>
        <v>water</v>
      </c>
      <c r="G1155" s="146" t="str">
        <f t="shared" si="1186"/>
        <v>PCL film 1-10 mm (emission to water)</v>
      </c>
      <c r="H1155" s="146"/>
      <c r="I1155" s="129">
        <v>0</v>
      </c>
      <c r="J1155" s="225" t="s">
        <v>1097</v>
      </c>
      <c r="K1155" s="114">
        <f>K53</f>
        <v>400.84821428571433</v>
      </c>
      <c r="L1155" s="226">
        <f t="shared" si="1187"/>
        <v>12.473549393028176</v>
      </c>
      <c r="M1155" s="295">
        <f t="shared" si="1189"/>
        <v>1.2473549393028176E-2</v>
      </c>
      <c r="N1155" s="615"/>
    </row>
    <row r="1156" spans="1:14" s="102" customFormat="1">
      <c r="A1156" s="172" t="str">
        <f>A1155</f>
        <v>PCL</v>
      </c>
      <c r="B1156" s="149" t="str">
        <f>B1155</f>
        <v>film</v>
      </c>
      <c r="C1156" s="149">
        <f t="shared" si="1173"/>
        <v>2</v>
      </c>
      <c r="D1156" s="149" t="str">
        <f t="shared" si="1190"/>
        <v>1-10</v>
      </c>
      <c r="E1156" s="149">
        <f t="shared" si="1190"/>
        <v>10</v>
      </c>
      <c r="F1156" s="149" t="str">
        <f t="shared" si="1190"/>
        <v>water</v>
      </c>
      <c r="G1156" s="146" t="str">
        <f t="shared" si="1186"/>
        <v>PCL film 1-10 mm (emission to water)</v>
      </c>
      <c r="H1156" s="146"/>
      <c r="I1156" s="129">
        <v>1</v>
      </c>
      <c r="J1156" s="225" t="s">
        <v>1096</v>
      </c>
      <c r="K1156" s="114">
        <f>K54</f>
        <v>400.84821428571433</v>
      </c>
      <c r="L1156" s="226">
        <f t="shared" ref="L1156" si="1191">IFERROR(IF(K1156="--",0,IF(E1156*1000/K1156*(1-0.5)^(C1156/2)&gt;1000,1000,E1156*1000/K1156*(1-0.5)^(C1156/2))),1000)</f>
        <v>12.473549393028176</v>
      </c>
      <c r="M1156" s="295">
        <f t="shared" si="1189"/>
        <v>1.2473549393028176E-2</v>
      </c>
      <c r="N1156" s="615"/>
    </row>
    <row r="1157" spans="1:14" s="102" customFormat="1">
      <c r="A1157" s="173" t="str">
        <f>A1155</f>
        <v>PCL</v>
      </c>
      <c r="B1157" s="150" t="str">
        <f>B1155</f>
        <v>film</v>
      </c>
      <c r="C1157" s="150">
        <f t="shared" si="1173"/>
        <v>2</v>
      </c>
      <c r="D1157" s="150" t="str">
        <f>D1155</f>
        <v>1-10</v>
      </c>
      <c r="E1157" s="150">
        <f>E1155</f>
        <v>10</v>
      </c>
      <c r="F1157" s="150" t="str">
        <f>F1155</f>
        <v>water</v>
      </c>
      <c r="G1157" s="147" t="str">
        <f t="shared" si="1186"/>
        <v>PCL film 1-10 mm (emission to water)</v>
      </c>
      <c r="H1157" s="147"/>
      <c r="I1157" s="129">
        <v>0</v>
      </c>
      <c r="J1157" s="225" t="s">
        <v>1034</v>
      </c>
      <c r="K1157" s="114" t="s">
        <v>596</v>
      </c>
      <c r="L1157" s="226">
        <f t="shared" si="1187"/>
        <v>0</v>
      </c>
      <c r="M1157" s="295">
        <f t="shared" si="1189"/>
        <v>0</v>
      </c>
      <c r="N1157" s="616"/>
    </row>
    <row r="1158" spans="1:14" s="191" customFormat="1">
      <c r="A1158" s="174" t="s">
        <v>48</v>
      </c>
      <c r="B1158" s="159" t="s">
        <v>996</v>
      </c>
      <c r="C1158" s="290">
        <f t="shared" ref="C1158:C1160" si="1192">IF(OR(B1158="Folie", B1158="Strips", B1158="Film",B1158="Flakes",B1158="Coupon"), 2,IF(OR(B1158="Fibers",B1158="Pellets"),4,IF(OR(B1158="Particles",B1158="Shreds",B1158="Powder",B1158="Fragments",B1158="Granules"),6,"")))</f>
        <v>2</v>
      </c>
      <c r="D1158" s="290" t="s">
        <v>1026</v>
      </c>
      <c r="E1158" s="155">
        <v>10</v>
      </c>
      <c r="F1158" s="131" t="s">
        <v>1057</v>
      </c>
      <c r="G1158" s="134" t="str">
        <f t="shared" ref="G1158:G1160" si="1193">CONCATENATE(A1158," ",B1158," ",D1158," mm (emission to ",F1158,")")</f>
        <v>PCL film 1-10 mm (emission to air)</v>
      </c>
      <c r="H1158" s="134"/>
      <c r="I1158" s="137">
        <v>0.97699999999999998</v>
      </c>
      <c r="J1158" s="101" t="s">
        <v>1019</v>
      </c>
      <c r="K1158" s="114">
        <f>K52</f>
        <v>400.84821428571433</v>
      </c>
      <c r="L1158" s="226">
        <f t="shared" ref="L1158:L1160" si="1194">IFERROR(IF(K1158="--",0,IF(E1158*1000/K1158*(1-0.5)^(C1158/2)&gt;1000,1000,E1158*1000/K1158*(1-0.5)^(C1158/2))),1000)</f>
        <v>12.473549393028176</v>
      </c>
      <c r="M1158" s="158">
        <f>IF(L1158/1000&gt;1000,1000,L1158/1000)</f>
        <v>1.2473549393028176E-2</v>
      </c>
      <c r="N1158" s="610">
        <f>I1158*M1158+I1159*M1159</f>
        <v>1.2473549393028175E-2</v>
      </c>
    </row>
    <row r="1159" spans="1:14" s="191" customFormat="1">
      <c r="A1159" s="172" t="str">
        <f>A1158</f>
        <v>PCL</v>
      </c>
      <c r="B1159" s="149" t="str">
        <f>B1158</f>
        <v>film</v>
      </c>
      <c r="C1159" s="149">
        <f t="shared" si="1192"/>
        <v>2</v>
      </c>
      <c r="D1159" s="149" t="str">
        <f t="shared" ref="D1159:F1159" si="1195">D1158</f>
        <v>1-10</v>
      </c>
      <c r="E1159" s="149">
        <f t="shared" si="1195"/>
        <v>10</v>
      </c>
      <c r="F1159" s="149" t="str">
        <f t="shared" si="1195"/>
        <v>air</v>
      </c>
      <c r="G1159" s="146" t="str">
        <f t="shared" si="1193"/>
        <v>PCL film 1-10 mm (emission to air)</v>
      </c>
      <c r="H1159" s="146"/>
      <c r="I1159" s="129">
        <v>2.3E-2</v>
      </c>
      <c r="J1159" s="101" t="s">
        <v>1097</v>
      </c>
      <c r="K1159" s="114">
        <f>K53</f>
        <v>400.84821428571433</v>
      </c>
      <c r="L1159" s="226">
        <f t="shared" si="1194"/>
        <v>12.473549393028176</v>
      </c>
      <c r="M1159" s="158">
        <f>IF(L1159/1000&gt;1000,1000,L1159/1000)</f>
        <v>1.2473549393028176E-2</v>
      </c>
      <c r="N1159" s="610"/>
    </row>
    <row r="1160" spans="1:14" s="191" customFormat="1">
      <c r="A1160" s="173" t="str">
        <f>A1159</f>
        <v>PCL</v>
      </c>
      <c r="B1160" s="150" t="str">
        <f>B1159</f>
        <v>film</v>
      </c>
      <c r="C1160" s="150">
        <f t="shared" si="1192"/>
        <v>2</v>
      </c>
      <c r="D1160" s="150" t="str">
        <f t="shared" ref="D1160:F1160" si="1196">D1159</f>
        <v>1-10</v>
      </c>
      <c r="E1160" s="150">
        <f t="shared" si="1196"/>
        <v>10</v>
      </c>
      <c r="F1160" s="150" t="str">
        <f t="shared" si="1196"/>
        <v>air</v>
      </c>
      <c r="G1160" s="147" t="str">
        <f t="shared" si="1193"/>
        <v>PCL film 1-10 mm (emission to air)</v>
      </c>
      <c r="H1160" s="147"/>
      <c r="I1160" s="129">
        <v>0</v>
      </c>
      <c r="J1160" s="101" t="s">
        <v>1034</v>
      </c>
      <c r="K1160" s="114" t="s">
        <v>596</v>
      </c>
      <c r="L1160" s="226">
        <f t="shared" si="1194"/>
        <v>0</v>
      </c>
      <c r="M1160" s="158">
        <f t="shared" ref="M1160" si="1197">IF(L1160/1000&gt;1000,1000,L1160/1000)</f>
        <v>0</v>
      </c>
      <c r="N1160" s="610"/>
    </row>
    <row r="1161" spans="1:14" s="102" customFormat="1">
      <c r="A1161" s="174" t="s">
        <v>48</v>
      </c>
      <c r="B1161" s="159" t="s">
        <v>1051</v>
      </c>
      <c r="C1161" s="188">
        <f t="shared" si="1173"/>
        <v>4</v>
      </c>
      <c r="D1161" s="188" t="s">
        <v>1028</v>
      </c>
      <c r="E1161" s="155">
        <v>1</v>
      </c>
      <c r="F1161" s="131" t="s">
        <v>1019</v>
      </c>
      <c r="G1161" s="134" t="str">
        <f t="shared" si="1186"/>
        <v>PCL fibers 0,1-1 mm (emission to soil)</v>
      </c>
      <c r="H1161" s="193"/>
      <c r="I1161" s="129">
        <v>1</v>
      </c>
      <c r="J1161" s="101" t="s">
        <v>1019</v>
      </c>
      <c r="K1161" s="114">
        <f>K52</f>
        <v>400.84821428571433</v>
      </c>
      <c r="L1161" s="226">
        <f t="shared" ref="L1161:L1167" si="1198">IFERROR(IF(K1161="--",0,IF(E1161*1000/K1161*(1-0.5)^(C1161/2)&gt;1000,1000,E1161*1000/K1161*(1-0.5)^(C1161/2))),1000)</f>
        <v>0.6236774696514088</v>
      </c>
      <c r="M1161" s="158">
        <f>IF(L1161/1000&gt;1000,1000,L1161/1000)</f>
        <v>6.236774696514088E-4</v>
      </c>
      <c r="N1161" s="610">
        <f>I1161*M1161+I1162*M1162</f>
        <v>6.236774696514088E-4</v>
      </c>
    </row>
    <row r="1162" spans="1:14" s="102" customFormat="1">
      <c r="A1162" s="172" t="str">
        <f>A1161</f>
        <v>PCL</v>
      </c>
      <c r="B1162" s="149" t="str">
        <f>B1161</f>
        <v>fibers</v>
      </c>
      <c r="C1162" s="149">
        <f t="shared" si="1173"/>
        <v>4</v>
      </c>
      <c r="D1162" s="149" t="str">
        <f t="shared" ref="D1162:F1163" si="1199">D1161</f>
        <v>0,1-1</v>
      </c>
      <c r="E1162" s="149">
        <f t="shared" si="1199"/>
        <v>1</v>
      </c>
      <c r="F1162" s="149" t="str">
        <f t="shared" si="1199"/>
        <v>soil</v>
      </c>
      <c r="G1162" s="146" t="str">
        <f t="shared" si="1186"/>
        <v>PCL fibers 0,1-1 mm (emission to soil)</v>
      </c>
      <c r="H1162" s="146"/>
      <c r="I1162" s="129">
        <v>0</v>
      </c>
      <c r="J1162" s="101" t="s">
        <v>1097</v>
      </c>
      <c r="K1162" s="114">
        <f>K53</f>
        <v>400.84821428571433</v>
      </c>
      <c r="L1162" s="226">
        <f t="shared" si="1198"/>
        <v>0.6236774696514088</v>
      </c>
      <c r="M1162" s="158">
        <f>IF(L1162/1000&gt;1000,1000,L1162/1000)</f>
        <v>6.236774696514088E-4</v>
      </c>
      <c r="N1162" s="610"/>
    </row>
    <row r="1163" spans="1:14" s="102" customFormat="1">
      <c r="A1163" s="173" t="str">
        <f>A1162</f>
        <v>PCL</v>
      </c>
      <c r="B1163" s="150" t="str">
        <f>B1162</f>
        <v>fibers</v>
      </c>
      <c r="C1163" s="150">
        <f t="shared" si="1173"/>
        <v>4</v>
      </c>
      <c r="D1163" s="150" t="str">
        <f t="shared" si="1199"/>
        <v>0,1-1</v>
      </c>
      <c r="E1163" s="150">
        <f t="shared" si="1199"/>
        <v>1</v>
      </c>
      <c r="F1163" s="150" t="str">
        <f t="shared" si="1199"/>
        <v>soil</v>
      </c>
      <c r="G1163" s="147" t="str">
        <f t="shared" si="1186"/>
        <v>PCL fibers 0,1-1 mm (emission to soil)</v>
      </c>
      <c r="H1163" s="146"/>
      <c r="I1163" s="129">
        <v>0</v>
      </c>
      <c r="J1163" s="101" t="s">
        <v>1034</v>
      </c>
      <c r="K1163" s="151" t="s">
        <v>596</v>
      </c>
      <c r="L1163" s="226">
        <f t="shared" si="1198"/>
        <v>0</v>
      </c>
      <c r="M1163" s="158">
        <f t="shared" ref="M1163:M1167" si="1200">IF(L1163/1000&gt;1000,1000,L1163/1000)</f>
        <v>0</v>
      </c>
      <c r="N1163" s="610"/>
    </row>
    <row r="1164" spans="1:14" s="102" customFormat="1">
      <c r="A1164" s="174" t="s">
        <v>48</v>
      </c>
      <c r="B1164" s="159" t="s">
        <v>1051</v>
      </c>
      <c r="C1164" s="290">
        <f t="shared" si="1173"/>
        <v>4</v>
      </c>
      <c r="D1164" s="290" t="s">
        <v>1028</v>
      </c>
      <c r="E1164" s="290">
        <v>1</v>
      </c>
      <c r="F1164" s="206" t="s">
        <v>1020</v>
      </c>
      <c r="G1164" s="144" t="str">
        <f t="shared" si="1186"/>
        <v>PCL fibers 0,1-1 mm (emission to water)</v>
      </c>
      <c r="H1164" s="192"/>
      <c r="I1164" s="129">
        <v>0</v>
      </c>
      <c r="J1164" s="225" t="s">
        <v>1019</v>
      </c>
      <c r="K1164" s="114">
        <f>K52</f>
        <v>400.84821428571433</v>
      </c>
      <c r="L1164" s="226">
        <f t="shared" si="1198"/>
        <v>0.6236774696514088</v>
      </c>
      <c r="M1164" s="295">
        <f t="shared" si="1200"/>
        <v>6.236774696514088E-4</v>
      </c>
      <c r="N1164" s="614">
        <f>I1164*M1164+I1165*M1165+I1166*M1166</f>
        <v>6.236774696514088E-4</v>
      </c>
    </row>
    <row r="1165" spans="1:14" s="102" customFormat="1">
      <c r="A1165" s="172" t="str">
        <f>A1164</f>
        <v>PCL</v>
      </c>
      <c r="B1165" s="149" t="str">
        <f>B1164</f>
        <v>fibers</v>
      </c>
      <c r="C1165" s="149">
        <f t="shared" si="1173"/>
        <v>4</v>
      </c>
      <c r="D1165" s="149" t="str">
        <f t="shared" ref="D1165:F1166" si="1201">D1164</f>
        <v>0,1-1</v>
      </c>
      <c r="E1165" s="149">
        <f t="shared" si="1201"/>
        <v>1</v>
      </c>
      <c r="F1165" s="149" t="str">
        <f t="shared" si="1201"/>
        <v>water</v>
      </c>
      <c r="G1165" s="146" t="str">
        <f t="shared" si="1186"/>
        <v>PCL fibers 0,1-1 mm (emission to water)</v>
      </c>
      <c r="H1165" s="146"/>
      <c r="I1165" s="129">
        <v>0</v>
      </c>
      <c r="J1165" s="225" t="s">
        <v>1097</v>
      </c>
      <c r="K1165" s="114">
        <f>K53</f>
        <v>400.84821428571433</v>
      </c>
      <c r="L1165" s="226">
        <f t="shared" si="1198"/>
        <v>0.6236774696514088</v>
      </c>
      <c r="M1165" s="295">
        <f t="shared" si="1200"/>
        <v>6.236774696514088E-4</v>
      </c>
      <c r="N1165" s="615"/>
    </row>
    <row r="1166" spans="1:14" s="102" customFormat="1">
      <c r="A1166" s="172" t="str">
        <f>A1165</f>
        <v>PCL</v>
      </c>
      <c r="B1166" s="149" t="str">
        <f>B1165</f>
        <v>fibers</v>
      </c>
      <c r="C1166" s="149">
        <f t="shared" ref="C1166" si="1202">IF(OR(B1166="Folie", B1166="Strips", B1166="Film",B1166="Flakes",B1166="Coupon"), 2,IF(OR(B1166="Fibers",B1166="Pellets"),4,IF(OR(B1166="Particles",B1166="Shreds",B1166="Powder",B1166="Fragments",B1166="Granules"),6,"")))</f>
        <v>4</v>
      </c>
      <c r="D1166" s="149" t="str">
        <f t="shared" si="1201"/>
        <v>0,1-1</v>
      </c>
      <c r="E1166" s="149">
        <f t="shared" si="1201"/>
        <v>1</v>
      </c>
      <c r="F1166" s="149" t="str">
        <f t="shared" si="1201"/>
        <v>water</v>
      </c>
      <c r="G1166" s="146" t="str">
        <f t="shared" ref="G1166" si="1203">CONCATENATE(A1166," ",B1166," ",D1166," mm (emission to ",F1166,")")</f>
        <v>PCL fibers 0,1-1 mm (emission to water)</v>
      </c>
      <c r="H1166" s="146"/>
      <c r="I1166" s="129">
        <v>1</v>
      </c>
      <c r="J1166" s="225" t="s">
        <v>1096</v>
      </c>
      <c r="K1166" s="114">
        <f>K54</f>
        <v>400.84821428571433</v>
      </c>
      <c r="L1166" s="226">
        <f t="shared" ref="L1166" si="1204">IFERROR(IF(K1166="--",0,IF(E1166*1000/K1166*(1-0.5)^(C1166/2)&gt;1000,1000,E1166*1000/K1166*(1-0.5)^(C1166/2))),1000)</f>
        <v>0.6236774696514088</v>
      </c>
      <c r="M1166" s="295">
        <f t="shared" si="1200"/>
        <v>6.236774696514088E-4</v>
      </c>
      <c r="N1166" s="615"/>
    </row>
    <row r="1167" spans="1:14" s="102" customFormat="1">
      <c r="A1167" s="173" t="str">
        <f>A1165</f>
        <v>PCL</v>
      </c>
      <c r="B1167" s="150" t="str">
        <f>B1165</f>
        <v>fibers</v>
      </c>
      <c r="C1167" s="150">
        <f t="shared" si="1173"/>
        <v>4</v>
      </c>
      <c r="D1167" s="150" t="str">
        <f>D1165</f>
        <v>0,1-1</v>
      </c>
      <c r="E1167" s="150">
        <f>E1165</f>
        <v>1</v>
      </c>
      <c r="F1167" s="150" t="str">
        <f>F1165</f>
        <v>water</v>
      </c>
      <c r="G1167" s="147" t="str">
        <f t="shared" si="1186"/>
        <v>PCL fibers 0,1-1 mm (emission to water)</v>
      </c>
      <c r="H1167" s="147"/>
      <c r="I1167" s="129">
        <v>0</v>
      </c>
      <c r="J1167" s="225" t="s">
        <v>1034</v>
      </c>
      <c r="K1167" s="114" t="s">
        <v>596</v>
      </c>
      <c r="L1167" s="226">
        <f t="shared" si="1198"/>
        <v>0</v>
      </c>
      <c r="M1167" s="295">
        <f t="shared" si="1200"/>
        <v>0</v>
      </c>
      <c r="N1167" s="616"/>
    </row>
    <row r="1168" spans="1:14" s="191" customFormat="1">
      <c r="A1168" s="231" t="s">
        <v>48</v>
      </c>
      <c r="B1168" s="301" t="s">
        <v>1051</v>
      </c>
      <c r="C1168" s="291">
        <f t="shared" ref="C1168:C1170" si="1205">IF(OR(B1168="Folie", B1168="Strips", B1168="Film",B1168="Flakes",B1168="Coupon"), 2,IF(OR(B1168="Fibers",B1168="Pellets"),4,IF(OR(B1168="Particles",B1168="Shreds",B1168="Powder",B1168="Fragments",B1168="Granules"),6,"")))</f>
        <v>4</v>
      </c>
      <c r="D1168" s="291" t="s">
        <v>1028</v>
      </c>
      <c r="E1168" s="294">
        <v>1</v>
      </c>
      <c r="F1168" s="232" t="s">
        <v>1057</v>
      </c>
      <c r="G1168" s="233" t="str">
        <f t="shared" ref="G1168:G1170" si="1206">CONCATENATE(A1168," ",B1168," ",D1168," mm (emission to ",F1168,")")</f>
        <v>PCL fibers 0,1-1 mm (emission to air)</v>
      </c>
      <c r="H1168" s="193"/>
      <c r="I1168" s="137">
        <v>0.97699999999999998</v>
      </c>
      <c r="J1168" s="101" t="s">
        <v>1019</v>
      </c>
      <c r="K1168" s="114">
        <f>K52</f>
        <v>400.84821428571433</v>
      </c>
      <c r="L1168" s="226">
        <f t="shared" ref="L1168:L1170" si="1207">IFERROR(IF(K1168="--",0,IF(E1168*1000/K1168*(1-0.5)^(C1168/2)&gt;1000,1000,E1168*1000/K1168*(1-0.5)^(C1168/2))),1000)</f>
        <v>0.6236774696514088</v>
      </c>
      <c r="M1168" s="158">
        <f>IF(L1168/1000&gt;1000,1000,L1168/1000)</f>
        <v>6.236774696514088E-4</v>
      </c>
      <c r="N1168" s="610">
        <f>I1168*M1168+I1169*M1169</f>
        <v>6.236774696514088E-4</v>
      </c>
    </row>
    <row r="1169" spans="1:14" s="191" customFormat="1">
      <c r="A1169" s="172" t="str">
        <f>A1168</f>
        <v>PCL</v>
      </c>
      <c r="B1169" s="149" t="str">
        <f>B1168</f>
        <v>fibers</v>
      </c>
      <c r="C1169" s="149">
        <f t="shared" si="1205"/>
        <v>4</v>
      </c>
      <c r="D1169" s="149" t="str">
        <f t="shared" ref="D1169:F1169" si="1208">D1168</f>
        <v>0,1-1</v>
      </c>
      <c r="E1169" s="149">
        <f t="shared" si="1208"/>
        <v>1</v>
      </c>
      <c r="F1169" s="149" t="str">
        <f t="shared" si="1208"/>
        <v>air</v>
      </c>
      <c r="G1169" s="146" t="str">
        <f t="shared" si="1206"/>
        <v>PCL fibers 0,1-1 mm (emission to air)</v>
      </c>
      <c r="H1169" s="146"/>
      <c r="I1169" s="129">
        <v>2.3E-2</v>
      </c>
      <c r="J1169" s="101" t="s">
        <v>1097</v>
      </c>
      <c r="K1169" s="114">
        <f>K53</f>
        <v>400.84821428571433</v>
      </c>
      <c r="L1169" s="226">
        <f t="shared" si="1207"/>
        <v>0.6236774696514088</v>
      </c>
      <c r="M1169" s="158">
        <f>IF(L1169/1000&gt;1000,1000,L1169/1000)</f>
        <v>6.236774696514088E-4</v>
      </c>
      <c r="N1169" s="610"/>
    </row>
    <row r="1170" spans="1:14" s="191" customFormat="1">
      <c r="A1170" s="173" t="str">
        <f>A1169</f>
        <v>PCL</v>
      </c>
      <c r="B1170" s="150" t="str">
        <f>B1169</f>
        <v>fibers</v>
      </c>
      <c r="C1170" s="150">
        <f t="shared" si="1205"/>
        <v>4</v>
      </c>
      <c r="D1170" s="150" t="str">
        <f t="shared" ref="D1170:F1170" si="1209">D1169</f>
        <v>0,1-1</v>
      </c>
      <c r="E1170" s="150">
        <f t="shared" si="1209"/>
        <v>1</v>
      </c>
      <c r="F1170" s="150" t="str">
        <f t="shared" si="1209"/>
        <v>air</v>
      </c>
      <c r="G1170" s="147" t="str">
        <f t="shared" si="1206"/>
        <v>PCL fibers 0,1-1 mm (emission to air)</v>
      </c>
      <c r="H1170" s="146"/>
      <c r="I1170" s="129">
        <v>0</v>
      </c>
      <c r="J1170" s="101" t="s">
        <v>1034</v>
      </c>
      <c r="K1170" s="151" t="s">
        <v>596</v>
      </c>
      <c r="L1170" s="226">
        <f t="shared" si="1207"/>
        <v>0</v>
      </c>
      <c r="M1170" s="158">
        <f t="shared" ref="M1170" si="1210">IF(L1170/1000&gt;1000,1000,L1170/1000)</f>
        <v>0</v>
      </c>
      <c r="N1170" s="610"/>
    </row>
    <row r="1171" spans="1:14" s="135" customFormat="1">
      <c r="A1171" s="174" t="s">
        <v>48</v>
      </c>
      <c r="B1171" s="185" t="s">
        <v>372</v>
      </c>
      <c r="C1171" s="140">
        <f t="shared" si="1173"/>
        <v>4</v>
      </c>
      <c r="D1171" s="153" t="s">
        <v>1026</v>
      </c>
      <c r="E1171" s="155">
        <v>10</v>
      </c>
      <c r="F1171" s="154" t="s">
        <v>1019</v>
      </c>
      <c r="G1171" s="134" t="str">
        <f t="shared" si="1186"/>
        <v>PCL pellets 1-10 mm (emission to soil)</v>
      </c>
      <c r="H1171" s="148"/>
      <c r="I1171" s="129">
        <v>1</v>
      </c>
      <c r="J1171" s="101" t="s">
        <v>1019</v>
      </c>
      <c r="K1171" s="114">
        <f>K52</f>
        <v>400.84821428571433</v>
      </c>
      <c r="L1171" s="226">
        <f t="shared" ref="L1171:L1177" si="1211">IFERROR(IF(K1171="--",0,IF(E1171*1000/K1171*(1-0.5)^(C1171/2)&gt;1000,1000,E1171*1000/K1171*(1-0.5)^(C1171/2))),1000)</f>
        <v>6.2367746965140878</v>
      </c>
      <c r="M1171" s="158">
        <f>IF(L1171/1000&gt;1000,1000,L1171/1000)</f>
        <v>6.2367746965140882E-3</v>
      </c>
      <c r="N1171" s="610">
        <f>I1171*M1171+I1172*M1172</f>
        <v>6.2367746965140882E-3</v>
      </c>
    </row>
    <row r="1172" spans="1:14" s="102" customFormat="1">
      <c r="A1172" s="172" t="str">
        <f>A1171</f>
        <v>PCL</v>
      </c>
      <c r="B1172" s="149" t="str">
        <f>B1171</f>
        <v>pellets</v>
      </c>
      <c r="C1172" s="149">
        <f t="shared" si="1173"/>
        <v>4</v>
      </c>
      <c r="D1172" s="149" t="str">
        <f t="shared" ref="D1172:F1173" si="1212">D1171</f>
        <v>1-10</v>
      </c>
      <c r="E1172" s="149">
        <f t="shared" si="1212"/>
        <v>10</v>
      </c>
      <c r="F1172" s="149" t="str">
        <f t="shared" si="1212"/>
        <v>soil</v>
      </c>
      <c r="G1172" s="146" t="str">
        <f t="shared" si="1186"/>
        <v>PCL pellets 1-10 mm (emission to soil)</v>
      </c>
      <c r="H1172" s="146"/>
      <c r="I1172" s="129">
        <v>0</v>
      </c>
      <c r="J1172" s="101" t="s">
        <v>1097</v>
      </c>
      <c r="K1172" s="114">
        <f>K53</f>
        <v>400.84821428571433</v>
      </c>
      <c r="L1172" s="226">
        <f t="shared" si="1211"/>
        <v>6.2367746965140878</v>
      </c>
      <c r="M1172" s="158">
        <f>IF(L1172/1000&gt;1000,1000,L1172/1000)</f>
        <v>6.2367746965140882E-3</v>
      </c>
      <c r="N1172" s="610"/>
    </row>
    <row r="1173" spans="1:14" s="102" customFormat="1">
      <c r="A1173" s="173" t="str">
        <f>A1172</f>
        <v>PCL</v>
      </c>
      <c r="B1173" s="150" t="str">
        <f>B1172</f>
        <v>pellets</v>
      </c>
      <c r="C1173" s="150">
        <f t="shared" si="1173"/>
        <v>4</v>
      </c>
      <c r="D1173" s="150" t="str">
        <f t="shared" si="1212"/>
        <v>1-10</v>
      </c>
      <c r="E1173" s="150">
        <f t="shared" si="1212"/>
        <v>10</v>
      </c>
      <c r="F1173" s="150" t="str">
        <f t="shared" si="1212"/>
        <v>soil</v>
      </c>
      <c r="G1173" s="147" t="str">
        <f t="shared" si="1186"/>
        <v>PCL pellets 1-10 mm (emission to soil)</v>
      </c>
      <c r="H1173" s="147">
        <f>H1172</f>
        <v>0</v>
      </c>
      <c r="I1173" s="129">
        <v>0</v>
      </c>
      <c r="J1173" s="101" t="s">
        <v>1034</v>
      </c>
      <c r="K1173" s="114" t="s">
        <v>596</v>
      </c>
      <c r="L1173" s="226">
        <f t="shared" si="1211"/>
        <v>0</v>
      </c>
      <c r="M1173" s="158">
        <f t="shared" ref="M1173:M1177" si="1213">IF(L1173/1000&gt;1000,1000,L1173/1000)</f>
        <v>0</v>
      </c>
      <c r="N1173" s="610"/>
    </row>
    <row r="1174" spans="1:14" s="102" customFormat="1">
      <c r="A1174" s="174" t="s">
        <v>48</v>
      </c>
      <c r="B1174" s="155" t="s">
        <v>372</v>
      </c>
      <c r="C1174" s="290">
        <f t="shared" si="1173"/>
        <v>4</v>
      </c>
      <c r="D1174" s="153" t="s">
        <v>1026</v>
      </c>
      <c r="E1174" s="288">
        <v>10</v>
      </c>
      <c r="F1174" s="189" t="s">
        <v>1020</v>
      </c>
      <c r="G1174" s="144" t="str">
        <f t="shared" si="1186"/>
        <v>PCL pellets 1-10 mm (emission to water)</v>
      </c>
      <c r="H1174" s="192"/>
      <c r="I1174" s="129">
        <v>0</v>
      </c>
      <c r="J1174" s="225" t="s">
        <v>1019</v>
      </c>
      <c r="K1174" s="114">
        <f>K52</f>
        <v>400.84821428571433</v>
      </c>
      <c r="L1174" s="226">
        <f t="shared" si="1211"/>
        <v>6.2367746965140878</v>
      </c>
      <c r="M1174" s="295">
        <f t="shared" si="1213"/>
        <v>6.2367746965140882E-3</v>
      </c>
      <c r="N1174" s="614">
        <f>I1174*M1174+I1175*M1175+I1176*M1176</f>
        <v>6.2367746965140882E-3</v>
      </c>
    </row>
    <row r="1175" spans="1:14" s="102" customFormat="1">
      <c r="A1175" s="172" t="str">
        <f>A1174</f>
        <v>PCL</v>
      </c>
      <c r="B1175" s="149" t="str">
        <f>B1174</f>
        <v>pellets</v>
      </c>
      <c r="C1175" s="149">
        <f t="shared" si="1173"/>
        <v>4</v>
      </c>
      <c r="D1175" s="149" t="str">
        <f t="shared" ref="D1175:F1176" si="1214">D1174</f>
        <v>1-10</v>
      </c>
      <c r="E1175" s="149">
        <f t="shared" si="1214"/>
        <v>10</v>
      </c>
      <c r="F1175" s="149" t="str">
        <f t="shared" si="1214"/>
        <v>water</v>
      </c>
      <c r="G1175" s="146" t="str">
        <f t="shared" si="1186"/>
        <v>PCL pellets 1-10 mm (emission to water)</v>
      </c>
      <c r="H1175" s="146"/>
      <c r="I1175" s="129">
        <v>0</v>
      </c>
      <c r="J1175" s="225" t="s">
        <v>1097</v>
      </c>
      <c r="K1175" s="114">
        <f>K53</f>
        <v>400.84821428571433</v>
      </c>
      <c r="L1175" s="226">
        <f t="shared" si="1211"/>
        <v>6.2367746965140878</v>
      </c>
      <c r="M1175" s="295">
        <f t="shared" si="1213"/>
        <v>6.2367746965140882E-3</v>
      </c>
      <c r="N1175" s="615"/>
    </row>
    <row r="1176" spans="1:14" s="102" customFormat="1">
      <c r="A1176" s="172" t="str">
        <f>A1175</f>
        <v>PCL</v>
      </c>
      <c r="B1176" s="149" t="str">
        <f>B1175</f>
        <v>pellets</v>
      </c>
      <c r="C1176" s="149">
        <f t="shared" si="1173"/>
        <v>4</v>
      </c>
      <c r="D1176" s="149" t="str">
        <f t="shared" si="1214"/>
        <v>1-10</v>
      </c>
      <c r="E1176" s="149">
        <f t="shared" si="1214"/>
        <v>10</v>
      </c>
      <c r="F1176" s="149" t="str">
        <f t="shared" si="1214"/>
        <v>water</v>
      </c>
      <c r="G1176" s="146" t="str">
        <f t="shared" si="1186"/>
        <v>PCL pellets 1-10 mm (emission to water)</v>
      </c>
      <c r="H1176" s="146"/>
      <c r="I1176" s="129">
        <v>1</v>
      </c>
      <c r="J1176" s="225" t="s">
        <v>1096</v>
      </c>
      <c r="K1176" s="114">
        <f>K54</f>
        <v>400.84821428571433</v>
      </c>
      <c r="L1176" s="226">
        <f t="shared" ref="L1176" si="1215">IFERROR(IF(K1176="--",0,IF(E1176*1000/K1176*(1-0.5)^(C1176/2)&gt;1000,1000,E1176*1000/K1176*(1-0.5)^(C1176/2))),1000)</f>
        <v>6.2367746965140878</v>
      </c>
      <c r="M1176" s="295">
        <f t="shared" si="1213"/>
        <v>6.2367746965140882E-3</v>
      </c>
      <c r="N1176" s="615"/>
    </row>
    <row r="1177" spans="1:14" s="102" customFormat="1">
      <c r="A1177" s="173" t="str">
        <f>A1175</f>
        <v>PCL</v>
      </c>
      <c r="B1177" s="150" t="str">
        <f>B1175</f>
        <v>pellets</v>
      </c>
      <c r="C1177" s="150">
        <f t="shared" si="1173"/>
        <v>4</v>
      </c>
      <c r="D1177" s="150" t="str">
        <f>D1175</f>
        <v>1-10</v>
      </c>
      <c r="E1177" s="150">
        <f>E1175</f>
        <v>10</v>
      </c>
      <c r="F1177" s="150" t="str">
        <f>F1175</f>
        <v>water</v>
      </c>
      <c r="G1177" s="147" t="str">
        <f t="shared" si="1186"/>
        <v>PCL pellets 1-10 mm (emission to water)</v>
      </c>
      <c r="H1177" s="147"/>
      <c r="I1177" s="129">
        <v>0</v>
      </c>
      <c r="J1177" s="225" t="s">
        <v>1034</v>
      </c>
      <c r="K1177" s="114" t="s">
        <v>596</v>
      </c>
      <c r="L1177" s="226">
        <f t="shared" si="1211"/>
        <v>0</v>
      </c>
      <c r="M1177" s="295">
        <f t="shared" si="1213"/>
        <v>0</v>
      </c>
      <c r="N1177" s="616"/>
    </row>
    <row r="1178" spans="1:14" s="191" customFormat="1">
      <c r="A1178" s="174" t="s">
        <v>48</v>
      </c>
      <c r="B1178" s="287" t="s">
        <v>372</v>
      </c>
      <c r="C1178" s="140">
        <f t="shared" ref="C1178:C1180" si="1216">IF(OR(B1178="Folie", B1178="Strips", B1178="Film",B1178="Flakes",B1178="Coupon"), 2,IF(OR(B1178="Fibers",B1178="Pellets"),4,IF(OR(B1178="Particles",B1178="Shreds",B1178="Powder",B1178="Fragments",B1178="Granules"),6,"")))</f>
        <v>4</v>
      </c>
      <c r="D1178" s="153" t="s">
        <v>1026</v>
      </c>
      <c r="E1178" s="155">
        <v>10</v>
      </c>
      <c r="F1178" s="154" t="s">
        <v>1057</v>
      </c>
      <c r="G1178" s="134" t="str">
        <f t="shared" ref="G1178:G1180" si="1217">CONCATENATE(A1178," ",B1178," ",D1178," mm (emission to ",F1178,")")</f>
        <v>PCL pellets 1-10 mm (emission to air)</v>
      </c>
      <c r="H1178" s="148"/>
      <c r="I1178" s="137">
        <v>0.97699999999999998</v>
      </c>
      <c r="J1178" s="101" t="s">
        <v>1019</v>
      </c>
      <c r="K1178" s="114">
        <f>K52</f>
        <v>400.84821428571433</v>
      </c>
      <c r="L1178" s="226">
        <f t="shared" ref="L1178:L1180" si="1218">IFERROR(IF(K1178="--",0,IF(E1178*1000/K1178*(1-0.5)^(C1178/2)&gt;1000,1000,E1178*1000/K1178*(1-0.5)^(C1178/2))),1000)</f>
        <v>6.2367746965140878</v>
      </c>
      <c r="M1178" s="158">
        <f>IF(L1178/1000&gt;1000,1000,L1178/1000)</f>
        <v>6.2367746965140882E-3</v>
      </c>
      <c r="N1178" s="610">
        <f>I1178*M1178+I1179*M1179</f>
        <v>6.2367746965140873E-3</v>
      </c>
    </row>
    <row r="1179" spans="1:14" s="191" customFormat="1">
      <c r="A1179" s="172" t="str">
        <f>A1178</f>
        <v>PCL</v>
      </c>
      <c r="B1179" s="149" t="str">
        <f>B1178</f>
        <v>pellets</v>
      </c>
      <c r="C1179" s="149">
        <f t="shared" si="1216"/>
        <v>4</v>
      </c>
      <c r="D1179" s="149" t="str">
        <f t="shared" ref="D1179:F1179" si="1219">D1178</f>
        <v>1-10</v>
      </c>
      <c r="E1179" s="149">
        <f t="shared" si="1219"/>
        <v>10</v>
      </c>
      <c r="F1179" s="149" t="str">
        <f t="shared" si="1219"/>
        <v>air</v>
      </c>
      <c r="G1179" s="146" t="str">
        <f t="shared" si="1217"/>
        <v>PCL pellets 1-10 mm (emission to air)</v>
      </c>
      <c r="H1179" s="146"/>
      <c r="I1179" s="129">
        <v>2.3E-2</v>
      </c>
      <c r="J1179" s="101" t="s">
        <v>1097</v>
      </c>
      <c r="K1179" s="114">
        <f>K53</f>
        <v>400.84821428571433</v>
      </c>
      <c r="L1179" s="226">
        <f t="shared" si="1218"/>
        <v>6.2367746965140878</v>
      </c>
      <c r="M1179" s="158">
        <f>IF(L1179/1000&gt;1000,1000,L1179/1000)</f>
        <v>6.2367746965140882E-3</v>
      </c>
      <c r="N1179" s="610"/>
    </row>
    <row r="1180" spans="1:14" s="191" customFormat="1">
      <c r="A1180" s="173" t="str">
        <f>A1179</f>
        <v>PCL</v>
      </c>
      <c r="B1180" s="150" t="str">
        <f>B1179</f>
        <v>pellets</v>
      </c>
      <c r="C1180" s="150">
        <f t="shared" si="1216"/>
        <v>4</v>
      </c>
      <c r="D1180" s="150" t="str">
        <f t="shared" ref="D1180:F1180" si="1220">D1179</f>
        <v>1-10</v>
      </c>
      <c r="E1180" s="150">
        <f t="shared" si="1220"/>
        <v>10</v>
      </c>
      <c r="F1180" s="150" t="str">
        <f t="shared" si="1220"/>
        <v>air</v>
      </c>
      <c r="G1180" s="147" t="str">
        <f t="shared" si="1217"/>
        <v>PCL pellets 1-10 mm (emission to air)</v>
      </c>
      <c r="H1180" s="147">
        <f>H1179</f>
        <v>0</v>
      </c>
      <c r="I1180" s="129">
        <v>0</v>
      </c>
      <c r="J1180" s="101" t="s">
        <v>1034</v>
      </c>
      <c r="K1180" s="114" t="s">
        <v>596</v>
      </c>
      <c r="L1180" s="226">
        <f t="shared" si="1218"/>
        <v>0</v>
      </c>
      <c r="M1180" s="158">
        <f t="shared" ref="M1180" si="1221">IF(L1180/1000&gt;1000,1000,L1180/1000)</f>
        <v>0</v>
      </c>
      <c r="N1180" s="610"/>
    </row>
    <row r="1181" spans="1:14" s="102" customFormat="1">
      <c r="A1181" s="174" t="s">
        <v>48</v>
      </c>
      <c r="B1181" s="186" t="s">
        <v>1025</v>
      </c>
      <c r="C1181" s="188">
        <f t="shared" si="1173"/>
        <v>6</v>
      </c>
      <c r="D1181" s="188" t="s">
        <v>1018</v>
      </c>
      <c r="E1181" s="155">
        <v>0.1</v>
      </c>
      <c r="F1181" s="131" t="s">
        <v>1019</v>
      </c>
      <c r="G1181" s="134" t="str">
        <f t="shared" si="1186"/>
        <v>PCL particles 0,01-0,1 mm (emission to soil)</v>
      </c>
      <c r="H1181" s="133"/>
      <c r="I1181" s="129">
        <v>1</v>
      </c>
      <c r="J1181" s="101" t="s">
        <v>1019</v>
      </c>
      <c r="K1181" s="114">
        <f>K52</f>
        <v>400.84821428571433</v>
      </c>
      <c r="L1181" s="226">
        <f t="shared" ref="L1181:L1187" si="1222">IFERROR(IF(K1181="--",0,IF(E1181*1000/K1181*(1-0.5)^(C1181/2)&gt;1000,1000,E1181*1000/K1181*(1-0.5)^(C1181/2))),1000)</f>
        <v>3.1183873482570439E-2</v>
      </c>
      <c r="M1181" s="158">
        <f>IF(L1181/1000&gt;1000,1000,L1181/1000)</f>
        <v>3.1183873482570443E-5</v>
      </c>
      <c r="N1181" s="610">
        <f>I1181*M1181+I1182*M1182</f>
        <v>3.1183873482570443E-5</v>
      </c>
    </row>
    <row r="1182" spans="1:14" s="102" customFormat="1">
      <c r="A1182" s="172" t="str">
        <f>A1181</f>
        <v>PCL</v>
      </c>
      <c r="B1182" s="149" t="str">
        <f>B1181</f>
        <v>particles</v>
      </c>
      <c r="C1182" s="149">
        <f t="shared" si="1173"/>
        <v>6</v>
      </c>
      <c r="D1182" s="149" t="str">
        <f t="shared" ref="D1182:F1183" si="1223">D1181</f>
        <v>0,01-0,1</v>
      </c>
      <c r="E1182" s="149">
        <f t="shared" si="1223"/>
        <v>0.1</v>
      </c>
      <c r="F1182" s="149" t="str">
        <f t="shared" si="1223"/>
        <v>soil</v>
      </c>
      <c r="G1182" s="146" t="str">
        <f t="shared" si="1186"/>
        <v>PCL particles 0,01-0,1 mm (emission to soil)</v>
      </c>
      <c r="H1182" s="146"/>
      <c r="I1182" s="129">
        <v>0</v>
      </c>
      <c r="J1182" s="101" t="s">
        <v>1097</v>
      </c>
      <c r="K1182" s="114">
        <f>K53</f>
        <v>400.84821428571433</v>
      </c>
      <c r="L1182" s="226">
        <f t="shared" si="1222"/>
        <v>3.1183873482570439E-2</v>
      </c>
      <c r="M1182" s="158">
        <f>IF(L1182/1000&gt;1000,1000,L1182/1000)</f>
        <v>3.1183873482570443E-5</v>
      </c>
      <c r="N1182" s="610"/>
    </row>
    <row r="1183" spans="1:14" s="102" customFormat="1">
      <c r="A1183" s="173" t="str">
        <f>A1182</f>
        <v>PCL</v>
      </c>
      <c r="B1183" s="150" t="str">
        <f>B1182</f>
        <v>particles</v>
      </c>
      <c r="C1183" s="150">
        <f t="shared" si="1173"/>
        <v>6</v>
      </c>
      <c r="D1183" s="150" t="str">
        <f t="shared" si="1223"/>
        <v>0,01-0,1</v>
      </c>
      <c r="E1183" s="150">
        <f t="shared" si="1223"/>
        <v>0.1</v>
      </c>
      <c r="F1183" s="150" t="str">
        <f t="shared" si="1223"/>
        <v>soil</v>
      </c>
      <c r="G1183" s="147" t="str">
        <f t="shared" si="1186"/>
        <v>PCL particles 0,01-0,1 mm (emission to soil)</v>
      </c>
      <c r="H1183" s="147"/>
      <c r="I1183" s="129">
        <v>0</v>
      </c>
      <c r="J1183" s="101" t="s">
        <v>1034</v>
      </c>
      <c r="K1183" s="114" t="s">
        <v>596</v>
      </c>
      <c r="L1183" s="226">
        <f t="shared" si="1222"/>
        <v>0</v>
      </c>
      <c r="M1183" s="158">
        <f t="shared" ref="M1183:M1187" si="1224">IF(L1183/1000&gt;1000,1000,L1183/1000)</f>
        <v>0</v>
      </c>
      <c r="N1183" s="610"/>
    </row>
    <row r="1184" spans="1:14" s="102" customFormat="1">
      <c r="A1184" s="174" t="s">
        <v>48</v>
      </c>
      <c r="B1184" s="288" t="s">
        <v>1025</v>
      </c>
      <c r="C1184" s="290">
        <f t="shared" si="1173"/>
        <v>6</v>
      </c>
      <c r="D1184" s="290" t="s">
        <v>1018</v>
      </c>
      <c r="E1184" s="155">
        <v>0.1</v>
      </c>
      <c r="F1184" s="206" t="s">
        <v>1020</v>
      </c>
      <c r="G1184" s="144" t="str">
        <f t="shared" si="1186"/>
        <v>PCL particles 0,01-0,1 mm (emission to water)</v>
      </c>
      <c r="H1184" s="133"/>
      <c r="I1184" s="129">
        <v>0</v>
      </c>
      <c r="J1184" s="225" t="s">
        <v>1019</v>
      </c>
      <c r="K1184" s="114">
        <f>K52</f>
        <v>400.84821428571433</v>
      </c>
      <c r="L1184" s="226">
        <f t="shared" si="1222"/>
        <v>3.1183873482570439E-2</v>
      </c>
      <c r="M1184" s="295">
        <f t="shared" si="1224"/>
        <v>3.1183873482570443E-5</v>
      </c>
      <c r="N1184" s="614">
        <f>I1184*M1184+I1185*M1185+I1186*M1186</f>
        <v>3.1183873482570443E-5</v>
      </c>
    </row>
    <row r="1185" spans="1:14" s="102" customFormat="1">
      <c r="A1185" s="172" t="str">
        <f>A1184</f>
        <v>PCL</v>
      </c>
      <c r="B1185" s="149" t="str">
        <f>B1184</f>
        <v>particles</v>
      </c>
      <c r="C1185" s="149">
        <f t="shared" si="1173"/>
        <v>6</v>
      </c>
      <c r="D1185" s="149" t="str">
        <f t="shared" ref="D1185:F1186" si="1225">D1184</f>
        <v>0,01-0,1</v>
      </c>
      <c r="E1185" s="149">
        <f t="shared" si="1225"/>
        <v>0.1</v>
      </c>
      <c r="F1185" s="149" t="str">
        <f t="shared" si="1225"/>
        <v>water</v>
      </c>
      <c r="G1185" s="146" t="str">
        <f t="shared" si="1186"/>
        <v>PCL particles 0,01-0,1 mm (emission to water)</v>
      </c>
      <c r="H1185" s="146"/>
      <c r="I1185" s="129">
        <v>0</v>
      </c>
      <c r="J1185" s="225" t="s">
        <v>1097</v>
      </c>
      <c r="K1185" s="114">
        <f>K53</f>
        <v>400.84821428571433</v>
      </c>
      <c r="L1185" s="226">
        <f t="shared" si="1222"/>
        <v>3.1183873482570439E-2</v>
      </c>
      <c r="M1185" s="295">
        <f t="shared" si="1224"/>
        <v>3.1183873482570443E-5</v>
      </c>
      <c r="N1185" s="615"/>
    </row>
    <row r="1186" spans="1:14" s="102" customFormat="1">
      <c r="A1186" s="172" t="str">
        <f>A1185</f>
        <v>PCL</v>
      </c>
      <c r="B1186" s="149" t="str">
        <f>B1185</f>
        <v>particles</v>
      </c>
      <c r="C1186" s="149">
        <f t="shared" ref="C1186" si="1226">IF(OR(B1186="Folie", B1186="Strips", B1186="Film",B1186="Flakes",B1186="Coupon"), 2,IF(OR(B1186="Fibers",B1186="Pellets"),4,IF(OR(B1186="Particles",B1186="Shreds",B1186="Powder",B1186="Fragments",B1186="Granules"),6,"")))</f>
        <v>6</v>
      </c>
      <c r="D1186" s="149" t="str">
        <f t="shared" si="1225"/>
        <v>0,01-0,1</v>
      </c>
      <c r="E1186" s="149">
        <f t="shared" si="1225"/>
        <v>0.1</v>
      </c>
      <c r="F1186" s="149" t="str">
        <f t="shared" si="1225"/>
        <v>water</v>
      </c>
      <c r="G1186" s="146" t="str">
        <f t="shared" ref="G1186" si="1227">CONCATENATE(A1186," ",B1186," ",D1186," mm (emission to ",F1186,")")</f>
        <v>PCL particles 0,01-0,1 mm (emission to water)</v>
      </c>
      <c r="H1186" s="146"/>
      <c r="I1186" s="129">
        <v>1</v>
      </c>
      <c r="J1186" s="225" t="s">
        <v>1096</v>
      </c>
      <c r="K1186" s="114">
        <f>K54</f>
        <v>400.84821428571433</v>
      </c>
      <c r="L1186" s="226">
        <f t="shared" ref="L1186" si="1228">IFERROR(IF(K1186="--",0,IF(E1186*1000/K1186*(1-0.5)^(C1186/2)&gt;1000,1000,E1186*1000/K1186*(1-0.5)^(C1186/2))),1000)</f>
        <v>3.1183873482570439E-2</v>
      </c>
      <c r="M1186" s="295">
        <f t="shared" si="1224"/>
        <v>3.1183873482570443E-5</v>
      </c>
      <c r="N1186" s="615"/>
    </row>
    <row r="1187" spans="1:14" s="102" customFormat="1">
      <c r="A1187" s="173" t="str">
        <f>A1185</f>
        <v>PCL</v>
      </c>
      <c r="B1187" s="150" t="str">
        <f>B1185</f>
        <v>particles</v>
      </c>
      <c r="C1187" s="150">
        <f t="shared" si="1173"/>
        <v>6</v>
      </c>
      <c r="D1187" s="150" t="str">
        <f>D1185</f>
        <v>0,01-0,1</v>
      </c>
      <c r="E1187" s="150">
        <f>E1185</f>
        <v>0.1</v>
      </c>
      <c r="F1187" s="150" t="str">
        <f>F1185</f>
        <v>water</v>
      </c>
      <c r="G1187" s="147" t="str">
        <f t="shared" si="1186"/>
        <v>PCL particles 0,01-0,1 mm (emission to water)</v>
      </c>
      <c r="H1187" s="147"/>
      <c r="I1187" s="129">
        <v>0</v>
      </c>
      <c r="J1187" s="225" t="s">
        <v>1034</v>
      </c>
      <c r="K1187" s="114" t="s">
        <v>596</v>
      </c>
      <c r="L1187" s="226">
        <f t="shared" si="1222"/>
        <v>0</v>
      </c>
      <c r="M1187" s="295">
        <f t="shared" si="1224"/>
        <v>0</v>
      </c>
      <c r="N1187" s="616"/>
    </row>
    <row r="1188" spans="1:14" s="191" customFormat="1">
      <c r="A1188" s="174" t="s">
        <v>48</v>
      </c>
      <c r="B1188" s="288" t="s">
        <v>1025</v>
      </c>
      <c r="C1188" s="290">
        <f t="shared" ref="C1188:C1190" si="1229">IF(OR(B1188="Folie", B1188="Strips", B1188="Film",B1188="Flakes",B1188="Coupon"), 2,IF(OR(B1188="Fibers",B1188="Pellets"),4,IF(OR(B1188="Particles",B1188="Shreds",B1188="Powder",B1188="Fragments",B1188="Granules"),6,"")))</f>
        <v>6</v>
      </c>
      <c r="D1188" s="290" t="s">
        <v>1018</v>
      </c>
      <c r="E1188" s="155">
        <v>0.1</v>
      </c>
      <c r="F1188" s="131" t="s">
        <v>1057</v>
      </c>
      <c r="G1188" s="134" t="str">
        <f t="shared" ref="G1188:G1190" si="1230">CONCATENATE(A1188," ",B1188," ",D1188," mm (emission to ",F1188,")")</f>
        <v>PCL particles 0,01-0,1 mm (emission to air)</v>
      </c>
      <c r="H1188" s="133"/>
      <c r="I1188" s="137">
        <v>0.97699999999999998</v>
      </c>
      <c r="J1188" s="101" t="s">
        <v>1019</v>
      </c>
      <c r="K1188" s="114">
        <f>K52</f>
        <v>400.84821428571433</v>
      </c>
      <c r="L1188" s="226">
        <f t="shared" ref="L1188:L1190" si="1231">IFERROR(IF(K1188="--",0,IF(E1188*1000/K1188*(1-0.5)^(C1188/2)&gt;1000,1000,E1188*1000/K1188*(1-0.5)^(C1188/2))),1000)</f>
        <v>3.1183873482570439E-2</v>
      </c>
      <c r="M1188" s="158">
        <f>IF(L1188/1000&gt;1000,1000,L1188/1000)</f>
        <v>3.1183873482570443E-5</v>
      </c>
      <c r="N1188" s="610">
        <f>I1188*M1188+I1189*M1189</f>
        <v>3.1183873482570443E-5</v>
      </c>
    </row>
    <row r="1189" spans="1:14" s="191" customFormat="1">
      <c r="A1189" s="172" t="str">
        <f>A1188</f>
        <v>PCL</v>
      </c>
      <c r="B1189" s="149" t="str">
        <f>B1188</f>
        <v>particles</v>
      </c>
      <c r="C1189" s="149">
        <f t="shared" si="1229"/>
        <v>6</v>
      </c>
      <c r="D1189" s="149" t="str">
        <f t="shared" ref="D1189:F1189" si="1232">D1188</f>
        <v>0,01-0,1</v>
      </c>
      <c r="E1189" s="149">
        <f t="shared" si="1232"/>
        <v>0.1</v>
      </c>
      <c r="F1189" s="149" t="str">
        <f t="shared" si="1232"/>
        <v>air</v>
      </c>
      <c r="G1189" s="146" t="str">
        <f t="shared" si="1230"/>
        <v>PCL particles 0,01-0,1 mm (emission to air)</v>
      </c>
      <c r="H1189" s="146"/>
      <c r="I1189" s="129">
        <v>2.3E-2</v>
      </c>
      <c r="J1189" s="101" t="s">
        <v>1097</v>
      </c>
      <c r="K1189" s="114">
        <f>K53</f>
        <v>400.84821428571433</v>
      </c>
      <c r="L1189" s="226">
        <f t="shared" si="1231"/>
        <v>3.1183873482570439E-2</v>
      </c>
      <c r="M1189" s="158">
        <f>IF(L1189/1000&gt;1000,1000,L1189/1000)</f>
        <v>3.1183873482570443E-5</v>
      </c>
      <c r="N1189" s="610"/>
    </row>
    <row r="1190" spans="1:14" s="191" customFormat="1">
      <c r="A1190" s="173" t="str">
        <f>A1189</f>
        <v>PCL</v>
      </c>
      <c r="B1190" s="150" t="str">
        <f>B1189</f>
        <v>particles</v>
      </c>
      <c r="C1190" s="150">
        <f t="shared" si="1229"/>
        <v>6</v>
      </c>
      <c r="D1190" s="150" t="str">
        <f t="shared" ref="D1190:F1190" si="1233">D1189</f>
        <v>0,01-0,1</v>
      </c>
      <c r="E1190" s="150">
        <f t="shared" si="1233"/>
        <v>0.1</v>
      </c>
      <c r="F1190" s="150" t="str">
        <f t="shared" si="1233"/>
        <v>air</v>
      </c>
      <c r="G1190" s="147" t="str">
        <f t="shared" si="1230"/>
        <v>PCL particles 0,01-0,1 mm (emission to air)</v>
      </c>
      <c r="H1190" s="147"/>
      <c r="I1190" s="129">
        <v>0</v>
      </c>
      <c r="J1190" s="101" t="s">
        <v>1034</v>
      </c>
      <c r="K1190" s="114" t="s">
        <v>596</v>
      </c>
      <c r="L1190" s="226">
        <f t="shared" si="1231"/>
        <v>0</v>
      </c>
      <c r="M1190" s="158">
        <f t="shared" ref="M1190" si="1234">IF(L1190/1000&gt;1000,1000,L1190/1000)</f>
        <v>0</v>
      </c>
      <c r="N1190" s="610"/>
    </row>
    <row r="1191" spans="1:14" s="102" customFormat="1">
      <c r="A1191" s="174" t="s">
        <v>48</v>
      </c>
      <c r="B1191" s="186" t="s">
        <v>1025</v>
      </c>
      <c r="C1191" s="188">
        <f t="shared" si="1173"/>
        <v>6</v>
      </c>
      <c r="D1191" s="188" t="s">
        <v>1028</v>
      </c>
      <c r="E1191" s="155">
        <v>1</v>
      </c>
      <c r="F1191" s="131" t="s">
        <v>1019</v>
      </c>
      <c r="G1191" s="134" t="str">
        <f t="shared" si="1186"/>
        <v>PCL particles 0,1-1 mm (emission to soil)</v>
      </c>
      <c r="H1191" s="133"/>
      <c r="I1191" s="129">
        <v>1</v>
      </c>
      <c r="J1191" s="101" t="s">
        <v>1019</v>
      </c>
      <c r="K1191" s="114">
        <f>K52</f>
        <v>400.84821428571433</v>
      </c>
      <c r="L1191" s="226">
        <f t="shared" ref="L1191:L1197" si="1235">IFERROR(IF(K1191="--",0,IF(E1191*1000/K1191*(1-0.5)^(C1191/2)&gt;1000,1000,E1191*1000/K1191*(1-0.5)^(C1191/2))),1000)</f>
        <v>0.3118387348257044</v>
      </c>
      <c r="M1191" s="158">
        <f>IF(L1191/1000&gt;1000,1000,L1191/1000)</f>
        <v>3.118387348257044E-4</v>
      </c>
      <c r="N1191" s="610">
        <f>I1191*M1191+I1192*M1192</f>
        <v>3.118387348257044E-4</v>
      </c>
    </row>
    <row r="1192" spans="1:14" s="102" customFormat="1">
      <c r="A1192" s="172" t="str">
        <f>A1191</f>
        <v>PCL</v>
      </c>
      <c r="B1192" s="149" t="str">
        <f>B1191</f>
        <v>particles</v>
      </c>
      <c r="C1192" s="149">
        <f t="shared" si="1173"/>
        <v>6</v>
      </c>
      <c r="D1192" s="149" t="str">
        <f t="shared" ref="D1192:F1193" si="1236">D1191</f>
        <v>0,1-1</v>
      </c>
      <c r="E1192" s="149">
        <f t="shared" si="1236"/>
        <v>1</v>
      </c>
      <c r="F1192" s="149" t="str">
        <f t="shared" si="1236"/>
        <v>soil</v>
      </c>
      <c r="G1192" s="146" t="str">
        <f t="shared" si="1186"/>
        <v>PCL particles 0,1-1 mm (emission to soil)</v>
      </c>
      <c r="H1192" s="146"/>
      <c r="I1192" s="129">
        <v>0</v>
      </c>
      <c r="J1192" s="101" t="s">
        <v>1097</v>
      </c>
      <c r="K1192" s="114">
        <f>K53</f>
        <v>400.84821428571433</v>
      </c>
      <c r="L1192" s="226">
        <f t="shared" si="1235"/>
        <v>0.3118387348257044</v>
      </c>
      <c r="M1192" s="158">
        <f>IF(L1192/1000&gt;1000,1000,L1192/1000)</f>
        <v>3.118387348257044E-4</v>
      </c>
      <c r="N1192" s="610"/>
    </row>
    <row r="1193" spans="1:14" s="102" customFormat="1">
      <c r="A1193" s="173" t="str">
        <f>A1192</f>
        <v>PCL</v>
      </c>
      <c r="B1193" s="150" t="str">
        <f>B1192</f>
        <v>particles</v>
      </c>
      <c r="C1193" s="150">
        <f t="shared" si="1173"/>
        <v>6</v>
      </c>
      <c r="D1193" s="150" t="str">
        <f t="shared" si="1236"/>
        <v>0,1-1</v>
      </c>
      <c r="E1193" s="150">
        <f t="shared" si="1236"/>
        <v>1</v>
      </c>
      <c r="F1193" s="150" t="str">
        <f t="shared" si="1236"/>
        <v>soil</v>
      </c>
      <c r="G1193" s="147" t="str">
        <f t="shared" si="1186"/>
        <v>PCL particles 0,1-1 mm (emission to soil)</v>
      </c>
      <c r="H1193" s="147"/>
      <c r="I1193" s="129">
        <v>0</v>
      </c>
      <c r="J1193" s="101" t="s">
        <v>1034</v>
      </c>
      <c r="K1193" s="151" t="s">
        <v>596</v>
      </c>
      <c r="L1193" s="226">
        <f t="shared" si="1235"/>
        <v>0</v>
      </c>
      <c r="M1193" s="158">
        <f t="shared" ref="M1193:M1197" si="1237">IF(L1193/1000&gt;1000,1000,L1193/1000)</f>
        <v>0</v>
      </c>
      <c r="N1193" s="610"/>
    </row>
    <row r="1194" spans="1:14" s="102" customFormat="1">
      <c r="A1194" s="174" t="s">
        <v>48</v>
      </c>
      <c r="B1194" s="288" t="s">
        <v>1025</v>
      </c>
      <c r="C1194" s="290">
        <f t="shared" si="1173"/>
        <v>6</v>
      </c>
      <c r="D1194" s="290" t="s">
        <v>1028</v>
      </c>
      <c r="E1194" s="290">
        <v>1</v>
      </c>
      <c r="F1194" s="206" t="s">
        <v>1020</v>
      </c>
      <c r="G1194" s="144" t="str">
        <f t="shared" si="1186"/>
        <v>PCL particles 0,1-1 mm (emission to water)</v>
      </c>
      <c r="H1194" s="133"/>
      <c r="I1194" s="129">
        <v>0</v>
      </c>
      <c r="J1194" s="225" t="s">
        <v>1019</v>
      </c>
      <c r="K1194" s="114">
        <f>K52</f>
        <v>400.84821428571433</v>
      </c>
      <c r="L1194" s="226">
        <f t="shared" si="1235"/>
        <v>0.3118387348257044</v>
      </c>
      <c r="M1194" s="295">
        <f t="shared" si="1237"/>
        <v>3.118387348257044E-4</v>
      </c>
      <c r="N1194" s="614">
        <f>I1194*M1194+I1195*M1195+I1196*M1196</f>
        <v>3.118387348257044E-4</v>
      </c>
    </row>
    <row r="1195" spans="1:14" s="102" customFormat="1">
      <c r="A1195" s="172" t="str">
        <f>A1194</f>
        <v>PCL</v>
      </c>
      <c r="B1195" s="149" t="str">
        <f>B1194</f>
        <v>particles</v>
      </c>
      <c r="C1195" s="149">
        <f t="shared" si="1173"/>
        <v>6</v>
      </c>
      <c r="D1195" s="149" t="str">
        <f t="shared" ref="D1195:F1196" si="1238">D1194</f>
        <v>0,1-1</v>
      </c>
      <c r="E1195" s="149">
        <f t="shared" si="1238"/>
        <v>1</v>
      </c>
      <c r="F1195" s="149" t="str">
        <f t="shared" si="1238"/>
        <v>water</v>
      </c>
      <c r="G1195" s="146" t="str">
        <f t="shared" si="1186"/>
        <v>PCL particles 0,1-1 mm (emission to water)</v>
      </c>
      <c r="H1195" s="146"/>
      <c r="I1195" s="129">
        <v>0</v>
      </c>
      <c r="J1195" s="225" t="s">
        <v>1097</v>
      </c>
      <c r="K1195" s="114">
        <f>K53</f>
        <v>400.84821428571433</v>
      </c>
      <c r="L1195" s="226">
        <f t="shared" si="1235"/>
        <v>0.3118387348257044</v>
      </c>
      <c r="M1195" s="295">
        <f t="shared" si="1237"/>
        <v>3.118387348257044E-4</v>
      </c>
      <c r="N1195" s="615"/>
    </row>
    <row r="1196" spans="1:14" s="102" customFormat="1">
      <c r="A1196" s="172" t="str">
        <f>A1195</f>
        <v>PCL</v>
      </c>
      <c r="B1196" s="149" t="str">
        <f>B1195</f>
        <v>particles</v>
      </c>
      <c r="C1196" s="149">
        <f t="shared" si="1173"/>
        <v>6</v>
      </c>
      <c r="D1196" s="149" t="str">
        <f t="shared" si="1238"/>
        <v>0,1-1</v>
      </c>
      <c r="E1196" s="149">
        <f t="shared" si="1238"/>
        <v>1</v>
      </c>
      <c r="F1196" s="149" t="str">
        <f t="shared" si="1238"/>
        <v>water</v>
      </c>
      <c r="G1196" s="146" t="str">
        <f t="shared" si="1186"/>
        <v>PCL particles 0,1-1 mm (emission to water)</v>
      </c>
      <c r="H1196" s="146"/>
      <c r="I1196" s="129">
        <v>1</v>
      </c>
      <c r="J1196" s="225" t="s">
        <v>1096</v>
      </c>
      <c r="K1196" s="114">
        <f>K54</f>
        <v>400.84821428571433</v>
      </c>
      <c r="L1196" s="226">
        <f t="shared" ref="L1196" si="1239">IFERROR(IF(K1196="--",0,IF(E1196*1000/K1196*(1-0.5)^(C1196/2)&gt;1000,1000,E1196*1000/K1196*(1-0.5)^(C1196/2))),1000)</f>
        <v>0.3118387348257044</v>
      </c>
      <c r="M1196" s="295">
        <f t="shared" si="1237"/>
        <v>3.118387348257044E-4</v>
      </c>
      <c r="N1196" s="615"/>
    </row>
    <row r="1197" spans="1:14" s="102" customFormat="1">
      <c r="A1197" s="173" t="str">
        <f>A1195</f>
        <v>PCL</v>
      </c>
      <c r="B1197" s="150" t="str">
        <f>B1195</f>
        <v>particles</v>
      </c>
      <c r="C1197" s="150">
        <f t="shared" si="1173"/>
        <v>6</v>
      </c>
      <c r="D1197" s="150" t="str">
        <f>D1195</f>
        <v>0,1-1</v>
      </c>
      <c r="E1197" s="150">
        <f>E1195</f>
        <v>1</v>
      </c>
      <c r="F1197" s="150" t="str">
        <f>F1195</f>
        <v>water</v>
      </c>
      <c r="G1197" s="147" t="str">
        <f t="shared" si="1186"/>
        <v>PCL particles 0,1-1 mm (emission to water)</v>
      </c>
      <c r="H1197" s="147"/>
      <c r="I1197" s="129">
        <v>0</v>
      </c>
      <c r="J1197" s="225" t="s">
        <v>1034</v>
      </c>
      <c r="K1197" s="151" t="s">
        <v>596</v>
      </c>
      <c r="L1197" s="226">
        <f t="shared" si="1235"/>
        <v>0</v>
      </c>
      <c r="M1197" s="295">
        <f t="shared" si="1237"/>
        <v>0</v>
      </c>
      <c r="N1197" s="616"/>
    </row>
    <row r="1198" spans="1:14" s="191" customFormat="1">
      <c r="A1198" s="174" t="s">
        <v>48</v>
      </c>
      <c r="B1198" s="288" t="s">
        <v>1025</v>
      </c>
      <c r="C1198" s="290">
        <f t="shared" ref="C1198:C1200" si="1240">IF(OR(B1198="Folie", B1198="Strips", B1198="Film",B1198="Flakes",B1198="Coupon"), 2,IF(OR(B1198="Fibers",B1198="Pellets"),4,IF(OR(B1198="Particles",B1198="Shreds",B1198="Powder",B1198="Fragments",B1198="Granules"),6,"")))</f>
        <v>6</v>
      </c>
      <c r="D1198" s="290" t="s">
        <v>1028</v>
      </c>
      <c r="E1198" s="155">
        <v>1</v>
      </c>
      <c r="F1198" s="131" t="s">
        <v>1057</v>
      </c>
      <c r="G1198" s="134" t="str">
        <f t="shared" ref="G1198:G1200" si="1241">CONCATENATE(A1198," ",B1198," ",D1198," mm (emission to ",F1198,")")</f>
        <v>PCL particles 0,1-1 mm (emission to air)</v>
      </c>
      <c r="H1198" s="133"/>
      <c r="I1198" s="137">
        <v>0.97699999999999998</v>
      </c>
      <c r="J1198" s="101" t="s">
        <v>1019</v>
      </c>
      <c r="K1198" s="114">
        <f>K52</f>
        <v>400.84821428571433</v>
      </c>
      <c r="L1198" s="226">
        <f t="shared" ref="L1198:L1200" si="1242">IFERROR(IF(K1198="--",0,IF(E1198*1000/K1198*(1-0.5)^(C1198/2)&gt;1000,1000,E1198*1000/K1198*(1-0.5)^(C1198/2))),1000)</f>
        <v>0.3118387348257044</v>
      </c>
      <c r="M1198" s="158">
        <f>IF(L1198/1000&gt;1000,1000,L1198/1000)</f>
        <v>3.118387348257044E-4</v>
      </c>
      <c r="N1198" s="610">
        <f>I1198*M1198+I1199*M1199</f>
        <v>3.118387348257044E-4</v>
      </c>
    </row>
    <row r="1199" spans="1:14" s="191" customFormat="1">
      <c r="A1199" s="172" t="str">
        <f>A1198</f>
        <v>PCL</v>
      </c>
      <c r="B1199" s="149" t="str">
        <f>B1198</f>
        <v>particles</v>
      </c>
      <c r="C1199" s="149">
        <f t="shared" si="1240"/>
        <v>6</v>
      </c>
      <c r="D1199" s="149" t="str">
        <f t="shared" ref="D1199:F1199" si="1243">D1198</f>
        <v>0,1-1</v>
      </c>
      <c r="E1199" s="149">
        <f t="shared" si="1243"/>
        <v>1</v>
      </c>
      <c r="F1199" s="149" t="str">
        <f t="shared" si="1243"/>
        <v>air</v>
      </c>
      <c r="G1199" s="146" t="str">
        <f t="shared" si="1241"/>
        <v>PCL particles 0,1-1 mm (emission to air)</v>
      </c>
      <c r="H1199" s="146"/>
      <c r="I1199" s="129">
        <v>2.3E-2</v>
      </c>
      <c r="J1199" s="101" t="s">
        <v>1097</v>
      </c>
      <c r="K1199" s="114">
        <f>K53</f>
        <v>400.84821428571433</v>
      </c>
      <c r="L1199" s="226">
        <f t="shared" si="1242"/>
        <v>0.3118387348257044</v>
      </c>
      <c r="M1199" s="158">
        <f>IF(L1199/1000&gt;1000,1000,L1199/1000)</f>
        <v>3.118387348257044E-4</v>
      </c>
      <c r="N1199" s="610"/>
    </row>
    <row r="1200" spans="1:14" s="191" customFormat="1">
      <c r="A1200" s="173" t="str">
        <f>A1199</f>
        <v>PCL</v>
      </c>
      <c r="B1200" s="150" t="str">
        <f>B1199</f>
        <v>particles</v>
      </c>
      <c r="C1200" s="150">
        <f t="shared" si="1240"/>
        <v>6</v>
      </c>
      <c r="D1200" s="150" t="str">
        <f t="shared" ref="D1200:F1200" si="1244">D1199</f>
        <v>0,1-1</v>
      </c>
      <c r="E1200" s="150">
        <f t="shared" si="1244"/>
        <v>1</v>
      </c>
      <c r="F1200" s="150" t="str">
        <f t="shared" si="1244"/>
        <v>air</v>
      </c>
      <c r="G1200" s="147" t="str">
        <f t="shared" si="1241"/>
        <v>PCL particles 0,1-1 mm (emission to air)</v>
      </c>
      <c r="H1200" s="147"/>
      <c r="I1200" s="129">
        <v>0</v>
      </c>
      <c r="J1200" s="101" t="s">
        <v>1034</v>
      </c>
      <c r="K1200" s="151" t="s">
        <v>596</v>
      </c>
      <c r="L1200" s="226">
        <f t="shared" si="1242"/>
        <v>0</v>
      </c>
      <c r="M1200" s="158">
        <f t="shared" ref="M1200" si="1245">IF(L1200/1000&gt;1000,1000,L1200/1000)</f>
        <v>0</v>
      </c>
      <c r="N1200" s="610"/>
    </row>
    <row r="1201" spans="1:14" s="102" customFormat="1">
      <c r="A1201" s="174" t="s">
        <v>48</v>
      </c>
      <c r="B1201" s="186" t="s">
        <v>1025</v>
      </c>
      <c r="C1201" s="188">
        <f t="shared" si="1173"/>
        <v>6</v>
      </c>
      <c r="D1201" s="188" t="s">
        <v>1026</v>
      </c>
      <c r="E1201" s="155">
        <v>10</v>
      </c>
      <c r="F1201" s="131" t="s">
        <v>1019</v>
      </c>
      <c r="G1201" s="134" t="str">
        <f t="shared" si="1186"/>
        <v>PCL particles 1-10 mm (emission to soil)</v>
      </c>
      <c r="H1201" s="133"/>
      <c r="I1201" s="129">
        <v>1</v>
      </c>
      <c r="J1201" s="101" t="s">
        <v>1019</v>
      </c>
      <c r="K1201" s="114">
        <f>K52</f>
        <v>400.84821428571433</v>
      </c>
      <c r="L1201" s="226">
        <f t="shared" ref="L1201:L1207" si="1246">IFERROR(IF(K1201="--",0,IF(E1201*1000/K1201*(1-0.5)^(C1201/2)&gt;1000,1000,E1201*1000/K1201*(1-0.5)^(C1201/2))),1000)</f>
        <v>3.1183873482570439</v>
      </c>
      <c r="M1201" s="158">
        <f>IF(L1201/1000&gt;1000,1000,L1201/1000)</f>
        <v>3.1183873482570441E-3</v>
      </c>
      <c r="N1201" s="610">
        <f>I1201*M1201+I1202*M1202</f>
        <v>3.1183873482570441E-3</v>
      </c>
    </row>
    <row r="1202" spans="1:14" s="102" customFormat="1">
      <c r="A1202" s="172" t="str">
        <f>A1201</f>
        <v>PCL</v>
      </c>
      <c r="B1202" s="149" t="str">
        <f>B1201</f>
        <v>particles</v>
      </c>
      <c r="C1202" s="149">
        <f t="shared" si="1173"/>
        <v>6</v>
      </c>
      <c r="D1202" s="149" t="str">
        <f t="shared" ref="D1202:F1203" si="1247">D1201</f>
        <v>1-10</v>
      </c>
      <c r="E1202" s="149">
        <f t="shared" si="1247"/>
        <v>10</v>
      </c>
      <c r="F1202" s="149" t="str">
        <f t="shared" si="1247"/>
        <v>soil</v>
      </c>
      <c r="G1202" s="146" t="str">
        <f t="shared" si="1186"/>
        <v>PCL particles 1-10 mm (emission to soil)</v>
      </c>
      <c r="H1202" s="146"/>
      <c r="I1202" s="129">
        <v>0</v>
      </c>
      <c r="J1202" s="101" t="s">
        <v>1097</v>
      </c>
      <c r="K1202" s="114">
        <f>K53</f>
        <v>400.84821428571433</v>
      </c>
      <c r="L1202" s="226">
        <f t="shared" si="1246"/>
        <v>3.1183873482570439</v>
      </c>
      <c r="M1202" s="158">
        <f>IF(L1202/1000&gt;1000,1000,L1202/1000)</f>
        <v>3.1183873482570441E-3</v>
      </c>
      <c r="N1202" s="610"/>
    </row>
    <row r="1203" spans="1:14" s="102" customFormat="1">
      <c r="A1203" s="173" t="str">
        <f>A1202</f>
        <v>PCL</v>
      </c>
      <c r="B1203" s="150" t="str">
        <f>B1202</f>
        <v>particles</v>
      </c>
      <c r="C1203" s="150">
        <f t="shared" si="1173"/>
        <v>6</v>
      </c>
      <c r="D1203" s="150" t="str">
        <f t="shared" si="1247"/>
        <v>1-10</v>
      </c>
      <c r="E1203" s="150">
        <f t="shared" si="1247"/>
        <v>10</v>
      </c>
      <c r="F1203" s="150" t="str">
        <f t="shared" si="1247"/>
        <v>soil</v>
      </c>
      <c r="G1203" s="147" t="str">
        <f t="shared" si="1186"/>
        <v>PCL particles 1-10 mm (emission to soil)</v>
      </c>
      <c r="H1203" s="147"/>
      <c r="I1203" s="129">
        <v>0</v>
      </c>
      <c r="J1203" s="101" t="s">
        <v>1034</v>
      </c>
      <c r="K1203" s="151" t="s">
        <v>596</v>
      </c>
      <c r="L1203" s="226">
        <f t="shared" si="1246"/>
        <v>0</v>
      </c>
      <c r="M1203" s="158">
        <f t="shared" ref="M1203:M1207" si="1248">IF(L1203/1000&gt;1000,1000,L1203/1000)</f>
        <v>0</v>
      </c>
      <c r="N1203" s="610"/>
    </row>
    <row r="1204" spans="1:14" s="102" customFormat="1">
      <c r="A1204" s="174" t="s">
        <v>48</v>
      </c>
      <c r="B1204" s="288" t="s">
        <v>1025</v>
      </c>
      <c r="C1204" s="290">
        <f t="shared" si="1173"/>
        <v>6</v>
      </c>
      <c r="D1204" s="290" t="s">
        <v>1026</v>
      </c>
      <c r="E1204" s="288">
        <v>10</v>
      </c>
      <c r="F1204" s="206" t="s">
        <v>1020</v>
      </c>
      <c r="G1204" s="144" t="str">
        <f t="shared" si="1186"/>
        <v>PCL particles 1-10 mm (emission to water)</v>
      </c>
      <c r="H1204" s="133"/>
      <c r="I1204" s="129">
        <v>0</v>
      </c>
      <c r="J1204" s="225" t="s">
        <v>1019</v>
      </c>
      <c r="K1204" s="114">
        <f>K52</f>
        <v>400.84821428571433</v>
      </c>
      <c r="L1204" s="226">
        <f t="shared" si="1246"/>
        <v>3.1183873482570439</v>
      </c>
      <c r="M1204" s="295">
        <f t="shared" si="1248"/>
        <v>3.1183873482570441E-3</v>
      </c>
      <c r="N1204" s="614">
        <f>I1204*M1204+I1205*M1205+I1206*M1206</f>
        <v>3.1183873482570441E-3</v>
      </c>
    </row>
    <row r="1205" spans="1:14" s="102" customFormat="1">
      <c r="A1205" s="172" t="str">
        <f>A1204</f>
        <v>PCL</v>
      </c>
      <c r="B1205" s="149" t="str">
        <f>B1204</f>
        <v>particles</v>
      </c>
      <c r="C1205" s="149">
        <f t="shared" si="1173"/>
        <v>6</v>
      </c>
      <c r="D1205" s="149" t="str">
        <f t="shared" ref="D1205:F1206" si="1249">D1204</f>
        <v>1-10</v>
      </c>
      <c r="E1205" s="149">
        <f t="shared" si="1249"/>
        <v>10</v>
      </c>
      <c r="F1205" s="149" t="str">
        <f t="shared" si="1249"/>
        <v>water</v>
      </c>
      <c r="G1205" s="146" t="str">
        <f t="shared" ref="G1205:G1217" si="1250">CONCATENATE(A1205," ",B1205," ",D1205," mm (emission to ",F1205,")")</f>
        <v>PCL particles 1-10 mm (emission to water)</v>
      </c>
      <c r="H1205" s="146"/>
      <c r="I1205" s="129">
        <v>0</v>
      </c>
      <c r="J1205" s="225" t="s">
        <v>1097</v>
      </c>
      <c r="K1205" s="114">
        <f>K53</f>
        <v>400.84821428571433</v>
      </c>
      <c r="L1205" s="226">
        <f t="shared" si="1246"/>
        <v>3.1183873482570439</v>
      </c>
      <c r="M1205" s="295">
        <f t="shared" si="1248"/>
        <v>3.1183873482570441E-3</v>
      </c>
      <c r="N1205" s="615"/>
    </row>
    <row r="1206" spans="1:14" s="102" customFormat="1">
      <c r="A1206" s="172" t="str">
        <f>A1205</f>
        <v>PCL</v>
      </c>
      <c r="B1206" s="149" t="str">
        <f>B1205</f>
        <v>particles</v>
      </c>
      <c r="C1206" s="149">
        <f t="shared" ref="C1206" si="1251">IF(OR(B1206="Folie", B1206="Strips", B1206="Film",B1206="Flakes",B1206="Coupon"), 2,IF(OR(B1206="Fibers",B1206="Pellets"),4,IF(OR(B1206="Particles",B1206="Shreds",B1206="Powder",B1206="Fragments",B1206="Granules"),6,"")))</f>
        <v>6</v>
      </c>
      <c r="D1206" s="149" t="str">
        <f t="shared" si="1249"/>
        <v>1-10</v>
      </c>
      <c r="E1206" s="149">
        <f t="shared" si="1249"/>
        <v>10</v>
      </c>
      <c r="F1206" s="149" t="str">
        <f t="shared" si="1249"/>
        <v>water</v>
      </c>
      <c r="G1206" s="146" t="str">
        <f t="shared" si="1250"/>
        <v>PCL particles 1-10 mm (emission to water)</v>
      </c>
      <c r="H1206" s="146"/>
      <c r="I1206" s="129">
        <v>1</v>
      </c>
      <c r="J1206" s="225" t="s">
        <v>1096</v>
      </c>
      <c r="K1206" s="114">
        <f>K54</f>
        <v>400.84821428571433</v>
      </c>
      <c r="L1206" s="226">
        <f t="shared" ref="L1206" si="1252">IFERROR(IF(K1206="--",0,IF(E1206*1000/K1206*(1-0.5)^(C1206/2)&gt;1000,1000,E1206*1000/K1206*(1-0.5)^(C1206/2))),1000)</f>
        <v>3.1183873482570439</v>
      </c>
      <c r="M1206" s="295">
        <f t="shared" si="1248"/>
        <v>3.1183873482570441E-3</v>
      </c>
      <c r="N1206" s="615"/>
    </row>
    <row r="1207" spans="1:14" s="102" customFormat="1">
      <c r="A1207" s="173" t="str">
        <f>A1205</f>
        <v>PCL</v>
      </c>
      <c r="B1207" s="150" t="str">
        <f>B1205</f>
        <v>particles</v>
      </c>
      <c r="C1207" s="150">
        <f t="shared" si="1173"/>
        <v>6</v>
      </c>
      <c r="D1207" s="150" t="str">
        <f>D1205</f>
        <v>1-10</v>
      </c>
      <c r="E1207" s="150">
        <f>E1205</f>
        <v>10</v>
      </c>
      <c r="F1207" s="150" t="str">
        <f>F1205</f>
        <v>water</v>
      </c>
      <c r="G1207" s="147" t="str">
        <f t="shared" si="1250"/>
        <v>PCL particles 1-10 mm (emission to water)</v>
      </c>
      <c r="H1207" s="147">
        <f>H1205</f>
        <v>0</v>
      </c>
      <c r="I1207" s="129">
        <v>0</v>
      </c>
      <c r="J1207" s="225" t="s">
        <v>1034</v>
      </c>
      <c r="K1207" s="114" t="s">
        <v>596</v>
      </c>
      <c r="L1207" s="226">
        <f t="shared" si="1246"/>
        <v>0</v>
      </c>
      <c r="M1207" s="295">
        <f t="shared" si="1248"/>
        <v>0</v>
      </c>
      <c r="N1207" s="616"/>
    </row>
    <row r="1208" spans="1:14" s="191" customFormat="1">
      <c r="A1208" s="174" t="s">
        <v>48</v>
      </c>
      <c r="B1208" s="288" t="s">
        <v>1025</v>
      </c>
      <c r="C1208" s="290">
        <f t="shared" ref="C1208:C1210" si="1253">IF(OR(B1208="Folie", B1208="Strips", B1208="Film",B1208="Flakes",B1208="Coupon"), 2,IF(OR(B1208="Fibers",B1208="Pellets"),4,IF(OR(B1208="Particles",B1208="Shreds",B1208="Powder",B1208="Fragments",B1208="Granules"),6,"")))</f>
        <v>6</v>
      </c>
      <c r="D1208" s="290" t="s">
        <v>1026</v>
      </c>
      <c r="E1208" s="155">
        <v>10</v>
      </c>
      <c r="F1208" s="131" t="s">
        <v>1057</v>
      </c>
      <c r="G1208" s="134" t="str">
        <f t="shared" si="1250"/>
        <v>PCL particles 1-10 mm (emission to air)</v>
      </c>
      <c r="H1208" s="133"/>
      <c r="I1208" s="137">
        <v>0.97699999999999998</v>
      </c>
      <c r="J1208" s="101" t="s">
        <v>1019</v>
      </c>
      <c r="K1208" s="114">
        <f>K52</f>
        <v>400.84821428571433</v>
      </c>
      <c r="L1208" s="226">
        <f t="shared" ref="L1208:L1210" si="1254">IFERROR(IF(K1208="--",0,IF(E1208*1000/K1208*(1-0.5)^(C1208/2)&gt;1000,1000,E1208*1000/K1208*(1-0.5)^(C1208/2))),1000)</f>
        <v>3.1183873482570439</v>
      </c>
      <c r="M1208" s="158">
        <f>IF(L1208/1000&gt;1000,1000,L1208/1000)</f>
        <v>3.1183873482570441E-3</v>
      </c>
      <c r="N1208" s="610">
        <f>I1208*M1208+I1209*M1209</f>
        <v>3.1183873482570437E-3</v>
      </c>
    </row>
    <row r="1209" spans="1:14" s="191" customFormat="1">
      <c r="A1209" s="172" t="str">
        <f>A1208</f>
        <v>PCL</v>
      </c>
      <c r="B1209" s="149" t="str">
        <f>B1208</f>
        <v>particles</v>
      </c>
      <c r="C1209" s="149">
        <f t="shared" si="1253"/>
        <v>6</v>
      </c>
      <c r="D1209" s="149" t="str">
        <f t="shared" ref="D1209:F1209" si="1255">D1208</f>
        <v>1-10</v>
      </c>
      <c r="E1209" s="149">
        <f t="shared" si="1255"/>
        <v>10</v>
      </c>
      <c r="F1209" s="149" t="str">
        <f t="shared" si="1255"/>
        <v>air</v>
      </c>
      <c r="G1209" s="146" t="str">
        <f t="shared" si="1250"/>
        <v>PCL particles 1-10 mm (emission to air)</v>
      </c>
      <c r="H1209" s="146"/>
      <c r="I1209" s="129">
        <v>2.3E-2</v>
      </c>
      <c r="J1209" s="101" t="s">
        <v>1097</v>
      </c>
      <c r="K1209" s="114">
        <f>K53</f>
        <v>400.84821428571433</v>
      </c>
      <c r="L1209" s="226">
        <f t="shared" si="1254"/>
        <v>3.1183873482570439</v>
      </c>
      <c r="M1209" s="158">
        <f>IF(L1209/1000&gt;1000,1000,L1209/1000)</f>
        <v>3.1183873482570441E-3</v>
      </c>
      <c r="N1209" s="610"/>
    </row>
    <row r="1210" spans="1:14" s="191" customFormat="1" ht="13.5" thickBot="1">
      <c r="A1210" s="173" t="str">
        <f>A1209</f>
        <v>PCL</v>
      </c>
      <c r="B1210" s="150" t="str">
        <f>B1209</f>
        <v>particles</v>
      </c>
      <c r="C1210" s="150">
        <f t="shared" si="1253"/>
        <v>6</v>
      </c>
      <c r="D1210" s="178" t="str">
        <f t="shared" ref="D1210:F1210" si="1256">D1209</f>
        <v>1-10</v>
      </c>
      <c r="E1210" s="178">
        <f t="shared" si="1256"/>
        <v>10</v>
      </c>
      <c r="F1210" s="178" t="str">
        <f t="shared" si="1256"/>
        <v>air</v>
      </c>
      <c r="G1210" s="179" t="str">
        <f t="shared" si="1250"/>
        <v>PCL particles 1-10 mm (emission to air)</v>
      </c>
      <c r="H1210" s="179"/>
      <c r="I1210" s="277">
        <v>0</v>
      </c>
      <c r="J1210" s="180" t="s">
        <v>1034</v>
      </c>
      <c r="K1210" s="278" t="s">
        <v>596</v>
      </c>
      <c r="L1210" s="279">
        <f t="shared" si="1254"/>
        <v>0</v>
      </c>
      <c r="M1210" s="158">
        <f t="shared" ref="M1210" si="1257">IF(L1210/1000&gt;1000,1000,L1210/1000)</f>
        <v>0</v>
      </c>
      <c r="N1210" s="610"/>
    </row>
    <row r="1211" spans="1:14" s="102" customFormat="1">
      <c r="A1211" s="163" t="s">
        <v>177</v>
      </c>
      <c r="B1211" s="164" t="s">
        <v>996</v>
      </c>
      <c r="C1211" s="165">
        <f>IF(OR(B1211="Folie", B1211="Strips", B1211="Film",B1211="Flakes",B1211="Coupon"), 2,IF(OR(B1211="Fibers",B1211="Pellets"),4,IF(OR(B1211="Particles",B1211="Shreds",B1211="Powder",B1211="Fragments",B1211="Granules"),6,"")))</f>
        <v>2</v>
      </c>
      <c r="D1211" s="165" t="s">
        <v>1028</v>
      </c>
      <c r="E1211" s="293">
        <v>1</v>
      </c>
      <c r="F1211" s="166" t="s">
        <v>1019</v>
      </c>
      <c r="G1211" s="167" t="str">
        <f t="shared" si="1250"/>
        <v>PBAT film 0,1-1 mm (emission to soil)</v>
      </c>
      <c r="H1211" s="168"/>
      <c r="I1211" s="169">
        <v>1</v>
      </c>
      <c r="J1211" s="170" t="s">
        <v>1019</v>
      </c>
      <c r="K1211" s="171">
        <f>K55</f>
        <v>8.4823936170212768</v>
      </c>
      <c r="L1211" s="276">
        <f t="shared" ref="L1211:L1217" si="1258">IFERROR(IF(K1211="--",0,IF(E1211*1000/K1211*(1-0.5)^(C1211/2)&gt;1000,1000,E1211*1000/K1211*(1-0.5)^(C1211/2))),1000)</f>
        <v>58.945625795609175</v>
      </c>
      <c r="M1211" s="158">
        <f>IF(L1211/1000&gt;1000,1000,L1211/1000)</f>
        <v>5.8945625795609177E-2</v>
      </c>
      <c r="N1211" s="610">
        <f>I1211*M1211+I1212*M1212</f>
        <v>5.8945625795609177E-2</v>
      </c>
    </row>
    <row r="1212" spans="1:14" s="102" customFormat="1">
      <c r="A1212" s="172" t="str">
        <f>A1211</f>
        <v>PBAT</v>
      </c>
      <c r="B1212" s="149" t="str">
        <f>B1211</f>
        <v>film</v>
      </c>
      <c r="C1212" s="149">
        <f t="shared" ref="C1212:C1277" si="1259">IF(OR(B1212="Folie", B1212="Strips", B1212="Film",B1212="Flakes",B1212="Coupon"), 2,IF(OR(B1212="Fibers",B1212="Pellets"),4,IF(OR(B1212="Particles",B1212="Shreds",B1212="Powder",B1212="Fragments",B1212="Granules"),6,"")))</f>
        <v>2</v>
      </c>
      <c r="D1212" s="149" t="str">
        <f t="shared" ref="D1212:F1213" si="1260">D1211</f>
        <v>0,1-1</v>
      </c>
      <c r="E1212" s="149">
        <f t="shared" si="1260"/>
        <v>1</v>
      </c>
      <c r="F1212" s="149" t="str">
        <f t="shared" si="1260"/>
        <v>soil</v>
      </c>
      <c r="G1212" s="146" t="str">
        <f t="shared" si="1250"/>
        <v>PBAT film 0,1-1 mm (emission to soil)</v>
      </c>
      <c r="H1212" s="146"/>
      <c r="I1212" s="129">
        <v>0</v>
      </c>
      <c r="J1212" s="101" t="s">
        <v>1097</v>
      </c>
      <c r="K1212" s="114">
        <f>K56</f>
        <v>0</v>
      </c>
      <c r="L1212" s="226">
        <f t="shared" si="1258"/>
        <v>1000</v>
      </c>
      <c r="M1212" s="158">
        <f>IF(L1212/1000&gt;1000,1000,L1212/1000)</f>
        <v>1</v>
      </c>
      <c r="N1212" s="610"/>
    </row>
    <row r="1213" spans="1:14" s="102" customFormat="1">
      <c r="A1213" s="173" t="str">
        <f>A1212</f>
        <v>PBAT</v>
      </c>
      <c r="B1213" s="150" t="str">
        <f>B1212</f>
        <v>film</v>
      </c>
      <c r="C1213" s="150">
        <f t="shared" si="1259"/>
        <v>2</v>
      </c>
      <c r="D1213" s="150" t="str">
        <f t="shared" si="1260"/>
        <v>0,1-1</v>
      </c>
      <c r="E1213" s="150">
        <f t="shared" si="1260"/>
        <v>1</v>
      </c>
      <c r="F1213" s="150" t="str">
        <f t="shared" si="1260"/>
        <v>soil</v>
      </c>
      <c r="G1213" s="147" t="str">
        <f t="shared" si="1250"/>
        <v>PBAT film 0,1-1 mm (emission to soil)</v>
      </c>
      <c r="H1213" s="147"/>
      <c r="I1213" s="129">
        <v>0</v>
      </c>
      <c r="J1213" s="101" t="s">
        <v>1034</v>
      </c>
      <c r="K1213" s="151" t="s">
        <v>596</v>
      </c>
      <c r="L1213" s="226">
        <f t="shared" si="1258"/>
        <v>0</v>
      </c>
      <c r="M1213" s="158">
        <f t="shared" ref="M1213:M1217" si="1261">IF(L1213/1000&gt;1000,1000,L1213/1000)</f>
        <v>0</v>
      </c>
      <c r="N1213" s="610"/>
    </row>
    <row r="1214" spans="1:14" s="102" customFormat="1">
      <c r="A1214" s="174" t="s">
        <v>177</v>
      </c>
      <c r="B1214" s="288" t="s">
        <v>996</v>
      </c>
      <c r="C1214" s="290">
        <f t="shared" si="1259"/>
        <v>2</v>
      </c>
      <c r="D1214" s="290" t="s">
        <v>1028</v>
      </c>
      <c r="E1214" s="290">
        <v>1</v>
      </c>
      <c r="F1214" s="206" t="s">
        <v>1020</v>
      </c>
      <c r="G1214" s="144" t="str">
        <f t="shared" si="1250"/>
        <v>PBAT film 0,1-1 mm (emission to water)</v>
      </c>
      <c r="H1214" s="144"/>
      <c r="I1214" s="129">
        <v>0</v>
      </c>
      <c r="J1214" s="225" t="s">
        <v>1019</v>
      </c>
      <c r="K1214" s="114">
        <f>K55</f>
        <v>8.4823936170212768</v>
      </c>
      <c r="L1214" s="226">
        <f t="shared" si="1258"/>
        <v>58.945625795609175</v>
      </c>
      <c r="M1214" s="295">
        <f t="shared" si="1261"/>
        <v>5.8945625795609177E-2</v>
      </c>
      <c r="N1214" s="614">
        <f>I1214*M1214+I1215*M1215+I1216*M1216</f>
        <v>1</v>
      </c>
    </row>
    <row r="1215" spans="1:14" s="102" customFormat="1">
      <c r="A1215" s="172" t="str">
        <f>A1214</f>
        <v>PBAT</v>
      </c>
      <c r="B1215" s="149" t="str">
        <f>B1214</f>
        <v>film</v>
      </c>
      <c r="C1215" s="149">
        <f t="shared" si="1259"/>
        <v>2</v>
      </c>
      <c r="D1215" s="149" t="str">
        <f t="shared" ref="D1215:F1216" si="1262">D1214</f>
        <v>0,1-1</v>
      </c>
      <c r="E1215" s="149">
        <f t="shared" si="1262"/>
        <v>1</v>
      </c>
      <c r="F1215" s="149" t="str">
        <f t="shared" si="1262"/>
        <v>water</v>
      </c>
      <c r="G1215" s="146" t="str">
        <f t="shared" si="1250"/>
        <v>PBAT film 0,1-1 mm (emission to water)</v>
      </c>
      <c r="H1215" s="146"/>
      <c r="I1215" s="129">
        <v>0</v>
      </c>
      <c r="J1215" s="225" t="s">
        <v>1097</v>
      </c>
      <c r="K1215" s="114">
        <f>K56</f>
        <v>0</v>
      </c>
      <c r="L1215" s="226">
        <f t="shared" si="1258"/>
        <v>1000</v>
      </c>
      <c r="M1215" s="295">
        <f t="shared" si="1261"/>
        <v>1</v>
      </c>
      <c r="N1215" s="615"/>
    </row>
    <row r="1216" spans="1:14" s="102" customFormat="1">
      <c r="A1216" s="172" t="str">
        <f>A1215</f>
        <v>PBAT</v>
      </c>
      <c r="B1216" s="149" t="str">
        <f>B1215</f>
        <v>film</v>
      </c>
      <c r="C1216" s="149">
        <f t="shared" si="1259"/>
        <v>2</v>
      </c>
      <c r="D1216" s="149" t="str">
        <f t="shared" si="1262"/>
        <v>0,1-1</v>
      </c>
      <c r="E1216" s="149">
        <f t="shared" si="1262"/>
        <v>1</v>
      </c>
      <c r="F1216" s="149" t="str">
        <f t="shared" si="1262"/>
        <v>water</v>
      </c>
      <c r="G1216" s="146" t="str">
        <f t="shared" ref="G1216" si="1263">CONCATENATE(A1216," ",B1216," ",D1216," mm (emission to ",F1216,")")</f>
        <v>PBAT film 0,1-1 mm (emission to water)</v>
      </c>
      <c r="H1216" s="146"/>
      <c r="I1216" s="129">
        <v>1</v>
      </c>
      <c r="J1216" s="225" t="s">
        <v>1096</v>
      </c>
      <c r="K1216" s="114">
        <f>K57</f>
        <v>0</v>
      </c>
      <c r="L1216" s="226">
        <f t="shared" ref="L1216" si="1264">IFERROR(IF(K1216="--",0,IF(E1216*1000/K1216*(1-0.5)^(C1216/2)&gt;1000,1000,E1216*1000/K1216*(1-0.5)^(C1216/2))),1000)</f>
        <v>1000</v>
      </c>
      <c r="M1216" s="295">
        <f t="shared" si="1261"/>
        <v>1</v>
      </c>
      <c r="N1216" s="615"/>
    </row>
    <row r="1217" spans="1:14" s="102" customFormat="1">
      <c r="A1217" s="173" t="str">
        <f>A1215</f>
        <v>PBAT</v>
      </c>
      <c r="B1217" s="150" t="str">
        <f>B1215</f>
        <v>film</v>
      </c>
      <c r="C1217" s="150">
        <f t="shared" si="1259"/>
        <v>2</v>
      </c>
      <c r="D1217" s="150" t="str">
        <f>D1215</f>
        <v>0,1-1</v>
      </c>
      <c r="E1217" s="150">
        <f>E1215</f>
        <v>1</v>
      </c>
      <c r="F1217" s="150" t="str">
        <f>F1215</f>
        <v>water</v>
      </c>
      <c r="G1217" s="147" t="str">
        <f t="shared" si="1250"/>
        <v>PBAT film 0,1-1 mm (emission to water)</v>
      </c>
      <c r="H1217" s="147"/>
      <c r="I1217" s="129">
        <v>0</v>
      </c>
      <c r="J1217" s="225" t="s">
        <v>1034</v>
      </c>
      <c r="K1217" s="151" t="s">
        <v>596</v>
      </c>
      <c r="L1217" s="226">
        <f t="shared" si="1258"/>
        <v>0</v>
      </c>
      <c r="M1217" s="295">
        <f t="shared" si="1261"/>
        <v>0</v>
      </c>
      <c r="N1217" s="616"/>
    </row>
    <row r="1218" spans="1:14" s="191" customFormat="1">
      <c r="A1218" s="174" t="s">
        <v>177</v>
      </c>
      <c r="B1218" s="288" t="s">
        <v>996</v>
      </c>
      <c r="C1218" s="290">
        <f>IF(OR(B1218="Folie", B1218="Strips", B1218="Film",B1218="Flakes",B1218="Coupon"), 2,IF(OR(B1218="Fibers",B1218="Pellets"),4,IF(OR(B1218="Particles",B1218="Shreds",B1218="Powder",B1218="Fragments",B1218="Granules"),6,"")))</f>
        <v>2</v>
      </c>
      <c r="D1218" s="290" t="s">
        <v>1028</v>
      </c>
      <c r="E1218" s="155">
        <v>1</v>
      </c>
      <c r="F1218" s="131" t="s">
        <v>1057</v>
      </c>
      <c r="G1218" s="134" t="str">
        <f t="shared" ref="G1218:G1220" si="1265">CONCATENATE(A1218," ",B1218," ",D1218," mm (emission to ",F1218,")")</f>
        <v>PBAT film 0,1-1 mm (emission to air)</v>
      </c>
      <c r="H1218" s="144"/>
      <c r="I1218" s="137">
        <v>0.97699999999999998</v>
      </c>
      <c r="J1218" s="101" t="s">
        <v>1019</v>
      </c>
      <c r="K1218" s="114">
        <f>K61</f>
        <v>78.694724300850595</v>
      </c>
      <c r="L1218" s="226">
        <f t="shared" ref="L1218:L1220" si="1266">IFERROR(IF(K1218="--",0,IF(E1218*1000/K1218*(1-0.5)^(C1218/2)&gt;1000,1000,E1218*1000/K1218*(1-0.5)^(C1218/2))),1000)</f>
        <v>6.3536660740877089</v>
      </c>
      <c r="M1218" s="158">
        <f>IF(L1218/1000&gt;1000,1000,L1218/1000)</f>
        <v>6.3536660740877091E-3</v>
      </c>
      <c r="N1218" s="610">
        <f>I1218*M1218+I1219*M1219</f>
        <v>2.9207531754383689E-2</v>
      </c>
    </row>
    <row r="1219" spans="1:14" s="191" customFormat="1">
      <c r="A1219" s="172" t="str">
        <f>A1218</f>
        <v>PBAT</v>
      </c>
      <c r="B1219" s="149" t="str">
        <f>B1218</f>
        <v>film</v>
      </c>
      <c r="C1219" s="149">
        <f t="shared" ref="C1219:C1220" si="1267">IF(OR(B1219="Folie", B1219="Strips", B1219="Film",B1219="Flakes",B1219="Coupon"), 2,IF(OR(B1219="Fibers",B1219="Pellets"),4,IF(OR(B1219="Particles",B1219="Shreds",B1219="Powder",B1219="Fragments",B1219="Granules"),6,"")))</f>
        <v>2</v>
      </c>
      <c r="D1219" s="149" t="str">
        <f t="shared" ref="D1219:F1219" si="1268">D1218</f>
        <v>0,1-1</v>
      </c>
      <c r="E1219" s="149">
        <f t="shared" si="1268"/>
        <v>1</v>
      </c>
      <c r="F1219" s="149" t="str">
        <f t="shared" si="1268"/>
        <v>air</v>
      </c>
      <c r="G1219" s="146" t="str">
        <f t="shared" si="1265"/>
        <v>PBAT film 0,1-1 mm (emission to air)</v>
      </c>
      <c r="H1219" s="146"/>
      <c r="I1219" s="129">
        <v>2.3E-2</v>
      </c>
      <c r="J1219" s="101" t="s">
        <v>1097</v>
      </c>
      <c r="K1219" s="114">
        <f>K62</f>
        <v>0</v>
      </c>
      <c r="L1219" s="226">
        <f t="shared" si="1266"/>
        <v>1000</v>
      </c>
      <c r="M1219" s="158">
        <f>IF(L1219/1000&gt;1000,1000,L1219/1000)</f>
        <v>1</v>
      </c>
      <c r="N1219" s="610"/>
    </row>
    <row r="1220" spans="1:14" s="191" customFormat="1">
      <c r="A1220" s="173" t="str">
        <f>A1219</f>
        <v>PBAT</v>
      </c>
      <c r="B1220" s="150" t="str">
        <f>B1219</f>
        <v>film</v>
      </c>
      <c r="C1220" s="150">
        <f t="shared" si="1267"/>
        <v>2</v>
      </c>
      <c r="D1220" s="150" t="str">
        <f t="shared" ref="D1220:F1220" si="1269">D1219</f>
        <v>0,1-1</v>
      </c>
      <c r="E1220" s="150">
        <f t="shared" si="1269"/>
        <v>1</v>
      </c>
      <c r="F1220" s="150" t="str">
        <f t="shared" si="1269"/>
        <v>air</v>
      </c>
      <c r="G1220" s="147" t="str">
        <f t="shared" si="1265"/>
        <v>PBAT film 0,1-1 mm (emission to air)</v>
      </c>
      <c r="H1220" s="147"/>
      <c r="I1220" s="129">
        <v>0</v>
      </c>
      <c r="J1220" s="101" t="s">
        <v>1034</v>
      </c>
      <c r="K1220" s="151" t="s">
        <v>596</v>
      </c>
      <c r="L1220" s="226">
        <f t="shared" si="1266"/>
        <v>0</v>
      </c>
      <c r="M1220" s="158">
        <f t="shared" ref="M1220" si="1270">IF(L1220/1000&gt;1000,1000,L1220/1000)</f>
        <v>0</v>
      </c>
      <c r="N1220" s="610"/>
    </row>
    <row r="1221" spans="1:14" s="102" customFormat="1">
      <c r="A1221" s="174" t="s">
        <v>177</v>
      </c>
      <c r="B1221" s="159" t="s">
        <v>996</v>
      </c>
      <c r="C1221" s="188">
        <f t="shared" si="1259"/>
        <v>2</v>
      </c>
      <c r="D1221" s="188" t="s">
        <v>1026</v>
      </c>
      <c r="E1221" s="155">
        <v>10</v>
      </c>
      <c r="F1221" s="131" t="s">
        <v>1019</v>
      </c>
      <c r="G1221" s="134" t="str">
        <f t="shared" ref="G1221:G1274" si="1271">CONCATENATE(A1221," ",B1221," ",D1221," mm (emission to ",F1221,")")</f>
        <v>PBAT film 1-10 mm (emission to soil)</v>
      </c>
      <c r="H1221" s="134"/>
      <c r="I1221" s="129">
        <v>1</v>
      </c>
      <c r="J1221" s="101" t="s">
        <v>1019</v>
      </c>
      <c r="K1221" s="114">
        <f>K55</f>
        <v>8.4823936170212768</v>
      </c>
      <c r="L1221" s="226">
        <f t="shared" ref="L1221:L1227" si="1272">IFERROR(IF(K1221="--",0,IF(E1221*1000/K1221*(1-0.5)^(C1221/2)&gt;1000,1000,E1221*1000/K1221*(1-0.5)^(C1221/2))),1000)</f>
        <v>589.4562579560918</v>
      </c>
      <c r="M1221" s="158">
        <f>IF(L1221/1000&gt;1000,1000,L1221/1000)</f>
        <v>0.5894562579560918</v>
      </c>
      <c r="N1221" s="610">
        <f>I1221*M1221+I1222*M1222</f>
        <v>0.5894562579560918</v>
      </c>
    </row>
    <row r="1222" spans="1:14" s="102" customFormat="1">
      <c r="A1222" s="172" t="str">
        <f>A1221</f>
        <v>PBAT</v>
      </c>
      <c r="B1222" s="149" t="str">
        <f>B1221</f>
        <v>film</v>
      </c>
      <c r="C1222" s="149">
        <f t="shared" si="1259"/>
        <v>2</v>
      </c>
      <c r="D1222" s="149" t="str">
        <f t="shared" ref="D1222:F1223" si="1273">D1221</f>
        <v>1-10</v>
      </c>
      <c r="E1222" s="149">
        <f t="shared" si="1273"/>
        <v>10</v>
      </c>
      <c r="F1222" s="149" t="str">
        <f t="shared" si="1273"/>
        <v>soil</v>
      </c>
      <c r="G1222" s="146" t="str">
        <f t="shared" si="1271"/>
        <v>PBAT film 1-10 mm (emission to soil)</v>
      </c>
      <c r="H1222" s="146"/>
      <c r="I1222" s="129">
        <v>0</v>
      </c>
      <c r="J1222" s="101" t="s">
        <v>1097</v>
      </c>
      <c r="K1222" s="114">
        <f>K56</f>
        <v>0</v>
      </c>
      <c r="L1222" s="226">
        <f t="shared" si="1272"/>
        <v>1000</v>
      </c>
      <c r="M1222" s="158">
        <f>IF(L1222/1000&gt;1000,1000,L1222/1000)</f>
        <v>1</v>
      </c>
      <c r="N1222" s="610"/>
    </row>
    <row r="1223" spans="1:14" s="102" customFormat="1">
      <c r="A1223" s="173" t="str">
        <f>A1222</f>
        <v>PBAT</v>
      </c>
      <c r="B1223" s="150" t="str">
        <f>B1222</f>
        <v>film</v>
      </c>
      <c r="C1223" s="150">
        <f t="shared" si="1259"/>
        <v>2</v>
      </c>
      <c r="D1223" s="150" t="str">
        <f t="shared" si="1273"/>
        <v>1-10</v>
      </c>
      <c r="E1223" s="150">
        <f t="shared" si="1273"/>
        <v>10</v>
      </c>
      <c r="F1223" s="150" t="str">
        <f t="shared" si="1273"/>
        <v>soil</v>
      </c>
      <c r="G1223" s="147" t="str">
        <f t="shared" si="1271"/>
        <v>PBAT film 1-10 mm (emission to soil)</v>
      </c>
      <c r="H1223" s="147"/>
      <c r="I1223" s="129">
        <v>0</v>
      </c>
      <c r="J1223" s="101" t="s">
        <v>1034</v>
      </c>
      <c r="K1223" s="114" t="s">
        <v>596</v>
      </c>
      <c r="L1223" s="226">
        <f t="shared" si="1272"/>
        <v>0</v>
      </c>
      <c r="M1223" s="158">
        <f t="shared" ref="M1223:M1227" si="1274">IF(L1223/1000&gt;1000,1000,L1223/1000)</f>
        <v>0</v>
      </c>
      <c r="N1223" s="610"/>
    </row>
    <row r="1224" spans="1:14" s="102" customFormat="1">
      <c r="A1224" s="174" t="s">
        <v>177</v>
      </c>
      <c r="B1224" s="159" t="s">
        <v>996</v>
      </c>
      <c r="C1224" s="290">
        <f t="shared" si="1259"/>
        <v>2</v>
      </c>
      <c r="D1224" s="290" t="s">
        <v>1026</v>
      </c>
      <c r="E1224" s="288">
        <v>10</v>
      </c>
      <c r="F1224" s="206" t="s">
        <v>1020</v>
      </c>
      <c r="G1224" s="144" t="str">
        <f t="shared" si="1271"/>
        <v>PBAT film 1-10 mm (emission to water)</v>
      </c>
      <c r="H1224" s="144"/>
      <c r="I1224" s="129">
        <v>0</v>
      </c>
      <c r="J1224" s="225" t="s">
        <v>1019</v>
      </c>
      <c r="K1224" s="114">
        <f>K55</f>
        <v>8.4823936170212768</v>
      </c>
      <c r="L1224" s="226">
        <f t="shared" si="1272"/>
        <v>589.4562579560918</v>
      </c>
      <c r="M1224" s="295">
        <f t="shared" si="1274"/>
        <v>0.5894562579560918</v>
      </c>
      <c r="N1224" s="614">
        <f>I1224*M1224+I1225*M1225+I1226*M1226</f>
        <v>1</v>
      </c>
    </row>
    <row r="1225" spans="1:14" s="102" customFormat="1">
      <c r="A1225" s="172" t="str">
        <f>A1224</f>
        <v>PBAT</v>
      </c>
      <c r="B1225" s="149" t="str">
        <f>B1224</f>
        <v>film</v>
      </c>
      <c r="C1225" s="149">
        <f t="shared" si="1259"/>
        <v>2</v>
      </c>
      <c r="D1225" s="149" t="str">
        <f t="shared" ref="D1225:F1226" si="1275">D1224</f>
        <v>1-10</v>
      </c>
      <c r="E1225" s="149">
        <f t="shared" si="1275"/>
        <v>10</v>
      </c>
      <c r="F1225" s="149" t="str">
        <f t="shared" si="1275"/>
        <v>water</v>
      </c>
      <c r="G1225" s="146" t="str">
        <f t="shared" si="1271"/>
        <v>PBAT film 1-10 mm (emission to water)</v>
      </c>
      <c r="H1225" s="146"/>
      <c r="I1225" s="129">
        <v>0</v>
      </c>
      <c r="J1225" s="225" t="s">
        <v>1097</v>
      </c>
      <c r="K1225" s="114">
        <f>K56</f>
        <v>0</v>
      </c>
      <c r="L1225" s="226">
        <f t="shared" si="1272"/>
        <v>1000</v>
      </c>
      <c r="M1225" s="295">
        <f t="shared" si="1274"/>
        <v>1</v>
      </c>
      <c r="N1225" s="615"/>
    </row>
    <row r="1226" spans="1:14" s="102" customFormat="1">
      <c r="A1226" s="172" t="str">
        <f>A1225</f>
        <v>PBAT</v>
      </c>
      <c r="B1226" s="149" t="str">
        <f>B1225</f>
        <v>film</v>
      </c>
      <c r="C1226" s="149">
        <f t="shared" ref="C1226" si="1276">IF(OR(B1226="Folie", B1226="Strips", B1226="Film",B1226="Flakes",B1226="Coupon"), 2,IF(OR(B1226="Fibers",B1226="Pellets"),4,IF(OR(B1226="Particles",B1226="Shreds",B1226="Powder",B1226="Fragments",B1226="Granules"),6,"")))</f>
        <v>2</v>
      </c>
      <c r="D1226" s="149" t="str">
        <f t="shared" si="1275"/>
        <v>1-10</v>
      </c>
      <c r="E1226" s="149">
        <f t="shared" si="1275"/>
        <v>10</v>
      </c>
      <c r="F1226" s="149" t="str">
        <f t="shared" si="1275"/>
        <v>water</v>
      </c>
      <c r="G1226" s="146" t="str">
        <f t="shared" si="1271"/>
        <v>PBAT film 1-10 mm (emission to water)</v>
      </c>
      <c r="H1226" s="146"/>
      <c r="I1226" s="129">
        <v>1</v>
      </c>
      <c r="J1226" s="225" t="s">
        <v>1096</v>
      </c>
      <c r="K1226" s="114">
        <f>K57</f>
        <v>0</v>
      </c>
      <c r="L1226" s="226">
        <f t="shared" ref="L1226" si="1277">IFERROR(IF(K1226="--",0,IF(E1226*1000/K1226*(1-0.5)^(C1226/2)&gt;1000,1000,E1226*1000/K1226*(1-0.5)^(C1226/2))),1000)</f>
        <v>1000</v>
      </c>
      <c r="M1226" s="295">
        <f t="shared" si="1274"/>
        <v>1</v>
      </c>
      <c r="N1226" s="615"/>
    </row>
    <row r="1227" spans="1:14" s="102" customFormat="1">
      <c r="A1227" s="173" t="str">
        <f>A1225</f>
        <v>PBAT</v>
      </c>
      <c r="B1227" s="150" t="str">
        <f>B1225</f>
        <v>film</v>
      </c>
      <c r="C1227" s="150">
        <f t="shared" si="1259"/>
        <v>2</v>
      </c>
      <c r="D1227" s="150" t="str">
        <f>D1225</f>
        <v>1-10</v>
      </c>
      <c r="E1227" s="150">
        <f>E1225</f>
        <v>10</v>
      </c>
      <c r="F1227" s="150" t="str">
        <f>F1225</f>
        <v>water</v>
      </c>
      <c r="G1227" s="147" t="str">
        <f t="shared" si="1271"/>
        <v>PBAT film 1-10 mm (emission to water)</v>
      </c>
      <c r="H1227" s="147"/>
      <c r="I1227" s="129">
        <v>0</v>
      </c>
      <c r="J1227" s="225" t="s">
        <v>1034</v>
      </c>
      <c r="K1227" s="114" t="s">
        <v>596</v>
      </c>
      <c r="L1227" s="226">
        <f t="shared" si="1272"/>
        <v>0</v>
      </c>
      <c r="M1227" s="295">
        <f t="shared" si="1274"/>
        <v>0</v>
      </c>
      <c r="N1227" s="616"/>
    </row>
    <row r="1228" spans="1:14" s="191" customFormat="1">
      <c r="A1228" s="174" t="s">
        <v>177</v>
      </c>
      <c r="B1228" s="159" t="s">
        <v>996</v>
      </c>
      <c r="C1228" s="290">
        <f t="shared" ref="C1228:C1230" si="1278">IF(OR(B1228="Folie", B1228="Strips", B1228="Film",B1228="Flakes",B1228="Coupon"), 2,IF(OR(B1228="Fibers",B1228="Pellets"),4,IF(OR(B1228="Particles",B1228="Shreds",B1228="Powder",B1228="Fragments",B1228="Granules"),6,"")))</f>
        <v>2</v>
      </c>
      <c r="D1228" s="290" t="s">
        <v>1026</v>
      </c>
      <c r="E1228" s="155">
        <v>10</v>
      </c>
      <c r="F1228" s="131" t="s">
        <v>1057</v>
      </c>
      <c r="G1228" s="134" t="str">
        <f t="shared" ref="G1228:G1230" si="1279">CONCATENATE(A1228," ",B1228," ",D1228," mm (emission to ",F1228,")")</f>
        <v>PBAT film 1-10 mm (emission to air)</v>
      </c>
      <c r="H1228" s="134"/>
      <c r="I1228" s="137">
        <v>0.97699999999999998</v>
      </c>
      <c r="J1228" s="101" t="s">
        <v>1019</v>
      </c>
      <c r="K1228" s="114">
        <f>K55</f>
        <v>8.4823936170212768</v>
      </c>
      <c r="L1228" s="226">
        <f t="shared" ref="L1228:L1230" si="1280">IFERROR(IF(K1228="--",0,IF(E1228*1000/K1228*(1-0.5)^(C1228/2)&gt;1000,1000,E1228*1000/K1228*(1-0.5)^(C1228/2))),1000)</f>
        <v>589.4562579560918</v>
      </c>
      <c r="M1228" s="158">
        <f>IF(L1228/1000&gt;1000,1000,L1228/1000)</f>
        <v>0.5894562579560918</v>
      </c>
      <c r="N1228" s="610">
        <f>I1228*M1228+I1229*M1229</f>
        <v>0.59889876402310172</v>
      </c>
    </row>
    <row r="1229" spans="1:14" s="191" customFormat="1">
      <c r="A1229" s="172" t="str">
        <f>A1228</f>
        <v>PBAT</v>
      </c>
      <c r="B1229" s="149" t="str">
        <f>B1228</f>
        <v>film</v>
      </c>
      <c r="C1229" s="149">
        <f t="shared" si="1278"/>
        <v>2</v>
      </c>
      <c r="D1229" s="149" t="str">
        <f t="shared" ref="D1229:F1229" si="1281">D1228</f>
        <v>1-10</v>
      </c>
      <c r="E1229" s="149">
        <f t="shared" si="1281"/>
        <v>10</v>
      </c>
      <c r="F1229" s="149" t="str">
        <f t="shared" si="1281"/>
        <v>air</v>
      </c>
      <c r="G1229" s="146" t="str">
        <f t="shared" si="1279"/>
        <v>PBAT film 1-10 mm (emission to air)</v>
      </c>
      <c r="H1229" s="146"/>
      <c r="I1229" s="129">
        <v>2.3E-2</v>
      </c>
      <c r="J1229" s="101" t="s">
        <v>1097</v>
      </c>
      <c r="K1229" s="114">
        <f>K56</f>
        <v>0</v>
      </c>
      <c r="L1229" s="226">
        <f t="shared" si="1280"/>
        <v>1000</v>
      </c>
      <c r="M1229" s="158">
        <f>IF(L1229/1000&gt;1000,1000,L1229/1000)</f>
        <v>1</v>
      </c>
      <c r="N1229" s="610"/>
    </row>
    <row r="1230" spans="1:14" s="191" customFormat="1">
      <c r="A1230" s="173" t="str">
        <f>A1229</f>
        <v>PBAT</v>
      </c>
      <c r="B1230" s="150" t="str">
        <f>B1229</f>
        <v>film</v>
      </c>
      <c r="C1230" s="150">
        <f t="shared" si="1278"/>
        <v>2</v>
      </c>
      <c r="D1230" s="150" t="str">
        <f t="shared" ref="D1230:F1230" si="1282">D1229</f>
        <v>1-10</v>
      </c>
      <c r="E1230" s="150">
        <f t="shared" si="1282"/>
        <v>10</v>
      </c>
      <c r="F1230" s="150" t="str">
        <f t="shared" si="1282"/>
        <v>air</v>
      </c>
      <c r="G1230" s="147" t="str">
        <f t="shared" si="1279"/>
        <v>PBAT film 1-10 mm (emission to air)</v>
      </c>
      <c r="H1230" s="147"/>
      <c r="I1230" s="129">
        <v>0</v>
      </c>
      <c r="J1230" s="101" t="s">
        <v>1034</v>
      </c>
      <c r="K1230" s="114" t="s">
        <v>596</v>
      </c>
      <c r="L1230" s="226">
        <f t="shared" si="1280"/>
        <v>0</v>
      </c>
      <c r="M1230" s="158">
        <f t="shared" ref="M1230" si="1283">IF(L1230/1000&gt;1000,1000,L1230/1000)</f>
        <v>0</v>
      </c>
      <c r="N1230" s="610"/>
    </row>
    <row r="1231" spans="1:14" s="102" customFormat="1">
      <c r="A1231" s="174" t="s">
        <v>177</v>
      </c>
      <c r="B1231" s="159" t="s">
        <v>1051</v>
      </c>
      <c r="C1231" s="188">
        <f t="shared" si="1259"/>
        <v>4</v>
      </c>
      <c r="D1231" s="188" t="s">
        <v>1028</v>
      </c>
      <c r="E1231" s="155">
        <v>1</v>
      </c>
      <c r="F1231" s="131" t="s">
        <v>1019</v>
      </c>
      <c r="G1231" s="134" t="str">
        <f t="shared" si="1271"/>
        <v>PBAT fibers 0,1-1 mm (emission to soil)</v>
      </c>
      <c r="H1231" s="193"/>
      <c r="I1231" s="129">
        <v>1</v>
      </c>
      <c r="J1231" s="101" t="s">
        <v>1019</v>
      </c>
      <c r="K1231" s="114">
        <f>K55</f>
        <v>8.4823936170212768</v>
      </c>
      <c r="L1231" s="226">
        <f t="shared" ref="L1231:L1237" si="1284">IFERROR(IF(K1231="--",0,IF(E1231*1000/K1231*(1-0.5)^(C1231/2)&gt;1000,1000,E1231*1000/K1231*(1-0.5)^(C1231/2))),1000)</f>
        <v>29.472812897804587</v>
      </c>
      <c r="M1231" s="158">
        <f>IF(L1231/1000&gt;1000,1000,L1231/1000)</f>
        <v>2.9472812897804589E-2</v>
      </c>
      <c r="N1231" s="610">
        <f>I1231*M1231+I1232*M1232</f>
        <v>2.9472812897804589E-2</v>
      </c>
    </row>
    <row r="1232" spans="1:14" s="102" customFormat="1">
      <c r="A1232" s="172" t="str">
        <f>A1231</f>
        <v>PBAT</v>
      </c>
      <c r="B1232" s="149" t="str">
        <f>B1231</f>
        <v>fibers</v>
      </c>
      <c r="C1232" s="149">
        <f t="shared" si="1259"/>
        <v>4</v>
      </c>
      <c r="D1232" s="149" t="str">
        <f t="shared" ref="D1232:F1233" si="1285">D1231</f>
        <v>0,1-1</v>
      </c>
      <c r="E1232" s="149">
        <f t="shared" si="1285"/>
        <v>1</v>
      </c>
      <c r="F1232" s="149" t="str">
        <f t="shared" si="1285"/>
        <v>soil</v>
      </c>
      <c r="G1232" s="146" t="str">
        <f t="shared" si="1271"/>
        <v>PBAT fibers 0,1-1 mm (emission to soil)</v>
      </c>
      <c r="H1232" s="146"/>
      <c r="I1232" s="129">
        <v>0</v>
      </c>
      <c r="J1232" s="101" t="s">
        <v>1097</v>
      </c>
      <c r="K1232" s="114">
        <f>K56</f>
        <v>0</v>
      </c>
      <c r="L1232" s="226">
        <f t="shared" si="1284"/>
        <v>1000</v>
      </c>
      <c r="M1232" s="158">
        <f>IF(L1232/1000&gt;1000,1000,L1232/1000)</f>
        <v>1</v>
      </c>
      <c r="N1232" s="610"/>
    </row>
    <row r="1233" spans="1:14" s="102" customFormat="1">
      <c r="A1233" s="173" t="str">
        <f>A1232</f>
        <v>PBAT</v>
      </c>
      <c r="B1233" s="150" t="str">
        <f>B1232</f>
        <v>fibers</v>
      </c>
      <c r="C1233" s="150">
        <f t="shared" si="1259"/>
        <v>4</v>
      </c>
      <c r="D1233" s="150" t="str">
        <f t="shared" si="1285"/>
        <v>0,1-1</v>
      </c>
      <c r="E1233" s="150">
        <f t="shared" si="1285"/>
        <v>1</v>
      </c>
      <c r="F1233" s="150" t="str">
        <f t="shared" si="1285"/>
        <v>soil</v>
      </c>
      <c r="G1233" s="147" t="str">
        <f t="shared" si="1271"/>
        <v>PBAT fibers 0,1-1 mm (emission to soil)</v>
      </c>
      <c r="H1233" s="146"/>
      <c r="I1233" s="129">
        <v>0</v>
      </c>
      <c r="J1233" s="101" t="s">
        <v>1034</v>
      </c>
      <c r="K1233" s="151" t="s">
        <v>596</v>
      </c>
      <c r="L1233" s="226">
        <f t="shared" si="1284"/>
        <v>0</v>
      </c>
      <c r="M1233" s="158">
        <f t="shared" ref="M1233:M1237" si="1286">IF(L1233/1000&gt;1000,1000,L1233/1000)</f>
        <v>0</v>
      </c>
      <c r="N1233" s="610"/>
    </row>
    <row r="1234" spans="1:14" s="102" customFormat="1">
      <c r="A1234" s="174" t="s">
        <v>177</v>
      </c>
      <c r="B1234" s="159" t="s">
        <v>1051</v>
      </c>
      <c r="C1234" s="290">
        <f t="shared" si="1259"/>
        <v>4</v>
      </c>
      <c r="D1234" s="290" t="s">
        <v>1028</v>
      </c>
      <c r="E1234" s="290">
        <v>1</v>
      </c>
      <c r="F1234" s="206" t="s">
        <v>1020</v>
      </c>
      <c r="G1234" s="144" t="str">
        <f t="shared" si="1271"/>
        <v>PBAT fibers 0,1-1 mm (emission to water)</v>
      </c>
      <c r="H1234" s="192"/>
      <c r="I1234" s="129">
        <v>0</v>
      </c>
      <c r="J1234" s="225" t="s">
        <v>1019</v>
      </c>
      <c r="K1234" s="114">
        <f>K55</f>
        <v>8.4823936170212768</v>
      </c>
      <c r="L1234" s="226">
        <f t="shared" si="1284"/>
        <v>29.472812897804587</v>
      </c>
      <c r="M1234" s="295">
        <f t="shared" si="1286"/>
        <v>2.9472812897804589E-2</v>
      </c>
      <c r="N1234" s="614">
        <f>I1234*M1234+I1235*M1235+I1236*M1236</f>
        <v>1</v>
      </c>
    </row>
    <row r="1235" spans="1:14" s="102" customFormat="1">
      <c r="A1235" s="172" t="str">
        <f>A1234</f>
        <v>PBAT</v>
      </c>
      <c r="B1235" s="149" t="str">
        <f>B1234</f>
        <v>fibers</v>
      </c>
      <c r="C1235" s="149">
        <f t="shared" si="1259"/>
        <v>4</v>
      </c>
      <c r="D1235" s="149" t="str">
        <f t="shared" ref="D1235:F1236" si="1287">D1234</f>
        <v>0,1-1</v>
      </c>
      <c r="E1235" s="149">
        <f t="shared" si="1287"/>
        <v>1</v>
      </c>
      <c r="F1235" s="149" t="str">
        <f t="shared" si="1287"/>
        <v>water</v>
      </c>
      <c r="G1235" s="146" t="str">
        <f t="shared" si="1271"/>
        <v>PBAT fibers 0,1-1 mm (emission to water)</v>
      </c>
      <c r="H1235" s="146"/>
      <c r="I1235" s="129">
        <v>0</v>
      </c>
      <c r="J1235" s="225" t="s">
        <v>1097</v>
      </c>
      <c r="K1235" s="114">
        <f>K56</f>
        <v>0</v>
      </c>
      <c r="L1235" s="226">
        <f t="shared" si="1284"/>
        <v>1000</v>
      </c>
      <c r="M1235" s="295">
        <f t="shared" si="1286"/>
        <v>1</v>
      </c>
      <c r="N1235" s="615"/>
    </row>
    <row r="1236" spans="1:14" s="102" customFormat="1">
      <c r="A1236" s="172" t="str">
        <f>A1235</f>
        <v>PBAT</v>
      </c>
      <c r="B1236" s="149" t="str">
        <f>B1235</f>
        <v>fibers</v>
      </c>
      <c r="C1236" s="149">
        <f t="shared" si="1259"/>
        <v>4</v>
      </c>
      <c r="D1236" s="149" t="str">
        <f t="shared" si="1287"/>
        <v>0,1-1</v>
      </c>
      <c r="E1236" s="149">
        <f t="shared" si="1287"/>
        <v>1</v>
      </c>
      <c r="F1236" s="149" t="str">
        <f t="shared" si="1287"/>
        <v>water</v>
      </c>
      <c r="G1236" s="146" t="str">
        <f t="shared" ref="G1236" si="1288">CONCATENATE(A1236," ",B1236," ",D1236," mm (emission to ",F1236,")")</f>
        <v>PBAT fibers 0,1-1 mm (emission to water)</v>
      </c>
      <c r="H1236" s="146"/>
      <c r="I1236" s="129">
        <v>1</v>
      </c>
      <c r="J1236" s="225" t="s">
        <v>1096</v>
      </c>
      <c r="K1236" s="114">
        <f>K57</f>
        <v>0</v>
      </c>
      <c r="L1236" s="226">
        <f t="shared" ref="L1236" si="1289">IFERROR(IF(K1236="--",0,IF(E1236*1000/K1236*(1-0.5)^(C1236/2)&gt;1000,1000,E1236*1000/K1236*(1-0.5)^(C1236/2))),1000)</f>
        <v>1000</v>
      </c>
      <c r="M1236" s="295">
        <f t="shared" si="1286"/>
        <v>1</v>
      </c>
      <c r="N1236" s="615"/>
    </row>
    <row r="1237" spans="1:14" s="102" customFormat="1">
      <c r="A1237" s="173" t="str">
        <f>A1235</f>
        <v>PBAT</v>
      </c>
      <c r="B1237" s="150" t="str">
        <f>B1235</f>
        <v>fibers</v>
      </c>
      <c r="C1237" s="150">
        <f t="shared" si="1259"/>
        <v>4</v>
      </c>
      <c r="D1237" s="150" t="str">
        <f>D1235</f>
        <v>0,1-1</v>
      </c>
      <c r="E1237" s="150">
        <f>E1235</f>
        <v>1</v>
      </c>
      <c r="F1237" s="150" t="str">
        <f>F1235</f>
        <v>water</v>
      </c>
      <c r="G1237" s="147" t="str">
        <f t="shared" si="1271"/>
        <v>PBAT fibers 0,1-1 mm (emission to water)</v>
      </c>
      <c r="H1237" s="147"/>
      <c r="I1237" s="129">
        <v>0</v>
      </c>
      <c r="J1237" s="225" t="s">
        <v>1034</v>
      </c>
      <c r="K1237" s="114" t="s">
        <v>596</v>
      </c>
      <c r="L1237" s="226">
        <f t="shared" si="1284"/>
        <v>0</v>
      </c>
      <c r="M1237" s="295">
        <f t="shared" si="1286"/>
        <v>0</v>
      </c>
      <c r="N1237" s="616"/>
    </row>
    <row r="1238" spans="1:14" s="191" customFormat="1">
      <c r="A1238" s="174" t="s">
        <v>177</v>
      </c>
      <c r="B1238" s="159" t="s">
        <v>1051</v>
      </c>
      <c r="C1238" s="290">
        <f t="shared" ref="C1238:C1240" si="1290">IF(OR(B1238="Folie", B1238="Strips", B1238="Film",B1238="Flakes",B1238="Coupon"), 2,IF(OR(B1238="Fibers",B1238="Pellets"),4,IF(OR(B1238="Particles",B1238="Shreds",B1238="Powder",B1238="Fragments",B1238="Granules"),6,"")))</f>
        <v>4</v>
      </c>
      <c r="D1238" s="290" t="s">
        <v>1028</v>
      </c>
      <c r="E1238" s="155">
        <v>1</v>
      </c>
      <c r="F1238" s="131" t="s">
        <v>1057</v>
      </c>
      <c r="G1238" s="134" t="str">
        <f t="shared" ref="G1238:G1240" si="1291">CONCATENATE(A1238," ",B1238," ",D1238," mm (emission to ",F1238,")")</f>
        <v>PBAT fibers 0,1-1 mm (emission to air)</v>
      </c>
      <c r="H1238" s="193"/>
      <c r="I1238" s="137">
        <v>0.97699999999999998</v>
      </c>
      <c r="J1238" s="101" t="s">
        <v>1019</v>
      </c>
      <c r="K1238" s="114">
        <f>K55</f>
        <v>8.4823936170212768</v>
      </c>
      <c r="L1238" s="226">
        <f t="shared" ref="L1238:L1240" si="1292">IFERROR(IF(K1238="--",0,IF(E1238*1000/K1238*(1-0.5)^(C1238/2)&gt;1000,1000,E1238*1000/K1238*(1-0.5)^(C1238/2))),1000)</f>
        <v>29.472812897804587</v>
      </c>
      <c r="M1238" s="158">
        <f>IF(L1238/1000&gt;1000,1000,L1238/1000)</f>
        <v>2.9472812897804589E-2</v>
      </c>
      <c r="N1238" s="610">
        <f>I1238*M1238+I1239*M1239</f>
        <v>5.1794938201155077E-2</v>
      </c>
    </row>
    <row r="1239" spans="1:14" s="191" customFormat="1">
      <c r="A1239" s="172" t="str">
        <f>A1238</f>
        <v>PBAT</v>
      </c>
      <c r="B1239" s="149" t="str">
        <f>B1238</f>
        <v>fibers</v>
      </c>
      <c r="C1239" s="149">
        <f t="shared" si="1290"/>
        <v>4</v>
      </c>
      <c r="D1239" s="149" t="str">
        <f t="shared" ref="D1239:F1239" si="1293">D1238</f>
        <v>0,1-1</v>
      </c>
      <c r="E1239" s="149">
        <f t="shared" si="1293"/>
        <v>1</v>
      </c>
      <c r="F1239" s="149" t="str">
        <f t="shared" si="1293"/>
        <v>air</v>
      </c>
      <c r="G1239" s="146" t="str">
        <f t="shared" si="1291"/>
        <v>PBAT fibers 0,1-1 mm (emission to air)</v>
      </c>
      <c r="H1239" s="146"/>
      <c r="I1239" s="129">
        <v>2.3E-2</v>
      </c>
      <c r="J1239" s="101" t="s">
        <v>1097</v>
      </c>
      <c r="K1239" s="114">
        <f>K56</f>
        <v>0</v>
      </c>
      <c r="L1239" s="226">
        <f t="shared" si="1292"/>
        <v>1000</v>
      </c>
      <c r="M1239" s="158">
        <f>IF(L1239/1000&gt;1000,1000,L1239/1000)</f>
        <v>1</v>
      </c>
      <c r="N1239" s="610"/>
    </row>
    <row r="1240" spans="1:14" s="191" customFormat="1">
      <c r="A1240" s="173" t="str">
        <f>A1239</f>
        <v>PBAT</v>
      </c>
      <c r="B1240" s="150" t="str">
        <f>B1239</f>
        <v>fibers</v>
      </c>
      <c r="C1240" s="150">
        <f t="shared" si="1290"/>
        <v>4</v>
      </c>
      <c r="D1240" s="150" t="str">
        <f t="shared" ref="D1240:F1240" si="1294">D1239</f>
        <v>0,1-1</v>
      </c>
      <c r="E1240" s="150">
        <f t="shared" si="1294"/>
        <v>1</v>
      </c>
      <c r="F1240" s="150" t="str">
        <f t="shared" si="1294"/>
        <v>air</v>
      </c>
      <c r="G1240" s="147" t="str">
        <f t="shared" si="1291"/>
        <v>PBAT fibers 0,1-1 mm (emission to air)</v>
      </c>
      <c r="H1240" s="146"/>
      <c r="I1240" s="129">
        <v>0</v>
      </c>
      <c r="J1240" s="101" t="s">
        <v>1034</v>
      </c>
      <c r="K1240" s="151" t="s">
        <v>596</v>
      </c>
      <c r="L1240" s="226">
        <f t="shared" si="1292"/>
        <v>0</v>
      </c>
      <c r="M1240" s="158">
        <f t="shared" ref="M1240" si="1295">IF(L1240/1000&gt;1000,1000,L1240/1000)</f>
        <v>0</v>
      </c>
      <c r="N1240" s="610"/>
    </row>
    <row r="1241" spans="1:14" s="135" customFormat="1">
      <c r="A1241" s="174" t="s">
        <v>177</v>
      </c>
      <c r="B1241" s="185" t="s">
        <v>372</v>
      </c>
      <c r="C1241" s="140">
        <f t="shared" si="1259"/>
        <v>4</v>
      </c>
      <c r="D1241" s="153" t="s">
        <v>1026</v>
      </c>
      <c r="E1241" s="155">
        <v>10</v>
      </c>
      <c r="F1241" s="154" t="s">
        <v>1019</v>
      </c>
      <c r="G1241" s="134" t="str">
        <f t="shared" si="1271"/>
        <v>PBAT pellets 1-10 mm (emission to soil)</v>
      </c>
      <c r="H1241" s="148"/>
      <c r="I1241" s="129">
        <v>1</v>
      </c>
      <c r="J1241" s="101" t="s">
        <v>1019</v>
      </c>
      <c r="K1241" s="114">
        <f>K55</f>
        <v>8.4823936170212768</v>
      </c>
      <c r="L1241" s="226">
        <f t="shared" ref="L1241:L1247" si="1296">IFERROR(IF(K1241="--",0,IF(E1241*1000/K1241*(1-0.5)^(C1241/2)&gt;1000,1000,E1241*1000/K1241*(1-0.5)^(C1241/2))),1000)</f>
        <v>294.7281289780459</v>
      </c>
      <c r="M1241" s="158">
        <f>IF(L1241/1000&gt;1000,1000,L1241/1000)</f>
        <v>0.2947281289780459</v>
      </c>
      <c r="N1241" s="610">
        <f>I1241*M1241+I1242*M1242</f>
        <v>0.2947281289780459</v>
      </c>
    </row>
    <row r="1242" spans="1:14" s="102" customFormat="1">
      <c r="A1242" s="172" t="str">
        <f>A1241</f>
        <v>PBAT</v>
      </c>
      <c r="B1242" s="149" t="str">
        <f>B1241</f>
        <v>pellets</v>
      </c>
      <c r="C1242" s="149">
        <f t="shared" si="1259"/>
        <v>4</v>
      </c>
      <c r="D1242" s="149" t="str">
        <f t="shared" ref="D1242:F1243" si="1297">D1241</f>
        <v>1-10</v>
      </c>
      <c r="E1242" s="149">
        <f t="shared" si="1297"/>
        <v>10</v>
      </c>
      <c r="F1242" s="149" t="str">
        <f t="shared" si="1297"/>
        <v>soil</v>
      </c>
      <c r="G1242" s="146" t="str">
        <f t="shared" si="1271"/>
        <v>PBAT pellets 1-10 mm (emission to soil)</v>
      </c>
      <c r="H1242" s="146"/>
      <c r="I1242" s="129">
        <v>0</v>
      </c>
      <c r="J1242" s="101" t="s">
        <v>1097</v>
      </c>
      <c r="K1242" s="114">
        <f>K56</f>
        <v>0</v>
      </c>
      <c r="L1242" s="226">
        <f t="shared" si="1296"/>
        <v>1000</v>
      </c>
      <c r="M1242" s="158">
        <f>IF(L1242/1000&gt;1000,1000,L1242/1000)</f>
        <v>1</v>
      </c>
      <c r="N1242" s="610"/>
    </row>
    <row r="1243" spans="1:14" s="102" customFormat="1">
      <c r="A1243" s="173" t="str">
        <f>A1242</f>
        <v>PBAT</v>
      </c>
      <c r="B1243" s="150" t="str">
        <f>B1242</f>
        <v>pellets</v>
      </c>
      <c r="C1243" s="150">
        <f t="shared" si="1259"/>
        <v>4</v>
      </c>
      <c r="D1243" s="150" t="str">
        <f t="shared" si="1297"/>
        <v>1-10</v>
      </c>
      <c r="E1243" s="150">
        <f t="shared" si="1297"/>
        <v>10</v>
      </c>
      <c r="F1243" s="150" t="str">
        <f t="shared" si="1297"/>
        <v>soil</v>
      </c>
      <c r="G1243" s="147" t="str">
        <f t="shared" si="1271"/>
        <v>PBAT pellets 1-10 mm (emission to soil)</v>
      </c>
      <c r="H1243" s="147">
        <f>H1242</f>
        <v>0</v>
      </c>
      <c r="I1243" s="129">
        <v>0</v>
      </c>
      <c r="J1243" s="101" t="s">
        <v>1034</v>
      </c>
      <c r="K1243" s="114" t="s">
        <v>596</v>
      </c>
      <c r="L1243" s="226">
        <f t="shared" si="1296"/>
        <v>0</v>
      </c>
      <c r="M1243" s="158">
        <f t="shared" ref="M1243:M1247" si="1298">IF(L1243/1000&gt;1000,1000,L1243/1000)</f>
        <v>0</v>
      </c>
      <c r="N1243" s="610"/>
    </row>
    <row r="1244" spans="1:14" s="102" customFormat="1">
      <c r="A1244" s="174" t="s">
        <v>177</v>
      </c>
      <c r="B1244" s="155" t="s">
        <v>372</v>
      </c>
      <c r="C1244" s="290">
        <f t="shared" si="1259"/>
        <v>4</v>
      </c>
      <c r="D1244" s="153" t="s">
        <v>1026</v>
      </c>
      <c r="E1244" s="288">
        <v>10</v>
      </c>
      <c r="F1244" s="189" t="s">
        <v>1020</v>
      </c>
      <c r="G1244" s="144" t="str">
        <f t="shared" si="1271"/>
        <v>PBAT pellets 1-10 mm (emission to water)</v>
      </c>
      <c r="H1244" s="192"/>
      <c r="I1244" s="129">
        <v>0</v>
      </c>
      <c r="J1244" s="225" t="s">
        <v>1019</v>
      </c>
      <c r="K1244" s="114">
        <f>K55</f>
        <v>8.4823936170212768</v>
      </c>
      <c r="L1244" s="226">
        <f t="shared" si="1296"/>
        <v>294.7281289780459</v>
      </c>
      <c r="M1244" s="295">
        <f t="shared" si="1298"/>
        <v>0.2947281289780459</v>
      </c>
      <c r="N1244" s="614">
        <f>I1244*M1244+I1245*M1245+I1246*M1246</f>
        <v>1</v>
      </c>
    </row>
    <row r="1245" spans="1:14" s="102" customFormat="1">
      <c r="A1245" s="172" t="str">
        <f>A1244</f>
        <v>PBAT</v>
      </c>
      <c r="B1245" s="149" t="str">
        <f>B1244</f>
        <v>pellets</v>
      </c>
      <c r="C1245" s="149">
        <f t="shared" si="1259"/>
        <v>4</v>
      </c>
      <c r="D1245" s="149" t="str">
        <f t="shared" ref="D1245:F1246" si="1299">D1244</f>
        <v>1-10</v>
      </c>
      <c r="E1245" s="149">
        <f t="shared" si="1299"/>
        <v>10</v>
      </c>
      <c r="F1245" s="149" t="str">
        <f t="shared" si="1299"/>
        <v>water</v>
      </c>
      <c r="G1245" s="146" t="str">
        <f t="shared" si="1271"/>
        <v>PBAT pellets 1-10 mm (emission to water)</v>
      </c>
      <c r="H1245" s="146"/>
      <c r="I1245" s="129">
        <v>0</v>
      </c>
      <c r="J1245" s="225" t="s">
        <v>1097</v>
      </c>
      <c r="K1245" s="114">
        <f>K56</f>
        <v>0</v>
      </c>
      <c r="L1245" s="226">
        <f t="shared" si="1296"/>
        <v>1000</v>
      </c>
      <c r="M1245" s="295">
        <f t="shared" si="1298"/>
        <v>1</v>
      </c>
      <c r="N1245" s="615"/>
    </row>
    <row r="1246" spans="1:14" s="102" customFormat="1">
      <c r="A1246" s="172" t="str">
        <f>A1245</f>
        <v>PBAT</v>
      </c>
      <c r="B1246" s="149" t="str">
        <f>B1245</f>
        <v>pellets</v>
      </c>
      <c r="C1246" s="149">
        <f t="shared" ref="C1246" si="1300">IF(OR(B1246="Folie", B1246="Strips", B1246="Film",B1246="Flakes",B1246="Coupon"), 2,IF(OR(B1246="Fibers",B1246="Pellets"),4,IF(OR(B1246="Particles",B1246="Shreds",B1246="Powder",B1246="Fragments",B1246="Granules"),6,"")))</f>
        <v>4</v>
      </c>
      <c r="D1246" s="149" t="str">
        <f t="shared" si="1299"/>
        <v>1-10</v>
      </c>
      <c r="E1246" s="149">
        <f t="shared" si="1299"/>
        <v>10</v>
      </c>
      <c r="F1246" s="149" t="str">
        <f t="shared" si="1299"/>
        <v>water</v>
      </c>
      <c r="G1246" s="146" t="str">
        <f t="shared" si="1271"/>
        <v>PBAT pellets 1-10 mm (emission to water)</v>
      </c>
      <c r="H1246" s="146"/>
      <c r="I1246" s="129">
        <v>1</v>
      </c>
      <c r="J1246" s="225" t="s">
        <v>1096</v>
      </c>
      <c r="K1246" s="114">
        <f>K57</f>
        <v>0</v>
      </c>
      <c r="L1246" s="226">
        <f t="shared" ref="L1246" si="1301">IFERROR(IF(K1246="--",0,IF(E1246*1000/K1246*(1-0.5)^(C1246/2)&gt;1000,1000,E1246*1000/K1246*(1-0.5)^(C1246/2))),1000)</f>
        <v>1000</v>
      </c>
      <c r="M1246" s="295">
        <f t="shared" si="1298"/>
        <v>1</v>
      </c>
      <c r="N1246" s="615"/>
    </row>
    <row r="1247" spans="1:14" s="102" customFormat="1">
      <c r="A1247" s="173" t="str">
        <f>A1245</f>
        <v>PBAT</v>
      </c>
      <c r="B1247" s="150" t="str">
        <f>B1245</f>
        <v>pellets</v>
      </c>
      <c r="C1247" s="150">
        <f t="shared" si="1259"/>
        <v>4</v>
      </c>
      <c r="D1247" s="150" t="str">
        <f>D1245</f>
        <v>1-10</v>
      </c>
      <c r="E1247" s="150">
        <f>E1245</f>
        <v>10</v>
      </c>
      <c r="F1247" s="150" t="str">
        <f>F1245</f>
        <v>water</v>
      </c>
      <c r="G1247" s="147" t="str">
        <f t="shared" si="1271"/>
        <v>PBAT pellets 1-10 mm (emission to water)</v>
      </c>
      <c r="H1247" s="147"/>
      <c r="I1247" s="129">
        <v>0</v>
      </c>
      <c r="J1247" s="225" t="s">
        <v>1034</v>
      </c>
      <c r="K1247" s="114" t="s">
        <v>596</v>
      </c>
      <c r="L1247" s="226">
        <f t="shared" si="1296"/>
        <v>0</v>
      </c>
      <c r="M1247" s="295">
        <f t="shared" si="1298"/>
        <v>0</v>
      </c>
      <c r="N1247" s="616"/>
    </row>
    <row r="1248" spans="1:14" s="191" customFormat="1">
      <c r="A1248" s="174" t="s">
        <v>177</v>
      </c>
      <c r="B1248" s="287" t="s">
        <v>372</v>
      </c>
      <c r="C1248" s="140">
        <f t="shared" ref="C1248:C1250" si="1302">IF(OR(B1248="Folie", B1248="Strips", B1248="Film",B1248="Flakes",B1248="Coupon"), 2,IF(OR(B1248="Fibers",B1248="Pellets"),4,IF(OR(B1248="Particles",B1248="Shreds",B1248="Powder",B1248="Fragments",B1248="Granules"),6,"")))</f>
        <v>4</v>
      </c>
      <c r="D1248" s="153" t="s">
        <v>1026</v>
      </c>
      <c r="E1248" s="155">
        <v>10</v>
      </c>
      <c r="F1248" s="154" t="s">
        <v>1057</v>
      </c>
      <c r="G1248" s="134" t="str">
        <f t="shared" ref="G1248:G1250" si="1303">CONCATENATE(A1248," ",B1248," ",D1248," mm (emission to ",F1248,")")</f>
        <v>PBAT pellets 1-10 mm (emission to air)</v>
      </c>
      <c r="H1248" s="148"/>
      <c r="I1248" s="137">
        <v>0.97699999999999998</v>
      </c>
      <c r="J1248" s="101" t="s">
        <v>1019</v>
      </c>
      <c r="K1248" s="114">
        <f>K55</f>
        <v>8.4823936170212768</v>
      </c>
      <c r="L1248" s="226">
        <f t="shared" ref="L1248:L1250" si="1304">IFERROR(IF(K1248="--",0,IF(E1248*1000/K1248*(1-0.5)^(C1248/2)&gt;1000,1000,E1248*1000/K1248*(1-0.5)^(C1248/2))),1000)</f>
        <v>294.7281289780459</v>
      </c>
      <c r="M1248" s="158">
        <f>IF(L1248/1000&gt;1000,1000,L1248/1000)</f>
        <v>0.2947281289780459</v>
      </c>
      <c r="N1248" s="610">
        <f>I1248*M1248+I1249*M1249</f>
        <v>0.31094938201155087</v>
      </c>
    </row>
    <row r="1249" spans="1:14" s="191" customFormat="1">
      <c r="A1249" s="172" t="str">
        <f>A1248</f>
        <v>PBAT</v>
      </c>
      <c r="B1249" s="149" t="str">
        <f>B1248</f>
        <v>pellets</v>
      </c>
      <c r="C1249" s="149">
        <f t="shared" si="1302"/>
        <v>4</v>
      </c>
      <c r="D1249" s="149" t="str">
        <f t="shared" ref="D1249:F1249" si="1305">D1248</f>
        <v>1-10</v>
      </c>
      <c r="E1249" s="149">
        <f t="shared" si="1305"/>
        <v>10</v>
      </c>
      <c r="F1249" s="149" t="str">
        <f t="shared" si="1305"/>
        <v>air</v>
      </c>
      <c r="G1249" s="146" t="str">
        <f t="shared" si="1303"/>
        <v>PBAT pellets 1-10 mm (emission to air)</v>
      </c>
      <c r="H1249" s="146"/>
      <c r="I1249" s="129">
        <v>2.3E-2</v>
      </c>
      <c r="J1249" s="101" t="s">
        <v>1097</v>
      </c>
      <c r="K1249" s="114">
        <f>K56</f>
        <v>0</v>
      </c>
      <c r="L1249" s="226">
        <f t="shared" si="1304"/>
        <v>1000</v>
      </c>
      <c r="M1249" s="158">
        <f>IF(L1249/1000&gt;1000,1000,L1249/1000)</f>
        <v>1</v>
      </c>
      <c r="N1249" s="610"/>
    </row>
    <row r="1250" spans="1:14" s="191" customFormat="1">
      <c r="A1250" s="173" t="str">
        <f>A1249</f>
        <v>PBAT</v>
      </c>
      <c r="B1250" s="150" t="str">
        <f>B1249</f>
        <v>pellets</v>
      </c>
      <c r="C1250" s="150">
        <f t="shared" si="1302"/>
        <v>4</v>
      </c>
      <c r="D1250" s="150" t="str">
        <f t="shared" ref="D1250:F1250" si="1306">D1249</f>
        <v>1-10</v>
      </c>
      <c r="E1250" s="150">
        <f t="shared" si="1306"/>
        <v>10</v>
      </c>
      <c r="F1250" s="150" t="str">
        <f t="shared" si="1306"/>
        <v>air</v>
      </c>
      <c r="G1250" s="147" t="str">
        <f t="shared" si="1303"/>
        <v>PBAT pellets 1-10 mm (emission to air)</v>
      </c>
      <c r="H1250" s="147">
        <f>H1249</f>
        <v>0</v>
      </c>
      <c r="I1250" s="129">
        <v>0</v>
      </c>
      <c r="J1250" s="101" t="s">
        <v>1034</v>
      </c>
      <c r="K1250" s="114" t="s">
        <v>596</v>
      </c>
      <c r="L1250" s="226">
        <f t="shared" si="1304"/>
        <v>0</v>
      </c>
      <c r="M1250" s="158">
        <f t="shared" ref="M1250" si="1307">IF(L1250/1000&gt;1000,1000,L1250/1000)</f>
        <v>0</v>
      </c>
      <c r="N1250" s="610"/>
    </row>
    <row r="1251" spans="1:14" s="102" customFormat="1">
      <c r="A1251" s="174" t="s">
        <v>177</v>
      </c>
      <c r="B1251" s="186" t="s">
        <v>1025</v>
      </c>
      <c r="C1251" s="188">
        <f t="shared" si="1259"/>
        <v>6</v>
      </c>
      <c r="D1251" s="188" t="s">
        <v>1018</v>
      </c>
      <c r="E1251" s="155">
        <v>0.1</v>
      </c>
      <c r="F1251" s="131" t="s">
        <v>1019</v>
      </c>
      <c r="G1251" s="134" t="str">
        <f t="shared" si="1271"/>
        <v>PBAT particles 0,01-0,1 mm (emission to soil)</v>
      </c>
      <c r="H1251" s="133"/>
      <c r="I1251" s="129">
        <v>1</v>
      </c>
      <c r="J1251" s="101" t="s">
        <v>1019</v>
      </c>
      <c r="K1251" s="114">
        <f>K55</f>
        <v>8.4823936170212768</v>
      </c>
      <c r="L1251" s="226">
        <f t="shared" ref="L1251:L1257" si="1308">IFERROR(IF(K1251="--",0,IF(E1251*1000/K1251*(1-0.5)^(C1251/2)&gt;1000,1000,E1251*1000/K1251*(1-0.5)^(C1251/2))),1000)</f>
        <v>1.4736406448902295</v>
      </c>
      <c r="M1251" s="158">
        <f>IF(L1251/1000&gt;1000,1000,L1251/1000)</f>
        <v>1.4736406448902296E-3</v>
      </c>
      <c r="N1251" s="610">
        <f>I1251*M1251+I1252*M1252</f>
        <v>1.4736406448902296E-3</v>
      </c>
    </row>
    <row r="1252" spans="1:14" s="102" customFormat="1">
      <c r="A1252" s="172" t="str">
        <f>A1251</f>
        <v>PBAT</v>
      </c>
      <c r="B1252" s="149" t="str">
        <f>B1251</f>
        <v>particles</v>
      </c>
      <c r="C1252" s="149">
        <f t="shared" si="1259"/>
        <v>6</v>
      </c>
      <c r="D1252" s="149" t="str">
        <f t="shared" ref="D1252:F1253" si="1309">D1251</f>
        <v>0,01-0,1</v>
      </c>
      <c r="E1252" s="149">
        <f t="shared" si="1309"/>
        <v>0.1</v>
      </c>
      <c r="F1252" s="149" t="str">
        <f t="shared" si="1309"/>
        <v>soil</v>
      </c>
      <c r="G1252" s="146" t="str">
        <f t="shared" si="1271"/>
        <v>PBAT particles 0,01-0,1 mm (emission to soil)</v>
      </c>
      <c r="H1252" s="146"/>
      <c r="I1252" s="129">
        <v>0</v>
      </c>
      <c r="J1252" s="101" t="s">
        <v>1097</v>
      </c>
      <c r="K1252" s="114">
        <f>K56</f>
        <v>0</v>
      </c>
      <c r="L1252" s="226">
        <f t="shared" si="1308"/>
        <v>1000</v>
      </c>
      <c r="M1252" s="158">
        <f>IF(L1252/1000&gt;1000,1000,L1252/1000)</f>
        <v>1</v>
      </c>
      <c r="N1252" s="610"/>
    </row>
    <row r="1253" spans="1:14" s="102" customFormat="1">
      <c r="A1253" s="173" t="str">
        <f>A1252</f>
        <v>PBAT</v>
      </c>
      <c r="B1253" s="150" t="str">
        <f>B1252</f>
        <v>particles</v>
      </c>
      <c r="C1253" s="150">
        <f t="shared" si="1259"/>
        <v>6</v>
      </c>
      <c r="D1253" s="150" t="str">
        <f t="shared" si="1309"/>
        <v>0,01-0,1</v>
      </c>
      <c r="E1253" s="150">
        <f t="shared" si="1309"/>
        <v>0.1</v>
      </c>
      <c r="F1253" s="150" t="str">
        <f t="shared" si="1309"/>
        <v>soil</v>
      </c>
      <c r="G1253" s="147" t="str">
        <f t="shared" si="1271"/>
        <v>PBAT particles 0,01-0,1 mm (emission to soil)</v>
      </c>
      <c r="H1253" s="147"/>
      <c r="I1253" s="129">
        <v>0</v>
      </c>
      <c r="J1253" s="101" t="s">
        <v>1034</v>
      </c>
      <c r="K1253" s="114" t="s">
        <v>596</v>
      </c>
      <c r="L1253" s="226">
        <f t="shared" si="1308"/>
        <v>0</v>
      </c>
      <c r="M1253" s="158">
        <f t="shared" ref="M1253:M1257" si="1310">IF(L1253/1000&gt;1000,1000,L1253/1000)</f>
        <v>0</v>
      </c>
      <c r="N1253" s="610"/>
    </row>
    <row r="1254" spans="1:14" s="102" customFormat="1">
      <c r="A1254" s="174" t="s">
        <v>177</v>
      </c>
      <c r="B1254" s="288" t="s">
        <v>1025</v>
      </c>
      <c r="C1254" s="290">
        <f t="shared" si="1259"/>
        <v>6</v>
      </c>
      <c r="D1254" s="290" t="s">
        <v>1018</v>
      </c>
      <c r="E1254" s="155">
        <v>0.1</v>
      </c>
      <c r="F1254" s="206" t="s">
        <v>1020</v>
      </c>
      <c r="G1254" s="144" t="str">
        <f t="shared" si="1271"/>
        <v>PBAT particles 0,01-0,1 mm (emission to water)</v>
      </c>
      <c r="H1254" s="133"/>
      <c r="I1254" s="129">
        <v>0</v>
      </c>
      <c r="J1254" s="225" t="s">
        <v>1019</v>
      </c>
      <c r="K1254" s="114">
        <f>K55</f>
        <v>8.4823936170212768</v>
      </c>
      <c r="L1254" s="226">
        <f t="shared" si="1308"/>
        <v>1.4736406448902295</v>
      </c>
      <c r="M1254" s="295">
        <f t="shared" si="1310"/>
        <v>1.4736406448902296E-3</v>
      </c>
      <c r="N1254" s="614">
        <f>I1254*M1254+I1255*M1255+I1256*M1256</f>
        <v>1</v>
      </c>
    </row>
    <row r="1255" spans="1:14" s="102" customFormat="1">
      <c r="A1255" s="172" t="str">
        <f>A1254</f>
        <v>PBAT</v>
      </c>
      <c r="B1255" s="149" t="str">
        <f>B1254</f>
        <v>particles</v>
      </c>
      <c r="C1255" s="149">
        <f t="shared" si="1259"/>
        <v>6</v>
      </c>
      <c r="D1255" s="149" t="str">
        <f t="shared" ref="D1255:F1256" si="1311">D1254</f>
        <v>0,01-0,1</v>
      </c>
      <c r="E1255" s="149">
        <f t="shared" si="1311"/>
        <v>0.1</v>
      </c>
      <c r="F1255" s="149" t="str">
        <f t="shared" si="1311"/>
        <v>water</v>
      </c>
      <c r="G1255" s="146" t="str">
        <f t="shared" si="1271"/>
        <v>PBAT particles 0,01-0,1 mm (emission to water)</v>
      </c>
      <c r="H1255" s="146"/>
      <c r="I1255" s="129">
        <v>0</v>
      </c>
      <c r="J1255" s="225" t="s">
        <v>1097</v>
      </c>
      <c r="K1255" s="114">
        <f>K56</f>
        <v>0</v>
      </c>
      <c r="L1255" s="226">
        <f t="shared" si="1308"/>
        <v>1000</v>
      </c>
      <c r="M1255" s="295">
        <f t="shared" si="1310"/>
        <v>1</v>
      </c>
      <c r="N1255" s="615"/>
    </row>
    <row r="1256" spans="1:14" s="102" customFormat="1">
      <c r="A1256" s="172" t="str">
        <f>A1255</f>
        <v>PBAT</v>
      </c>
      <c r="B1256" s="149" t="str">
        <f>B1255</f>
        <v>particles</v>
      </c>
      <c r="C1256" s="149">
        <f t="shared" si="1259"/>
        <v>6</v>
      </c>
      <c r="D1256" s="149" t="str">
        <f t="shared" si="1311"/>
        <v>0,01-0,1</v>
      </c>
      <c r="E1256" s="149">
        <f t="shared" si="1311"/>
        <v>0.1</v>
      </c>
      <c r="F1256" s="149" t="str">
        <f t="shared" si="1311"/>
        <v>water</v>
      </c>
      <c r="G1256" s="146" t="str">
        <f t="shared" ref="G1256" si="1312">CONCATENATE(A1256," ",B1256," ",D1256," mm (emission to ",F1256,")")</f>
        <v>PBAT particles 0,01-0,1 mm (emission to water)</v>
      </c>
      <c r="H1256" s="146"/>
      <c r="I1256" s="129">
        <v>1</v>
      </c>
      <c r="J1256" s="225" t="s">
        <v>1096</v>
      </c>
      <c r="K1256" s="114">
        <f>K57</f>
        <v>0</v>
      </c>
      <c r="L1256" s="226">
        <f t="shared" ref="L1256" si="1313">IFERROR(IF(K1256="--",0,IF(E1256*1000/K1256*(1-0.5)^(C1256/2)&gt;1000,1000,E1256*1000/K1256*(1-0.5)^(C1256/2))),1000)</f>
        <v>1000</v>
      </c>
      <c r="M1256" s="295">
        <f t="shared" si="1310"/>
        <v>1</v>
      </c>
      <c r="N1256" s="615"/>
    </row>
    <row r="1257" spans="1:14" s="102" customFormat="1">
      <c r="A1257" s="173" t="str">
        <f>A1255</f>
        <v>PBAT</v>
      </c>
      <c r="B1257" s="150" t="str">
        <f>B1255</f>
        <v>particles</v>
      </c>
      <c r="C1257" s="150">
        <f t="shared" si="1259"/>
        <v>6</v>
      </c>
      <c r="D1257" s="150" t="str">
        <f>D1255</f>
        <v>0,01-0,1</v>
      </c>
      <c r="E1257" s="150">
        <f>E1255</f>
        <v>0.1</v>
      </c>
      <c r="F1257" s="150" t="str">
        <f>F1255</f>
        <v>water</v>
      </c>
      <c r="G1257" s="147" t="str">
        <f t="shared" si="1271"/>
        <v>PBAT particles 0,01-0,1 mm (emission to water)</v>
      </c>
      <c r="H1257" s="147"/>
      <c r="I1257" s="129">
        <v>0</v>
      </c>
      <c r="J1257" s="225" t="s">
        <v>1034</v>
      </c>
      <c r="K1257" s="114" t="s">
        <v>596</v>
      </c>
      <c r="L1257" s="226">
        <f t="shared" si="1308"/>
        <v>0</v>
      </c>
      <c r="M1257" s="295">
        <f t="shared" si="1310"/>
        <v>0</v>
      </c>
      <c r="N1257" s="616"/>
    </row>
    <row r="1258" spans="1:14" s="191" customFormat="1">
      <c r="A1258" s="174" t="s">
        <v>177</v>
      </c>
      <c r="B1258" s="288" t="s">
        <v>1025</v>
      </c>
      <c r="C1258" s="290">
        <f t="shared" ref="C1258:C1260" si="1314">IF(OR(B1258="Folie", B1258="Strips", B1258="Film",B1258="Flakes",B1258="Coupon"), 2,IF(OR(B1258="Fibers",B1258="Pellets"),4,IF(OR(B1258="Particles",B1258="Shreds",B1258="Powder",B1258="Fragments",B1258="Granules"),6,"")))</f>
        <v>6</v>
      </c>
      <c r="D1258" s="290" t="s">
        <v>1018</v>
      </c>
      <c r="E1258" s="155">
        <v>0.1</v>
      </c>
      <c r="F1258" s="131" t="s">
        <v>1057</v>
      </c>
      <c r="G1258" s="134" t="str">
        <f t="shared" ref="G1258:G1260" si="1315">CONCATENATE(A1258," ",B1258," ",D1258," mm (emission to ",F1258,")")</f>
        <v>PBAT particles 0,01-0,1 mm (emission to air)</v>
      </c>
      <c r="H1258" s="133"/>
      <c r="I1258" s="137">
        <v>0.97699999999999998</v>
      </c>
      <c r="J1258" s="101" t="s">
        <v>1019</v>
      </c>
      <c r="K1258" s="114">
        <f>K55</f>
        <v>8.4823936170212768</v>
      </c>
      <c r="L1258" s="226">
        <f t="shared" ref="L1258:L1260" si="1316">IFERROR(IF(K1258="--",0,IF(E1258*1000/K1258*(1-0.5)^(C1258/2)&gt;1000,1000,E1258*1000/K1258*(1-0.5)^(C1258/2))),1000)</f>
        <v>1.4736406448902295</v>
      </c>
      <c r="M1258" s="158">
        <f>IF(L1258/1000&gt;1000,1000,L1258/1000)</f>
        <v>1.4736406448902296E-3</v>
      </c>
      <c r="N1258" s="610">
        <f>I1258*M1258+I1259*M1259</f>
        <v>2.4439746910057753E-2</v>
      </c>
    </row>
    <row r="1259" spans="1:14" s="191" customFormat="1">
      <c r="A1259" s="172" t="str">
        <f>A1258</f>
        <v>PBAT</v>
      </c>
      <c r="B1259" s="149" t="str">
        <f>B1258</f>
        <v>particles</v>
      </c>
      <c r="C1259" s="149">
        <f t="shared" si="1314"/>
        <v>6</v>
      </c>
      <c r="D1259" s="149" t="str">
        <f t="shared" ref="D1259:F1259" si="1317">D1258</f>
        <v>0,01-0,1</v>
      </c>
      <c r="E1259" s="149">
        <f t="shared" si="1317"/>
        <v>0.1</v>
      </c>
      <c r="F1259" s="149" t="str">
        <f t="shared" si="1317"/>
        <v>air</v>
      </c>
      <c r="G1259" s="146" t="str">
        <f t="shared" si="1315"/>
        <v>PBAT particles 0,01-0,1 mm (emission to air)</v>
      </c>
      <c r="H1259" s="146"/>
      <c r="I1259" s="129">
        <v>2.3E-2</v>
      </c>
      <c r="J1259" s="101" t="s">
        <v>1097</v>
      </c>
      <c r="K1259" s="114">
        <f>K56</f>
        <v>0</v>
      </c>
      <c r="L1259" s="226">
        <f t="shared" si="1316"/>
        <v>1000</v>
      </c>
      <c r="M1259" s="158">
        <f>IF(L1259/1000&gt;1000,1000,L1259/1000)</f>
        <v>1</v>
      </c>
      <c r="N1259" s="610"/>
    </row>
    <row r="1260" spans="1:14" s="191" customFormat="1">
      <c r="A1260" s="173" t="str">
        <f>A1259</f>
        <v>PBAT</v>
      </c>
      <c r="B1260" s="150" t="str">
        <f>B1259</f>
        <v>particles</v>
      </c>
      <c r="C1260" s="150">
        <f t="shared" si="1314"/>
        <v>6</v>
      </c>
      <c r="D1260" s="150" t="str">
        <f t="shared" ref="D1260:F1260" si="1318">D1259</f>
        <v>0,01-0,1</v>
      </c>
      <c r="E1260" s="150">
        <f t="shared" si="1318"/>
        <v>0.1</v>
      </c>
      <c r="F1260" s="150" t="str">
        <f t="shared" si="1318"/>
        <v>air</v>
      </c>
      <c r="G1260" s="147" t="str">
        <f t="shared" si="1315"/>
        <v>PBAT particles 0,01-0,1 mm (emission to air)</v>
      </c>
      <c r="H1260" s="147"/>
      <c r="I1260" s="129">
        <v>0</v>
      </c>
      <c r="J1260" s="101" t="s">
        <v>1034</v>
      </c>
      <c r="K1260" s="114" t="s">
        <v>596</v>
      </c>
      <c r="L1260" s="226">
        <f t="shared" si="1316"/>
        <v>0</v>
      </c>
      <c r="M1260" s="158">
        <f t="shared" ref="M1260" si="1319">IF(L1260/1000&gt;1000,1000,L1260/1000)</f>
        <v>0</v>
      </c>
      <c r="N1260" s="610"/>
    </row>
    <row r="1261" spans="1:14" s="102" customFormat="1">
      <c r="A1261" s="174" t="s">
        <v>177</v>
      </c>
      <c r="B1261" s="186" t="s">
        <v>1025</v>
      </c>
      <c r="C1261" s="188">
        <f t="shared" si="1259"/>
        <v>6</v>
      </c>
      <c r="D1261" s="188" t="s">
        <v>1028</v>
      </c>
      <c r="E1261" s="155">
        <v>1</v>
      </c>
      <c r="F1261" s="131" t="s">
        <v>1019</v>
      </c>
      <c r="G1261" s="134" t="str">
        <f t="shared" si="1271"/>
        <v>PBAT particles 0,1-1 mm (emission to soil)</v>
      </c>
      <c r="H1261" s="133"/>
      <c r="I1261" s="129">
        <v>1</v>
      </c>
      <c r="J1261" s="101" t="s">
        <v>1019</v>
      </c>
      <c r="K1261" s="114">
        <f>K55</f>
        <v>8.4823936170212768</v>
      </c>
      <c r="L1261" s="226">
        <f t="shared" ref="L1261:L1267" si="1320">IFERROR(IF(K1261="--",0,IF(E1261*1000/K1261*(1-0.5)^(C1261/2)&gt;1000,1000,E1261*1000/K1261*(1-0.5)^(C1261/2))),1000)</f>
        <v>14.736406448902294</v>
      </c>
      <c r="M1261" s="158">
        <f>IF(L1261/1000&gt;1000,1000,L1261/1000)</f>
        <v>1.4736406448902294E-2</v>
      </c>
      <c r="N1261" s="610">
        <f>I1261*M1261+I1262*M1262</f>
        <v>1.4736406448902294E-2</v>
      </c>
    </row>
    <row r="1262" spans="1:14" s="102" customFormat="1">
      <c r="A1262" s="172" t="str">
        <f>A1261</f>
        <v>PBAT</v>
      </c>
      <c r="B1262" s="149" t="str">
        <f>B1261</f>
        <v>particles</v>
      </c>
      <c r="C1262" s="149">
        <f t="shared" si="1259"/>
        <v>6</v>
      </c>
      <c r="D1262" s="149" t="str">
        <f t="shared" ref="D1262:F1263" si="1321">D1261</f>
        <v>0,1-1</v>
      </c>
      <c r="E1262" s="149">
        <f t="shared" si="1321"/>
        <v>1</v>
      </c>
      <c r="F1262" s="149" t="str">
        <f t="shared" si="1321"/>
        <v>soil</v>
      </c>
      <c r="G1262" s="146" t="str">
        <f t="shared" si="1271"/>
        <v>PBAT particles 0,1-1 mm (emission to soil)</v>
      </c>
      <c r="H1262" s="146"/>
      <c r="I1262" s="129">
        <v>0</v>
      </c>
      <c r="J1262" s="101" t="s">
        <v>1097</v>
      </c>
      <c r="K1262" s="114">
        <f>K56</f>
        <v>0</v>
      </c>
      <c r="L1262" s="226">
        <f t="shared" si="1320"/>
        <v>1000</v>
      </c>
      <c r="M1262" s="158">
        <f>IF(L1262/1000&gt;1000,1000,L1262/1000)</f>
        <v>1</v>
      </c>
      <c r="N1262" s="610"/>
    </row>
    <row r="1263" spans="1:14" s="102" customFormat="1">
      <c r="A1263" s="173" t="str">
        <f>A1262</f>
        <v>PBAT</v>
      </c>
      <c r="B1263" s="150" t="str">
        <f>B1262</f>
        <v>particles</v>
      </c>
      <c r="C1263" s="150">
        <f t="shared" si="1259"/>
        <v>6</v>
      </c>
      <c r="D1263" s="150" t="str">
        <f t="shared" si="1321"/>
        <v>0,1-1</v>
      </c>
      <c r="E1263" s="150">
        <f t="shared" si="1321"/>
        <v>1</v>
      </c>
      <c r="F1263" s="150" t="str">
        <f t="shared" si="1321"/>
        <v>soil</v>
      </c>
      <c r="G1263" s="147" t="str">
        <f t="shared" si="1271"/>
        <v>PBAT particles 0,1-1 mm (emission to soil)</v>
      </c>
      <c r="H1263" s="147"/>
      <c r="I1263" s="129">
        <v>0</v>
      </c>
      <c r="J1263" s="101" t="s">
        <v>1034</v>
      </c>
      <c r="K1263" s="151" t="s">
        <v>596</v>
      </c>
      <c r="L1263" s="226">
        <f t="shared" si="1320"/>
        <v>0</v>
      </c>
      <c r="M1263" s="158">
        <f t="shared" ref="M1263:M1267" si="1322">IF(L1263/1000&gt;1000,1000,L1263/1000)</f>
        <v>0</v>
      </c>
      <c r="N1263" s="610"/>
    </row>
    <row r="1264" spans="1:14" s="102" customFormat="1">
      <c r="A1264" s="174" t="s">
        <v>177</v>
      </c>
      <c r="B1264" s="288" t="s">
        <v>1025</v>
      </c>
      <c r="C1264" s="290">
        <f t="shared" si="1259"/>
        <v>6</v>
      </c>
      <c r="D1264" s="290" t="s">
        <v>1028</v>
      </c>
      <c r="E1264" s="290">
        <v>1</v>
      </c>
      <c r="F1264" s="206" t="s">
        <v>1020</v>
      </c>
      <c r="G1264" s="144" t="str">
        <f t="shared" si="1271"/>
        <v>PBAT particles 0,1-1 mm (emission to water)</v>
      </c>
      <c r="H1264" s="133"/>
      <c r="I1264" s="129">
        <v>0</v>
      </c>
      <c r="J1264" s="225" t="s">
        <v>1019</v>
      </c>
      <c r="K1264" s="114">
        <f>K55</f>
        <v>8.4823936170212768</v>
      </c>
      <c r="L1264" s="226">
        <f t="shared" si="1320"/>
        <v>14.736406448902294</v>
      </c>
      <c r="M1264" s="295">
        <f t="shared" si="1322"/>
        <v>1.4736406448902294E-2</v>
      </c>
      <c r="N1264" s="614">
        <f>I1264*M1264+I1265*M1265+I1266*M1266</f>
        <v>1</v>
      </c>
    </row>
    <row r="1265" spans="1:14" s="102" customFormat="1">
      <c r="A1265" s="172" t="str">
        <f>A1264</f>
        <v>PBAT</v>
      </c>
      <c r="B1265" s="149" t="str">
        <f>B1264</f>
        <v>particles</v>
      </c>
      <c r="C1265" s="149">
        <f t="shared" si="1259"/>
        <v>6</v>
      </c>
      <c r="D1265" s="149" t="str">
        <f t="shared" ref="D1265:F1266" si="1323">D1264</f>
        <v>0,1-1</v>
      </c>
      <c r="E1265" s="149">
        <f t="shared" si="1323"/>
        <v>1</v>
      </c>
      <c r="F1265" s="149" t="str">
        <f t="shared" si="1323"/>
        <v>water</v>
      </c>
      <c r="G1265" s="146" t="str">
        <f t="shared" si="1271"/>
        <v>PBAT particles 0,1-1 mm (emission to water)</v>
      </c>
      <c r="H1265" s="146"/>
      <c r="I1265" s="129">
        <v>0</v>
      </c>
      <c r="J1265" s="225" t="s">
        <v>1097</v>
      </c>
      <c r="K1265" s="114">
        <f>K56</f>
        <v>0</v>
      </c>
      <c r="L1265" s="226">
        <f t="shared" si="1320"/>
        <v>1000</v>
      </c>
      <c r="M1265" s="295">
        <f t="shared" si="1322"/>
        <v>1</v>
      </c>
      <c r="N1265" s="615"/>
    </row>
    <row r="1266" spans="1:14" s="102" customFormat="1">
      <c r="A1266" s="172" t="str">
        <f>A1265</f>
        <v>PBAT</v>
      </c>
      <c r="B1266" s="149" t="str">
        <f>B1265</f>
        <v>particles</v>
      </c>
      <c r="C1266" s="149">
        <f t="shared" ref="C1266" si="1324">IF(OR(B1266="Folie", B1266="Strips", B1266="Film",B1266="Flakes",B1266="Coupon"), 2,IF(OR(B1266="Fibers",B1266="Pellets"),4,IF(OR(B1266="Particles",B1266="Shreds",B1266="Powder",B1266="Fragments",B1266="Granules"),6,"")))</f>
        <v>6</v>
      </c>
      <c r="D1266" s="149" t="str">
        <f t="shared" si="1323"/>
        <v>0,1-1</v>
      </c>
      <c r="E1266" s="149">
        <f t="shared" si="1323"/>
        <v>1</v>
      </c>
      <c r="F1266" s="149" t="str">
        <f t="shared" si="1323"/>
        <v>water</v>
      </c>
      <c r="G1266" s="146" t="str">
        <f t="shared" si="1271"/>
        <v>PBAT particles 0,1-1 mm (emission to water)</v>
      </c>
      <c r="H1266" s="146"/>
      <c r="I1266" s="129">
        <v>1</v>
      </c>
      <c r="J1266" s="225" t="s">
        <v>1096</v>
      </c>
      <c r="K1266" s="114">
        <f>K57</f>
        <v>0</v>
      </c>
      <c r="L1266" s="226">
        <f t="shared" ref="L1266" si="1325">IFERROR(IF(K1266="--",0,IF(E1266*1000/K1266*(1-0.5)^(C1266/2)&gt;1000,1000,E1266*1000/K1266*(1-0.5)^(C1266/2))),1000)</f>
        <v>1000</v>
      </c>
      <c r="M1266" s="295">
        <f t="shared" si="1322"/>
        <v>1</v>
      </c>
      <c r="N1266" s="615"/>
    </row>
    <row r="1267" spans="1:14" s="102" customFormat="1">
      <c r="A1267" s="173" t="str">
        <f>A1265</f>
        <v>PBAT</v>
      </c>
      <c r="B1267" s="150" t="str">
        <f>B1265</f>
        <v>particles</v>
      </c>
      <c r="C1267" s="150">
        <f t="shared" si="1259"/>
        <v>6</v>
      </c>
      <c r="D1267" s="150" t="str">
        <f>D1265</f>
        <v>0,1-1</v>
      </c>
      <c r="E1267" s="150">
        <f>E1265</f>
        <v>1</v>
      </c>
      <c r="F1267" s="150" t="str">
        <f>F1265</f>
        <v>water</v>
      </c>
      <c r="G1267" s="147" t="str">
        <f t="shared" si="1271"/>
        <v>PBAT particles 0,1-1 mm (emission to water)</v>
      </c>
      <c r="H1267" s="147"/>
      <c r="I1267" s="129">
        <v>0</v>
      </c>
      <c r="J1267" s="225" t="s">
        <v>1034</v>
      </c>
      <c r="K1267" s="151" t="s">
        <v>596</v>
      </c>
      <c r="L1267" s="226">
        <f t="shared" si="1320"/>
        <v>0</v>
      </c>
      <c r="M1267" s="295">
        <f t="shared" si="1322"/>
        <v>0</v>
      </c>
      <c r="N1267" s="616"/>
    </row>
    <row r="1268" spans="1:14" s="191" customFormat="1">
      <c r="A1268" s="174" t="s">
        <v>177</v>
      </c>
      <c r="B1268" s="288" t="s">
        <v>1025</v>
      </c>
      <c r="C1268" s="290">
        <f t="shared" ref="C1268:C1270" si="1326">IF(OR(B1268="Folie", B1268="Strips", B1268="Film",B1268="Flakes",B1268="Coupon"), 2,IF(OR(B1268="Fibers",B1268="Pellets"),4,IF(OR(B1268="Particles",B1268="Shreds",B1268="Powder",B1268="Fragments",B1268="Granules"),6,"")))</f>
        <v>6</v>
      </c>
      <c r="D1268" s="290" t="s">
        <v>1028</v>
      </c>
      <c r="E1268" s="155">
        <v>1</v>
      </c>
      <c r="F1268" s="131" t="s">
        <v>1057</v>
      </c>
      <c r="G1268" s="134" t="str">
        <f t="shared" ref="G1268:G1270" si="1327">CONCATENATE(A1268," ",B1268," ",D1268," mm (emission to ",F1268,")")</f>
        <v>PBAT particles 0,1-1 mm (emission to air)</v>
      </c>
      <c r="H1268" s="133"/>
      <c r="I1268" s="137">
        <v>0.97699999999999998</v>
      </c>
      <c r="J1268" s="101" t="s">
        <v>1019</v>
      </c>
      <c r="K1268" s="114">
        <f>K55</f>
        <v>8.4823936170212768</v>
      </c>
      <c r="L1268" s="226">
        <f t="shared" ref="L1268:L1270" si="1328">IFERROR(IF(K1268="--",0,IF(E1268*1000/K1268*(1-0.5)^(C1268/2)&gt;1000,1000,E1268*1000/K1268*(1-0.5)^(C1268/2))),1000)</f>
        <v>14.736406448902294</v>
      </c>
      <c r="M1268" s="158">
        <f>IF(L1268/1000&gt;1000,1000,L1268/1000)</f>
        <v>1.4736406448902294E-2</v>
      </c>
      <c r="N1268" s="610">
        <f>I1268*M1268+I1269*M1269</f>
        <v>3.7397469100577542E-2</v>
      </c>
    </row>
    <row r="1269" spans="1:14" s="191" customFormat="1">
      <c r="A1269" s="172" t="str">
        <f>A1268</f>
        <v>PBAT</v>
      </c>
      <c r="B1269" s="149" t="str">
        <f>B1268</f>
        <v>particles</v>
      </c>
      <c r="C1269" s="149">
        <f t="shared" si="1326"/>
        <v>6</v>
      </c>
      <c r="D1269" s="149" t="str">
        <f t="shared" ref="D1269:F1269" si="1329">D1268</f>
        <v>0,1-1</v>
      </c>
      <c r="E1269" s="149">
        <f t="shared" si="1329"/>
        <v>1</v>
      </c>
      <c r="F1269" s="149" t="str">
        <f t="shared" si="1329"/>
        <v>air</v>
      </c>
      <c r="G1269" s="146" t="str">
        <f t="shared" si="1327"/>
        <v>PBAT particles 0,1-1 mm (emission to air)</v>
      </c>
      <c r="H1269" s="146"/>
      <c r="I1269" s="129">
        <v>2.3E-2</v>
      </c>
      <c r="J1269" s="101" t="s">
        <v>1097</v>
      </c>
      <c r="K1269" s="114">
        <f>K56</f>
        <v>0</v>
      </c>
      <c r="L1269" s="226">
        <f t="shared" si="1328"/>
        <v>1000</v>
      </c>
      <c r="M1269" s="158">
        <f>IF(L1269/1000&gt;1000,1000,L1269/1000)</f>
        <v>1</v>
      </c>
      <c r="N1269" s="610"/>
    </row>
    <row r="1270" spans="1:14" s="191" customFormat="1">
      <c r="A1270" s="173" t="str">
        <f>A1269</f>
        <v>PBAT</v>
      </c>
      <c r="B1270" s="150" t="str">
        <f>B1269</f>
        <v>particles</v>
      </c>
      <c r="C1270" s="150">
        <f t="shared" si="1326"/>
        <v>6</v>
      </c>
      <c r="D1270" s="150" t="str">
        <f t="shared" ref="D1270:F1270" si="1330">D1269</f>
        <v>0,1-1</v>
      </c>
      <c r="E1270" s="150">
        <f t="shared" si="1330"/>
        <v>1</v>
      </c>
      <c r="F1270" s="150" t="str">
        <f t="shared" si="1330"/>
        <v>air</v>
      </c>
      <c r="G1270" s="147" t="str">
        <f t="shared" si="1327"/>
        <v>PBAT particles 0,1-1 mm (emission to air)</v>
      </c>
      <c r="H1270" s="147"/>
      <c r="I1270" s="129">
        <v>0</v>
      </c>
      <c r="J1270" s="101" t="s">
        <v>1034</v>
      </c>
      <c r="K1270" s="151" t="s">
        <v>596</v>
      </c>
      <c r="L1270" s="226">
        <f t="shared" si="1328"/>
        <v>0</v>
      </c>
      <c r="M1270" s="158">
        <f t="shared" ref="M1270" si="1331">IF(L1270/1000&gt;1000,1000,L1270/1000)</f>
        <v>0</v>
      </c>
      <c r="N1270" s="610"/>
    </row>
    <row r="1271" spans="1:14" s="102" customFormat="1">
      <c r="A1271" s="174" t="s">
        <v>177</v>
      </c>
      <c r="B1271" s="186" t="s">
        <v>1025</v>
      </c>
      <c r="C1271" s="188">
        <f t="shared" si="1259"/>
        <v>6</v>
      </c>
      <c r="D1271" s="188" t="s">
        <v>1026</v>
      </c>
      <c r="E1271" s="155">
        <v>10</v>
      </c>
      <c r="F1271" s="131" t="s">
        <v>1019</v>
      </c>
      <c r="G1271" s="134" t="str">
        <f t="shared" si="1271"/>
        <v>PBAT particles 1-10 mm (emission to soil)</v>
      </c>
      <c r="H1271" s="133"/>
      <c r="I1271" s="129">
        <v>1</v>
      </c>
      <c r="J1271" s="101" t="s">
        <v>1019</v>
      </c>
      <c r="K1271" s="114">
        <f>K55</f>
        <v>8.4823936170212768</v>
      </c>
      <c r="L1271" s="226">
        <f t="shared" ref="L1271:L1277" si="1332">IFERROR(IF(K1271="--",0,IF(E1271*1000/K1271*(1-0.5)^(C1271/2)&gt;1000,1000,E1271*1000/K1271*(1-0.5)^(C1271/2))),1000)</f>
        <v>147.36406448902295</v>
      </c>
      <c r="M1271" s="158">
        <f>IF(L1271/1000&gt;1000,1000,L1271/1000)</f>
        <v>0.14736406448902295</v>
      </c>
      <c r="N1271" s="610">
        <f>I1271*M1271+I1272*M1272</f>
        <v>0.14736406448902295</v>
      </c>
    </row>
    <row r="1272" spans="1:14" s="102" customFormat="1">
      <c r="A1272" s="172" t="str">
        <f>A1271</f>
        <v>PBAT</v>
      </c>
      <c r="B1272" s="149" t="str">
        <f>B1271</f>
        <v>particles</v>
      </c>
      <c r="C1272" s="149">
        <f t="shared" si="1259"/>
        <v>6</v>
      </c>
      <c r="D1272" s="149" t="str">
        <f t="shared" ref="D1272:F1273" si="1333">D1271</f>
        <v>1-10</v>
      </c>
      <c r="E1272" s="149">
        <f t="shared" si="1333"/>
        <v>10</v>
      </c>
      <c r="F1272" s="149" t="str">
        <f t="shared" si="1333"/>
        <v>soil</v>
      </c>
      <c r="G1272" s="146" t="str">
        <f t="shared" si="1271"/>
        <v>PBAT particles 1-10 mm (emission to soil)</v>
      </c>
      <c r="H1272" s="146"/>
      <c r="I1272" s="129">
        <v>0</v>
      </c>
      <c r="J1272" s="101" t="s">
        <v>1097</v>
      </c>
      <c r="K1272" s="114">
        <f>K56</f>
        <v>0</v>
      </c>
      <c r="L1272" s="226">
        <f t="shared" si="1332"/>
        <v>1000</v>
      </c>
      <c r="M1272" s="158">
        <f>IF(L1272/1000&gt;1000,1000,L1272/1000)</f>
        <v>1</v>
      </c>
      <c r="N1272" s="610"/>
    </row>
    <row r="1273" spans="1:14" s="102" customFormat="1">
      <c r="A1273" s="173" t="str">
        <f>A1272</f>
        <v>PBAT</v>
      </c>
      <c r="B1273" s="150" t="str">
        <f>B1272</f>
        <v>particles</v>
      </c>
      <c r="C1273" s="150">
        <f t="shared" si="1259"/>
        <v>6</v>
      </c>
      <c r="D1273" s="150" t="str">
        <f t="shared" si="1333"/>
        <v>1-10</v>
      </c>
      <c r="E1273" s="150">
        <f t="shared" si="1333"/>
        <v>10</v>
      </c>
      <c r="F1273" s="150" t="str">
        <f t="shared" si="1333"/>
        <v>soil</v>
      </c>
      <c r="G1273" s="147" t="str">
        <f t="shared" si="1271"/>
        <v>PBAT particles 1-10 mm (emission to soil)</v>
      </c>
      <c r="H1273" s="147"/>
      <c r="I1273" s="129">
        <v>0</v>
      </c>
      <c r="J1273" s="101" t="s">
        <v>1034</v>
      </c>
      <c r="K1273" s="151" t="s">
        <v>596</v>
      </c>
      <c r="L1273" s="226">
        <f t="shared" si="1332"/>
        <v>0</v>
      </c>
      <c r="M1273" s="158">
        <f t="shared" ref="M1273:M1277" si="1334">IF(L1273/1000&gt;1000,1000,L1273/1000)</f>
        <v>0</v>
      </c>
      <c r="N1273" s="610"/>
    </row>
    <row r="1274" spans="1:14" s="102" customFormat="1">
      <c r="A1274" s="174" t="s">
        <v>177</v>
      </c>
      <c r="B1274" s="288" t="s">
        <v>1025</v>
      </c>
      <c r="C1274" s="290">
        <f t="shared" si="1259"/>
        <v>6</v>
      </c>
      <c r="D1274" s="290" t="s">
        <v>1026</v>
      </c>
      <c r="E1274" s="288">
        <v>10</v>
      </c>
      <c r="F1274" s="206" t="s">
        <v>1020</v>
      </c>
      <c r="G1274" s="144" t="str">
        <f t="shared" si="1271"/>
        <v>PBAT particles 1-10 mm (emission to water)</v>
      </c>
      <c r="H1274" s="133"/>
      <c r="I1274" s="129">
        <v>0</v>
      </c>
      <c r="J1274" s="225" t="s">
        <v>1019</v>
      </c>
      <c r="K1274" s="114">
        <f>K55</f>
        <v>8.4823936170212768</v>
      </c>
      <c r="L1274" s="226">
        <f t="shared" si="1332"/>
        <v>147.36406448902295</v>
      </c>
      <c r="M1274" s="295">
        <f t="shared" si="1334"/>
        <v>0.14736406448902295</v>
      </c>
      <c r="N1274" s="614">
        <f>I1274*M1274+I1275*M1275+I1276*M1276</f>
        <v>1</v>
      </c>
    </row>
    <row r="1275" spans="1:14" s="102" customFormat="1">
      <c r="A1275" s="172" t="str">
        <f>A1274</f>
        <v>PBAT</v>
      </c>
      <c r="B1275" s="149" t="str">
        <f>B1274</f>
        <v>particles</v>
      </c>
      <c r="C1275" s="149">
        <f t="shared" si="1259"/>
        <v>6</v>
      </c>
      <c r="D1275" s="149" t="str">
        <f t="shared" ref="D1275:F1276" si="1335">D1274</f>
        <v>1-10</v>
      </c>
      <c r="E1275" s="149">
        <f t="shared" si="1335"/>
        <v>10</v>
      </c>
      <c r="F1275" s="149" t="str">
        <f t="shared" si="1335"/>
        <v>water</v>
      </c>
      <c r="G1275" s="146" t="str">
        <f t="shared" ref="G1275:G1287" si="1336">CONCATENATE(A1275," ",B1275," ",D1275," mm (emission to ",F1275,")")</f>
        <v>PBAT particles 1-10 mm (emission to water)</v>
      </c>
      <c r="H1275" s="146"/>
      <c r="I1275" s="129">
        <v>0</v>
      </c>
      <c r="J1275" s="225" t="s">
        <v>1097</v>
      </c>
      <c r="K1275" s="114">
        <f>K56</f>
        <v>0</v>
      </c>
      <c r="L1275" s="226">
        <f t="shared" si="1332"/>
        <v>1000</v>
      </c>
      <c r="M1275" s="295">
        <f t="shared" si="1334"/>
        <v>1</v>
      </c>
      <c r="N1275" s="615"/>
    </row>
    <row r="1276" spans="1:14" s="102" customFormat="1">
      <c r="A1276" s="172" t="str">
        <f>A1275</f>
        <v>PBAT</v>
      </c>
      <c r="B1276" s="149" t="str">
        <f>B1275</f>
        <v>particles</v>
      </c>
      <c r="C1276" s="149">
        <f t="shared" si="1259"/>
        <v>6</v>
      </c>
      <c r="D1276" s="149" t="str">
        <f t="shared" si="1335"/>
        <v>1-10</v>
      </c>
      <c r="E1276" s="149">
        <f t="shared" si="1335"/>
        <v>10</v>
      </c>
      <c r="F1276" s="149" t="str">
        <f t="shared" si="1335"/>
        <v>water</v>
      </c>
      <c r="G1276" s="146" t="str">
        <f t="shared" si="1336"/>
        <v>PBAT particles 1-10 mm (emission to water)</v>
      </c>
      <c r="H1276" s="146"/>
      <c r="I1276" s="129">
        <v>1</v>
      </c>
      <c r="J1276" s="225" t="s">
        <v>1096</v>
      </c>
      <c r="K1276" s="114">
        <f>K57</f>
        <v>0</v>
      </c>
      <c r="L1276" s="226">
        <f t="shared" ref="L1276" si="1337">IFERROR(IF(K1276="--",0,IF(E1276*1000/K1276*(1-0.5)^(C1276/2)&gt;1000,1000,E1276*1000/K1276*(1-0.5)^(C1276/2))),1000)</f>
        <v>1000</v>
      </c>
      <c r="M1276" s="295">
        <f t="shared" si="1334"/>
        <v>1</v>
      </c>
      <c r="N1276" s="615"/>
    </row>
    <row r="1277" spans="1:14" s="102" customFormat="1">
      <c r="A1277" s="173" t="str">
        <f>A1275</f>
        <v>PBAT</v>
      </c>
      <c r="B1277" s="150" t="str">
        <f>B1275</f>
        <v>particles</v>
      </c>
      <c r="C1277" s="150">
        <f t="shared" si="1259"/>
        <v>6</v>
      </c>
      <c r="D1277" s="150" t="str">
        <f>D1275</f>
        <v>1-10</v>
      </c>
      <c r="E1277" s="150">
        <f>E1275</f>
        <v>10</v>
      </c>
      <c r="F1277" s="150" t="str">
        <f>F1275</f>
        <v>water</v>
      </c>
      <c r="G1277" s="147" t="str">
        <f t="shared" si="1336"/>
        <v>PBAT particles 1-10 mm (emission to water)</v>
      </c>
      <c r="H1277" s="147">
        <f>H1275</f>
        <v>0</v>
      </c>
      <c r="I1277" s="129">
        <v>0</v>
      </c>
      <c r="J1277" s="225" t="s">
        <v>1034</v>
      </c>
      <c r="K1277" s="114" t="s">
        <v>596</v>
      </c>
      <c r="L1277" s="226">
        <f t="shared" si="1332"/>
        <v>0</v>
      </c>
      <c r="M1277" s="295">
        <f t="shared" si="1334"/>
        <v>0</v>
      </c>
      <c r="N1277" s="616"/>
    </row>
    <row r="1278" spans="1:14" s="191" customFormat="1">
      <c r="A1278" s="174" t="s">
        <v>177</v>
      </c>
      <c r="B1278" s="288" t="s">
        <v>1025</v>
      </c>
      <c r="C1278" s="290">
        <f t="shared" ref="C1278:C1280" si="1338">IF(OR(B1278="Folie", B1278="Strips", B1278="Film",B1278="Flakes",B1278="Coupon"), 2,IF(OR(B1278="Fibers",B1278="Pellets"),4,IF(OR(B1278="Particles",B1278="Shreds",B1278="Powder",B1278="Fragments",B1278="Granules"),6,"")))</f>
        <v>6</v>
      </c>
      <c r="D1278" s="290" t="s">
        <v>1026</v>
      </c>
      <c r="E1278" s="155">
        <v>10</v>
      </c>
      <c r="F1278" s="131" t="s">
        <v>1057</v>
      </c>
      <c r="G1278" s="134" t="str">
        <f t="shared" si="1336"/>
        <v>PBAT particles 1-10 mm (emission to air)</v>
      </c>
      <c r="H1278" s="133"/>
      <c r="I1278" s="137">
        <v>0.97699999999999998</v>
      </c>
      <c r="J1278" s="101" t="s">
        <v>1019</v>
      </c>
      <c r="K1278" s="114">
        <f>K55</f>
        <v>8.4823936170212768</v>
      </c>
      <c r="L1278" s="226">
        <f t="shared" ref="L1278:L1280" si="1339">IFERROR(IF(K1278="--",0,IF(E1278*1000/K1278*(1-0.5)^(C1278/2)&gt;1000,1000,E1278*1000/K1278*(1-0.5)^(C1278/2))),1000)</f>
        <v>147.36406448902295</v>
      </c>
      <c r="M1278" s="158">
        <f>IF(L1278/1000&gt;1000,1000,L1278/1000)</f>
        <v>0.14736406448902295</v>
      </c>
      <c r="N1278" s="610">
        <f>I1278*M1278+I1279*M1279</f>
        <v>0.16697469100577542</v>
      </c>
    </row>
    <row r="1279" spans="1:14" s="191" customFormat="1">
      <c r="A1279" s="172" t="str">
        <f>A1278</f>
        <v>PBAT</v>
      </c>
      <c r="B1279" s="149" t="str">
        <f>B1278</f>
        <v>particles</v>
      </c>
      <c r="C1279" s="149">
        <f t="shared" si="1338"/>
        <v>6</v>
      </c>
      <c r="D1279" s="149" t="str">
        <f t="shared" ref="D1279:F1279" si="1340">D1278</f>
        <v>1-10</v>
      </c>
      <c r="E1279" s="149">
        <f t="shared" si="1340"/>
        <v>10</v>
      </c>
      <c r="F1279" s="149" t="str">
        <f t="shared" si="1340"/>
        <v>air</v>
      </c>
      <c r="G1279" s="146" t="str">
        <f t="shared" si="1336"/>
        <v>PBAT particles 1-10 mm (emission to air)</v>
      </c>
      <c r="H1279" s="146"/>
      <c r="I1279" s="129">
        <v>2.3E-2</v>
      </c>
      <c r="J1279" s="101" t="s">
        <v>1097</v>
      </c>
      <c r="K1279" s="114">
        <f>K56</f>
        <v>0</v>
      </c>
      <c r="L1279" s="226">
        <f t="shared" si="1339"/>
        <v>1000</v>
      </c>
      <c r="M1279" s="158">
        <f>IF(L1279/1000&gt;1000,1000,L1279/1000)</f>
        <v>1</v>
      </c>
      <c r="N1279" s="610"/>
    </row>
    <row r="1280" spans="1:14" s="191" customFormat="1" ht="13.5" thickBot="1">
      <c r="A1280" s="173" t="str">
        <f>A1279</f>
        <v>PBAT</v>
      </c>
      <c r="B1280" s="150" t="str">
        <f>B1279</f>
        <v>particles</v>
      </c>
      <c r="C1280" s="150">
        <f t="shared" si="1338"/>
        <v>6</v>
      </c>
      <c r="D1280" s="150" t="str">
        <f t="shared" ref="D1280:F1280" si="1341">D1279</f>
        <v>1-10</v>
      </c>
      <c r="E1280" s="178">
        <f t="shared" si="1341"/>
        <v>10</v>
      </c>
      <c r="F1280" s="178" t="str">
        <f t="shared" si="1341"/>
        <v>air</v>
      </c>
      <c r="G1280" s="179" t="str">
        <f t="shared" si="1336"/>
        <v>PBAT particles 1-10 mm (emission to air)</v>
      </c>
      <c r="H1280" s="179"/>
      <c r="I1280" s="277">
        <v>0</v>
      </c>
      <c r="J1280" s="180" t="s">
        <v>1034</v>
      </c>
      <c r="K1280" s="278" t="s">
        <v>596</v>
      </c>
      <c r="L1280" s="279">
        <f t="shared" si="1339"/>
        <v>0</v>
      </c>
      <c r="M1280" s="158">
        <f t="shared" ref="M1280" si="1342">IF(L1280/1000&gt;1000,1000,L1280/1000)</f>
        <v>0</v>
      </c>
      <c r="N1280" s="610"/>
    </row>
    <row r="1281" spans="1:14" s="102" customFormat="1">
      <c r="A1281" s="163" t="s">
        <v>654</v>
      </c>
      <c r="B1281" s="164" t="s">
        <v>996</v>
      </c>
      <c r="C1281" s="165">
        <f>IF(OR(B1281="Folie", B1281="Strips", B1281="Film",B1281="Flakes",B1281="Coupon"), 2,IF(OR(B1281="Fibers",B1281="Pellets"),4,IF(OR(B1281="Particles",B1281="Shreds",B1281="Powder",B1281="Fragments",B1281="Granules"),6,"")))</f>
        <v>2</v>
      </c>
      <c r="D1281" s="165" t="s">
        <v>1028</v>
      </c>
      <c r="E1281" s="293">
        <v>1</v>
      </c>
      <c r="F1281" s="166" t="s">
        <v>1019</v>
      </c>
      <c r="G1281" s="167" t="str">
        <f t="shared" si="1336"/>
        <v>PBSA film 0,1-1 mm (emission to soil)</v>
      </c>
      <c r="H1281" s="168"/>
      <c r="I1281" s="169">
        <v>1</v>
      </c>
      <c r="J1281" s="170" t="s">
        <v>1019</v>
      </c>
      <c r="K1281" s="171">
        <f>K58</f>
        <v>50.414364640883996</v>
      </c>
      <c r="L1281" s="276">
        <f t="shared" ref="L1281:L1287" si="1343">IFERROR(IF(K1281="--",0,IF(E1281*1000/K1281*(1-0.5)^(C1281/2)&gt;1000,1000,E1281*1000/K1281*(1-0.5)^(C1281/2))),1000)</f>
        <v>9.9178082191780792</v>
      </c>
      <c r="M1281" s="158">
        <f>IF(L1281/1000&gt;1000,1000,L1281/1000)</f>
        <v>9.9178082191780786E-3</v>
      </c>
      <c r="N1281" s="610">
        <f>I1281*M1281+I1282*M1282</f>
        <v>9.9178082191780786E-3</v>
      </c>
    </row>
    <row r="1282" spans="1:14" s="102" customFormat="1">
      <c r="A1282" s="172" t="str">
        <f>A1281</f>
        <v>PBSA</v>
      </c>
      <c r="B1282" s="149" t="str">
        <f>B1281</f>
        <v>film</v>
      </c>
      <c r="C1282" s="149">
        <f t="shared" ref="C1282:C1347" si="1344">IF(OR(B1282="Folie", B1282="Strips", B1282="Film",B1282="Flakes",B1282="Coupon"), 2,IF(OR(B1282="Fibers",B1282="Pellets"),4,IF(OR(B1282="Particles",B1282="Shreds",B1282="Powder",B1282="Fragments",B1282="Granules"),6,"")))</f>
        <v>2</v>
      </c>
      <c r="D1282" s="149" t="str">
        <f t="shared" ref="D1282:F1283" si="1345">D1281</f>
        <v>0,1-1</v>
      </c>
      <c r="E1282" s="149">
        <f t="shared" si="1345"/>
        <v>1</v>
      </c>
      <c r="F1282" s="149" t="str">
        <f t="shared" si="1345"/>
        <v>soil</v>
      </c>
      <c r="G1282" s="146" t="str">
        <f t="shared" si="1336"/>
        <v>PBSA film 0,1-1 mm (emission to soil)</v>
      </c>
      <c r="H1282" s="146"/>
      <c r="I1282" s="129">
        <v>0</v>
      </c>
      <c r="J1282" s="101" t="s">
        <v>1097</v>
      </c>
      <c r="K1282" s="114">
        <f>K59</f>
        <v>50.414364640883996</v>
      </c>
      <c r="L1282" s="226">
        <f t="shared" si="1343"/>
        <v>9.9178082191780792</v>
      </c>
      <c r="M1282" s="158">
        <f>IF(L1282/1000&gt;1000,1000,L1282/1000)</f>
        <v>9.9178082191780786E-3</v>
      </c>
      <c r="N1282" s="610"/>
    </row>
    <row r="1283" spans="1:14" s="102" customFormat="1">
      <c r="A1283" s="173" t="str">
        <f>A1282</f>
        <v>PBSA</v>
      </c>
      <c r="B1283" s="150" t="str">
        <f>B1282</f>
        <v>film</v>
      </c>
      <c r="C1283" s="150">
        <f t="shared" si="1344"/>
        <v>2</v>
      </c>
      <c r="D1283" s="150" t="str">
        <f t="shared" si="1345"/>
        <v>0,1-1</v>
      </c>
      <c r="E1283" s="150">
        <f t="shared" si="1345"/>
        <v>1</v>
      </c>
      <c r="F1283" s="150" t="str">
        <f t="shared" si="1345"/>
        <v>soil</v>
      </c>
      <c r="G1283" s="147" t="str">
        <f t="shared" si="1336"/>
        <v>PBSA film 0,1-1 mm (emission to soil)</v>
      </c>
      <c r="H1283" s="147"/>
      <c r="I1283" s="129">
        <v>0</v>
      </c>
      <c r="J1283" s="101" t="s">
        <v>1034</v>
      </c>
      <c r="K1283" s="151" t="s">
        <v>596</v>
      </c>
      <c r="L1283" s="226">
        <f t="shared" si="1343"/>
        <v>0</v>
      </c>
      <c r="M1283" s="158">
        <f t="shared" ref="M1283:M1287" si="1346">IF(L1283/1000&gt;1000,1000,L1283/1000)</f>
        <v>0</v>
      </c>
      <c r="N1283" s="610"/>
    </row>
    <row r="1284" spans="1:14" s="102" customFormat="1">
      <c r="A1284" s="174" t="s">
        <v>654</v>
      </c>
      <c r="B1284" s="288" t="s">
        <v>996</v>
      </c>
      <c r="C1284" s="290">
        <f t="shared" si="1344"/>
        <v>2</v>
      </c>
      <c r="D1284" s="290" t="s">
        <v>1028</v>
      </c>
      <c r="E1284" s="290">
        <v>1</v>
      </c>
      <c r="F1284" s="206" t="s">
        <v>1020</v>
      </c>
      <c r="G1284" s="144" t="str">
        <f t="shared" si="1336"/>
        <v>PBSA film 0,1-1 mm (emission to water)</v>
      </c>
      <c r="H1284" s="144"/>
      <c r="I1284" s="129">
        <v>0</v>
      </c>
      <c r="J1284" s="225" t="s">
        <v>1019</v>
      </c>
      <c r="K1284" s="114">
        <f>K58</f>
        <v>50.414364640883996</v>
      </c>
      <c r="L1284" s="226">
        <f t="shared" si="1343"/>
        <v>9.9178082191780792</v>
      </c>
      <c r="M1284" s="295">
        <f t="shared" si="1346"/>
        <v>9.9178082191780786E-3</v>
      </c>
      <c r="N1284" s="614" t="e">
        <f>I1284*M1284+I1285*M1285+I1286*M1286</f>
        <v>#VALUE!</v>
      </c>
    </row>
    <row r="1285" spans="1:14" s="102" customFormat="1">
      <c r="A1285" s="172" t="str">
        <f>A1284</f>
        <v>PBSA</v>
      </c>
      <c r="B1285" s="149" t="str">
        <f>B1284</f>
        <v>film</v>
      </c>
      <c r="C1285" s="149">
        <f t="shared" si="1344"/>
        <v>2</v>
      </c>
      <c r="D1285" s="149" t="str">
        <f t="shared" ref="D1285:F1286" si="1347">D1284</f>
        <v>0,1-1</v>
      </c>
      <c r="E1285" s="149">
        <f t="shared" si="1347"/>
        <v>1</v>
      </c>
      <c r="F1285" s="149" t="str">
        <f t="shared" si="1347"/>
        <v>water</v>
      </c>
      <c r="G1285" s="146" t="str">
        <f t="shared" si="1336"/>
        <v>PBSA film 0,1-1 mm (emission to water)</v>
      </c>
      <c r="H1285" s="146"/>
      <c r="I1285" s="221" t="s">
        <v>1102</v>
      </c>
      <c r="J1285" s="225" t="s">
        <v>1097</v>
      </c>
      <c r="K1285" s="114">
        <f>K59</f>
        <v>50.414364640883996</v>
      </c>
      <c r="L1285" s="226">
        <f t="shared" si="1343"/>
        <v>9.9178082191780792</v>
      </c>
      <c r="M1285" s="295">
        <f t="shared" si="1346"/>
        <v>9.9178082191780786E-3</v>
      </c>
      <c r="N1285" s="615"/>
    </row>
    <row r="1286" spans="1:14" s="102" customFormat="1">
      <c r="A1286" s="172" t="str">
        <f>A1285</f>
        <v>PBSA</v>
      </c>
      <c r="B1286" s="149" t="str">
        <f>B1285</f>
        <v>film</v>
      </c>
      <c r="C1286" s="149">
        <f t="shared" si="1344"/>
        <v>2</v>
      </c>
      <c r="D1286" s="149" t="str">
        <f t="shared" si="1347"/>
        <v>0,1-1</v>
      </c>
      <c r="E1286" s="149">
        <f t="shared" si="1347"/>
        <v>1</v>
      </c>
      <c r="F1286" s="149" t="str">
        <f t="shared" si="1347"/>
        <v>water</v>
      </c>
      <c r="G1286" s="146" t="str">
        <f t="shared" ref="G1286" si="1348">CONCATENATE(A1286," ",B1286," ",D1286," mm (emission to ",F1286,")")</f>
        <v>PBSA film 0,1-1 mm (emission to water)</v>
      </c>
      <c r="H1286" s="146"/>
      <c r="I1286" s="221" t="s">
        <v>1102</v>
      </c>
      <c r="J1286" s="225" t="s">
        <v>1096</v>
      </c>
      <c r="K1286" s="114">
        <f>K60</f>
        <v>68.4375</v>
      </c>
      <c r="L1286" s="226">
        <f t="shared" ref="L1286" si="1349">IFERROR(IF(K1286="--",0,IF(E1286*1000/K1286*(1-0.5)^(C1286/2)&gt;1000,1000,E1286*1000/K1286*(1-0.5)^(C1286/2))),1000)</f>
        <v>7.3059360730593603</v>
      </c>
      <c r="M1286" s="295">
        <f t="shared" si="1346"/>
        <v>7.3059360730593605E-3</v>
      </c>
      <c r="N1286" s="615"/>
    </row>
    <row r="1287" spans="1:14" s="102" customFormat="1">
      <c r="A1287" s="173" t="str">
        <f>A1285</f>
        <v>PBSA</v>
      </c>
      <c r="B1287" s="150" t="str">
        <f>B1285</f>
        <v>film</v>
      </c>
      <c r="C1287" s="150">
        <f t="shared" si="1344"/>
        <v>2</v>
      </c>
      <c r="D1287" s="150" t="str">
        <f>D1285</f>
        <v>0,1-1</v>
      </c>
      <c r="E1287" s="150">
        <f>E1285</f>
        <v>1</v>
      </c>
      <c r="F1287" s="150" t="str">
        <f>F1285</f>
        <v>water</v>
      </c>
      <c r="G1287" s="147" t="str">
        <f t="shared" si="1336"/>
        <v>PBSA film 0,1-1 mm (emission to water)</v>
      </c>
      <c r="H1287" s="147"/>
      <c r="I1287" s="129">
        <v>0</v>
      </c>
      <c r="J1287" s="225" t="s">
        <v>1034</v>
      </c>
      <c r="K1287" s="151" t="s">
        <v>596</v>
      </c>
      <c r="L1287" s="226">
        <f t="shared" si="1343"/>
        <v>0</v>
      </c>
      <c r="M1287" s="295">
        <f t="shared" si="1346"/>
        <v>0</v>
      </c>
      <c r="N1287" s="616"/>
    </row>
    <row r="1288" spans="1:14" s="191" customFormat="1">
      <c r="A1288" s="174" t="s">
        <v>654</v>
      </c>
      <c r="B1288" s="288" t="s">
        <v>996</v>
      </c>
      <c r="C1288" s="290">
        <f>IF(OR(B1288="Folie", B1288="Strips", B1288="Film",B1288="Flakes",B1288="Coupon"), 2,IF(OR(B1288="Fibers",B1288="Pellets"),4,IF(OR(B1288="Particles",B1288="Shreds",B1288="Powder",B1288="Fragments",B1288="Granules"),6,"")))</f>
        <v>2</v>
      </c>
      <c r="D1288" s="290" t="s">
        <v>1028</v>
      </c>
      <c r="E1288" s="155">
        <v>1</v>
      </c>
      <c r="F1288" s="131" t="s">
        <v>1057</v>
      </c>
      <c r="G1288" s="134" t="str">
        <f t="shared" ref="G1288:G1290" si="1350">CONCATENATE(A1288," ",B1288," ",D1288," mm (emission to ",F1288,")")</f>
        <v>PBSA film 0,1-1 mm (emission to air)</v>
      </c>
      <c r="H1288" s="144"/>
      <c r="I1288" s="137">
        <v>0.97699999999999998</v>
      </c>
      <c r="J1288" s="101" t="s">
        <v>1019</v>
      </c>
      <c r="K1288" s="114">
        <f>K58</f>
        <v>50.414364640883996</v>
      </c>
      <c r="L1288" s="226">
        <f t="shared" ref="L1288:L1290" si="1351">IFERROR(IF(K1288="--",0,IF(E1288*1000/K1288*(1-0.5)^(C1288/2)&gt;1000,1000,E1288*1000/K1288*(1-0.5)^(C1288/2))),1000)</f>
        <v>9.9178082191780792</v>
      </c>
      <c r="M1288" s="158">
        <f>IF(L1288/1000&gt;1000,1000,L1288/1000)</f>
        <v>9.9178082191780786E-3</v>
      </c>
      <c r="N1288" s="610">
        <f>I1288*M1288+I1289*M1289</f>
        <v>9.9178082191780786E-3</v>
      </c>
    </row>
    <row r="1289" spans="1:14" s="191" customFormat="1">
      <c r="A1289" s="172" t="str">
        <f>A1288</f>
        <v>PBSA</v>
      </c>
      <c r="B1289" s="149" t="str">
        <f>B1288</f>
        <v>film</v>
      </c>
      <c r="C1289" s="149">
        <f t="shared" ref="C1289:C1290" si="1352">IF(OR(B1289="Folie", B1289="Strips", B1289="Film",B1289="Flakes",B1289="Coupon"), 2,IF(OR(B1289="Fibers",B1289="Pellets"),4,IF(OR(B1289="Particles",B1289="Shreds",B1289="Powder",B1289="Fragments",B1289="Granules"),6,"")))</f>
        <v>2</v>
      </c>
      <c r="D1289" s="149" t="str">
        <f t="shared" ref="D1289:F1289" si="1353">D1288</f>
        <v>0,1-1</v>
      </c>
      <c r="E1289" s="149">
        <f t="shared" si="1353"/>
        <v>1</v>
      </c>
      <c r="F1289" s="149" t="str">
        <f t="shared" si="1353"/>
        <v>air</v>
      </c>
      <c r="G1289" s="146" t="str">
        <f t="shared" si="1350"/>
        <v>PBSA film 0,1-1 mm (emission to air)</v>
      </c>
      <c r="H1289" s="146"/>
      <c r="I1289" s="129">
        <v>2.3E-2</v>
      </c>
      <c r="J1289" s="101" t="s">
        <v>1097</v>
      </c>
      <c r="K1289" s="114">
        <f>K59</f>
        <v>50.414364640883996</v>
      </c>
      <c r="L1289" s="226">
        <f t="shared" si="1351"/>
        <v>9.9178082191780792</v>
      </c>
      <c r="M1289" s="158">
        <f>IF(L1289/1000&gt;1000,1000,L1289/1000)</f>
        <v>9.9178082191780786E-3</v>
      </c>
      <c r="N1289" s="610"/>
    </row>
    <row r="1290" spans="1:14" s="191" customFormat="1">
      <c r="A1290" s="173" t="str">
        <f>A1289</f>
        <v>PBSA</v>
      </c>
      <c r="B1290" s="150" t="str">
        <f>B1289</f>
        <v>film</v>
      </c>
      <c r="C1290" s="150">
        <f t="shared" si="1352"/>
        <v>2</v>
      </c>
      <c r="D1290" s="150" t="str">
        <f t="shared" ref="D1290:F1290" si="1354">D1289</f>
        <v>0,1-1</v>
      </c>
      <c r="E1290" s="150">
        <f t="shared" si="1354"/>
        <v>1</v>
      </c>
      <c r="F1290" s="150" t="str">
        <f t="shared" si="1354"/>
        <v>air</v>
      </c>
      <c r="G1290" s="147" t="str">
        <f t="shared" si="1350"/>
        <v>PBSA film 0,1-1 mm (emission to air)</v>
      </c>
      <c r="H1290" s="147"/>
      <c r="I1290" s="129">
        <v>0</v>
      </c>
      <c r="J1290" s="101" t="s">
        <v>1034</v>
      </c>
      <c r="K1290" s="151" t="s">
        <v>596</v>
      </c>
      <c r="L1290" s="226">
        <f t="shared" si="1351"/>
        <v>0</v>
      </c>
      <c r="M1290" s="158">
        <f t="shared" ref="M1290" si="1355">IF(L1290/1000&gt;1000,1000,L1290/1000)</f>
        <v>0</v>
      </c>
      <c r="N1290" s="610"/>
    </row>
    <row r="1291" spans="1:14" s="102" customFormat="1">
      <c r="A1291" s="174" t="s">
        <v>654</v>
      </c>
      <c r="B1291" s="159" t="s">
        <v>996</v>
      </c>
      <c r="C1291" s="188">
        <f t="shared" si="1344"/>
        <v>2</v>
      </c>
      <c r="D1291" s="188" t="s">
        <v>1026</v>
      </c>
      <c r="E1291" s="155">
        <v>10</v>
      </c>
      <c r="F1291" s="131" t="s">
        <v>1019</v>
      </c>
      <c r="G1291" s="134" t="str">
        <f t="shared" ref="G1291:G1344" si="1356">CONCATENATE(A1291," ",B1291," ",D1291," mm (emission to ",F1291,")")</f>
        <v>PBSA film 1-10 mm (emission to soil)</v>
      </c>
      <c r="H1291" s="134"/>
      <c r="I1291" s="129">
        <v>1</v>
      </c>
      <c r="J1291" s="101" t="s">
        <v>1019</v>
      </c>
      <c r="K1291" s="114">
        <f>K58</f>
        <v>50.414364640883996</v>
      </c>
      <c r="L1291" s="226">
        <f t="shared" ref="L1291:L1297" si="1357">IFERROR(IF(K1291="--",0,IF(E1291*1000/K1291*(1-0.5)^(C1291/2)&gt;1000,1000,E1291*1000/K1291*(1-0.5)^(C1291/2))),1000)</f>
        <v>99.178082191780788</v>
      </c>
      <c r="M1291" s="158">
        <f>IF(L1291/1000&gt;1000,1000,L1291/1000)</f>
        <v>9.9178082191780786E-2</v>
      </c>
      <c r="N1291" s="610">
        <f>I1291*M1291+I1292*M1292</f>
        <v>9.9178082191780786E-2</v>
      </c>
    </row>
    <row r="1292" spans="1:14" s="102" customFormat="1">
      <c r="A1292" s="172" t="str">
        <f>A1291</f>
        <v>PBSA</v>
      </c>
      <c r="B1292" s="149" t="str">
        <f>B1291</f>
        <v>film</v>
      </c>
      <c r="C1292" s="149">
        <f t="shared" si="1344"/>
        <v>2</v>
      </c>
      <c r="D1292" s="149" t="str">
        <f t="shared" ref="D1292:F1293" si="1358">D1291</f>
        <v>1-10</v>
      </c>
      <c r="E1292" s="149">
        <f t="shared" si="1358"/>
        <v>10</v>
      </c>
      <c r="F1292" s="149" t="str">
        <f t="shared" si="1358"/>
        <v>soil</v>
      </c>
      <c r="G1292" s="146" t="str">
        <f t="shared" si="1356"/>
        <v>PBSA film 1-10 mm (emission to soil)</v>
      </c>
      <c r="H1292" s="146"/>
      <c r="I1292" s="129">
        <v>0</v>
      </c>
      <c r="J1292" s="101" t="s">
        <v>1097</v>
      </c>
      <c r="K1292" s="114">
        <f>K59</f>
        <v>50.414364640883996</v>
      </c>
      <c r="L1292" s="226">
        <f t="shared" si="1357"/>
        <v>99.178082191780788</v>
      </c>
      <c r="M1292" s="158">
        <f>IF(L1292/1000&gt;1000,1000,L1292/1000)</f>
        <v>9.9178082191780786E-2</v>
      </c>
      <c r="N1292" s="610"/>
    </row>
    <row r="1293" spans="1:14" s="102" customFormat="1">
      <c r="A1293" s="173" t="str">
        <f>A1292</f>
        <v>PBSA</v>
      </c>
      <c r="B1293" s="150" t="str">
        <f>B1292</f>
        <v>film</v>
      </c>
      <c r="C1293" s="150">
        <f t="shared" si="1344"/>
        <v>2</v>
      </c>
      <c r="D1293" s="150" t="str">
        <f t="shared" si="1358"/>
        <v>1-10</v>
      </c>
      <c r="E1293" s="150">
        <f t="shared" si="1358"/>
        <v>10</v>
      </c>
      <c r="F1293" s="150" t="str">
        <f t="shared" si="1358"/>
        <v>soil</v>
      </c>
      <c r="G1293" s="147" t="str">
        <f t="shared" si="1356"/>
        <v>PBSA film 1-10 mm (emission to soil)</v>
      </c>
      <c r="H1293" s="147"/>
      <c r="I1293" s="129">
        <v>0</v>
      </c>
      <c r="J1293" s="101" t="s">
        <v>1034</v>
      </c>
      <c r="K1293" s="114" t="s">
        <v>596</v>
      </c>
      <c r="L1293" s="226">
        <f t="shared" si="1357"/>
        <v>0</v>
      </c>
      <c r="M1293" s="158">
        <f t="shared" ref="M1293:M1297" si="1359">IF(L1293/1000&gt;1000,1000,L1293/1000)</f>
        <v>0</v>
      </c>
      <c r="N1293" s="610"/>
    </row>
    <row r="1294" spans="1:14" s="102" customFormat="1">
      <c r="A1294" s="174" t="s">
        <v>654</v>
      </c>
      <c r="B1294" s="159" t="s">
        <v>996</v>
      </c>
      <c r="C1294" s="290">
        <f t="shared" si="1344"/>
        <v>2</v>
      </c>
      <c r="D1294" s="290" t="s">
        <v>1026</v>
      </c>
      <c r="E1294" s="288">
        <v>10</v>
      </c>
      <c r="F1294" s="206" t="s">
        <v>1020</v>
      </c>
      <c r="G1294" s="144" t="str">
        <f t="shared" si="1356"/>
        <v>PBSA film 1-10 mm (emission to water)</v>
      </c>
      <c r="H1294" s="144"/>
      <c r="I1294" s="129">
        <v>0</v>
      </c>
      <c r="J1294" s="225" t="s">
        <v>1019</v>
      </c>
      <c r="K1294" s="114">
        <f>K58</f>
        <v>50.414364640883996</v>
      </c>
      <c r="L1294" s="226">
        <f t="shared" si="1357"/>
        <v>99.178082191780788</v>
      </c>
      <c r="M1294" s="295">
        <f t="shared" si="1359"/>
        <v>9.9178082191780786E-2</v>
      </c>
      <c r="N1294" s="614" t="e">
        <f>I1294*M1294+I1295*M1295+I1296*M1296</f>
        <v>#VALUE!</v>
      </c>
    </row>
    <row r="1295" spans="1:14" s="102" customFormat="1">
      <c r="A1295" s="172" t="str">
        <f>A1294</f>
        <v>PBSA</v>
      </c>
      <c r="B1295" s="149" t="str">
        <f>B1294</f>
        <v>film</v>
      </c>
      <c r="C1295" s="149">
        <f t="shared" si="1344"/>
        <v>2</v>
      </c>
      <c r="D1295" s="149" t="str">
        <f t="shared" ref="D1295:F1296" si="1360">D1294</f>
        <v>1-10</v>
      </c>
      <c r="E1295" s="149">
        <f t="shared" si="1360"/>
        <v>10</v>
      </c>
      <c r="F1295" s="149" t="str">
        <f t="shared" si="1360"/>
        <v>water</v>
      </c>
      <c r="G1295" s="146" t="str">
        <f t="shared" si="1356"/>
        <v>PBSA film 1-10 mm (emission to water)</v>
      </c>
      <c r="H1295" s="146"/>
      <c r="I1295" s="221" t="s">
        <v>1102</v>
      </c>
      <c r="J1295" s="225" t="s">
        <v>1097</v>
      </c>
      <c r="K1295" s="114">
        <f>K59</f>
        <v>50.414364640883996</v>
      </c>
      <c r="L1295" s="226">
        <f t="shared" si="1357"/>
        <v>99.178082191780788</v>
      </c>
      <c r="M1295" s="295">
        <f t="shared" si="1359"/>
        <v>9.9178082191780786E-2</v>
      </c>
      <c r="N1295" s="615"/>
    </row>
    <row r="1296" spans="1:14" s="102" customFormat="1">
      <c r="A1296" s="172" t="str">
        <f>A1295</f>
        <v>PBSA</v>
      </c>
      <c r="B1296" s="149" t="str">
        <f>B1295</f>
        <v>film</v>
      </c>
      <c r="C1296" s="149">
        <f t="shared" ref="C1296" si="1361">IF(OR(B1296="Folie", B1296="Strips", B1296="Film",B1296="Flakes",B1296="Coupon"), 2,IF(OR(B1296="Fibers",B1296="Pellets"),4,IF(OR(B1296="Particles",B1296="Shreds",B1296="Powder",B1296="Fragments",B1296="Granules"),6,"")))</f>
        <v>2</v>
      </c>
      <c r="D1296" s="149" t="str">
        <f t="shared" si="1360"/>
        <v>1-10</v>
      </c>
      <c r="E1296" s="149">
        <f t="shared" si="1360"/>
        <v>10</v>
      </c>
      <c r="F1296" s="149" t="str">
        <f t="shared" si="1360"/>
        <v>water</v>
      </c>
      <c r="G1296" s="146" t="str">
        <f t="shared" si="1356"/>
        <v>PBSA film 1-10 mm (emission to water)</v>
      </c>
      <c r="H1296" s="146"/>
      <c r="I1296" s="221" t="s">
        <v>1102</v>
      </c>
      <c r="J1296" s="225" t="s">
        <v>1096</v>
      </c>
      <c r="K1296" s="114">
        <f>K60</f>
        <v>68.4375</v>
      </c>
      <c r="L1296" s="226">
        <f t="shared" ref="L1296" si="1362">IFERROR(IF(K1296="--",0,IF(E1296*1000/K1296*(1-0.5)^(C1296/2)&gt;1000,1000,E1296*1000/K1296*(1-0.5)^(C1296/2))),1000)</f>
        <v>73.05936073059361</v>
      </c>
      <c r="M1296" s="295">
        <f t="shared" si="1359"/>
        <v>7.3059360730593617E-2</v>
      </c>
      <c r="N1296" s="615"/>
    </row>
    <row r="1297" spans="1:14" s="102" customFormat="1">
      <c r="A1297" s="173" t="str">
        <f>A1295</f>
        <v>PBSA</v>
      </c>
      <c r="B1297" s="150" t="str">
        <f>B1295</f>
        <v>film</v>
      </c>
      <c r="C1297" s="150">
        <f t="shared" si="1344"/>
        <v>2</v>
      </c>
      <c r="D1297" s="150" t="str">
        <f>D1295</f>
        <v>1-10</v>
      </c>
      <c r="E1297" s="150">
        <f>E1295</f>
        <v>10</v>
      </c>
      <c r="F1297" s="150" t="str">
        <f>F1295</f>
        <v>water</v>
      </c>
      <c r="G1297" s="147" t="str">
        <f t="shared" si="1356"/>
        <v>PBSA film 1-10 mm (emission to water)</v>
      </c>
      <c r="H1297" s="147"/>
      <c r="I1297" s="129">
        <v>0</v>
      </c>
      <c r="J1297" s="225" t="s">
        <v>1034</v>
      </c>
      <c r="K1297" s="114" t="s">
        <v>596</v>
      </c>
      <c r="L1297" s="226">
        <f t="shared" si="1357"/>
        <v>0</v>
      </c>
      <c r="M1297" s="295">
        <f t="shared" si="1359"/>
        <v>0</v>
      </c>
      <c r="N1297" s="616"/>
    </row>
    <row r="1298" spans="1:14" s="191" customFormat="1">
      <c r="A1298" s="174" t="s">
        <v>654</v>
      </c>
      <c r="B1298" s="159" t="s">
        <v>996</v>
      </c>
      <c r="C1298" s="290">
        <f t="shared" ref="C1298:C1300" si="1363">IF(OR(B1298="Folie", B1298="Strips", B1298="Film",B1298="Flakes",B1298="Coupon"), 2,IF(OR(B1298="Fibers",B1298="Pellets"),4,IF(OR(B1298="Particles",B1298="Shreds",B1298="Powder",B1298="Fragments",B1298="Granules"),6,"")))</f>
        <v>2</v>
      </c>
      <c r="D1298" s="290" t="s">
        <v>1026</v>
      </c>
      <c r="E1298" s="155">
        <v>10</v>
      </c>
      <c r="F1298" s="131" t="s">
        <v>1057</v>
      </c>
      <c r="G1298" s="134" t="str">
        <f t="shared" ref="G1298:G1300" si="1364">CONCATENATE(A1298," ",B1298," ",D1298," mm (emission to ",F1298,")")</f>
        <v>PBSA film 1-10 mm (emission to air)</v>
      </c>
      <c r="H1298" s="134"/>
      <c r="I1298" s="137">
        <v>0.97699999999999998</v>
      </c>
      <c r="J1298" s="101" t="s">
        <v>1019</v>
      </c>
      <c r="K1298" s="114">
        <f>K58</f>
        <v>50.414364640883996</v>
      </c>
      <c r="L1298" s="226">
        <f t="shared" ref="L1298:L1300" si="1365">IFERROR(IF(K1298="--",0,IF(E1298*1000/K1298*(1-0.5)^(C1298/2)&gt;1000,1000,E1298*1000/K1298*(1-0.5)^(C1298/2))),1000)</f>
        <v>99.178082191780788</v>
      </c>
      <c r="M1298" s="158">
        <f>IF(L1298/1000&gt;1000,1000,L1298/1000)</f>
        <v>9.9178082191780786E-2</v>
      </c>
      <c r="N1298" s="610">
        <f>I1298*M1298+I1299*M1299</f>
        <v>9.9178082191780786E-2</v>
      </c>
    </row>
    <row r="1299" spans="1:14" s="191" customFormat="1">
      <c r="A1299" s="172" t="str">
        <f>A1298</f>
        <v>PBSA</v>
      </c>
      <c r="B1299" s="149" t="str">
        <f>B1298</f>
        <v>film</v>
      </c>
      <c r="C1299" s="149">
        <f t="shared" si="1363"/>
        <v>2</v>
      </c>
      <c r="D1299" s="149" t="str">
        <f t="shared" ref="D1299:F1299" si="1366">D1298</f>
        <v>1-10</v>
      </c>
      <c r="E1299" s="149">
        <f t="shared" si="1366"/>
        <v>10</v>
      </c>
      <c r="F1299" s="149" t="str">
        <f t="shared" si="1366"/>
        <v>air</v>
      </c>
      <c r="G1299" s="146" t="str">
        <f t="shared" si="1364"/>
        <v>PBSA film 1-10 mm (emission to air)</v>
      </c>
      <c r="H1299" s="146"/>
      <c r="I1299" s="129">
        <v>2.3E-2</v>
      </c>
      <c r="J1299" s="101" t="s">
        <v>1097</v>
      </c>
      <c r="K1299" s="114">
        <f>K59</f>
        <v>50.414364640883996</v>
      </c>
      <c r="L1299" s="226">
        <f t="shared" si="1365"/>
        <v>99.178082191780788</v>
      </c>
      <c r="M1299" s="158">
        <f>IF(L1299/1000&gt;1000,1000,L1299/1000)</f>
        <v>9.9178082191780786E-2</v>
      </c>
      <c r="N1299" s="610"/>
    </row>
    <row r="1300" spans="1:14" s="191" customFormat="1">
      <c r="A1300" s="173" t="str">
        <f>A1299</f>
        <v>PBSA</v>
      </c>
      <c r="B1300" s="150" t="str">
        <f>B1299</f>
        <v>film</v>
      </c>
      <c r="C1300" s="150">
        <f t="shared" si="1363"/>
        <v>2</v>
      </c>
      <c r="D1300" s="150" t="str">
        <f t="shared" ref="D1300:F1300" si="1367">D1299</f>
        <v>1-10</v>
      </c>
      <c r="E1300" s="150">
        <f t="shared" si="1367"/>
        <v>10</v>
      </c>
      <c r="F1300" s="150" t="str">
        <f t="shared" si="1367"/>
        <v>air</v>
      </c>
      <c r="G1300" s="147" t="str">
        <f t="shared" si="1364"/>
        <v>PBSA film 1-10 mm (emission to air)</v>
      </c>
      <c r="H1300" s="147"/>
      <c r="I1300" s="129">
        <v>0</v>
      </c>
      <c r="J1300" s="101" t="s">
        <v>1034</v>
      </c>
      <c r="K1300" s="114" t="s">
        <v>596</v>
      </c>
      <c r="L1300" s="226">
        <f t="shared" si="1365"/>
        <v>0</v>
      </c>
      <c r="M1300" s="158">
        <f t="shared" ref="M1300" si="1368">IF(L1300/1000&gt;1000,1000,L1300/1000)</f>
        <v>0</v>
      </c>
      <c r="N1300" s="610"/>
    </row>
    <row r="1301" spans="1:14" s="102" customFormat="1">
      <c r="A1301" s="174" t="s">
        <v>654</v>
      </c>
      <c r="B1301" s="159" t="s">
        <v>1051</v>
      </c>
      <c r="C1301" s="188">
        <f t="shared" si="1344"/>
        <v>4</v>
      </c>
      <c r="D1301" s="188" t="s">
        <v>1028</v>
      </c>
      <c r="E1301" s="155">
        <v>1</v>
      </c>
      <c r="F1301" s="131" t="s">
        <v>1019</v>
      </c>
      <c r="G1301" s="134" t="str">
        <f t="shared" si="1356"/>
        <v>PBSA fibers 0,1-1 mm (emission to soil)</v>
      </c>
      <c r="H1301" s="193"/>
      <c r="I1301" s="129">
        <v>1</v>
      </c>
      <c r="J1301" s="101" t="s">
        <v>1019</v>
      </c>
      <c r="K1301" s="114">
        <f>K58</f>
        <v>50.414364640883996</v>
      </c>
      <c r="L1301" s="226">
        <f t="shared" ref="L1301:L1307" si="1369">IFERROR(IF(K1301="--",0,IF(E1301*1000/K1301*(1-0.5)^(C1301/2)&gt;1000,1000,E1301*1000/K1301*(1-0.5)^(C1301/2))),1000)</f>
        <v>4.9589041095890396</v>
      </c>
      <c r="M1301" s="158">
        <f>IF(L1301/1000&gt;1000,1000,L1301/1000)</f>
        <v>4.9589041095890393E-3</v>
      </c>
      <c r="N1301" s="610">
        <f>I1301*M1301+I1302*M1302</f>
        <v>4.9589041095890393E-3</v>
      </c>
    </row>
    <row r="1302" spans="1:14" s="102" customFormat="1">
      <c r="A1302" s="172" t="str">
        <f>A1301</f>
        <v>PBSA</v>
      </c>
      <c r="B1302" s="149" t="str">
        <f>B1301</f>
        <v>fibers</v>
      </c>
      <c r="C1302" s="149">
        <f t="shared" si="1344"/>
        <v>4</v>
      </c>
      <c r="D1302" s="149" t="str">
        <f t="shared" ref="D1302:F1303" si="1370">D1301</f>
        <v>0,1-1</v>
      </c>
      <c r="E1302" s="149">
        <f t="shared" si="1370"/>
        <v>1</v>
      </c>
      <c r="F1302" s="149" t="str">
        <f t="shared" si="1370"/>
        <v>soil</v>
      </c>
      <c r="G1302" s="146" t="str">
        <f t="shared" si="1356"/>
        <v>PBSA fibers 0,1-1 mm (emission to soil)</v>
      </c>
      <c r="H1302" s="146"/>
      <c r="I1302" s="129">
        <v>0</v>
      </c>
      <c r="J1302" s="101" t="s">
        <v>1097</v>
      </c>
      <c r="K1302" s="114">
        <f>K59</f>
        <v>50.414364640883996</v>
      </c>
      <c r="L1302" s="226">
        <f t="shared" si="1369"/>
        <v>4.9589041095890396</v>
      </c>
      <c r="M1302" s="158">
        <f>IF(L1302/1000&gt;1000,1000,L1302/1000)</f>
        <v>4.9589041095890393E-3</v>
      </c>
      <c r="N1302" s="610"/>
    </row>
    <row r="1303" spans="1:14" s="102" customFormat="1">
      <c r="A1303" s="173" t="str">
        <f>A1302</f>
        <v>PBSA</v>
      </c>
      <c r="B1303" s="150" t="str">
        <f>B1302</f>
        <v>fibers</v>
      </c>
      <c r="C1303" s="150">
        <f t="shared" si="1344"/>
        <v>4</v>
      </c>
      <c r="D1303" s="150" t="str">
        <f t="shared" si="1370"/>
        <v>0,1-1</v>
      </c>
      <c r="E1303" s="150">
        <f t="shared" si="1370"/>
        <v>1</v>
      </c>
      <c r="F1303" s="150" t="str">
        <f t="shared" si="1370"/>
        <v>soil</v>
      </c>
      <c r="G1303" s="147" t="str">
        <f t="shared" si="1356"/>
        <v>PBSA fibers 0,1-1 mm (emission to soil)</v>
      </c>
      <c r="H1303" s="146"/>
      <c r="I1303" s="129">
        <v>0</v>
      </c>
      <c r="J1303" s="101" t="s">
        <v>1034</v>
      </c>
      <c r="K1303" s="151" t="s">
        <v>596</v>
      </c>
      <c r="L1303" s="226">
        <f t="shared" si="1369"/>
        <v>0</v>
      </c>
      <c r="M1303" s="158">
        <f t="shared" ref="M1303:M1307" si="1371">IF(L1303/1000&gt;1000,1000,L1303/1000)</f>
        <v>0</v>
      </c>
      <c r="N1303" s="610"/>
    </row>
    <row r="1304" spans="1:14" s="102" customFormat="1">
      <c r="A1304" s="174" t="s">
        <v>654</v>
      </c>
      <c r="B1304" s="159" t="s">
        <v>1051</v>
      </c>
      <c r="C1304" s="290">
        <f t="shared" si="1344"/>
        <v>4</v>
      </c>
      <c r="D1304" s="290" t="s">
        <v>1028</v>
      </c>
      <c r="E1304" s="290">
        <v>1</v>
      </c>
      <c r="F1304" s="206" t="s">
        <v>1020</v>
      </c>
      <c r="G1304" s="144" t="str">
        <f t="shared" si="1356"/>
        <v>PBSA fibers 0,1-1 mm (emission to water)</v>
      </c>
      <c r="H1304" s="192"/>
      <c r="I1304" s="129">
        <v>0</v>
      </c>
      <c r="J1304" s="225" t="s">
        <v>1019</v>
      </c>
      <c r="K1304" s="114">
        <f>K58</f>
        <v>50.414364640883996</v>
      </c>
      <c r="L1304" s="226">
        <f t="shared" si="1369"/>
        <v>4.9589041095890396</v>
      </c>
      <c r="M1304" s="295">
        <f t="shared" si="1371"/>
        <v>4.9589041095890393E-3</v>
      </c>
      <c r="N1304" s="614" t="e">
        <f>I1304*M1304+I1305*M1305+I1306*M1306</f>
        <v>#VALUE!</v>
      </c>
    </row>
    <row r="1305" spans="1:14" s="102" customFormat="1">
      <c r="A1305" s="172" t="str">
        <f>A1304</f>
        <v>PBSA</v>
      </c>
      <c r="B1305" s="149" t="str">
        <f>B1304</f>
        <v>fibers</v>
      </c>
      <c r="C1305" s="149">
        <f t="shared" si="1344"/>
        <v>4</v>
      </c>
      <c r="D1305" s="149" t="str">
        <f t="shared" ref="D1305:F1306" si="1372">D1304</f>
        <v>0,1-1</v>
      </c>
      <c r="E1305" s="149">
        <f t="shared" si="1372"/>
        <v>1</v>
      </c>
      <c r="F1305" s="149" t="str">
        <f t="shared" si="1372"/>
        <v>water</v>
      </c>
      <c r="G1305" s="146" t="str">
        <f t="shared" si="1356"/>
        <v>PBSA fibers 0,1-1 mm (emission to water)</v>
      </c>
      <c r="H1305" s="146"/>
      <c r="I1305" s="221" t="s">
        <v>1102</v>
      </c>
      <c r="J1305" s="225" t="s">
        <v>1097</v>
      </c>
      <c r="K1305" s="114">
        <f>K59</f>
        <v>50.414364640883996</v>
      </c>
      <c r="L1305" s="226">
        <f t="shared" si="1369"/>
        <v>4.9589041095890396</v>
      </c>
      <c r="M1305" s="295">
        <f t="shared" si="1371"/>
        <v>4.9589041095890393E-3</v>
      </c>
      <c r="N1305" s="615"/>
    </row>
    <row r="1306" spans="1:14" s="102" customFormat="1">
      <c r="A1306" s="172" t="str">
        <f>A1305</f>
        <v>PBSA</v>
      </c>
      <c r="B1306" s="149" t="str">
        <f>B1305</f>
        <v>fibers</v>
      </c>
      <c r="C1306" s="149">
        <f t="shared" si="1344"/>
        <v>4</v>
      </c>
      <c r="D1306" s="149" t="str">
        <f t="shared" si="1372"/>
        <v>0,1-1</v>
      </c>
      <c r="E1306" s="149">
        <f t="shared" si="1372"/>
        <v>1</v>
      </c>
      <c r="F1306" s="149" t="str">
        <f t="shared" si="1372"/>
        <v>water</v>
      </c>
      <c r="G1306" s="146" t="str">
        <f t="shared" ref="G1306" si="1373">CONCATENATE(A1306," ",B1306," ",D1306," mm (emission to ",F1306,")")</f>
        <v>PBSA fibers 0,1-1 mm (emission to water)</v>
      </c>
      <c r="H1306" s="146"/>
      <c r="I1306" s="221" t="s">
        <v>1102</v>
      </c>
      <c r="J1306" s="225" t="s">
        <v>1096</v>
      </c>
      <c r="K1306" s="114">
        <f>K60</f>
        <v>68.4375</v>
      </c>
      <c r="L1306" s="226">
        <f t="shared" ref="L1306" si="1374">IFERROR(IF(K1306="--",0,IF(E1306*1000/K1306*(1-0.5)^(C1306/2)&gt;1000,1000,E1306*1000/K1306*(1-0.5)^(C1306/2))),1000)</f>
        <v>3.6529680365296802</v>
      </c>
      <c r="M1306" s="295">
        <f t="shared" si="1371"/>
        <v>3.6529680365296802E-3</v>
      </c>
      <c r="N1306" s="615"/>
    </row>
    <row r="1307" spans="1:14" s="102" customFormat="1">
      <c r="A1307" s="173" t="str">
        <f>A1305</f>
        <v>PBSA</v>
      </c>
      <c r="B1307" s="150" t="str">
        <f>B1305</f>
        <v>fibers</v>
      </c>
      <c r="C1307" s="150">
        <f t="shared" si="1344"/>
        <v>4</v>
      </c>
      <c r="D1307" s="150" t="str">
        <f>D1305</f>
        <v>0,1-1</v>
      </c>
      <c r="E1307" s="150">
        <f>E1305</f>
        <v>1</v>
      </c>
      <c r="F1307" s="150" t="str">
        <f>F1305</f>
        <v>water</v>
      </c>
      <c r="G1307" s="147" t="str">
        <f t="shared" si="1356"/>
        <v>PBSA fibers 0,1-1 mm (emission to water)</v>
      </c>
      <c r="H1307" s="147"/>
      <c r="I1307" s="129">
        <v>0</v>
      </c>
      <c r="J1307" s="225" t="s">
        <v>1034</v>
      </c>
      <c r="K1307" s="114" t="s">
        <v>596</v>
      </c>
      <c r="L1307" s="226">
        <f t="shared" si="1369"/>
        <v>0</v>
      </c>
      <c r="M1307" s="295">
        <f t="shared" si="1371"/>
        <v>0</v>
      </c>
      <c r="N1307" s="616"/>
    </row>
    <row r="1308" spans="1:14" s="191" customFormat="1">
      <c r="A1308" s="231" t="s">
        <v>654</v>
      </c>
      <c r="B1308" s="301" t="s">
        <v>1051</v>
      </c>
      <c r="C1308" s="291">
        <f t="shared" ref="C1308:C1310" si="1375">IF(OR(B1308="Folie", B1308="Strips", B1308="Film",B1308="Flakes",B1308="Coupon"), 2,IF(OR(B1308="Fibers",B1308="Pellets"),4,IF(OR(B1308="Particles",B1308="Shreds",B1308="Powder",B1308="Fragments",B1308="Granules"),6,"")))</f>
        <v>4</v>
      </c>
      <c r="D1308" s="291" t="s">
        <v>1028</v>
      </c>
      <c r="E1308" s="294">
        <v>1</v>
      </c>
      <c r="F1308" s="232" t="s">
        <v>1057</v>
      </c>
      <c r="G1308" s="233" t="str">
        <f t="shared" ref="G1308:G1310" si="1376">CONCATENATE(A1308," ",B1308," ",D1308," mm (emission to ",F1308,")")</f>
        <v>PBSA fibers 0,1-1 mm (emission to air)</v>
      </c>
      <c r="H1308" s="193"/>
      <c r="I1308" s="137">
        <v>0.97699999999999998</v>
      </c>
      <c r="J1308" s="101" t="s">
        <v>1019</v>
      </c>
      <c r="K1308" s="114">
        <f>K58</f>
        <v>50.414364640883996</v>
      </c>
      <c r="L1308" s="226">
        <f t="shared" ref="L1308:L1310" si="1377">IFERROR(IF(K1308="--",0,IF(E1308*1000/K1308*(1-0.5)^(C1308/2)&gt;1000,1000,E1308*1000/K1308*(1-0.5)^(C1308/2))),1000)</f>
        <v>4.9589041095890396</v>
      </c>
      <c r="M1308" s="158">
        <f>IF(L1308/1000&gt;1000,1000,L1308/1000)</f>
        <v>4.9589041095890393E-3</v>
      </c>
      <c r="N1308" s="610">
        <f>I1308*M1308+I1309*M1309</f>
        <v>4.9589041095890393E-3</v>
      </c>
    </row>
    <row r="1309" spans="1:14" s="191" customFormat="1">
      <c r="A1309" s="172" t="str">
        <f>A1308</f>
        <v>PBSA</v>
      </c>
      <c r="B1309" s="149" t="str">
        <f>B1308</f>
        <v>fibers</v>
      </c>
      <c r="C1309" s="149">
        <f t="shared" si="1375"/>
        <v>4</v>
      </c>
      <c r="D1309" s="149" t="str">
        <f t="shared" ref="D1309:F1309" si="1378">D1308</f>
        <v>0,1-1</v>
      </c>
      <c r="E1309" s="149">
        <f t="shared" si="1378"/>
        <v>1</v>
      </c>
      <c r="F1309" s="149" t="str">
        <f t="shared" si="1378"/>
        <v>air</v>
      </c>
      <c r="G1309" s="146" t="str">
        <f t="shared" si="1376"/>
        <v>PBSA fibers 0,1-1 mm (emission to air)</v>
      </c>
      <c r="H1309" s="146"/>
      <c r="I1309" s="129">
        <v>2.3E-2</v>
      </c>
      <c r="J1309" s="101" t="s">
        <v>1097</v>
      </c>
      <c r="K1309" s="114">
        <f>K59</f>
        <v>50.414364640883996</v>
      </c>
      <c r="L1309" s="226">
        <f t="shared" si="1377"/>
        <v>4.9589041095890396</v>
      </c>
      <c r="M1309" s="158">
        <f>IF(L1309/1000&gt;1000,1000,L1309/1000)</f>
        <v>4.9589041095890393E-3</v>
      </c>
      <c r="N1309" s="610"/>
    </row>
    <row r="1310" spans="1:14" s="191" customFormat="1">
      <c r="A1310" s="173" t="str">
        <f>A1309</f>
        <v>PBSA</v>
      </c>
      <c r="B1310" s="150" t="str">
        <f>B1309</f>
        <v>fibers</v>
      </c>
      <c r="C1310" s="150">
        <f t="shared" si="1375"/>
        <v>4</v>
      </c>
      <c r="D1310" s="150" t="str">
        <f t="shared" ref="D1310:F1310" si="1379">D1309</f>
        <v>0,1-1</v>
      </c>
      <c r="E1310" s="150">
        <f t="shared" si="1379"/>
        <v>1</v>
      </c>
      <c r="F1310" s="150" t="str">
        <f t="shared" si="1379"/>
        <v>air</v>
      </c>
      <c r="G1310" s="147" t="str">
        <f t="shared" si="1376"/>
        <v>PBSA fibers 0,1-1 mm (emission to air)</v>
      </c>
      <c r="H1310" s="146"/>
      <c r="I1310" s="129">
        <v>0</v>
      </c>
      <c r="J1310" s="101" t="s">
        <v>1034</v>
      </c>
      <c r="K1310" s="151" t="s">
        <v>596</v>
      </c>
      <c r="L1310" s="226">
        <f t="shared" si="1377"/>
        <v>0</v>
      </c>
      <c r="M1310" s="158">
        <f t="shared" ref="M1310" si="1380">IF(L1310/1000&gt;1000,1000,L1310/1000)</f>
        <v>0</v>
      </c>
      <c r="N1310" s="610"/>
    </row>
    <row r="1311" spans="1:14" s="135" customFormat="1">
      <c r="A1311" s="174" t="s">
        <v>654</v>
      </c>
      <c r="B1311" s="185" t="s">
        <v>372</v>
      </c>
      <c r="C1311" s="140">
        <f t="shared" si="1344"/>
        <v>4</v>
      </c>
      <c r="D1311" s="153" t="s">
        <v>1026</v>
      </c>
      <c r="E1311" s="155">
        <v>10</v>
      </c>
      <c r="F1311" s="154" t="s">
        <v>1019</v>
      </c>
      <c r="G1311" s="134" t="str">
        <f t="shared" si="1356"/>
        <v>PBSA pellets 1-10 mm (emission to soil)</v>
      </c>
      <c r="H1311" s="148"/>
      <c r="I1311" s="129">
        <v>1</v>
      </c>
      <c r="J1311" s="101" t="s">
        <v>1019</v>
      </c>
      <c r="K1311" s="114">
        <f>K58</f>
        <v>50.414364640883996</v>
      </c>
      <c r="L1311" s="226">
        <f t="shared" ref="L1311:L1317" si="1381">IFERROR(IF(K1311="--",0,IF(E1311*1000/K1311*(1-0.5)^(C1311/2)&gt;1000,1000,E1311*1000/K1311*(1-0.5)^(C1311/2))),1000)</f>
        <v>49.589041095890394</v>
      </c>
      <c r="M1311" s="158">
        <f>IF(L1311/1000&gt;1000,1000,L1311/1000)</f>
        <v>4.9589041095890393E-2</v>
      </c>
      <c r="N1311" s="610">
        <f>I1311*M1311+I1312*M1312</f>
        <v>4.9589041095890393E-2</v>
      </c>
    </row>
    <row r="1312" spans="1:14" s="102" customFormat="1">
      <c r="A1312" s="172" t="str">
        <f>A1311</f>
        <v>PBSA</v>
      </c>
      <c r="B1312" s="149" t="str">
        <f>B1311</f>
        <v>pellets</v>
      </c>
      <c r="C1312" s="149">
        <f t="shared" si="1344"/>
        <v>4</v>
      </c>
      <c r="D1312" s="149" t="str">
        <f t="shared" ref="D1312:F1313" si="1382">D1311</f>
        <v>1-10</v>
      </c>
      <c r="E1312" s="149">
        <f t="shared" si="1382"/>
        <v>10</v>
      </c>
      <c r="F1312" s="149" t="str">
        <f t="shared" si="1382"/>
        <v>soil</v>
      </c>
      <c r="G1312" s="146" t="str">
        <f t="shared" si="1356"/>
        <v>PBSA pellets 1-10 mm (emission to soil)</v>
      </c>
      <c r="H1312" s="146"/>
      <c r="I1312" s="129">
        <v>0</v>
      </c>
      <c r="J1312" s="101" t="s">
        <v>1097</v>
      </c>
      <c r="K1312" s="114">
        <f>K59</f>
        <v>50.414364640883996</v>
      </c>
      <c r="L1312" s="226">
        <f t="shared" si="1381"/>
        <v>49.589041095890394</v>
      </c>
      <c r="M1312" s="158">
        <f>IF(L1312/1000&gt;1000,1000,L1312/1000)</f>
        <v>4.9589041095890393E-2</v>
      </c>
      <c r="N1312" s="610"/>
    </row>
    <row r="1313" spans="1:14" s="102" customFormat="1">
      <c r="A1313" s="173" t="str">
        <f>A1312</f>
        <v>PBSA</v>
      </c>
      <c r="B1313" s="150" t="str">
        <f>B1312</f>
        <v>pellets</v>
      </c>
      <c r="C1313" s="150">
        <f t="shared" si="1344"/>
        <v>4</v>
      </c>
      <c r="D1313" s="150" t="str">
        <f t="shared" si="1382"/>
        <v>1-10</v>
      </c>
      <c r="E1313" s="150">
        <f t="shared" si="1382"/>
        <v>10</v>
      </c>
      <c r="F1313" s="150" t="str">
        <f t="shared" si="1382"/>
        <v>soil</v>
      </c>
      <c r="G1313" s="147" t="str">
        <f t="shared" si="1356"/>
        <v>PBSA pellets 1-10 mm (emission to soil)</v>
      </c>
      <c r="H1313" s="147">
        <f>H1312</f>
        <v>0</v>
      </c>
      <c r="I1313" s="129">
        <v>0</v>
      </c>
      <c r="J1313" s="101" t="s">
        <v>1034</v>
      </c>
      <c r="K1313" s="114" t="s">
        <v>596</v>
      </c>
      <c r="L1313" s="226">
        <f t="shared" si="1381"/>
        <v>0</v>
      </c>
      <c r="M1313" s="158">
        <f t="shared" ref="M1313:M1317" si="1383">IF(L1313/1000&gt;1000,1000,L1313/1000)</f>
        <v>0</v>
      </c>
      <c r="N1313" s="610"/>
    </row>
    <row r="1314" spans="1:14" s="102" customFormat="1">
      <c r="A1314" s="174" t="s">
        <v>654</v>
      </c>
      <c r="B1314" s="155" t="s">
        <v>372</v>
      </c>
      <c r="C1314" s="290">
        <f t="shared" si="1344"/>
        <v>4</v>
      </c>
      <c r="D1314" s="153" t="s">
        <v>1026</v>
      </c>
      <c r="E1314" s="288">
        <v>10</v>
      </c>
      <c r="F1314" s="189" t="s">
        <v>1020</v>
      </c>
      <c r="G1314" s="144" t="str">
        <f t="shared" si="1356"/>
        <v>PBSA pellets 1-10 mm (emission to water)</v>
      </c>
      <c r="H1314" s="192"/>
      <c r="I1314" s="129">
        <v>0</v>
      </c>
      <c r="J1314" s="225" t="s">
        <v>1019</v>
      </c>
      <c r="K1314" s="114">
        <f>K58</f>
        <v>50.414364640883996</v>
      </c>
      <c r="L1314" s="226">
        <f t="shared" si="1381"/>
        <v>49.589041095890394</v>
      </c>
      <c r="M1314" s="295">
        <f t="shared" si="1383"/>
        <v>4.9589041095890393E-2</v>
      </c>
      <c r="N1314" s="614" t="e">
        <f>I1314*M1314+I1315*M1315+I1316*M1316</f>
        <v>#VALUE!</v>
      </c>
    </row>
    <row r="1315" spans="1:14" s="102" customFormat="1">
      <c r="A1315" s="172" t="str">
        <f>A1314</f>
        <v>PBSA</v>
      </c>
      <c r="B1315" s="149" t="str">
        <f>B1314</f>
        <v>pellets</v>
      </c>
      <c r="C1315" s="149">
        <f t="shared" si="1344"/>
        <v>4</v>
      </c>
      <c r="D1315" s="149" t="str">
        <f t="shared" ref="D1315:F1316" si="1384">D1314</f>
        <v>1-10</v>
      </c>
      <c r="E1315" s="149">
        <f t="shared" si="1384"/>
        <v>10</v>
      </c>
      <c r="F1315" s="149" t="str">
        <f t="shared" si="1384"/>
        <v>water</v>
      </c>
      <c r="G1315" s="146" t="str">
        <f t="shared" si="1356"/>
        <v>PBSA pellets 1-10 mm (emission to water)</v>
      </c>
      <c r="H1315" s="146"/>
      <c r="I1315" s="221" t="s">
        <v>1102</v>
      </c>
      <c r="J1315" s="225" t="s">
        <v>1097</v>
      </c>
      <c r="K1315" s="114">
        <f>K59</f>
        <v>50.414364640883996</v>
      </c>
      <c r="L1315" s="226">
        <f t="shared" si="1381"/>
        <v>49.589041095890394</v>
      </c>
      <c r="M1315" s="295">
        <f t="shared" si="1383"/>
        <v>4.9589041095890393E-2</v>
      </c>
      <c r="N1315" s="615"/>
    </row>
    <row r="1316" spans="1:14" s="102" customFormat="1">
      <c r="A1316" s="172" t="str">
        <f>A1315</f>
        <v>PBSA</v>
      </c>
      <c r="B1316" s="149" t="str">
        <f>B1315</f>
        <v>pellets</v>
      </c>
      <c r="C1316" s="149">
        <f t="shared" ref="C1316" si="1385">IF(OR(B1316="Folie", B1316="Strips", B1316="Film",B1316="Flakes",B1316="Coupon"), 2,IF(OR(B1316="Fibers",B1316="Pellets"),4,IF(OR(B1316="Particles",B1316="Shreds",B1316="Powder",B1316="Fragments",B1316="Granules"),6,"")))</f>
        <v>4</v>
      </c>
      <c r="D1316" s="149" t="str">
        <f t="shared" si="1384"/>
        <v>1-10</v>
      </c>
      <c r="E1316" s="149">
        <f t="shared" si="1384"/>
        <v>10</v>
      </c>
      <c r="F1316" s="149" t="str">
        <f t="shared" si="1384"/>
        <v>water</v>
      </c>
      <c r="G1316" s="146" t="str">
        <f t="shared" si="1356"/>
        <v>PBSA pellets 1-10 mm (emission to water)</v>
      </c>
      <c r="H1316" s="146"/>
      <c r="I1316" s="221" t="s">
        <v>1102</v>
      </c>
      <c r="J1316" s="225" t="s">
        <v>1096</v>
      </c>
      <c r="K1316" s="114">
        <f>K60</f>
        <v>68.4375</v>
      </c>
      <c r="L1316" s="226">
        <f t="shared" ref="L1316" si="1386">IFERROR(IF(K1316="--",0,IF(E1316*1000/K1316*(1-0.5)^(C1316/2)&gt;1000,1000,E1316*1000/K1316*(1-0.5)^(C1316/2))),1000)</f>
        <v>36.529680365296805</v>
      </c>
      <c r="M1316" s="295">
        <f t="shared" si="1383"/>
        <v>3.6529680365296809E-2</v>
      </c>
      <c r="N1316" s="615"/>
    </row>
    <row r="1317" spans="1:14" s="102" customFormat="1">
      <c r="A1317" s="173" t="str">
        <f>A1315</f>
        <v>PBSA</v>
      </c>
      <c r="B1317" s="150" t="str">
        <f>B1315</f>
        <v>pellets</v>
      </c>
      <c r="C1317" s="150">
        <f t="shared" si="1344"/>
        <v>4</v>
      </c>
      <c r="D1317" s="150" t="str">
        <f>D1315</f>
        <v>1-10</v>
      </c>
      <c r="E1317" s="150">
        <f>E1315</f>
        <v>10</v>
      </c>
      <c r="F1317" s="150" t="str">
        <f>F1315</f>
        <v>water</v>
      </c>
      <c r="G1317" s="147" t="str">
        <f t="shared" si="1356"/>
        <v>PBSA pellets 1-10 mm (emission to water)</v>
      </c>
      <c r="H1317" s="147"/>
      <c r="I1317" s="129">
        <v>0</v>
      </c>
      <c r="J1317" s="225" t="s">
        <v>1034</v>
      </c>
      <c r="K1317" s="114" t="s">
        <v>596</v>
      </c>
      <c r="L1317" s="226">
        <f t="shared" si="1381"/>
        <v>0</v>
      </c>
      <c r="M1317" s="295">
        <f t="shared" si="1383"/>
        <v>0</v>
      </c>
      <c r="N1317" s="616"/>
    </row>
    <row r="1318" spans="1:14" s="191" customFormat="1">
      <c r="A1318" s="174" t="s">
        <v>654</v>
      </c>
      <c r="B1318" s="287" t="s">
        <v>372</v>
      </c>
      <c r="C1318" s="140">
        <f t="shared" ref="C1318:C1320" si="1387">IF(OR(B1318="Folie", B1318="Strips", B1318="Film",B1318="Flakes",B1318="Coupon"), 2,IF(OR(B1318="Fibers",B1318="Pellets"),4,IF(OR(B1318="Particles",B1318="Shreds",B1318="Powder",B1318="Fragments",B1318="Granules"),6,"")))</f>
        <v>4</v>
      </c>
      <c r="D1318" s="153" t="s">
        <v>1026</v>
      </c>
      <c r="E1318" s="155">
        <v>10</v>
      </c>
      <c r="F1318" s="154" t="s">
        <v>1057</v>
      </c>
      <c r="G1318" s="134" t="str">
        <f t="shared" ref="G1318:G1320" si="1388">CONCATENATE(A1318," ",B1318," ",D1318," mm (emission to ",F1318,")")</f>
        <v>PBSA pellets 1-10 mm (emission to air)</v>
      </c>
      <c r="H1318" s="148"/>
      <c r="I1318" s="137">
        <v>0.97699999999999998</v>
      </c>
      <c r="J1318" s="101" t="s">
        <v>1019</v>
      </c>
      <c r="K1318" s="114">
        <f>K58</f>
        <v>50.414364640883996</v>
      </c>
      <c r="L1318" s="226">
        <f t="shared" ref="L1318:L1320" si="1389">IFERROR(IF(K1318="--",0,IF(E1318*1000/K1318*(1-0.5)^(C1318/2)&gt;1000,1000,E1318*1000/K1318*(1-0.5)^(C1318/2))),1000)</f>
        <v>49.589041095890394</v>
      </c>
      <c r="M1318" s="158">
        <f>IF(L1318/1000&gt;1000,1000,L1318/1000)</f>
        <v>4.9589041095890393E-2</v>
      </c>
      <c r="N1318" s="610">
        <f>I1318*M1318+I1319*M1319</f>
        <v>4.9589041095890393E-2</v>
      </c>
    </row>
    <row r="1319" spans="1:14" s="191" customFormat="1">
      <c r="A1319" s="172" t="str">
        <f>A1318</f>
        <v>PBSA</v>
      </c>
      <c r="B1319" s="149" t="str">
        <f>B1318</f>
        <v>pellets</v>
      </c>
      <c r="C1319" s="149">
        <f t="shared" si="1387"/>
        <v>4</v>
      </c>
      <c r="D1319" s="149" t="str">
        <f t="shared" ref="D1319:F1319" si="1390">D1318</f>
        <v>1-10</v>
      </c>
      <c r="E1319" s="149">
        <f t="shared" si="1390"/>
        <v>10</v>
      </c>
      <c r="F1319" s="149" t="str">
        <f t="shared" si="1390"/>
        <v>air</v>
      </c>
      <c r="G1319" s="146" t="str">
        <f t="shared" si="1388"/>
        <v>PBSA pellets 1-10 mm (emission to air)</v>
      </c>
      <c r="H1319" s="146"/>
      <c r="I1319" s="129">
        <v>2.3E-2</v>
      </c>
      <c r="J1319" s="101" t="s">
        <v>1097</v>
      </c>
      <c r="K1319" s="114">
        <f>K59</f>
        <v>50.414364640883996</v>
      </c>
      <c r="L1319" s="226">
        <f t="shared" si="1389"/>
        <v>49.589041095890394</v>
      </c>
      <c r="M1319" s="158">
        <f>IF(L1319/1000&gt;1000,1000,L1319/1000)</f>
        <v>4.9589041095890393E-2</v>
      </c>
      <c r="N1319" s="610"/>
    </row>
    <row r="1320" spans="1:14" s="191" customFormat="1">
      <c r="A1320" s="173" t="str">
        <f>A1319</f>
        <v>PBSA</v>
      </c>
      <c r="B1320" s="150" t="str">
        <f>B1319</f>
        <v>pellets</v>
      </c>
      <c r="C1320" s="150">
        <f t="shared" si="1387"/>
        <v>4</v>
      </c>
      <c r="D1320" s="150" t="str">
        <f t="shared" ref="D1320:F1320" si="1391">D1319</f>
        <v>1-10</v>
      </c>
      <c r="E1320" s="150">
        <f t="shared" si="1391"/>
        <v>10</v>
      </c>
      <c r="F1320" s="150" t="str">
        <f t="shared" si="1391"/>
        <v>air</v>
      </c>
      <c r="G1320" s="147" t="str">
        <f t="shared" si="1388"/>
        <v>PBSA pellets 1-10 mm (emission to air)</v>
      </c>
      <c r="H1320" s="147">
        <f>H1319</f>
        <v>0</v>
      </c>
      <c r="I1320" s="129">
        <v>0</v>
      </c>
      <c r="J1320" s="101" t="s">
        <v>1034</v>
      </c>
      <c r="K1320" s="114" t="s">
        <v>596</v>
      </c>
      <c r="L1320" s="226">
        <f t="shared" si="1389"/>
        <v>0</v>
      </c>
      <c r="M1320" s="158">
        <f t="shared" ref="M1320" si="1392">IF(L1320/1000&gt;1000,1000,L1320/1000)</f>
        <v>0</v>
      </c>
      <c r="N1320" s="610"/>
    </row>
    <row r="1321" spans="1:14" s="102" customFormat="1">
      <c r="A1321" s="174" t="s">
        <v>654</v>
      </c>
      <c r="B1321" s="186" t="s">
        <v>1025</v>
      </c>
      <c r="C1321" s="188">
        <f t="shared" si="1344"/>
        <v>6</v>
      </c>
      <c r="D1321" s="188" t="s">
        <v>1018</v>
      </c>
      <c r="E1321" s="155">
        <v>0.1</v>
      </c>
      <c r="F1321" s="131" t="s">
        <v>1019</v>
      </c>
      <c r="G1321" s="134" t="str">
        <f t="shared" si="1356"/>
        <v>PBSA particles 0,01-0,1 mm (emission to soil)</v>
      </c>
      <c r="H1321" s="133"/>
      <c r="I1321" s="129">
        <v>1</v>
      </c>
      <c r="J1321" s="101" t="s">
        <v>1019</v>
      </c>
      <c r="K1321" s="114">
        <f>K58</f>
        <v>50.414364640883996</v>
      </c>
      <c r="L1321" s="226">
        <f t="shared" ref="L1321:L1327" si="1393">IFERROR(IF(K1321="--",0,IF(E1321*1000/K1321*(1-0.5)^(C1321/2)&gt;1000,1000,E1321*1000/K1321*(1-0.5)^(C1321/2))),1000)</f>
        <v>0.24794520547945198</v>
      </c>
      <c r="M1321" s="158">
        <f>IF(L1321/1000&gt;1000,1000,L1321/1000)</f>
        <v>2.4794520547945199E-4</v>
      </c>
      <c r="N1321" s="610">
        <f>I1321*M1321+I1322*M1322</f>
        <v>2.4794520547945199E-4</v>
      </c>
    </row>
    <row r="1322" spans="1:14" s="102" customFormat="1">
      <c r="A1322" s="172" t="str">
        <f>A1321</f>
        <v>PBSA</v>
      </c>
      <c r="B1322" s="149" t="str">
        <f>B1321</f>
        <v>particles</v>
      </c>
      <c r="C1322" s="149">
        <f t="shared" si="1344"/>
        <v>6</v>
      </c>
      <c r="D1322" s="149" t="str">
        <f t="shared" ref="D1322:F1323" si="1394">D1321</f>
        <v>0,01-0,1</v>
      </c>
      <c r="E1322" s="149">
        <f t="shared" si="1394"/>
        <v>0.1</v>
      </c>
      <c r="F1322" s="149" t="str">
        <f t="shared" si="1394"/>
        <v>soil</v>
      </c>
      <c r="G1322" s="146" t="str">
        <f t="shared" si="1356"/>
        <v>PBSA particles 0,01-0,1 mm (emission to soil)</v>
      </c>
      <c r="H1322" s="146"/>
      <c r="I1322" s="129">
        <v>0</v>
      </c>
      <c r="J1322" s="101" t="s">
        <v>1097</v>
      </c>
      <c r="K1322" s="114">
        <f>K59</f>
        <v>50.414364640883996</v>
      </c>
      <c r="L1322" s="226">
        <f t="shared" si="1393"/>
        <v>0.24794520547945198</v>
      </c>
      <c r="M1322" s="158">
        <f>IF(L1322/1000&gt;1000,1000,L1322/1000)</f>
        <v>2.4794520547945199E-4</v>
      </c>
      <c r="N1322" s="610"/>
    </row>
    <row r="1323" spans="1:14" s="102" customFormat="1">
      <c r="A1323" s="173" t="str">
        <f>A1322</f>
        <v>PBSA</v>
      </c>
      <c r="B1323" s="150" t="str">
        <f>B1322</f>
        <v>particles</v>
      </c>
      <c r="C1323" s="150">
        <f t="shared" si="1344"/>
        <v>6</v>
      </c>
      <c r="D1323" s="150" t="str">
        <f t="shared" si="1394"/>
        <v>0,01-0,1</v>
      </c>
      <c r="E1323" s="150">
        <f t="shared" si="1394"/>
        <v>0.1</v>
      </c>
      <c r="F1323" s="150" t="str">
        <f t="shared" si="1394"/>
        <v>soil</v>
      </c>
      <c r="G1323" s="147" t="str">
        <f t="shared" si="1356"/>
        <v>PBSA particles 0,01-0,1 mm (emission to soil)</v>
      </c>
      <c r="H1323" s="147"/>
      <c r="I1323" s="129">
        <v>0</v>
      </c>
      <c r="J1323" s="101" t="s">
        <v>1034</v>
      </c>
      <c r="K1323" s="114" t="s">
        <v>596</v>
      </c>
      <c r="L1323" s="226">
        <f t="shared" si="1393"/>
        <v>0</v>
      </c>
      <c r="M1323" s="158">
        <f t="shared" ref="M1323:M1327" si="1395">IF(L1323/1000&gt;1000,1000,L1323/1000)</f>
        <v>0</v>
      </c>
      <c r="N1323" s="610"/>
    </row>
    <row r="1324" spans="1:14" s="102" customFormat="1">
      <c r="A1324" s="174" t="s">
        <v>654</v>
      </c>
      <c r="B1324" s="288" t="s">
        <v>1025</v>
      </c>
      <c r="C1324" s="290">
        <f t="shared" si="1344"/>
        <v>6</v>
      </c>
      <c r="D1324" s="290" t="s">
        <v>1018</v>
      </c>
      <c r="E1324" s="155">
        <v>0.1</v>
      </c>
      <c r="F1324" s="206" t="s">
        <v>1020</v>
      </c>
      <c r="G1324" s="144" t="str">
        <f t="shared" si="1356"/>
        <v>PBSA particles 0,01-0,1 mm (emission to water)</v>
      </c>
      <c r="H1324" s="133"/>
      <c r="I1324" s="129">
        <v>0</v>
      </c>
      <c r="J1324" s="225" t="s">
        <v>1019</v>
      </c>
      <c r="K1324" s="114">
        <f>K58</f>
        <v>50.414364640883996</v>
      </c>
      <c r="L1324" s="226">
        <f t="shared" si="1393"/>
        <v>0.24794520547945198</v>
      </c>
      <c r="M1324" s="295">
        <f t="shared" si="1395"/>
        <v>2.4794520547945199E-4</v>
      </c>
      <c r="N1324" s="614" t="e">
        <f>I1324*M1324+I1325*M1325+I1326*M1326</f>
        <v>#VALUE!</v>
      </c>
    </row>
    <row r="1325" spans="1:14" s="102" customFormat="1">
      <c r="A1325" s="172" t="str">
        <f t="shared" ref="A1325:A1326" si="1396">A1324</f>
        <v>PBSA</v>
      </c>
      <c r="B1325" s="149" t="str">
        <f t="shared" ref="B1325:B1326" si="1397">B1324</f>
        <v>particles</v>
      </c>
      <c r="C1325" s="149">
        <f t="shared" si="1344"/>
        <v>6</v>
      </c>
      <c r="D1325" s="149" t="str">
        <f t="shared" ref="D1325:F1325" si="1398">D1324</f>
        <v>0,01-0,1</v>
      </c>
      <c r="E1325" s="149">
        <f t="shared" si="1398"/>
        <v>0.1</v>
      </c>
      <c r="F1325" s="149" t="str">
        <f t="shared" si="1398"/>
        <v>water</v>
      </c>
      <c r="G1325" s="146" t="str">
        <f t="shared" ref="G1325:G1326" si="1399">CONCATENATE(A1325," ",B1325," ",D1325," mm (emission to ",F1325,")")</f>
        <v>PBSA particles 0,01-0,1 mm (emission to water)</v>
      </c>
      <c r="H1325" s="146"/>
      <c r="I1325" s="221" t="s">
        <v>1102</v>
      </c>
      <c r="J1325" s="225" t="s">
        <v>1097</v>
      </c>
      <c r="K1325" s="114">
        <f>K59</f>
        <v>50.414364640883996</v>
      </c>
      <c r="L1325" s="226">
        <f t="shared" si="1393"/>
        <v>0.24794520547945198</v>
      </c>
      <c r="M1325" s="295">
        <f t="shared" si="1395"/>
        <v>2.4794520547945199E-4</v>
      </c>
      <c r="N1325" s="615"/>
    </row>
    <row r="1326" spans="1:14" s="102" customFormat="1">
      <c r="A1326" s="172" t="str">
        <f t="shared" si="1396"/>
        <v>PBSA</v>
      </c>
      <c r="B1326" s="149" t="str">
        <f t="shared" si="1397"/>
        <v>particles</v>
      </c>
      <c r="C1326" s="149">
        <f t="shared" si="1344"/>
        <v>6</v>
      </c>
      <c r="D1326" s="149" t="str">
        <f t="shared" ref="D1326:F1326" si="1400">D1325</f>
        <v>0,01-0,1</v>
      </c>
      <c r="E1326" s="149">
        <f t="shared" si="1400"/>
        <v>0.1</v>
      </c>
      <c r="F1326" s="149" t="str">
        <f t="shared" si="1400"/>
        <v>water</v>
      </c>
      <c r="G1326" s="146" t="str">
        <f t="shared" si="1399"/>
        <v>PBSA particles 0,01-0,1 mm (emission to water)</v>
      </c>
      <c r="H1326" s="146"/>
      <c r="I1326" s="221" t="s">
        <v>1102</v>
      </c>
      <c r="J1326" s="225" t="s">
        <v>1096</v>
      </c>
      <c r="K1326" s="114">
        <f>K60</f>
        <v>68.4375</v>
      </c>
      <c r="L1326" s="226">
        <f t="shared" ref="L1326" si="1401">IFERROR(IF(K1326="--",0,IF(E1326*1000/K1326*(1-0.5)^(C1326/2)&gt;1000,1000,E1326*1000/K1326*(1-0.5)^(C1326/2))),1000)</f>
        <v>0.18264840182648401</v>
      </c>
      <c r="M1326" s="295">
        <f t="shared" si="1395"/>
        <v>1.82648401826484E-4</v>
      </c>
      <c r="N1326" s="615"/>
    </row>
    <row r="1327" spans="1:14" s="102" customFormat="1">
      <c r="A1327" s="173" t="str">
        <f>A1325</f>
        <v>PBSA</v>
      </c>
      <c r="B1327" s="150" t="str">
        <f>B1325</f>
        <v>particles</v>
      </c>
      <c r="C1327" s="150">
        <f t="shared" si="1344"/>
        <v>6</v>
      </c>
      <c r="D1327" s="150" t="str">
        <f>D1325</f>
        <v>0,01-0,1</v>
      </c>
      <c r="E1327" s="150">
        <f>E1325</f>
        <v>0.1</v>
      </c>
      <c r="F1327" s="150" t="str">
        <f>F1325</f>
        <v>water</v>
      </c>
      <c r="G1327" s="147" t="str">
        <f t="shared" si="1356"/>
        <v>PBSA particles 0,01-0,1 mm (emission to water)</v>
      </c>
      <c r="H1327" s="147"/>
      <c r="I1327" s="129">
        <v>0</v>
      </c>
      <c r="J1327" s="225" t="s">
        <v>1034</v>
      </c>
      <c r="K1327" s="114" t="s">
        <v>596</v>
      </c>
      <c r="L1327" s="226">
        <f t="shared" si="1393"/>
        <v>0</v>
      </c>
      <c r="M1327" s="295">
        <f t="shared" si="1395"/>
        <v>0</v>
      </c>
      <c r="N1327" s="616"/>
    </row>
    <row r="1328" spans="1:14" s="191" customFormat="1">
      <c r="A1328" s="174" t="s">
        <v>654</v>
      </c>
      <c r="B1328" s="288" t="s">
        <v>1025</v>
      </c>
      <c r="C1328" s="290">
        <f t="shared" ref="C1328:C1330" si="1402">IF(OR(B1328="Folie", B1328="Strips", B1328="Film",B1328="Flakes",B1328="Coupon"), 2,IF(OR(B1328="Fibers",B1328="Pellets"),4,IF(OR(B1328="Particles",B1328="Shreds",B1328="Powder",B1328="Fragments",B1328="Granules"),6,"")))</f>
        <v>6</v>
      </c>
      <c r="D1328" s="290" t="s">
        <v>1018</v>
      </c>
      <c r="E1328" s="155">
        <v>0.1</v>
      </c>
      <c r="F1328" s="206" t="s">
        <v>1057</v>
      </c>
      <c r="G1328" s="144" t="str">
        <f t="shared" ref="G1328:G1330" si="1403">CONCATENATE(A1328," ",B1328," ",D1328," mm (emission to ",F1328,")")</f>
        <v>PBSA particles 0,01-0,1 mm (emission to air)</v>
      </c>
      <c r="H1328" s="133"/>
      <c r="I1328" s="137">
        <v>0.97699999999999998</v>
      </c>
      <c r="J1328" s="101" t="s">
        <v>1019</v>
      </c>
      <c r="K1328" s="114">
        <f>K58</f>
        <v>50.414364640883996</v>
      </c>
      <c r="L1328" s="226">
        <f t="shared" ref="L1328:L1330" si="1404">IFERROR(IF(K1328="--",0,IF(E1328*1000/K1328*(1-0.5)^(C1328/2)&gt;1000,1000,E1328*1000/K1328*(1-0.5)^(C1328/2))),1000)</f>
        <v>0.24794520547945198</v>
      </c>
      <c r="M1328" s="158">
        <f>IF(L1328/1000&gt;1000,1000,L1328/1000)</f>
        <v>2.4794520547945199E-4</v>
      </c>
      <c r="N1328" s="610">
        <f>I1328*M1328+I1329*M1329</f>
        <v>2.4794520547945199E-4</v>
      </c>
    </row>
    <row r="1329" spans="1:14" s="191" customFormat="1">
      <c r="A1329" s="172" t="str">
        <f>A1328</f>
        <v>PBSA</v>
      </c>
      <c r="B1329" s="149" t="str">
        <f>B1328</f>
        <v>particles</v>
      </c>
      <c r="C1329" s="149">
        <f t="shared" si="1402"/>
        <v>6</v>
      </c>
      <c r="D1329" s="149" t="str">
        <f t="shared" ref="D1329:F1329" si="1405">D1328</f>
        <v>0,01-0,1</v>
      </c>
      <c r="E1329" s="149">
        <f t="shared" si="1405"/>
        <v>0.1</v>
      </c>
      <c r="F1329" s="149" t="str">
        <f t="shared" si="1405"/>
        <v>air</v>
      </c>
      <c r="G1329" s="146" t="str">
        <f t="shared" si="1403"/>
        <v>PBSA particles 0,01-0,1 mm (emission to air)</v>
      </c>
      <c r="H1329" s="146"/>
      <c r="I1329" s="129">
        <v>2.3E-2</v>
      </c>
      <c r="J1329" s="101" t="s">
        <v>1097</v>
      </c>
      <c r="K1329" s="114">
        <f>K59</f>
        <v>50.414364640883996</v>
      </c>
      <c r="L1329" s="226">
        <f t="shared" si="1404"/>
        <v>0.24794520547945198</v>
      </c>
      <c r="M1329" s="158">
        <f>IF(L1329/1000&gt;1000,1000,L1329/1000)</f>
        <v>2.4794520547945199E-4</v>
      </c>
      <c r="N1329" s="610"/>
    </row>
    <row r="1330" spans="1:14" s="191" customFormat="1">
      <c r="A1330" s="173" t="str">
        <f>A1329</f>
        <v>PBSA</v>
      </c>
      <c r="B1330" s="150" t="str">
        <f>B1329</f>
        <v>particles</v>
      </c>
      <c r="C1330" s="150">
        <f t="shared" si="1402"/>
        <v>6</v>
      </c>
      <c r="D1330" s="150" t="str">
        <f t="shared" ref="D1330:F1330" si="1406">D1329</f>
        <v>0,01-0,1</v>
      </c>
      <c r="E1330" s="150">
        <f t="shared" si="1406"/>
        <v>0.1</v>
      </c>
      <c r="F1330" s="150" t="str">
        <f t="shared" si="1406"/>
        <v>air</v>
      </c>
      <c r="G1330" s="147" t="str">
        <f t="shared" si="1403"/>
        <v>PBSA particles 0,01-0,1 mm (emission to air)</v>
      </c>
      <c r="H1330" s="147"/>
      <c r="I1330" s="129">
        <v>0</v>
      </c>
      <c r="J1330" s="101" t="s">
        <v>1034</v>
      </c>
      <c r="K1330" s="114" t="s">
        <v>596</v>
      </c>
      <c r="L1330" s="226">
        <f t="shared" si="1404"/>
        <v>0</v>
      </c>
      <c r="M1330" s="158">
        <f t="shared" ref="M1330" si="1407">IF(L1330/1000&gt;1000,1000,L1330/1000)</f>
        <v>0</v>
      </c>
      <c r="N1330" s="610"/>
    </row>
    <row r="1331" spans="1:14" s="102" customFormat="1">
      <c r="A1331" s="174" t="s">
        <v>654</v>
      </c>
      <c r="B1331" s="186" t="s">
        <v>1025</v>
      </c>
      <c r="C1331" s="188">
        <f t="shared" si="1344"/>
        <v>6</v>
      </c>
      <c r="D1331" s="188" t="s">
        <v>1028</v>
      </c>
      <c r="E1331" s="155">
        <v>1</v>
      </c>
      <c r="F1331" s="131" t="s">
        <v>1019</v>
      </c>
      <c r="G1331" s="134" t="str">
        <f t="shared" si="1356"/>
        <v>PBSA particles 0,1-1 mm (emission to soil)</v>
      </c>
      <c r="H1331" s="133"/>
      <c r="I1331" s="129">
        <v>1</v>
      </c>
      <c r="J1331" s="101" t="s">
        <v>1019</v>
      </c>
      <c r="K1331" s="114">
        <f>K58</f>
        <v>50.414364640883996</v>
      </c>
      <c r="L1331" s="226">
        <f t="shared" ref="L1331:L1337" si="1408">IFERROR(IF(K1331="--",0,IF(E1331*1000/K1331*(1-0.5)^(C1331/2)&gt;1000,1000,E1331*1000/K1331*(1-0.5)^(C1331/2))),1000)</f>
        <v>2.4794520547945198</v>
      </c>
      <c r="M1331" s="158">
        <f>IF(L1331/1000&gt;1000,1000,L1331/1000)</f>
        <v>2.4794520547945197E-3</v>
      </c>
      <c r="N1331" s="610">
        <f>I1331*M1331+I1332*M1332</f>
        <v>2.4794520547945197E-3</v>
      </c>
    </row>
    <row r="1332" spans="1:14" s="102" customFormat="1">
      <c r="A1332" s="172" t="str">
        <f>A1331</f>
        <v>PBSA</v>
      </c>
      <c r="B1332" s="149" t="str">
        <f>B1331</f>
        <v>particles</v>
      </c>
      <c r="C1332" s="149">
        <f t="shared" si="1344"/>
        <v>6</v>
      </c>
      <c r="D1332" s="149" t="str">
        <f t="shared" ref="D1332:F1333" si="1409">D1331</f>
        <v>0,1-1</v>
      </c>
      <c r="E1332" s="149">
        <f t="shared" si="1409"/>
        <v>1</v>
      </c>
      <c r="F1332" s="149" t="str">
        <f t="shared" si="1409"/>
        <v>soil</v>
      </c>
      <c r="G1332" s="146" t="str">
        <f t="shared" si="1356"/>
        <v>PBSA particles 0,1-1 mm (emission to soil)</v>
      </c>
      <c r="H1332" s="146"/>
      <c r="I1332" s="129">
        <v>0</v>
      </c>
      <c r="J1332" s="101" t="s">
        <v>1097</v>
      </c>
      <c r="K1332" s="114">
        <f>K59</f>
        <v>50.414364640883996</v>
      </c>
      <c r="L1332" s="226">
        <f t="shared" si="1408"/>
        <v>2.4794520547945198</v>
      </c>
      <c r="M1332" s="158">
        <f>IF(L1332/1000&gt;1000,1000,L1332/1000)</f>
        <v>2.4794520547945197E-3</v>
      </c>
      <c r="N1332" s="610"/>
    </row>
    <row r="1333" spans="1:14" s="102" customFormat="1">
      <c r="A1333" s="173" t="str">
        <f>A1332</f>
        <v>PBSA</v>
      </c>
      <c r="B1333" s="150" t="str">
        <f>B1332</f>
        <v>particles</v>
      </c>
      <c r="C1333" s="150">
        <f t="shared" si="1344"/>
        <v>6</v>
      </c>
      <c r="D1333" s="150" t="str">
        <f t="shared" si="1409"/>
        <v>0,1-1</v>
      </c>
      <c r="E1333" s="150">
        <f t="shared" si="1409"/>
        <v>1</v>
      </c>
      <c r="F1333" s="150" t="str">
        <f t="shared" si="1409"/>
        <v>soil</v>
      </c>
      <c r="G1333" s="147" t="str">
        <f t="shared" si="1356"/>
        <v>PBSA particles 0,1-1 mm (emission to soil)</v>
      </c>
      <c r="H1333" s="147"/>
      <c r="I1333" s="129">
        <v>0</v>
      </c>
      <c r="J1333" s="101" t="s">
        <v>1034</v>
      </c>
      <c r="K1333" s="151" t="s">
        <v>596</v>
      </c>
      <c r="L1333" s="226">
        <f t="shared" si="1408"/>
        <v>0</v>
      </c>
      <c r="M1333" s="158">
        <f t="shared" ref="M1333:M1337" si="1410">IF(L1333/1000&gt;1000,1000,L1333/1000)</f>
        <v>0</v>
      </c>
      <c r="N1333" s="610"/>
    </row>
    <row r="1334" spans="1:14" s="102" customFormat="1">
      <c r="A1334" s="174" t="s">
        <v>654</v>
      </c>
      <c r="B1334" s="288" t="s">
        <v>1025</v>
      </c>
      <c r="C1334" s="290">
        <f t="shared" si="1344"/>
        <v>6</v>
      </c>
      <c r="D1334" s="290" t="s">
        <v>1028</v>
      </c>
      <c r="E1334" s="290">
        <v>1</v>
      </c>
      <c r="F1334" s="206" t="s">
        <v>1020</v>
      </c>
      <c r="G1334" s="144" t="str">
        <f t="shared" si="1356"/>
        <v>PBSA particles 0,1-1 mm (emission to water)</v>
      </c>
      <c r="H1334" s="133"/>
      <c r="I1334" s="129">
        <v>0</v>
      </c>
      <c r="J1334" s="225" t="s">
        <v>1019</v>
      </c>
      <c r="K1334" s="114">
        <f>K58</f>
        <v>50.414364640883996</v>
      </c>
      <c r="L1334" s="226">
        <f t="shared" si="1408"/>
        <v>2.4794520547945198</v>
      </c>
      <c r="M1334" s="295">
        <f t="shared" si="1410"/>
        <v>2.4794520547945197E-3</v>
      </c>
      <c r="N1334" s="614" t="e">
        <f>I1334*M1334+I1335*M1335+I1336*M1336</f>
        <v>#VALUE!</v>
      </c>
    </row>
    <row r="1335" spans="1:14" s="102" customFormat="1">
      <c r="A1335" s="172" t="str">
        <f>A1334</f>
        <v>PBSA</v>
      </c>
      <c r="B1335" s="149" t="str">
        <f>B1334</f>
        <v>particles</v>
      </c>
      <c r="C1335" s="149">
        <f t="shared" si="1344"/>
        <v>6</v>
      </c>
      <c r="D1335" s="149" t="str">
        <f t="shared" ref="D1335:F1336" si="1411">D1334</f>
        <v>0,1-1</v>
      </c>
      <c r="E1335" s="149">
        <f t="shared" si="1411"/>
        <v>1</v>
      </c>
      <c r="F1335" s="149" t="str">
        <f t="shared" si="1411"/>
        <v>water</v>
      </c>
      <c r="G1335" s="146" t="str">
        <f t="shared" si="1356"/>
        <v>PBSA particles 0,1-1 mm (emission to water)</v>
      </c>
      <c r="H1335" s="146"/>
      <c r="I1335" s="221" t="s">
        <v>1102</v>
      </c>
      <c r="J1335" s="225" t="s">
        <v>1097</v>
      </c>
      <c r="K1335" s="114">
        <f>K59</f>
        <v>50.414364640883996</v>
      </c>
      <c r="L1335" s="226">
        <f t="shared" si="1408"/>
        <v>2.4794520547945198</v>
      </c>
      <c r="M1335" s="295">
        <f t="shared" si="1410"/>
        <v>2.4794520547945197E-3</v>
      </c>
      <c r="N1335" s="615"/>
    </row>
    <row r="1336" spans="1:14" s="102" customFormat="1">
      <c r="A1336" s="172" t="str">
        <f t="shared" ref="A1336" si="1412">A1335</f>
        <v>PBSA</v>
      </c>
      <c r="B1336" s="149" t="str">
        <f t="shared" ref="B1336" si="1413">B1335</f>
        <v>particles</v>
      </c>
      <c r="C1336" s="149">
        <f t="shared" ref="C1336" si="1414">IF(OR(B1336="Folie", B1336="Strips", B1336="Film",B1336="Flakes",B1336="Coupon"), 2,IF(OR(B1336="Fibers",B1336="Pellets"),4,IF(OR(B1336="Particles",B1336="Shreds",B1336="Powder",B1336="Fragments",B1336="Granules"),6,"")))</f>
        <v>6</v>
      </c>
      <c r="D1336" s="149" t="str">
        <f t="shared" si="1411"/>
        <v>0,1-1</v>
      </c>
      <c r="E1336" s="149">
        <f t="shared" si="1411"/>
        <v>1</v>
      </c>
      <c r="F1336" s="149" t="str">
        <f t="shared" si="1411"/>
        <v>water</v>
      </c>
      <c r="G1336" s="146" t="str">
        <f t="shared" si="1356"/>
        <v>PBSA particles 0,1-1 mm (emission to water)</v>
      </c>
      <c r="H1336" s="146"/>
      <c r="I1336" s="221" t="s">
        <v>1102</v>
      </c>
      <c r="J1336" s="225" t="s">
        <v>1096</v>
      </c>
      <c r="K1336" s="114">
        <f>K60</f>
        <v>68.4375</v>
      </c>
      <c r="L1336" s="226">
        <f t="shared" ref="L1336" si="1415">IFERROR(IF(K1336="--",0,IF(E1336*1000/K1336*(1-0.5)^(C1336/2)&gt;1000,1000,E1336*1000/K1336*(1-0.5)^(C1336/2))),1000)</f>
        <v>1.8264840182648401</v>
      </c>
      <c r="M1336" s="295">
        <f t="shared" si="1410"/>
        <v>1.8264840182648401E-3</v>
      </c>
      <c r="N1336" s="615"/>
    </row>
    <row r="1337" spans="1:14" s="102" customFormat="1">
      <c r="A1337" s="173" t="str">
        <f>A1335</f>
        <v>PBSA</v>
      </c>
      <c r="B1337" s="150" t="str">
        <f>B1335</f>
        <v>particles</v>
      </c>
      <c r="C1337" s="150">
        <f t="shared" si="1344"/>
        <v>6</v>
      </c>
      <c r="D1337" s="150" t="str">
        <f>D1335</f>
        <v>0,1-1</v>
      </c>
      <c r="E1337" s="150">
        <f>E1335</f>
        <v>1</v>
      </c>
      <c r="F1337" s="150" t="str">
        <f>F1335</f>
        <v>water</v>
      </c>
      <c r="G1337" s="147" t="str">
        <f t="shared" si="1356"/>
        <v>PBSA particles 0,1-1 mm (emission to water)</v>
      </c>
      <c r="H1337" s="147"/>
      <c r="I1337" s="129">
        <v>0</v>
      </c>
      <c r="J1337" s="225" t="s">
        <v>1034</v>
      </c>
      <c r="K1337" s="151" t="s">
        <v>596</v>
      </c>
      <c r="L1337" s="226">
        <f t="shared" si="1408"/>
        <v>0</v>
      </c>
      <c r="M1337" s="295">
        <f t="shared" si="1410"/>
        <v>0</v>
      </c>
      <c r="N1337" s="616"/>
    </row>
    <row r="1338" spans="1:14" s="191" customFormat="1">
      <c r="A1338" s="174" t="s">
        <v>654</v>
      </c>
      <c r="B1338" s="288" t="s">
        <v>1025</v>
      </c>
      <c r="C1338" s="290">
        <f t="shared" ref="C1338:C1340" si="1416">IF(OR(B1338="Folie", B1338="Strips", B1338="Film",B1338="Flakes",B1338="Coupon"), 2,IF(OR(B1338="Fibers",B1338="Pellets"),4,IF(OR(B1338="Particles",B1338="Shreds",B1338="Powder",B1338="Fragments",B1338="Granules"),6,"")))</f>
        <v>6</v>
      </c>
      <c r="D1338" s="290" t="s">
        <v>1028</v>
      </c>
      <c r="E1338" s="155">
        <v>1</v>
      </c>
      <c r="F1338" s="131" t="s">
        <v>1057</v>
      </c>
      <c r="G1338" s="134" t="str">
        <f t="shared" ref="G1338:G1340" si="1417">CONCATENATE(A1338," ",B1338," ",D1338," mm (emission to ",F1338,")")</f>
        <v>PBSA particles 0,1-1 mm (emission to air)</v>
      </c>
      <c r="H1338" s="133"/>
      <c r="I1338" s="137">
        <v>0.97699999999999998</v>
      </c>
      <c r="J1338" s="101" t="s">
        <v>1019</v>
      </c>
      <c r="K1338" s="114">
        <f>K58</f>
        <v>50.414364640883996</v>
      </c>
      <c r="L1338" s="226">
        <f t="shared" ref="L1338:L1340" si="1418">IFERROR(IF(K1338="--",0,IF(E1338*1000/K1338*(1-0.5)^(C1338/2)&gt;1000,1000,E1338*1000/K1338*(1-0.5)^(C1338/2))),1000)</f>
        <v>2.4794520547945198</v>
      </c>
      <c r="M1338" s="158">
        <f>IF(L1338/1000&gt;1000,1000,L1338/1000)</f>
        <v>2.4794520547945197E-3</v>
      </c>
      <c r="N1338" s="610">
        <f>I1338*M1338+I1339*M1339</f>
        <v>2.4794520547945197E-3</v>
      </c>
    </row>
    <row r="1339" spans="1:14" s="191" customFormat="1">
      <c r="A1339" s="172" t="str">
        <f>A1338</f>
        <v>PBSA</v>
      </c>
      <c r="B1339" s="149" t="str">
        <f>B1338</f>
        <v>particles</v>
      </c>
      <c r="C1339" s="149">
        <f t="shared" si="1416"/>
        <v>6</v>
      </c>
      <c r="D1339" s="149" t="str">
        <f t="shared" ref="D1339:F1339" si="1419">D1338</f>
        <v>0,1-1</v>
      </c>
      <c r="E1339" s="149">
        <f t="shared" si="1419"/>
        <v>1</v>
      </c>
      <c r="F1339" s="149" t="str">
        <f t="shared" si="1419"/>
        <v>air</v>
      </c>
      <c r="G1339" s="146" t="str">
        <f t="shared" si="1417"/>
        <v>PBSA particles 0,1-1 mm (emission to air)</v>
      </c>
      <c r="H1339" s="146"/>
      <c r="I1339" s="129">
        <v>2.3E-2</v>
      </c>
      <c r="J1339" s="101" t="s">
        <v>1097</v>
      </c>
      <c r="K1339" s="114">
        <f>K59</f>
        <v>50.414364640883996</v>
      </c>
      <c r="L1339" s="226">
        <f t="shared" si="1418"/>
        <v>2.4794520547945198</v>
      </c>
      <c r="M1339" s="158">
        <f>IF(L1339/1000&gt;1000,1000,L1339/1000)</f>
        <v>2.4794520547945197E-3</v>
      </c>
      <c r="N1339" s="610"/>
    </row>
    <row r="1340" spans="1:14" s="191" customFormat="1">
      <c r="A1340" s="173" t="str">
        <f>A1339</f>
        <v>PBSA</v>
      </c>
      <c r="B1340" s="150" t="str">
        <f>B1339</f>
        <v>particles</v>
      </c>
      <c r="C1340" s="150">
        <f t="shared" si="1416"/>
        <v>6</v>
      </c>
      <c r="D1340" s="150" t="str">
        <f t="shared" ref="D1340:F1340" si="1420">D1339</f>
        <v>0,1-1</v>
      </c>
      <c r="E1340" s="150">
        <f t="shared" si="1420"/>
        <v>1</v>
      </c>
      <c r="F1340" s="150" t="str">
        <f t="shared" si="1420"/>
        <v>air</v>
      </c>
      <c r="G1340" s="147" t="str">
        <f t="shared" si="1417"/>
        <v>PBSA particles 0,1-1 mm (emission to air)</v>
      </c>
      <c r="H1340" s="147"/>
      <c r="I1340" s="129">
        <v>0</v>
      </c>
      <c r="J1340" s="101" t="s">
        <v>1034</v>
      </c>
      <c r="K1340" s="151" t="s">
        <v>596</v>
      </c>
      <c r="L1340" s="226">
        <f t="shared" si="1418"/>
        <v>0</v>
      </c>
      <c r="M1340" s="158">
        <f t="shared" ref="M1340" si="1421">IF(L1340/1000&gt;1000,1000,L1340/1000)</f>
        <v>0</v>
      </c>
      <c r="N1340" s="610"/>
    </row>
    <row r="1341" spans="1:14" s="102" customFormat="1">
      <c r="A1341" s="174" t="s">
        <v>654</v>
      </c>
      <c r="B1341" s="186" t="s">
        <v>1025</v>
      </c>
      <c r="C1341" s="188">
        <f t="shared" si="1344"/>
        <v>6</v>
      </c>
      <c r="D1341" s="188" t="s">
        <v>1026</v>
      </c>
      <c r="E1341" s="155">
        <v>10</v>
      </c>
      <c r="F1341" s="131" t="s">
        <v>1019</v>
      </c>
      <c r="G1341" s="134" t="str">
        <f t="shared" si="1356"/>
        <v>PBSA particles 1-10 mm (emission to soil)</v>
      </c>
      <c r="H1341" s="133"/>
      <c r="I1341" s="129">
        <v>1</v>
      </c>
      <c r="J1341" s="101" t="s">
        <v>1019</v>
      </c>
      <c r="K1341" s="114">
        <f>K58</f>
        <v>50.414364640883996</v>
      </c>
      <c r="L1341" s="226">
        <f t="shared" ref="L1341:L1347" si="1422">IFERROR(IF(K1341="--",0,IF(E1341*1000/K1341*(1-0.5)^(C1341/2)&gt;1000,1000,E1341*1000/K1341*(1-0.5)^(C1341/2))),1000)</f>
        <v>24.794520547945197</v>
      </c>
      <c r="M1341" s="158">
        <f>IF(L1341/1000&gt;1000,1000,L1341/1000)</f>
        <v>2.4794520547945197E-2</v>
      </c>
      <c r="N1341" s="610">
        <f>I1341*M1341+I1342*M1342</f>
        <v>2.4794520547945197E-2</v>
      </c>
    </row>
    <row r="1342" spans="1:14" s="102" customFormat="1">
      <c r="A1342" s="172" t="str">
        <f>A1341</f>
        <v>PBSA</v>
      </c>
      <c r="B1342" s="149" t="str">
        <f>B1341</f>
        <v>particles</v>
      </c>
      <c r="C1342" s="149">
        <f t="shared" si="1344"/>
        <v>6</v>
      </c>
      <c r="D1342" s="149" t="str">
        <f t="shared" ref="D1342:F1343" si="1423">D1341</f>
        <v>1-10</v>
      </c>
      <c r="E1342" s="149">
        <f t="shared" si="1423"/>
        <v>10</v>
      </c>
      <c r="F1342" s="149" t="str">
        <f t="shared" si="1423"/>
        <v>soil</v>
      </c>
      <c r="G1342" s="146" t="str">
        <f t="shared" si="1356"/>
        <v>PBSA particles 1-10 mm (emission to soil)</v>
      </c>
      <c r="H1342" s="146"/>
      <c r="I1342" s="129">
        <v>0</v>
      </c>
      <c r="J1342" s="101" t="s">
        <v>1097</v>
      </c>
      <c r="K1342" s="114">
        <f>K59</f>
        <v>50.414364640883996</v>
      </c>
      <c r="L1342" s="226">
        <f t="shared" si="1422"/>
        <v>24.794520547945197</v>
      </c>
      <c r="M1342" s="158">
        <f>IF(L1342/1000&gt;1000,1000,L1342/1000)</f>
        <v>2.4794520547945197E-2</v>
      </c>
      <c r="N1342" s="610"/>
    </row>
    <row r="1343" spans="1:14" s="102" customFormat="1">
      <c r="A1343" s="173" t="str">
        <f>A1342</f>
        <v>PBSA</v>
      </c>
      <c r="B1343" s="150" t="str">
        <f>B1342</f>
        <v>particles</v>
      </c>
      <c r="C1343" s="150">
        <f t="shared" si="1344"/>
        <v>6</v>
      </c>
      <c r="D1343" s="150" t="str">
        <f t="shared" si="1423"/>
        <v>1-10</v>
      </c>
      <c r="E1343" s="150">
        <f t="shared" si="1423"/>
        <v>10</v>
      </c>
      <c r="F1343" s="150" t="str">
        <f t="shared" si="1423"/>
        <v>soil</v>
      </c>
      <c r="G1343" s="147" t="str">
        <f t="shared" si="1356"/>
        <v>PBSA particles 1-10 mm (emission to soil)</v>
      </c>
      <c r="H1343" s="147"/>
      <c r="I1343" s="129">
        <v>0</v>
      </c>
      <c r="J1343" s="101" t="s">
        <v>1034</v>
      </c>
      <c r="K1343" s="151" t="s">
        <v>596</v>
      </c>
      <c r="L1343" s="226">
        <f t="shared" si="1422"/>
        <v>0</v>
      </c>
      <c r="M1343" s="158">
        <f t="shared" ref="M1343:M1347" si="1424">IF(L1343/1000&gt;1000,1000,L1343/1000)</f>
        <v>0</v>
      </c>
      <c r="N1343" s="610"/>
    </row>
    <row r="1344" spans="1:14" s="102" customFormat="1">
      <c r="A1344" s="174" t="s">
        <v>654</v>
      </c>
      <c r="B1344" s="288" t="s">
        <v>1025</v>
      </c>
      <c r="C1344" s="290">
        <f t="shared" si="1344"/>
        <v>6</v>
      </c>
      <c r="D1344" s="290" t="s">
        <v>1026</v>
      </c>
      <c r="E1344" s="288">
        <v>10</v>
      </c>
      <c r="F1344" s="206" t="s">
        <v>1020</v>
      </c>
      <c r="G1344" s="144" t="str">
        <f t="shared" si="1356"/>
        <v>PBSA particles 1-10 mm (emission to water)</v>
      </c>
      <c r="H1344" s="133"/>
      <c r="I1344" s="129">
        <v>0</v>
      </c>
      <c r="J1344" s="225" t="s">
        <v>1019</v>
      </c>
      <c r="K1344" s="114">
        <f>K58</f>
        <v>50.414364640883996</v>
      </c>
      <c r="L1344" s="226">
        <f t="shared" si="1422"/>
        <v>24.794520547945197</v>
      </c>
      <c r="M1344" s="295">
        <f t="shared" si="1424"/>
        <v>2.4794520547945197E-2</v>
      </c>
      <c r="N1344" s="614" t="e">
        <f>I1344*M1344+I1345*M1345+I1346*M1346</f>
        <v>#VALUE!</v>
      </c>
    </row>
    <row r="1345" spans="1:14" s="102" customFormat="1">
      <c r="A1345" s="172" t="str">
        <f>A1344</f>
        <v>PBSA</v>
      </c>
      <c r="B1345" s="149" t="str">
        <f>B1344</f>
        <v>particles</v>
      </c>
      <c r="C1345" s="149">
        <f t="shared" si="1344"/>
        <v>6</v>
      </c>
      <c r="D1345" s="149" t="str">
        <f t="shared" ref="D1345:F1346" si="1425">D1344</f>
        <v>1-10</v>
      </c>
      <c r="E1345" s="149">
        <f t="shared" si="1425"/>
        <v>10</v>
      </c>
      <c r="F1345" s="149" t="str">
        <f t="shared" si="1425"/>
        <v>water</v>
      </c>
      <c r="G1345" s="146" t="str">
        <f t="shared" ref="G1345:G1357" si="1426">CONCATENATE(A1345," ",B1345," ",D1345," mm (emission to ",F1345,")")</f>
        <v>PBSA particles 1-10 mm (emission to water)</v>
      </c>
      <c r="H1345" s="146"/>
      <c r="I1345" s="221" t="s">
        <v>1102</v>
      </c>
      <c r="J1345" s="225" t="s">
        <v>1097</v>
      </c>
      <c r="K1345" s="114">
        <f>K59</f>
        <v>50.414364640883996</v>
      </c>
      <c r="L1345" s="226">
        <f t="shared" si="1422"/>
        <v>24.794520547945197</v>
      </c>
      <c r="M1345" s="295">
        <f t="shared" si="1424"/>
        <v>2.4794520547945197E-2</v>
      </c>
      <c r="N1345" s="615"/>
    </row>
    <row r="1346" spans="1:14" s="102" customFormat="1">
      <c r="A1346" s="172" t="str">
        <f t="shared" ref="A1346" si="1427">A1345</f>
        <v>PBSA</v>
      </c>
      <c r="B1346" s="149" t="str">
        <f t="shared" ref="B1346" si="1428">B1345</f>
        <v>particles</v>
      </c>
      <c r="C1346" s="149">
        <f t="shared" si="1344"/>
        <v>6</v>
      </c>
      <c r="D1346" s="149" t="str">
        <f t="shared" si="1425"/>
        <v>1-10</v>
      </c>
      <c r="E1346" s="149">
        <f t="shared" si="1425"/>
        <v>10</v>
      </c>
      <c r="F1346" s="149" t="str">
        <f t="shared" si="1425"/>
        <v>water</v>
      </c>
      <c r="G1346" s="146" t="str">
        <f t="shared" si="1426"/>
        <v>PBSA particles 1-10 mm (emission to water)</v>
      </c>
      <c r="H1346" s="146"/>
      <c r="I1346" s="221" t="s">
        <v>1102</v>
      </c>
      <c r="J1346" s="225" t="s">
        <v>1096</v>
      </c>
      <c r="K1346" s="114">
        <f>K60</f>
        <v>68.4375</v>
      </c>
      <c r="L1346" s="226">
        <f t="shared" ref="L1346" si="1429">IFERROR(IF(K1346="--",0,IF(E1346*1000/K1346*(1-0.5)^(C1346/2)&gt;1000,1000,E1346*1000/K1346*(1-0.5)^(C1346/2))),1000)</f>
        <v>18.264840182648403</v>
      </c>
      <c r="M1346" s="295">
        <f t="shared" si="1424"/>
        <v>1.8264840182648404E-2</v>
      </c>
      <c r="N1346" s="615"/>
    </row>
    <row r="1347" spans="1:14" s="102" customFormat="1">
      <c r="A1347" s="173" t="str">
        <f>A1345</f>
        <v>PBSA</v>
      </c>
      <c r="B1347" s="150" t="str">
        <f>B1345</f>
        <v>particles</v>
      </c>
      <c r="C1347" s="150">
        <f t="shared" si="1344"/>
        <v>6</v>
      </c>
      <c r="D1347" s="150" t="str">
        <f>D1345</f>
        <v>1-10</v>
      </c>
      <c r="E1347" s="150">
        <f>E1345</f>
        <v>10</v>
      </c>
      <c r="F1347" s="150" t="str">
        <f>F1345</f>
        <v>water</v>
      </c>
      <c r="G1347" s="147" t="str">
        <f t="shared" si="1426"/>
        <v>PBSA particles 1-10 mm (emission to water)</v>
      </c>
      <c r="H1347" s="147">
        <f>H1345</f>
        <v>0</v>
      </c>
      <c r="I1347" s="129">
        <v>0</v>
      </c>
      <c r="J1347" s="225" t="s">
        <v>1034</v>
      </c>
      <c r="K1347" s="114" t="s">
        <v>596</v>
      </c>
      <c r="L1347" s="226">
        <f t="shared" si="1422"/>
        <v>0</v>
      </c>
      <c r="M1347" s="295">
        <f t="shared" si="1424"/>
        <v>0</v>
      </c>
      <c r="N1347" s="616"/>
    </row>
    <row r="1348" spans="1:14" s="191" customFormat="1">
      <c r="A1348" s="174" t="s">
        <v>654</v>
      </c>
      <c r="B1348" s="288" t="s">
        <v>1025</v>
      </c>
      <c r="C1348" s="290">
        <f t="shared" ref="C1348:C1350" si="1430">IF(OR(B1348="Folie", B1348="Strips", B1348="Film",B1348="Flakes",B1348="Coupon"), 2,IF(OR(B1348="Fibers",B1348="Pellets"),4,IF(OR(B1348="Particles",B1348="Shreds",B1348="Powder",B1348="Fragments",B1348="Granules"),6,"")))</f>
        <v>6</v>
      </c>
      <c r="D1348" s="290" t="s">
        <v>1026</v>
      </c>
      <c r="E1348" s="155">
        <v>10</v>
      </c>
      <c r="F1348" s="131" t="s">
        <v>1057</v>
      </c>
      <c r="G1348" s="134" t="str">
        <f t="shared" si="1426"/>
        <v>PBSA particles 1-10 mm (emission to air)</v>
      </c>
      <c r="H1348" s="133"/>
      <c r="I1348" s="137">
        <v>0.97699999999999998</v>
      </c>
      <c r="J1348" s="101" t="s">
        <v>1019</v>
      </c>
      <c r="K1348" s="114">
        <f>K58</f>
        <v>50.414364640883996</v>
      </c>
      <c r="L1348" s="226">
        <f t="shared" ref="L1348:L1350" si="1431">IFERROR(IF(K1348="--",0,IF(E1348*1000/K1348*(1-0.5)^(C1348/2)&gt;1000,1000,E1348*1000/K1348*(1-0.5)^(C1348/2))),1000)</f>
        <v>24.794520547945197</v>
      </c>
      <c r="M1348" s="158">
        <f>IF(L1348/1000&gt;1000,1000,L1348/1000)</f>
        <v>2.4794520547945197E-2</v>
      </c>
      <c r="N1348" s="610">
        <f>I1348*M1348+I1349*M1349</f>
        <v>2.4794520547945197E-2</v>
      </c>
    </row>
    <row r="1349" spans="1:14" s="191" customFormat="1">
      <c r="A1349" s="172" t="str">
        <f>A1348</f>
        <v>PBSA</v>
      </c>
      <c r="B1349" s="149" t="str">
        <f>B1348</f>
        <v>particles</v>
      </c>
      <c r="C1349" s="149">
        <f t="shared" si="1430"/>
        <v>6</v>
      </c>
      <c r="D1349" s="149" t="str">
        <f t="shared" ref="D1349:F1349" si="1432">D1348</f>
        <v>1-10</v>
      </c>
      <c r="E1349" s="149">
        <f t="shared" si="1432"/>
        <v>10</v>
      </c>
      <c r="F1349" s="149" t="str">
        <f t="shared" si="1432"/>
        <v>air</v>
      </c>
      <c r="G1349" s="146" t="str">
        <f t="shared" si="1426"/>
        <v>PBSA particles 1-10 mm (emission to air)</v>
      </c>
      <c r="H1349" s="146"/>
      <c r="I1349" s="129">
        <v>2.3E-2</v>
      </c>
      <c r="J1349" s="101" t="s">
        <v>1097</v>
      </c>
      <c r="K1349" s="114">
        <f>K59</f>
        <v>50.414364640883996</v>
      </c>
      <c r="L1349" s="226">
        <f t="shared" si="1431"/>
        <v>24.794520547945197</v>
      </c>
      <c r="M1349" s="158">
        <f>IF(L1349/1000&gt;1000,1000,L1349/1000)</f>
        <v>2.4794520547945197E-2</v>
      </c>
      <c r="N1349" s="610"/>
    </row>
    <row r="1350" spans="1:14" s="191" customFormat="1" ht="13.5" thickBot="1">
      <c r="A1350" s="173" t="str">
        <f>A1349</f>
        <v>PBSA</v>
      </c>
      <c r="B1350" s="150" t="str">
        <f>B1349</f>
        <v>particles</v>
      </c>
      <c r="C1350" s="150">
        <f t="shared" si="1430"/>
        <v>6</v>
      </c>
      <c r="D1350" s="150" t="str">
        <f t="shared" ref="D1350:F1350" si="1433">D1349</f>
        <v>1-10</v>
      </c>
      <c r="E1350" s="150">
        <f t="shared" si="1433"/>
        <v>10</v>
      </c>
      <c r="F1350" s="150" t="str">
        <f t="shared" si="1433"/>
        <v>air</v>
      </c>
      <c r="G1350" s="147" t="str">
        <f t="shared" si="1426"/>
        <v>PBSA particles 1-10 mm (emission to air)</v>
      </c>
      <c r="H1350" s="147"/>
      <c r="I1350" s="129">
        <v>0</v>
      </c>
      <c r="J1350" s="101" t="s">
        <v>1034</v>
      </c>
      <c r="K1350" s="151" t="s">
        <v>596</v>
      </c>
      <c r="L1350" s="226">
        <f t="shared" si="1431"/>
        <v>0</v>
      </c>
      <c r="M1350" s="158">
        <f t="shared" ref="M1350" si="1434">IF(L1350/1000&gt;1000,1000,L1350/1000)</f>
        <v>0</v>
      </c>
      <c r="N1350" s="610"/>
    </row>
    <row r="1351" spans="1:14" s="102" customFormat="1">
      <c r="A1351" s="234" t="s">
        <v>2</v>
      </c>
      <c r="B1351" s="235" t="s">
        <v>996</v>
      </c>
      <c r="C1351" s="236">
        <f>IF(OR(B1351="Folie", B1351="Strips", B1351="Film",B1351="Flakes",B1351="Coupon"), 2,IF(OR(B1351="Fibers",B1351="Pellets"),4,IF(OR(B1351="Particles",B1351="Shreds",B1351="Powder",B1351="Fragments",B1351="Granules"),6,"")))</f>
        <v>2</v>
      </c>
      <c r="D1351" s="236" t="s">
        <v>1018</v>
      </c>
      <c r="E1351" s="237">
        <v>0.1</v>
      </c>
      <c r="F1351" s="238" t="s">
        <v>1019</v>
      </c>
      <c r="G1351" s="239" t="str">
        <f t="shared" si="1426"/>
        <v>PLA film 0,01-0,1 mm (emission to soil)</v>
      </c>
      <c r="H1351" s="239"/>
      <c r="I1351" s="240">
        <v>1</v>
      </c>
      <c r="J1351" s="241" t="s">
        <v>1019</v>
      </c>
      <c r="K1351" s="242">
        <f>K61</f>
        <v>78.694724300850595</v>
      </c>
      <c r="L1351" s="243">
        <f t="shared" ref="L1351:L1357" si="1435">IFERROR(IF(K1351="--",0,IF(E1351*1000/K1351*(1-0.5)^(C1351/2)&gt;1000,1000,E1351*1000/K1351*(1-0.5)^(C1351/2))),1000)</f>
        <v>0.63536660740877082</v>
      </c>
      <c r="M1351" s="253">
        <f>IF(L1351/1000&gt;1000,1000,L1351/1000)</f>
        <v>6.353666074087708E-4</v>
      </c>
      <c r="N1351" s="617">
        <f>I1351*M1351+I1352*M1352</f>
        <v>6.353666074087708E-4</v>
      </c>
    </row>
    <row r="1352" spans="1:14" s="102" customFormat="1">
      <c r="A1352" s="244" t="str">
        <f>A1351</f>
        <v>PLA</v>
      </c>
      <c r="B1352" s="245" t="str">
        <f>B1351</f>
        <v>film</v>
      </c>
      <c r="C1352" s="245">
        <f t="shared" ref="C1352:C1427" si="1436">IF(OR(B1352="Folie", B1352="Strips", B1352="Film",B1352="Flakes",B1352="Coupon"), 2,IF(OR(B1352="Fibers",B1352="Pellets"),4,IF(OR(B1352="Particles",B1352="Shreds",B1352="Powder",B1352="Fragments",B1352="Granules"),6,"")))</f>
        <v>2</v>
      </c>
      <c r="D1352" s="245" t="str">
        <f t="shared" ref="D1352:F1353" si="1437">D1351</f>
        <v>0,01-0,1</v>
      </c>
      <c r="E1352" s="245">
        <f t="shared" si="1437"/>
        <v>0.1</v>
      </c>
      <c r="F1352" s="245" t="str">
        <f t="shared" si="1437"/>
        <v>soil</v>
      </c>
      <c r="G1352" s="246" t="str">
        <f t="shared" si="1426"/>
        <v>PLA film 0,01-0,1 mm (emission to soil)</v>
      </c>
      <c r="H1352" s="246"/>
      <c r="I1352" s="240">
        <v>0</v>
      </c>
      <c r="J1352" s="247" t="s">
        <v>1097</v>
      </c>
      <c r="K1352" s="248">
        <f>K62</f>
        <v>0</v>
      </c>
      <c r="L1352" s="243">
        <f t="shared" si="1435"/>
        <v>1000</v>
      </c>
      <c r="M1352" s="253">
        <f>IF(L1352/1000&gt;1000,1000,L1352/1000)</f>
        <v>1</v>
      </c>
      <c r="N1352" s="617"/>
    </row>
    <row r="1353" spans="1:14" s="102" customFormat="1">
      <c r="A1353" s="249" t="str">
        <f>A1352</f>
        <v>PLA</v>
      </c>
      <c r="B1353" s="250" t="str">
        <f>B1352</f>
        <v>film</v>
      </c>
      <c r="C1353" s="250">
        <f t="shared" si="1436"/>
        <v>2</v>
      </c>
      <c r="D1353" s="250" t="str">
        <f t="shared" si="1437"/>
        <v>0,01-0,1</v>
      </c>
      <c r="E1353" s="250">
        <f t="shared" si="1437"/>
        <v>0.1</v>
      </c>
      <c r="F1353" s="250" t="str">
        <f t="shared" si="1437"/>
        <v>soil</v>
      </c>
      <c r="G1353" s="251" t="str">
        <f t="shared" si="1426"/>
        <v>PLA film 0,01-0,1 mm (emission to soil)</v>
      </c>
      <c r="H1353" s="251"/>
      <c r="I1353" s="240">
        <v>0</v>
      </c>
      <c r="J1353" s="247" t="s">
        <v>1034</v>
      </c>
      <c r="K1353" s="252" t="s">
        <v>596</v>
      </c>
      <c r="L1353" s="243">
        <f t="shared" si="1435"/>
        <v>0</v>
      </c>
      <c r="M1353" s="253">
        <f t="shared" ref="M1353:M1357" si="1438">IF(L1353/1000&gt;1000,1000,L1353/1000)</f>
        <v>0</v>
      </c>
      <c r="N1353" s="617"/>
    </row>
    <row r="1354" spans="1:14" s="102" customFormat="1">
      <c r="A1354" s="174" t="s">
        <v>2</v>
      </c>
      <c r="B1354" s="288" t="s">
        <v>996</v>
      </c>
      <c r="C1354" s="290">
        <f t="shared" si="1436"/>
        <v>2</v>
      </c>
      <c r="D1354" s="290" t="s">
        <v>1018</v>
      </c>
      <c r="E1354" s="290">
        <v>0.1</v>
      </c>
      <c r="F1354" s="206" t="s">
        <v>1020</v>
      </c>
      <c r="G1354" s="144" t="str">
        <f t="shared" si="1426"/>
        <v>PLA film 0,01-0,1 mm (emission to water)</v>
      </c>
      <c r="H1354" s="144"/>
      <c r="I1354" s="129">
        <v>0</v>
      </c>
      <c r="J1354" s="225" t="s">
        <v>1019</v>
      </c>
      <c r="K1354" s="114">
        <f>K61</f>
        <v>78.694724300850595</v>
      </c>
      <c r="L1354" s="226">
        <f t="shared" si="1435"/>
        <v>0.63536660740877082</v>
      </c>
      <c r="M1354" s="158">
        <f t="shared" si="1438"/>
        <v>6.353666074087708E-4</v>
      </c>
      <c r="N1354" s="611">
        <f>I1354*M1354+I1355*M1355+I1356*M1356</f>
        <v>1</v>
      </c>
    </row>
    <row r="1355" spans="1:14" s="102" customFormat="1">
      <c r="A1355" s="172" t="str">
        <f>A1354</f>
        <v>PLA</v>
      </c>
      <c r="B1355" s="149" t="str">
        <f>B1354</f>
        <v>film</v>
      </c>
      <c r="C1355" s="149">
        <f t="shared" si="1436"/>
        <v>2</v>
      </c>
      <c r="D1355" s="149" t="str">
        <f t="shared" ref="D1355:F1356" si="1439">D1354</f>
        <v>0,01-0,1</v>
      </c>
      <c r="E1355" s="149">
        <f t="shared" si="1439"/>
        <v>0.1</v>
      </c>
      <c r="F1355" s="149" t="str">
        <f t="shared" si="1439"/>
        <v>water</v>
      </c>
      <c r="G1355" s="146" t="str">
        <f t="shared" si="1426"/>
        <v>PLA film 0,01-0,1 mm (emission to water)</v>
      </c>
      <c r="H1355" s="146"/>
      <c r="I1355" s="129">
        <v>0</v>
      </c>
      <c r="J1355" s="225" t="s">
        <v>1097</v>
      </c>
      <c r="K1355" s="114">
        <f>K62</f>
        <v>0</v>
      </c>
      <c r="L1355" s="226">
        <f t="shared" si="1435"/>
        <v>1000</v>
      </c>
      <c r="M1355" s="158">
        <f t="shared" si="1438"/>
        <v>1</v>
      </c>
      <c r="N1355" s="612"/>
    </row>
    <row r="1356" spans="1:14" s="102" customFormat="1">
      <c r="A1356" s="172" t="str">
        <f>A1355</f>
        <v>PLA</v>
      </c>
      <c r="B1356" s="149" t="str">
        <f>B1355</f>
        <v>film</v>
      </c>
      <c r="C1356" s="149">
        <f t="shared" ref="C1356" si="1440">IF(OR(B1356="Folie", B1356="Strips", B1356="Film",B1356="Flakes",B1356="Coupon"), 2,IF(OR(B1356="Fibers",B1356="Pellets"),4,IF(OR(B1356="Particles",B1356="Shreds",B1356="Powder",B1356="Fragments",B1356="Granules"),6,"")))</f>
        <v>2</v>
      </c>
      <c r="D1356" s="149" t="str">
        <f t="shared" si="1439"/>
        <v>0,01-0,1</v>
      </c>
      <c r="E1356" s="149">
        <f t="shared" si="1439"/>
        <v>0.1</v>
      </c>
      <c r="F1356" s="149" t="str">
        <f t="shared" si="1439"/>
        <v>water</v>
      </c>
      <c r="G1356" s="146" t="str">
        <f t="shared" ref="G1356" si="1441">CONCATENATE(A1356," ",B1356," ",D1356," mm (emission to ",F1356,")")</f>
        <v>PLA film 0,01-0,1 mm (emission to water)</v>
      </c>
      <c r="H1356" s="146"/>
      <c r="I1356" s="129">
        <v>1</v>
      </c>
      <c r="J1356" s="225" t="s">
        <v>1096</v>
      </c>
      <c r="K1356" s="114">
        <f>K63</f>
        <v>5.60535714285913E-4</v>
      </c>
      <c r="L1356" s="226">
        <f t="shared" si="1435"/>
        <v>1000</v>
      </c>
      <c r="M1356" s="158">
        <f t="shared" si="1438"/>
        <v>1</v>
      </c>
      <c r="N1356" s="612"/>
    </row>
    <row r="1357" spans="1:14" s="102" customFormat="1">
      <c r="A1357" s="173" t="str">
        <f>A1355</f>
        <v>PLA</v>
      </c>
      <c r="B1357" s="150" t="str">
        <f>B1355</f>
        <v>film</v>
      </c>
      <c r="C1357" s="150">
        <f t="shared" si="1436"/>
        <v>2</v>
      </c>
      <c r="D1357" s="150" t="str">
        <f>D1355</f>
        <v>0,01-0,1</v>
      </c>
      <c r="E1357" s="150">
        <f>E1355</f>
        <v>0.1</v>
      </c>
      <c r="F1357" s="150" t="str">
        <f>F1355</f>
        <v>water</v>
      </c>
      <c r="G1357" s="147" t="str">
        <f t="shared" si="1426"/>
        <v>PLA film 0,01-0,1 mm (emission to water)</v>
      </c>
      <c r="H1357" s="147"/>
      <c r="I1357" s="129">
        <v>0</v>
      </c>
      <c r="J1357" s="225" t="s">
        <v>1034</v>
      </c>
      <c r="K1357" s="151" t="s">
        <v>596</v>
      </c>
      <c r="L1357" s="226">
        <f t="shared" si="1435"/>
        <v>0</v>
      </c>
      <c r="M1357" s="158">
        <f t="shared" si="1438"/>
        <v>0</v>
      </c>
      <c r="N1357" s="613"/>
    </row>
    <row r="1358" spans="1:14" s="102" customFormat="1">
      <c r="A1358" s="174" t="s">
        <v>2</v>
      </c>
      <c r="B1358" s="288" t="s">
        <v>996</v>
      </c>
      <c r="C1358" s="290">
        <f>IF(OR(B1358="Folie", B1358="Strips", B1358="Film",B1358="Flakes",B1358="Coupon"), 2,IF(OR(B1358="Fibers",B1358="Pellets"),4,IF(OR(B1358="Particles",B1358="Shreds",B1358="Powder",B1358="Fragments",B1358="Granules"),6,"")))</f>
        <v>2</v>
      </c>
      <c r="D1358" s="290" t="s">
        <v>1018</v>
      </c>
      <c r="E1358" s="155">
        <v>0.1</v>
      </c>
      <c r="F1358" s="206" t="s">
        <v>1057</v>
      </c>
      <c r="G1358" s="144" t="str">
        <f t="shared" ref="G1358:G1360" si="1442">CONCATENATE(A1358," ",B1358," ",D1358," mm (emission to ",F1358,")")</f>
        <v>PLA film 0,01-0,1 mm (emission to air)</v>
      </c>
      <c r="H1358" s="144"/>
      <c r="I1358" s="137">
        <v>0.97699999999999998</v>
      </c>
      <c r="J1358" s="225" t="s">
        <v>1019</v>
      </c>
      <c r="K1358" s="114">
        <f>K61</f>
        <v>78.694724300850595</v>
      </c>
      <c r="L1358" s="226">
        <f t="shared" ref="L1358:L1360" si="1443">IFERROR(IF(K1358="--",0,IF(E1358*1000/K1358*(1-0.5)^(C1358/2)&gt;1000,1000,E1358*1000/K1358*(1-0.5)^(C1358/2))),1000)</f>
        <v>0.63536660740877082</v>
      </c>
      <c r="M1358" s="158">
        <f>IF(L1358/1000&gt;1000,1000,L1358/1000)</f>
        <v>6.353666074087708E-4</v>
      </c>
      <c r="N1358" s="610">
        <f>I1358*M1358+I1359*M1359</f>
        <v>2.362075317543837E-2</v>
      </c>
    </row>
    <row r="1359" spans="1:14" s="102" customFormat="1">
      <c r="A1359" s="172" t="str">
        <f>A1358</f>
        <v>PLA</v>
      </c>
      <c r="B1359" s="149" t="str">
        <f>B1358</f>
        <v>film</v>
      </c>
      <c r="C1359" s="149">
        <f t="shared" ref="C1359:C1360" si="1444">IF(OR(B1359="Folie", B1359="Strips", B1359="Film",B1359="Flakes",B1359="Coupon"), 2,IF(OR(B1359="Fibers",B1359="Pellets"),4,IF(OR(B1359="Particles",B1359="Shreds",B1359="Powder",B1359="Fragments",B1359="Granules"),6,"")))</f>
        <v>2</v>
      </c>
      <c r="D1359" s="149" t="str">
        <f t="shared" ref="D1359:F1359" si="1445">D1358</f>
        <v>0,01-0,1</v>
      </c>
      <c r="E1359" s="149">
        <f t="shared" si="1445"/>
        <v>0.1</v>
      </c>
      <c r="F1359" s="149" t="str">
        <f t="shared" si="1445"/>
        <v>air</v>
      </c>
      <c r="G1359" s="146" t="str">
        <f t="shared" si="1442"/>
        <v>PLA film 0,01-0,1 mm (emission to air)</v>
      </c>
      <c r="H1359" s="146"/>
      <c r="I1359" s="129">
        <v>2.3E-2</v>
      </c>
      <c r="J1359" s="225" t="s">
        <v>1097</v>
      </c>
      <c r="K1359" s="114">
        <f>K62</f>
        <v>0</v>
      </c>
      <c r="L1359" s="226">
        <f t="shared" si="1443"/>
        <v>1000</v>
      </c>
      <c r="M1359" s="158">
        <f>IF(L1359/1000&gt;1000,1000,L1359/1000)</f>
        <v>1</v>
      </c>
      <c r="N1359" s="610"/>
    </row>
    <row r="1360" spans="1:14" s="102" customFormat="1">
      <c r="A1360" s="173" t="str">
        <f>A1359</f>
        <v>PLA</v>
      </c>
      <c r="B1360" s="150" t="str">
        <f>B1359</f>
        <v>film</v>
      </c>
      <c r="C1360" s="150">
        <f t="shared" si="1444"/>
        <v>2</v>
      </c>
      <c r="D1360" s="150" t="str">
        <f t="shared" ref="D1360:F1360" si="1446">D1359</f>
        <v>0,01-0,1</v>
      </c>
      <c r="E1360" s="150">
        <f t="shared" si="1446"/>
        <v>0.1</v>
      </c>
      <c r="F1360" s="150" t="str">
        <f t="shared" si="1446"/>
        <v>air</v>
      </c>
      <c r="G1360" s="147" t="str">
        <f t="shared" si="1442"/>
        <v>PLA film 0,01-0,1 mm (emission to air)</v>
      </c>
      <c r="H1360" s="147"/>
      <c r="I1360" s="129">
        <v>0</v>
      </c>
      <c r="J1360" s="225" t="s">
        <v>1034</v>
      </c>
      <c r="K1360" s="151" t="s">
        <v>596</v>
      </c>
      <c r="L1360" s="226">
        <f t="shared" si="1443"/>
        <v>0</v>
      </c>
      <c r="M1360" s="158">
        <f t="shared" ref="M1360" si="1447">IF(L1360/1000&gt;1000,1000,L1360/1000)</f>
        <v>0</v>
      </c>
      <c r="N1360" s="610"/>
    </row>
    <row r="1361" spans="1:14" s="102" customFormat="1">
      <c r="A1361" s="174" t="s">
        <v>2</v>
      </c>
      <c r="B1361" s="288" t="s">
        <v>996</v>
      </c>
      <c r="C1361" s="290">
        <f>IF(OR(B1361="Folie", B1361="Strips", B1361="Film",B1361="Flakes",B1361="Coupon"), 2,IF(OR(B1361="Fibers",B1361="Pellets"),4,IF(OR(B1361="Particles",B1361="Shreds",B1361="Powder",B1361="Fragments",B1361="Granules"),6,"")))</f>
        <v>2</v>
      </c>
      <c r="D1361" s="290" t="s">
        <v>1028</v>
      </c>
      <c r="E1361" s="155">
        <v>1</v>
      </c>
      <c r="F1361" s="131" t="s">
        <v>1019</v>
      </c>
      <c r="G1361" s="134" t="str">
        <f t="shared" ref="G1361:G1367" si="1448">CONCATENATE(A1361," ",B1361," ",D1361," mm (emission to ",F1361,")")</f>
        <v>PLA film 0,1-1 mm (emission to soil)</v>
      </c>
      <c r="H1361" s="144"/>
      <c r="I1361" s="129">
        <v>1</v>
      </c>
      <c r="J1361" s="101" t="s">
        <v>1019</v>
      </c>
      <c r="K1361" s="114">
        <f>K61</f>
        <v>78.694724300850595</v>
      </c>
      <c r="L1361" s="226">
        <f t="shared" ref="L1361:L1367" si="1449">IFERROR(IF(K1361="--",0,IF(E1361*1000/K1361*(1-0.5)^(C1361/2)&gt;1000,1000,E1361*1000/K1361*(1-0.5)^(C1361/2))),1000)</f>
        <v>6.3536660740877089</v>
      </c>
      <c r="M1361" s="158">
        <f>IF(L1361/1000&gt;1000,1000,L1361/1000)</f>
        <v>6.3536660740877091E-3</v>
      </c>
      <c r="N1361" s="610">
        <f>I1361*M1361+I1362*M1362</f>
        <v>6.3536660740877091E-3</v>
      </c>
    </row>
    <row r="1362" spans="1:14" s="102" customFormat="1">
      <c r="A1362" s="172" t="str">
        <f>A1361</f>
        <v>PLA</v>
      </c>
      <c r="B1362" s="149" t="str">
        <f>B1361</f>
        <v>film</v>
      </c>
      <c r="C1362" s="149">
        <f t="shared" ref="C1362:C1367" si="1450">IF(OR(B1362="Folie", B1362="Strips", B1362="Film",B1362="Flakes",B1362="Coupon"), 2,IF(OR(B1362="Fibers",B1362="Pellets"),4,IF(OR(B1362="Particles",B1362="Shreds",B1362="Powder",B1362="Fragments",B1362="Granules"),6,"")))</f>
        <v>2</v>
      </c>
      <c r="D1362" s="149" t="str">
        <f t="shared" ref="D1362:F1362" si="1451">D1361</f>
        <v>0,1-1</v>
      </c>
      <c r="E1362" s="149">
        <f t="shared" si="1451"/>
        <v>1</v>
      </c>
      <c r="F1362" s="149" t="str">
        <f t="shared" si="1451"/>
        <v>soil</v>
      </c>
      <c r="G1362" s="146" t="str">
        <f t="shared" si="1448"/>
        <v>PLA film 0,1-1 mm (emission to soil)</v>
      </c>
      <c r="H1362" s="146"/>
      <c r="I1362" s="129">
        <v>0</v>
      </c>
      <c r="J1362" s="101" t="s">
        <v>1097</v>
      </c>
      <c r="K1362" s="114">
        <f>K62</f>
        <v>0</v>
      </c>
      <c r="L1362" s="226">
        <f t="shared" si="1449"/>
        <v>1000</v>
      </c>
      <c r="M1362" s="158">
        <f>IF(L1362/1000&gt;1000,1000,L1362/1000)</f>
        <v>1</v>
      </c>
      <c r="N1362" s="610"/>
    </row>
    <row r="1363" spans="1:14" s="102" customFormat="1">
      <c r="A1363" s="173" t="str">
        <f>A1362</f>
        <v>PLA</v>
      </c>
      <c r="B1363" s="150" t="str">
        <f>B1362</f>
        <v>film</v>
      </c>
      <c r="C1363" s="150">
        <f t="shared" si="1450"/>
        <v>2</v>
      </c>
      <c r="D1363" s="150" t="str">
        <f t="shared" ref="D1363:F1363" si="1452">D1362</f>
        <v>0,1-1</v>
      </c>
      <c r="E1363" s="150">
        <f t="shared" si="1452"/>
        <v>1</v>
      </c>
      <c r="F1363" s="150" t="str">
        <f t="shared" si="1452"/>
        <v>soil</v>
      </c>
      <c r="G1363" s="147" t="str">
        <f t="shared" si="1448"/>
        <v>PLA film 0,1-1 mm (emission to soil)</v>
      </c>
      <c r="H1363" s="147"/>
      <c r="I1363" s="129">
        <v>0</v>
      </c>
      <c r="J1363" s="101" t="s">
        <v>1034</v>
      </c>
      <c r="K1363" s="151" t="s">
        <v>596</v>
      </c>
      <c r="L1363" s="226">
        <f t="shared" si="1449"/>
        <v>0</v>
      </c>
      <c r="M1363" s="158">
        <f t="shared" ref="M1363:M1367" si="1453">IF(L1363/1000&gt;1000,1000,L1363/1000)</f>
        <v>0</v>
      </c>
      <c r="N1363" s="610"/>
    </row>
    <row r="1364" spans="1:14" s="102" customFormat="1">
      <c r="A1364" s="174" t="s">
        <v>2</v>
      </c>
      <c r="B1364" s="214" t="s">
        <v>996</v>
      </c>
      <c r="C1364" s="216">
        <f t="shared" si="1450"/>
        <v>2</v>
      </c>
      <c r="D1364" s="216" t="s">
        <v>1028</v>
      </c>
      <c r="E1364" s="216">
        <v>1</v>
      </c>
      <c r="F1364" s="206" t="s">
        <v>1020</v>
      </c>
      <c r="G1364" s="144" t="str">
        <f t="shared" si="1448"/>
        <v>PLA film 0,1-1 mm (emission to water)</v>
      </c>
      <c r="H1364" s="144"/>
      <c r="I1364" s="129">
        <v>0</v>
      </c>
      <c r="J1364" s="225" t="s">
        <v>1019</v>
      </c>
      <c r="K1364" s="114">
        <f>K61</f>
        <v>78.694724300850595</v>
      </c>
      <c r="L1364" s="226">
        <f t="shared" si="1449"/>
        <v>6.3536660740877089</v>
      </c>
      <c r="M1364" s="220">
        <f t="shared" si="1453"/>
        <v>6.3536660740877091E-3</v>
      </c>
      <c r="N1364" s="611">
        <f>I1364*M1364+I1365*M1365+I1366*M1366</f>
        <v>1</v>
      </c>
    </row>
    <row r="1365" spans="1:14" s="102" customFormat="1">
      <c r="A1365" s="172" t="str">
        <f>A1364</f>
        <v>PLA</v>
      </c>
      <c r="B1365" s="149" t="str">
        <f>B1364</f>
        <v>film</v>
      </c>
      <c r="C1365" s="149">
        <f t="shared" si="1450"/>
        <v>2</v>
      </c>
      <c r="D1365" s="149" t="str">
        <f t="shared" ref="D1365:F1365" si="1454">D1364</f>
        <v>0,1-1</v>
      </c>
      <c r="E1365" s="149">
        <f t="shared" si="1454"/>
        <v>1</v>
      </c>
      <c r="F1365" s="149" t="str">
        <f t="shared" si="1454"/>
        <v>water</v>
      </c>
      <c r="G1365" s="146" t="str">
        <f t="shared" si="1448"/>
        <v>PLA film 0,1-1 mm (emission to water)</v>
      </c>
      <c r="H1365" s="146"/>
      <c r="I1365" s="129">
        <v>0</v>
      </c>
      <c r="J1365" s="225" t="s">
        <v>1097</v>
      </c>
      <c r="K1365" s="114">
        <f>K62</f>
        <v>0</v>
      </c>
      <c r="L1365" s="226">
        <f t="shared" si="1449"/>
        <v>1000</v>
      </c>
      <c r="M1365" s="220">
        <f t="shared" si="1453"/>
        <v>1</v>
      </c>
      <c r="N1365" s="612"/>
    </row>
    <row r="1366" spans="1:14" s="102" customFormat="1">
      <c r="A1366" s="172" t="str">
        <f>A1365</f>
        <v>PLA</v>
      </c>
      <c r="B1366" s="149" t="str">
        <f>B1365</f>
        <v>film</v>
      </c>
      <c r="C1366" s="149">
        <f t="shared" si="1450"/>
        <v>2</v>
      </c>
      <c r="D1366" s="149" t="str">
        <f t="shared" ref="D1366:F1366" si="1455">D1365</f>
        <v>0,1-1</v>
      </c>
      <c r="E1366" s="149">
        <f t="shared" si="1455"/>
        <v>1</v>
      </c>
      <c r="F1366" s="149" t="str">
        <f t="shared" si="1455"/>
        <v>water</v>
      </c>
      <c r="G1366" s="146" t="str">
        <f t="shared" si="1448"/>
        <v>PLA film 0,1-1 mm (emission to water)</v>
      </c>
      <c r="H1366" s="146"/>
      <c r="I1366" s="129">
        <v>1</v>
      </c>
      <c r="J1366" s="225" t="s">
        <v>1096</v>
      </c>
      <c r="K1366" s="114">
        <f>K63</f>
        <v>5.60535714285913E-4</v>
      </c>
      <c r="L1366" s="226">
        <f t="shared" si="1449"/>
        <v>1000</v>
      </c>
      <c r="M1366" s="220">
        <f t="shared" si="1453"/>
        <v>1</v>
      </c>
      <c r="N1366" s="612"/>
    </row>
    <row r="1367" spans="1:14" s="102" customFormat="1">
      <c r="A1367" s="173" t="str">
        <f>A1365</f>
        <v>PLA</v>
      </c>
      <c r="B1367" s="150" t="str">
        <f>B1365</f>
        <v>film</v>
      </c>
      <c r="C1367" s="150">
        <f t="shared" si="1450"/>
        <v>2</v>
      </c>
      <c r="D1367" s="150" t="str">
        <f>D1365</f>
        <v>0,1-1</v>
      </c>
      <c r="E1367" s="150">
        <f>E1365</f>
        <v>1</v>
      </c>
      <c r="F1367" s="150" t="str">
        <f>F1365</f>
        <v>water</v>
      </c>
      <c r="G1367" s="147" t="str">
        <f t="shared" si="1448"/>
        <v>PLA film 0,1-1 mm (emission to water)</v>
      </c>
      <c r="H1367" s="147"/>
      <c r="I1367" s="129">
        <v>0</v>
      </c>
      <c r="J1367" s="225" t="s">
        <v>1034</v>
      </c>
      <c r="K1367" s="151" t="s">
        <v>596</v>
      </c>
      <c r="L1367" s="226">
        <f t="shared" si="1449"/>
        <v>0</v>
      </c>
      <c r="M1367" s="220">
        <f t="shared" si="1453"/>
        <v>0</v>
      </c>
      <c r="N1367" s="613"/>
    </row>
    <row r="1368" spans="1:14" s="102" customFormat="1">
      <c r="A1368" s="174" t="s">
        <v>2</v>
      </c>
      <c r="B1368" s="288" t="s">
        <v>996</v>
      </c>
      <c r="C1368" s="290">
        <f>IF(OR(B1368="Folie", B1368="Strips", B1368="Film",B1368="Flakes",B1368="Coupon"), 2,IF(OR(B1368="Fibers",B1368="Pellets"),4,IF(OR(B1368="Particles",B1368="Shreds",B1368="Powder",B1368="Fragments",B1368="Granules"),6,"")))</f>
        <v>2</v>
      </c>
      <c r="D1368" s="290" t="s">
        <v>1028</v>
      </c>
      <c r="E1368" s="155">
        <v>1</v>
      </c>
      <c r="F1368" s="131" t="s">
        <v>1057</v>
      </c>
      <c r="G1368" s="134" t="str">
        <f t="shared" ref="G1368:G1370" si="1456">CONCATENATE(A1368," ",B1368," ",D1368," mm (emission to ",F1368,")")</f>
        <v>PLA film 0,1-1 mm (emission to air)</v>
      </c>
      <c r="H1368" s="144"/>
      <c r="I1368" s="137">
        <v>0.97699999999999998</v>
      </c>
      <c r="J1368" s="101" t="s">
        <v>1019</v>
      </c>
      <c r="K1368" s="114">
        <f>K61</f>
        <v>78.694724300850595</v>
      </c>
      <c r="L1368" s="226">
        <f t="shared" ref="L1368:L1370" si="1457">IFERROR(IF(K1368="--",0,IF(E1368*1000/K1368*(1-0.5)^(C1368/2)&gt;1000,1000,E1368*1000/K1368*(1-0.5)^(C1368/2))),1000)</f>
        <v>6.3536660740877089</v>
      </c>
      <c r="M1368" s="158">
        <f>IF(L1368/1000&gt;1000,1000,L1368/1000)</f>
        <v>6.3536660740877091E-3</v>
      </c>
      <c r="N1368" s="610">
        <f>I1368*M1368+I1369*M1369</f>
        <v>2.9207531754383689E-2</v>
      </c>
    </row>
    <row r="1369" spans="1:14" s="102" customFormat="1">
      <c r="A1369" s="172" t="str">
        <f>A1368</f>
        <v>PLA</v>
      </c>
      <c r="B1369" s="149" t="str">
        <f>B1368</f>
        <v>film</v>
      </c>
      <c r="C1369" s="149">
        <f t="shared" ref="C1369:C1370" si="1458">IF(OR(B1369="Folie", B1369="Strips", B1369="Film",B1369="Flakes",B1369="Coupon"), 2,IF(OR(B1369="Fibers",B1369="Pellets"),4,IF(OR(B1369="Particles",B1369="Shreds",B1369="Powder",B1369="Fragments",B1369="Granules"),6,"")))</f>
        <v>2</v>
      </c>
      <c r="D1369" s="149" t="str">
        <f t="shared" ref="D1369:F1369" si="1459">D1368</f>
        <v>0,1-1</v>
      </c>
      <c r="E1369" s="149">
        <f t="shared" si="1459"/>
        <v>1</v>
      </c>
      <c r="F1369" s="149" t="str">
        <f t="shared" si="1459"/>
        <v>air</v>
      </c>
      <c r="G1369" s="146" t="str">
        <f t="shared" si="1456"/>
        <v>PLA film 0,1-1 mm (emission to air)</v>
      </c>
      <c r="H1369" s="146"/>
      <c r="I1369" s="129">
        <v>2.3E-2</v>
      </c>
      <c r="J1369" s="101" t="s">
        <v>1097</v>
      </c>
      <c r="K1369" s="114">
        <f>K62</f>
        <v>0</v>
      </c>
      <c r="L1369" s="226">
        <f t="shared" si="1457"/>
        <v>1000</v>
      </c>
      <c r="M1369" s="158">
        <f>IF(L1369/1000&gt;1000,1000,L1369/1000)</f>
        <v>1</v>
      </c>
      <c r="N1369" s="610"/>
    </row>
    <row r="1370" spans="1:14" s="102" customFormat="1">
      <c r="A1370" s="173" t="str">
        <f>A1369</f>
        <v>PLA</v>
      </c>
      <c r="B1370" s="150" t="str">
        <f>B1369</f>
        <v>film</v>
      </c>
      <c r="C1370" s="150">
        <f t="shared" si="1458"/>
        <v>2</v>
      </c>
      <c r="D1370" s="150" t="str">
        <f t="shared" ref="D1370:F1370" si="1460">D1369</f>
        <v>0,1-1</v>
      </c>
      <c r="E1370" s="150">
        <f t="shared" si="1460"/>
        <v>1</v>
      </c>
      <c r="F1370" s="150" t="str">
        <f t="shared" si="1460"/>
        <v>air</v>
      </c>
      <c r="G1370" s="147" t="str">
        <f t="shared" si="1456"/>
        <v>PLA film 0,1-1 mm (emission to air)</v>
      </c>
      <c r="H1370" s="147"/>
      <c r="I1370" s="129">
        <v>0</v>
      </c>
      <c r="J1370" s="101" t="s">
        <v>1034</v>
      </c>
      <c r="K1370" s="151" t="s">
        <v>596</v>
      </c>
      <c r="L1370" s="226">
        <f t="shared" si="1457"/>
        <v>0</v>
      </c>
      <c r="M1370" s="158">
        <f t="shared" ref="M1370" si="1461">IF(L1370/1000&gt;1000,1000,L1370/1000)</f>
        <v>0</v>
      </c>
      <c r="N1370" s="610"/>
    </row>
    <row r="1371" spans="1:14" s="102" customFormat="1">
      <c r="A1371" s="174" t="s">
        <v>2</v>
      </c>
      <c r="B1371" s="159" t="s">
        <v>996</v>
      </c>
      <c r="C1371" s="188">
        <f t="shared" si="1436"/>
        <v>2</v>
      </c>
      <c r="D1371" s="188" t="s">
        <v>1026</v>
      </c>
      <c r="E1371" s="155">
        <v>10</v>
      </c>
      <c r="F1371" s="131" t="s">
        <v>1019</v>
      </c>
      <c r="G1371" s="134" t="str">
        <f t="shared" ref="G1371:G1424" si="1462">CONCATENATE(A1371," ",B1371," ",D1371," mm (emission to ",F1371,")")</f>
        <v>PLA film 1-10 mm (emission to soil)</v>
      </c>
      <c r="H1371" s="134"/>
      <c r="I1371" s="129">
        <v>1</v>
      </c>
      <c r="J1371" s="101" t="s">
        <v>1019</v>
      </c>
      <c r="K1371" s="114">
        <f>K61</f>
        <v>78.694724300850595</v>
      </c>
      <c r="L1371" s="226">
        <f t="shared" ref="L1371:L1377" si="1463">IFERROR(IF(K1371="--",0,IF(E1371*1000/K1371*(1-0.5)^(C1371/2)&gt;1000,1000,E1371*1000/K1371*(1-0.5)^(C1371/2))),1000)</f>
        <v>63.536660740877089</v>
      </c>
      <c r="M1371" s="158">
        <f>IF(L1371/1000&gt;1000,1000,L1371/1000)</f>
        <v>6.3536660740877091E-2</v>
      </c>
      <c r="N1371" s="610">
        <f>I1371*M1371+I1372*M1372</f>
        <v>6.3536660740877091E-2</v>
      </c>
    </row>
    <row r="1372" spans="1:14" s="102" customFormat="1">
      <c r="A1372" s="172" t="str">
        <f>A1371</f>
        <v>PLA</v>
      </c>
      <c r="B1372" s="149" t="str">
        <f>B1371</f>
        <v>film</v>
      </c>
      <c r="C1372" s="149">
        <f t="shared" si="1436"/>
        <v>2</v>
      </c>
      <c r="D1372" s="149" t="str">
        <f t="shared" ref="D1372:F1373" si="1464">D1371</f>
        <v>1-10</v>
      </c>
      <c r="E1372" s="149">
        <f t="shared" si="1464"/>
        <v>10</v>
      </c>
      <c r="F1372" s="149" t="str">
        <f t="shared" si="1464"/>
        <v>soil</v>
      </c>
      <c r="G1372" s="146" t="str">
        <f t="shared" si="1462"/>
        <v>PLA film 1-10 mm (emission to soil)</v>
      </c>
      <c r="H1372" s="146"/>
      <c r="I1372" s="129">
        <v>0</v>
      </c>
      <c r="J1372" s="101" t="s">
        <v>1097</v>
      </c>
      <c r="K1372" s="114">
        <f>K62</f>
        <v>0</v>
      </c>
      <c r="L1372" s="226">
        <f t="shared" si="1463"/>
        <v>1000</v>
      </c>
      <c r="M1372" s="158">
        <f>IF(L1372/1000&gt;1000,1000,L1372/1000)</f>
        <v>1</v>
      </c>
      <c r="N1372" s="610"/>
    </row>
    <row r="1373" spans="1:14" s="102" customFormat="1">
      <c r="A1373" s="173" t="str">
        <f>A1372</f>
        <v>PLA</v>
      </c>
      <c r="B1373" s="150" t="str">
        <f>B1372</f>
        <v>film</v>
      </c>
      <c r="C1373" s="150">
        <f t="shared" si="1436"/>
        <v>2</v>
      </c>
      <c r="D1373" s="150" t="str">
        <f t="shared" si="1464"/>
        <v>1-10</v>
      </c>
      <c r="E1373" s="150">
        <f t="shared" si="1464"/>
        <v>10</v>
      </c>
      <c r="F1373" s="150" t="str">
        <f t="shared" si="1464"/>
        <v>soil</v>
      </c>
      <c r="G1373" s="147" t="str">
        <f t="shared" si="1462"/>
        <v>PLA film 1-10 mm (emission to soil)</v>
      </c>
      <c r="H1373" s="147"/>
      <c r="I1373" s="129">
        <v>0</v>
      </c>
      <c r="J1373" s="101" t="s">
        <v>1034</v>
      </c>
      <c r="K1373" s="114" t="s">
        <v>596</v>
      </c>
      <c r="L1373" s="226">
        <f t="shared" si="1463"/>
        <v>0</v>
      </c>
      <c r="M1373" s="158">
        <f t="shared" ref="M1373:M1377" si="1465">IF(L1373/1000&gt;1000,1000,L1373/1000)</f>
        <v>0</v>
      </c>
      <c r="N1373" s="610"/>
    </row>
    <row r="1374" spans="1:14" s="102" customFormat="1">
      <c r="A1374" s="174" t="s">
        <v>2</v>
      </c>
      <c r="B1374" s="159" t="s">
        <v>996</v>
      </c>
      <c r="C1374" s="216">
        <f t="shared" si="1436"/>
        <v>2</v>
      </c>
      <c r="D1374" s="216" t="s">
        <v>1026</v>
      </c>
      <c r="E1374" s="214">
        <v>10</v>
      </c>
      <c r="F1374" s="206" t="s">
        <v>1020</v>
      </c>
      <c r="G1374" s="144" t="str">
        <f t="shared" si="1462"/>
        <v>PLA film 1-10 mm (emission to water)</v>
      </c>
      <c r="H1374" s="144"/>
      <c r="I1374" s="129">
        <v>0</v>
      </c>
      <c r="J1374" s="225" t="s">
        <v>1019</v>
      </c>
      <c r="K1374" s="114">
        <f>K61</f>
        <v>78.694724300850595</v>
      </c>
      <c r="L1374" s="226">
        <f t="shared" si="1463"/>
        <v>63.536660740877089</v>
      </c>
      <c r="M1374" s="220">
        <f t="shared" si="1465"/>
        <v>6.3536660740877091E-2</v>
      </c>
      <c r="N1374" s="611">
        <f>I1374*M1374+I1375*M1375+I1376*M1376</f>
        <v>1</v>
      </c>
    </row>
    <row r="1375" spans="1:14" s="102" customFormat="1">
      <c r="A1375" s="172" t="str">
        <f>A1374</f>
        <v>PLA</v>
      </c>
      <c r="B1375" s="149" t="str">
        <f>B1374</f>
        <v>film</v>
      </c>
      <c r="C1375" s="149">
        <f t="shared" si="1436"/>
        <v>2</v>
      </c>
      <c r="D1375" s="149" t="str">
        <f t="shared" ref="D1375:F1376" si="1466">D1374</f>
        <v>1-10</v>
      </c>
      <c r="E1375" s="149">
        <f t="shared" si="1466"/>
        <v>10</v>
      </c>
      <c r="F1375" s="149" t="str">
        <f t="shared" si="1466"/>
        <v>water</v>
      </c>
      <c r="G1375" s="146" t="str">
        <f t="shared" si="1462"/>
        <v>PLA film 1-10 mm (emission to water)</v>
      </c>
      <c r="H1375" s="146"/>
      <c r="I1375" s="129">
        <v>0</v>
      </c>
      <c r="J1375" s="225" t="s">
        <v>1097</v>
      </c>
      <c r="K1375" s="114">
        <f>K62</f>
        <v>0</v>
      </c>
      <c r="L1375" s="226">
        <f t="shared" si="1463"/>
        <v>1000</v>
      </c>
      <c r="M1375" s="220">
        <f t="shared" si="1465"/>
        <v>1</v>
      </c>
      <c r="N1375" s="612"/>
    </row>
    <row r="1376" spans="1:14" s="102" customFormat="1">
      <c r="A1376" s="172" t="str">
        <f>A1375</f>
        <v>PLA</v>
      </c>
      <c r="B1376" s="149" t="str">
        <f>B1375</f>
        <v>film</v>
      </c>
      <c r="C1376" s="149">
        <f t="shared" ref="C1376" si="1467">IF(OR(B1376="Folie", B1376="Strips", B1376="Film",B1376="Flakes",B1376="Coupon"), 2,IF(OR(B1376="Fibers",B1376="Pellets"),4,IF(OR(B1376="Particles",B1376="Shreds",B1376="Powder",B1376="Fragments",B1376="Granules"),6,"")))</f>
        <v>2</v>
      </c>
      <c r="D1376" s="149" t="str">
        <f t="shared" si="1466"/>
        <v>1-10</v>
      </c>
      <c r="E1376" s="149">
        <f t="shared" si="1466"/>
        <v>10</v>
      </c>
      <c r="F1376" s="149" t="str">
        <f t="shared" si="1466"/>
        <v>water</v>
      </c>
      <c r="G1376" s="146" t="str">
        <f t="shared" si="1462"/>
        <v>PLA film 1-10 mm (emission to water)</v>
      </c>
      <c r="H1376" s="146"/>
      <c r="I1376" s="129">
        <v>1</v>
      </c>
      <c r="J1376" s="225" t="s">
        <v>1096</v>
      </c>
      <c r="K1376" s="114">
        <f>K63</f>
        <v>5.60535714285913E-4</v>
      </c>
      <c r="L1376" s="226">
        <f t="shared" si="1463"/>
        <v>1000</v>
      </c>
      <c r="M1376" s="220">
        <f t="shared" si="1465"/>
        <v>1</v>
      </c>
      <c r="N1376" s="612"/>
    </row>
    <row r="1377" spans="1:14" s="102" customFormat="1">
      <c r="A1377" s="173" t="str">
        <f>A1375</f>
        <v>PLA</v>
      </c>
      <c r="B1377" s="150" t="str">
        <f>B1375</f>
        <v>film</v>
      </c>
      <c r="C1377" s="150">
        <f t="shared" si="1436"/>
        <v>2</v>
      </c>
      <c r="D1377" s="150" t="str">
        <f>D1375</f>
        <v>1-10</v>
      </c>
      <c r="E1377" s="150">
        <f>E1375</f>
        <v>10</v>
      </c>
      <c r="F1377" s="150" t="str">
        <f>F1375</f>
        <v>water</v>
      </c>
      <c r="G1377" s="147" t="str">
        <f t="shared" si="1462"/>
        <v>PLA film 1-10 mm (emission to water)</v>
      </c>
      <c r="H1377" s="147"/>
      <c r="I1377" s="129">
        <v>0</v>
      </c>
      <c r="J1377" s="225" t="s">
        <v>1034</v>
      </c>
      <c r="K1377" s="114" t="s">
        <v>596</v>
      </c>
      <c r="L1377" s="226">
        <f t="shared" si="1463"/>
        <v>0</v>
      </c>
      <c r="M1377" s="220">
        <f t="shared" si="1465"/>
        <v>0</v>
      </c>
      <c r="N1377" s="613"/>
    </row>
    <row r="1378" spans="1:14" s="102" customFormat="1">
      <c r="A1378" s="174" t="s">
        <v>2</v>
      </c>
      <c r="B1378" s="159" t="s">
        <v>996</v>
      </c>
      <c r="C1378" s="290">
        <f t="shared" ref="C1378:C1380" si="1468">IF(OR(B1378="Folie", B1378="Strips", B1378="Film",B1378="Flakes",B1378="Coupon"), 2,IF(OR(B1378="Fibers",B1378="Pellets"),4,IF(OR(B1378="Particles",B1378="Shreds",B1378="Powder",B1378="Fragments",B1378="Granules"),6,"")))</f>
        <v>2</v>
      </c>
      <c r="D1378" s="290" t="s">
        <v>1026</v>
      </c>
      <c r="E1378" s="155">
        <v>10</v>
      </c>
      <c r="F1378" s="131" t="s">
        <v>1057</v>
      </c>
      <c r="G1378" s="134" t="str">
        <f t="shared" ref="G1378:G1380" si="1469">CONCATENATE(A1378," ",B1378," ",D1378," mm (emission to ",F1378,")")</f>
        <v>PLA film 1-10 mm (emission to air)</v>
      </c>
      <c r="H1378" s="134"/>
      <c r="I1378" s="137">
        <v>0.97699999999999998</v>
      </c>
      <c r="J1378" s="101" t="s">
        <v>1019</v>
      </c>
      <c r="K1378" s="114">
        <f>K61</f>
        <v>78.694724300850595</v>
      </c>
      <c r="L1378" s="226">
        <f t="shared" ref="L1378:L1380" si="1470">IFERROR(IF(K1378="--",0,IF(E1378*1000/K1378*(1-0.5)^(C1378/2)&gt;1000,1000,E1378*1000/K1378*(1-0.5)^(C1378/2))),1000)</f>
        <v>63.536660740877089</v>
      </c>
      <c r="M1378" s="158">
        <f>IF(L1378/1000&gt;1000,1000,L1378/1000)</f>
        <v>6.3536660740877091E-2</v>
      </c>
      <c r="N1378" s="610">
        <f>I1378*M1378+I1379*M1379</f>
        <v>8.5075317543836917E-2</v>
      </c>
    </row>
    <row r="1379" spans="1:14" s="102" customFormat="1">
      <c r="A1379" s="172" t="str">
        <f>A1378</f>
        <v>PLA</v>
      </c>
      <c r="B1379" s="149" t="str">
        <f>B1378</f>
        <v>film</v>
      </c>
      <c r="C1379" s="149">
        <f t="shared" si="1468"/>
        <v>2</v>
      </c>
      <c r="D1379" s="149" t="str">
        <f t="shared" ref="D1379:F1379" si="1471">D1378</f>
        <v>1-10</v>
      </c>
      <c r="E1379" s="149">
        <f t="shared" si="1471"/>
        <v>10</v>
      </c>
      <c r="F1379" s="149" t="str">
        <f t="shared" si="1471"/>
        <v>air</v>
      </c>
      <c r="G1379" s="146" t="str">
        <f t="shared" si="1469"/>
        <v>PLA film 1-10 mm (emission to air)</v>
      </c>
      <c r="H1379" s="146"/>
      <c r="I1379" s="129">
        <v>2.3E-2</v>
      </c>
      <c r="J1379" s="101" t="s">
        <v>1097</v>
      </c>
      <c r="K1379" s="114">
        <f>K62</f>
        <v>0</v>
      </c>
      <c r="L1379" s="226">
        <f t="shared" si="1470"/>
        <v>1000</v>
      </c>
      <c r="M1379" s="158">
        <f>IF(L1379/1000&gt;1000,1000,L1379/1000)</f>
        <v>1</v>
      </c>
      <c r="N1379" s="610"/>
    </row>
    <row r="1380" spans="1:14" s="102" customFormat="1">
      <c r="A1380" s="173" t="str">
        <f>A1379</f>
        <v>PLA</v>
      </c>
      <c r="B1380" s="150" t="str">
        <f>B1379</f>
        <v>film</v>
      </c>
      <c r="C1380" s="150">
        <f t="shared" si="1468"/>
        <v>2</v>
      </c>
      <c r="D1380" s="150" t="str">
        <f t="shared" ref="D1380:F1380" si="1472">D1379</f>
        <v>1-10</v>
      </c>
      <c r="E1380" s="150">
        <f t="shared" si="1472"/>
        <v>10</v>
      </c>
      <c r="F1380" s="150" t="str">
        <f t="shared" si="1472"/>
        <v>air</v>
      </c>
      <c r="G1380" s="147" t="str">
        <f t="shared" si="1469"/>
        <v>PLA film 1-10 mm (emission to air)</v>
      </c>
      <c r="H1380" s="147"/>
      <c r="I1380" s="129">
        <v>0</v>
      </c>
      <c r="J1380" s="101" t="s">
        <v>1034</v>
      </c>
      <c r="K1380" s="114" t="s">
        <v>596</v>
      </c>
      <c r="L1380" s="226">
        <f t="shared" si="1470"/>
        <v>0</v>
      </c>
      <c r="M1380" s="158">
        <f t="shared" ref="M1380" si="1473">IF(L1380/1000&gt;1000,1000,L1380/1000)</f>
        <v>0</v>
      </c>
      <c r="N1380" s="610"/>
    </row>
    <row r="1381" spans="1:14" s="102" customFormat="1">
      <c r="A1381" s="174" t="s">
        <v>2</v>
      </c>
      <c r="B1381" s="159" t="s">
        <v>1051</v>
      </c>
      <c r="C1381" s="188">
        <f t="shared" si="1436"/>
        <v>4</v>
      </c>
      <c r="D1381" s="188" t="s">
        <v>1028</v>
      </c>
      <c r="E1381" s="155">
        <v>1</v>
      </c>
      <c r="F1381" s="131" t="s">
        <v>1019</v>
      </c>
      <c r="G1381" s="134" t="str">
        <f t="shared" si="1462"/>
        <v>PLA fibers 0,1-1 mm (emission to soil)</v>
      </c>
      <c r="H1381" s="193"/>
      <c r="I1381" s="129">
        <v>1</v>
      </c>
      <c r="J1381" s="101" t="s">
        <v>1019</v>
      </c>
      <c r="K1381" s="114">
        <f>K61</f>
        <v>78.694724300850595</v>
      </c>
      <c r="L1381" s="226">
        <f t="shared" ref="L1381:L1387" si="1474">IFERROR(IF(K1381="--",0,IF(E1381*1000/K1381*(1-0.5)^(C1381/2)&gt;1000,1000,E1381*1000/K1381*(1-0.5)^(C1381/2))),1000)</f>
        <v>3.1768330370438544</v>
      </c>
      <c r="M1381" s="158">
        <f>IF(L1381/1000&gt;1000,1000,L1381/1000)</f>
        <v>3.1768330370438545E-3</v>
      </c>
      <c r="N1381" s="610">
        <f>I1381*M1381+I1382*M1382</f>
        <v>3.1768330370438545E-3</v>
      </c>
    </row>
    <row r="1382" spans="1:14" s="102" customFormat="1">
      <c r="A1382" s="172" t="str">
        <f>A1381</f>
        <v>PLA</v>
      </c>
      <c r="B1382" s="149" t="str">
        <f>B1381</f>
        <v>fibers</v>
      </c>
      <c r="C1382" s="149">
        <f t="shared" si="1436"/>
        <v>4</v>
      </c>
      <c r="D1382" s="149" t="str">
        <f t="shared" ref="D1382:F1383" si="1475">D1381</f>
        <v>0,1-1</v>
      </c>
      <c r="E1382" s="149">
        <f t="shared" si="1475"/>
        <v>1</v>
      </c>
      <c r="F1382" s="149" t="str">
        <f t="shared" si="1475"/>
        <v>soil</v>
      </c>
      <c r="G1382" s="146" t="str">
        <f t="shared" si="1462"/>
        <v>PLA fibers 0,1-1 mm (emission to soil)</v>
      </c>
      <c r="H1382" s="146"/>
      <c r="I1382" s="129">
        <v>0</v>
      </c>
      <c r="J1382" s="101" t="s">
        <v>1097</v>
      </c>
      <c r="K1382" s="114">
        <f>K62</f>
        <v>0</v>
      </c>
      <c r="L1382" s="226">
        <f t="shared" si="1474"/>
        <v>1000</v>
      </c>
      <c r="M1382" s="158">
        <f>IF(L1382/1000&gt;1000,1000,L1382/1000)</f>
        <v>1</v>
      </c>
      <c r="N1382" s="610"/>
    </row>
    <row r="1383" spans="1:14" s="102" customFormat="1">
      <c r="A1383" s="173" t="str">
        <f>A1382</f>
        <v>PLA</v>
      </c>
      <c r="B1383" s="150" t="str">
        <f>B1382</f>
        <v>fibers</v>
      </c>
      <c r="C1383" s="150">
        <f t="shared" si="1436"/>
        <v>4</v>
      </c>
      <c r="D1383" s="150" t="str">
        <f t="shared" si="1475"/>
        <v>0,1-1</v>
      </c>
      <c r="E1383" s="150">
        <f t="shared" si="1475"/>
        <v>1</v>
      </c>
      <c r="F1383" s="150" t="str">
        <f t="shared" si="1475"/>
        <v>soil</v>
      </c>
      <c r="G1383" s="147" t="str">
        <f t="shared" si="1462"/>
        <v>PLA fibers 0,1-1 mm (emission to soil)</v>
      </c>
      <c r="H1383" s="146"/>
      <c r="I1383" s="129">
        <v>0</v>
      </c>
      <c r="J1383" s="101" t="s">
        <v>1034</v>
      </c>
      <c r="K1383" s="151" t="s">
        <v>596</v>
      </c>
      <c r="L1383" s="226">
        <f t="shared" si="1474"/>
        <v>0</v>
      </c>
      <c r="M1383" s="158">
        <f t="shared" ref="M1383:M1387" si="1476">IF(L1383/1000&gt;1000,1000,L1383/1000)</f>
        <v>0</v>
      </c>
      <c r="N1383" s="610"/>
    </row>
    <row r="1384" spans="1:14" s="102" customFormat="1">
      <c r="A1384" s="174" t="s">
        <v>2</v>
      </c>
      <c r="B1384" s="159" t="s">
        <v>1051</v>
      </c>
      <c r="C1384" s="216">
        <f t="shared" si="1436"/>
        <v>4</v>
      </c>
      <c r="D1384" s="216" t="s">
        <v>1028</v>
      </c>
      <c r="E1384" s="216">
        <v>1</v>
      </c>
      <c r="F1384" s="206" t="s">
        <v>1020</v>
      </c>
      <c r="G1384" s="144" t="str">
        <f t="shared" si="1462"/>
        <v>PLA fibers 0,1-1 mm (emission to water)</v>
      </c>
      <c r="H1384" s="192"/>
      <c r="I1384" s="129">
        <v>0</v>
      </c>
      <c r="J1384" s="225" t="s">
        <v>1019</v>
      </c>
      <c r="K1384" s="114">
        <f>K61</f>
        <v>78.694724300850595</v>
      </c>
      <c r="L1384" s="226">
        <f t="shared" si="1474"/>
        <v>3.1768330370438544</v>
      </c>
      <c r="M1384" s="220">
        <f t="shared" si="1476"/>
        <v>3.1768330370438545E-3</v>
      </c>
      <c r="N1384" s="611">
        <f>I1384*M1384+I1385*M1385+I1386*M1386</f>
        <v>1</v>
      </c>
    </row>
    <row r="1385" spans="1:14" s="102" customFormat="1">
      <c r="A1385" s="172" t="str">
        <f>A1384</f>
        <v>PLA</v>
      </c>
      <c r="B1385" s="149" t="str">
        <f>B1384</f>
        <v>fibers</v>
      </c>
      <c r="C1385" s="149">
        <f t="shared" si="1436"/>
        <v>4</v>
      </c>
      <c r="D1385" s="149" t="str">
        <f t="shared" ref="D1385:F1386" si="1477">D1384</f>
        <v>0,1-1</v>
      </c>
      <c r="E1385" s="149">
        <f t="shared" si="1477"/>
        <v>1</v>
      </c>
      <c r="F1385" s="149" t="str">
        <f t="shared" si="1477"/>
        <v>water</v>
      </c>
      <c r="G1385" s="146" t="str">
        <f t="shared" si="1462"/>
        <v>PLA fibers 0,1-1 mm (emission to water)</v>
      </c>
      <c r="H1385" s="146"/>
      <c r="I1385" s="129">
        <v>0</v>
      </c>
      <c r="J1385" s="225" t="s">
        <v>1097</v>
      </c>
      <c r="K1385" s="114">
        <f>K62</f>
        <v>0</v>
      </c>
      <c r="L1385" s="226">
        <f t="shared" si="1474"/>
        <v>1000</v>
      </c>
      <c r="M1385" s="220">
        <f t="shared" si="1476"/>
        <v>1</v>
      </c>
      <c r="N1385" s="612"/>
    </row>
    <row r="1386" spans="1:14" s="102" customFormat="1">
      <c r="A1386" s="172" t="str">
        <f>A1385</f>
        <v>PLA</v>
      </c>
      <c r="B1386" s="149" t="str">
        <f>B1385</f>
        <v>fibers</v>
      </c>
      <c r="C1386" s="149">
        <f t="shared" ref="C1386" si="1478">IF(OR(B1386="Folie", B1386="Strips", B1386="Film",B1386="Flakes",B1386="Coupon"), 2,IF(OR(B1386="Fibers",B1386="Pellets"),4,IF(OR(B1386="Particles",B1386="Shreds",B1386="Powder",B1386="Fragments",B1386="Granules"),6,"")))</f>
        <v>4</v>
      </c>
      <c r="D1386" s="149" t="str">
        <f t="shared" si="1477"/>
        <v>0,1-1</v>
      </c>
      <c r="E1386" s="149">
        <f t="shared" si="1477"/>
        <v>1</v>
      </c>
      <c r="F1386" s="149" t="str">
        <f t="shared" si="1477"/>
        <v>water</v>
      </c>
      <c r="G1386" s="146" t="str">
        <f t="shared" si="1462"/>
        <v>PLA fibers 0,1-1 mm (emission to water)</v>
      </c>
      <c r="H1386" s="146"/>
      <c r="I1386" s="129">
        <v>1</v>
      </c>
      <c r="J1386" s="225" t="s">
        <v>1096</v>
      </c>
      <c r="K1386" s="114">
        <f>K63</f>
        <v>5.60535714285913E-4</v>
      </c>
      <c r="L1386" s="226">
        <f t="shared" si="1474"/>
        <v>1000</v>
      </c>
      <c r="M1386" s="220">
        <f t="shared" si="1476"/>
        <v>1</v>
      </c>
      <c r="N1386" s="612"/>
    </row>
    <row r="1387" spans="1:14" s="102" customFormat="1">
      <c r="A1387" s="173" t="str">
        <f>A1385</f>
        <v>PLA</v>
      </c>
      <c r="B1387" s="150" t="str">
        <f>B1385</f>
        <v>fibers</v>
      </c>
      <c r="C1387" s="150">
        <f t="shared" si="1436"/>
        <v>4</v>
      </c>
      <c r="D1387" s="150" t="str">
        <f>D1385</f>
        <v>0,1-1</v>
      </c>
      <c r="E1387" s="150">
        <f>E1385</f>
        <v>1</v>
      </c>
      <c r="F1387" s="150" t="str">
        <f>F1385</f>
        <v>water</v>
      </c>
      <c r="G1387" s="147" t="str">
        <f t="shared" si="1462"/>
        <v>PLA fibers 0,1-1 mm (emission to water)</v>
      </c>
      <c r="H1387" s="147"/>
      <c r="I1387" s="129">
        <v>0</v>
      </c>
      <c r="J1387" s="225" t="s">
        <v>1034</v>
      </c>
      <c r="K1387" s="114" t="s">
        <v>596</v>
      </c>
      <c r="L1387" s="226">
        <f t="shared" si="1474"/>
        <v>0</v>
      </c>
      <c r="M1387" s="220">
        <f t="shared" si="1476"/>
        <v>0</v>
      </c>
      <c r="N1387" s="613"/>
    </row>
    <row r="1388" spans="1:14" s="102" customFormat="1">
      <c r="A1388" s="174" t="s">
        <v>2</v>
      </c>
      <c r="B1388" s="159" t="s">
        <v>1051</v>
      </c>
      <c r="C1388" s="290">
        <f t="shared" ref="C1388:C1390" si="1479">IF(OR(B1388="Folie", B1388="Strips", B1388="Film",B1388="Flakes",B1388="Coupon"), 2,IF(OR(B1388="Fibers",B1388="Pellets"),4,IF(OR(B1388="Particles",B1388="Shreds",B1388="Powder",B1388="Fragments",B1388="Granules"),6,"")))</f>
        <v>4</v>
      </c>
      <c r="D1388" s="290" t="s">
        <v>1028</v>
      </c>
      <c r="E1388" s="155">
        <v>1</v>
      </c>
      <c r="F1388" s="131" t="s">
        <v>1057</v>
      </c>
      <c r="G1388" s="134" t="str">
        <f t="shared" ref="G1388:G1390" si="1480">CONCATENATE(A1388," ",B1388," ",D1388," mm (emission to ",F1388,")")</f>
        <v>PLA fibers 0,1-1 mm (emission to air)</v>
      </c>
      <c r="H1388" s="192"/>
      <c r="I1388" s="137">
        <v>0.97699999999999998</v>
      </c>
      <c r="J1388" s="101" t="s">
        <v>1019</v>
      </c>
      <c r="K1388" s="114">
        <f>K61</f>
        <v>78.694724300850595</v>
      </c>
      <c r="L1388" s="226">
        <f t="shared" ref="L1388:L1390" si="1481">IFERROR(IF(K1388="--",0,IF(E1388*1000/K1388*(1-0.5)^(C1388/2)&gt;1000,1000,E1388*1000/K1388*(1-0.5)^(C1388/2))),1000)</f>
        <v>3.1768330370438544</v>
      </c>
      <c r="M1388" s="158">
        <f>IF(L1388/1000&gt;1000,1000,L1388/1000)</f>
        <v>3.1768330370438545E-3</v>
      </c>
      <c r="N1388" s="610">
        <f>I1388*M1388+I1389*M1389</f>
        <v>2.6103765877191844E-2</v>
      </c>
    </row>
    <row r="1389" spans="1:14" s="102" customFormat="1">
      <c r="A1389" s="172" t="str">
        <f>A1388</f>
        <v>PLA</v>
      </c>
      <c r="B1389" s="149" t="str">
        <f>B1388</f>
        <v>fibers</v>
      </c>
      <c r="C1389" s="149">
        <f t="shared" si="1479"/>
        <v>4</v>
      </c>
      <c r="D1389" s="149" t="str">
        <f t="shared" ref="D1389:F1389" si="1482">D1388</f>
        <v>0,1-1</v>
      </c>
      <c r="E1389" s="149">
        <f t="shared" si="1482"/>
        <v>1</v>
      </c>
      <c r="F1389" s="149" t="str">
        <f t="shared" si="1482"/>
        <v>air</v>
      </c>
      <c r="G1389" s="146" t="str">
        <f t="shared" si="1480"/>
        <v>PLA fibers 0,1-1 mm (emission to air)</v>
      </c>
      <c r="H1389" s="146"/>
      <c r="I1389" s="129">
        <v>2.3E-2</v>
      </c>
      <c r="J1389" s="101" t="s">
        <v>1097</v>
      </c>
      <c r="K1389" s="114">
        <f>K62</f>
        <v>0</v>
      </c>
      <c r="L1389" s="226">
        <f t="shared" si="1481"/>
        <v>1000</v>
      </c>
      <c r="M1389" s="158">
        <f>IF(L1389/1000&gt;1000,1000,L1389/1000)</f>
        <v>1</v>
      </c>
      <c r="N1389" s="610"/>
    </row>
    <row r="1390" spans="1:14" s="102" customFormat="1">
      <c r="A1390" s="173" t="str">
        <f>A1389</f>
        <v>PLA</v>
      </c>
      <c r="B1390" s="150" t="str">
        <f>B1389</f>
        <v>fibers</v>
      </c>
      <c r="C1390" s="150">
        <f t="shared" si="1479"/>
        <v>4</v>
      </c>
      <c r="D1390" s="150" t="str">
        <f t="shared" ref="D1390:F1390" si="1483">D1389</f>
        <v>0,1-1</v>
      </c>
      <c r="E1390" s="150">
        <f t="shared" si="1483"/>
        <v>1</v>
      </c>
      <c r="F1390" s="150" t="str">
        <f t="shared" si="1483"/>
        <v>air</v>
      </c>
      <c r="G1390" s="147" t="str">
        <f t="shared" si="1480"/>
        <v>PLA fibers 0,1-1 mm (emission to air)</v>
      </c>
      <c r="H1390" s="146"/>
      <c r="I1390" s="129">
        <v>0</v>
      </c>
      <c r="J1390" s="101" t="s">
        <v>1034</v>
      </c>
      <c r="K1390" s="151" t="s">
        <v>596</v>
      </c>
      <c r="L1390" s="226">
        <f t="shared" si="1481"/>
        <v>0</v>
      </c>
      <c r="M1390" s="158">
        <f t="shared" ref="M1390" si="1484">IF(L1390/1000&gt;1000,1000,L1390/1000)</f>
        <v>0</v>
      </c>
      <c r="N1390" s="610"/>
    </row>
    <row r="1391" spans="1:14" s="135" customFormat="1">
      <c r="A1391" s="174" t="s">
        <v>2</v>
      </c>
      <c r="B1391" s="185" t="s">
        <v>372</v>
      </c>
      <c r="C1391" s="140">
        <f t="shared" si="1436"/>
        <v>4</v>
      </c>
      <c r="D1391" s="153" t="s">
        <v>1026</v>
      </c>
      <c r="E1391" s="155">
        <v>10</v>
      </c>
      <c r="F1391" s="154" t="s">
        <v>1019</v>
      </c>
      <c r="G1391" s="134" t="str">
        <f t="shared" si="1462"/>
        <v>PLA pellets 1-10 mm (emission to soil)</v>
      </c>
      <c r="H1391" s="148"/>
      <c r="I1391" s="129">
        <v>1</v>
      </c>
      <c r="J1391" s="101" t="s">
        <v>1019</v>
      </c>
      <c r="K1391" s="114">
        <f>K61</f>
        <v>78.694724300850595</v>
      </c>
      <c r="L1391" s="226">
        <f t="shared" ref="L1391:L1397" si="1485">IFERROR(IF(K1391="--",0,IF(E1391*1000/K1391*(1-0.5)^(C1391/2)&gt;1000,1000,E1391*1000/K1391*(1-0.5)^(C1391/2))),1000)</f>
        <v>31.768330370438544</v>
      </c>
      <c r="M1391" s="158">
        <f>IF(L1391/1000&gt;1000,1000,L1391/1000)</f>
        <v>3.1768330370438545E-2</v>
      </c>
      <c r="N1391" s="610">
        <f>I1391*M1391+I1392*M1392</f>
        <v>3.1768330370438545E-2</v>
      </c>
    </row>
    <row r="1392" spans="1:14" s="102" customFormat="1">
      <c r="A1392" s="172" t="str">
        <f>A1391</f>
        <v>PLA</v>
      </c>
      <c r="B1392" s="149" t="str">
        <f>B1391</f>
        <v>pellets</v>
      </c>
      <c r="C1392" s="149">
        <f t="shared" si="1436"/>
        <v>4</v>
      </c>
      <c r="D1392" s="149" t="str">
        <f t="shared" ref="D1392:F1393" si="1486">D1391</f>
        <v>1-10</v>
      </c>
      <c r="E1392" s="149">
        <f t="shared" si="1486"/>
        <v>10</v>
      </c>
      <c r="F1392" s="149" t="str">
        <f t="shared" si="1486"/>
        <v>soil</v>
      </c>
      <c r="G1392" s="146" t="str">
        <f t="shared" si="1462"/>
        <v>PLA pellets 1-10 mm (emission to soil)</v>
      </c>
      <c r="H1392" s="146"/>
      <c r="I1392" s="129">
        <v>0</v>
      </c>
      <c r="J1392" s="101" t="s">
        <v>1097</v>
      </c>
      <c r="K1392" s="114">
        <f>K62</f>
        <v>0</v>
      </c>
      <c r="L1392" s="226">
        <f t="shared" si="1485"/>
        <v>1000</v>
      </c>
      <c r="M1392" s="158">
        <f>IF(L1392/1000&gt;1000,1000,L1392/1000)</f>
        <v>1</v>
      </c>
      <c r="N1392" s="610"/>
    </row>
    <row r="1393" spans="1:14" s="102" customFormat="1">
      <c r="A1393" s="173" t="str">
        <f>A1392</f>
        <v>PLA</v>
      </c>
      <c r="B1393" s="150" t="str">
        <f>B1392</f>
        <v>pellets</v>
      </c>
      <c r="C1393" s="150">
        <f t="shared" si="1436"/>
        <v>4</v>
      </c>
      <c r="D1393" s="150" t="str">
        <f t="shared" si="1486"/>
        <v>1-10</v>
      </c>
      <c r="E1393" s="150">
        <f t="shared" si="1486"/>
        <v>10</v>
      </c>
      <c r="F1393" s="150" t="str">
        <f t="shared" si="1486"/>
        <v>soil</v>
      </c>
      <c r="G1393" s="147" t="str">
        <f t="shared" si="1462"/>
        <v>PLA pellets 1-10 mm (emission to soil)</v>
      </c>
      <c r="H1393" s="147">
        <f>H1392</f>
        <v>0</v>
      </c>
      <c r="I1393" s="129">
        <v>0</v>
      </c>
      <c r="J1393" s="101" t="s">
        <v>1034</v>
      </c>
      <c r="K1393" s="114" t="s">
        <v>596</v>
      </c>
      <c r="L1393" s="226">
        <f t="shared" si="1485"/>
        <v>0</v>
      </c>
      <c r="M1393" s="158">
        <f t="shared" ref="M1393:M1397" si="1487">IF(L1393/1000&gt;1000,1000,L1393/1000)</f>
        <v>0</v>
      </c>
      <c r="N1393" s="610"/>
    </row>
    <row r="1394" spans="1:14" s="102" customFormat="1">
      <c r="A1394" s="174" t="s">
        <v>2</v>
      </c>
      <c r="B1394" s="155" t="s">
        <v>372</v>
      </c>
      <c r="C1394" s="216">
        <f t="shared" si="1436"/>
        <v>4</v>
      </c>
      <c r="D1394" s="153" t="s">
        <v>1026</v>
      </c>
      <c r="E1394" s="214">
        <v>10</v>
      </c>
      <c r="F1394" s="189" t="s">
        <v>1020</v>
      </c>
      <c r="G1394" s="144" t="str">
        <f t="shared" si="1462"/>
        <v>PLA pellets 1-10 mm (emission to water)</v>
      </c>
      <c r="H1394" s="192"/>
      <c r="I1394" s="129">
        <v>0</v>
      </c>
      <c r="J1394" s="225" t="s">
        <v>1019</v>
      </c>
      <c r="K1394" s="114">
        <f>K61</f>
        <v>78.694724300850595</v>
      </c>
      <c r="L1394" s="226">
        <f t="shared" si="1485"/>
        <v>31.768330370438544</v>
      </c>
      <c r="M1394" s="220">
        <f t="shared" si="1487"/>
        <v>3.1768330370438545E-2</v>
      </c>
      <c r="N1394" s="611">
        <f>I1394*M1394+I1395*M1395+I1396*M1396</f>
        <v>1</v>
      </c>
    </row>
    <row r="1395" spans="1:14" s="102" customFormat="1">
      <c r="A1395" s="172" t="str">
        <f>A1394</f>
        <v>PLA</v>
      </c>
      <c r="B1395" s="149" t="str">
        <f>B1394</f>
        <v>pellets</v>
      </c>
      <c r="C1395" s="149">
        <f t="shared" si="1436"/>
        <v>4</v>
      </c>
      <c r="D1395" s="149" t="str">
        <f t="shared" ref="D1395:F1396" si="1488">D1394</f>
        <v>1-10</v>
      </c>
      <c r="E1395" s="149">
        <f t="shared" si="1488"/>
        <v>10</v>
      </c>
      <c r="F1395" s="149" t="str">
        <f t="shared" si="1488"/>
        <v>water</v>
      </c>
      <c r="G1395" s="146" t="str">
        <f t="shared" si="1462"/>
        <v>PLA pellets 1-10 mm (emission to water)</v>
      </c>
      <c r="H1395" s="146"/>
      <c r="I1395" s="129">
        <v>0</v>
      </c>
      <c r="J1395" s="225" t="s">
        <v>1097</v>
      </c>
      <c r="K1395" s="114">
        <f>K62</f>
        <v>0</v>
      </c>
      <c r="L1395" s="226">
        <f t="shared" si="1485"/>
        <v>1000</v>
      </c>
      <c r="M1395" s="220">
        <f t="shared" si="1487"/>
        <v>1</v>
      </c>
      <c r="N1395" s="612"/>
    </row>
    <row r="1396" spans="1:14" s="102" customFormat="1">
      <c r="A1396" s="172" t="str">
        <f>A1395</f>
        <v>PLA</v>
      </c>
      <c r="B1396" s="149" t="str">
        <f>B1395</f>
        <v>pellets</v>
      </c>
      <c r="C1396" s="149">
        <f t="shared" ref="C1396" si="1489">IF(OR(B1396="Folie", B1396="Strips", B1396="Film",B1396="Flakes",B1396="Coupon"), 2,IF(OR(B1396="Fibers",B1396="Pellets"),4,IF(OR(B1396="Particles",B1396="Shreds",B1396="Powder",B1396="Fragments",B1396="Granules"),6,"")))</f>
        <v>4</v>
      </c>
      <c r="D1396" s="149" t="str">
        <f t="shared" si="1488"/>
        <v>1-10</v>
      </c>
      <c r="E1396" s="149">
        <f t="shared" si="1488"/>
        <v>10</v>
      </c>
      <c r="F1396" s="149" t="str">
        <f t="shared" si="1488"/>
        <v>water</v>
      </c>
      <c r="G1396" s="146" t="str">
        <f t="shared" si="1462"/>
        <v>PLA pellets 1-10 mm (emission to water)</v>
      </c>
      <c r="H1396" s="146"/>
      <c r="I1396" s="129">
        <v>1</v>
      </c>
      <c r="J1396" s="225" t="s">
        <v>1096</v>
      </c>
      <c r="K1396" s="114">
        <f>K63</f>
        <v>5.60535714285913E-4</v>
      </c>
      <c r="L1396" s="226">
        <f t="shared" si="1485"/>
        <v>1000</v>
      </c>
      <c r="M1396" s="220">
        <f t="shared" si="1487"/>
        <v>1</v>
      </c>
      <c r="N1396" s="612"/>
    </row>
    <row r="1397" spans="1:14" s="102" customFormat="1">
      <c r="A1397" s="173" t="str">
        <f>A1395</f>
        <v>PLA</v>
      </c>
      <c r="B1397" s="150" t="str">
        <f>B1395</f>
        <v>pellets</v>
      </c>
      <c r="C1397" s="150">
        <f t="shared" si="1436"/>
        <v>4</v>
      </c>
      <c r="D1397" s="150" t="str">
        <f>D1395</f>
        <v>1-10</v>
      </c>
      <c r="E1397" s="150">
        <f>E1395</f>
        <v>10</v>
      </c>
      <c r="F1397" s="150" t="str">
        <f>F1395</f>
        <v>water</v>
      </c>
      <c r="G1397" s="147" t="str">
        <f t="shared" si="1462"/>
        <v>PLA pellets 1-10 mm (emission to water)</v>
      </c>
      <c r="H1397" s="147"/>
      <c r="I1397" s="129">
        <v>0</v>
      </c>
      <c r="J1397" s="225" t="s">
        <v>1034</v>
      </c>
      <c r="K1397" s="114" t="s">
        <v>596</v>
      </c>
      <c r="L1397" s="226">
        <f t="shared" si="1485"/>
        <v>0</v>
      </c>
      <c r="M1397" s="220">
        <f t="shared" si="1487"/>
        <v>0</v>
      </c>
      <c r="N1397" s="613"/>
    </row>
    <row r="1398" spans="1:14" s="102" customFormat="1">
      <c r="A1398" s="174" t="s">
        <v>2</v>
      </c>
      <c r="B1398" s="287" t="s">
        <v>372</v>
      </c>
      <c r="C1398" s="140">
        <f t="shared" ref="C1398:C1400" si="1490">IF(OR(B1398="Folie", B1398="Strips", B1398="Film",B1398="Flakes",B1398="Coupon"), 2,IF(OR(B1398="Fibers",B1398="Pellets"),4,IF(OR(B1398="Particles",B1398="Shreds",B1398="Powder",B1398="Fragments",B1398="Granules"),6,"")))</f>
        <v>4</v>
      </c>
      <c r="D1398" s="153" t="s">
        <v>1026</v>
      </c>
      <c r="E1398" s="155">
        <v>10</v>
      </c>
      <c r="F1398" s="154" t="s">
        <v>1057</v>
      </c>
      <c r="G1398" s="134" t="str">
        <f t="shared" ref="G1398:G1400" si="1491">CONCATENATE(A1398," ",B1398," ",D1398," mm (emission to ",F1398,")")</f>
        <v>PLA pellets 1-10 mm (emission to air)</v>
      </c>
      <c r="H1398" s="148"/>
      <c r="I1398" s="137">
        <v>0.97699999999999998</v>
      </c>
      <c r="J1398" s="101" t="s">
        <v>1019</v>
      </c>
      <c r="K1398" s="114">
        <f>K61</f>
        <v>78.694724300850595</v>
      </c>
      <c r="L1398" s="226">
        <f t="shared" ref="L1398:L1400" si="1492">IFERROR(IF(K1398="--",0,IF(E1398*1000/K1398*(1-0.5)^(C1398/2)&gt;1000,1000,E1398*1000/K1398*(1-0.5)^(C1398/2))),1000)</f>
        <v>31.768330370438544</v>
      </c>
      <c r="M1398" s="158">
        <f>IF(L1398/1000&gt;1000,1000,L1398/1000)</f>
        <v>3.1768330370438545E-2</v>
      </c>
      <c r="N1398" s="610">
        <f>I1398*M1398+I1399*M1399</f>
        <v>5.4037658771918462E-2</v>
      </c>
    </row>
    <row r="1399" spans="1:14" s="102" customFormat="1">
      <c r="A1399" s="172" t="str">
        <f>A1398</f>
        <v>PLA</v>
      </c>
      <c r="B1399" s="149" t="str">
        <f>B1398</f>
        <v>pellets</v>
      </c>
      <c r="C1399" s="149">
        <f t="shared" si="1490"/>
        <v>4</v>
      </c>
      <c r="D1399" s="149" t="str">
        <f t="shared" ref="D1399:F1399" si="1493">D1398</f>
        <v>1-10</v>
      </c>
      <c r="E1399" s="149">
        <f t="shared" si="1493"/>
        <v>10</v>
      </c>
      <c r="F1399" s="149" t="str">
        <f t="shared" si="1493"/>
        <v>air</v>
      </c>
      <c r="G1399" s="146" t="str">
        <f t="shared" si="1491"/>
        <v>PLA pellets 1-10 mm (emission to air)</v>
      </c>
      <c r="H1399" s="146"/>
      <c r="I1399" s="129">
        <v>2.3E-2</v>
      </c>
      <c r="J1399" s="101" t="s">
        <v>1097</v>
      </c>
      <c r="K1399" s="114">
        <f>K62</f>
        <v>0</v>
      </c>
      <c r="L1399" s="226">
        <f t="shared" si="1492"/>
        <v>1000</v>
      </c>
      <c r="M1399" s="158">
        <f>IF(L1399/1000&gt;1000,1000,L1399/1000)</f>
        <v>1</v>
      </c>
      <c r="N1399" s="610"/>
    </row>
    <row r="1400" spans="1:14" s="102" customFormat="1">
      <c r="A1400" s="173" t="str">
        <f>A1399</f>
        <v>PLA</v>
      </c>
      <c r="B1400" s="150" t="str">
        <f>B1399</f>
        <v>pellets</v>
      </c>
      <c r="C1400" s="150">
        <f t="shared" si="1490"/>
        <v>4</v>
      </c>
      <c r="D1400" s="150" t="str">
        <f t="shared" ref="D1400:F1400" si="1494">D1399</f>
        <v>1-10</v>
      </c>
      <c r="E1400" s="150">
        <f t="shared" si="1494"/>
        <v>10</v>
      </c>
      <c r="F1400" s="150" t="str">
        <f t="shared" si="1494"/>
        <v>air</v>
      </c>
      <c r="G1400" s="147" t="str">
        <f t="shared" si="1491"/>
        <v>PLA pellets 1-10 mm (emission to air)</v>
      </c>
      <c r="H1400" s="147">
        <f>H1399</f>
        <v>0</v>
      </c>
      <c r="I1400" s="129">
        <v>0</v>
      </c>
      <c r="J1400" s="101" t="s">
        <v>1034</v>
      </c>
      <c r="K1400" s="114" t="s">
        <v>596</v>
      </c>
      <c r="L1400" s="226">
        <f t="shared" si="1492"/>
        <v>0</v>
      </c>
      <c r="M1400" s="158">
        <f t="shared" ref="M1400" si="1495">IF(L1400/1000&gt;1000,1000,L1400/1000)</f>
        <v>0</v>
      </c>
      <c r="N1400" s="610"/>
    </row>
    <row r="1401" spans="1:14" s="102" customFormat="1">
      <c r="A1401" s="174" t="s">
        <v>2</v>
      </c>
      <c r="B1401" s="186" t="s">
        <v>1025</v>
      </c>
      <c r="C1401" s="188">
        <f t="shared" si="1436"/>
        <v>6</v>
      </c>
      <c r="D1401" s="188" t="s">
        <v>1018</v>
      </c>
      <c r="E1401" s="155">
        <v>0.1</v>
      </c>
      <c r="F1401" s="131" t="s">
        <v>1019</v>
      </c>
      <c r="G1401" s="134" t="str">
        <f t="shared" si="1462"/>
        <v>PLA particles 0,01-0,1 mm (emission to soil)</v>
      </c>
      <c r="H1401" s="133"/>
      <c r="I1401" s="129">
        <v>1</v>
      </c>
      <c r="J1401" s="101" t="s">
        <v>1019</v>
      </c>
      <c r="K1401" s="114">
        <f>K61</f>
        <v>78.694724300850595</v>
      </c>
      <c r="L1401" s="226">
        <f t="shared" ref="L1401:L1407" si="1496">IFERROR(IF(K1401="--",0,IF(E1401*1000/K1401*(1-0.5)^(C1401/2)&gt;1000,1000,E1401*1000/K1401*(1-0.5)^(C1401/2))),1000)</f>
        <v>0.15884165185219271</v>
      </c>
      <c r="M1401" s="158">
        <f>IF(L1401/1000&gt;1000,1000,L1401/1000)</f>
        <v>1.588416518521927E-4</v>
      </c>
      <c r="N1401" s="610">
        <f>I1401*M1401+I1402*M1402</f>
        <v>1.588416518521927E-4</v>
      </c>
    </row>
    <row r="1402" spans="1:14" s="102" customFormat="1">
      <c r="A1402" s="172" t="str">
        <f>A1401</f>
        <v>PLA</v>
      </c>
      <c r="B1402" s="149" t="str">
        <f>B1401</f>
        <v>particles</v>
      </c>
      <c r="C1402" s="149">
        <f t="shared" si="1436"/>
        <v>6</v>
      </c>
      <c r="D1402" s="149" t="str">
        <f t="shared" ref="D1402:F1403" si="1497">D1401</f>
        <v>0,01-0,1</v>
      </c>
      <c r="E1402" s="149">
        <f t="shared" si="1497"/>
        <v>0.1</v>
      </c>
      <c r="F1402" s="149" t="str">
        <f t="shared" si="1497"/>
        <v>soil</v>
      </c>
      <c r="G1402" s="146" t="str">
        <f t="shared" si="1462"/>
        <v>PLA particles 0,01-0,1 mm (emission to soil)</v>
      </c>
      <c r="H1402" s="146"/>
      <c r="I1402" s="129">
        <v>0</v>
      </c>
      <c r="J1402" s="101" t="s">
        <v>1097</v>
      </c>
      <c r="K1402" s="114">
        <f>K62</f>
        <v>0</v>
      </c>
      <c r="L1402" s="226">
        <f t="shared" si="1496"/>
        <v>1000</v>
      </c>
      <c r="M1402" s="158">
        <f>IF(L1402/1000&gt;1000,1000,L1402/1000)</f>
        <v>1</v>
      </c>
      <c r="N1402" s="610"/>
    </row>
    <row r="1403" spans="1:14" s="102" customFormat="1">
      <c r="A1403" s="173" t="str">
        <f>A1402</f>
        <v>PLA</v>
      </c>
      <c r="B1403" s="150" t="str">
        <f>B1402</f>
        <v>particles</v>
      </c>
      <c r="C1403" s="150">
        <f t="shared" si="1436"/>
        <v>6</v>
      </c>
      <c r="D1403" s="150" t="str">
        <f t="shared" si="1497"/>
        <v>0,01-0,1</v>
      </c>
      <c r="E1403" s="150">
        <f t="shared" si="1497"/>
        <v>0.1</v>
      </c>
      <c r="F1403" s="150" t="str">
        <f t="shared" si="1497"/>
        <v>soil</v>
      </c>
      <c r="G1403" s="147" t="str">
        <f t="shared" si="1462"/>
        <v>PLA particles 0,01-0,1 mm (emission to soil)</v>
      </c>
      <c r="H1403" s="147"/>
      <c r="I1403" s="129">
        <v>0</v>
      </c>
      <c r="J1403" s="101" t="s">
        <v>1034</v>
      </c>
      <c r="K1403" s="114" t="s">
        <v>596</v>
      </c>
      <c r="L1403" s="226">
        <f t="shared" si="1496"/>
        <v>0</v>
      </c>
      <c r="M1403" s="158">
        <f t="shared" ref="M1403:M1407" si="1498">IF(L1403/1000&gt;1000,1000,L1403/1000)</f>
        <v>0</v>
      </c>
      <c r="N1403" s="610"/>
    </row>
    <row r="1404" spans="1:14" s="102" customFormat="1">
      <c r="A1404" s="174" t="s">
        <v>2</v>
      </c>
      <c r="B1404" s="214" t="s">
        <v>1025</v>
      </c>
      <c r="C1404" s="216">
        <f t="shared" si="1436"/>
        <v>6</v>
      </c>
      <c r="D1404" s="216" t="s">
        <v>1018</v>
      </c>
      <c r="E1404" s="155">
        <v>0.1</v>
      </c>
      <c r="F1404" s="206" t="s">
        <v>1020</v>
      </c>
      <c r="G1404" s="144" t="str">
        <f t="shared" si="1462"/>
        <v>PLA particles 0,01-0,1 mm (emission to water)</v>
      </c>
      <c r="H1404" s="133"/>
      <c r="I1404" s="129">
        <v>0</v>
      </c>
      <c r="J1404" s="225" t="s">
        <v>1019</v>
      </c>
      <c r="K1404" s="114">
        <f>K61</f>
        <v>78.694724300850595</v>
      </c>
      <c r="L1404" s="226">
        <f t="shared" si="1496"/>
        <v>0.15884165185219271</v>
      </c>
      <c r="M1404" s="220">
        <f t="shared" si="1498"/>
        <v>1.588416518521927E-4</v>
      </c>
      <c r="N1404" s="611">
        <f>I1404*M1404+I1405*M1405+I1406*M1406</f>
        <v>1</v>
      </c>
    </row>
    <row r="1405" spans="1:14" s="102" customFormat="1">
      <c r="A1405" s="172" t="str">
        <f>A1404</f>
        <v>PLA</v>
      </c>
      <c r="B1405" s="149" t="str">
        <f>B1404</f>
        <v>particles</v>
      </c>
      <c r="C1405" s="149">
        <f t="shared" si="1436"/>
        <v>6</v>
      </c>
      <c r="D1405" s="149" t="str">
        <f t="shared" ref="D1405:F1406" si="1499">D1404</f>
        <v>0,01-0,1</v>
      </c>
      <c r="E1405" s="149">
        <f t="shared" si="1499"/>
        <v>0.1</v>
      </c>
      <c r="F1405" s="149" t="str">
        <f t="shared" si="1499"/>
        <v>water</v>
      </c>
      <c r="G1405" s="146" t="str">
        <f t="shared" si="1462"/>
        <v>PLA particles 0,01-0,1 mm (emission to water)</v>
      </c>
      <c r="H1405" s="146"/>
      <c r="I1405" s="129">
        <v>0</v>
      </c>
      <c r="J1405" s="225" t="s">
        <v>1097</v>
      </c>
      <c r="K1405" s="114">
        <f>K62</f>
        <v>0</v>
      </c>
      <c r="L1405" s="226">
        <f t="shared" si="1496"/>
        <v>1000</v>
      </c>
      <c r="M1405" s="220">
        <f t="shared" si="1498"/>
        <v>1</v>
      </c>
      <c r="N1405" s="612"/>
    </row>
    <row r="1406" spans="1:14" s="102" customFormat="1">
      <c r="A1406" s="172" t="str">
        <f>A1405</f>
        <v>PLA</v>
      </c>
      <c r="B1406" s="149" t="str">
        <f>B1405</f>
        <v>particles</v>
      </c>
      <c r="C1406" s="149">
        <f t="shared" ref="C1406" si="1500">IF(OR(B1406="Folie", B1406="Strips", B1406="Film",B1406="Flakes",B1406="Coupon"), 2,IF(OR(B1406="Fibers",B1406="Pellets"),4,IF(OR(B1406="Particles",B1406="Shreds",B1406="Powder",B1406="Fragments",B1406="Granules"),6,"")))</f>
        <v>6</v>
      </c>
      <c r="D1406" s="149" t="str">
        <f t="shared" si="1499"/>
        <v>0,01-0,1</v>
      </c>
      <c r="E1406" s="149">
        <f t="shared" si="1499"/>
        <v>0.1</v>
      </c>
      <c r="F1406" s="149" t="str">
        <f t="shared" si="1499"/>
        <v>water</v>
      </c>
      <c r="G1406" s="146" t="str">
        <f t="shared" si="1462"/>
        <v>PLA particles 0,01-0,1 mm (emission to water)</v>
      </c>
      <c r="H1406" s="146"/>
      <c r="I1406" s="129">
        <v>1</v>
      </c>
      <c r="J1406" s="225" t="s">
        <v>1096</v>
      </c>
      <c r="K1406" s="114">
        <f>K63</f>
        <v>5.60535714285913E-4</v>
      </c>
      <c r="L1406" s="226">
        <f t="shared" si="1496"/>
        <v>1000</v>
      </c>
      <c r="M1406" s="220">
        <f t="shared" si="1498"/>
        <v>1</v>
      </c>
      <c r="N1406" s="612"/>
    </row>
    <row r="1407" spans="1:14" s="102" customFormat="1">
      <c r="A1407" s="173" t="str">
        <f>A1405</f>
        <v>PLA</v>
      </c>
      <c r="B1407" s="150" t="str">
        <f>B1405</f>
        <v>particles</v>
      </c>
      <c r="C1407" s="150">
        <f t="shared" si="1436"/>
        <v>6</v>
      </c>
      <c r="D1407" s="150" t="str">
        <f>D1405</f>
        <v>0,01-0,1</v>
      </c>
      <c r="E1407" s="150">
        <f>E1405</f>
        <v>0.1</v>
      </c>
      <c r="F1407" s="150" t="str">
        <f>F1405</f>
        <v>water</v>
      </c>
      <c r="G1407" s="147" t="str">
        <f t="shared" si="1462"/>
        <v>PLA particles 0,01-0,1 mm (emission to water)</v>
      </c>
      <c r="H1407" s="147"/>
      <c r="I1407" s="129">
        <v>0</v>
      </c>
      <c r="J1407" s="225" t="s">
        <v>1034</v>
      </c>
      <c r="K1407" s="114" t="s">
        <v>596</v>
      </c>
      <c r="L1407" s="226">
        <f t="shared" si="1496"/>
        <v>0</v>
      </c>
      <c r="M1407" s="220">
        <f t="shared" si="1498"/>
        <v>0</v>
      </c>
      <c r="N1407" s="613"/>
    </row>
    <row r="1408" spans="1:14" s="102" customFormat="1">
      <c r="A1408" s="174" t="s">
        <v>2</v>
      </c>
      <c r="B1408" s="288" t="s">
        <v>1025</v>
      </c>
      <c r="C1408" s="290">
        <f t="shared" ref="C1408:C1410" si="1501">IF(OR(B1408="Folie", B1408="Strips", B1408="Film",B1408="Flakes",B1408="Coupon"), 2,IF(OR(B1408="Fibers",B1408="Pellets"),4,IF(OR(B1408="Particles",B1408="Shreds",B1408="Powder",B1408="Fragments",B1408="Granules"),6,"")))</f>
        <v>6</v>
      </c>
      <c r="D1408" s="290" t="s">
        <v>1018</v>
      </c>
      <c r="E1408" s="155">
        <v>0.1</v>
      </c>
      <c r="F1408" s="131" t="s">
        <v>1057</v>
      </c>
      <c r="G1408" s="134" t="str">
        <f t="shared" ref="G1408:G1410" si="1502">CONCATENATE(A1408," ",B1408," ",D1408," mm (emission to ",F1408,")")</f>
        <v>PLA particles 0,01-0,1 mm (emission to air)</v>
      </c>
      <c r="H1408" s="133"/>
      <c r="I1408" s="137">
        <v>0.97699999999999998</v>
      </c>
      <c r="J1408" s="101" t="s">
        <v>1019</v>
      </c>
      <c r="K1408" s="114">
        <f>K61</f>
        <v>78.694724300850595</v>
      </c>
      <c r="L1408" s="226">
        <f t="shared" ref="L1408:L1410" si="1503">IFERROR(IF(K1408="--",0,IF(E1408*1000/K1408*(1-0.5)^(C1408/2)&gt;1000,1000,E1408*1000/K1408*(1-0.5)^(C1408/2))),1000)</f>
        <v>0.15884165185219271</v>
      </c>
      <c r="M1408" s="158">
        <f>IF(L1408/1000&gt;1000,1000,L1408/1000)</f>
        <v>1.588416518521927E-4</v>
      </c>
      <c r="N1408" s="610">
        <f>I1408*M1408+I1409*M1409</f>
        <v>2.3155188293859593E-2</v>
      </c>
    </row>
    <row r="1409" spans="1:14" s="102" customFormat="1">
      <c r="A1409" s="172" t="str">
        <f>A1408</f>
        <v>PLA</v>
      </c>
      <c r="B1409" s="149" t="str">
        <f>B1408</f>
        <v>particles</v>
      </c>
      <c r="C1409" s="149">
        <f t="shared" si="1501"/>
        <v>6</v>
      </c>
      <c r="D1409" s="149" t="str">
        <f t="shared" ref="D1409:F1409" si="1504">D1408</f>
        <v>0,01-0,1</v>
      </c>
      <c r="E1409" s="149">
        <f t="shared" si="1504"/>
        <v>0.1</v>
      </c>
      <c r="F1409" s="149" t="str">
        <f t="shared" si="1504"/>
        <v>air</v>
      </c>
      <c r="G1409" s="146" t="str">
        <f t="shared" si="1502"/>
        <v>PLA particles 0,01-0,1 mm (emission to air)</v>
      </c>
      <c r="H1409" s="146"/>
      <c r="I1409" s="129">
        <v>2.3E-2</v>
      </c>
      <c r="J1409" s="101" t="s">
        <v>1097</v>
      </c>
      <c r="K1409" s="114">
        <f>K62</f>
        <v>0</v>
      </c>
      <c r="L1409" s="226">
        <f t="shared" si="1503"/>
        <v>1000</v>
      </c>
      <c r="M1409" s="158">
        <f>IF(L1409/1000&gt;1000,1000,L1409/1000)</f>
        <v>1</v>
      </c>
      <c r="N1409" s="610"/>
    </row>
    <row r="1410" spans="1:14" s="102" customFormat="1">
      <c r="A1410" s="173" t="str">
        <f>A1409</f>
        <v>PLA</v>
      </c>
      <c r="B1410" s="150" t="str">
        <f>B1409</f>
        <v>particles</v>
      </c>
      <c r="C1410" s="150">
        <f t="shared" si="1501"/>
        <v>6</v>
      </c>
      <c r="D1410" s="150" t="str">
        <f t="shared" ref="D1410:F1410" si="1505">D1409</f>
        <v>0,01-0,1</v>
      </c>
      <c r="E1410" s="150">
        <f t="shared" si="1505"/>
        <v>0.1</v>
      </c>
      <c r="F1410" s="150" t="str">
        <f t="shared" si="1505"/>
        <v>air</v>
      </c>
      <c r="G1410" s="147" t="str">
        <f t="shared" si="1502"/>
        <v>PLA particles 0,01-0,1 mm (emission to air)</v>
      </c>
      <c r="H1410" s="147"/>
      <c r="I1410" s="129">
        <v>0</v>
      </c>
      <c r="J1410" s="101" t="s">
        <v>1034</v>
      </c>
      <c r="K1410" s="114" t="s">
        <v>596</v>
      </c>
      <c r="L1410" s="226">
        <f t="shared" si="1503"/>
        <v>0</v>
      </c>
      <c r="M1410" s="158">
        <f t="shared" ref="M1410" si="1506">IF(L1410/1000&gt;1000,1000,L1410/1000)</f>
        <v>0</v>
      </c>
      <c r="N1410" s="610"/>
    </row>
    <row r="1411" spans="1:14" s="102" customFormat="1">
      <c r="A1411" s="174" t="s">
        <v>2</v>
      </c>
      <c r="B1411" s="186" t="s">
        <v>1025</v>
      </c>
      <c r="C1411" s="188">
        <f t="shared" si="1436"/>
        <v>6</v>
      </c>
      <c r="D1411" s="188" t="s">
        <v>1028</v>
      </c>
      <c r="E1411" s="155">
        <v>1</v>
      </c>
      <c r="F1411" s="131" t="s">
        <v>1019</v>
      </c>
      <c r="G1411" s="134" t="str">
        <f t="shared" si="1462"/>
        <v>PLA particles 0,1-1 mm (emission to soil)</v>
      </c>
      <c r="H1411" s="133"/>
      <c r="I1411" s="129">
        <v>1</v>
      </c>
      <c r="J1411" s="101" t="s">
        <v>1019</v>
      </c>
      <c r="K1411" s="114">
        <f>K61</f>
        <v>78.694724300850595</v>
      </c>
      <c r="L1411" s="226">
        <f t="shared" ref="L1411:L1417" si="1507">IFERROR(IF(K1411="--",0,IF(E1411*1000/K1411*(1-0.5)^(C1411/2)&gt;1000,1000,E1411*1000/K1411*(1-0.5)^(C1411/2))),1000)</f>
        <v>1.5884165185219272</v>
      </c>
      <c r="M1411" s="158">
        <f>IF(L1411/1000&gt;1000,1000,L1411/1000)</f>
        <v>1.5884165185219273E-3</v>
      </c>
      <c r="N1411" s="610">
        <f>I1411*M1411+I1412*M1412</f>
        <v>1.5884165185219273E-3</v>
      </c>
    </row>
    <row r="1412" spans="1:14" s="102" customFormat="1">
      <c r="A1412" s="172" t="str">
        <f>A1411</f>
        <v>PLA</v>
      </c>
      <c r="B1412" s="149" t="str">
        <f>B1411</f>
        <v>particles</v>
      </c>
      <c r="C1412" s="149">
        <f t="shared" si="1436"/>
        <v>6</v>
      </c>
      <c r="D1412" s="149" t="str">
        <f t="shared" ref="D1412:F1413" si="1508">D1411</f>
        <v>0,1-1</v>
      </c>
      <c r="E1412" s="149">
        <f t="shared" si="1508"/>
        <v>1</v>
      </c>
      <c r="F1412" s="149" t="str">
        <f t="shared" si="1508"/>
        <v>soil</v>
      </c>
      <c r="G1412" s="146" t="str">
        <f t="shared" si="1462"/>
        <v>PLA particles 0,1-1 mm (emission to soil)</v>
      </c>
      <c r="H1412" s="146"/>
      <c r="I1412" s="129">
        <v>0</v>
      </c>
      <c r="J1412" s="101" t="s">
        <v>1097</v>
      </c>
      <c r="K1412" s="114">
        <f>K62</f>
        <v>0</v>
      </c>
      <c r="L1412" s="226">
        <f t="shared" si="1507"/>
        <v>1000</v>
      </c>
      <c r="M1412" s="158">
        <f>IF(L1412/1000&gt;1000,1000,L1412/1000)</f>
        <v>1</v>
      </c>
      <c r="N1412" s="610"/>
    </row>
    <row r="1413" spans="1:14" s="102" customFormat="1">
      <c r="A1413" s="173" t="str">
        <f>A1412</f>
        <v>PLA</v>
      </c>
      <c r="B1413" s="150" t="str">
        <f>B1412</f>
        <v>particles</v>
      </c>
      <c r="C1413" s="150">
        <f t="shared" si="1436"/>
        <v>6</v>
      </c>
      <c r="D1413" s="150" t="str">
        <f t="shared" si="1508"/>
        <v>0,1-1</v>
      </c>
      <c r="E1413" s="150">
        <f t="shared" si="1508"/>
        <v>1</v>
      </c>
      <c r="F1413" s="150" t="str">
        <f t="shared" si="1508"/>
        <v>soil</v>
      </c>
      <c r="G1413" s="147" t="str">
        <f t="shared" si="1462"/>
        <v>PLA particles 0,1-1 mm (emission to soil)</v>
      </c>
      <c r="H1413" s="147"/>
      <c r="I1413" s="129">
        <v>0</v>
      </c>
      <c r="J1413" s="101" t="s">
        <v>1034</v>
      </c>
      <c r="K1413" s="151" t="s">
        <v>596</v>
      </c>
      <c r="L1413" s="226">
        <f t="shared" si="1507"/>
        <v>0</v>
      </c>
      <c r="M1413" s="158">
        <f t="shared" ref="M1413:M1417" si="1509">IF(L1413/1000&gt;1000,1000,L1413/1000)</f>
        <v>0</v>
      </c>
      <c r="N1413" s="610"/>
    </row>
    <row r="1414" spans="1:14" s="102" customFormat="1">
      <c r="A1414" s="174" t="s">
        <v>2</v>
      </c>
      <c r="B1414" s="214" t="s">
        <v>1025</v>
      </c>
      <c r="C1414" s="216">
        <f t="shared" si="1436"/>
        <v>6</v>
      </c>
      <c r="D1414" s="216" t="s">
        <v>1028</v>
      </c>
      <c r="E1414" s="216">
        <v>1</v>
      </c>
      <c r="F1414" s="206" t="s">
        <v>1020</v>
      </c>
      <c r="G1414" s="144" t="str">
        <f t="shared" si="1462"/>
        <v>PLA particles 0,1-1 mm (emission to water)</v>
      </c>
      <c r="H1414" s="133"/>
      <c r="I1414" s="129">
        <v>0</v>
      </c>
      <c r="J1414" s="225" t="s">
        <v>1019</v>
      </c>
      <c r="K1414" s="114">
        <f>K61</f>
        <v>78.694724300850595</v>
      </c>
      <c r="L1414" s="226">
        <f t="shared" si="1507"/>
        <v>1.5884165185219272</v>
      </c>
      <c r="M1414" s="220">
        <f t="shared" si="1509"/>
        <v>1.5884165185219273E-3</v>
      </c>
      <c r="N1414" s="611">
        <f>I1414*M1414+I1415*M1415+I1416*M1416</f>
        <v>1</v>
      </c>
    </row>
    <row r="1415" spans="1:14" s="102" customFormat="1">
      <c r="A1415" s="172" t="str">
        <f>A1414</f>
        <v>PLA</v>
      </c>
      <c r="B1415" s="149" t="str">
        <f>B1414</f>
        <v>particles</v>
      </c>
      <c r="C1415" s="149">
        <f t="shared" si="1436"/>
        <v>6</v>
      </c>
      <c r="D1415" s="149" t="str">
        <f t="shared" ref="D1415:F1416" si="1510">D1414</f>
        <v>0,1-1</v>
      </c>
      <c r="E1415" s="149">
        <f t="shared" si="1510"/>
        <v>1</v>
      </c>
      <c r="F1415" s="149" t="str">
        <f t="shared" si="1510"/>
        <v>water</v>
      </c>
      <c r="G1415" s="146" t="str">
        <f t="shared" si="1462"/>
        <v>PLA particles 0,1-1 mm (emission to water)</v>
      </c>
      <c r="H1415" s="146"/>
      <c r="I1415" s="129">
        <v>0</v>
      </c>
      <c r="J1415" s="225" t="s">
        <v>1097</v>
      </c>
      <c r="K1415" s="114">
        <f>K62</f>
        <v>0</v>
      </c>
      <c r="L1415" s="226">
        <f t="shared" si="1507"/>
        <v>1000</v>
      </c>
      <c r="M1415" s="220">
        <f t="shared" si="1509"/>
        <v>1</v>
      </c>
      <c r="N1415" s="612"/>
    </row>
    <row r="1416" spans="1:14" s="102" customFormat="1">
      <c r="A1416" s="172" t="str">
        <f>A1415</f>
        <v>PLA</v>
      </c>
      <c r="B1416" s="149" t="str">
        <f>B1415</f>
        <v>particles</v>
      </c>
      <c r="C1416" s="149">
        <f t="shared" ref="C1416" si="1511">IF(OR(B1416="Folie", B1416="Strips", B1416="Film",B1416="Flakes",B1416="Coupon"), 2,IF(OR(B1416="Fibers",B1416="Pellets"),4,IF(OR(B1416="Particles",B1416="Shreds",B1416="Powder",B1416="Fragments",B1416="Granules"),6,"")))</f>
        <v>6</v>
      </c>
      <c r="D1416" s="149" t="str">
        <f t="shared" si="1510"/>
        <v>0,1-1</v>
      </c>
      <c r="E1416" s="149">
        <f t="shared" si="1510"/>
        <v>1</v>
      </c>
      <c r="F1416" s="149" t="str">
        <f t="shared" si="1510"/>
        <v>water</v>
      </c>
      <c r="G1416" s="146" t="str">
        <f t="shared" si="1462"/>
        <v>PLA particles 0,1-1 mm (emission to water)</v>
      </c>
      <c r="H1416" s="146"/>
      <c r="I1416" s="129">
        <v>1</v>
      </c>
      <c r="J1416" s="225" t="s">
        <v>1096</v>
      </c>
      <c r="K1416" s="114">
        <f>K63</f>
        <v>5.60535714285913E-4</v>
      </c>
      <c r="L1416" s="226">
        <f t="shared" si="1507"/>
        <v>1000</v>
      </c>
      <c r="M1416" s="220">
        <f t="shared" si="1509"/>
        <v>1</v>
      </c>
      <c r="N1416" s="612"/>
    </row>
    <row r="1417" spans="1:14" s="102" customFormat="1">
      <c r="A1417" s="173" t="str">
        <f>A1415</f>
        <v>PLA</v>
      </c>
      <c r="B1417" s="150" t="str">
        <f>B1415</f>
        <v>particles</v>
      </c>
      <c r="C1417" s="150">
        <f t="shared" si="1436"/>
        <v>6</v>
      </c>
      <c r="D1417" s="150" t="str">
        <f>D1415</f>
        <v>0,1-1</v>
      </c>
      <c r="E1417" s="150">
        <f>E1415</f>
        <v>1</v>
      </c>
      <c r="F1417" s="150" t="str">
        <f>F1415</f>
        <v>water</v>
      </c>
      <c r="G1417" s="147" t="str">
        <f t="shared" si="1462"/>
        <v>PLA particles 0,1-1 mm (emission to water)</v>
      </c>
      <c r="H1417" s="147"/>
      <c r="I1417" s="129">
        <v>0</v>
      </c>
      <c r="J1417" s="225" t="s">
        <v>1034</v>
      </c>
      <c r="K1417" s="151" t="s">
        <v>596</v>
      </c>
      <c r="L1417" s="226">
        <f t="shared" si="1507"/>
        <v>0</v>
      </c>
      <c r="M1417" s="220">
        <f t="shared" si="1509"/>
        <v>0</v>
      </c>
      <c r="N1417" s="613"/>
    </row>
    <row r="1418" spans="1:14" s="102" customFormat="1">
      <c r="A1418" s="174" t="s">
        <v>2</v>
      </c>
      <c r="B1418" s="288" t="s">
        <v>1025</v>
      </c>
      <c r="C1418" s="290">
        <f t="shared" ref="C1418:C1420" si="1512">IF(OR(B1418="Folie", B1418="Strips", B1418="Film",B1418="Flakes",B1418="Coupon"), 2,IF(OR(B1418="Fibers",B1418="Pellets"),4,IF(OR(B1418="Particles",B1418="Shreds",B1418="Powder",B1418="Fragments",B1418="Granules"),6,"")))</f>
        <v>6</v>
      </c>
      <c r="D1418" s="290" t="s">
        <v>1028</v>
      </c>
      <c r="E1418" s="155">
        <v>1</v>
      </c>
      <c r="F1418" s="131" t="s">
        <v>1057</v>
      </c>
      <c r="G1418" s="134" t="str">
        <f t="shared" ref="G1418:G1420" si="1513">CONCATENATE(A1418," ",B1418," ",D1418," mm (emission to ",F1418,")")</f>
        <v>PLA particles 0,1-1 mm (emission to air)</v>
      </c>
      <c r="H1418" s="133"/>
      <c r="I1418" s="137">
        <v>0.97699999999999998</v>
      </c>
      <c r="J1418" s="101" t="s">
        <v>1019</v>
      </c>
      <c r="K1418" s="114">
        <f>K61</f>
        <v>78.694724300850595</v>
      </c>
      <c r="L1418" s="226">
        <f t="shared" ref="L1418:L1420" si="1514">IFERROR(IF(K1418="--",0,IF(E1418*1000/K1418*(1-0.5)^(C1418/2)&gt;1000,1000,E1418*1000/K1418*(1-0.5)^(C1418/2))),1000)</f>
        <v>1.5884165185219272</v>
      </c>
      <c r="M1418" s="158">
        <f>IF(L1418/1000&gt;1000,1000,L1418/1000)</f>
        <v>1.5884165185219273E-3</v>
      </c>
      <c r="N1418" s="610">
        <f>I1418*M1418+I1419*M1419</f>
        <v>2.4551882938595924E-2</v>
      </c>
    </row>
    <row r="1419" spans="1:14" s="102" customFormat="1">
      <c r="A1419" s="172" t="str">
        <f>A1418</f>
        <v>PLA</v>
      </c>
      <c r="B1419" s="149" t="str">
        <f>B1418</f>
        <v>particles</v>
      </c>
      <c r="C1419" s="149">
        <f t="shared" si="1512"/>
        <v>6</v>
      </c>
      <c r="D1419" s="149" t="str">
        <f t="shared" ref="D1419:F1419" si="1515">D1418</f>
        <v>0,1-1</v>
      </c>
      <c r="E1419" s="149">
        <f t="shared" si="1515"/>
        <v>1</v>
      </c>
      <c r="F1419" s="149" t="str">
        <f t="shared" si="1515"/>
        <v>air</v>
      </c>
      <c r="G1419" s="146" t="str">
        <f t="shared" si="1513"/>
        <v>PLA particles 0,1-1 mm (emission to air)</v>
      </c>
      <c r="H1419" s="146"/>
      <c r="I1419" s="129">
        <v>2.3E-2</v>
      </c>
      <c r="J1419" s="101" t="s">
        <v>1097</v>
      </c>
      <c r="K1419" s="114">
        <f>K62</f>
        <v>0</v>
      </c>
      <c r="L1419" s="226">
        <f t="shared" si="1514"/>
        <v>1000</v>
      </c>
      <c r="M1419" s="158">
        <f>IF(L1419/1000&gt;1000,1000,L1419/1000)</f>
        <v>1</v>
      </c>
      <c r="N1419" s="610"/>
    </row>
    <row r="1420" spans="1:14" s="102" customFormat="1">
      <c r="A1420" s="173" t="str">
        <f>A1419</f>
        <v>PLA</v>
      </c>
      <c r="B1420" s="150" t="str">
        <f>B1419</f>
        <v>particles</v>
      </c>
      <c r="C1420" s="150">
        <f t="shared" si="1512"/>
        <v>6</v>
      </c>
      <c r="D1420" s="150" t="str">
        <f t="shared" ref="D1420:F1420" si="1516">D1419</f>
        <v>0,1-1</v>
      </c>
      <c r="E1420" s="150">
        <f t="shared" si="1516"/>
        <v>1</v>
      </c>
      <c r="F1420" s="150" t="str">
        <f t="shared" si="1516"/>
        <v>air</v>
      </c>
      <c r="G1420" s="147" t="str">
        <f t="shared" si="1513"/>
        <v>PLA particles 0,1-1 mm (emission to air)</v>
      </c>
      <c r="H1420" s="147"/>
      <c r="I1420" s="129">
        <v>0</v>
      </c>
      <c r="J1420" s="101" t="s">
        <v>1034</v>
      </c>
      <c r="K1420" s="151" t="s">
        <v>596</v>
      </c>
      <c r="L1420" s="226">
        <f t="shared" si="1514"/>
        <v>0</v>
      </c>
      <c r="M1420" s="158">
        <f t="shared" ref="M1420" si="1517">IF(L1420/1000&gt;1000,1000,L1420/1000)</f>
        <v>0</v>
      </c>
      <c r="N1420" s="610"/>
    </row>
    <row r="1421" spans="1:14" s="102" customFormat="1">
      <c r="A1421" s="174" t="s">
        <v>2</v>
      </c>
      <c r="B1421" s="186" t="s">
        <v>1025</v>
      </c>
      <c r="C1421" s="188">
        <f t="shared" si="1436"/>
        <v>6</v>
      </c>
      <c r="D1421" s="188" t="s">
        <v>1026</v>
      </c>
      <c r="E1421" s="155">
        <v>10</v>
      </c>
      <c r="F1421" s="131" t="s">
        <v>1019</v>
      </c>
      <c r="G1421" s="134" t="str">
        <f t="shared" si="1462"/>
        <v>PLA particles 1-10 mm (emission to soil)</v>
      </c>
      <c r="H1421" s="133"/>
      <c r="I1421" s="129">
        <v>1</v>
      </c>
      <c r="J1421" s="101" t="s">
        <v>1019</v>
      </c>
      <c r="K1421" s="114">
        <f>K61</f>
        <v>78.694724300850595</v>
      </c>
      <c r="L1421" s="226">
        <f t="shared" ref="L1421:L1427" si="1518">IFERROR(IF(K1421="--",0,IF(E1421*1000/K1421*(1-0.5)^(C1421/2)&gt;1000,1000,E1421*1000/K1421*(1-0.5)^(C1421/2))),1000)</f>
        <v>15.884165185219272</v>
      </c>
      <c r="M1421" s="158">
        <f>IF(L1421/1000&gt;1000,1000,L1421/1000)</f>
        <v>1.5884165185219273E-2</v>
      </c>
      <c r="N1421" s="610">
        <f>I1421*M1421+I1422*M1422</f>
        <v>1.5884165185219273E-2</v>
      </c>
    </row>
    <row r="1422" spans="1:14" s="102" customFormat="1">
      <c r="A1422" s="172" t="str">
        <f>A1421</f>
        <v>PLA</v>
      </c>
      <c r="B1422" s="149" t="str">
        <f>B1421</f>
        <v>particles</v>
      </c>
      <c r="C1422" s="149">
        <f t="shared" si="1436"/>
        <v>6</v>
      </c>
      <c r="D1422" s="149" t="str">
        <f t="shared" ref="D1422:F1423" si="1519">D1421</f>
        <v>1-10</v>
      </c>
      <c r="E1422" s="149">
        <f t="shared" si="1519"/>
        <v>10</v>
      </c>
      <c r="F1422" s="149" t="str">
        <f t="shared" si="1519"/>
        <v>soil</v>
      </c>
      <c r="G1422" s="146" t="str">
        <f t="shared" si="1462"/>
        <v>PLA particles 1-10 mm (emission to soil)</v>
      </c>
      <c r="H1422" s="146"/>
      <c r="I1422" s="129">
        <v>0</v>
      </c>
      <c r="J1422" s="101" t="s">
        <v>1097</v>
      </c>
      <c r="K1422" s="114">
        <f>K62</f>
        <v>0</v>
      </c>
      <c r="L1422" s="226">
        <f t="shared" si="1518"/>
        <v>1000</v>
      </c>
      <c r="M1422" s="158">
        <f>IF(L1422/1000&gt;1000,1000,L1422/1000)</f>
        <v>1</v>
      </c>
      <c r="N1422" s="610"/>
    </row>
    <row r="1423" spans="1:14" s="102" customFormat="1">
      <c r="A1423" s="173" t="str">
        <f>A1422</f>
        <v>PLA</v>
      </c>
      <c r="B1423" s="150" t="str">
        <f>B1422</f>
        <v>particles</v>
      </c>
      <c r="C1423" s="150">
        <f t="shared" si="1436"/>
        <v>6</v>
      </c>
      <c r="D1423" s="150" t="str">
        <f t="shared" si="1519"/>
        <v>1-10</v>
      </c>
      <c r="E1423" s="150">
        <f t="shared" si="1519"/>
        <v>10</v>
      </c>
      <c r="F1423" s="150" t="str">
        <f t="shared" si="1519"/>
        <v>soil</v>
      </c>
      <c r="G1423" s="147" t="str">
        <f t="shared" si="1462"/>
        <v>PLA particles 1-10 mm (emission to soil)</v>
      </c>
      <c r="H1423" s="147"/>
      <c r="I1423" s="129">
        <v>0</v>
      </c>
      <c r="J1423" s="101" t="s">
        <v>1034</v>
      </c>
      <c r="K1423" s="151" t="s">
        <v>596</v>
      </c>
      <c r="L1423" s="226">
        <f t="shared" si="1518"/>
        <v>0</v>
      </c>
      <c r="M1423" s="158">
        <f t="shared" ref="M1423:M1427" si="1520">IF(L1423/1000&gt;1000,1000,L1423/1000)</f>
        <v>0</v>
      </c>
      <c r="N1423" s="610"/>
    </row>
    <row r="1424" spans="1:14" s="102" customFormat="1">
      <c r="A1424" s="174" t="s">
        <v>2</v>
      </c>
      <c r="B1424" s="214" t="s">
        <v>1025</v>
      </c>
      <c r="C1424" s="216">
        <f t="shared" si="1436"/>
        <v>6</v>
      </c>
      <c r="D1424" s="216" t="s">
        <v>1026</v>
      </c>
      <c r="E1424" s="288">
        <v>10</v>
      </c>
      <c r="F1424" s="206" t="s">
        <v>1020</v>
      </c>
      <c r="G1424" s="144" t="str">
        <f t="shared" si="1462"/>
        <v>PLA particles 1-10 mm (emission to water)</v>
      </c>
      <c r="H1424" s="133"/>
      <c r="I1424" s="129">
        <v>0</v>
      </c>
      <c r="J1424" s="225" t="s">
        <v>1019</v>
      </c>
      <c r="K1424" s="114">
        <f>K61</f>
        <v>78.694724300850595</v>
      </c>
      <c r="L1424" s="226">
        <f t="shared" si="1518"/>
        <v>15.884165185219272</v>
      </c>
      <c r="M1424" s="220">
        <f t="shared" si="1520"/>
        <v>1.5884165185219273E-2</v>
      </c>
      <c r="N1424" s="611">
        <f>I1424*M1424+I1425*M1425+I1426*M1426</f>
        <v>1</v>
      </c>
    </row>
    <row r="1425" spans="1:14" s="102" customFormat="1">
      <c r="A1425" s="172" t="str">
        <f>A1424</f>
        <v>PLA</v>
      </c>
      <c r="B1425" s="149" t="str">
        <f>B1424</f>
        <v>particles</v>
      </c>
      <c r="C1425" s="149">
        <f t="shared" si="1436"/>
        <v>6</v>
      </c>
      <c r="D1425" s="149" t="str">
        <f t="shared" ref="D1425:F1426" si="1521">D1424</f>
        <v>1-10</v>
      </c>
      <c r="E1425" s="149">
        <f t="shared" si="1521"/>
        <v>10</v>
      </c>
      <c r="F1425" s="149" t="str">
        <f t="shared" si="1521"/>
        <v>water</v>
      </c>
      <c r="G1425" s="146" t="str">
        <f t="shared" ref="G1425:G1437" si="1522">CONCATENATE(A1425," ",B1425," ",D1425," mm (emission to ",F1425,")")</f>
        <v>PLA particles 1-10 mm (emission to water)</v>
      </c>
      <c r="H1425" s="146"/>
      <c r="I1425" s="129">
        <v>0</v>
      </c>
      <c r="J1425" s="225" t="s">
        <v>1097</v>
      </c>
      <c r="K1425" s="114">
        <f>K62</f>
        <v>0</v>
      </c>
      <c r="L1425" s="226">
        <f t="shared" si="1518"/>
        <v>1000</v>
      </c>
      <c r="M1425" s="220">
        <f t="shared" si="1520"/>
        <v>1</v>
      </c>
      <c r="N1425" s="612"/>
    </row>
    <row r="1426" spans="1:14" s="102" customFormat="1">
      <c r="A1426" s="172" t="str">
        <f>A1425</f>
        <v>PLA</v>
      </c>
      <c r="B1426" s="149" t="str">
        <f>B1425</f>
        <v>particles</v>
      </c>
      <c r="C1426" s="149">
        <f t="shared" ref="C1426" si="1523">IF(OR(B1426="Folie", B1426="Strips", B1426="Film",B1426="Flakes",B1426="Coupon"), 2,IF(OR(B1426="Fibers",B1426="Pellets"),4,IF(OR(B1426="Particles",B1426="Shreds",B1426="Powder",B1426="Fragments",B1426="Granules"),6,"")))</f>
        <v>6</v>
      </c>
      <c r="D1426" s="149" t="str">
        <f t="shared" si="1521"/>
        <v>1-10</v>
      </c>
      <c r="E1426" s="149">
        <f t="shared" si="1521"/>
        <v>10</v>
      </c>
      <c r="F1426" s="149" t="str">
        <f t="shared" si="1521"/>
        <v>water</v>
      </c>
      <c r="G1426" s="146" t="str">
        <f t="shared" si="1522"/>
        <v>PLA particles 1-10 mm (emission to water)</v>
      </c>
      <c r="H1426" s="146"/>
      <c r="I1426" s="129">
        <v>1</v>
      </c>
      <c r="J1426" s="225" t="s">
        <v>1096</v>
      </c>
      <c r="K1426" s="160">
        <f>K63</f>
        <v>5.60535714285913E-4</v>
      </c>
      <c r="L1426" s="226">
        <f t="shared" si="1518"/>
        <v>1000</v>
      </c>
      <c r="M1426" s="220">
        <f t="shared" si="1520"/>
        <v>1</v>
      </c>
      <c r="N1426" s="612"/>
    </row>
    <row r="1427" spans="1:14" s="102" customFormat="1">
      <c r="A1427" s="173" t="str">
        <f>A1425</f>
        <v>PLA</v>
      </c>
      <c r="B1427" s="150" t="str">
        <f>B1425</f>
        <v>particles</v>
      </c>
      <c r="C1427" s="150">
        <f t="shared" si="1436"/>
        <v>6</v>
      </c>
      <c r="D1427" s="150" t="str">
        <f>D1425</f>
        <v>1-10</v>
      </c>
      <c r="E1427" s="150">
        <f>E1425</f>
        <v>10</v>
      </c>
      <c r="F1427" s="150" t="str">
        <f>F1425</f>
        <v>water</v>
      </c>
      <c r="G1427" s="147" t="str">
        <f t="shared" si="1522"/>
        <v>PLA particles 1-10 mm (emission to water)</v>
      </c>
      <c r="H1427" s="147">
        <f>H1425</f>
        <v>0</v>
      </c>
      <c r="I1427" s="129">
        <v>0</v>
      </c>
      <c r="J1427" s="225" t="s">
        <v>1034</v>
      </c>
      <c r="K1427" s="114" t="s">
        <v>596</v>
      </c>
      <c r="L1427" s="226">
        <f t="shared" si="1518"/>
        <v>0</v>
      </c>
      <c r="M1427" s="220">
        <f t="shared" si="1520"/>
        <v>0</v>
      </c>
      <c r="N1427" s="613"/>
    </row>
    <row r="1428" spans="1:14" s="102" customFormat="1">
      <c r="A1428" s="174" t="s">
        <v>2</v>
      </c>
      <c r="B1428" s="288" t="s">
        <v>1025</v>
      </c>
      <c r="C1428" s="290">
        <f t="shared" ref="C1428:C1430" si="1524">IF(OR(B1428="Folie", B1428="Strips", B1428="Film",B1428="Flakes",B1428="Coupon"), 2,IF(OR(B1428="Fibers",B1428="Pellets"),4,IF(OR(B1428="Particles",B1428="Shreds",B1428="Powder",B1428="Fragments",B1428="Granules"),6,"")))</f>
        <v>6</v>
      </c>
      <c r="D1428" s="290" t="s">
        <v>1026</v>
      </c>
      <c r="E1428" s="155">
        <v>10</v>
      </c>
      <c r="F1428" s="131" t="s">
        <v>1057</v>
      </c>
      <c r="G1428" s="134" t="str">
        <f t="shared" si="1522"/>
        <v>PLA particles 1-10 mm (emission to air)</v>
      </c>
      <c r="H1428" s="133"/>
      <c r="I1428" s="137">
        <v>0.97699999999999998</v>
      </c>
      <c r="J1428" s="101" t="s">
        <v>1019</v>
      </c>
      <c r="K1428" s="114">
        <f>K61</f>
        <v>78.694724300850595</v>
      </c>
      <c r="L1428" s="226">
        <f t="shared" ref="L1428:L1430" si="1525">IFERROR(IF(K1428="--",0,IF(E1428*1000/K1428*(1-0.5)^(C1428/2)&gt;1000,1000,E1428*1000/K1428*(1-0.5)^(C1428/2))),1000)</f>
        <v>15.884165185219272</v>
      </c>
      <c r="M1428" s="158">
        <f>IF(L1428/1000&gt;1000,1000,L1428/1000)</f>
        <v>1.5884165185219273E-2</v>
      </c>
      <c r="N1428" s="610">
        <f>I1428*M1428+I1429*M1429</f>
        <v>3.8518829385959227E-2</v>
      </c>
    </row>
    <row r="1429" spans="1:14" s="102" customFormat="1">
      <c r="A1429" s="172" t="str">
        <f>A1428</f>
        <v>PLA</v>
      </c>
      <c r="B1429" s="149" t="str">
        <f>B1428</f>
        <v>particles</v>
      </c>
      <c r="C1429" s="149">
        <f t="shared" si="1524"/>
        <v>6</v>
      </c>
      <c r="D1429" s="149" t="str">
        <f t="shared" ref="D1429:F1429" si="1526">D1428</f>
        <v>1-10</v>
      </c>
      <c r="E1429" s="149">
        <f t="shared" si="1526"/>
        <v>10</v>
      </c>
      <c r="F1429" s="149" t="str">
        <f t="shared" si="1526"/>
        <v>air</v>
      </c>
      <c r="G1429" s="146" t="str">
        <f t="shared" si="1522"/>
        <v>PLA particles 1-10 mm (emission to air)</v>
      </c>
      <c r="H1429" s="146"/>
      <c r="I1429" s="129">
        <v>2.3E-2</v>
      </c>
      <c r="J1429" s="101" t="s">
        <v>1097</v>
      </c>
      <c r="K1429" s="114">
        <f>K62</f>
        <v>0</v>
      </c>
      <c r="L1429" s="226">
        <f t="shared" si="1525"/>
        <v>1000</v>
      </c>
      <c r="M1429" s="158">
        <f>IF(L1429/1000&gt;1000,1000,L1429/1000)</f>
        <v>1</v>
      </c>
      <c r="N1429" s="610"/>
    </row>
    <row r="1430" spans="1:14" s="102" customFormat="1" ht="13.5" thickBot="1">
      <c r="A1430" s="173" t="str">
        <f>A1429</f>
        <v>PLA</v>
      </c>
      <c r="B1430" s="150" t="str">
        <f>B1429</f>
        <v>particles</v>
      </c>
      <c r="C1430" s="150">
        <f t="shared" si="1524"/>
        <v>6</v>
      </c>
      <c r="D1430" s="150" t="str">
        <f t="shared" ref="D1430:F1430" si="1527">D1429</f>
        <v>1-10</v>
      </c>
      <c r="E1430" s="150">
        <f t="shared" si="1527"/>
        <v>10</v>
      </c>
      <c r="F1430" s="150" t="str">
        <f t="shared" si="1527"/>
        <v>air</v>
      </c>
      <c r="G1430" s="147" t="str">
        <f t="shared" si="1522"/>
        <v>PLA particles 1-10 mm (emission to air)</v>
      </c>
      <c r="H1430" s="147"/>
      <c r="I1430" s="129">
        <v>0</v>
      </c>
      <c r="J1430" s="101" t="s">
        <v>1034</v>
      </c>
      <c r="K1430" s="151" t="s">
        <v>596</v>
      </c>
      <c r="L1430" s="226">
        <f t="shared" si="1525"/>
        <v>0</v>
      </c>
      <c r="M1430" s="158">
        <f t="shared" ref="M1430" si="1528">IF(L1430/1000&gt;1000,1000,L1430/1000)</f>
        <v>0</v>
      </c>
      <c r="N1430" s="610"/>
    </row>
    <row r="1431" spans="1:14" s="102" customFormat="1">
      <c r="A1431" s="163" t="s">
        <v>1058</v>
      </c>
      <c r="B1431" s="164" t="s">
        <v>996</v>
      </c>
      <c r="C1431" s="165">
        <f>IF(OR(B1431="Folie", B1431="Strips", B1431="Film",B1431="Flakes",B1431="Coupon"), 2,IF(OR(B1431="Fibers",B1431="Pellets"),4,IF(OR(B1431="Particles",B1431="Shreds",B1431="Powder",B1431="Fragments",B1431="Granules"),6,"")))</f>
        <v>2</v>
      </c>
      <c r="D1431" s="165" t="s">
        <v>1028</v>
      </c>
      <c r="E1431" s="155">
        <v>1</v>
      </c>
      <c r="F1431" s="166" t="s">
        <v>1019</v>
      </c>
      <c r="G1431" s="167" t="str">
        <f t="shared" si="1522"/>
        <v>Starch film 0,1-1 mm (emission to soil)</v>
      </c>
      <c r="H1431" s="168"/>
      <c r="I1431" s="129">
        <v>1</v>
      </c>
      <c r="J1431" s="170" t="s">
        <v>1019</v>
      </c>
      <c r="K1431" s="171">
        <f>K64</f>
        <v>1299.8205442525373</v>
      </c>
      <c r="L1431" s="226">
        <f t="shared" ref="L1431:L1437" si="1529">IFERROR(IF(K1431="--",0,IF(E1431*1000/K1431*(1-0.5)^(C1431/2)&gt;1000,1000,E1431*1000/K1431*(1-0.5)^(C1431/2))),1000)</f>
        <v>0.38466848536197384</v>
      </c>
      <c r="M1431" s="158">
        <f>IF(L1431/1000&gt;1000,1000,L1431/1000)</f>
        <v>3.8466848536197382E-4</v>
      </c>
      <c r="N1431" s="610">
        <f>I1431*M1431+I1432*M1432</f>
        <v>3.8466848536197382E-4</v>
      </c>
    </row>
    <row r="1432" spans="1:14" s="102" customFormat="1">
      <c r="A1432" s="172" t="str">
        <f>A1431</f>
        <v>Starch</v>
      </c>
      <c r="B1432" s="149" t="str">
        <f>B1431</f>
        <v>film</v>
      </c>
      <c r="C1432" s="149">
        <f t="shared" ref="C1432:C1497" si="1530">IF(OR(B1432="Folie", B1432="Strips", B1432="Film",B1432="Flakes",B1432="Coupon"), 2,IF(OR(B1432="Fibers",B1432="Pellets"),4,IF(OR(B1432="Particles",B1432="Shreds",B1432="Powder",B1432="Fragments",B1432="Granules"),6,"")))</f>
        <v>2</v>
      </c>
      <c r="D1432" s="149" t="str">
        <f t="shared" ref="D1432:F1433" si="1531">D1431</f>
        <v>0,1-1</v>
      </c>
      <c r="E1432" s="149">
        <f t="shared" si="1531"/>
        <v>1</v>
      </c>
      <c r="F1432" s="149" t="str">
        <f t="shared" si="1531"/>
        <v>soil</v>
      </c>
      <c r="G1432" s="146" t="str">
        <f t="shared" si="1522"/>
        <v>Starch film 0,1-1 mm (emission to soil)</v>
      </c>
      <c r="H1432" s="146"/>
      <c r="I1432" s="129">
        <v>0</v>
      </c>
      <c r="J1432" s="101" t="s">
        <v>1097</v>
      </c>
      <c r="K1432" s="114">
        <f>K65</f>
        <v>11.721758474576271</v>
      </c>
      <c r="L1432" s="226">
        <f t="shared" si="1529"/>
        <v>42.655715956310424</v>
      </c>
      <c r="M1432" s="158">
        <f>IF(L1432/1000&gt;1000,1000,L1432/1000)</f>
        <v>4.2655715956310424E-2</v>
      </c>
      <c r="N1432" s="610"/>
    </row>
    <row r="1433" spans="1:14" s="102" customFormat="1">
      <c r="A1433" s="173" t="str">
        <f>A1432</f>
        <v>Starch</v>
      </c>
      <c r="B1433" s="150" t="str">
        <f>B1432</f>
        <v>film</v>
      </c>
      <c r="C1433" s="150">
        <f t="shared" si="1530"/>
        <v>2</v>
      </c>
      <c r="D1433" s="150" t="str">
        <f t="shared" si="1531"/>
        <v>0,1-1</v>
      </c>
      <c r="E1433" s="150">
        <f t="shared" si="1531"/>
        <v>1</v>
      </c>
      <c r="F1433" s="150" t="str">
        <f t="shared" si="1531"/>
        <v>soil</v>
      </c>
      <c r="G1433" s="147" t="str">
        <f t="shared" si="1522"/>
        <v>Starch film 0,1-1 mm (emission to soil)</v>
      </c>
      <c r="H1433" s="147"/>
      <c r="I1433" s="129">
        <v>0</v>
      </c>
      <c r="J1433" s="101" t="s">
        <v>1034</v>
      </c>
      <c r="K1433" s="151" t="s">
        <v>596</v>
      </c>
      <c r="L1433" s="226">
        <f t="shared" si="1529"/>
        <v>0</v>
      </c>
      <c r="M1433" s="158">
        <f t="shared" ref="M1433:M1437" si="1532">IF(L1433/1000&gt;1000,1000,L1433/1000)</f>
        <v>0</v>
      </c>
      <c r="N1433" s="610"/>
    </row>
    <row r="1434" spans="1:14" s="102" customFormat="1">
      <c r="A1434" s="174" t="s">
        <v>1058</v>
      </c>
      <c r="B1434" s="288" t="s">
        <v>996</v>
      </c>
      <c r="C1434" s="290">
        <f t="shared" si="1530"/>
        <v>2</v>
      </c>
      <c r="D1434" s="290" t="s">
        <v>1028</v>
      </c>
      <c r="E1434" s="290">
        <v>1</v>
      </c>
      <c r="F1434" s="206" t="s">
        <v>1020</v>
      </c>
      <c r="G1434" s="144" t="str">
        <f t="shared" si="1522"/>
        <v>Starch film 0,1-1 mm (emission to water)</v>
      </c>
      <c r="H1434" s="144"/>
      <c r="I1434" s="129">
        <v>0</v>
      </c>
      <c r="J1434" s="225" t="s">
        <v>1019</v>
      </c>
      <c r="K1434" s="114">
        <f>K64</f>
        <v>1299.8205442525373</v>
      </c>
      <c r="L1434" s="226">
        <f t="shared" si="1529"/>
        <v>0.38466848536197384</v>
      </c>
      <c r="M1434" s="220">
        <f t="shared" si="1532"/>
        <v>3.8466848536197382E-4</v>
      </c>
      <c r="N1434" s="611" t="e">
        <f>I1434*M1434+I1435*M1435+I1436*M1436</f>
        <v>#VALUE!</v>
      </c>
    </row>
    <row r="1435" spans="1:14" s="102" customFormat="1">
      <c r="A1435" s="172" t="str">
        <f>A1434</f>
        <v>Starch</v>
      </c>
      <c r="B1435" s="149" t="str">
        <f>B1434</f>
        <v>film</v>
      </c>
      <c r="C1435" s="149">
        <f t="shared" si="1530"/>
        <v>2</v>
      </c>
      <c r="D1435" s="149" t="str">
        <f t="shared" ref="D1435:F1436" si="1533">D1434</f>
        <v>0,1-1</v>
      </c>
      <c r="E1435" s="149">
        <f t="shared" si="1533"/>
        <v>1</v>
      </c>
      <c r="F1435" s="149" t="str">
        <f t="shared" si="1533"/>
        <v>water</v>
      </c>
      <c r="G1435" s="146" t="str">
        <f t="shared" si="1522"/>
        <v>Starch film 0,1-1 mm (emission to water)</v>
      </c>
      <c r="H1435" s="146"/>
      <c r="I1435" s="221" t="s">
        <v>1102</v>
      </c>
      <c r="J1435" s="225" t="s">
        <v>1097</v>
      </c>
      <c r="K1435" s="114">
        <f>K65</f>
        <v>11.721758474576271</v>
      </c>
      <c r="L1435" s="226">
        <f t="shared" si="1529"/>
        <v>42.655715956310424</v>
      </c>
      <c r="M1435" s="220">
        <f t="shared" si="1532"/>
        <v>4.2655715956310424E-2</v>
      </c>
      <c r="N1435" s="612"/>
    </row>
    <row r="1436" spans="1:14" s="102" customFormat="1">
      <c r="A1436" s="172" t="str">
        <f>A1435</f>
        <v>Starch</v>
      </c>
      <c r="B1436" s="149" t="str">
        <f>B1435</f>
        <v>film</v>
      </c>
      <c r="C1436" s="149">
        <f t="shared" si="1530"/>
        <v>2</v>
      </c>
      <c r="D1436" s="149" t="str">
        <f t="shared" si="1533"/>
        <v>0,1-1</v>
      </c>
      <c r="E1436" s="149">
        <f t="shared" si="1533"/>
        <v>1</v>
      </c>
      <c r="F1436" s="149" t="str">
        <f t="shared" si="1533"/>
        <v>water</v>
      </c>
      <c r="G1436" s="146" t="str">
        <f t="shared" ref="G1436" si="1534">CONCATENATE(A1436," ",B1436," ",D1436," mm (emission to ",F1436,")")</f>
        <v>Starch film 0,1-1 mm (emission to water)</v>
      </c>
      <c r="H1436" s="146"/>
      <c r="I1436" s="221" t="s">
        <v>1102</v>
      </c>
      <c r="J1436" s="225" t="s">
        <v>1096</v>
      </c>
      <c r="K1436" s="114">
        <f>K66</f>
        <v>11.721758474576271</v>
      </c>
      <c r="L1436" s="226">
        <f t="shared" ref="L1436" si="1535">IFERROR(IF(K1436="--",0,IF(E1436*1000/K1436*(1-0.5)^(C1436/2)&gt;1000,1000,E1436*1000/K1436*(1-0.5)^(C1436/2))),1000)</f>
        <v>42.655715956310424</v>
      </c>
      <c r="M1436" s="220">
        <f t="shared" si="1532"/>
        <v>4.2655715956310424E-2</v>
      </c>
      <c r="N1436" s="612"/>
    </row>
    <row r="1437" spans="1:14" s="102" customFormat="1">
      <c r="A1437" s="173" t="str">
        <f>A1435</f>
        <v>Starch</v>
      </c>
      <c r="B1437" s="150" t="str">
        <f>B1435</f>
        <v>film</v>
      </c>
      <c r="C1437" s="150">
        <f t="shared" si="1530"/>
        <v>2</v>
      </c>
      <c r="D1437" s="150" t="str">
        <f>D1435</f>
        <v>0,1-1</v>
      </c>
      <c r="E1437" s="150">
        <f>E1435</f>
        <v>1</v>
      </c>
      <c r="F1437" s="150" t="str">
        <f>F1435</f>
        <v>water</v>
      </c>
      <c r="G1437" s="147" t="str">
        <f t="shared" si="1522"/>
        <v>Starch film 0,1-1 mm (emission to water)</v>
      </c>
      <c r="H1437" s="147"/>
      <c r="I1437" s="129">
        <v>0</v>
      </c>
      <c r="J1437" s="225" t="s">
        <v>1034</v>
      </c>
      <c r="K1437" s="151" t="s">
        <v>596</v>
      </c>
      <c r="L1437" s="226">
        <f t="shared" si="1529"/>
        <v>0</v>
      </c>
      <c r="M1437" s="220">
        <f t="shared" si="1532"/>
        <v>0</v>
      </c>
      <c r="N1437" s="613"/>
    </row>
    <row r="1438" spans="1:14" s="102" customFormat="1">
      <c r="A1438" s="174" t="s">
        <v>1058</v>
      </c>
      <c r="B1438" s="288" t="s">
        <v>996</v>
      </c>
      <c r="C1438" s="290">
        <f>IF(OR(B1438="Folie", B1438="Strips", B1438="Film",B1438="Flakes",B1438="Coupon"), 2,IF(OR(B1438="Fibers",B1438="Pellets"),4,IF(OR(B1438="Particles",B1438="Shreds",B1438="Powder",B1438="Fragments",B1438="Granules"),6,"")))</f>
        <v>2</v>
      </c>
      <c r="D1438" s="290" t="s">
        <v>1028</v>
      </c>
      <c r="E1438" s="155">
        <v>1</v>
      </c>
      <c r="F1438" s="131" t="s">
        <v>1057</v>
      </c>
      <c r="G1438" s="134" t="str">
        <f t="shared" ref="G1438:G1440" si="1536">CONCATENATE(A1438," ",B1438," ",D1438," mm (emission to ",F1438,")")</f>
        <v>Starch film 0,1-1 mm (emission to air)</v>
      </c>
      <c r="H1438" s="144"/>
      <c r="I1438" s="137">
        <v>0.97699999999999998</v>
      </c>
      <c r="J1438" s="101" t="s">
        <v>1019</v>
      </c>
      <c r="K1438" s="114">
        <f>K64</f>
        <v>1299.8205442525373</v>
      </c>
      <c r="L1438" s="226">
        <f t="shared" ref="L1438:L1440" si="1537">IFERROR(IF(K1438="--",0,IF(E1438*1000/K1438*(1-0.5)^(C1438/2)&gt;1000,1000,E1438*1000/K1438*(1-0.5)^(C1438/2))),1000)</f>
        <v>0.38466848536197384</v>
      </c>
      <c r="M1438" s="158">
        <f>IF(L1438/1000&gt;1000,1000,L1438/1000)</f>
        <v>3.8466848536197382E-4</v>
      </c>
      <c r="N1438" s="610">
        <f>I1438*M1438+I1439*M1439</f>
        <v>1.3569025771937881E-3</v>
      </c>
    </row>
    <row r="1439" spans="1:14" s="102" customFormat="1">
      <c r="A1439" s="172" t="str">
        <f>A1438</f>
        <v>Starch</v>
      </c>
      <c r="B1439" s="149" t="str">
        <f>B1438</f>
        <v>film</v>
      </c>
      <c r="C1439" s="149">
        <f t="shared" ref="C1439:C1440" si="1538">IF(OR(B1439="Folie", B1439="Strips", B1439="Film",B1439="Flakes",B1439="Coupon"), 2,IF(OR(B1439="Fibers",B1439="Pellets"),4,IF(OR(B1439="Particles",B1439="Shreds",B1439="Powder",B1439="Fragments",B1439="Granules"),6,"")))</f>
        <v>2</v>
      </c>
      <c r="D1439" s="149" t="str">
        <f t="shared" ref="D1439:F1439" si="1539">D1438</f>
        <v>0,1-1</v>
      </c>
      <c r="E1439" s="149">
        <f t="shared" si="1539"/>
        <v>1</v>
      </c>
      <c r="F1439" s="149" t="str">
        <f t="shared" si="1539"/>
        <v>air</v>
      </c>
      <c r="G1439" s="146" t="str">
        <f t="shared" si="1536"/>
        <v>Starch film 0,1-1 mm (emission to air)</v>
      </c>
      <c r="H1439" s="146"/>
      <c r="I1439" s="129">
        <v>2.3E-2</v>
      </c>
      <c r="J1439" s="101" t="s">
        <v>1097</v>
      </c>
      <c r="K1439" s="114">
        <f>K65</f>
        <v>11.721758474576271</v>
      </c>
      <c r="L1439" s="226">
        <f t="shared" si="1537"/>
        <v>42.655715956310424</v>
      </c>
      <c r="M1439" s="158">
        <f>IF(L1439/1000&gt;1000,1000,L1439/1000)</f>
        <v>4.2655715956310424E-2</v>
      </c>
      <c r="N1439" s="610"/>
    </row>
    <row r="1440" spans="1:14" s="102" customFormat="1">
      <c r="A1440" s="173" t="str">
        <f>A1439</f>
        <v>Starch</v>
      </c>
      <c r="B1440" s="150" t="str">
        <f>B1439</f>
        <v>film</v>
      </c>
      <c r="C1440" s="150">
        <f t="shared" si="1538"/>
        <v>2</v>
      </c>
      <c r="D1440" s="150" t="str">
        <f t="shared" ref="D1440:F1440" si="1540">D1439</f>
        <v>0,1-1</v>
      </c>
      <c r="E1440" s="150">
        <f t="shared" si="1540"/>
        <v>1</v>
      </c>
      <c r="F1440" s="150" t="str">
        <f t="shared" si="1540"/>
        <v>air</v>
      </c>
      <c r="G1440" s="147" t="str">
        <f t="shared" si="1536"/>
        <v>Starch film 0,1-1 mm (emission to air)</v>
      </c>
      <c r="H1440" s="147"/>
      <c r="I1440" s="129">
        <v>0</v>
      </c>
      <c r="J1440" s="101" t="s">
        <v>1034</v>
      </c>
      <c r="K1440" s="151" t="s">
        <v>596</v>
      </c>
      <c r="L1440" s="226">
        <f t="shared" si="1537"/>
        <v>0</v>
      </c>
      <c r="M1440" s="158">
        <f t="shared" ref="M1440" si="1541">IF(L1440/1000&gt;1000,1000,L1440/1000)</f>
        <v>0</v>
      </c>
      <c r="N1440" s="610"/>
    </row>
    <row r="1441" spans="1:14" s="102" customFormat="1">
      <c r="A1441" s="174" t="s">
        <v>1058</v>
      </c>
      <c r="B1441" s="159" t="s">
        <v>996</v>
      </c>
      <c r="C1441" s="188">
        <f t="shared" si="1530"/>
        <v>2</v>
      </c>
      <c r="D1441" s="188" t="s">
        <v>1026</v>
      </c>
      <c r="E1441" s="155">
        <v>10</v>
      </c>
      <c r="F1441" s="131" t="s">
        <v>1019</v>
      </c>
      <c r="G1441" s="134" t="str">
        <f t="shared" ref="G1441:G1497" si="1542">CONCATENATE(A1441," ",B1441," ",D1441," mm (emission to ",F1441,")")</f>
        <v>Starch film 1-10 mm (emission to soil)</v>
      </c>
      <c r="H1441" s="134"/>
      <c r="I1441" s="129">
        <v>1</v>
      </c>
      <c r="J1441" s="101" t="s">
        <v>1019</v>
      </c>
      <c r="K1441" s="114">
        <f>K64</f>
        <v>1299.8205442525373</v>
      </c>
      <c r="L1441" s="226">
        <f t="shared" ref="L1441:L1447" si="1543">IFERROR(IF(K1441="--",0,IF(E1441*1000/K1441*(1-0.5)^(C1441/2)&gt;1000,1000,E1441*1000/K1441*(1-0.5)^(C1441/2))),1000)</f>
        <v>3.8466848536197382</v>
      </c>
      <c r="M1441" s="158">
        <f>IF(L1441/1000&gt;1000,1000,L1441/1000)</f>
        <v>3.8466848536197382E-3</v>
      </c>
      <c r="N1441" s="610">
        <f>I1441*M1441+I1442*M1442</f>
        <v>3.8466848536197382E-3</v>
      </c>
    </row>
    <row r="1442" spans="1:14" s="102" customFormat="1">
      <c r="A1442" s="172" t="str">
        <f>A1441</f>
        <v>Starch</v>
      </c>
      <c r="B1442" s="149" t="str">
        <f>B1441</f>
        <v>film</v>
      </c>
      <c r="C1442" s="149">
        <f t="shared" si="1530"/>
        <v>2</v>
      </c>
      <c r="D1442" s="149" t="str">
        <f t="shared" ref="D1442:F1443" si="1544">D1441</f>
        <v>1-10</v>
      </c>
      <c r="E1442" s="149">
        <f t="shared" si="1544"/>
        <v>10</v>
      </c>
      <c r="F1442" s="149" t="str">
        <f t="shared" si="1544"/>
        <v>soil</v>
      </c>
      <c r="G1442" s="146" t="str">
        <f t="shared" si="1542"/>
        <v>Starch film 1-10 mm (emission to soil)</v>
      </c>
      <c r="H1442" s="146"/>
      <c r="I1442" s="129">
        <v>0</v>
      </c>
      <c r="J1442" s="101" t="s">
        <v>1097</v>
      </c>
      <c r="K1442" s="114">
        <f>K65</f>
        <v>11.721758474576271</v>
      </c>
      <c r="L1442" s="226">
        <f t="shared" si="1543"/>
        <v>426.55715956310428</v>
      </c>
      <c r="M1442" s="158">
        <f>IF(L1442/1000&gt;1000,1000,L1442/1000)</f>
        <v>0.4265571595631043</v>
      </c>
      <c r="N1442" s="610"/>
    </row>
    <row r="1443" spans="1:14" s="102" customFormat="1">
      <c r="A1443" s="173" t="str">
        <f>A1442</f>
        <v>Starch</v>
      </c>
      <c r="B1443" s="150" t="str">
        <f>B1442</f>
        <v>film</v>
      </c>
      <c r="C1443" s="150">
        <f t="shared" si="1530"/>
        <v>2</v>
      </c>
      <c r="D1443" s="150" t="str">
        <f t="shared" si="1544"/>
        <v>1-10</v>
      </c>
      <c r="E1443" s="150">
        <f t="shared" si="1544"/>
        <v>10</v>
      </c>
      <c r="F1443" s="150" t="str">
        <f t="shared" si="1544"/>
        <v>soil</v>
      </c>
      <c r="G1443" s="147" t="str">
        <f t="shared" si="1542"/>
        <v>Starch film 1-10 mm (emission to soil)</v>
      </c>
      <c r="H1443" s="147"/>
      <c r="I1443" s="129">
        <v>0</v>
      </c>
      <c r="J1443" s="101" t="s">
        <v>1034</v>
      </c>
      <c r="K1443" s="114" t="s">
        <v>596</v>
      </c>
      <c r="L1443" s="226">
        <f t="shared" si="1543"/>
        <v>0</v>
      </c>
      <c r="M1443" s="158">
        <f t="shared" ref="M1443:M1447" si="1545">IF(L1443/1000&gt;1000,1000,L1443/1000)</f>
        <v>0</v>
      </c>
      <c r="N1443" s="610"/>
    </row>
    <row r="1444" spans="1:14" s="102" customFormat="1">
      <c r="A1444" s="174" t="s">
        <v>1058</v>
      </c>
      <c r="B1444" s="159" t="s">
        <v>996</v>
      </c>
      <c r="C1444" s="290">
        <f t="shared" si="1530"/>
        <v>2</v>
      </c>
      <c r="D1444" s="290" t="s">
        <v>1026</v>
      </c>
      <c r="E1444" s="288">
        <v>10</v>
      </c>
      <c r="F1444" s="206" t="s">
        <v>1020</v>
      </c>
      <c r="G1444" s="144" t="str">
        <f t="shared" si="1542"/>
        <v>Starch film 1-10 mm (emission to water)</v>
      </c>
      <c r="H1444" s="144"/>
      <c r="I1444" s="129">
        <v>0</v>
      </c>
      <c r="J1444" s="225" t="s">
        <v>1019</v>
      </c>
      <c r="K1444" s="114">
        <f>K64</f>
        <v>1299.8205442525373</v>
      </c>
      <c r="L1444" s="226">
        <f t="shared" si="1543"/>
        <v>3.8466848536197382</v>
      </c>
      <c r="M1444" s="220">
        <f t="shared" si="1545"/>
        <v>3.8466848536197382E-3</v>
      </c>
      <c r="N1444" s="611" t="e">
        <f>I1444*M1444+I1445*M1445+I1446*M1446</f>
        <v>#VALUE!</v>
      </c>
    </row>
    <row r="1445" spans="1:14" s="102" customFormat="1">
      <c r="A1445" s="172" t="str">
        <f>A1444</f>
        <v>Starch</v>
      </c>
      <c r="B1445" s="149" t="str">
        <f>B1444</f>
        <v>film</v>
      </c>
      <c r="C1445" s="149">
        <f t="shared" si="1530"/>
        <v>2</v>
      </c>
      <c r="D1445" s="149" t="str">
        <f t="shared" ref="D1445:F1446" si="1546">D1444</f>
        <v>1-10</v>
      </c>
      <c r="E1445" s="149">
        <f t="shared" si="1546"/>
        <v>10</v>
      </c>
      <c r="F1445" s="149" t="str">
        <f t="shared" si="1546"/>
        <v>water</v>
      </c>
      <c r="G1445" s="146" t="str">
        <f t="shared" si="1542"/>
        <v>Starch film 1-10 mm (emission to water)</v>
      </c>
      <c r="H1445" s="146"/>
      <c r="I1445" s="221" t="s">
        <v>1102</v>
      </c>
      <c r="J1445" s="225" t="s">
        <v>1097</v>
      </c>
      <c r="K1445" s="114">
        <f>K65</f>
        <v>11.721758474576271</v>
      </c>
      <c r="L1445" s="226">
        <f t="shared" si="1543"/>
        <v>426.55715956310428</v>
      </c>
      <c r="M1445" s="220">
        <f t="shared" si="1545"/>
        <v>0.4265571595631043</v>
      </c>
      <c r="N1445" s="612"/>
    </row>
    <row r="1446" spans="1:14" s="102" customFormat="1">
      <c r="A1446" s="172" t="str">
        <f>A1445</f>
        <v>Starch</v>
      </c>
      <c r="B1446" s="149" t="str">
        <f>B1445</f>
        <v>film</v>
      </c>
      <c r="C1446" s="149">
        <f t="shared" ref="C1446" si="1547">IF(OR(B1446="Folie", B1446="Strips", B1446="Film",B1446="Flakes",B1446="Coupon"), 2,IF(OR(B1446="Fibers",B1446="Pellets"),4,IF(OR(B1446="Particles",B1446="Shreds",B1446="Powder",B1446="Fragments",B1446="Granules"),6,"")))</f>
        <v>2</v>
      </c>
      <c r="D1446" s="149" t="str">
        <f t="shared" si="1546"/>
        <v>1-10</v>
      </c>
      <c r="E1446" s="149">
        <f t="shared" si="1546"/>
        <v>10</v>
      </c>
      <c r="F1446" s="149" t="str">
        <f t="shared" si="1546"/>
        <v>water</v>
      </c>
      <c r="G1446" s="146" t="str">
        <f t="shared" si="1542"/>
        <v>Starch film 1-10 mm (emission to water)</v>
      </c>
      <c r="H1446" s="146"/>
      <c r="I1446" s="221" t="s">
        <v>1102</v>
      </c>
      <c r="J1446" s="225" t="s">
        <v>1096</v>
      </c>
      <c r="K1446" s="114">
        <f>K66</f>
        <v>11.721758474576271</v>
      </c>
      <c r="L1446" s="226">
        <f t="shared" ref="L1446" si="1548">IFERROR(IF(K1446="--",0,IF(E1446*1000/K1446*(1-0.5)^(C1446/2)&gt;1000,1000,E1446*1000/K1446*(1-0.5)^(C1446/2))),1000)</f>
        <v>426.55715956310428</v>
      </c>
      <c r="M1446" s="220">
        <f t="shared" si="1545"/>
        <v>0.4265571595631043</v>
      </c>
      <c r="N1446" s="612"/>
    </row>
    <row r="1447" spans="1:14" s="102" customFormat="1">
      <c r="A1447" s="173" t="str">
        <f>A1445</f>
        <v>Starch</v>
      </c>
      <c r="B1447" s="150" t="str">
        <f>B1445</f>
        <v>film</v>
      </c>
      <c r="C1447" s="150">
        <f t="shared" si="1530"/>
        <v>2</v>
      </c>
      <c r="D1447" s="150" t="str">
        <f>D1445</f>
        <v>1-10</v>
      </c>
      <c r="E1447" s="150">
        <f>E1445</f>
        <v>10</v>
      </c>
      <c r="F1447" s="150" t="str">
        <f>F1445</f>
        <v>water</v>
      </c>
      <c r="G1447" s="147" t="str">
        <f t="shared" si="1542"/>
        <v>Starch film 1-10 mm (emission to water)</v>
      </c>
      <c r="H1447" s="147"/>
      <c r="I1447" s="129">
        <v>0</v>
      </c>
      <c r="J1447" s="225" t="s">
        <v>1034</v>
      </c>
      <c r="K1447" s="114" t="s">
        <v>596</v>
      </c>
      <c r="L1447" s="226">
        <f t="shared" si="1543"/>
        <v>0</v>
      </c>
      <c r="M1447" s="220">
        <f t="shared" si="1545"/>
        <v>0</v>
      </c>
      <c r="N1447" s="613"/>
    </row>
    <row r="1448" spans="1:14" s="102" customFormat="1">
      <c r="A1448" s="174" t="s">
        <v>1058</v>
      </c>
      <c r="B1448" s="159" t="s">
        <v>996</v>
      </c>
      <c r="C1448" s="290">
        <f t="shared" ref="C1448:C1450" si="1549">IF(OR(B1448="Folie", B1448="Strips", B1448="Film",B1448="Flakes",B1448="Coupon"), 2,IF(OR(B1448="Fibers",B1448="Pellets"),4,IF(OR(B1448="Particles",B1448="Shreds",B1448="Powder",B1448="Fragments",B1448="Granules"),6,"")))</f>
        <v>2</v>
      </c>
      <c r="D1448" s="290" t="s">
        <v>1026</v>
      </c>
      <c r="E1448" s="155">
        <v>10</v>
      </c>
      <c r="F1448" s="206" t="s">
        <v>1057</v>
      </c>
      <c r="G1448" s="144" t="str">
        <f t="shared" ref="G1448:G1450" si="1550">CONCATENATE(A1448," ",B1448," ",D1448," mm (emission to ",F1448,")")</f>
        <v>Starch film 1-10 mm (emission to air)</v>
      </c>
      <c r="H1448" s="144"/>
      <c r="I1448" s="137">
        <v>0.97699999999999998</v>
      </c>
      <c r="J1448" s="101" t="s">
        <v>1019</v>
      </c>
      <c r="K1448" s="114">
        <f>K64</f>
        <v>1299.8205442525373</v>
      </c>
      <c r="L1448" s="226">
        <f t="shared" ref="L1448:L1450" si="1551">IFERROR(IF(K1448="--",0,IF(E1448*1000/K1448*(1-0.5)^(C1448/2)&gt;1000,1000,E1448*1000/K1448*(1-0.5)^(C1448/2))),1000)</f>
        <v>3.8466848536197382</v>
      </c>
      <c r="M1448" s="158">
        <f>IF(L1448/1000&gt;1000,1000,L1448/1000)</f>
        <v>3.8466848536197382E-3</v>
      </c>
      <c r="N1448" s="610">
        <f>I1448*M1448+I1449*M1449</f>
        <v>1.3569025771937884E-2</v>
      </c>
    </row>
    <row r="1449" spans="1:14" s="102" customFormat="1">
      <c r="A1449" s="172" t="str">
        <f>A1448</f>
        <v>Starch</v>
      </c>
      <c r="B1449" s="149" t="str">
        <f>B1448</f>
        <v>film</v>
      </c>
      <c r="C1449" s="149">
        <f t="shared" si="1549"/>
        <v>2</v>
      </c>
      <c r="D1449" s="149" t="str">
        <f t="shared" ref="D1449:F1449" si="1552">D1448</f>
        <v>1-10</v>
      </c>
      <c r="E1449" s="149">
        <f t="shared" si="1552"/>
        <v>10</v>
      </c>
      <c r="F1449" s="149" t="str">
        <f t="shared" si="1552"/>
        <v>air</v>
      </c>
      <c r="G1449" s="146" t="str">
        <f t="shared" si="1550"/>
        <v>Starch film 1-10 mm (emission to air)</v>
      </c>
      <c r="H1449" s="146"/>
      <c r="I1449" s="129">
        <v>2.3E-2</v>
      </c>
      <c r="J1449" s="101" t="s">
        <v>1097</v>
      </c>
      <c r="K1449" s="114">
        <f>K65</f>
        <v>11.721758474576271</v>
      </c>
      <c r="L1449" s="226">
        <f t="shared" si="1551"/>
        <v>426.55715956310428</v>
      </c>
      <c r="M1449" s="158">
        <f>IF(L1449/1000&gt;1000,1000,L1449/1000)</f>
        <v>0.4265571595631043</v>
      </c>
      <c r="N1449" s="610"/>
    </row>
    <row r="1450" spans="1:14" s="102" customFormat="1">
      <c r="A1450" s="173" t="str">
        <f>A1449</f>
        <v>Starch</v>
      </c>
      <c r="B1450" s="150" t="str">
        <f>B1449</f>
        <v>film</v>
      </c>
      <c r="C1450" s="150">
        <f t="shared" si="1549"/>
        <v>2</v>
      </c>
      <c r="D1450" s="150" t="str">
        <f t="shared" ref="D1450:F1450" si="1553">D1449</f>
        <v>1-10</v>
      </c>
      <c r="E1450" s="150">
        <f t="shared" si="1553"/>
        <v>10</v>
      </c>
      <c r="F1450" s="150" t="str">
        <f t="shared" si="1553"/>
        <v>air</v>
      </c>
      <c r="G1450" s="147" t="str">
        <f t="shared" si="1550"/>
        <v>Starch film 1-10 mm (emission to air)</v>
      </c>
      <c r="H1450" s="147"/>
      <c r="I1450" s="129">
        <v>0</v>
      </c>
      <c r="J1450" s="101" t="s">
        <v>1034</v>
      </c>
      <c r="K1450" s="114" t="s">
        <v>596</v>
      </c>
      <c r="L1450" s="226">
        <f t="shared" si="1551"/>
        <v>0</v>
      </c>
      <c r="M1450" s="158">
        <f t="shared" ref="M1450" si="1554">IF(L1450/1000&gt;1000,1000,L1450/1000)</f>
        <v>0</v>
      </c>
      <c r="N1450" s="610"/>
    </row>
    <row r="1451" spans="1:14" s="102" customFormat="1">
      <c r="A1451" s="174" t="s">
        <v>1058</v>
      </c>
      <c r="B1451" s="159" t="s">
        <v>1051</v>
      </c>
      <c r="C1451" s="290">
        <f t="shared" si="1530"/>
        <v>4</v>
      </c>
      <c r="D1451" s="290" t="s">
        <v>1028</v>
      </c>
      <c r="E1451" s="155">
        <v>1</v>
      </c>
      <c r="F1451" s="206" t="s">
        <v>1019</v>
      </c>
      <c r="G1451" s="144" t="str">
        <f t="shared" si="1542"/>
        <v>Starch fibers 0,1-1 mm (emission to soil)</v>
      </c>
      <c r="H1451" s="193"/>
      <c r="I1451" s="129">
        <v>1</v>
      </c>
      <c r="J1451" s="101" t="s">
        <v>1019</v>
      </c>
      <c r="K1451" s="114">
        <f>K64</f>
        <v>1299.8205442525373</v>
      </c>
      <c r="L1451" s="226">
        <f t="shared" ref="L1451:L1457" si="1555">IFERROR(IF(K1451="--",0,IF(E1451*1000/K1451*(1-0.5)^(C1451/2)&gt;1000,1000,E1451*1000/K1451*(1-0.5)^(C1451/2))),1000)</f>
        <v>0.19233424268098692</v>
      </c>
      <c r="M1451" s="158">
        <f>IF(L1451/1000&gt;1000,1000,L1451/1000)</f>
        <v>1.9233424268098691E-4</v>
      </c>
      <c r="N1451" s="610">
        <f>I1451*M1451+I1452*M1452</f>
        <v>1.9233424268098691E-4</v>
      </c>
    </row>
    <row r="1452" spans="1:14" s="102" customFormat="1">
      <c r="A1452" s="172" t="str">
        <f>A1451</f>
        <v>Starch</v>
      </c>
      <c r="B1452" s="149" t="str">
        <f>B1451</f>
        <v>fibers</v>
      </c>
      <c r="C1452" s="149">
        <f t="shared" si="1530"/>
        <v>4</v>
      </c>
      <c r="D1452" s="149" t="str">
        <f t="shared" ref="D1452:F1453" si="1556">D1451</f>
        <v>0,1-1</v>
      </c>
      <c r="E1452" s="149">
        <f t="shared" si="1556"/>
        <v>1</v>
      </c>
      <c r="F1452" s="149" t="str">
        <f t="shared" si="1556"/>
        <v>soil</v>
      </c>
      <c r="G1452" s="146" t="str">
        <f t="shared" si="1542"/>
        <v>Starch fibers 0,1-1 mm (emission to soil)</v>
      </c>
      <c r="H1452" s="146"/>
      <c r="I1452" s="129">
        <v>0</v>
      </c>
      <c r="J1452" s="101" t="s">
        <v>1097</v>
      </c>
      <c r="K1452" s="114">
        <f>K65</f>
        <v>11.721758474576271</v>
      </c>
      <c r="L1452" s="226">
        <f t="shared" si="1555"/>
        <v>21.327857978155212</v>
      </c>
      <c r="M1452" s="158">
        <f>IF(L1452/1000&gt;1000,1000,L1452/1000)</f>
        <v>2.1327857978155212E-2</v>
      </c>
      <c r="N1452" s="610"/>
    </row>
    <row r="1453" spans="1:14" s="102" customFormat="1">
      <c r="A1453" s="173" t="str">
        <f>A1452</f>
        <v>Starch</v>
      </c>
      <c r="B1453" s="150" t="str">
        <f>B1452</f>
        <v>fibers</v>
      </c>
      <c r="C1453" s="150">
        <f t="shared" si="1530"/>
        <v>4</v>
      </c>
      <c r="D1453" s="150" t="str">
        <f t="shared" si="1556"/>
        <v>0,1-1</v>
      </c>
      <c r="E1453" s="150">
        <f t="shared" si="1556"/>
        <v>1</v>
      </c>
      <c r="F1453" s="150" t="str">
        <f t="shared" si="1556"/>
        <v>soil</v>
      </c>
      <c r="G1453" s="147" t="str">
        <f t="shared" si="1542"/>
        <v>Starch fibers 0,1-1 mm (emission to soil)</v>
      </c>
      <c r="H1453" s="146"/>
      <c r="I1453" s="129">
        <v>0</v>
      </c>
      <c r="J1453" s="101" t="s">
        <v>1034</v>
      </c>
      <c r="K1453" s="151" t="s">
        <v>596</v>
      </c>
      <c r="L1453" s="226">
        <f t="shared" si="1555"/>
        <v>0</v>
      </c>
      <c r="M1453" s="158">
        <f t="shared" ref="M1453:M1457" si="1557">IF(L1453/1000&gt;1000,1000,L1453/1000)</f>
        <v>0</v>
      </c>
      <c r="N1453" s="610"/>
    </row>
    <row r="1454" spans="1:14" s="102" customFormat="1">
      <c r="A1454" s="174" t="s">
        <v>1058</v>
      </c>
      <c r="B1454" s="159" t="s">
        <v>1051</v>
      </c>
      <c r="C1454" s="290">
        <f t="shared" si="1530"/>
        <v>4</v>
      </c>
      <c r="D1454" s="290" t="s">
        <v>1028</v>
      </c>
      <c r="E1454" s="290">
        <v>1</v>
      </c>
      <c r="F1454" s="206" t="s">
        <v>1020</v>
      </c>
      <c r="G1454" s="144" t="str">
        <f t="shared" si="1542"/>
        <v>Starch fibers 0,1-1 mm (emission to water)</v>
      </c>
      <c r="H1454" s="192"/>
      <c r="I1454" s="129">
        <v>0</v>
      </c>
      <c r="J1454" s="225" t="s">
        <v>1019</v>
      </c>
      <c r="K1454" s="114">
        <f>K64</f>
        <v>1299.8205442525373</v>
      </c>
      <c r="L1454" s="226">
        <f t="shared" si="1555"/>
        <v>0.19233424268098692</v>
      </c>
      <c r="M1454" s="220">
        <f t="shared" si="1557"/>
        <v>1.9233424268098691E-4</v>
      </c>
      <c r="N1454" s="611" t="e">
        <f>I1454*M1454+I1455*M1455+I1456*M1456</f>
        <v>#VALUE!</v>
      </c>
    </row>
    <row r="1455" spans="1:14" s="102" customFormat="1">
      <c r="A1455" s="172" t="str">
        <f>A1454</f>
        <v>Starch</v>
      </c>
      <c r="B1455" s="149" t="str">
        <f>B1454</f>
        <v>fibers</v>
      </c>
      <c r="C1455" s="149">
        <f t="shared" si="1530"/>
        <v>4</v>
      </c>
      <c r="D1455" s="149" t="str">
        <f t="shared" ref="D1455:F1456" si="1558">D1454</f>
        <v>0,1-1</v>
      </c>
      <c r="E1455" s="149">
        <f t="shared" si="1558"/>
        <v>1</v>
      </c>
      <c r="F1455" s="149" t="str">
        <f t="shared" si="1558"/>
        <v>water</v>
      </c>
      <c r="G1455" s="146" t="str">
        <f t="shared" si="1542"/>
        <v>Starch fibers 0,1-1 mm (emission to water)</v>
      </c>
      <c r="H1455" s="146"/>
      <c r="I1455" s="221" t="s">
        <v>1102</v>
      </c>
      <c r="J1455" s="225" t="s">
        <v>1097</v>
      </c>
      <c r="K1455" s="114">
        <f>K65</f>
        <v>11.721758474576271</v>
      </c>
      <c r="L1455" s="226">
        <f t="shared" si="1555"/>
        <v>21.327857978155212</v>
      </c>
      <c r="M1455" s="220">
        <f t="shared" si="1557"/>
        <v>2.1327857978155212E-2</v>
      </c>
      <c r="N1455" s="612"/>
    </row>
    <row r="1456" spans="1:14" s="102" customFormat="1">
      <c r="A1456" s="172" t="str">
        <f>A1455</f>
        <v>Starch</v>
      </c>
      <c r="B1456" s="149" t="str">
        <f>B1455</f>
        <v>fibers</v>
      </c>
      <c r="C1456" s="149">
        <f t="shared" ref="C1456" si="1559">IF(OR(B1456="Folie", B1456="Strips", B1456="Film",B1456="Flakes",B1456="Coupon"), 2,IF(OR(B1456="Fibers",B1456="Pellets"),4,IF(OR(B1456="Particles",B1456="Shreds",B1456="Powder",B1456="Fragments",B1456="Granules"),6,"")))</f>
        <v>4</v>
      </c>
      <c r="D1456" s="149" t="str">
        <f t="shared" si="1558"/>
        <v>0,1-1</v>
      </c>
      <c r="E1456" s="149">
        <f t="shared" si="1558"/>
        <v>1</v>
      </c>
      <c r="F1456" s="149" t="str">
        <f t="shared" si="1558"/>
        <v>water</v>
      </c>
      <c r="G1456" s="146" t="str">
        <f t="shared" si="1542"/>
        <v>Starch fibers 0,1-1 mm (emission to water)</v>
      </c>
      <c r="H1456" s="146"/>
      <c r="I1456" s="221" t="s">
        <v>1102</v>
      </c>
      <c r="J1456" s="225" t="s">
        <v>1096</v>
      </c>
      <c r="K1456" s="114">
        <f>K66</f>
        <v>11.721758474576271</v>
      </c>
      <c r="L1456" s="226">
        <f t="shared" ref="L1456" si="1560">IFERROR(IF(K1456="--",0,IF(E1456*1000/K1456*(1-0.5)^(C1456/2)&gt;1000,1000,E1456*1000/K1456*(1-0.5)^(C1456/2))),1000)</f>
        <v>21.327857978155212</v>
      </c>
      <c r="M1456" s="220">
        <f t="shared" si="1557"/>
        <v>2.1327857978155212E-2</v>
      </c>
      <c r="N1456" s="612"/>
    </row>
    <row r="1457" spans="1:14" s="102" customFormat="1">
      <c r="A1457" s="173" t="str">
        <f>A1455</f>
        <v>Starch</v>
      </c>
      <c r="B1457" s="150" t="str">
        <f>B1455</f>
        <v>fibers</v>
      </c>
      <c r="C1457" s="150">
        <f t="shared" si="1530"/>
        <v>4</v>
      </c>
      <c r="D1457" s="150" t="str">
        <f>D1455</f>
        <v>0,1-1</v>
      </c>
      <c r="E1457" s="150">
        <f>E1455</f>
        <v>1</v>
      </c>
      <c r="F1457" s="150" t="str">
        <f>F1455</f>
        <v>water</v>
      </c>
      <c r="G1457" s="147" t="str">
        <f t="shared" si="1542"/>
        <v>Starch fibers 0,1-1 mm (emission to water)</v>
      </c>
      <c r="H1457" s="146"/>
      <c r="I1457" s="129">
        <v>0</v>
      </c>
      <c r="J1457" s="225" t="s">
        <v>1034</v>
      </c>
      <c r="K1457" s="114" t="s">
        <v>596</v>
      </c>
      <c r="L1457" s="226">
        <f t="shared" si="1555"/>
        <v>0</v>
      </c>
      <c r="M1457" s="220">
        <f t="shared" si="1557"/>
        <v>0</v>
      </c>
      <c r="N1457" s="613"/>
    </row>
    <row r="1458" spans="1:14" s="102" customFormat="1">
      <c r="A1458" s="174" t="s">
        <v>1058</v>
      </c>
      <c r="B1458" s="159" t="s">
        <v>1051</v>
      </c>
      <c r="C1458" s="290">
        <f t="shared" ref="C1458:C1460" si="1561">IF(OR(B1458="Folie", B1458="Strips", B1458="Film",B1458="Flakes",B1458="Coupon"), 2,IF(OR(B1458="Fibers",B1458="Pellets"),4,IF(OR(B1458="Particles",B1458="Shreds",B1458="Powder",B1458="Fragments",B1458="Granules"),6,"")))</f>
        <v>4</v>
      </c>
      <c r="D1458" s="290" t="s">
        <v>1028</v>
      </c>
      <c r="E1458" s="155">
        <v>1</v>
      </c>
      <c r="F1458" s="206" t="s">
        <v>1057</v>
      </c>
      <c r="G1458" s="144" t="str">
        <f t="shared" ref="G1458:G1460" si="1562">CONCATENATE(A1458," ",B1458," ",D1458," mm (emission to ",F1458,")")</f>
        <v>Starch fibers 0,1-1 mm (emission to air)</v>
      </c>
      <c r="H1458" s="193"/>
      <c r="I1458" s="137">
        <v>0.97699999999999998</v>
      </c>
      <c r="J1458" s="101" t="s">
        <v>1019</v>
      </c>
      <c r="K1458" s="114">
        <f>K64</f>
        <v>1299.8205442525373</v>
      </c>
      <c r="L1458" s="226">
        <f t="shared" ref="L1458:L1460" si="1563">IFERROR(IF(K1458="--",0,IF(E1458*1000/K1458*(1-0.5)^(C1458/2)&gt;1000,1000,E1458*1000/K1458*(1-0.5)^(C1458/2))),1000)</f>
        <v>0.19233424268098692</v>
      </c>
      <c r="M1458" s="158">
        <f>IF(L1458/1000&gt;1000,1000,L1458/1000)</f>
        <v>1.9233424268098691E-4</v>
      </c>
      <c r="N1458" s="610">
        <f>I1458*M1458+I1459*M1459</f>
        <v>6.7845128859689405E-4</v>
      </c>
    </row>
    <row r="1459" spans="1:14" s="102" customFormat="1">
      <c r="A1459" s="172" t="str">
        <f>A1458</f>
        <v>Starch</v>
      </c>
      <c r="B1459" s="149" t="str">
        <f>B1458</f>
        <v>fibers</v>
      </c>
      <c r="C1459" s="149">
        <f t="shared" si="1561"/>
        <v>4</v>
      </c>
      <c r="D1459" s="149" t="str">
        <f t="shared" ref="D1459:F1459" si="1564">D1458</f>
        <v>0,1-1</v>
      </c>
      <c r="E1459" s="149">
        <f t="shared" si="1564"/>
        <v>1</v>
      </c>
      <c r="F1459" s="149" t="str">
        <f t="shared" si="1564"/>
        <v>air</v>
      </c>
      <c r="G1459" s="146" t="str">
        <f t="shared" si="1562"/>
        <v>Starch fibers 0,1-1 mm (emission to air)</v>
      </c>
      <c r="H1459" s="146"/>
      <c r="I1459" s="129">
        <v>2.3E-2</v>
      </c>
      <c r="J1459" s="101" t="s">
        <v>1097</v>
      </c>
      <c r="K1459" s="114">
        <f>K65</f>
        <v>11.721758474576271</v>
      </c>
      <c r="L1459" s="226">
        <f t="shared" si="1563"/>
        <v>21.327857978155212</v>
      </c>
      <c r="M1459" s="158">
        <f>IF(L1459/1000&gt;1000,1000,L1459/1000)</f>
        <v>2.1327857978155212E-2</v>
      </c>
      <c r="N1459" s="610"/>
    </row>
    <row r="1460" spans="1:14" s="102" customFormat="1">
      <c r="A1460" s="173" t="str">
        <f>A1459</f>
        <v>Starch</v>
      </c>
      <c r="B1460" s="150" t="str">
        <f>B1459</f>
        <v>fibers</v>
      </c>
      <c r="C1460" s="150">
        <f t="shared" si="1561"/>
        <v>4</v>
      </c>
      <c r="D1460" s="150" t="str">
        <f t="shared" ref="D1460:F1460" si="1565">D1459</f>
        <v>0,1-1</v>
      </c>
      <c r="E1460" s="150">
        <f t="shared" si="1565"/>
        <v>1</v>
      </c>
      <c r="F1460" s="150" t="str">
        <f t="shared" si="1565"/>
        <v>air</v>
      </c>
      <c r="G1460" s="147" t="str">
        <f t="shared" si="1562"/>
        <v>Starch fibers 0,1-1 mm (emission to air)</v>
      </c>
      <c r="H1460" s="146"/>
      <c r="I1460" s="129">
        <v>0</v>
      </c>
      <c r="J1460" s="101" t="s">
        <v>1034</v>
      </c>
      <c r="K1460" s="151" t="s">
        <v>596</v>
      </c>
      <c r="L1460" s="226">
        <f t="shared" si="1563"/>
        <v>0</v>
      </c>
      <c r="M1460" s="158">
        <f t="shared" ref="M1460" si="1566">IF(L1460/1000&gt;1000,1000,L1460/1000)</f>
        <v>0</v>
      </c>
      <c r="N1460" s="610"/>
    </row>
    <row r="1461" spans="1:14" s="135" customFormat="1">
      <c r="A1461" s="174" t="s">
        <v>1058</v>
      </c>
      <c r="B1461" s="155" t="s">
        <v>372</v>
      </c>
      <c r="C1461" s="290">
        <f t="shared" si="1530"/>
        <v>4</v>
      </c>
      <c r="D1461" s="153" t="s">
        <v>1026</v>
      </c>
      <c r="E1461" s="155">
        <v>10</v>
      </c>
      <c r="F1461" s="189" t="s">
        <v>1019</v>
      </c>
      <c r="G1461" s="144" t="str">
        <f t="shared" si="1542"/>
        <v>Starch pellets 1-10 mm (emission to soil)</v>
      </c>
      <c r="H1461" s="192"/>
      <c r="I1461" s="129">
        <v>1</v>
      </c>
      <c r="J1461" s="101" t="s">
        <v>1019</v>
      </c>
      <c r="K1461" s="114">
        <f>K64</f>
        <v>1299.8205442525373</v>
      </c>
      <c r="L1461" s="226">
        <f t="shared" ref="L1461:L1467" si="1567">IFERROR(IF(K1461="--",0,IF(E1461*1000/K1461*(1-0.5)^(C1461/2)&gt;1000,1000,E1461*1000/K1461*(1-0.5)^(C1461/2))),1000)</f>
        <v>1.9233424268098691</v>
      </c>
      <c r="M1461" s="158">
        <f>IF(L1461/1000&gt;1000,1000,L1461/1000)</f>
        <v>1.9233424268098691E-3</v>
      </c>
      <c r="N1461" s="610">
        <f>I1461*M1461+I1462*M1462</f>
        <v>1.9233424268098691E-3</v>
      </c>
    </row>
    <row r="1462" spans="1:14" s="102" customFormat="1">
      <c r="A1462" s="172" t="str">
        <f>A1461</f>
        <v>Starch</v>
      </c>
      <c r="B1462" s="149" t="str">
        <f>B1461</f>
        <v>pellets</v>
      </c>
      <c r="C1462" s="149">
        <f t="shared" si="1530"/>
        <v>4</v>
      </c>
      <c r="D1462" s="149" t="str">
        <f t="shared" ref="D1462:F1463" si="1568">D1461</f>
        <v>1-10</v>
      </c>
      <c r="E1462" s="149">
        <f t="shared" si="1568"/>
        <v>10</v>
      </c>
      <c r="F1462" s="149" t="str">
        <f t="shared" si="1568"/>
        <v>soil</v>
      </c>
      <c r="G1462" s="146" t="str">
        <f t="shared" si="1542"/>
        <v>Starch pellets 1-10 mm (emission to soil)</v>
      </c>
      <c r="H1462" s="146"/>
      <c r="I1462" s="129">
        <v>0</v>
      </c>
      <c r="J1462" s="101" t="s">
        <v>1097</v>
      </c>
      <c r="K1462" s="114">
        <f>K65</f>
        <v>11.721758474576271</v>
      </c>
      <c r="L1462" s="226">
        <f t="shared" si="1567"/>
        <v>213.27857978155214</v>
      </c>
      <c r="M1462" s="158">
        <f>IF(L1462/1000&gt;1000,1000,L1462/1000)</f>
        <v>0.21327857978155215</v>
      </c>
      <c r="N1462" s="610"/>
    </row>
    <row r="1463" spans="1:14" s="102" customFormat="1">
      <c r="A1463" s="173" t="str">
        <f>A1462</f>
        <v>Starch</v>
      </c>
      <c r="B1463" s="150" t="str">
        <f>B1462</f>
        <v>pellets</v>
      </c>
      <c r="C1463" s="150">
        <f t="shared" si="1530"/>
        <v>4</v>
      </c>
      <c r="D1463" s="150" t="str">
        <f t="shared" si="1568"/>
        <v>1-10</v>
      </c>
      <c r="E1463" s="150">
        <f t="shared" si="1568"/>
        <v>10</v>
      </c>
      <c r="F1463" s="150" t="str">
        <f t="shared" si="1568"/>
        <v>soil</v>
      </c>
      <c r="G1463" s="147" t="str">
        <f t="shared" si="1542"/>
        <v>Starch pellets 1-10 mm (emission to soil)</v>
      </c>
      <c r="H1463" s="147">
        <f>H1462</f>
        <v>0</v>
      </c>
      <c r="I1463" s="129">
        <v>0</v>
      </c>
      <c r="J1463" s="101" t="s">
        <v>1034</v>
      </c>
      <c r="K1463" s="114" t="s">
        <v>596</v>
      </c>
      <c r="L1463" s="226">
        <f t="shared" si="1567"/>
        <v>0</v>
      </c>
      <c r="M1463" s="158">
        <f t="shared" ref="M1463:M1467" si="1569">IF(L1463/1000&gt;1000,1000,L1463/1000)</f>
        <v>0</v>
      </c>
      <c r="N1463" s="610"/>
    </row>
    <row r="1464" spans="1:14" s="102" customFormat="1">
      <c r="A1464" s="174" t="s">
        <v>1058</v>
      </c>
      <c r="B1464" s="155" t="s">
        <v>372</v>
      </c>
      <c r="C1464" s="290">
        <f t="shared" si="1530"/>
        <v>4</v>
      </c>
      <c r="D1464" s="153" t="s">
        <v>1026</v>
      </c>
      <c r="E1464" s="288">
        <v>10</v>
      </c>
      <c r="F1464" s="189" t="s">
        <v>1020</v>
      </c>
      <c r="G1464" s="144" t="str">
        <f t="shared" si="1542"/>
        <v>Starch pellets 1-10 mm (emission to water)</v>
      </c>
      <c r="H1464" s="192"/>
      <c r="I1464" s="129">
        <v>0</v>
      </c>
      <c r="J1464" s="225" t="s">
        <v>1019</v>
      </c>
      <c r="K1464" s="114">
        <f>K64</f>
        <v>1299.8205442525373</v>
      </c>
      <c r="L1464" s="226">
        <f t="shared" si="1567"/>
        <v>1.9233424268098691</v>
      </c>
      <c r="M1464" s="220">
        <f t="shared" si="1569"/>
        <v>1.9233424268098691E-3</v>
      </c>
      <c r="N1464" s="611" t="e">
        <f>I1464*M1464+I1465*M1465+I1466*M1466</f>
        <v>#VALUE!</v>
      </c>
    </row>
    <row r="1465" spans="1:14" s="102" customFormat="1">
      <c r="A1465" s="172" t="str">
        <f>A1464</f>
        <v>Starch</v>
      </c>
      <c r="B1465" s="149" t="str">
        <f>B1464</f>
        <v>pellets</v>
      </c>
      <c r="C1465" s="149">
        <f t="shared" si="1530"/>
        <v>4</v>
      </c>
      <c r="D1465" s="149" t="str">
        <f t="shared" ref="D1465:F1466" si="1570">D1464</f>
        <v>1-10</v>
      </c>
      <c r="E1465" s="149">
        <f t="shared" si="1570"/>
        <v>10</v>
      </c>
      <c r="F1465" s="149" t="str">
        <f t="shared" si="1570"/>
        <v>water</v>
      </c>
      <c r="G1465" s="146" t="str">
        <f t="shared" si="1542"/>
        <v>Starch pellets 1-10 mm (emission to water)</v>
      </c>
      <c r="H1465" s="146"/>
      <c r="I1465" s="221" t="s">
        <v>1102</v>
      </c>
      <c r="J1465" s="225" t="s">
        <v>1097</v>
      </c>
      <c r="K1465" s="114">
        <f>K65</f>
        <v>11.721758474576271</v>
      </c>
      <c r="L1465" s="226">
        <f t="shared" si="1567"/>
        <v>213.27857978155214</v>
      </c>
      <c r="M1465" s="220">
        <f t="shared" si="1569"/>
        <v>0.21327857978155215</v>
      </c>
      <c r="N1465" s="612"/>
    </row>
    <row r="1466" spans="1:14" s="102" customFormat="1">
      <c r="A1466" s="172" t="str">
        <f>A1465</f>
        <v>Starch</v>
      </c>
      <c r="B1466" s="149" t="str">
        <f>B1465</f>
        <v>pellets</v>
      </c>
      <c r="C1466" s="149">
        <f t="shared" ref="C1466" si="1571">IF(OR(B1466="Folie", B1466="Strips", B1466="Film",B1466="Flakes",B1466="Coupon"), 2,IF(OR(B1466="Fibers",B1466="Pellets"),4,IF(OR(B1466="Particles",B1466="Shreds",B1466="Powder",B1466="Fragments",B1466="Granules"),6,"")))</f>
        <v>4</v>
      </c>
      <c r="D1466" s="149" t="str">
        <f t="shared" si="1570"/>
        <v>1-10</v>
      </c>
      <c r="E1466" s="149">
        <f t="shared" si="1570"/>
        <v>10</v>
      </c>
      <c r="F1466" s="149" t="str">
        <f t="shared" si="1570"/>
        <v>water</v>
      </c>
      <c r="G1466" s="146" t="str">
        <f t="shared" si="1542"/>
        <v>Starch pellets 1-10 mm (emission to water)</v>
      </c>
      <c r="H1466" s="146"/>
      <c r="I1466" s="221" t="s">
        <v>1102</v>
      </c>
      <c r="J1466" s="225" t="s">
        <v>1096</v>
      </c>
      <c r="K1466" s="114">
        <f>K66</f>
        <v>11.721758474576271</v>
      </c>
      <c r="L1466" s="226">
        <f t="shared" ref="L1466" si="1572">IFERROR(IF(K1466="--",0,IF(E1466*1000/K1466*(1-0.5)^(C1466/2)&gt;1000,1000,E1466*1000/K1466*(1-0.5)^(C1466/2))),1000)</f>
        <v>213.27857978155214</v>
      </c>
      <c r="M1466" s="220">
        <f t="shared" si="1569"/>
        <v>0.21327857978155215</v>
      </c>
      <c r="N1466" s="612"/>
    </row>
    <row r="1467" spans="1:14" s="102" customFormat="1">
      <c r="A1467" s="173" t="str">
        <f>A1465</f>
        <v>Starch</v>
      </c>
      <c r="B1467" s="150" t="str">
        <f>B1465</f>
        <v>pellets</v>
      </c>
      <c r="C1467" s="150">
        <f t="shared" si="1530"/>
        <v>4</v>
      </c>
      <c r="D1467" s="150" t="str">
        <f>D1465</f>
        <v>1-10</v>
      </c>
      <c r="E1467" s="150">
        <f>E1465</f>
        <v>10</v>
      </c>
      <c r="F1467" s="150" t="str">
        <f>F1465</f>
        <v>water</v>
      </c>
      <c r="G1467" s="147" t="str">
        <f t="shared" si="1542"/>
        <v>Starch pellets 1-10 mm (emission to water)</v>
      </c>
      <c r="H1467" s="147"/>
      <c r="I1467" s="129">
        <v>0</v>
      </c>
      <c r="J1467" s="225" t="s">
        <v>1034</v>
      </c>
      <c r="K1467" s="114" t="s">
        <v>596</v>
      </c>
      <c r="L1467" s="226">
        <f t="shared" si="1567"/>
        <v>0</v>
      </c>
      <c r="M1467" s="220">
        <f t="shared" si="1569"/>
        <v>0</v>
      </c>
      <c r="N1467" s="613"/>
    </row>
    <row r="1468" spans="1:14" s="102" customFormat="1">
      <c r="A1468" s="174" t="s">
        <v>1058</v>
      </c>
      <c r="B1468" s="155" t="s">
        <v>372</v>
      </c>
      <c r="C1468" s="290">
        <f t="shared" ref="C1468:C1470" si="1573">IF(OR(B1468="Folie", B1468="Strips", B1468="Film",B1468="Flakes",B1468="Coupon"), 2,IF(OR(B1468="Fibers",B1468="Pellets"),4,IF(OR(B1468="Particles",B1468="Shreds",B1468="Powder",B1468="Fragments",B1468="Granules"),6,"")))</f>
        <v>4</v>
      </c>
      <c r="D1468" s="153" t="s">
        <v>1026</v>
      </c>
      <c r="E1468" s="155">
        <v>10</v>
      </c>
      <c r="F1468" s="189" t="s">
        <v>1057</v>
      </c>
      <c r="G1468" s="144" t="str">
        <f t="shared" ref="G1468:G1470" si="1574">CONCATENATE(A1468," ",B1468," ",D1468," mm (emission to ",F1468,")")</f>
        <v>Starch pellets 1-10 mm (emission to air)</v>
      </c>
      <c r="H1468" s="192"/>
      <c r="I1468" s="137">
        <v>0.97699999999999998</v>
      </c>
      <c r="J1468" s="101" t="s">
        <v>1019</v>
      </c>
      <c r="K1468" s="114">
        <f>K64</f>
        <v>1299.8205442525373</v>
      </c>
      <c r="L1468" s="226">
        <f t="shared" ref="L1468:L1470" si="1575">IFERROR(IF(K1468="--",0,IF(E1468*1000/K1468*(1-0.5)^(C1468/2)&gt;1000,1000,E1468*1000/K1468*(1-0.5)^(C1468/2))),1000)</f>
        <v>1.9233424268098691</v>
      </c>
      <c r="M1468" s="158">
        <f>IF(L1468/1000&gt;1000,1000,L1468/1000)</f>
        <v>1.9233424268098691E-3</v>
      </c>
      <c r="N1468" s="610">
        <f>I1468*M1468+I1469*M1469</f>
        <v>6.7845128859689418E-3</v>
      </c>
    </row>
    <row r="1469" spans="1:14" s="102" customFormat="1">
      <c r="A1469" s="172" t="str">
        <f>A1468</f>
        <v>Starch</v>
      </c>
      <c r="B1469" s="149" t="str">
        <f>B1468</f>
        <v>pellets</v>
      </c>
      <c r="C1469" s="149">
        <f t="shared" si="1573"/>
        <v>4</v>
      </c>
      <c r="D1469" s="149" t="str">
        <f t="shared" ref="D1469:F1469" si="1576">D1468</f>
        <v>1-10</v>
      </c>
      <c r="E1469" s="149">
        <f t="shared" si="1576"/>
        <v>10</v>
      </c>
      <c r="F1469" s="149" t="str">
        <f t="shared" si="1576"/>
        <v>air</v>
      </c>
      <c r="G1469" s="146" t="str">
        <f t="shared" si="1574"/>
        <v>Starch pellets 1-10 mm (emission to air)</v>
      </c>
      <c r="H1469" s="146"/>
      <c r="I1469" s="129">
        <v>2.3E-2</v>
      </c>
      <c r="J1469" s="101" t="s">
        <v>1097</v>
      </c>
      <c r="K1469" s="114">
        <f>K65</f>
        <v>11.721758474576271</v>
      </c>
      <c r="L1469" s="226">
        <f t="shared" si="1575"/>
        <v>213.27857978155214</v>
      </c>
      <c r="M1469" s="158">
        <f>IF(L1469/1000&gt;1000,1000,L1469/1000)</f>
        <v>0.21327857978155215</v>
      </c>
      <c r="N1469" s="610"/>
    </row>
    <row r="1470" spans="1:14" s="102" customFormat="1">
      <c r="A1470" s="173" t="str">
        <f>A1469</f>
        <v>Starch</v>
      </c>
      <c r="B1470" s="150" t="str">
        <f>B1469</f>
        <v>pellets</v>
      </c>
      <c r="C1470" s="150">
        <f t="shared" si="1573"/>
        <v>4</v>
      </c>
      <c r="D1470" s="150" t="str">
        <f t="shared" ref="D1470:F1470" si="1577">D1469</f>
        <v>1-10</v>
      </c>
      <c r="E1470" s="150">
        <f t="shared" si="1577"/>
        <v>10</v>
      </c>
      <c r="F1470" s="150" t="str">
        <f t="shared" si="1577"/>
        <v>air</v>
      </c>
      <c r="G1470" s="147" t="str">
        <f t="shared" si="1574"/>
        <v>Starch pellets 1-10 mm (emission to air)</v>
      </c>
      <c r="H1470" s="147">
        <f>H1469</f>
        <v>0</v>
      </c>
      <c r="I1470" s="129">
        <v>0</v>
      </c>
      <c r="J1470" s="101" t="s">
        <v>1034</v>
      </c>
      <c r="K1470" s="114" t="s">
        <v>596</v>
      </c>
      <c r="L1470" s="226">
        <f t="shared" si="1575"/>
        <v>0</v>
      </c>
      <c r="M1470" s="158">
        <f t="shared" ref="M1470" si="1578">IF(L1470/1000&gt;1000,1000,L1470/1000)</f>
        <v>0</v>
      </c>
      <c r="N1470" s="610"/>
    </row>
    <row r="1471" spans="1:14" s="102" customFormat="1">
      <c r="A1471" s="174" t="s">
        <v>1058</v>
      </c>
      <c r="B1471" s="288" t="s">
        <v>1025</v>
      </c>
      <c r="C1471" s="290">
        <f t="shared" si="1530"/>
        <v>6</v>
      </c>
      <c r="D1471" s="290" t="s">
        <v>1018</v>
      </c>
      <c r="E1471" s="155">
        <v>0.1</v>
      </c>
      <c r="F1471" s="206" t="s">
        <v>1019</v>
      </c>
      <c r="G1471" s="144" t="str">
        <f t="shared" si="1542"/>
        <v>Starch particles 0,01-0,1 mm (emission to soil)</v>
      </c>
      <c r="H1471" s="133"/>
      <c r="I1471" s="129">
        <v>1</v>
      </c>
      <c r="J1471" s="101" t="s">
        <v>1019</v>
      </c>
      <c r="K1471" s="114">
        <f>K64</f>
        <v>1299.8205442525373</v>
      </c>
      <c r="L1471" s="226">
        <f t="shared" ref="L1471:L1477" si="1579">IFERROR(IF(K1471="--",0,IF(E1471*1000/K1471*(1-0.5)^(C1471/2)&gt;1000,1000,E1471*1000/K1471*(1-0.5)^(C1471/2))),1000)</f>
        <v>9.6167121340493458E-3</v>
      </c>
      <c r="M1471" s="158">
        <f>IF(L1471/1000&gt;1000,1000,L1471/1000)</f>
        <v>9.6167121340493455E-6</v>
      </c>
      <c r="N1471" s="610">
        <f>I1471*M1471+I1472*M1472</f>
        <v>9.6167121340493455E-6</v>
      </c>
    </row>
    <row r="1472" spans="1:14" s="102" customFormat="1">
      <c r="A1472" s="172" t="str">
        <f>A1471</f>
        <v>Starch</v>
      </c>
      <c r="B1472" s="149" t="str">
        <f>B1471</f>
        <v>particles</v>
      </c>
      <c r="C1472" s="149">
        <f t="shared" si="1530"/>
        <v>6</v>
      </c>
      <c r="D1472" s="149" t="str">
        <f t="shared" ref="D1472:F1473" si="1580">D1471</f>
        <v>0,01-0,1</v>
      </c>
      <c r="E1472" s="149">
        <f t="shared" si="1580"/>
        <v>0.1</v>
      </c>
      <c r="F1472" s="149" t="str">
        <f t="shared" si="1580"/>
        <v>soil</v>
      </c>
      <c r="G1472" s="146" t="str">
        <f t="shared" si="1542"/>
        <v>Starch particles 0,01-0,1 mm (emission to soil)</v>
      </c>
      <c r="H1472" s="146"/>
      <c r="I1472" s="129">
        <v>0</v>
      </c>
      <c r="J1472" s="101" t="s">
        <v>1097</v>
      </c>
      <c r="K1472" s="114">
        <f>K65</f>
        <v>11.721758474576271</v>
      </c>
      <c r="L1472" s="226">
        <f t="shared" si="1579"/>
        <v>1.0663928989077607</v>
      </c>
      <c r="M1472" s="158">
        <f>IF(L1472/1000&gt;1000,1000,L1472/1000)</f>
        <v>1.0663928989077607E-3</v>
      </c>
      <c r="N1472" s="610"/>
    </row>
    <row r="1473" spans="1:14" s="102" customFormat="1">
      <c r="A1473" s="173" t="str">
        <f>A1472</f>
        <v>Starch</v>
      </c>
      <c r="B1473" s="150" t="str">
        <f>B1472</f>
        <v>particles</v>
      </c>
      <c r="C1473" s="150">
        <f t="shared" si="1530"/>
        <v>6</v>
      </c>
      <c r="D1473" s="150" t="str">
        <f t="shared" si="1580"/>
        <v>0,01-0,1</v>
      </c>
      <c r="E1473" s="150">
        <f t="shared" si="1580"/>
        <v>0.1</v>
      </c>
      <c r="F1473" s="150" t="str">
        <f t="shared" si="1580"/>
        <v>soil</v>
      </c>
      <c r="G1473" s="147" t="str">
        <f t="shared" si="1542"/>
        <v>Starch particles 0,01-0,1 mm (emission to soil)</v>
      </c>
      <c r="H1473" s="147"/>
      <c r="I1473" s="129">
        <v>0</v>
      </c>
      <c r="J1473" s="101" t="s">
        <v>1034</v>
      </c>
      <c r="K1473" s="114" t="s">
        <v>596</v>
      </c>
      <c r="L1473" s="226">
        <f t="shared" si="1579"/>
        <v>0</v>
      </c>
      <c r="M1473" s="158">
        <f t="shared" ref="M1473:M1477" si="1581">IF(L1473/1000&gt;1000,1000,L1473/1000)</f>
        <v>0</v>
      </c>
      <c r="N1473" s="610"/>
    </row>
    <row r="1474" spans="1:14" s="102" customFormat="1">
      <c r="A1474" s="174" t="s">
        <v>1058</v>
      </c>
      <c r="B1474" s="288" t="s">
        <v>1025</v>
      </c>
      <c r="C1474" s="290">
        <f t="shared" si="1530"/>
        <v>6</v>
      </c>
      <c r="D1474" s="290" t="s">
        <v>1018</v>
      </c>
      <c r="E1474" s="155">
        <v>0.1</v>
      </c>
      <c r="F1474" s="206" t="s">
        <v>1020</v>
      </c>
      <c r="G1474" s="144" t="str">
        <f t="shared" si="1542"/>
        <v>Starch particles 0,01-0,1 mm (emission to water)</v>
      </c>
      <c r="H1474" s="133"/>
      <c r="I1474" s="129">
        <v>0</v>
      </c>
      <c r="J1474" s="225" t="s">
        <v>1019</v>
      </c>
      <c r="K1474" s="114">
        <f>K64</f>
        <v>1299.8205442525373</v>
      </c>
      <c r="L1474" s="226">
        <f t="shared" si="1579"/>
        <v>9.6167121340493458E-3</v>
      </c>
      <c r="M1474" s="220">
        <f t="shared" si="1581"/>
        <v>9.6167121340493455E-6</v>
      </c>
      <c r="N1474" s="611" t="e">
        <f>I1474*M1474+I1475*M1475+I1476*M1476</f>
        <v>#VALUE!</v>
      </c>
    </row>
    <row r="1475" spans="1:14" s="102" customFormat="1">
      <c r="A1475" s="172" t="str">
        <f>A1474</f>
        <v>Starch</v>
      </c>
      <c r="B1475" s="149" t="str">
        <f>B1474</f>
        <v>particles</v>
      </c>
      <c r="C1475" s="149">
        <f t="shared" si="1530"/>
        <v>6</v>
      </c>
      <c r="D1475" s="149" t="str">
        <f t="shared" ref="D1475:F1476" si="1582">D1474</f>
        <v>0,01-0,1</v>
      </c>
      <c r="E1475" s="149">
        <f t="shared" si="1582"/>
        <v>0.1</v>
      </c>
      <c r="F1475" s="149" t="str">
        <f t="shared" si="1582"/>
        <v>water</v>
      </c>
      <c r="G1475" s="146" t="str">
        <f t="shared" si="1542"/>
        <v>Starch particles 0,01-0,1 mm (emission to water)</v>
      </c>
      <c r="H1475" s="146"/>
      <c r="I1475" s="221" t="s">
        <v>1102</v>
      </c>
      <c r="J1475" s="225" t="s">
        <v>1097</v>
      </c>
      <c r="K1475" s="114">
        <f>K65</f>
        <v>11.721758474576271</v>
      </c>
      <c r="L1475" s="226">
        <f t="shared" si="1579"/>
        <v>1.0663928989077607</v>
      </c>
      <c r="M1475" s="220">
        <f t="shared" si="1581"/>
        <v>1.0663928989077607E-3</v>
      </c>
      <c r="N1475" s="612"/>
    </row>
    <row r="1476" spans="1:14" s="102" customFormat="1">
      <c r="A1476" s="172" t="str">
        <f>A1475</f>
        <v>Starch</v>
      </c>
      <c r="B1476" s="149" t="str">
        <f>B1475</f>
        <v>particles</v>
      </c>
      <c r="C1476" s="149">
        <f t="shared" ref="C1476" si="1583">IF(OR(B1476="Folie", B1476="Strips", B1476="Film",B1476="Flakes",B1476="Coupon"), 2,IF(OR(B1476="Fibers",B1476="Pellets"),4,IF(OR(B1476="Particles",B1476="Shreds",B1476="Powder",B1476="Fragments",B1476="Granules"),6,"")))</f>
        <v>6</v>
      </c>
      <c r="D1476" s="149" t="str">
        <f t="shared" si="1582"/>
        <v>0,01-0,1</v>
      </c>
      <c r="E1476" s="149">
        <f t="shared" si="1582"/>
        <v>0.1</v>
      </c>
      <c r="F1476" s="149" t="str">
        <f t="shared" si="1582"/>
        <v>water</v>
      </c>
      <c r="G1476" s="146" t="str">
        <f t="shared" si="1542"/>
        <v>Starch particles 0,01-0,1 mm (emission to water)</v>
      </c>
      <c r="H1476" s="146"/>
      <c r="I1476" s="221" t="s">
        <v>1102</v>
      </c>
      <c r="J1476" s="225" t="s">
        <v>1096</v>
      </c>
      <c r="K1476" s="114">
        <f>K66</f>
        <v>11.721758474576271</v>
      </c>
      <c r="L1476" s="226">
        <f t="shared" ref="L1476" si="1584">IFERROR(IF(K1476="--",0,IF(E1476*1000/K1476*(1-0.5)^(C1476/2)&gt;1000,1000,E1476*1000/K1476*(1-0.5)^(C1476/2))),1000)</f>
        <v>1.0663928989077607</v>
      </c>
      <c r="M1476" s="220">
        <f t="shared" si="1581"/>
        <v>1.0663928989077607E-3</v>
      </c>
      <c r="N1476" s="612"/>
    </row>
    <row r="1477" spans="1:14" s="102" customFormat="1">
      <c r="A1477" s="173" t="str">
        <f>A1475</f>
        <v>Starch</v>
      </c>
      <c r="B1477" s="150" t="str">
        <f>B1475</f>
        <v>particles</v>
      </c>
      <c r="C1477" s="150">
        <f t="shared" si="1530"/>
        <v>6</v>
      </c>
      <c r="D1477" s="150" t="str">
        <f>D1475</f>
        <v>0,01-0,1</v>
      </c>
      <c r="E1477" s="150">
        <f>E1475</f>
        <v>0.1</v>
      </c>
      <c r="F1477" s="150" t="str">
        <f>F1475</f>
        <v>water</v>
      </c>
      <c r="G1477" s="147" t="str">
        <f t="shared" si="1542"/>
        <v>Starch particles 0,01-0,1 mm (emission to water)</v>
      </c>
      <c r="H1477" s="147"/>
      <c r="I1477" s="129">
        <v>0</v>
      </c>
      <c r="J1477" s="225" t="s">
        <v>1034</v>
      </c>
      <c r="K1477" s="114" t="s">
        <v>596</v>
      </c>
      <c r="L1477" s="226">
        <f t="shared" si="1579"/>
        <v>0</v>
      </c>
      <c r="M1477" s="220">
        <f t="shared" si="1581"/>
        <v>0</v>
      </c>
      <c r="N1477" s="613"/>
    </row>
    <row r="1478" spans="1:14" s="102" customFormat="1">
      <c r="A1478" s="174" t="s">
        <v>1058</v>
      </c>
      <c r="B1478" s="288" t="s">
        <v>1025</v>
      </c>
      <c r="C1478" s="290">
        <f t="shared" ref="C1478:C1480" si="1585">IF(OR(B1478="Folie", B1478="Strips", B1478="Film",B1478="Flakes",B1478="Coupon"), 2,IF(OR(B1478="Fibers",B1478="Pellets"),4,IF(OR(B1478="Particles",B1478="Shreds",B1478="Powder",B1478="Fragments",B1478="Granules"),6,"")))</f>
        <v>6</v>
      </c>
      <c r="D1478" s="290" t="s">
        <v>1018</v>
      </c>
      <c r="E1478" s="155">
        <v>0.1</v>
      </c>
      <c r="F1478" s="206" t="s">
        <v>1057</v>
      </c>
      <c r="G1478" s="144" t="str">
        <f t="shared" ref="G1478:G1480" si="1586">CONCATENATE(A1478," ",B1478," ",D1478," mm (emission to ",F1478,")")</f>
        <v>Starch particles 0,01-0,1 mm (emission to air)</v>
      </c>
      <c r="H1478" s="133"/>
      <c r="I1478" s="137">
        <v>0.97699999999999998</v>
      </c>
      <c r="J1478" s="101" t="s">
        <v>1019</v>
      </c>
      <c r="K1478" s="114">
        <f>K64</f>
        <v>1299.8205442525373</v>
      </c>
      <c r="L1478" s="226">
        <f t="shared" ref="L1478:L1480" si="1587">IFERROR(IF(K1478="--",0,IF(E1478*1000/K1478*(1-0.5)^(C1478/2)&gt;1000,1000,E1478*1000/K1478*(1-0.5)^(C1478/2))),1000)</f>
        <v>9.6167121340493458E-3</v>
      </c>
      <c r="M1478" s="158">
        <f>IF(L1478/1000&gt;1000,1000,L1478/1000)</f>
        <v>9.6167121340493455E-6</v>
      </c>
      <c r="N1478" s="610">
        <f>I1478*M1478+I1479*M1479</f>
        <v>3.3922564429844705E-5</v>
      </c>
    </row>
    <row r="1479" spans="1:14" s="102" customFormat="1">
      <c r="A1479" s="172" t="str">
        <f>A1478</f>
        <v>Starch</v>
      </c>
      <c r="B1479" s="149" t="str">
        <f>B1478</f>
        <v>particles</v>
      </c>
      <c r="C1479" s="149">
        <f t="shared" si="1585"/>
        <v>6</v>
      </c>
      <c r="D1479" s="149" t="str">
        <f t="shared" ref="D1479:F1479" si="1588">D1478</f>
        <v>0,01-0,1</v>
      </c>
      <c r="E1479" s="149">
        <f t="shared" si="1588"/>
        <v>0.1</v>
      </c>
      <c r="F1479" s="149" t="str">
        <f t="shared" si="1588"/>
        <v>air</v>
      </c>
      <c r="G1479" s="146" t="str">
        <f t="shared" si="1586"/>
        <v>Starch particles 0,01-0,1 mm (emission to air)</v>
      </c>
      <c r="H1479" s="146"/>
      <c r="I1479" s="129">
        <v>2.3E-2</v>
      </c>
      <c r="J1479" s="101" t="s">
        <v>1097</v>
      </c>
      <c r="K1479" s="114">
        <f>K65</f>
        <v>11.721758474576271</v>
      </c>
      <c r="L1479" s="226">
        <f t="shared" si="1587"/>
        <v>1.0663928989077607</v>
      </c>
      <c r="M1479" s="158">
        <f>IF(L1479/1000&gt;1000,1000,L1479/1000)</f>
        <v>1.0663928989077607E-3</v>
      </c>
      <c r="N1479" s="610"/>
    </row>
    <row r="1480" spans="1:14" s="102" customFormat="1">
      <c r="A1480" s="173" t="str">
        <f>A1479</f>
        <v>Starch</v>
      </c>
      <c r="B1480" s="150" t="str">
        <f>B1479</f>
        <v>particles</v>
      </c>
      <c r="C1480" s="150">
        <f t="shared" si="1585"/>
        <v>6</v>
      </c>
      <c r="D1480" s="150" t="str">
        <f t="shared" ref="D1480:F1480" si="1589">D1479</f>
        <v>0,01-0,1</v>
      </c>
      <c r="E1480" s="150">
        <f t="shared" si="1589"/>
        <v>0.1</v>
      </c>
      <c r="F1480" s="150" t="str">
        <f t="shared" si="1589"/>
        <v>air</v>
      </c>
      <c r="G1480" s="147" t="str">
        <f t="shared" si="1586"/>
        <v>Starch particles 0,01-0,1 mm (emission to air)</v>
      </c>
      <c r="H1480" s="147"/>
      <c r="I1480" s="129">
        <v>0</v>
      </c>
      <c r="J1480" s="101" t="s">
        <v>1034</v>
      </c>
      <c r="K1480" s="114" t="s">
        <v>596</v>
      </c>
      <c r="L1480" s="226">
        <f t="shared" si="1587"/>
        <v>0</v>
      </c>
      <c r="M1480" s="158">
        <f t="shared" ref="M1480" si="1590">IF(L1480/1000&gt;1000,1000,L1480/1000)</f>
        <v>0</v>
      </c>
      <c r="N1480" s="610"/>
    </row>
    <row r="1481" spans="1:14" s="102" customFormat="1">
      <c r="A1481" s="174" t="s">
        <v>1058</v>
      </c>
      <c r="B1481" s="288" t="s">
        <v>1025</v>
      </c>
      <c r="C1481" s="290">
        <f t="shared" si="1530"/>
        <v>6</v>
      </c>
      <c r="D1481" s="290" t="s">
        <v>1028</v>
      </c>
      <c r="E1481" s="155">
        <v>1</v>
      </c>
      <c r="F1481" s="206" t="s">
        <v>1019</v>
      </c>
      <c r="G1481" s="144" t="str">
        <f t="shared" si="1542"/>
        <v>Starch particles 0,1-1 mm (emission to soil)</v>
      </c>
      <c r="H1481" s="133"/>
      <c r="I1481" s="129">
        <v>1</v>
      </c>
      <c r="J1481" s="101" t="s">
        <v>1019</v>
      </c>
      <c r="K1481" s="114">
        <f>K64</f>
        <v>1299.8205442525373</v>
      </c>
      <c r="L1481" s="226">
        <f t="shared" ref="L1481:L1487" si="1591">IFERROR(IF(K1481="--",0,IF(E1481*1000/K1481*(1-0.5)^(C1481/2)&gt;1000,1000,E1481*1000/K1481*(1-0.5)^(C1481/2))),1000)</f>
        <v>9.6167121340493461E-2</v>
      </c>
      <c r="M1481" s="158">
        <f>IF(L1481/1000&gt;1000,1000,L1481/1000)</f>
        <v>9.6167121340493455E-5</v>
      </c>
      <c r="N1481" s="610">
        <f>I1481*M1481+I1482*M1482</f>
        <v>9.6167121340493455E-5</v>
      </c>
    </row>
    <row r="1482" spans="1:14" s="102" customFormat="1">
      <c r="A1482" s="172" t="str">
        <f>A1481</f>
        <v>Starch</v>
      </c>
      <c r="B1482" s="149" t="str">
        <f>B1481</f>
        <v>particles</v>
      </c>
      <c r="C1482" s="149">
        <f t="shared" si="1530"/>
        <v>6</v>
      </c>
      <c r="D1482" s="149" t="str">
        <f t="shared" ref="D1482:F1483" si="1592">D1481</f>
        <v>0,1-1</v>
      </c>
      <c r="E1482" s="149">
        <f t="shared" si="1592"/>
        <v>1</v>
      </c>
      <c r="F1482" s="149" t="str">
        <f t="shared" si="1592"/>
        <v>soil</v>
      </c>
      <c r="G1482" s="146" t="str">
        <f t="shared" si="1542"/>
        <v>Starch particles 0,1-1 mm (emission to soil)</v>
      </c>
      <c r="H1482" s="146"/>
      <c r="I1482" s="129">
        <v>0</v>
      </c>
      <c r="J1482" s="101" t="s">
        <v>1097</v>
      </c>
      <c r="K1482" s="114">
        <f>K65</f>
        <v>11.721758474576271</v>
      </c>
      <c r="L1482" s="226">
        <f t="shared" si="1591"/>
        <v>10.663928989077606</v>
      </c>
      <c r="M1482" s="158">
        <f>IF(L1482/1000&gt;1000,1000,L1482/1000)</f>
        <v>1.0663928989077606E-2</v>
      </c>
      <c r="N1482" s="610"/>
    </row>
    <row r="1483" spans="1:14" s="102" customFormat="1">
      <c r="A1483" s="173" t="str">
        <f>A1482</f>
        <v>Starch</v>
      </c>
      <c r="B1483" s="150" t="str">
        <f>B1482</f>
        <v>particles</v>
      </c>
      <c r="C1483" s="150">
        <f t="shared" si="1530"/>
        <v>6</v>
      </c>
      <c r="D1483" s="150" t="str">
        <f t="shared" si="1592"/>
        <v>0,1-1</v>
      </c>
      <c r="E1483" s="150">
        <f t="shared" si="1592"/>
        <v>1</v>
      </c>
      <c r="F1483" s="150" t="str">
        <f t="shared" si="1592"/>
        <v>soil</v>
      </c>
      <c r="G1483" s="147" t="str">
        <f t="shared" si="1542"/>
        <v>Starch particles 0,1-1 mm (emission to soil)</v>
      </c>
      <c r="H1483" s="147"/>
      <c r="I1483" s="129">
        <v>0</v>
      </c>
      <c r="J1483" s="101" t="s">
        <v>1034</v>
      </c>
      <c r="K1483" s="151" t="s">
        <v>596</v>
      </c>
      <c r="L1483" s="226">
        <f t="shared" si="1591"/>
        <v>0</v>
      </c>
      <c r="M1483" s="158">
        <f t="shared" ref="M1483:M1487" si="1593">IF(L1483/1000&gt;1000,1000,L1483/1000)</f>
        <v>0</v>
      </c>
      <c r="N1483" s="610"/>
    </row>
    <row r="1484" spans="1:14" s="102" customFormat="1">
      <c r="A1484" s="174" t="s">
        <v>1058</v>
      </c>
      <c r="B1484" s="288" t="s">
        <v>1025</v>
      </c>
      <c r="C1484" s="290">
        <f t="shared" si="1530"/>
        <v>6</v>
      </c>
      <c r="D1484" s="290" t="s">
        <v>1028</v>
      </c>
      <c r="E1484" s="290">
        <v>1</v>
      </c>
      <c r="F1484" s="206" t="s">
        <v>1020</v>
      </c>
      <c r="G1484" s="144" t="str">
        <f t="shared" si="1542"/>
        <v>Starch particles 0,1-1 mm (emission to water)</v>
      </c>
      <c r="H1484" s="133"/>
      <c r="I1484" s="129">
        <v>0</v>
      </c>
      <c r="J1484" s="225" t="s">
        <v>1019</v>
      </c>
      <c r="K1484" s="114">
        <f>K64</f>
        <v>1299.8205442525373</v>
      </c>
      <c r="L1484" s="226">
        <f t="shared" si="1591"/>
        <v>9.6167121340493461E-2</v>
      </c>
      <c r="M1484" s="220">
        <f t="shared" si="1593"/>
        <v>9.6167121340493455E-5</v>
      </c>
      <c r="N1484" s="611" t="e">
        <f>I1484*M1484+I1485*M1485+I1486*M1486</f>
        <v>#VALUE!</v>
      </c>
    </row>
    <row r="1485" spans="1:14" s="102" customFormat="1">
      <c r="A1485" s="172" t="str">
        <f>A1484</f>
        <v>Starch</v>
      </c>
      <c r="B1485" s="149" t="str">
        <f>B1484</f>
        <v>particles</v>
      </c>
      <c r="C1485" s="149">
        <f t="shared" si="1530"/>
        <v>6</v>
      </c>
      <c r="D1485" s="149" t="str">
        <f t="shared" ref="D1485:F1486" si="1594">D1484</f>
        <v>0,1-1</v>
      </c>
      <c r="E1485" s="149">
        <f t="shared" si="1594"/>
        <v>1</v>
      </c>
      <c r="F1485" s="149" t="str">
        <f t="shared" si="1594"/>
        <v>water</v>
      </c>
      <c r="G1485" s="146" t="str">
        <f t="shared" si="1542"/>
        <v>Starch particles 0,1-1 mm (emission to water)</v>
      </c>
      <c r="H1485" s="146"/>
      <c r="I1485" s="221" t="s">
        <v>1102</v>
      </c>
      <c r="J1485" s="225" t="s">
        <v>1097</v>
      </c>
      <c r="K1485" s="114">
        <f>K65</f>
        <v>11.721758474576271</v>
      </c>
      <c r="L1485" s="226">
        <f t="shared" si="1591"/>
        <v>10.663928989077606</v>
      </c>
      <c r="M1485" s="220">
        <f t="shared" si="1593"/>
        <v>1.0663928989077606E-2</v>
      </c>
      <c r="N1485" s="612"/>
    </row>
    <row r="1486" spans="1:14" s="102" customFormat="1">
      <c r="A1486" s="172" t="str">
        <f>A1485</f>
        <v>Starch</v>
      </c>
      <c r="B1486" s="149" t="str">
        <f>B1485</f>
        <v>particles</v>
      </c>
      <c r="C1486" s="149">
        <f t="shared" ref="C1486" si="1595">IF(OR(B1486="Folie", B1486="Strips", B1486="Film",B1486="Flakes",B1486="Coupon"), 2,IF(OR(B1486="Fibers",B1486="Pellets"),4,IF(OR(B1486="Particles",B1486="Shreds",B1486="Powder",B1486="Fragments",B1486="Granules"),6,"")))</f>
        <v>6</v>
      </c>
      <c r="D1486" s="149" t="str">
        <f t="shared" si="1594"/>
        <v>0,1-1</v>
      </c>
      <c r="E1486" s="149">
        <f t="shared" si="1594"/>
        <v>1</v>
      </c>
      <c r="F1486" s="149" t="str">
        <f t="shared" si="1594"/>
        <v>water</v>
      </c>
      <c r="G1486" s="146" t="str">
        <f t="shared" si="1542"/>
        <v>Starch particles 0,1-1 mm (emission to water)</v>
      </c>
      <c r="H1486" s="146"/>
      <c r="I1486" s="221" t="s">
        <v>1102</v>
      </c>
      <c r="J1486" s="225" t="s">
        <v>1096</v>
      </c>
      <c r="K1486" s="114">
        <f>K66</f>
        <v>11.721758474576271</v>
      </c>
      <c r="L1486" s="226">
        <f t="shared" ref="L1486" si="1596">IFERROR(IF(K1486="--",0,IF(E1486*1000/K1486*(1-0.5)^(C1486/2)&gt;1000,1000,E1486*1000/K1486*(1-0.5)^(C1486/2))),1000)</f>
        <v>10.663928989077606</v>
      </c>
      <c r="M1486" s="220">
        <f t="shared" si="1593"/>
        <v>1.0663928989077606E-2</v>
      </c>
      <c r="N1486" s="612"/>
    </row>
    <row r="1487" spans="1:14" s="102" customFormat="1">
      <c r="A1487" s="173" t="str">
        <f>A1485</f>
        <v>Starch</v>
      </c>
      <c r="B1487" s="150" t="str">
        <f>B1485</f>
        <v>particles</v>
      </c>
      <c r="C1487" s="150">
        <f t="shared" si="1530"/>
        <v>6</v>
      </c>
      <c r="D1487" s="150" t="str">
        <f>D1485</f>
        <v>0,1-1</v>
      </c>
      <c r="E1487" s="150">
        <f>E1485</f>
        <v>1</v>
      </c>
      <c r="F1487" s="150" t="str">
        <f>F1485</f>
        <v>water</v>
      </c>
      <c r="G1487" s="147" t="str">
        <f t="shared" si="1542"/>
        <v>Starch particles 0,1-1 mm (emission to water)</v>
      </c>
      <c r="H1487" s="147"/>
      <c r="I1487" s="129">
        <v>0</v>
      </c>
      <c r="J1487" s="225" t="s">
        <v>1034</v>
      </c>
      <c r="K1487" s="151" t="s">
        <v>596</v>
      </c>
      <c r="L1487" s="226">
        <f t="shared" si="1591"/>
        <v>0</v>
      </c>
      <c r="M1487" s="220">
        <f t="shared" si="1593"/>
        <v>0</v>
      </c>
      <c r="N1487" s="613"/>
    </row>
    <row r="1488" spans="1:14" s="102" customFormat="1">
      <c r="A1488" s="174" t="s">
        <v>1058</v>
      </c>
      <c r="B1488" s="288" t="s">
        <v>1025</v>
      </c>
      <c r="C1488" s="290">
        <f t="shared" ref="C1488:C1490" si="1597">IF(OR(B1488="Folie", B1488="Strips", B1488="Film",B1488="Flakes",B1488="Coupon"), 2,IF(OR(B1488="Fibers",B1488="Pellets"),4,IF(OR(B1488="Particles",B1488="Shreds",B1488="Powder",B1488="Fragments",B1488="Granules"),6,"")))</f>
        <v>6</v>
      </c>
      <c r="D1488" s="290" t="s">
        <v>1028</v>
      </c>
      <c r="E1488" s="155">
        <v>1</v>
      </c>
      <c r="F1488" s="206" t="s">
        <v>1057</v>
      </c>
      <c r="G1488" s="144" t="str">
        <f t="shared" ref="G1488:G1490" si="1598">CONCATENATE(A1488," ",B1488," ",D1488," mm (emission to ",F1488,")")</f>
        <v>Starch particles 0,1-1 mm (emission to air)</v>
      </c>
      <c r="H1488" s="133"/>
      <c r="I1488" s="137">
        <v>0.97699999999999998</v>
      </c>
      <c r="J1488" s="101" t="s">
        <v>1019</v>
      </c>
      <c r="K1488" s="114">
        <f>K64</f>
        <v>1299.8205442525373</v>
      </c>
      <c r="L1488" s="226">
        <f t="shared" ref="L1488:L1490" si="1599">IFERROR(IF(K1488="--",0,IF(E1488*1000/K1488*(1-0.5)^(C1488/2)&gt;1000,1000,E1488*1000/K1488*(1-0.5)^(C1488/2))),1000)</f>
        <v>9.6167121340493461E-2</v>
      </c>
      <c r="M1488" s="158">
        <f>IF(L1488/1000&gt;1000,1000,L1488/1000)</f>
        <v>9.6167121340493455E-5</v>
      </c>
      <c r="N1488" s="610">
        <f>I1488*M1488+I1489*M1489</f>
        <v>3.3922564429844702E-4</v>
      </c>
    </row>
    <row r="1489" spans="1:14" s="102" customFormat="1">
      <c r="A1489" s="172" t="str">
        <f>A1488</f>
        <v>Starch</v>
      </c>
      <c r="B1489" s="149" t="str">
        <f>B1488</f>
        <v>particles</v>
      </c>
      <c r="C1489" s="149">
        <f t="shared" si="1597"/>
        <v>6</v>
      </c>
      <c r="D1489" s="149" t="str">
        <f t="shared" ref="D1489:F1489" si="1600">D1488</f>
        <v>0,1-1</v>
      </c>
      <c r="E1489" s="149">
        <f t="shared" si="1600"/>
        <v>1</v>
      </c>
      <c r="F1489" s="149" t="str">
        <f t="shared" si="1600"/>
        <v>air</v>
      </c>
      <c r="G1489" s="146" t="str">
        <f t="shared" si="1598"/>
        <v>Starch particles 0,1-1 mm (emission to air)</v>
      </c>
      <c r="H1489" s="146"/>
      <c r="I1489" s="129">
        <v>2.3E-2</v>
      </c>
      <c r="J1489" s="101" t="s">
        <v>1097</v>
      </c>
      <c r="K1489" s="114">
        <f>K65</f>
        <v>11.721758474576271</v>
      </c>
      <c r="L1489" s="226">
        <f t="shared" si="1599"/>
        <v>10.663928989077606</v>
      </c>
      <c r="M1489" s="158">
        <f>IF(L1489/1000&gt;1000,1000,L1489/1000)</f>
        <v>1.0663928989077606E-2</v>
      </c>
      <c r="N1489" s="610"/>
    </row>
    <row r="1490" spans="1:14" s="102" customFormat="1">
      <c r="A1490" s="173" t="str">
        <f>A1489</f>
        <v>Starch</v>
      </c>
      <c r="B1490" s="150" t="str">
        <f>B1489</f>
        <v>particles</v>
      </c>
      <c r="C1490" s="150">
        <f t="shared" si="1597"/>
        <v>6</v>
      </c>
      <c r="D1490" s="150" t="str">
        <f t="shared" ref="D1490:F1490" si="1601">D1489</f>
        <v>0,1-1</v>
      </c>
      <c r="E1490" s="150">
        <f t="shared" si="1601"/>
        <v>1</v>
      </c>
      <c r="F1490" s="150" t="str">
        <f t="shared" si="1601"/>
        <v>air</v>
      </c>
      <c r="G1490" s="147" t="str">
        <f t="shared" si="1598"/>
        <v>Starch particles 0,1-1 mm (emission to air)</v>
      </c>
      <c r="H1490" s="147"/>
      <c r="I1490" s="129">
        <v>0</v>
      </c>
      <c r="J1490" s="101" t="s">
        <v>1034</v>
      </c>
      <c r="K1490" s="151" t="s">
        <v>596</v>
      </c>
      <c r="L1490" s="226">
        <f t="shared" si="1599"/>
        <v>0</v>
      </c>
      <c r="M1490" s="158">
        <f t="shared" ref="M1490" si="1602">IF(L1490/1000&gt;1000,1000,L1490/1000)</f>
        <v>0</v>
      </c>
      <c r="N1490" s="610"/>
    </row>
    <row r="1491" spans="1:14" s="102" customFormat="1">
      <c r="A1491" s="174" t="s">
        <v>1058</v>
      </c>
      <c r="B1491" s="288" t="s">
        <v>1025</v>
      </c>
      <c r="C1491" s="290">
        <f t="shared" si="1530"/>
        <v>6</v>
      </c>
      <c r="D1491" s="290" t="s">
        <v>1026</v>
      </c>
      <c r="E1491" s="155">
        <v>10</v>
      </c>
      <c r="F1491" s="206" t="s">
        <v>1019</v>
      </c>
      <c r="G1491" s="144" t="str">
        <f t="shared" si="1542"/>
        <v>Starch particles 1-10 mm (emission to soil)</v>
      </c>
      <c r="H1491" s="133"/>
      <c r="I1491" s="129">
        <v>1</v>
      </c>
      <c r="J1491" s="101" t="s">
        <v>1019</v>
      </c>
      <c r="K1491" s="114">
        <f>K64</f>
        <v>1299.8205442525373</v>
      </c>
      <c r="L1491" s="226">
        <f t="shared" ref="L1491:L1497" si="1603">IFERROR(IF(K1491="--",0,IF(E1491*1000/K1491*(1-0.5)^(C1491/2)&gt;1000,1000,E1491*1000/K1491*(1-0.5)^(C1491/2))),1000)</f>
        <v>0.96167121340493456</v>
      </c>
      <c r="M1491" s="158">
        <f>IF(L1491/1000&gt;1000,1000,L1491/1000)</f>
        <v>9.6167121340493455E-4</v>
      </c>
      <c r="N1491" s="610">
        <f>I1491*M1491+I1492*M1492</f>
        <v>9.6167121340493455E-4</v>
      </c>
    </row>
    <row r="1492" spans="1:14" s="102" customFormat="1">
      <c r="A1492" s="172" t="str">
        <f>A1491</f>
        <v>Starch</v>
      </c>
      <c r="B1492" s="149" t="str">
        <f>B1491</f>
        <v>particles</v>
      </c>
      <c r="C1492" s="149">
        <f t="shared" si="1530"/>
        <v>6</v>
      </c>
      <c r="D1492" s="149" t="str">
        <f t="shared" ref="D1492:F1493" si="1604">D1491</f>
        <v>1-10</v>
      </c>
      <c r="E1492" s="149">
        <f t="shared" si="1604"/>
        <v>10</v>
      </c>
      <c r="F1492" s="149" t="str">
        <f t="shared" si="1604"/>
        <v>soil</v>
      </c>
      <c r="G1492" s="146" t="str">
        <f t="shared" si="1542"/>
        <v>Starch particles 1-10 mm (emission to soil)</v>
      </c>
      <c r="H1492" s="146"/>
      <c r="I1492" s="129">
        <v>0</v>
      </c>
      <c r="J1492" s="101" t="s">
        <v>1097</v>
      </c>
      <c r="K1492" s="114">
        <f>K65</f>
        <v>11.721758474576271</v>
      </c>
      <c r="L1492" s="226">
        <f t="shared" si="1603"/>
        <v>106.63928989077607</v>
      </c>
      <c r="M1492" s="158">
        <f>IF(L1492/1000&gt;1000,1000,L1492/1000)</f>
        <v>0.10663928989077608</v>
      </c>
      <c r="N1492" s="610"/>
    </row>
    <row r="1493" spans="1:14" s="102" customFormat="1">
      <c r="A1493" s="173" t="str">
        <f>A1492</f>
        <v>Starch</v>
      </c>
      <c r="B1493" s="150" t="str">
        <f>B1492</f>
        <v>particles</v>
      </c>
      <c r="C1493" s="150">
        <f t="shared" si="1530"/>
        <v>6</v>
      </c>
      <c r="D1493" s="150" t="str">
        <f t="shared" si="1604"/>
        <v>1-10</v>
      </c>
      <c r="E1493" s="150">
        <f t="shared" si="1604"/>
        <v>10</v>
      </c>
      <c r="F1493" s="150" t="str">
        <f t="shared" si="1604"/>
        <v>soil</v>
      </c>
      <c r="G1493" s="147" t="str">
        <f t="shared" si="1542"/>
        <v>Starch particles 1-10 mm (emission to soil)</v>
      </c>
      <c r="H1493" s="147"/>
      <c r="I1493" s="129">
        <v>0</v>
      </c>
      <c r="J1493" s="101" t="s">
        <v>1034</v>
      </c>
      <c r="K1493" s="151" t="s">
        <v>596</v>
      </c>
      <c r="L1493" s="226">
        <f t="shared" si="1603"/>
        <v>0</v>
      </c>
      <c r="M1493" s="158">
        <f t="shared" ref="M1493:M1497" si="1605">IF(L1493/1000&gt;1000,1000,L1493/1000)</f>
        <v>0</v>
      </c>
      <c r="N1493" s="610"/>
    </row>
    <row r="1494" spans="1:14" s="102" customFormat="1">
      <c r="A1494" s="174" t="s">
        <v>1058</v>
      </c>
      <c r="B1494" s="288" t="s">
        <v>1025</v>
      </c>
      <c r="C1494" s="290">
        <f t="shared" si="1530"/>
        <v>6</v>
      </c>
      <c r="D1494" s="290" t="s">
        <v>1026</v>
      </c>
      <c r="E1494" s="288">
        <v>10</v>
      </c>
      <c r="F1494" s="206" t="s">
        <v>1020</v>
      </c>
      <c r="G1494" s="144" t="str">
        <f t="shared" si="1542"/>
        <v>Starch particles 1-10 mm (emission to water)</v>
      </c>
      <c r="H1494" s="133"/>
      <c r="I1494" s="129">
        <v>0</v>
      </c>
      <c r="J1494" s="225" t="s">
        <v>1019</v>
      </c>
      <c r="K1494" s="114">
        <f>K64</f>
        <v>1299.8205442525373</v>
      </c>
      <c r="L1494" s="226">
        <f t="shared" si="1603"/>
        <v>0.96167121340493456</v>
      </c>
      <c r="M1494" s="220">
        <f t="shared" si="1605"/>
        <v>9.6167121340493455E-4</v>
      </c>
      <c r="N1494" s="611" t="e">
        <f>I1494*M1494+I1495*M1495+I1496*M1496</f>
        <v>#VALUE!</v>
      </c>
    </row>
    <row r="1495" spans="1:14" s="102" customFormat="1">
      <c r="A1495" s="172" t="str">
        <f>A1494</f>
        <v>Starch</v>
      </c>
      <c r="B1495" s="149" t="str">
        <f>B1494</f>
        <v>particles</v>
      </c>
      <c r="C1495" s="149">
        <f t="shared" si="1530"/>
        <v>6</v>
      </c>
      <c r="D1495" s="149" t="str">
        <f t="shared" ref="D1495:F1496" si="1606">D1494</f>
        <v>1-10</v>
      </c>
      <c r="E1495" s="149">
        <f t="shared" si="1606"/>
        <v>10</v>
      </c>
      <c r="F1495" s="149" t="str">
        <f t="shared" si="1606"/>
        <v>water</v>
      </c>
      <c r="G1495" s="146" t="str">
        <f t="shared" si="1542"/>
        <v>Starch particles 1-10 mm (emission to water)</v>
      </c>
      <c r="H1495" s="146"/>
      <c r="I1495" s="221" t="s">
        <v>1102</v>
      </c>
      <c r="J1495" s="225" t="s">
        <v>1097</v>
      </c>
      <c r="K1495" s="114">
        <f>K65</f>
        <v>11.721758474576271</v>
      </c>
      <c r="L1495" s="226">
        <f t="shared" si="1603"/>
        <v>106.63928989077607</v>
      </c>
      <c r="M1495" s="220">
        <f t="shared" si="1605"/>
        <v>0.10663928989077608</v>
      </c>
      <c r="N1495" s="612"/>
    </row>
    <row r="1496" spans="1:14" s="102" customFormat="1">
      <c r="A1496" s="172" t="str">
        <f>A1495</f>
        <v>Starch</v>
      </c>
      <c r="B1496" s="149" t="str">
        <f>B1495</f>
        <v>particles</v>
      </c>
      <c r="C1496" s="149">
        <f t="shared" ref="C1496" si="1607">IF(OR(B1496="Folie", B1496="Strips", B1496="Film",B1496="Flakes",B1496="Coupon"), 2,IF(OR(B1496="Fibers",B1496="Pellets"),4,IF(OR(B1496="Particles",B1496="Shreds",B1496="Powder",B1496="Fragments",B1496="Granules"),6,"")))</f>
        <v>6</v>
      </c>
      <c r="D1496" s="149" t="str">
        <f t="shared" si="1606"/>
        <v>1-10</v>
      </c>
      <c r="E1496" s="149">
        <f t="shared" si="1606"/>
        <v>10</v>
      </c>
      <c r="F1496" s="149" t="str">
        <f t="shared" si="1606"/>
        <v>water</v>
      </c>
      <c r="G1496" s="146" t="str">
        <f t="shared" si="1542"/>
        <v>Starch particles 1-10 mm (emission to water)</v>
      </c>
      <c r="H1496" s="146"/>
      <c r="I1496" s="221" t="s">
        <v>1102</v>
      </c>
      <c r="J1496" s="225" t="s">
        <v>1096</v>
      </c>
      <c r="K1496" s="114">
        <f>K66</f>
        <v>11.721758474576271</v>
      </c>
      <c r="L1496" s="226">
        <f t="shared" ref="L1496" si="1608">IFERROR(IF(K1496="--",0,IF(E1496*1000/K1496*(1-0.5)^(C1496/2)&gt;1000,1000,E1496*1000/K1496*(1-0.5)^(C1496/2))),1000)</f>
        <v>106.63928989077607</v>
      </c>
      <c r="M1496" s="220">
        <f t="shared" si="1605"/>
        <v>0.10663928989077608</v>
      </c>
      <c r="N1496" s="612"/>
    </row>
    <row r="1497" spans="1:14" s="102" customFormat="1">
      <c r="A1497" s="173" t="str">
        <f>A1495</f>
        <v>Starch</v>
      </c>
      <c r="B1497" s="150" t="str">
        <f>B1495</f>
        <v>particles</v>
      </c>
      <c r="C1497" s="150">
        <f t="shared" si="1530"/>
        <v>6</v>
      </c>
      <c r="D1497" s="150" t="str">
        <f>D1495</f>
        <v>1-10</v>
      </c>
      <c r="E1497" s="150">
        <f>E1495</f>
        <v>10</v>
      </c>
      <c r="F1497" s="150" t="str">
        <f>F1495</f>
        <v>water</v>
      </c>
      <c r="G1497" s="147" t="str">
        <f t="shared" si="1542"/>
        <v>Starch particles 1-10 mm (emission to water)</v>
      </c>
      <c r="H1497" s="147">
        <f>H1495</f>
        <v>0</v>
      </c>
      <c r="I1497" s="129">
        <v>0</v>
      </c>
      <c r="J1497" s="225" t="s">
        <v>1034</v>
      </c>
      <c r="K1497" s="114" t="s">
        <v>596</v>
      </c>
      <c r="L1497" s="226">
        <f t="shared" si="1603"/>
        <v>0</v>
      </c>
      <c r="M1497" s="220">
        <f t="shared" si="1605"/>
        <v>0</v>
      </c>
      <c r="N1497" s="613"/>
    </row>
    <row r="1498" spans="1:14">
      <c r="A1498" s="174" t="s">
        <v>1058</v>
      </c>
      <c r="B1498" s="288" t="s">
        <v>1025</v>
      </c>
      <c r="C1498" s="290">
        <f t="shared" ref="C1498:C1500" si="1609">IF(OR(B1498="Folie", B1498="Strips", B1498="Film",B1498="Flakes",B1498="Coupon"), 2,IF(OR(B1498="Fibers",B1498="Pellets"),4,IF(OR(B1498="Particles",B1498="Shreds",B1498="Powder",B1498="Fragments",B1498="Granules"),6,"")))</f>
        <v>6</v>
      </c>
      <c r="D1498" s="290" t="s">
        <v>1026</v>
      </c>
      <c r="E1498" s="155">
        <v>10</v>
      </c>
      <c r="F1498" s="206" t="s">
        <v>1057</v>
      </c>
      <c r="G1498" s="144" t="str">
        <f t="shared" ref="G1498:G1500" si="1610">CONCATENATE(A1498," ",B1498," ",D1498," mm (emission to ",F1498,")")</f>
        <v>Starch particles 1-10 mm (emission to air)</v>
      </c>
      <c r="H1498" s="133"/>
      <c r="I1498" s="137">
        <v>0.97699999999999998</v>
      </c>
      <c r="J1498" s="101" t="s">
        <v>1019</v>
      </c>
      <c r="K1498" s="114">
        <f>K64</f>
        <v>1299.8205442525373</v>
      </c>
      <c r="L1498" s="226">
        <f t="shared" ref="L1498:L1500" si="1611">IFERROR(IF(K1498="--",0,IF(E1498*1000/K1498*(1-0.5)^(C1498/2)&gt;1000,1000,E1498*1000/K1498*(1-0.5)^(C1498/2))),1000)</f>
        <v>0.96167121340493456</v>
      </c>
      <c r="M1498" s="158">
        <f>IF(L1498/1000&gt;1000,1000,L1498/1000)</f>
        <v>9.6167121340493455E-4</v>
      </c>
      <c r="N1498" s="610">
        <f>I1498*M1498+I1499*M1499</f>
        <v>3.3922564429844709E-3</v>
      </c>
    </row>
    <row r="1499" spans="1:14">
      <c r="A1499" s="172" t="str">
        <f>A1498</f>
        <v>Starch</v>
      </c>
      <c r="B1499" s="149" t="str">
        <f>B1498</f>
        <v>particles</v>
      </c>
      <c r="C1499" s="149">
        <f t="shared" si="1609"/>
        <v>6</v>
      </c>
      <c r="D1499" s="149" t="str">
        <f t="shared" ref="D1499:F1499" si="1612">D1498</f>
        <v>1-10</v>
      </c>
      <c r="E1499" s="149">
        <f t="shared" si="1612"/>
        <v>10</v>
      </c>
      <c r="F1499" s="149" t="str">
        <f t="shared" si="1612"/>
        <v>air</v>
      </c>
      <c r="G1499" s="146" t="str">
        <f t="shared" si="1610"/>
        <v>Starch particles 1-10 mm (emission to air)</v>
      </c>
      <c r="H1499" s="146"/>
      <c r="I1499" s="129">
        <v>2.3E-2</v>
      </c>
      <c r="J1499" s="101" t="s">
        <v>1097</v>
      </c>
      <c r="K1499" s="114">
        <f>K65</f>
        <v>11.721758474576271</v>
      </c>
      <c r="L1499" s="226">
        <f t="shared" si="1611"/>
        <v>106.63928989077607</v>
      </c>
      <c r="M1499" s="158">
        <f>IF(L1499/1000&gt;1000,1000,L1499/1000)</f>
        <v>0.10663928989077608</v>
      </c>
      <c r="N1499" s="610"/>
    </row>
    <row r="1500" spans="1:14">
      <c r="A1500" s="173" t="str">
        <f>A1499</f>
        <v>Starch</v>
      </c>
      <c r="B1500" s="150" t="str">
        <f>B1499</f>
        <v>particles</v>
      </c>
      <c r="C1500" s="150">
        <f t="shared" si="1609"/>
        <v>6</v>
      </c>
      <c r="D1500" s="150" t="str">
        <f t="shared" ref="D1500:F1500" si="1613">D1499</f>
        <v>1-10</v>
      </c>
      <c r="E1500" s="150">
        <f t="shared" si="1613"/>
        <v>10</v>
      </c>
      <c r="F1500" s="150" t="str">
        <f t="shared" si="1613"/>
        <v>air</v>
      </c>
      <c r="G1500" s="147" t="str">
        <f t="shared" si="1610"/>
        <v>Starch particles 1-10 mm (emission to air)</v>
      </c>
      <c r="H1500" s="147"/>
      <c r="I1500" s="129">
        <v>0</v>
      </c>
      <c r="J1500" s="101" t="s">
        <v>1034</v>
      </c>
      <c r="K1500" s="151" t="s">
        <v>596</v>
      </c>
      <c r="L1500" s="226">
        <f t="shared" si="1611"/>
        <v>0</v>
      </c>
      <c r="M1500" s="158">
        <f t="shared" ref="M1500" si="1614">IF(L1500/1000&gt;1000,1000,L1500/1000)</f>
        <v>0</v>
      </c>
      <c r="N1500" s="610"/>
    </row>
  </sheetData>
  <autoFilter ref="A1:L1500"/>
  <mergeCells count="429">
    <mergeCell ref="N784:N787"/>
    <mergeCell ref="N794:N797"/>
    <mergeCell ref="N884:N887"/>
    <mergeCell ref="N894:N897"/>
    <mergeCell ref="N904:N907"/>
    <mergeCell ref="N914:N917"/>
    <mergeCell ref="N924:N927"/>
    <mergeCell ref="N934:N937"/>
    <mergeCell ref="N1354:N1357"/>
    <mergeCell ref="N1341:N1343"/>
    <mergeCell ref="N1351:N1353"/>
    <mergeCell ref="N1251:N1253"/>
    <mergeCell ref="N1261:N1263"/>
    <mergeCell ref="N1271:N1273"/>
    <mergeCell ref="N1281:N1283"/>
    <mergeCell ref="N1291:N1293"/>
    <mergeCell ref="N1301:N1303"/>
    <mergeCell ref="N1311:N1313"/>
    <mergeCell ref="N1321:N1323"/>
    <mergeCell ref="N1331:N1333"/>
    <mergeCell ref="N1201:N1203"/>
    <mergeCell ref="N1211:N1213"/>
    <mergeCell ref="N1221:N1223"/>
    <mergeCell ref="N1231:N1233"/>
    <mergeCell ref="N694:N697"/>
    <mergeCell ref="N704:N707"/>
    <mergeCell ref="N714:N717"/>
    <mergeCell ref="N724:N727"/>
    <mergeCell ref="N734:N737"/>
    <mergeCell ref="N744:N747"/>
    <mergeCell ref="N754:N757"/>
    <mergeCell ref="N764:N767"/>
    <mergeCell ref="N774:N777"/>
    <mergeCell ref="N701:N703"/>
    <mergeCell ref="N711:N713"/>
    <mergeCell ref="N721:N723"/>
    <mergeCell ref="N731:N733"/>
    <mergeCell ref="N741:N743"/>
    <mergeCell ref="N751:N753"/>
    <mergeCell ref="N761:N763"/>
    <mergeCell ref="N771:N773"/>
    <mergeCell ref="N698:N700"/>
    <mergeCell ref="N1241:N1243"/>
    <mergeCell ref="N1204:N1207"/>
    <mergeCell ref="N1208:N1210"/>
    <mergeCell ref="N1391:N1393"/>
    <mergeCell ref="N1401:N1403"/>
    <mergeCell ref="N1394:N1397"/>
    <mergeCell ref="N1374:N1377"/>
    <mergeCell ref="N1384:N1387"/>
    <mergeCell ref="N1361:N1363"/>
    <mergeCell ref="N1364:N1367"/>
    <mergeCell ref="N1371:N1373"/>
    <mergeCell ref="N1381:N1383"/>
    <mergeCell ref="N1278:N1280"/>
    <mergeCell ref="N1214:N1217"/>
    <mergeCell ref="N1218:N1220"/>
    <mergeCell ref="N1228:N1230"/>
    <mergeCell ref="N1224:N1227"/>
    <mergeCell ref="N1234:N1237"/>
    <mergeCell ref="N1238:N1240"/>
    <mergeCell ref="N1248:N1250"/>
    <mergeCell ref="N1244:N1247"/>
    <mergeCell ref="N1258:N1260"/>
    <mergeCell ref="N1254:N1257"/>
    <mergeCell ref="N1268:N1270"/>
    <mergeCell ref="N1078:N1080"/>
    <mergeCell ref="N1088:N1090"/>
    <mergeCell ref="N1098:N1100"/>
    <mergeCell ref="N1108:N1110"/>
    <mergeCell ref="N1118:N1120"/>
    <mergeCell ref="N1128:N1130"/>
    <mergeCell ref="N1148:N1150"/>
    <mergeCell ref="N1144:N1147"/>
    <mergeCell ref="N1161:N1163"/>
    <mergeCell ref="N1081:N1083"/>
    <mergeCell ref="N1091:N1093"/>
    <mergeCell ref="N1101:N1103"/>
    <mergeCell ref="N1111:N1113"/>
    <mergeCell ref="N1121:N1123"/>
    <mergeCell ref="N1131:N1133"/>
    <mergeCell ref="N1141:N1143"/>
    <mergeCell ref="N1151:N1153"/>
    <mergeCell ref="N1084:N1087"/>
    <mergeCell ref="N1094:N1097"/>
    <mergeCell ref="N1104:N1107"/>
    <mergeCell ref="N1114:N1117"/>
    <mergeCell ref="N1124:N1127"/>
    <mergeCell ref="N1134:N1137"/>
    <mergeCell ref="N1138:N1140"/>
    <mergeCell ref="N961:N963"/>
    <mergeCell ref="N971:N973"/>
    <mergeCell ref="N958:N960"/>
    <mergeCell ref="N964:N967"/>
    <mergeCell ref="N968:N970"/>
    <mergeCell ref="N981:N983"/>
    <mergeCell ref="N991:N993"/>
    <mergeCell ref="N1001:N1003"/>
    <mergeCell ref="N1011:N1013"/>
    <mergeCell ref="N978:N980"/>
    <mergeCell ref="N974:N977"/>
    <mergeCell ref="N984:N987"/>
    <mergeCell ref="N988:N990"/>
    <mergeCell ref="N998:N1000"/>
    <mergeCell ref="N994:N997"/>
    <mergeCell ref="N1004:N1007"/>
    <mergeCell ref="N871:N873"/>
    <mergeCell ref="N881:N883"/>
    <mergeCell ref="N804:N807"/>
    <mergeCell ref="N814:N817"/>
    <mergeCell ref="N824:N827"/>
    <mergeCell ref="N834:N837"/>
    <mergeCell ref="N844:N847"/>
    <mergeCell ref="N854:N857"/>
    <mergeCell ref="N864:N867"/>
    <mergeCell ref="N874:N877"/>
    <mergeCell ref="N878:N880"/>
    <mergeCell ref="N781:N783"/>
    <mergeCell ref="N708:N710"/>
    <mergeCell ref="N718:N720"/>
    <mergeCell ref="N728:N730"/>
    <mergeCell ref="N738:N740"/>
    <mergeCell ref="N748:N750"/>
    <mergeCell ref="N758:N760"/>
    <mergeCell ref="N768:N770"/>
    <mergeCell ref="N778:N780"/>
    <mergeCell ref="N621:N623"/>
    <mergeCell ref="N614:N617"/>
    <mergeCell ref="N631:N633"/>
    <mergeCell ref="N641:N643"/>
    <mergeCell ref="N651:N653"/>
    <mergeCell ref="N661:N663"/>
    <mergeCell ref="N671:N673"/>
    <mergeCell ref="N681:N683"/>
    <mergeCell ref="N691:N693"/>
    <mergeCell ref="N618:N620"/>
    <mergeCell ref="N628:N630"/>
    <mergeCell ref="N638:N640"/>
    <mergeCell ref="N648:N650"/>
    <mergeCell ref="N624:N627"/>
    <mergeCell ref="N634:N637"/>
    <mergeCell ref="N644:N647"/>
    <mergeCell ref="N654:N657"/>
    <mergeCell ref="N664:N667"/>
    <mergeCell ref="N674:N677"/>
    <mergeCell ref="N684:N687"/>
    <mergeCell ref="N678:N680"/>
    <mergeCell ref="N688:N690"/>
    <mergeCell ref="N414:N417"/>
    <mergeCell ref="N431:N433"/>
    <mergeCell ref="N441:N443"/>
    <mergeCell ref="N451:N453"/>
    <mergeCell ref="N461:N463"/>
    <mergeCell ref="N471:N473"/>
    <mergeCell ref="N481:N483"/>
    <mergeCell ref="N434:N437"/>
    <mergeCell ref="N444:N447"/>
    <mergeCell ref="N454:N457"/>
    <mergeCell ref="N464:N467"/>
    <mergeCell ref="N474:N477"/>
    <mergeCell ref="N424:N427"/>
    <mergeCell ref="N421:N423"/>
    <mergeCell ref="N418:N420"/>
    <mergeCell ref="N428:N430"/>
    <mergeCell ref="N438:N440"/>
    <mergeCell ref="N448:N450"/>
    <mergeCell ref="N458:N460"/>
    <mergeCell ref="N468:N470"/>
    <mergeCell ref="N478:N480"/>
    <mergeCell ref="N291:N293"/>
    <mergeCell ref="N301:N303"/>
    <mergeCell ref="N311:N313"/>
    <mergeCell ref="N321:N323"/>
    <mergeCell ref="N331:N333"/>
    <mergeCell ref="N254:N257"/>
    <mergeCell ref="N264:N267"/>
    <mergeCell ref="N274:N277"/>
    <mergeCell ref="N284:N287"/>
    <mergeCell ref="N294:N297"/>
    <mergeCell ref="N304:N307"/>
    <mergeCell ref="N314:N317"/>
    <mergeCell ref="N324:N327"/>
    <mergeCell ref="N278:N280"/>
    <mergeCell ref="N288:N290"/>
    <mergeCell ref="N298:N300"/>
    <mergeCell ref="N308:N310"/>
    <mergeCell ref="N318:N320"/>
    <mergeCell ref="N328:N330"/>
    <mergeCell ref="N268:N270"/>
    <mergeCell ref="N594:N597"/>
    <mergeCell ref="N604:N607"/>
    <mergeCell ref="N548:N550"/>
    <mergeCell ref="N538:N540"/>
    <mergeCell ref="N574:N577"/>
    <mergeCell ref="N588:N590"/>
    <mergeCell ref="N598:N600"/>
    <mergeCell ref="N608:N610"/>
    <mergeCell ref="N484:N487"/>
    <mergeCell ref="N494:N497"/>
    <mergeCell ref="N504:N507"/>
    <mergeCell ref="N524:N527"/>
    <mergeCell ref="N491:N493"/>
    <mergeCell ref="N501:N503"/>
    <mergeCell ref="N521:N523"/>
    <mergeCell ref="N511:N513"/>
    <mergeCell ref="N514:N517"/>
    <mergeCell ref="N508:N510"/>
    <mergeCell ref="N488:N490"/>
    <mergeCell ref="N498:N500"/>
    <mergeCell ref="N544:N547"/>
    <mergeCell ref="N554:N557"/>
    <mergeCell ref="N564:N567"/>
    <mergeCell ref="N584:N587"/>
    <mergeCell ref="N371:N373"/>
    <mergeCell ref="N381:N383"/>
    <mergeCell ref="N391:N393"/>
    <mergeCell ref="N401:N403"/>
    <mergeCell ref="N411:N413"/>
    <mergeCell ref="N344:N347"/>
    <mergeCell ref="N354:N357"/>
    <mergeCell ref="N364:N367"/>
    <mergeCell ref="N374:N377"/>
    <mergeCell ref="N384:N387"/>
    <mergeCell ref="N394:N397"/>
    <mergeCell ref="N404:N407"/>
    <mergeCell ref="N348:N350"/>
    <mergeCell ref="N358:N360"/>
    <mergeCell ref="N368:N370"/>
    <mergeCell ref="N378:N380"/>
    <mergeCell ref="N388:N390"/>
    <mergeCell ref="N398:N400"/>
    <mergeCell ref="N408:N410"/>
    <mergeCell ref="N171:N173"/>
    <mergeCell ref="N181:N183"/>
    <mergeCell ref="N191:N193"/>
    <mergeCell ref="N201:N203"/>
    <mergeCell ref="N211:N213"/>
    <mergeCell ref="N334:N337"/>
    <mergeCell ref="N341:N343"/>
    <mergeCell ref="N351:N353"/>
    <mergeCell ref="N361:N363"/>
    <mergeCell ref="N338:N340"/>
    <mergeCell ref="N221:N223"/>
    <mergeCell ref="N231:N233"/>
    <mergeCell ref="N241:N243"/>
    <mergeCell ref="N174:N177"/>
    <mergeCell ref="N184:N187"/>
    <mergeCell ref="N194:N197"/>
    <mergeCell ref="N204:N207"/>
    <mergeCell ref="N214:N217"/>
    <mergeCell ref="N224:N227"/>
    <mergeCell ref="N234:N237"/>
    <mergeCell ref="N251:N253"/>
    <mergeCell ref="N261:N263"/>
    <mergeCell ref="N271:N273"/>
    <mergeCell ref="N281:N283"/>
    <mergeCell ref="N134:N137"/>
    <mergeCell ref="N144:N147"/>
    <mergeCell ref="N83:N87"/>
    <mergeCell ref="N98:N100"/>
    <mergeCell ref="N108:N110"/>
    <mergeCell ref="N118:N120"/>
    <mergeCell ref="N128:N130"/>
    <mergeCell ref="N138:N140"/>
    <mergeCell ref="N148:N150"/>
    <mergeCell ref="I1:J1"/>
    <mergeCell ref="N78:N82"/>
    <mergeCell ref="N178:N180"/>
    <mergeCell ref="N188:N190"/>
    <mergeCell ref="N198:N200"/>
    <mergeCell ref="N208:N210"/>
    <mergeCell ref="N218:N220"/>
    <mergeCell ref="N228:N230"/>
    <mergeCell ref="N238:N240"/>
    <mergeCell ref="M1:N1"/>
    <mergeCell ref="N68:N72"/>
    <mergeCell ref="N73:N77"/>
    <mergeCell ref="N154:N157"/>
    <mergeCell ref="N88:N90"/>
    <mergeCell ref="N101:N103"/>
    <mergeCell ref="N111:N113"/>
    <mergeCell ref="N121:N123"/>
    <mergeCell ref="N131:N133"/>
    <mergeCell ref="N141:N143"/>
    <mergeCell ref="N151:N153"/>
    <mergeCell ref="N91:N94"/>
    <mergeCell ref="N104:N107"/>
    <mergeCell ref="N114:N117"/>
    <mergeCell ref="N124:N127"/>
    <mergeCell ref="N248:N250"/>
    <mergeCell ref="N258:N260"/>
    <mergeCell ref="N244:N247"/>
    <mergeCell ref="N158:N160"/>
    <mergeCell ref="N168:N170"/>
    <mergeCell ref="N161:N163"/>
    <mergeCell ref="N164:N167"/>
    <mergeCell ref="N658:N660"/>
    <mergeCell ref="N668:N670"/>
    <mergeCell ref="N528:N530"/>
    <mergeCell ref="N518:N520"/>
    <mergeCell ref="N558:N560"/>
    <mergeCell ref="N568:N570"/>
    <mergeCell ref="N578:N580"/>
    <mergeCell ref="N531:N533"/>
    <mergeCell ref="N541:N543"/>
    <mergeCell ref="N551:N553"/>
    <mergeCell ref="N561:N563"/>
    <mergeCell ref="N571:N573"/>
    <mergeCell ref="N581:N583"/>
    <mergeCell ref="N591:N593"/>
    <mergeCell ref="N601:N603"/>
    <mergeCell ref="N611:N613"/>
    <mergeCell ref="N534:N537"/>
    <mergeCell ref="N788:N790"/>
    <mergeCell ref="N798:N800"/>
    <mergeCell ref="N808:N810"/>
    <mergeCell ref="N818:N820"/>
    <mergeCell ref="N828:N830"/>
    <mergeCell ref="N838:N840"/>
    <mergeCell ref="N848:N850"/>
    <mergeCell ref="N858:N860"/>
    <mergeCell ref="N868:N870"/>
    <mergeCell ref="N791:N793"/>
    <mergeCell ref="N801:N803"/>
    <mergeCell ref="N811:N813"/>
    <mergeCell ref="N821:N823"/>
    <mergeCell ref="N831:N833"/>
    <mergeCell ref="N841:N843"/>
    <mergeCell ref="N851:N853"/>
    <mergeCell ref="N861:N863"/>
    <mergeCell ref="N888:N890"/>
    <mergeCell ref="N898:N900"/>
    <mergeCell ref="N908:N910"/>
    <mergeCell ref="N918:N920"/>
    <mergeCell ref="N928:N930"/>
    <mergeCell ref="N938:N940"/>
    <mergeCell ref="N944:N947"/>
    <mergeCell ref="N954:N957"/>
    <mergeCell ref="N948:N950"/>
    <mergeCell ref="N891:N893"/>
    <mergeCell ref="N901:N903"/>
    <mergeCell ref="N911:N913"/>
    <mergeCell ref="N921:N923"/>
    <mergeCell ref="N931:N933"/>
    <mergeCell ref="N941:N943"/>
    <mergeCell ref="N951:N953"/>
    <mergeCell ref="N1014:N1017"/>
    <mergeCell ref="N1024:N1027"/>
    <mergeCell ref="N1021:N1023"/>
    <mergeCell ref="N1064:N1067"/>
    <mergeCell ref="N1008:N1010"/>
    <mergeCell ref="N1018:N1020"/>
    <mergeCell ref="N1028:N1030"/>
    <mergeCell ref="N1038:N1040"/>
    <mergeCell ref="N1048:N1050"/>
    <mergeCell ref="N1058:N1060"/>
    <mergeCell ref="N1068:N1070"/>
    <mergeCell ref="N1074:N1077"/>
    <mergeCell ref="N1031:N1033"/>
    <mergeCell ref="N1041:N1043"/>
    <mergeCell ref="N1051:N1053"/>
    <mergeCell ref="N1061:N1063"/>
    <mergeCell ref="N1034:N1037"/>
    <mergeCell ref="N1044:N1047"/>
    <mergeCell ref="N1054:N1057"/>
    <mergeCell ref="N1071:N1073"/>
    <mergeCell ref="N1154:N1157"/>
    <mergeCell ref="N1158:N1160"/>
    <mergeCell ref="N1164:N1167"/>
    <mergeCell ref="N1168:N1170"/>
    <mergeCell ref="N1174:N1177"/>
    <mergeCell ref="N1178:N1180"/>
    <mergeCell ref="N1188:N1190"/>
    <mergeCell ref="N1184:N1187"/>
    <mergeCell ref="N1198:N1200"/>
    <mergeCell ref="N1194:N1197"/>
    <mergeCell ref="N1171:N1173"/>
    <mergeCell ref="N1181:N1183"/>
    <mergeCell ref="N1191:N1193"/>
    <mergeCell ref="N1264:N1267"/>
    <mergeCell ref="N1274:N1277"/>
    <mergeCell ref="N1348:N1350"/>
    <mergeCell ref="N1288:N1290"/>
    <mergeCell ref="N1284:N1287"/>
    <mergeCell ref="N1298:N1300"/>
    <mergeCell ref="N1294:N1297"/>
    <mergeCell ref="N1308:N1310"/>
    <mergeCell ref="N1304:N1307"/>
    <mergeCell ref="N1318:N1320"/>
    <mergeCell ref="N1314:N1317"/>
    <mergeCell ref="N1328:N1330"/>
    <mergeCell ref="N1324:N1327"/>
    <mergeCell ref="N1338:N1340"/>
    <mergeCell ref="N1334:N1337"/>
    <mergeCell ref="N1344:N1347"/>
    <mergeCell ref="N1434:N1437"/>
    <mergeCell ref="N1358:N1360"/>
    <mergeCell ref="N1368:N1370"/>
    <mergeCell ref="N1378:N1380"/>
    <mergeCell ref="N1388:N1390"/>
    <mergeCell ref="N1398:N1400"/>
    <mergeCell ref="N1408:N1410"/>
    <mergeCell ref="N1418:N1420"/>
    <mergeCell ref="N1428:N1430"/>
    <mergeCell ref="N1411:N1413"/>
    <mergeCell ref="N1421:N1423"/>
    <mergeCell ref="N1431:N1433"/>
    <mergeCell ref="N1404:N1407"/>
    <mergeCell ref="N1414:N1417"/>
    <mergeCell ref="N1424:N1427"/>
    <mergeCell ref="N1438:N1440"/>
    <mergeCell ref="N1448:N1450"/>
    <mergeCell ref="N1458:N1460"/>
    <mergeCell ref="N1468:N1470"/>
    <mergeCell ref="N1478:N1480"/>
    <mergeCell ref="N1488:N1490"/>
    <mergeCell ref="N1498:N1500"/>
    <mergeCell ref="N1444:N1447"/>
    <mergeCell ref="N1454:N1457"/>
    <mergeCell ref="N1464:N1467"/>
    <mergeCell ref="N1474:N1477"/>
    <mergeCell ref="N1484:N1487"/>
    <mergeCell ref="N1494:N1497"/>
    <mergeCell ref="N1441:N1443"/>
    <mergeCell ref="N1451:N1453"/>
    <mergeCell ref="N1461:N1463"/>
    <mergeCell ref="N1471:N1473"/>
    <mergeCell ref="N1481:N1483"/>
    <mergeCell ref="N1491:N1493"/>
  </mergeCells>
  <pageMargins left="0.7" right="0.7" top="0.78740157499999996" bottom="0.78740157499999996" header="0.3" footer="0.3"/>
  <pageSetup paperSize="9" scale="53" fitToHeight="0"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4144"/>
  <sheetViews>
    <sheetView workbookViewId="0">
      <selection activeCell="A3945" sqref="A3945"/>
    </sheetView>
  </sheetViews>
  <sheetFormatPr baseColWidth="10" defaultColWidth="11.42578125" defaultRowHeight="15"/>
  <cols>
    <col min="1" max="5" width="11.42578125" style="372" customWidth="1"/>
    <col min="6" max="6" width="16.7109375" style="373" customWidth="1"/>
    <col min="7" max="7" width="55" style="372" customWidth="1"/>
    <col min="8" max="8" width="11.42578125" style="374"/>
    <col min="9" max="9" width="17.42578125" style="372" customWidth="1"/>
    <col min="10" max="10" width="13.7109375" style="372" customWidth="1"/>
    <col min="11" max="16384" width="11.42578125" style="372"/>
  </cols>
  <sheetData>
    <row r="1" spans="1:17" ht="18.75">
      <c r="G1" s="362" t="s">
        <v>1170</v>
      </c>
    </row>
    <row r="2" spans="1:17" ht="18.75">
      <c r="G2" s="362"/>
    </row>
    <row r="3" spans="1:17" s="375" customFormat="1" ht="30.75" customHeight="1" thickBot="1">
      <c r="A3" s="544" t="s">
        <v>1167</v>
      </c>
      <c r="B3" s="544" t="s">
        <v>1167</v>
      </c>
      <c r="C3" s="544" t="s">
        <v>1167</v>
      </c>
      <c r="D3" s="544" t="s">
        <v>1167</v>
      </c>
      <c r="E3" s="544" t="s">
        <v>1167</v>
      </c>
      <c r="F3" s="544" t="s">
        <v>1167</v>
      </c>
      <c r="G3" s="655" t="s">
        <v>1171</v>
      </c>
      <c r="H3" s="655"/>
      <c r="I3" s="655"/>
      <c r="J3" s="655"/>
      <c r="K3" s="655"/>
      <c r="L3" s="655"/>
      <c r="M3" s="655"/>
      <c r="N3" s="655"/>
    </row>
    <row r="4" spans="1:17" ht="90" thickBot="1">
      <c r="A4" s="376" t="s">
        <v>1033</v>
      </c>
      <c r="B4" s="377" t="s">
        <v>1144</v>
      </c>
      <c r="C4" s="377" t="s">
        <v>1145</v>
      </c>
      <c r="D4" s="378" t="s">
        <v>1017</v>
      </c>
      <c r="E4" s="377" t="s">
        <v>1148</v>
      </c>
      <c r="F4" s="377" t="s">
        <v>1021</v>
      </c>
      <c r="G4" s="378" t="s">
        <v>1434</v>
      </c>
      <c r="H4" s="648" t="s">
        <v>1027</v>
      </c>
      <c r="I4" s="649"/>
      <c r="J4" s="379" t="s">
        <v>1225</v>
      </c>
      <c r="K4" s="377" t="s">
        <v>947</v>
      </c>
      <c r="L4" s="377" t="s">
        <v>1226</v>
      </c>
      <c r="M4" s="377" t="s">
        <v>1175</v>
      </c>
      <c r="N4" s="377" t="s">
        <v>1436</v>
      </c>
      <c r="O4" s="380" t="s">
        <v>1237</v>
      </c>
      <c r="P4" s="377" t="s">
        <v>1363</v>
      </c>
      <c r="Q4" s="377" t="s">
        <v>1364</v>
      </c>
    </row>
    <row r="5" spans="1:17" ht="15.75" hidden="1" thickBot="1">
      <c r="A5" s="381" t="s">
        <v>77</v>
      </c>
      <c r="B5" s="382" t="s">
        <v>996</v>
      </c>
      <c r="C5" s="383">
        <f>IF(OR(B5="Folie", B5="Strips", B5="Film",B5="Flakes",B5="Coupon"), 2,IF(OR(B5="Fibers",B5="Pellets"),4,IF(OR(B5="Particles",B5="Shreds",B5="Powder",B5="Fragments",B5="Granules"),6,"")))</f>
        <v>2</v>
      </c>
      <c r="D5" s="575" t="s">
        <v>1018</v>
      </c>
      <c r="E5" s="382">
        <v>0.1</v>
      </c>
      <c r="F5" s="576" t="s">
        <v>1019</v>
      </c>
      <c r="G5" s="577" t="str">
        <f>CONCATENATE("DE: ",A5," ",B5," ",D5," mm (emission to ",F5,")")</f>
        <v>DE: PE film 0,01-0,1 mm (emission to soil)</v>
      </c>
      <c r="H5" s="387">
        <v>0.97</v>
      </c>
      <c r="I5" s="578" t="s">
        <v>1019</v>
      </c>
      <c r="J5" s="637">
        <v>0.22800000000000001</v>
      </c>
      <c r="K5" s="389">
        <v>0.63</v>
      </c>
      <c r="L5" s="536"/>
      <c r="M5" s="509">
        <f>IFERROR(IF(K5="--",0,IF(E5*1000/K5*(1-0.5)^(C5/2)&gt;1000,1000,E5*1000/K5*(1-0.5)^(C5/2))),1000)</f>
        <v>79.365079365079367</v>
      </c>
      <c r="N5" s="650">
        <f>IFERROR(H5*M5+H6*M6+H7*M7+H8*M8+H9*M9,"N.A.")</f>
        <v>106.98412698412699</v>
      </c>
      <c r="O5" s="639"/>
      <c r="P5" s="630">
        <f>IFERROR(IF(H5*M5+H6*M6+H7*M7+H8*M8+H9*M9&gt;100,100,H5*M5+H6*M6+H7*M7+H8*M8+H9*M9),"N.A.")</f>
        <v>100</v>
      </c>
      <c r="Q5" s="630">
        <f>IFERROR(IF(H5*M5+H6*M6+H7*M7+H8*M8+H9*M9&gt;500,500,H5*M5+H6*M6+H7*M7+H8*M8+H9*M9),"N.A.")</f>
        <v>106.98412698412699</v>
      </c>
    </row>
    <row r="6" spans="1:17" ht="15.75" hidden="1" thickBot="1">
      <c r="A6" s="390" t="str">
        <f>A5</f>
        <v>PE</v>
      </c>
      <c r="B6" s="391" t="str">
        <f>B5</f>
        <v>film</v>
      </c>
      <c r="C6" s="391">
        <f t="shared" ref="C6:C24" si="0">IF(OR(B6="Folie", B6="Strips", B6="Film",B6="Flakes",B6="Coupon"), 2,IF(OR(B6="Fibers",B6="Pellets"),4,IF(OR(B6="Particles",B6="Shreds",B6="Powder",B6="Fragments",B6="Granules"),6,"")))</f>
        <v>2</v>
      </c>
      <c r="D6" s="382" t="str">
        <f t="shared" ref="D6:G8" si="1">D5</f>
        <v>0,01-0,1</v>
      </c>
      <c r="E6" s="382">
        <f t="shared" si="1"/>
        <v>0.1</v>
      </c>
      <c r="F6" s="382" t="str">
        <f t="shared" si="1"/>
        <v>soil</v>
      </c>
      <c r="G6" s="579" t="str">
        <f t="shared" si="1"/>
        <v>DE: PE film 0,01-0,1 mm (emission to soil)</v>
      </c>
      <c r="H6" s="393">
        <v>0.03</v>
      </c>
      <c r="I6" s="397" t="s">
        <v>1097</v>
      </c>
      <c r="J6" s="637"/>
      <c r="K6" s="395">
        <v>0</v>
      </c>
      <c r="L6" s="537"/>
      <c r="M6" s="509">
        <f>IFERROR(IF(K6="--",0,IF(E6*1000/K6*(1-0.5)^(C6/2)&gt;1000,1000,E6*1000/K6*(1-0.5)^(C6/2))),1000)</f>
        <v>1000</v>
      </c>
      <c r="N6" s="651"/>
      <c r="O6" s="640"/>
      <c r="P6" s="631"/>
      <c r="Q6" s="631"/>
    </row>
    <row r="7" spans="1:17" ht="15.75" hidden="1" thickBot="1">
      <c r="A7" s="390" t="str">
        <f t="shared" ref="A7:B8" si="2">A6</f>
        <v>PE</v>
      </c>
      <c r="B7" s="391" t="str">
        <f t="shared" si="2"/>
        <v>film</v>
      </c>
      <c r="C7" s="391">
        <f t="shared" si="0"/>
        <v>2</v>
      </c>
      <c r="D7" s="382" t="str">
        <f t="shared" si="1"/>
        <v>0,01-0,1</v>
      </c>
      <c r="E7" s="382">
        <f t="shared" si="1"/>
        <v>0.1</v>
      </c>
      <c r="F7" s="382" t="str">
        <f t="shared" si="1"/>
        <v>soil</v>
      </c>
      <c r="G7" s="579" t="str">
        <f t="shared" ref="G7" si="3">G6</f>
        <v>DE: PE film 0,01-0,1 mm (emission to soil)</v>
      </c>
      <c r="H7" s="393">
        <v>0</v>
      </c>
      <c r="I7" s="397" t="s">
        <v>1162</v>
      </c>
      <c r="J7" s="637"/>
      <c r="K7" s="395">
        <v>0</v>
      </c>
      <c r="L7" s="537"/>
      <c r="M7" s="509">
        <f>IFERROR(IF(K7="--",0,IF(E7*1000/K7*(1-0.5)^(C7/2)&gt;1000,1000,E7*1000/K7*(1-0.5)^(C7/2))),1000)</f>
        <v>1000</v>
      </c>
      <c r="N7" s="651"/>
      <c r="O7" s="640"/>
      <c r="P7" s="631"/>
      <c r="Q7" s="631"/>
    </row>
    <row r="8" spans="1:17" ht="15.75" hidden="1" thickBot="1">
      <c r="A8" s="390" t="str">
        <f t="shared" si="2"/>
        <v>PE</v>
      </c>
      <c r="B8" s="391" t="str">
        <f t="shared" si="2"/>
        <v>film</v>
      </c>
      <c r="C8" s="391">
        <f t="shared" si="0"/>
        <v>2</v>
      </c>
      <c r="D8" s="382" t="str">
        <f t="shared" si="1"/>
        <v>0,01-0,1</v>
      </c>
      <c r="E8" s="382">
        <f t="shared" si="1"/>
        <v>0.1</v>
      </c>
      <c r="F8" s="382" t="str">
        <f t="shared" si="1"/>
        <v>soil</v>
      </c>
      <c r="G8" s="579" t="str">
        <f t="shared" ref="G8" si="4">G7</f>
        <v>DE: PE film 0,01-0,1 mm (emission to soil)</v>
      </c>
      <c r="H8" s="393">
        <v>0</v>
      </c>
      <c r="I8" s="397" t="s">
        <v>1163</v>
      </c>
      <c r="J8" s="637"/>
      <c r="K8" s="395">
        <v>0</v>
      </c>
      <c r="L8" s="537"/>
      <c r="M8" s="509">
        <f>IFERROR(IF(K8="--",0,IF(E8*1000/K8*(1-0.5)^(C8/2)&gt;1000,1000,E8*1000/K8*(1-0.5)^(C8/2))),1000)</f>
        <v>1000</v>
      </c>
      <c r="N8" s="651"/>
      <c r="O8" s="640"/>
      <c r="P8" s="631"/>
      <c r="Q8" s="631"/>
    </row>
    <row r="9" spans="1:17" ht="15.75" hidden="1" thickBot="1">
      <c r="A9" s="390" t="str">
        <f>A6</f>
        <v>PE</v>
      </c>
      <c r="B9" s="391" t="str">
        <f>B6</f>
        <v>film</v>
      </c>
      <c r="C9" s="391">
        <f t="shared" si="0"/>
        <v>2</v>
      </c>
      <c r="D9" s="382" t="str">
        <f>D6</f>
        <v>0,01-0,1</v>
      </c>
      <c r="E9" s="382">
        <f>E6</f>
        <v>0.1</v>
      </c>
      <c r="F9" s="382" t="str">
        <f>F6</f>
        <v>soil</v>
      </c>
      <c r="G9" s="580" t="str">
        <f t="shared" ref="G9" si="5">G8</f>
        <v>DE: PE film 0,01-0,1 mm (emission to soil)</v>
      </c>
      <c r="H9" s="393">
        <v>0</v>
      </c>
      <c r="I9" s="397" t="s">
        <v>1034</v>
      </c>
      <c r="J9" s="638"/>
      <c r="K9" s="398" t="s">
        <v>596</v>
      </c>
      <c r="L9" s="538"/>
      <c r="M9" s="509">
        <f t="shared" ref="M9:M69" si="6">IFERROR(IF(K9="--",0,IF(E9*1000/K9*(1-0.5)^(C9/2)&gt;1000,1000,E9*1000/K9*(1-0.5)^(C9/2))),1000)</f>
        <v>0</v>
      </c>
      <c r="N9" s="651"/>
      <c r="O9" s="640"/>
      <c r="P9" s="631"/>
      <c r="Q9" s="631"/>
    </row>
    <row r="10" spans="1:17" ht="15.75" hidden="1" thickBot="1">
      <c r="A10" s="390" t="str">
        <f t="shared" ref="A10:B11" si="7">A7</f>
        <v>PE</v>
      </c>
      <c r="B10" s="391" t="str">
        <f t="shared" si="7"/>
        <v>film</v>
      </c>
      <c r="C10" s="399">
        <f t="shared" si="0"/>
        <v>2</v>
      </c>
      <c r="D10" s="575" t="str">
        <f t="shared" ref="D10:E11" si="8">D7</f>
        <v>0,01-0,1</v>
      </c>
      <c r="E10" s="382">
        <f t="shared" si="8"/>
        <v>0.1</v>
      </c>
      <c r="F10" s="471" t="s">
        <v>1147</v>
      </c>
      <c r="G10" s="577" t="str">
        <f>CONCATENATE("DE: ",A10," ",B10," ",D10," mm (emission to ",F10,")")</f>
        <v>DE: PE film 0,01-0,1 mm (emission to fresh water)</v>
      </c>
      <c r="H10" s="387">
        <v>0</v>
      </c>
      <c r="I10" s="578" t="s">
        <v>1019</v>
      </c>
      <c r="J10" s="641">
        <v>0.22800000000000001</v>
      </c>
      <c r="K10" s="389">
        <v>0.63</v>
      </c>
      <c r="L10" s="536"/>
      <c r="M10" s="509">
        <f t="shared" si="6"/>
        <v>79.365079365079367</v>
      </c>
      <c r="N10" s="652">
        <f>IFERROR(H10*M10+H11*M11+H12*M12+H13*M13+H14*M14,"N.A.")</f>
        <v>1000</v>
      </c>
      <c r="O10" s="642"/>
      <c r="P10" s="630">
        <f t="shared" ref="P10" si="9">IFERROR(IF(H10*M10+H11*M11+H12*M12+H13*M13+H14*M14&gt;100,100,H10*M10+H11*M11+H12*M12+H13*M13+H14*M14),"N.A.")</f>
        <v>100</v>
      </c>
      <c r="Q10" s="630">
        <f t="shared" ref="Q10" si="10">IFERROR(IF(H10*M10+H11*M11+H12*M12+H13*M13+H14*M14&gt;500,500,H10*M10+H11*M11+H12*M12+H13*M13+H14*M14),"N.A.")</f>
        <v>500</v>
      </c>
    </row>
    <row r="11" spans="1:17" ht="15.75" hidden="1" thickBot="1">
      <c r="A11" s="390" t="str">
        <f t="shared" si="7"/>
        <v>PE</v>
      </c>
      <c r="B11" s="391" t="str">
        <f t="shared" si="7"/>
        <v>film</v>
      </c>
      <c r="C11" s="391">
        <f t="shared" si="0"/>
        <v>2</v>
      </c>
      <c r="D11" s="382" t="str">
        <f t="shared" si="8"/>
        <v>0,01-0,1</v>
      </c>
      <c r="E11" s="382">
        <f t="shared" si="8"/>
        <v>0.1</v>
      </c>
      <c r="F11" s="382" t="str">
        <f t="shared" ref="F11:G24" si="11">F10</f>
        <v>fresh water</v>
      </c>
      <c r="G11" s="577" t="str">
        <f t="shared" si="11"/>
        <v>DE: PE film 0,01-0,1 mm (emission to fresh water)</v>
      </c>
      <c r="H11" s="393">
        <v>1</v>
      </c>
      <c r="I11" s="397" t="s">
        <v>1097</v>
      </c>
      <c r="J11" s="637"/>
      <c r="K11" s="395">
        <v>0</v>
      </c>
      <c r="L11" s="537"/>
      <c r="M11" s="509">
        <f t="shared" si="6"/>
        <v>1000</v>
      </c>
      <c r="N11" s="653"/>
      <c r="O11" s="643"/>
      <c r="P11" s="631"/>
      <c r="Q11" s="631"/>
    </row>
    <row r="12" spans="1:17" ht="15.75" hidden="1" thickBot="1">
      <c r="A12" s="390" t="str">
        <f t="shared" ref="A12:B12" si="12">A9</f>
        <v>PE</v>
      </c>
      <c r="B12" s="391" t="str">
        <f t="shared" si="12"/>
        <v>film</v>
      </c>
      <c r="C12" s="391">
        <f t="shared" ref="C12:C23" si="13">IF(OR(B12="Folie", B12="Strips", B12="Film",B12="Flakes",B12="Coupon"), 2,IF(OR(B12="Fibers",B12="Pellets"),4,IF(OR(B12="Particles",B12="Shreds",B12="Powder",B12="Fragments",B12="Granules"),6,"")))</f>
        <v>2</v>
      </c>
      <c r="D12" s="382" t="str">
        <f t="shared" ref="D12:E12" si="14">D9</f>
        <v>0,01-0,1</v>
      </c>
      <c r="E12" s="382">
        <f t="shared" si="14"/>
        <v>0.1</v>
      </c>
      <c r="F12" s="382" t="str">
        <f t="shared" si="11"/>
        <v>fresh water</v>
      </c>
      <c r="G12" s="577" t="str">
        <f>G11</f>
        <v>DE: PE film 0,01-0,1 mm (emission to fresh water)</v>
      </c>
      <c r="H12" s="393">
        <v>0</v>
      </c>
      <c r="I12" s="397" t="s">
        <v>1162</v>
      </c>
      <c r="J12" s="637"/>
      <c r="K12" s="395">
        <v>0</v>
      </c>
      <c r="L12" s="537"/>
      <c r="M12" s="509">
        <f t="shared" si="6"/>
        <v>1000</v>
      </c>
      <c r="N12" s="653"/>
      <c r="O12" s="643"/>
      <c r="P12" s="631"/>
      <c r="Q12" s="631"/>
    </row>
    <row r="13" spans="1:17" ht="15.75" hidden="1" thickBot="1">
      <c r="A13" s="390" t="str">
        <f t="shared" ref="A13:B13" si="15">A10</f>
        <v>PE</v>
      </c>
      <c r="B13" s="391" t="str">
        <f t="shared" si="15"/>
        <v>film</v>
      </c>
      <c r="C13" s="391">
        <f t="shared" si="13"/>
        <v>2</v>
      </c>
      <c r="D13" s="382" t="str">
        <f t="shared" ref="D13:E13" si="16">D10</f>
        <v>0,01-0,1</v>
      </c>
      <c r="E13" s="382">
        <f t="shared" si="16"/>
        <v>0.1</v>
      </c>
      <c r="F13" s="382" t="str">
        <f t="shared" si="11"/>
        <v>fresh water</v>
      </c>
      <c r="G13" s="577" t="str">
        <f t="shared" si="11"/>
        <v>DE: PE film 0,01-0,1 mm (emission to fresh water)</v>
      </c>
      <c r="H13" s="393">
        <v>0</v>
      </c>
      <c r="I13" s="397" t="s">
        <v>1163</v>
      </c>
      <c r="J13" s="637"/>
      <c r="K13" s="395">
        <v>0</v>
      </c>
      <c r="L13" s="537"/>
      <c r="M13" s="509">
        <f t="shared" si="6"/>
        <v>1000</v>
      </c>
      <c r="N13" s="653"/>
      <c r="O13" s="643"/>
      <c r="P13" s="631"/>
      <c r="Q13" s="631"/>
    </row>
    <row r="14" spans="1:17" ht="15.75" hidden="1" thickBot="1">
      <c r="A14" s="390" t="str">
        <f t="shared" ref="A14:B14" si="17">A11</f>
        <v>PE</v>
      </c>
      <c r="B14" s="391" t="str">
        <f t="shared" si="17"/>
        <v>film</v>
      </c>
      <c r="C14" s="391">
        <f t="shared" si="13"/>
        <v>2</v>
      </c>
      <c r="D14" s="382" t="str">
        <f t="shared" ref="D14:E14" si="18">D11</f>
        <v>0,01-0,1</v>
      </c>
      <c r="E14" s="382">
        <f t="shared" si="18"/>
        <v>0.1</v>
      </c>
      <c r="F14" s="581" t="str">
        <f>F11</f>
        <v>fresh water</v>
      </c>
      <c r="G14" s="577" t="str">
        <f t="shared" si="11"/>
        <v>DE: PE film 0,01-0,1 mm (emission to fresh water)</v>
      </c>
      <c r="H14" s="393">
        <v>0</v>
      </c>
      <c r="I14" s="397" t="s">
        <v>1034</v>
      </c>
      <c r="J14" s="638"/>
      <c r="K14" s="398" t="s">
        <v>596</v>
      </c>
      <c r="L14" s="538"/>
      <c r="M14" s="509">
        <f t="shared" si="6"/>
        <v>0</v>
      </c>
      <c r="N14" s="650"/>
      <c r="O14" s="639"/>
      <c r="P14" s="631"/>
      <c r="Q14" s="631"/>
    </row>
    <row r="15" spans="1:17" ht="15.75" hidden="1" thickBot="1">
      <c r="A15" s="390" t="str">
        <f t="shared" ref="A15:B15" si="19">A12</f>
        <v>PE</v>
      </c>
      <c r="B15" s="391" t="str">
        <f t="shared" si="19"/>
        <v>film</v>
      </c>
      <c r="C15" s="391">
        <f t="shared" si="13"/>
        <v>2</v>
      </c>
      <c r="D15" s="382" t="str">
        <f t="shared" ref="D15:E15" si="20">D12</f>
        <v>0,01-0,1</v>
      </c>
      <c r="E15" s="382">
        <f t="shared" si="20"/>
        <v>0.1</v>
      </c>
      <c r="F15" s="582" t="s">
        <v>1097</v>
      </c>
      <c r="G15" s="583" t="str">
        <f>CONCATENATE("DE: ",A15," ",B15," ",D15," mm (emission to ",F15,")")</f>
        <v>DE: PE film 0,01-0,1 mm (emission to marine water)</v>
      </c>
      <c r="H15" s="387">
        <v>0</v>
      </c>
      <c r="I15" s="584" t="s">
        <v>1019</v>
      </c>
      <c r="J15" s="641">
        <v>0.22800000000000001</v>
      </c>
      <c r="K15" s="389">
        <v>0.63</v>
      </c>
      <c r="L15" s="536"/>
      <c r="M15" s="509">
        <f t="shared" si="6"/>
        <v>79.365079365079367</v>
      </c>
      <c r="N15" s="652">
        <f t="shared" ref="N15" si="21">IFERROR(H15*M15+H16*M16+H17*M17+H18*M18+H19*M19,"N.A.")</f>
        <v>1000</v>
      </c>
      <c r="O15" s="642"/>
      <c r="P15" s="630">
        <f t="shared" ref="P15" si="22">IFERROR(IF(H15*M15+H16*M16+H17*M17+H18*M18+H19*M19&gt;100,100,H15*M15+H16*M16+H17*M17+H18*M18+H19*M19),"N.A.")</f>
        <v>100</v>
      </c>
      <c r="Q15" s="630">
        <f t="shared" ref="Q15" si="23">IFERROR(IF(H15*M15+H16*M16+H17*M17+H18*M18+H19*M19&gt;500,500,H15*M15+H16*M16+H17*M17+H18*M18+H19*M19),"N.A.")</f>
        <v>500</v>
      </c>
    </row>
    <row r="16" spans="1:17" ht="15.75" hidden="1" thickBot="1">
      <c r="A16" s="390" t="str">
        <f t="shared" ref="A16:B16" si="24">A13</f>
        <v>PE</v>
      </c>
      <c r="B16" s="391" t="str">
        <f t="shared" si="24"/>
        <v>film</v>
      </c>
      <c r="C16" s="391">
        <f t="shared" si="13"/>
        <v>2</v>
      </c>
      <c r="D16" s="382" t="str">
        <f t="shared" ref="D16:E16" si="25">D13</f>
        <v>0,01-0,1</v>
      </c>
      <c r="E16" s="382">
        <f t="shared" si="25"/>
        <v>0.1</v>
      </c>
      <c r="F16" s="382" t="str">
        <f t="shared" ref="F16:F19" si="26">F15</f>
        <v>marine water</v>
      </c>
      <c r="G16" s="577" t="str">
        <f t="shared" si="11"/>
        <v>DE: PE film 0,01-0,1 mm (emission to marine water)</v>
      </c>
      <c r="H16" s="393">
        <v>1</v>
      </c>
      <c r="I16" s="584" t="s">
        <v>1097</v>
      </c>
      <c r="J16" s="637"/>
      <c r="K16" s="395">
        <v>0</v>
      </c>
      <c r="L16" s="537"/>
      <c r="M16" s="509">
        <f t="shared" si="6"/>
        <v>1000</v>
      </c>
      <c r="N16" s="653"/>
      <c r="O16" s="643"/>
      <c r="P16" s="631"/>
      <c r="Q16" s="631"/>
    </row>
    <row r="17" spans="1:17" ht="15.75" hidden="1" thickBot="1">
      <c r="A17" s="390" t="str">
        <f t="shared" ref="A17:B17" si="27">A14</f>
        <v>PE</v>
      </c>
      <c r="B17" s="391" t="str">
        <f t="shared" si="27"/>
        <v>film</v>
      </c>
      <c r="C17" s="391">
        <f t="shared" si="13"/>
        <v>2</v>
      </c>
      <c r="D17" s="382" t="str">
        <f t="shared" ref="D17:E17" si="28">D14</f>
        <v>0,01-0,1</v>
      </c>
      <c r="E17" s="382">
        <f t="shared" si="28"/>
        <v>0.1</v>
      </c>
      <c r="F17" s="382" t="str">
        <f t="shared" si="26"/>
        <v>marine water</v>
      </c>
      <c r="G17" s="577" t="str">
        <f t="shared" si="11"/>
        <v>DE: PE film 0,01-0,1 mm (emission to marine water)</v>
      </c>
      <c r="H17" s="393">
        <v>0</v>
      </c>
      <c r="I17" s="397" t="s">
        <v>1162</v>
      </c>
      <c r="J17" s="637"/>
      <c r="K17" s="395">
        <v>0</v>
      </c>
      <c r="L17" s="537"/>
      <c r="M17" s="509">
        <f t="shared" si="6"/>
        <v>1000</v>
      </c>
      <c r="N17" s="653"/>
      <c r="O17" s="643"/>
      <c r="P17" s="631"/>
      <c r="Q17" s="631"/>
    </row>
    <row r="18" spans="1:17" ht="15.75" hidden="1" thickBot="1">
      <c r="A18" s="390" t="str">
        <f t="shared" ref="A18:B18" si="29">A15</f>
        <v>PE</v>
      </c>
      <c r="B18" s="391" t="str">
        <f t="shared" si="29"/>
        <v>film</v>
      </c>
      <c r="C18" s="391">
        <f t="shared" si="13"/>
        <v>2</v>
      </c>
      <c r="D18" s="382" t="str">
        <f t="shared" ref="D18:E18" si="30">D15</f>
        <v>0,01-0,1</v>
      </c>
      <c r="E18" s="382">
        <f t="shared" si="30"/>
        <v>0.1</v>
      </c>
      <c r="F18" s="382" t="str">
        <f t="shared" si="26"/>
        <v>marine water</v>
      </c>
      <c r="G18" s="577" t="str">
        <f t="shared" si="11"/>
        <v>DE: PE film 0,01-0,1 mm (emission to marine water)</v>
      </c>
      <c r="H18" s="393">
        <v>0</v>
      </c>
      <c r="I18" s="397" t="s">
        <v>1163</v>
      </c>
      <c r="J18" s="637"/>
      <c r="K18" s="395">
        <v>0</v>
      </c>
      <c r="L18" s="537"/>
      <c r="M18" s="509">
        <f t="shared" si="6"/>
        <v>1000</v>
      </c>
      <c r="N18" s="653"/>
      <c r="O18" s="643"/>
      <c r="P18" s="631"/>
      <c r="Q18" s="631"/>
    </row>
    <row r="19" spans="1:17" ht="15.75" hidden="1" thickBot="1">
      <c r="A19" s="390" t="str">
        <f t="shared" ref="A19:B19" si="31">A16</f>
        <v>PE</v>
      </c>
      <c r="B19" s="391" t="str">
        <f t="shared" si="31"/>
        <v>film</v>
      </c>
      <c r="C19" s="391">
        <f t="shared" si="13"/>
        <v>2</v>
      </c>
      <c r="D19" s="382" t="str">
        <f t="shared" ref="D19:E19" si="32">D16</f>
        <v>0,01-0,1</v>
      </c>
      <c r="E19" s="382">
        <f t="shared" si="32"/>
        <v>0.1</v>
      </c>
      <c r="F19" s="382" t="str">
        <f t="shared" si="26"/>
        <v>marine water</v>
      </c>
      <c r="G19" s="577" t="str">
        <f t="shared" si="11"/>
        <v>DE: PE film 0,01-0,1 mm (emission to marine water)</v>
      </c>
      <c r="H19" s="393">
        <v>0</v>
      </c>
      <c r="I19" s="584" t="s">
        <v>1034</v>
      </c>
      <c r="J19" s="638"/>
      <c r="K19" s="398" t="s">
        <v>596</v>
      </c>
      <c r="L19" s="538"/>
      <c r="M19" s="509">
        <f t="shared" si="6"/>
        <v>0</v>
      </c>
      <c r="N19" s="650"/>
      <c r="O19" s="639"/>
      <c r="P19" s="631"/>
      <c r="Q19" s="631"/>
    </row>
    <row r="20" spans="1:17" ht="15.75" hidden="1" thickBot="1">
      <c r="A20" s="390" t="str">
        <f t="shared" ref="A20:B20" si="33">A17</f>
        <v>PE</v>
      </c>
      <c r="B20" s="391" t="str">
        <f t="shared" si="33"/>
        <v>film</v>
      </c>
      <c r="C20" s="391">
        <f t="shared" si="13"/>
        <v>2</v>
      </c>
      <c r="D20" s="382" t="str">
        <f t="shared" ref="D20:E20" si="34">D17</f>
        <v>0,01-0,1</v>
      </c>
      <c r="E20" s="382">
        <f t="shared" si="34"/>
        <v>0.1</v>
      </c>
      <c r="F20" s="585" t="s">
        <v>1057</v>
      </c>
      <c r="G20" s="583" t="str">
        <f>CONCATENATE("DE: ",A20," ",B20," ",D20," mm (emission to ",F20,")")</f>
        <v>DE: PE film 0,01-0,1 mm (emission to air)</v>
      </c>
      <c r="H20" s="393">
        <v>0.94799999999999995</v>
      </c>
      <c r="I20" s="584" t="s">
        <v>1019</v>
      </c>
      <c r="J20" s="641">
        <v>0.22800000000000001</v>
      </c>
      <c r="K20" s="389">
        <v>0.63</v>
      </c>
      <c r="L20" s="536"/>
      <c r="M20" s="509">
        <f t="shared" si="6"/>
        <v>79.365079365079367</v>
      </c>
      <c r="N20" s="652">
        <f t="shared" ref="N20" si="35">IFERROR(H20*M20+H21*M21+H22*M22+H23*M23+H24*M24,"N.A.")</f>
        <v>127.23809523809524</v>
      </c>
      <c r="O20" s="642"/>
      <c r="P20" s="630">
        <f t="shared" ref="P20" si="36">IFERROR(IF(H20*M20+H21*M21+H22*M22+H23*M23+H24*M24&gt;100,100,H20*M20+H21*M21+H22*M22+H23*M23+H24*M24),"N.A.")</f>
        <v>100</v>
      </c>
      <c r="Q20" s="630">
        <f t="shared" ref="Q20" si="37">IFERROR(IF(H20*M20+H21*M21+H22*M22+H23*M23+H24*M24&gt;500,500,H20*M20+H21*M21+H22*M22+H23*M23+H24*M24),"N.A.")</f>
        <v>127.23809523809524</v>
      </c>
    </row>
    <row r="21" spans="1:17" ht="15.75" hidden="1" thickBot="1">
      <c r="A21" s="390" t="str">
        <f t="shared" ref="A21:B21" si="38">A18</f>
        <v>PE</v>
      </c>
      <c r="B21" s="391" t="str">
        <f t="shared" si="38"/>
        <v>film</v>
      </c>
      <c r="C21" s="391">
        <f t="shared" si="13"/>
        <v>2</v>
      </c>
      <c r="D21" s="382" t="str">
        <f t="shared" ref="D21:E21" si="39">D18</f>
        <v>0,01-0,1</v>
      </c>
      <c r="E21" s="382">
        <f t="shared" si="39"/>
        <v>0.1</v>
      </c>
      <c r="F21" s="382" t="str">
        <f t="shared" ref="F21:F24" si="40">F20</f>
        <v>air</v>
      </c>
      <c r="G21" s="577" t="str">
        <f t="shared" si="11"/>
        <v>DE: PE film 0,01-0,1 mm (emission to air)</v>
      </c>
      <c r="H21" s="393">
        <v>5.1999999999999998E-2</v>
      </c>
      <c r="I21" s="584" t="s">
        <v>1097</v>
      </c>
      <c r="J21" s="637"/>
      <c r="K21" s="395">
        <v>0</v>
      </c>
      <c r="L21" s="537"/>
      <c r="M21" s="509">
        <f t="shared" si="6"/>
        <v>1000</v>
      </c>
      <c r="N21" s="653"/>
      <c r="O21" s="643"/>
      <c r="P21" s="631"/>
      <c r="Q21" s="631"/>
    </row>
    <row r="22" spans="1:17" ht="15.75" hidden="1" thickBot="1">
      <c r="A22" s="390" t="str">
        <f t="shared" ref="A22:B22" si="41">A19</f>
        <v>PE</v>
      </c>
      <c r="B22" s="391" t="str">
        <f t="shared" si="41"/>
        <v>film</v>
      </c>
      <c r="C22" s="391">
        <f t="shared" si="13"/>
        <v>2</v>
      </c>
      <c r="D22" s="382" t="str">
        <f t="shared" ref="D22:E22" si="42">D19</f>
        <v>0,01-0,1</v>
      </c>
      <c r="E22" s="382">
        <f t="shared" si="42"/>
        <v>0.1</v>
      </c>
      <c r="F22" s="382" t="str">
        <f t="shared" si="40"/>
        <v>air</v>
      </c>
      <c r="G22" s="577" t="str">
        <f t="shared" si="11"/>
        <v>DE: PE film 0,01-0,1 mm (emission to air)</v>
      </c>
      <c r="H22" s="393">
        <v>0</v>
      </c>
      <c r="I22" s="397" t="s">
        <v>1162</v>
      </c>
      <c r="J22" s="637"/>
      <c r="K22" s="395">
        <v>0</v>
      </c>
      <c r="L22" s="537"/>
      <c r="M22" s="509">
        <f t="shared" si="6"/>
        <v>1000</v>
      </c>
      <c r="N22" s="653"/>
      <c r="O22" s="643"/>
      <c r="P22" s="631"/>
      <c r="Q22" s="631"/>
    </row>
    <row r="23" spans="1:17" ht="15.75" hidden="1" thickBot="1">
      <c r="A23" s="390" t="str">
        <f t="shared" ref="A23:B23" si="43">A20</f>
        <v>PE</v>
      </c>
      <c r="B23" s="391" t="str">
        <f t="shared" si="43"/>
        <v>film</v>
      </c>
      <c r="C23" s="391">
        <f t="shared" si="13"/>
        <v>2</v>
      </c>
      <c r="D23" s="382" t="str">
        <f t="shared" ref="D23:E23" si="44">D20</f>
        <v>0,01-0,1</v>
      </c>
      <c r="E23" s="382">
        <f t="shared" si="44"/>
        <v>0.1</v>
      </c>
      <c r="F23" s="382" t="str">
        <f t="shared" si="40"/>
        <v>air</v>
      </c>
      <c r="G23" s="577" t="str">
        <f t="shared" si="11"/>
        <v>DE: PE film 0,01-0,1 mm (emission to air)</v>
      </c>
      <c r="H23" s="393">
        <v>0</v>
      </c>
      <c r="I23" s="397" t="s">
        <v>1163</v>
      </c>
      <c r="J23" s="637"/>
      <c r="K23" s="395">
        <v>0</v>
      </c>
      <c r="L23" s="537"/>
      <c r="M23" s="509">
        <f t="shared" si="6"/>
        <v>1000</v>
      </c>
      <c r="N23" s="653"/>
      <c r="O23" s="643"/>
      <c r="P23" s="631"/>
      <c r="Q23" s="631"/>
    </row>
    <row r="24" spans="1:17" ht="15.75" hidden="1" thickBot="1">
      <c r="A24" s="404" t="str">
        <f t="shared" ref="A24:B24" si="45">A19</f>
        <v>PE</v>
      </c>
      <c r="B24" s="402" t="str">
        <f t="shared" si="45"/>
        <v>film</v>
      </c>
      <c r="C24" s="402">
        <f t="shared" si="0"/>
        <v>2</v>
      </c>
      <c r="D24" s="581" t="str">
        <f t="shared" ref="D24:E24" si="46">D19</f>
        <v>0,01-0,1</v>
      </c>
      <c r="E24" s="581">
        <f t="shared" si="46"/>
        <v>0.1</v>
      </c>
      <c r="F24" s="382" t="str">
        <f t="shared" si="40"/>
        <v>air</v>
      </c>
      <c r="G24" s="577" t="str">
        <f t="shared" si="11"/>
        <v>DE: PE film 0,01-0,1 mm (emission to air)</v>
      </c>
      <c r="H24" s="393">
        <v>0</v>
      </c>
      <c r="I24" s="584" t="s">
        <v>1034</v>
      </c>
      <c r="J24" s="644"/>
      <c r="K24" s="398" t="s">
        <v>596</v>
      </c>
      <c r="L24" s="538"/>
      <c r="M24" s="509">
        <f t="shared" si="6"/>
        <v>0</v>
      </c>
      <c r="N24" s="650"/>
      <c r="O24" s="639"/>
      <c r="P24" s="631"/>
      <c r="Q24" s="631"/>
    </row>
    <row r="25" spans="1:17" ht="15.75" hidden="1" thickBot="1">
      <c r="A25" s="405" t="s">
        <v>77</v>
      </c>
      <c r="B25" s="406" t="s">
        <v>996</v>
      </c>
      <c r="C25" s="407">
        <f>IF(OR(B25="Folie", B25="Strips", B25="Film",B25="Flakes",B25="Coupon"), 2,IF(OR(B25="Fibers",B25="Pellets"),4,IF(OR(B25="Particles",B25="Shreds",B25="Powder",B25="Fragments",B25="Granules"),6,"")))</f>
        <v>2</v>
      </c>
      <c r="D25" s="407" t="s">
        <v>1028</v>
      </c>
      <c r="E25" s="408">
        <v>1</v>
      </c>
      <c r="F25" s="409" t="s">
        <v>1019</v>
      </c>
      <c r="G25" s="410" t="str">
        <f>CONCATENATE("DE: ",A25," ",B25," ",D25," mm (emission to ",F25,")")</f>
        <v>DE: PE film 0,1-1 mm (emission to soil)</v>
      </c>
      <c r="H25" s="411">
        <v>0.97</v>
      </c>
      <c r="I25" s="412" t="s">
        <v>1019</v>
      </c>
      <c r="J25" s="635">
        <v>0.22800000000000001</v>
      </c>
      <c r="K25" s="413">
        <v>0.63</v>
      </c>
      <c r="L25" s="539"/>
      <c r="M25" s="509">
        <f t="shared" si="6"/>
        <v>793.65079365079362</v>
      </c>
      <c r="N25" s="645">
        <f t="shared" ref="N25" si="47">IFERROR(H25*M25+H26*M26+H27*M27+H28*M28+H29*M29,"N.A.")</f>
        <v>799.84126984126976</v>
      </c>
      <c r="O25" s="625"/>
      <c r="P25" s="628">
        <f t="shared" ref="P25:P65" si="48">IFERROR(IF(H25*M25+H26*M26+H27*M27+H28*M28+H29*M29&gt;100,100,H25*M25+H26*M26+H27*M27+H28*M28+H29*M29),"N.A.")</f>
        <v>100</v>
      </c>
      <c r="Q25" s="628">
        <f t="shared" ref="Q25" si="49">IFERROR(IF(H25*M25+H26*M26+H27*M27+H28*M28+H29*M29&gt;500,500,H25*M25+H26*M26+H27*M27+H28*M28+H29*M29),"N.A.")</f>
        <v>500</v>
      </c>
    </row>
    <row r="26" spans="1:17" ht="15.75" hidden="1" thickBot="1">
      <c r="A26" s="390" t="str">
        <f>A25</f>
        <v>PE</v>
      </c>
      <c r="B26" s="391" t="str">
        <f>B25</f>
        <v>film</v>
      </c>
      <c r="C26" s="391">
        <f t="shared" ref="C26:C44" si="50">IF(OR(B26="Folie", B26="Strips", B26="Film",B26="Flakes",B26="Coupon"), 2,IF(OR(B26="Fibers",B26="Pellets"),4,IF(OR(B26="Particles",B26="Shreds",B26="Powder",B26="Fragments",B26="Granules"),6,"")))</f>
        <v>2</v>
      </c>
      <c r="D26" s="391" t="str">
        <f t="shared" ref="D26:G29" si="51">D25</f>
        <v>0,1-1</v>
      </c>
      <c r="E26" s="391">
        <f t="shared" si="51"/>
        <v>1</v>
      </c>
      <c r="F26" s="414" t="str">
        <f t="shared" si="51"/>
        <v>soil</v>
      </c>
      <c r="G26" s="415" t="str">
        <f t="shared" si="51"/>
        <v>DE: PE film 0,1-1 mm (emission to soil)</v>
      </c>
      <c r="H26" s="416">
        <v>0.03</v>
      </c>
      <c r="I26" s="417" t="s">
        <v>1097</v>
      </c>
      <c r="J26" s="635"/>
      <c r="K26" s="418">
        <v>0</v>
      </c>
      <c r="L26" s="537"/>
      <c r="M26" s="509">
        <f t="shared" si="6"/>
        <v>1000</v>
      </c>
      <c r="N26" s="646"/>
      <c r="O26" s="626"/>
      <c r="P26" s="629"/>
      <c r="Q26" s="629"/>
    </row>
    <row r="27" spans="1:17" ht="15.75" hidden="1" thickBot="1">
      <c r="A27" s="390" t="str">
        <f t="shared" ref="A27:A28" si="52">A26</f>
        <v>PE</v>
      </c>
      <c r="B27" s="391" t="str">
        <f t="shared" ref="B27:B28" si="53">B26</f>
        <v>film</v>
      </c>
      <c r="C27" s="391">
        <f t="shared" si="50"/>
        <v>2</v>
      </c>
      <c r="D27" s="391" t="str">
        <f t="shared" ref="D27:F27" si="54">D26</f>
        <v>0,1-1</v>
      </c>
      <c r="E27" s="391">
        <f t="shared" si="54"/>
        <v>1</v>
      </c>
      <c r="F27" s="414" t="str">
        <f t="shared" si="54"/>
        <v>soil</v>
      </c>
      <c r="G27" s="415" t="str">
        <f t="shared" si="51"/>
        <v>DE: PE film 0,1-1 mm (emission to soil)</v>
      </c>
      <c r="H27" s="416">
        <v>0</v>
      </c>
      <c r="I27" s="417" t="s">
        <v>1162</v>
      </c>
      <c r="J27" s="635"/>
      <c r="K27" s="418">
        <v>0</v>
      </c>
      <c r="L27" s="537"/>
      <c r="M27" s="509">
        <f t="shared" si="6"/>
        <v>1000</v>
      </c>
      <c r="N27" s="646"/>
      <c r="O27" s="626"/>
      <c r="P27" s="629"/>
      <c r="Q27" s="629"/>
    </row>
    <row r="28" spans="1:17" ht="15.75" hidden="1" thickBot="1">
      <c r="A28" s="390" t="str">
        <f t="shared" si="52"/>
        <v>PE</v>
      </c>
      <c r="B28" s="391" t="str">
        <f t="shared" si="53"/>
        <v>film</v>
      </c>
      <c r="C28" s="391">
        <f t="shared" si="50"/>
        <v>2</v>
      </c>
      <c r="D28" s="391" t="str">
        <f t="shared" ref="D28:F28" si="55">D27</f>
        <v>0,1-1</v>
      </c>
      <c r="E28" s="391">
        <f t="shared" si="55"/>
        <v>1</v>
      </c>
      <c r="F28" s="414" t="str">
        <f t="shared" si="55"/>
        <v>soil</v>
      </c>
      <c r="G28" s="415" t="str">
        <f t="shared" si="51"/>
        <v>DE: PE film 0,1-1 mm (emission to soil)</v>
      </c>
      <c r="H28" s="416">
        <v>0</v>
      </c>
      <c r="I28" s="417" t="s">
        <v>1163</v>
      </c>
      <c r="J28" s="635"/>
      <c r="K28" s="418">
        <v>0</v>
      </c>
      <c r="L28" s="537"/>
      <c r="M28" s="509">
        <f t="shared" si="6"/>
        <v>1000</v>
      </c>
      <c r="N28" s="646"/>
      <c r="O28" s="626"/>
      <c r="P28" s="629"/>
      <c r="Q28" s="629"/>
    </row>
    <row r="29" spans="1:17" ht="15.75" hidden="1" thickBot="1">
      <c r="A29" s="390" t="str">
        <f>A26</f>
        <v>PE</v>
      </c>
      <c r="B29" s="391" t="str">
        <f>B26</f>
        <v>film</v>
      </c>
      <c r="C29" s="391">
        <f t="shared" si="50"/>
        <v>2</v>
      </c>
      <c r="D29" s="391" t="str">
        <f>D26</f>
        <v>0,1-1</v>
      </c>
      <c r="E29" s="391">
        <f>E26</f>
        <v>1</v>
      </c>
      <c r="F29" s="414" t="str">
        <f>F26</f>
        <v>soil</v>
      </c>
      <c r="G29" s="419" t="str">
        <f t="shared" si="51"/>
        <v>DE: PE film 0,1-1 mm (emission to soil)</v>
      </c>
      <c r="H29" s="416">
        <v>0</v>
      </c>
      <c r="I29" s="420" t="s">
        <v>1034</v>
      </c>
      <c r="J29" s="654"/>
      <c r="K29" s="421" t="s">
        <v>596</v>
      </c>
      <c r="L29" s="538"/>
      <c r="M29" s="509">
        <f t="shared" si="6"/>
        <v>0</v>
      </c>
      <c r="N29" s="647"/>
      <c r="O29" s="627"/>
      <c r="P29" s="629"/>
      <c r="Q29" s="629"/>
    </row>
    <row r="30" spans="1:17" ht="15.75" hidden="1" thickBot="1">
      <c r="A30" s="390" t="str">
        <f t="shared" ref="A30:B30" si="56">A27</f>
        <v>PE</v>
      </c>
      <c r="B30" s="391" t="str">
        <f t="shared" si="56"/>
        <v>film</v>
      </c>
      <c r="C30" s="399">
        <f t="shared" si="50"/>
        <v>2</v>
      </c>
      <c r="D30" s="399" t="str">
        <f t="shared" ref="D30:E30" si="57">D27</f>
        <v>0,1-1</v>
      </c>
      <c r="E30" s="391">
        <f t="shared" si="57"/>
        <v>1</v>
      </c>
      <c r="F30" s="400" t="s">
        <v>1147</v>
      </c>
      <c r="G30" s="386" t="str">
        <f>CONCATENATE("DE: ",A30," ",B30," ",D30," mm (emission to ",F30,")")</f>
        <v>DE: PE film 0,1-1 mm (emission to fresh water)</v>
      </c>
      <c r="H30" s="387">
        <v>0</v>
      </c>
      <c r="I30" s="388" t="s">
        <v>1019</v>
      </c>
      <c r="J30" s="634">
        <v>0.22800000000000001</v>
      </c>
      <c r="K30" s="389">
        <v>0.63</v>
      </c>
      <c r="L30" s="536"/>
      <c r="M30" s="509">
        <f t="shared" si="6"/>
        <v>793.65079365079362</v>
      </c>
      <c r="N30" s="645">
        <f t="shared" ref="N30" si="58">IFERROR(H30*M30+H31*M31+H32*M32+H33*M33+H34*M34,"N.A.")</f>
        <v>1000</v>
      </c>
      <c r="O30" s="625"/>
      <c r="P30" s="628">
        <f t="shared" si="48"/>
        <v>100</v>
      </c>
      <c r="Q30" s="628">
        <f t="shared" ref="Q30" si="59">IFERROR(IF(H30*M30+H31*M31+H32*M32+H33*M33+H34*M34&gt;500,500,H30*M30+H31*M31+H32*M32+H33*M33+H34*M34),"N.A.")</f>
        <v>500</v>
      </c>
    </row>
    <row r="31" spans="1:17" ht="15.75" hidden="1" thickBot="1">
      <c r="A31" s="390" t="str">
        <f t="shared" ref="A31:B31" si="60">A28</f>
        <v>PE</v>
      </c>
      <c r="B31" s="391" t="str">
        <f t="shared" si="60"/>
        <v>film</v>
      </c>
      <c r="C31" s="391">
        <f t="shared" si="50"/>
        <v>2</v>
      </c>
      <c r="D31" s="391" t="str">
        <f t="shared" ref="D31:E31" si="61">D28</f>
        <v>0,1-1</v>
      </c>
      <c r="E31" s="391">
        <f t="shared" si="61"/>
        <v>1</v>
      </c>
      <c r="F31" s="391" t="str">
        <f t="shared" ref="F31:G31" si="62">F30</f>
        <v>fresh water</v>
      </c>
      <c r="G31" s="401" t="str">
        <f t="shared" si="62"/>
        <v>DE: PE film 0,1-1 mm (emission to fresh water)</v>
      </c>
      <c r="H31" s="393">
        <v>1</v>
      </c>
      <c r="I31" s="394" t="s">
        <v>1097</v>
      </c>
      <c r="J31" s="635"/>
      <c r="K31" s="389">
        <v>0</v>
      </c>
      <c r="L31" s="536"/>
      <c r="M31" s="509">
        <f t="shared" si="6"/>
        <v>1000</v>
      </c>
      <c r="N31" s="646"/>
      <c r="O31" s="626"/>
      <c r="P31" s="629"/>
      <c r="Q31" s="629"/>
    </row>
    <row r="32" spans="1:17" ht="15.75" hidden="1" thickBot="1">
      <c r="A32" s="390" t="str">
        <f t="shared" ref="A32:B32" si="63">A29</f>
        <v>PE</v>
      </c>
      <c r="B32" s="391" t="str">
        <f t="shared" si="63"/>
        <v>film</v>
      </c>
      <c r="C32" s="391">
        <f t="shared" si="50"/>
        <v>2</v>
      </c>
      <c r="D32" s="391" t="str">
        <f t="shared" ref="D32:E32" si="64">D29</f>
        <v>0,1-1</v>
      </c>
      <c r="E32" s="391">
        <f t="shared" si="64"/>
        <v>1</v>
      </c>
      <c r="F32" s="391" t="str">
        <f t="shared" ref="F32:G32" si="65">F31</f>
        <v>fresh water</v>
      </c>
      <c r="G32" s="401" t="str">
        <f t="shared" si="65"/>
        <v>DE: PE film 0,1-1 mm (emission to fresh water)</v>
      </c>
      <c r="H32" s="393">
        <v>0</v>
      </c>
      <c r="I32" s="394" t="s">
        <v>1162</v>
      </c>
      <c r="J32" s="635"/>
      <c r="K32" s="389">
        <v>0</v>
      </c>
      <c r="L32" s="536"/>
      <c r="M32" s="509">
        <f t="shared" si="6"/>
        <v>1000</v>
      </c>
      <c r="N32" s="646"/>
      <c r="O32" s="626"/>
      <c r="P32" s="629"/>
      <c r="Q32" s="629"/>
    </row>
    <row r="33" spans="1:17" ht="15.75" hidden="1" thickBot="1">
      <c r="A33" s="390" t="str">
        <f t="shared" ref="A33:B33" si="66">A30</f>
        <v>PE</v>
      </c>
      <c r="B33" s="391" t="str">
        <f t="shared" si="66"/>
        <v>film</v>
      </c>
      <c r="C33" s="391">
        <f t="shared" si="50"/>
        <v>2</v>
      </c>
      <c r="D33" s="391" t="str">
        <f t="shared" ref="D33:E33" si="67">D30</f>
        <v>0,1-1</v>
      </c>
      <c r="E33" s="391">
        <f t="shared" si="67"/>
        <v>1</v>
      </c>
      <c r="F33" s="391" t="str">
        <f t="shared" ref="F33:G33" si="68">F32</f>
        <v>fresh water</v>
      </c>
      <c r="G33" s="401" t="str">
        <f t="shared" si="68"/>
        <v>DE: PE film 0,1-1 mm (emission to fresh water)</v>
      </c>
      <c r="H33" s="393">
        <v>0</v>
      </c>
      <c r="I33" s="394" t="s">
        <v>1163</v>
      </c>
      <c r="J33" s="635"/>
      <c r="K33" s="389">
        <v>0</v>
      </c>
      <c r="L33" s="536"/>
      <c r="M33" s="509">
        <f t="shared" si="6"/>
        <v>1000</v>
      </c>
      <c r="N33" s="646"/>
      <c r="O33" s="626"/>
      <c r="P33" s="629"/>
      <c r="Q33" s="629"/>
    </row>
    <row r="34" spans="1:17" ht="15.75" hidden="1" thickBot="1">
      <c r="A34" s="390" t="str">
        <f t="shared" ref="A34:B34" si="69">A31</f>
        <v>PE</v>
      </c>
      <c r="B34" s="391" t="str">
        <f t="shared" si="69"/>
        <v>film</v>
      </c>
      <c r="C34" s="391">
        <f t="shared" si="50"/>
        <v>2</v>
      </c>
      <c r="D34" s="391" t="str">
        <f t="shared" ref="D34:E34" si="70">D31</f>
        <v>0,1-1</v>
      </c>
      <c r="E34" s="391">
        <f t="shared" si="70"/>
        <v>1</v>
      </c>
      <c r="F34" s="402" t="str">
        <f>F31</f>
        <v>fresh water</v>
      </c>
      <c r="G34" s="401" t="str">
        <f t="shared" ref="G34" si="71">G33</f>
        <v>DE: PE film 0,1-1 mm (emission to fresh water)</v>
      </c>
      <c r="H34" s="393">
        <v>0</v>
      </c>
      <c r="I34" s="394" t="s">
        <v>1034</v>
      </c>
      <c r="J34" s="654"/>
      <c r="K34" s="398" t="s">
        <v>596</v>
      </c>
      <c r="L34" s="538"/>
      <c r="M34" s="509">
        <f t="shared" si="6"/>
        <v>0</v>
      </c>
      <c r="N34" s="647"/>
      <c r="O34" s="627"/>
      <c r="P34" s="629"/>
      <c r="Q34" s="629"/>
    </row>
    <row r="35" spans="1:17" ht="15.75" hidden="1" thickBot="1">
      <c r="A35" s="390" t="str">
        <f t="shared" ref="A35:B35" si="72">A32</f>
        <v>PE</v>
      </c>
      <c r="B35" s="391" t="str">
        <f t="shared" si="72"/>
        <v>film</v>
      </c>
      <c r="C35" s="391">
        <f t="shared" si="50"/>
        <v>2</v>
      </c>
      <c r="D35" s="391" t="str">
        <f t="shared" ref="D35:E35" si="73">D32</f>
        <v>0,1-1</v>
      </c>
      <c r="E35" s="391">
        <f t="shared" si="73"/>
        <v>1</v>
      </c>
      <c r="F35" s="385" t="s">
        <v>1097</v>
      </c>
      <c r="G35" s="422" t="str">
        <f>CONCATENATE("DE: ",A35," ",B35," ",D35," mm (emission to ",F35,")")</f>
        <v>DE: PE film 0,1-1 mm (emission to marine water)</v>
      </c>
      <c r="H35" s="387">
        <v>0</v>
      </c>
      <c r="I35" s="394" t="s">
        <v>1019</v>
      </c>
      <c r="J35" s="634">
        <v>0.22800000000000001</v>
      </c>
      <c r="K35" s="389">
        <v>0.63</v>
      </c>
      <c r="L35" s="536"/>
      <c r="M35" s="509">
        <f t="shared" si="6"/>
        <v>793.65079365079362</v>
      </c>
      <c r="N35" s="645">
        <f t="shared" ref="N35" si="74">IFERROR(H35*M35+H36*M36+H37*M37+H38*M38+H39*M39,"N.A.")</f>
        <v>1000</v>
      </c>
      <c r="O35" s="625"/>
      <c r="P35" s="628">
        <f t="shared" si="48"/>
        <v>100</v>
      </c>
      <c r="Q35" s="628">
        <f t="shared" ref="Q35" si="75">IFERROR(IF(H35*M35+H36*M36+H37*M37+H38*M38+H39*M39&gt;500,500,H35*M35+H36*M36+H37*M37+H38*M38+H39*M39),"N.A.")</f>
        <v>500</v>
      </c>
    </row>
    <row r="36" spans="1:17" ht="15.75" hidden="1" thickBot="1">
      <c r="A36" s="390" t="str">
        <f t="shared" ref="A36:B36" si="76">A33</f>
        <v>PE</v>
      </c>
      <c r="B36" s="391" t="str">
        <f t="shared" si="76"/>
        <v>film</v>
      </c>
      <c r="C36" s="391">
        <f t="shared" si="50"/>
        <v>2</v>
      </c>
      <c r="D36" s="391" t="str">
        <f t="shared" ref="D36:E36" si="77">D33</f>
        <v>0,1-1</v>
      </c>
      <c r="E36" s="391">
        <f t="shared" si="77"/>
        <v>1</v>
      </c>
      <c r="F36" s="391" t="str">
        <f t="shared" ref="F36:G39" si="78">F35</f>
        <v>marine water</v>
      </c>
      <c r="G36" s="401" t="str">
        <f t="shared" si="78"/>
        <v>DE: PE film 0,1-1 mm (emission to marine water)</v>
      </c>
      <c r="H36" s="393">
        <v>1</v>
      </c>
      <c r="I36" s="394" t="s">
        <v>1097</v>
      </c>
      <c r="J36" s="635"/>
      <c r="K36" s="395">
        <v>0</v>
      </c>
      <c r="L36" s="537"/>
      <c r="M36" s="509">
        <f t="shared" si="6"/>
        <v>1000</v>
      </c>
      <c r="N36" s="646"/>
      <c r="O36" s="626"/>
      <c r="P36" s="629"/>
      <c r="Q36" s="629"/>
    </row>
    <row r="37" spans="1:17" ht="15.75" hidden="1" thickBot="1">
      <c r="A37" s="390" t="str">
        <f t="shared" ref="A37:B37" si="79">A34</f>
        <v>PE</v>
      </c>
      <c r="B37" s="391" t="str">
        <f t="shared" si="79"/>
        <v>film</v>
      </c>
      <c r="C37" s="391">
        <f t="shared" si="50"/>
        <v>2</v>
      </c>
      <c r="D37" s="391" t="str">
        <f t="shared" ref="D37:E37" si="80">D34</f>
        <v>0,1-1</v>
      </c>
      <c r="E37" s="391">
        <f t="shared" si="80"/>
        <v>1</v>
      </c>
      <c r="F37" s="391" t="str">
        <f t="shared" si="78"/>
        <v>marine water</v>
      </c>
      <c r="G37" s="401" t="str">
        <f t="shared" si="78"/>
        <v>DE: PE film 0,1-1 mm (emission to marine water)</v>
      </c>
      <c r="H37" s="393">
        <v>0</v>
      </c>
      <c r="I37" s="394" t="s">
        <v>1162</v>
      </c>
      <c r="J37" s="635"/>
      <c r="K37" s="395">
        <v>0</v>
      </c>
      <c r="L37" s="537"/>
      <c r="M37" s="509">
        <f t="shared" si="6"/>
        <v>1000</v>
      </c>
      <c r="N37" s="646"/>
      <c r="O37" s="626"/>
      <c r="P37" s="629"/>
      <c r="Q37" s="629"/>
    </row>
    <row r="38" spans="1:17" ht="15.75" hidden="1" thickBot="1">
      <c r="A38" s="390" t="str">
        <f t="shared" ref="A38:B38" si="81">A35</f>
        <v>PE</v>
      </c>
      <c r="B38" s="391" t="str">
        <f t="shared" si="81"/>
        <v>film</v>
      </c>
      <c r="C38" s="391">
        <f t="shared" si="50"/>
        <v>2</v>
      </c>
      <c r="D38" s="391" t="str">
        <f t="shared" ref="D38:E38" si="82">D35</f>
        <v>0,1-1</v>
      </c>
      <c r="E38" s="391">
        <f t="shared" si="82"/>
        <v>1</v>
      </c>
      <c r="F38" s="391" t="str">
        <f t="shared" si="78"/>
        <v>marine water</v>
      </c>
      <c r="G38" s="401" t="str">
        <f t="shared" si="78"/>
        <v>DE: PE film 0,1-1 mm (emission to marine water)</v>
      </c>
      <c r="H38" s="393">
        <v>0</v>
      </c>
      <c r="I38" s="394" t="s">
        <v>1163</v>
      </c>
      <c r="J38" s="635"/>
      <c r="K38" s="395">
        <v>0</v>
      </c>
      <c r="L38" s="537"/>
      <c r="M38" s="509">
        <f t="shared" si="6"/>
        <v>1000</v>
      </c>
      <c r="N38" s="646"/>
      <c r="O38" s="626"/>
      <c r="P38" s="629"/>
      <c r="Q38" s="629"/>
    </row>
    <row r="39" spans="1:17" ht="15.75" hidden="1" thickBot="1">
      <c r="A39" s="390" t="str">
        <f t="shared" ref="A39:B39" si="83">A36</f>
        <v>PE</v>
      </c>
      <c r="B39" s="391" t="str">
        <f t="shared" si="83"/>
        <v>film</v>
      </c>
      <c r="C39" s="391">
        <f t="shared" si="50"/>
        <v>2</v>
      </c>
      <c r="D39" s="391" t="str">
        <f t="shared" ref="D39:E39" si="84">D36</f>
        <v>0,1-1</v>
      </c>
      <c r="E39" s="391">
        <f t="shared" si="84"/>
        <v>1</v>
      </c>
      <c r="F39" s="391" t="str">
        <f t="shared" si="78"/>
        <v>marine water</v>
      </c>
      <c r="G39" s="401" t="str">
        <f t="shared" si="78"/>
        <v>DE: PE film 0,1-1 mm (emission to marine water)</v>
      </c>
      <c r="H39" s="393">
        <v>0</v>
      </c>
      <c r="I39" s="394" t="s">
        <v>1034</v>
      </c>
      <c r="J39" s="654"/>
      <c r="K39" s="398" t="s">
        <v>596</v>
      </c>
      <c r="L39" s="538"/>
      <c r="M39" s="509">
        <f t="shared" si="6"/>
        <v>0</v>
      </c>
      <c r="N39" s="647"/>
      <c r="O39" s="627"/>
      <c r="P39" s="629"/>
      <c r="Q39" s="629"/>
    </row>
    <row r="40" spans="1:17" ht="15.75" hidden="1" thickBot="1">
      <c r="A40" s="390" t="str">
        <f t="shared" ref="A40:B40" si="85">A37</f>
        <v>PE</v>
      </c>
      <c r="B40" s="391" t="str">
        <f t="shared" si="85"/>
        <v>film</v>
      </c>
      <c r="C40" s="391">
        <f t="shared" si="50"/>
        <v>2</v>
      </c>
      <c r="D40" s="391" t="str">
        <f t="shared" ref="D40:E40" si="86">D37</f>
        <v>0,1-1</v>
      </c>
      <c r="E40" s="391">
        <f t="shared" si="86"/>
        <v>1</v>
      </c>
      <c r="F40" s="400" t="s">
        <v>1057</v>
      </c>
      <c r="G40" s="422" t="str">
        <f>CONCATENATE("DE: ",A40," ",B40," ",D40," mm (emission to ",F40,")")</f>
        <v>DE: PE film 0,1-1 mm (emission to air)</v>
      </c>
      <c r="H40" s="403">
        <v>0.94799999999999995</v>
      </c>
      <c r="I40" s="394" t="s">
        <v>1019</v>
      </c>
      <c r="J40" s="634">
        <v>0.22800000000000001</v>
      </c>
      <c r="K40" s="389">
        <v>0.63</v>
      </c>
      <c r="L40" s="536"/>
      <c r="M40" s="509">
        <f t="shared" si="6"/>
        <v>793.65079365079362</v>
      </c>
      <c r="N40" s="645">
        <f t="shared" ref="N40" si="87">IFERROR(H40*M40+H41*M41+H42*M42+H43*M43+H44*M44,"N.A.")</f>
        <v>804.38095238095229</v>
      </c>
      <c r="O40" s="625"/>
      <c r="P40" s="628">
        <f t="shared" si="48"/>
        <v>100</v>
      </c>
      <c r="Q40" s="628">
        <f t="shared" ref="Q40" si="88">IFERROR(IF(H40*M40+H41*M41+H42*M42+H43*M43+H44*M44&gt;500,500,H40*M40+H41*M41+H42*M42+H43*M43+H44*M44),"N.A.")</f>
        <v>500</v>
      </c>
    </row>
    <row r="41" spans="1:17" ht="15.75" hidden="1" thickBot="1">
      <c r="A41" s="390" t="str">
        <f t="shared" ref="A41:B41" si="89">A38</f>
        <v>PE</v>
      </c>
      <c r="B41" s="391" t="str">
        <f t="shared" si="89"/>
        <v>film</v>
      </c>
      <c r="C41" s="391">
        <f t="shared" si="50"/>
        <v>2</v>
      </c>
      <c r="D41" s="391" t="str">
        <f t="shared" ref="D41:E41" si="90">D38</f>
        <v>0,1-1</v>
      </c>
      <c r="E41" s="391">
        <f t="shared" si="90"/>
        <v>1</v>
      </c>
      <c r="F41" s="391" t="str">
        <f t="shared" ref="F41:G44" si="91">F40</f>
        <v>air</v>
      </c>
      <c r="G41" s="401" t="str">
        <f t="shared" si="91"/>
        <v>DE: PE film 0,1-1 mm (emission to air)</v>
      </c>
      <c r="H41" s="393">
        <v>5.1999999999999998E-2</v>
      </c>
      <c r="I41" s="394" t="s">
        <v>1097</v>
      </c>
      <c r="J41" s="635"/>
      <c r="K41" s="395">
        <v>0</v>
      </c>
      <c r="L41" s="537"/>
      <c r="M41" s="509">
        <f t="shared" si="6"/>
        <v>1000</v>
      </c>
      <c r="N41" s="646"/>
      <c r="O41" s="626"/>
      <c r="P41" s="629"/>
      <c r="Q41" s="629"/>
    </row>
    <row r="42" spans="1:17" ht="15.75" hidden="1" thickBot="1">
      <c r="A42" s="390" t="str">
        <f t="shared" ref="A42:B42" si="92">A39</f>
        <v>PE</v>
      </c>
      <c r="B42" s="391" t="str">
        <f t="shared" si="92"/>
        <v>film</v>
      </c>
      <c r="C42" s="391">
        <f t="shared" si="50"/>
        <v>2</v>
      </c>
      <c r="D42" s="391" t="str">
        <f t="shared" ref="D42:E42" si="93">D39</f>
        <v>0,1-1</v>
      </c>
      <c r="E42" s="391">
        <f t="shared" si="93"/>
        <v>1</v>
      </c>
      <c r="F42" s="391" t="str">
        <f t="shared" si="91"/>
        <v>air</v>
      </c>
      <c r="G42" s="401" t="str">
        <f t="shared" si="91"/>
        <v>DE: PE film 0,1-1 mm (emission to air)</v>
      </c>
      <c r="H42" s="393">
        <v>0</v>
      </c>
      <c r="I42" s="394" t="s">
        <v>1143</v>
      </c>
      <c r="J42" s="635"/>
      <c r="K42" s="395">
        <v>0</v>
      </c>
      <c r="L42" s="537"/>
      <c r="M42" s="509">
        <f t="shared" si="6"/>
        <v>1000</v>
      </c>
      <c r="N42" s="646"/>
      <c r="O42" s="626"/>
      <c r="P42" s="629"/>
      <c r="Q42" s="629"/>
    </row>
    <row r="43" spans="1:17" ht="15.75" hidden="1" thickBot="1">
      <c r="A43" s="390" t="str">
        <f t="shared" ref="A43:B43" si="94">A40</f>
        <v>PE</v>
      </c>
      <c r="B43" s="391" t="str">
        <f t="shared" si="94"/>
        <v>film</v>
      </c>
      <c r="C43" s="391">
        <f t="shared" si="50"/>
        <v>2</v>
      </c>
      <c r="D43" s="391" t="str">
        <f t="shared" ref="D43:E43" si="95">D40</f>
        <v>0,1-1</v>
      </c>
      <c r="E43" s="391">
        <f t="shared" si="95"/>
        <v>1</v>
      </c>
      <c r="F43" s="391" t="str">
        <f t="shared" si="91"/>
        <v>air</v>
      </c>
      <c r="G43" s="401" t="str">
        <f t="shared" si="91"/>
        <v>DE: PE film 0,1-1 mm (emission to air)</v>
      </c>
      <c r="H43" s="393">
        <v>0</v>
      </c>
      <c r="I43" s="394" t="s">
        <v>1146</v>
      </c>
      <c r="J43" s="635"/>
      <c r="K43" s="395">
        <v>0</v>
      </c>
      <c r="L43" s="537"/>
      <c r="M43" s="509">
        <f t="shared" si="6"/>
        <v>1000</v>
      </c>
      <c r="N43" s="646"/>
      <c r="O43" s="626"/>
      <c r="P43" s="629"/>
      <c r="Q43" s="629"/>
    </row>
    <row r="44" spans="1:17" ht="15.75" hidden="1" thickBot="1">
      <c r="A44" s="404" t="str">
        <f t="shared" ref="A44:B44" si="96">A39</f>
        <v>PE</v>
      </c>
      <c r="B44" s="402" t="str">
        <f t="shared" si="96"/>
        <v>film</v>
      </c>
      <c r="C44" s="402">
        <f t="shared" si="50"/>
        <v>2</v>
      </c>
      <c r="D44" s="402" t="str">
        <f t="shared" ref="D44:E44" si="97">D39</f>
        <v>0,1-1</v>
      </c>
      <c r="E44" s="402">
        <f t="shared" si="97"/>
        <v>1</v>
      </c>
      <c r="F44" s="391" t="str">
        <f t="shared" si="91"/>
        <v>air</v>
      </c>
      <c r="G44" s="401" t="str">
        <f t="shared" si="91"/>
        <v>DE: PE film 0,1-1 mm (emission to air)</v>
      </c>
      <c r="H44" s="393">
        <v>0</v>
      </c>
      <c r="I44" s="394" t="s">
        <v>1034</v>
      </c>
      <c r="J44" s="636"/>
      <c r="K44" s="398" t="s">
        <v>596</v>
      </c>
      <c r="L44" s="538"/>
      <c r="M44" s="509">
        <f t="shared" si="6"/>
        <v>0</v>
      </c>
      <c r="N44" s="647"/>
      <c r="O44" s="627"/>
      <c r="P44" s="629"/>
      <c r="Q44" s="629"/>
    </row>
    <row r="45" spans="1:17" ht="15.75" hidden="1" thickBot="1">
      <c r="A45" s="405" t="s">
        <v>77</v>
      </c>
      <c r="B45" s="406" t="s">
        <v>996</v>
      </c>
      <c r="C45" s="407">
        <f>IF(OR(B45="Folie", B45="Strips", B45="Film",B45="Flakes",B45="Coupon"), 2,IF(OR(B45="Fibers",B45="Pellets"),4,IF(OR(B45="Particles",B45="Shreds",B45="Powder",B45="Fragments",B45="Granules"),6,"")))</f>
        <v>2</v>
      </c>
      <c r="D45" s="423" t="s">
        <v>1026</v>
      </c>
      <c r="E45" s="408">
        <v>10</v>
      </c>
      <c r="F45" s="424" t="s">
        <v>1019</v>
      </c>
      <c r="G45" s="425" t="str">
        <f>CONCATENATE("DE: ",A45," ",B45," ",D45," mm (emission to ",F45,")")</f>
        <v>DE: PE film 1-10 mm (emission to soil)</v>
      </c>
      <c r="H45" s="426">
        <v>0.97</v>
      </c>
      <c r="I45" s="427" t="s">
        <v>1019</v>
      </c>
      <c r="J45" s="635">
        <v>0.22800000000000001</v>
      </c>
      <c r="K45" s="428">
        <v>0.63</v>
      </c>
      <c r="L45" s="539"/>
      <c r="M45" s="509">
        <f t="shared" si="6"/>
        <v>1000</v>
      </c>
      <c r="N45" s="645">
        <f t="shared" ref="N45" si="98">IFERROR(H45*M45+H46*M46+H47*M47+H48*M48+H49*M49,"N.A.")</f>
        <v>1000</v>
      </c>
      <c r="O45" s="625"/>
      <c r="P45" s="628">
        <f t="shared" si="48"/>
        <v>100</v>
      </c>
      <c r="Q45" s="628">
        <f t="shared" ref="Q45" si="99">IFERROR(IF(H45*M45+H46*M46+H47*M47+H48*M48+H49*M49&gt;500,500,H45*M45+H46*M46+H47*M47+H48*M48+H49*M49),"N.A.")</f>
        <v>500</v>
      </c>
    </row>
    <row r="46" spans="1:17" ht="15.75" hidden="1" thickBot="1">
      <c r="A46" s="390" t="str">
        <f>A45</f>
        <v>PE</v>
      </c>
      <c r="B46" s="391" t="str">
        <f>B45</f>
        <v>film</v>
      </c>
      <c r="C46" s="391">
        <f t="shared" ref="C46:C64" si="100">IF(OR(B46="Folie", B46="Strips", B46="Film",B46="Flakes",B46="Coupon"), 2,IF(OR(B46="Fibers",B46="Pellets"),4,IF(OR(B46="Particles",B46="Shreds",B46="Powder",B46="Fragments",B46="Granules"),6,"")))</f>
        <v>2</v>
      </c>
      <c r="D46" s="391" t="str">
        <f t="shared" ref="D46:G49" si="101">D45</f>
        <v>1-10</v>
      </c>
      <c r="E46" s="391">
        <f t="shared" si="101"/>
        <v>10</v>
      </c>
      <c r="F46" s="391" t="str">
        <f t="shared" si="101"/>
        <v>soil</v>
      </c>
      <c r="G46" s="392" t="str">
        <f t="shared" si="101"/>
        <v>DE: PE film 1-10 mm (emission to soil)</v>
      </c>
      <c r="H46" s="393">
        <v>0.03</v>
      </c>
      <c r="I46" s="394" t="s">
        <v>1097</v>
      </c>
      <c r="J46" s="635"/>
      <c r="K46" s="395">
        <v>0</v>
      </c>
      <c r="L46" s="537"/>
      <c r="M46" s="509">
        <f t="shared" si="6"/>
        <v>1000</v>
      </c>
      <c r="N46" s="646"/>
      <c r="O46" s="626"/>
      <c r="P46" s="629"/>
      <c r="Q46" s="629"/>
    </row>
    <row r="47" spans="1:17" ht="15.75" hidden="1" thickBot="1">
      <c r="A47" s="390" t="str">
        <f t="shared" ref="A47:A48" si="102">A46</f>
        <v>PE</v>
      </c>
      <c r="B47" s="391" t="str">
        <f t="shared" ref="B47:B48" si="103">B46</f>
        <v>film</v>
      </c>
      <c r="C47" s="391">
        <f t="shared" si="100"/>
        <v>2</v>
      </c>
      <c r="D47" s="391" t="str">
        <f t="shared" ref="D47:F47" si="104">D46</f>
        <v>1-10</v>
      </c>
      <c r="E47" s="391">
        <f t="shared" si="104"/>
        <v>10</v>
      </c>
      <c r="F47" s="391" t="str">
        <f t="shared" si="104"/>
        <v>soil</v>
      </c>
      <c r="G47" s="392" t="str">
        <f t="shared" si="101"/>
        <v>DE: PE film 1-10 mm (emission to soil)</v>
      </c>
      <c r="H47" s="393">
        <v>0</v>
      </c>
      <c r="I47" s="394" t="s">
        <v>1162</v>
      </c>
      <c r="J47" s="635"/>
      <c r="K47" s="395">
        <v>0</v>
      </c>
      <c r="L47" s="537"/>
      <c r="M47" s="509">
        <f t="shared" si="6"/>
        <v>1000</v>
      </c>
      <c r="N47" s="646"/>
      <c r="O47" s="626"/>
      <c r="P47" s="629"/>
      <c r="Q47" s="629"/>
    </row>
    <row r="48" spans="1:17" ht="15.75" hidden="1" thickBot="1">
      <c r="A48" s="390" t="str">
        <f t="shared" si="102"/>
        <v>PE</v>
      </c>
      <c r="B48" s="391" t="str">
        <f t="shared" si="103"/>
        <v>film</v>
      </c>
      <c r="C48" s="391">
        <f t="shared" si="100"/>
        <v>2</v>
      </c>
      <c r="D48" s="391" t="str">
        <f t="shared" ref="D48:F48" si="105">D47</f>
        <v>1-10</v>
      </c>
      <c r="E48" s="391">
        <f t="shared" si="105"/>
        <v>10</v>
      </c>
      <c r="F48" s="391" t="str">
        <f t="shared" si="105"/>
        <v>soil</v>
      </c>
      <c r="G48" s="392" t="str">
        <f t="shared" si="101"/>
        <v>DE: PE film 1-10 mm (emission to soil)</v>
      </c>
      <c r="H48" s="393">
        <v>0</v>
      </c>
      <c r="I48" s="394" t="s">
        <v>1163</v>
      </c>
      <c r="J48" s="635"/>
      <c r="K48" s="395">
        <v>0</v>
      </c>
      <c r="L48" s="537"/>
      <c r="M48" s="509">
        <f t="shared" si="6"/>
        <v>1000</v>
      </c>
      <c r="N48" s="646"/>
      <c r="O48" s="626"/>
      <c r="P48" s="629"/>
      <c r="Q48" s="629"/>
    </row>
    <row r="49" spans="1:17" ht="15.75" hidden="1" thickBot="1">
      <c r="A49" s="390" t="str">
        <f>A46</f>
        <v>PE</v>
      </c>
      <c r="B49" s="391" t="str">
        <f>B46</f>
        <v>film</v>
      </c>
      <c r="C49" s="391">
        <f t="shared" si="100"/>
        <v>2</v>
      </c>
      <c r="D49" s="391" t="str">
        <f>D46</f>
        <v>1-10</v>
      </c>
      <c r="E49" s="391">
        <f>E46</f>
        <v>10</v>
      </c>
      <c r="F49" s="391" t="str">
        <f>F46</f>
        <v>soil</v>
      </c>
      <c r="G49" s="396" t="str">
        <f t="shared" si="101"/>
        <v>DE: PE film 1-10 mm (emission to soil)</v>
      </c>
      <c r="H49" s="393">
        <v>0</v>
      </c>
      <c r="I49" s="397" t="s">
        <v>1034</v>
      </c>
      <c r="J49" s="654"/>
      <c r="K49" s="398" t="s">
        <v>596</v>
      </c>
      <c r="L49" s="538"/>
      <c r="M49" s="509">
        <f t="shared" si="6"/>
        <v>0</v>
      </c>
      <c r="N49" s="647"/>
      <c r="O49" s="627"/>
      <c r="P49" s="629"/>
      <c r="Q49" s="629"/>
    </row>
    <row r="50" spans="1:17" ht="15.75" hidden="1" thickBot="1">
      <c r="A50" s="390" t="str">
        <f t="shared" ref="A50:B50" si="106">A47</f>
        <v>PE</v>
      </c>
      <c r="B50" s="391" t="str">
        <f t="shared" si="106"/>
        <v>film</v>
      </c>
      <c r="C50" s="399">
        <f t="shared" si="100"/>
        <v>2</v>
      </c>
      <c r="D50" s="399" t="str">
        <f t="shared" ref="D50:E50" si="107">D47</f>
        <v>1-10</v>
      </c>
      <c r="E50" s="391">
        <f t="shared" si="107"/>
        <v>10</v>
      </c>
      <c r="F50" s="400" t="s">
        <v>1147</v>
      </c>
      <c r="G50" s="386" t="str">
        <f>CONCATENATE("DE: ",A50," ",B50," ",D50," mm (emission to ",F50,")")</f>
        <v>DE: PE film 1-10 mm (emission to fresh water)</v>
      </c>
      <c r="H50" s="387">
        <v>0</v>
      </c>
      <c r="I50" s="388" t="s">
        <v>1019</v>
      </c>
      <c r="J50" s="634">
        <v>0.22800000000000001</v>
      </c>
      <c r="K50" s="389">
        <v>0.63</v>
      </c>
      <c r="L50" s="536"/>
      <c r="M50" s="509">
        <f t="shared" si="6"/>
        <v>1000</v>
      </c>
      <c r="N50" s="645">
        <f t="shared" ref="N50" si="108">IFERROR(H50*M50+H51*M51+H52*M52+H53*M53+H54*M54,"N.A.")</f>
        <v>1000</v>
      </c>
      <c r="O50" s="625"/>
      <c r="P50" s="628">
        <f t="shared" si="48"/>
        <v>100</v>
      </c>
      <c r="Q50" s="628">
        <f t="shared" ref="Q50" si="109">IFERROR(IF(H50*M50+H51*M51+H52*M52+H53*M53+H54*M54&gt;500,500,H50*M50+H51*M51+H52*M52+H53*M53+H54*M54),"N.A.")</f>
        <v>500</v>
      </c>
    </row>
    <row r="51" spans="1:17" ht="15.75" hidden="1" thickBot="1">
      <c r="A51" s="390" t="str">
        <f t="shared" ref="A51:B51" si="110">A48</f>
        <v>PE</v>
      </c>
      <c r="B51" s="391" t="str">
        <f t="shared" si="110"/>
        <v>film</v>
      </c>
      <c r="C51" s="391">
        <f t="shared" si="100"/>
        <v>2</v>
      </c>
      <c r="D51" s="391" t="str">
        <f t="shared" ref="D51:E51" si="111">D48</f>
        <v>1-10</v>
      </c>
      <c r="E51" s="391">
        <f t="shared" si="111"/>
        <v>10</v>
      </c>
      <c r="F51" s="391" t="str">
        <f t="shared" ref="F51:G51" si="112">F50</f>
        <v>fresh water</v>
      </c>
      <c r="G51" s="401" t="str">
        <f t="shared" si="112"/>
        <v>DE: PE film 1-10 mm (emission to fresh water)</v>
      </c>
      <c r="H51" s="393">
        <v>1</v>
      </c>
      <c r="I51" s="394" t="s">
        <v>1097</v>
      </c>
      <c r="J51" s="635"/>
      <c r="K51" s="395">
        <v>0</v>
      </c>
      <c r="L51" s="537"/>
      <c r="M51" s="509">
        <f t="shared" si="6"/>
        <v>1000</v>
      </c>
      <c r="N51" s="646"/>
      <c r="O51" s="626"/>
      <c r="P51" s="629"/>
      <c r="Q51" s="629"/>
    </row>
    <row r="52" spans="1:17" ht="15.75" hidden="1" thickBot="1">
      <c r="A52" s="390" t="str">
        <f t="shared" ref="A52:B52" si="113">A49</f>
        <v>PE</v>
      </c>
      <c r="B52" s="391" t="str">
        <f t="shared" si="113"/>
        <v>film</v>
      </c>
      <c r="C52" s="391">
        <f t="shared" si="100"/>
        <v>2</v>
      </c>
      <c r="D52" s="391" t="str">
        <f t="shared" ref="D52:E52" si="114">D49</f>
        <v>1-10</v>
      </c>
      <c r="E52" s="391">
        <f t="shared" si="114"/>
        <v>10</v>
      </c>
      <c r="F52" s="391" t="str">
        <f t="shared" ref="F52:G52" si="115">F51</f>
        <v>fresh water</v>
      </c>
      <c r="G52" s="401" t="str">
        <f t="shared" si="115"/>
        <v>DE: PE film 1-10 mm (emission to fresh water)</v>
      </c>
      <c r="H52" s="393">
        <v>0</v>
      </c>
      <c r="I52" s="394" t="s">
        <v>1162</v>
      </c>
      <c r="J52" s="635"/>
      <c r="K52" s="395">
        <v>0</v>
      </c>
      <c r="L52" s="537"/>
      <c r="M52" s="509">
        <f t="shared" si="6"/>
        <v>1000</v>
      </c>
      <c r="N52" s="646"/>
      <c r="O52" s="626"/>
      <c r="P52" s="629"/>
      <c r="Q52" s="629"/>
    </row>
    <row r="53" spans="1:17" ht="15.75" hidden="1" thickBot="1">
      <c r="A53" s="390" t="str">
        <f t="shared" ref="A53:B53" si="116">A50</f>
        <v>PE</v>
      </c>
      <c r="B53" s="391" t="str">
        <f t="shared" si="116"/>
        <v>film</v>
      </c>
      <c r="C53" s="391">
        <f t="shared" si="100"/>
        <v>2</v>
      </c>
      <c r="D53" s="391" t="str">
        <f t="shared" ref="D53:E53" si="117">D50</f>
        <v>1-10</v>
      </c>
      <c r="E53" s="391">
        <f t="shared" si="117"/>
        <v>10</v>
      </c>
      <c r="F53" s="391" t="str">
        <f t="shared" ref="F53:G53" si="118">F52</f>
        <v>fresh water</v>
      </c>
      <c r="G53" s="401" t="str">
        <f t="shared" si="118"/>
        <v>DE: PE film 1-10 mm (emission to fresh water)</v>
      </c>
      <c r="H53" s="393">
        <v>0</v>
      </c>
      <c r="I53" s="394" t="s">
        <v>1163</v>
      </c>
      <c r="J53" s="635"/>
      <c r="K53" s="395">
        <v>0</v>
      </c>
      <c r="L53" s="537"/>
      <c r="M53" s="509">
        <f t="shared" si="6"/>
        <v>1000</v>
      </c>
      <c r="N53" s="646"/>
      <c r="O53" s="626"/>
      <c r="P53" s="629"/>
      <c r="Q53" s="629"/>
    </row>
    <row r="54" spans="1:17" ht="15.75" hidden="1" thickBot="1">
      <c r="A54" s="390" t="str">
        <f t="shared" ref="A54:B54" si="119">A51</f>
        <v>PE</v>
      </c>
      <c r="B54" s="391" t="str">
        <f t="shared" si="119"/>
        <v>film</v>
      </c>
      <c r="C54" s="391">
        <f t="shared" si="100"/>
        <v>2</v>
      </c>
      <c r="D54" s="391" t="str">
        <f t="shared" ref="D54:E54" si="120">D51</f>
        <v>1-10</v>
      </c>
      <c r="E54" s="391">
        <f t="shared" si="120"/>
        <v>10</v>
      </c>
      <c r="F54" s="402" t="str">
        <f>F51</f>
        <v>fresh water</v>
      </c>
      <c r="G54" s="401" t="str">
        <f t="shared" ref="G54" si="121">G53</f>
        <v>DE: PE film 1-10 mm (emission to fresh water)</v>
      </c>
      <c r="H54" s="393">
        <v>0</v>
      </c>
      <c r="I54" s="394" t="s">
        <v>1034</v>
      </c>
      <c r="J54" s="654"/>
      <c r="K54" s="398" t="s">
        <v>596</v>
      </c>
      <c r="L54" s="538"/>
      <c r="M54" s="509">
        <f t="shared" si="6"/>
        <v>0</v>
      </c>
      <c r="N54" s="647"/>
      <c r="O54" s="627"/>
      <c r="P54" s="629"/>
      <c r="Q54" s="629"/>
    </row>
    <row r="55" spans="1:17" ht="15.75" hidden="1" thickBot="1">
      <c r="A55" s="390" t="str">
        <f t="shared" ref="A55:B55" si="122">A52</f>
        <v>PE</v>
      </c>
      <c r="B55" s="391" t="str">
        <f t="shared" si="122"/>
        <v>film</v>
      </c>
      <c r="C55" s="391">
        <f t="shared" si="100"/>
        <v>2</v>
      </c>
      <c r="D55" s="391" t="str">
        <f t="shared" ref="D55:E55" si="123">D52</f>
        <v>1-10</v>
      </c>
      <c r="E55" s="391">
        <f t="shared" si="123"/>
        <v>10</v>
      </c>
      <c r="F55" s="385" t="s">
        <v>1097</v>
      </c>
      <c r="G55" s="422" t="str">
        <f>CONCATENATE("DE: ",A55," ",B55," ",D55," mm (emission to ",F55,")")</f>
        <v>DE: PE film 1-10 mm (emission to marine water)</v>
      </c>
      <c r="H55" s="387">
        <v>0</v>
      </c>
      <c r="I55" s="394" t="s">
        <v>1019</v>
      </c>
      <c r="J55" s="634">
        <v>0.22800000000000001</v>
      </c>
      <c r="K55" s="389">
        <v>0.63</v>
      </c>
      <c r="L55" s="536"/>
      <c r="M55" s="509">
        <f t="shared" si="6"/>
        <v>1000</v>
      </c>
      <c r="N55" s="645">
        <f t="shared" ref="N55" si="124">IFERROR(H55*M55+H56*M56+H57*M57+H58*M58+H59*M59,"N.A.")</f>
        <v>1000</v>
      </c>
      <c r="O55" s="625"/>
      <c r="P55" s="628">
        <f t="shared" si="48"/>
        <v>100</v>
      </c>
      <c r="Q55" s="628">
        <f t="shared" ref="Q55" si="125">IFERROR(IF(H55*M55+H56*M56+H57*M57+H58*M58+H59*M59&gt;500,500,H55*M55+H56*M56+H57*M57+H58*M58+H59*M59),"N.A.")</f>
        <v>500</v>
      </c>
    </row>
    <row r="56" spans="1:17" ht="15.75" hidden="1" thickBot="1">
      <c r="A56" s="390" t="str">
        <f t="shared" ref="A56:B56" si="126">A53</f>
        <v>PE</v>
      </c>
      <c r="B56" s="391" t="str">
        <f t="shared" si="126"/>
        <v>film</v>
      </c>
      <c r="C56" s="391">
        <f t="shared" si="100"/>
        <v>2</v>
      </c>
      <c r="D56" s="391" t="str">
        <f t="shared" ref="D56:E56" si="127">D53</f>
        <v>1-10</v>
      </c>
      <c r="E56" s="391">
        <f t="shared" si="127"/>
        <v>10</v>
      </c>
      <c r="F56" s="391" t="str">
        <f t="shared" ref="F56:G59" si="128">F55</f>
        <v>marine water</v>
      </c>
      <c r="G56" s="401" t="str">
        <f t="shared" si="128"/>
        <v>DE: PE film 1-10 mm (emission to marine water)</v>
      </c>
      <c r="H56" s="393">
        <v>1</v>
      </c>
      <c r="I56" s="394" t="s">
        <v>1097</v>
      </c>
      <c r="J56" s="635"/>
      <c r="K56" s="395">
        <v>0</v>
      </c>
      <c r="L56" s="537"/>
      <c r="M56" s="509">
        <f t="shared" si="6"/>
        <v>1000</v>
      </c>
      <c r="N56" s="646"/>
      <c r="O56" s="626"/>
      <c r="P56" s="629"/>
      <c r="Q56" s="629"/>
    </row>
    <row r="57" spans="1:17" ht="15.75" hidden="1" thickBot="1">
      <c r="A57" s="390" t="str">
        <f t="shared" ref="A57:B57" si="129">A54</f>
        <v>PE</v>
      </c>
      <c r="B57" s="391" t="str">
        <f t="shared" si="129"/>
        <v>film</v>
      </c>
      <c r="C57" s="391">
        <f t="shared" si="100"/>
        <v>2</v>
      </c>
      <c r="D57" s="391" t="str">
        <f t="shared" ref="D57:E57" si="130">D54</f>
        <v>1-10</v>
      </c>
      <c r="E57" s="391">
        <f t="shared" si="130"/>
        <v>10</v>
      </c>
      <c r="F57" s="391" t="str">
        <f t="shared" si="128"/>
        <v>marine water</v>
      </c>
      <c r="G57" s="401" t="str">
        <f t="shared" si="128"/>
        <v>DE: PE film 1-10 mm (emission to marine water)</v>
      </c>
      <c r="H57" s="393">
        <v>0</v>
      </c>
      <c r="I57" s="394" t="s">
        <v>1162</v>
      </c>
      <c r="J57" s="635"/>
      <c r="K57" s="395">
        <v>0</v>
      </c>
      <c r="L57" s="537"/>
      <c r="M57" s="509">
        <f t="shared" si="6"/>
        <v>1000</v>
      </c>
      <c r="N57" s="646"/>
      <c r="O57" s="626"/>
      <c r="P57" s="629"/>
      <c r="Q57" s="629"/>
    </row>
    <row r="58" spans="1:17" ht="15.75" hidden="1" thickBot="1">
      <c r="A58" s="390" t="str">
        <f t="shared" ref="A58:B58" si="131">A55</f>
        <v>PE</v>
      </c>
      <c r="B58" s="391" t="str">
        <f t="shared" si="131"/>
        <v>film</v>
      </c>
      <c r="C58" s="391">
        <f t="shared" si="100"/>
        <v>2</v>
      </c>
      <c r="D58" s="391" t="str">
        <f t="shared" ref="D58:E58" si="132">D55</f>
        <v>1-10</v>
      </c>
      <c r="E58" s="391">
        <f t="shared" si="132"/>
        <v>10</v>
      </c>
      <c r="F58" s="391" t="str">
        <f t="shared" si="128"/>
        <v>marine water</v>
      </c>
      <c r="G58" s="401" t="str">
        <f t="shared" si="128"/>
        <v>DE: PE film 1-10 mm (emission to marine water)</v>
      </c>
      <c r="H58" s="393">
        <v>0</v>
      </c>
      <c r="I58" s="394" t="s">
        <v>1163</v>
      </c>
      <c r="J58" s="635"/>
      <c r="K58" s="395">
        <v>0</v>
      </c>
      <c r="L58" s="537"/>
      <c r="M58" s="509">
        <f t="shared" si="6"/>
        <v>1000</v>
      </c>
      <c r="N58" s="646"/>
      <c r="O58" s="626"/>
      <c r="P58" s="629"/>
      <c r="Q58" s="629"/>
    </row>
    <row r="59" spans="1:17" ht="15.75" hidden="1" thickBot="1">
      <c r="A59" s="390" t="str">
        <f t="shared" ref="A59:B59" si="133">A56</f>
        <v>PE</v>
      </c>
      <c r="B59" s="391" t="str">
        <f t="shared" si="133"/>
        <v>film</v>
      </c>
      <c r="C59" s="391">
        <f t="shared" si="100"/>
        <v>2</v>
      </c>
      <c r="D59" s="391" t="str">
        <f t="shared" ref="D59:E59" si="134">D56</f>
        <v>1-10</v>
      </c>
      <c r="E59" s="391">
        <f t="shared" si="134"/>
        <v>10</v>
      </c>
      <c r="F59" s="391" t="str">
        <f t="shared" si="128"/>
        <v>marine water</v>
      </c>
      <c r="G59" s="401" t="str">
        <f t="shared" si="128"/>
        <v>DE: PE film 1-10 mm (emission to marine water)</v>
      </c>
      <c r="H59" s="393">
        <v>0</v>
      </c>
      <c r="I59" s="394" t="s">
        <v>1034</v>
      </c>
      <c r="J59" s="654"/>
      <c r="K59" s="398" t="s">
        <v>596</v>
      </c>
      <c r="L59" s="538"/>
      <c r="M59" s="509">
        <f t="shared" si="6"/>
        <v>0</v>
      </c>
      <c r="N59" s="647"/>
      <c r="O59" s="627"/>
      <c r="P59" s="629"/>
      <c r="Q59" s="629"/>
    </row>
    <row r="60" spans="1:17" ht="15.75" hidden="1" thickBot="1">
      <c r="A60" s="390" t="str">
        <f t="shared" ref="A60:B60" si="135">A57</f>
        <v>PE</v>
      </c>
      <c r="B60" s="391" t="str">
        <f t="shared" si="135"/>
        <v>film</v>
      </c>
      <c r="C60" s="391">
        <f t="shared" si="100"/>
        <v>2</v>
      </c>
      <c r="D60" s="391" t="str">
        <f t="shared" ref="D60:E60" si="136">D57</f>
        <v>1-10</v>
      </c>
      <c r="E60" s="391">
        <f t="shared" si="136"/>
        <v>10</v>
      </c>
      <c r="F60" s="400" t="s">
        <v>1057</v>
      </c>
      <c r="G60" s="422" t="str">
        <f>CONCATENATE("DE: ",A60," ",B60," ",D60," mm (emission to ",F60,")")</f>
        <v>DE: PE film 1-10 mm (emission to air)</v>
      </c>
      <c r="H60" s="403">
        <v>0.94799999999999995</v>
      </c>
      <c r="I60" s="394" t="s">
        <v>1019</v>
      </c>
      <c r="J60" s="634">
        <v>0.22800000000000001</v>
      </c>
      <c r="K60" s="389">
        <v>0.63</v>
      </c>
      <c r="L60" s="536"/>
      <c r="M60" s="509">
        <f t="shared" si="6"/>
        <v>1000</v>
      </c>
      <c r="N60" s="645">
        <f t="shared" ref="N60" si="137">IFERROR(H60*M60+H61*M61+H62*M62+H63*M63+H64*M64,"N.A.")</f>
        <v>1000</v>
      </c>
      <c r="O60" s="625"/>
      <c r="P60" s="628">
        <f t="shared" si="48"/>
        <v>100</v>
      </c>
      <c r="Q60" s="628">
        <f t="shared" ref="Q60" si="138">IFERROR(IF(H60*M60+H61*M61+H62*M62+H63*M63+H64*M64&gt;500,500,H60*M60+H61*M61+H62*M62+H63*M63+H64*M64),"N.A.")</f>
        <v>500</v>
      </c>
    </row>
    <row r="61" spans="1:17" ht="15.75" hidden="1" thickBot="1">
      <c r="A61" s="390" t="str">
        <f t="shared" ref="A61:B61" si="139">A58</f>
        <v>PE</v>
      </c>
      <c r="B61" s="391" t="str">
        <f t="shared" si="139"/>
        <v>film</v>
      </c>
      <c r="C61" s="391">
        <f t="shared" si="100"/>
        <v>2</v>
      </c>
      <c r="D61" s="391" t="str">
        <f t="shared" ref="D61:E61" si="140">D58</f>
        <v>1-10</v>
      </c>
      <c r="E61" s="391">
        <f t="shared" si="140"/>
        <v>10</v>
      </c>
      <c r="F61" s="391" t="str">
        <f t="shared" ref="F61:G64" si="141">F60</f>
        <v>air</v>
      </c>
      <c r="G61" s="401" t="str">
        <f t="shared" si="141"/>
        <v>DE: PE film 1-10 mm (emission to air)</v>
      </c>
      <c r="H61" s="393">
        <v>5.1999999999999998E-2</v>
      </c>
      <c r="I61" s="394" t="s">
        <v>1097</v>
      </c>
      <c r="J61" s="635"/>
      <c r="K61" s="395">
        <v>0</v>
      </c>
      <c r="L61" s="537"/>
      <c r="M61" s="509">
        <f t="shared" si="6"/>
        <v>1000</v>
      </c>
      <c r="N61" s="646"/>
      <c r="O61" s="626"/>
      <c r="P61" s="629"/>
      <c r="Q61" s="629"/>
    </row>
    <row r="62" spans="1:17" ht="15.75" hidden="1" thickBot="1">
      <c r="A62" s="390" t="str">
        <f t="shared" ref="A62:B62" si="142">A59</f>
        <v>PE</v>
      </c>
      <c r="B62" s="391" t="str">
        <f t="shared" si="142"/>
        <v>film</v>
      </c>
      <c r="C62" s="391">
        <f t="shared" si="100"/>
        <v>2</v>
      </c>
      <c r="D62" s="391" t="str">
        <f t="shared" ref="D62:E62" si="143">D59</f>
        <v>1-10</v>
      </c>
      <c r="E62" s="391">
        <f t="shared" si="143"/>
        <v>10</v>
      </c>
      <c r="F62" s="391" t="str">
        <f t="shared" si="141"/>
        <v>air</v>
      </c>
      <c r="G62" s="401" t="str">
        <f t="shared" si="141"/>
        <v>DE: PE film 1-10 mm (emission to air)</v>
      </c>
      <c r="H62" s="393">
        <v>0</v>
      </c>
      <c r="I62" s="394" t="s">
        <v>1162</v>
      </c>
      <c r="J62" s="635"/>
      <c r="K62" s="395">
        <v>0</v>
      </c>
      <c r="L62" s="537"/>
      <c r="M62" s="509">
        <f t="shared" si="6"/>
        <v>1000</v>
      </c>
      <c r="N62" s="646"/>
      <c r="O62" s="626"/>
      <c r="P62" s="629"/>
      <c r="Q62" s="629"/>
    </row>
    <row r="63" spans="1:17" ht="15.75" hidden="1" thickBot="1">
      <c r="A63" s="390" t="str">
        <f t="shared" ref="A63:B63" si="144">A60</f>
        <v>PE</v>
      </c>
      <c r="B63" s="391" t="str">
        <f t="shared" si="144"/>
        <v>film</v>
      </c>
      <c r="C63" s="391">
        <f t="shared" si="100"/>
        <v>2</v>
      </c>
      <c r="D63" s="391" t="str">
        <f t="shared" ref="D63:E63" si="145">D60</f>
        <v>1-10</v>
      </c>
      <c r="E63" s="391">
        <f t="shared" si="145"/>
        <v>10</v>
      </c>
      <c r="F63" s="391" t="str">
        <f t="shared" si="141"/>
        <v>air</v>
      </c>
      <c r="G63" s="401" t="str">
        <f t="shared" si="141"/>
        <v>DE: PE film 1-10 mm (emission to air)</v>
      </c>
      <c r="H63" s="393">
        <v>0</v>
      </c>
      <c r="I63" s="394" t="s">
        <v>1163</v>
      </c>
      <c r="J63" s="635"/>
      <c r="K63" s="395">
        <v>0</v>
      </c>
      <c r="L63" s="537"/>
      <c r="M63" s="509">
        <f t="shared" si="6"/>
        <v>1000</v>
      </c>
      <c r="N63" s="646"/>
      <c r="O63" s="626"/>
      <c r="P63" s="629"/>
      <c r="Q63" s="629"/>
    </row>
    <row r="64" spans="1:17" ht="15.75" hidden="1" thickBot="1">
      <c r="A64" s="404" t="str">
        <f t="shared" ref="A64:B64" si="146">A59</f>
        <v>PE</v>
      </c>
      <c r="B64" s="402" t="str">
        <f t="shared" si="146"/>
        <v>film</v>
      </c>
      <c r="C64" s="402">
        <f t="shared" si="100"/>
        <v>2</v>
      </c>
      <c r="D64" s="402" t="str">
        <f t="shared" ref="D64:E64" si="147">D59</f>
        <v>1-10</v>
      </c>
      <c r="E64" s="402">
        <f t="shared" si="147"/>
        <v>10</v>
      </c>
      <c r="F64" s="391" t="str">
        <f t="shared" si="141"/>
        <v>air</v>
      </c>
      <c r="G64" s="401" t="str">
        <f t="shared" si="141"/>
        <v>DE: PE film 1-10 mm (emission to air)</v>
      </c>
      <c r="H64" s="393">
        <v>0</v>
      </c>
      <c r="I64" s="394" t="s">
        <v>1034</v>
      </c>
      <c r="J64" s="636"/>
      <c r="K64" s="398" t="s">
        <v>596</v>
      </c>
      <c r="L64" s="538"/>
      <c r="M64" s="509">
        <f t="shared" si="6"/>
        <v>0</v>
      </c>
      <c r="N64" s="647"/>
      <c r="O64" s="627"/>
      <c r="P64" s="629"/>
      <c r="Q64" s="629"/>
    </row>
    <row r="65" spans="1:17" ht="15.75" hidden="1" thickBot="1">
      <c r="A65" s="405" t="s">
        <v>77</v>
      </c>
      <c r="B65" s="406" t="s">
        <v>1151</v>
      </c>
      <c r="C65" s="429">
        <v>4</v>
      </c>
      <c r="D65" s="423" t="s">
        <v>1018</v>
      </c>
      <c r="E65" s="408">
        <v>0.1</v>
      </c>
      <c r="F65" s="424" t="s">
        <v>1019</v>
      </c>
      <c r="G65" s="425" t="str">
        <f>CONCATENATE("DE: ",A65," ",B65," ",D65," mm (emission to ",F65,")")</f>
        <v>DE: PE fiber 0,01-0,1 mm (emission to soil)</v>
      </c>
      <c r="H65" s="426">
        <v>0.97</v>
      </c>
      <c r="I65" s="427" t="s">
        <v>1019</v>
      </c>
      <c r="J65" s="635">
        <v>0.22800000000000001</v>
      </c>
      <c r="K65" s="428">
        <v>0.63</v>
      </c>
      <c r="L65" s="539"/>
      <c r="M65" s="509">
        <f>IFERROR(IF(K65="--",0,IF(E65*1000/K65*(1-0.5)^(C65/2)&gt;1000,1000,E65*1000/K65*(1-0.5)^(C65/2))),1000)</f>
        <v>39.682539682539684</v>
      </c>
      <c r="N65" s="645">
        <f>IFERROR(H65*M65+H66*M66+H67*M67+H68*M68+H69*M69,"N.A.")</f>
        <v>68.492063492063494</v>
      </c>
      <c r="O65" s="625"/>
      <c r="P65" s="628">
        <f t="shared" si="48"/>
        <v>68.492063492063494</v>
      </c>
      <c r="Q65" s="628">
        <f t="shared" ref="Q65" si="148">IFERROR(IF(H65*M65+H66*M66+H67*M67+H68*M68+H69*M69&gt;500,500,H65*M65+H66*M66+H67*M67+H68*M68+H69*M69),"N.A.")</f>
        <v>68.492063492063494</v>
      </c>
    </row>
    <row r="66" spans="1:17" ht="15.75" hidden="1" thickBot="1">
      <c r="A66" s="390" t="str">
        <f>A65</f>
        <v>PE</v>
      </c>
      <c r="B66" s="391" t="str">
        <f>B65</f>
        <v>fiber</v>
      </c>
      <c r="C66" s="391" t="str">
        <f t="shared" ref="C66:C84" si="149">IF(OR(B66="Folie", B66="Strips", B66="Film",B66="Flakes",B66="Coupon"), 2,IF(OR(B66="Fibers",B66="Pellets"),4,IF(OR(B66="Particles",B66="Shreds",B66="Powder",B66="Fragments",B66="Granules"),6,"")))</f>
        <v/>
      </c>
      <c r="D66" s="391" t="str">
        <f t="shared" ref="D66:G66" si="150">D65</f>
        <v>0,01-0,1</v>
      </c>
      <c r="E66" s="391">
        <f t="shared" si="150"/>
        <v>0.1</v>
      </c>
      <c r="F66" s="391" t="str">
        <f t="shared" si="150"/>
        <v>soil</v>
      </c>
      <c r="G66" s="392" t="str">
        <f t="shared" si="150"/>
        <v>DE: PE fiber 0,01-0,1 mm (emission to soil)</v>
      </c>
      <c r="H66" s="393">
        <v>0.03</v>
      </c>
      <c r="I66" s="394" t="s">
        <v>1097</v>
      </c>
      <c r="J66" s="635"/>
      <c r="K66" s="395">
        <v>0</v>
      </c>
      <c r="L66" s="537"/>
      <c r="M66" s="509">
        <f t="shared" si="6"/>
        <v>1000</v>
      </c>
      <c r="N66" s="646"/>
      <c r="O66" s="626"/>
      <c r="P66" s="629"/>
      <c r="Q66" s="629"/>
    </row>
    <row r="67" spans="1:17" ht="15.75" hidden="1" thickBot="1">
      <c r="A67" s="390" t="str">
        <f t="shared" ref="A67:A68" si="151">A66</f>
        <v>PE</v>
      </c>
      <c r="B67" s="391" t="str">
        <f t="shared" ref="B67:B68" si="152">B66</f>
        <v>fiber</v>
      </c>
      <c r="C67" s="391" t="str">
        <f t="shared" si="149"/>
        <v/>
      </c>
      <c r="D67" s="391" t="str">
        <f t="shared" ref="D67:G67" si="153">D66</f>
        <v>0,01-0,1</v>
      </c>
      <c r="E67" s="391">
        <f t="shared" si="153"/>
        <v>0.1</v>
      </c>
      <c r="F67" s="391" t="str">
        <f t="shared" si="153"/>
        <v>soil</v>
      </c>
      <c r="G67" s="392" t="str">
        <f t="shared" si="153"/>
        <v>DE: PE fiber 0,01-0,1 mm (emission to soil)</v>
      </c>
      <c r="H67" s="393">
        <v>0</v>
      </c>
      <c r="I67" s="394" t="s">
        <v>1162</v>
      </c>
      <c r="J67" s="635"/>
      <c r="K67" s="395">
        <v>0</v>
      </c>
      <c r="L67" s="537"/>
      <c r="M67" s="509">
        <f t="shared" si="6"/>
        <v>1000</v>
      </c>
      <c r="N67" s="646"/>
      <c r="O67" s="626"/>
      <c r="P67" s="629"/>
      <c r="Q67" s="629"/>
    </row>
    <row r="68" spans="1:17" ht="15.75" hidden="1" thickBot="1">
      <c r="A68" s="390" t="str">
        <f t="shared" si="151"/>
        <v>PE</v>
      </c>
      <c r="B68" s="391" t="str">
        <f t="shared" si="152"/>
        <v>fiber</v>
      </c>
      <c r="C68" s="391" t="str">
        <f t="shared" si="149"/>
        <v/>
      </c>
      <c r="D68" s="391" t="str">
        <f t="shared" ref="D68:G68" si="154">D67</f>
        <v>0,01-0,1</v>
      </c>
      <c r="E68" s="391">
        <f t="shared" si="154"/>
        <v>0.1</v>
      </c>
      <c r="F68" s="391" t="str">
        <f t="shared" si="154"/>
        <v>soil</v>
      </c>
      <c r="G68" s="392" t="str">
        <f t="shared" si="154"/>
        <v>DE: PE fiber 0,01-0,1 mm (emission to soil)</v>
      </c>
      <c r="H68" s="393">
        <v>0</v>
      </c>
      <c r="I68" s="394" t="s">
        <v>1163</v>
      </c>
      <c r="J68" s="635"/>
      <c r="K68" s="395">
        <v>0</v>
      </c>
      <c r="L68" s="537"/>
      <c r="M68" s="509">
        <f t="shared" si="6"/>
        <v>1000</v>
      </c>
      <c r="N68" s="646"/>
      <c r="O68" s="626"/>
      <c r="P68" s="629"/>
      <c r="Q68" s="629"/>
    </row>
    <row r="69" spans="1:17" ht="15.75" hidden="1" thickBot="1">
      <c r="A69" s="390" t="str">
        <f>A66</f>
        <v>PE</v>
      </c>
      <c r="B69" s="391" t="str">
        <f>B66</f>
        <v>fiber</v>
      </c>
      <c r="C69" s="391" t="str">
        <f t="shared" si="149"/>
        <v/>
      </c>
      <c r="D69" s="391" t="str">
        <f>D66</f>
        <v>0,01-0,1</v>
      </c>
      <c r="E69" s="391">
        <f>E66</f>
        <v>0.1</v>
      </c>
      <c r="F69" s="391" t="str">
        <f>F66</f>
        <v>soil</v>
      </c>
      <c r="G69" s="396" t="str">
        <f t="shared" ref="G69" si="155">G68</f>
        <v>DE: PE fiber 0,01-0,1 mm (emission to soil)</v>
      </c>
      <c r="H69" s="393">
        <v>0</v>
      </c>
      <c r="I69" s="397" t="s">
        <v>1034</v>
      </c>
      <c r="J69" s="654"/>
      <c r="K69" s="398" t="s">
        <v>596</v>
      </c>
      <c r="L69" s="538"/>
      <c r="M69" s="509">
        <f t="shared" si="6"/>
        <v>0</v>
      </c>
      <c r="N69" s="647"/>
      <c r="O69" s="627"/>
      <c r="P69" s="629"/>
      <c r="Q69" s="629"/>
    </row>
    <row r="70" spans="1:17" ht="15.75" hidden="1" thickBot="1">
      <c r="A70" s="390" t="str">
        <f t="shared" ref="A70:B70" si="156">A67</f>
        <v>PE</v>
      </c>
      <c r="B70" s="391" t="str">
        <f t="shared" si="156"/>
        <v>fiber</v>
      </c>
      <c r="C70" s="399" t="str">
        <f t="shared" si="149"/>
        <v/>
      </c>
      <c r="D70" s="399" t="str">
        <f t="shared" ref="D70:E70" si="157">D67</f>
        <v>0,01-0,1</v>
      </c>
      <c r="E70" s="391">
        <f t="shared" si="157"/>
        <v>0.1</v>
      </c>
      <c r="F70" s="400" t="s">
        <v>1147</v>
      </c>
      <c r="G70" s="386" t="str">
        <f>CONCATENATE("DE: ",A70," ",B70," ",D70," mm (emission to ",F70,")")</f>
        <v>DE: PE fiber 0,01-0,1 mm (emission to fresh water)</v>
      </c>
      <c r="H70" s="387">
        <v>0</v>
      </c>
      <c r="I70" s="388" t="s">
        <v>1019</v>
      </c>
      <c r="J70" s="634">
        <v>0.22800000000000001</v>
      </c>
      <c r="K70" s="389">
        <v>0.63</v>
      </c>
      <c r="L70" s="536"/>
      <c r="M70" s="509">
        <f t="shared" ref="M70:M133" si="158">IFERROR(IF(K70="--",0,IF(E70*1000/K70*(1-0.5)^(C70/2)&gt;1000,1000,E70*1000/K70*(1-0.5)^(C70/2))),1000)</f>
        <v>1000</v>
      </c>
      <c r="N70" s="645">
        <f t="shared" ref="N70" si="159">IFERROR(H70*M70+H71*M71+H72*M72+H73*M73+H74*M74,"N.A.")</f>
        <v>1000</v>
      </c>
      <c r="O70" s="625"/>
      <c r="P70" s="628">
        <f t="shared" ref="P70:P130" si="160">IFERROR(IF(H70*M70+H71*M71+H72*M72+H73*M73+H74*M74&gt;100,100,H70*M70+H71*M71+H72*M72+H73*M73+H74*M74),"N.A.")</f>
        <v>100</v>
      </c>
      <c r="Q70" s="628">
        <f t="shared" ref="Q70" si="161">IFERROR(IF(H70*M70+H71*M71+H72*M72+H73*M73+H74*M74&gt;500,500,H70*M70+H71*M71+H72*M72+H73*M73+H74*M74),"N.A.")</f>
        <v>500</v>
      </c>
    </row>
    <row r="71" spans="1:17" ht="15.75" hidden="1" thickBot="1">
      <c r="A71" s="390" t="str">
        <f t="shared" ref="A71:B71" si="162">A68</f>
        <v>PE</v>
      </c>
      <c r="B71" s="391" t="str">
        <f t="shared" si="162"/>
        <v>fiber</v>
      </c>
      <c r="C71" s="391" t="str">
        <f t="shared" si="149"/>
        <v/>
      </c>
      <c r="D71" s="391" t="str">
        <f t="shared" ref="D71:E71" si="163">D68</f>
        <v>0,01-0,1</v>
      </c>
      <c r="E71" s="391">
        <f t="shared" si="163"/>
        <v>0.1</v>
      </c>
      <c r="F71" s="391" t="str">
        <f t="shared" ref="F71:G71" si="164">F70</f>
        <v>fresh water</v>
      </c>
      <c r="G71" s="401" t="str">
        <f t="shared" si="164"/>
        <v>DE: PE fiber 0,01-0,1 mm (emission to fresh water)</v>
      </c>
      <c r="H71" s="393">
        <v>1</v>
      </c>
      <c r="I71" s="394" t="s">
        <v>1097</v>
      </c>
      <c r="J71" s="635"/>
      <c r="K71" s="389">
        <v>0</v>
      </c>
      <c r="L71" s="536"/>
      <c r="M71" s="509">
        <f t="shared" si="158"/>
        <v>1000</v>
      </c>
      <c r="N71" s="646"/>
      <c r="O71" s="626"/>
      <c r="P71" s="629"/>
      <c r="Q71" s="629"/>
    </row>
    <row r="72" spans="1:17" ht="15.75" hidden="1" thickBot="1">
      <c r="A72" s="390" t="str">
        <f t="shared" ref="A72:B72" si="165">A69</f>
        <v>PE</v>
      </c>
      <c r="B72" s="391" t="str">
        <f t="shared" si="165"/>
        <v>fiber</v>
      </c>
      <c r="C72" s="391" t="str">
        <f t="shared" si="149"/>
        <v/>
      </c>
      <c r="D72" s="391" t="str">
        <f t="shared" ref="D72:E72" si="166">D69</f>
        <v>0,01-0,1</v>
      </c>
      <c r="E72" s="391">
        <f t="shared" si="166"/>
        <v>0.1</v>
      </c>
      <c r="F72" s="391" t="str">
        <f t="shared" ref="F72:G72" si="167">F71</f>
        <v>fresh water</v>
      </c>
      <c r="G72" s="401" t="str">
        <f t="shared" si="167"/>
        <v>DE: PE fiber 0,01-0,1 mm (emission to fresh water)</v>
      </c>
      <c r="H72" s="393">
        <v>0</v>
      </c>
      <c r="I72" s="394" t="s">
        <v>1162</v>
      </c>
      <c r="J72" s="635"/>
      <c r="K72" s="389">
        <v>0</v>
      </c>
      <c r="L72" s="536"/>
      <c r="M72" s="509">
        <f t="shared" si="158"/>
        <v>1000</v>
      </c>
      <c r="N72" s="646"/>
      <c r="O72" s="626"/>
      <c r="P72" s="629"/>
      <c r="Q72" s="629"/>
    </row>
    <row r="73" spans="1:17" ht="15.75" hidden="1" thickBot="1">
      <c r="A73" s="390" t="str">
        <f t="shared" ref="A73:B73" si="168">A70</f>
        <v>PE</v>
      </c>
      <c r="B73" s="391" t="str">
        <f t="shared" si="168"/>
        <v>fiber</v>
      </c>
      <c r="C73" s="391" t="str">
        <f t="shared" si="149"/>
        <v/>
      </c>
      <c r="D73" s="391" t="str">
        <f t="shared" ref="D73:E73" si="169">D70</f>
        <v>0,01-0,1</v>
      </c>
      <c r="E73" s="391">
        <f t="shared" si="169"/>
        <v>0.1</v>
      </c>
      <c r="F73" s="391" t="str">
        <f t="shared" ref="F73:G74" si="170">F72</f>
        <v>fresh water</v>
      </c>
      <c r="G73" s="401" t="str">
        <f t="shared" si="170"/>
        <v>DE: PE fiber 0,01-0,1 mm (emission to fresh water)</v>
      </c>
      <c r="H73" s="393">
        <v>0</v>
      </c>
      <c r="I73" s="394" t="s">
        <v>1163</v>
      </c>
      <c r="J73" s="635"/>
      <c r="K73" s="389">
        <v>0</v>
      </c>
      <c r="L73" s="536"/>
      <c r="M73" s="509">
        <f t="shared" si="158"/>
        <v>1000</v>
      </c>
      <c r="N73" s="646"/>
      <c r="O73" s="626"/>
      <c r="P73" s="629"/>
      <c r="Q73" s="629"/>
    </row>
    <row r="74" spans="1:17" ht="15.75" hidden="1" thickBot="1">
      <c r="A74" s="390" t="str">
        <f t="shared" ref="A74:B74" si="171">A71</f>
        <v>PE</v>
      </c>
      <c r="B74" s="391" t="str">
        <f t="shared" si="171"/>
        <v>fiber</v>
      </c>
      <c r="C74" s="391" t="str">
        <f t="shared" si="149"/>
        <v/>
      </c>
      <c r="D74" s="391" t="str">
        <f t="shared" ref="D74:E74" si="172">D71</f>
        <v>0,01-0,1</v>
      </c>
      <c r="E74" s="391">
        <f t="shared" si="172"/>
        <v>0.1</v>
      </c>
      <c r="F74" s="402" t="str">
        <f>F71</f>
        <v>fresh water</v>
      </c>
      <c r="G74" s="401" t="str">
        <f t="shared" si="170"/>
        <v>DE: PE fiber 0,01-0,1 mm (emission to fresh water)</v>
      </c>
      <c r="H74" s="393">
        <v>0</v>
      </c>
      <c r="I74" s="394" t="s">
        <v>1034</v>
      </c>
      <c r="J74" s="654"/>
      <c r="K74" s="398" t="s">
        <v>596</v>
      </c>
      <c r="L74" s="538"/>
      <c r="M74" s="509">
        <f t="shared" si="158"/>
        <v>0</v>
      </c>
      <c r="N74" s="647"/>
      <c r="O74" s="627"/>
      <c r="P74" s="629"/>
      <c r="Q74" s="629"/>
    </row>
    <row r="75" spans="1:17" ht="15.75" hidden="1" thickBot="1">
      <c r="A75" s="390" t="str">
        <f t="shared" ref="A75:B75" si="173">A72</f>
        <v>PE</v>
      </c>
      <c r="B75" s="391" t="str">
        <f t="shared" si="173"/>
        <v>fiber</v>
      </c>
      <c r="C75" s="391" t="str">
        <f t="shared" si="149"/>
        <v/>
      </c>
      <c r="D75" s="391" t="str">
        <f t="shared" ref="D75:E75" si="174">D72</f>
        <v>0,01-0,1</v>
      </c>
      <c r="E75" s="391">
        <f t="shared" si="174"/>
        <v>0.1</v>
      </c>
      <c r="F75" s="385" t="s">
        <v>1097</v>
      </c>
      <c r="G75" s="422" t="str">
        <f>CONCATENATE("DE: ",A75," ",B75," ",D75," mm (emission to ",F75,")")</f>
        <v>DE: PE fiber 0,01-0,1 mm (emission to marine water)</v>
      </c>
      <c r="H75" s="387">
        <v>0</v>
      </c>
      <c r="I75" s="394" t="s">
        <v>1019</v>
      </c>
      <c r="J75" s="634">
        <v>0.22800000000000001</v>
      </c>
      <c r="K75" s="389">
        <v>0.63</v>
      </c>
      <c r="L75" s="536"/>
      <c r="M75" s="509">
        <f t="shared" si="158"/>
        <v>1000</v>
      </c>
      <c r="N75" s="645">
        <f t="shared" ref="N75" si="175">IFERROR(H75*M75+H76*M76+H77*M77+H78*M78+H79*M79,"N.A.")</f>
        <v>1000</v>
      </c>
      <c r="O75" s="625"/>
      <c r="P75" s="628">
        <f t="shared" si="160"/>
        <v>100</v>
      </c>
      <c r="Q75" s="628">
        <f t="shared" ref="Q75" si="176">IFERROR(IF(H75*M75+H76*M76+H77*M77+H78*M78+H79*M79&gt;500,500,H75*M75+H76*M76+H77*M77+H78*M78+H79*M79),"N.A.")</f>
        <v>500</v>
      </c>
    </row>
    <row r="76" spans="1:17" ht="15.75" hidden="1" thickBot="1">
      <c r="A76" s="390" t="str">
        <f t="shared" ref="A76:B76" si="177">A73</f>
        <v>PE</v>
      </c>
      <c r="B76" s="391" t="str">
        <f t="shared" si="177"/>
        <v>fiber</v>
      </c>
      <c r="C76" s="391" t="str">
        <f t="shared" si="149"/>
        <v/>
      </c>
      <c r="D76" s="391" t="str">
        <f t="shared" ref="D76:E76" si="178">D73</f>
        <v>0,01-0,1</v>
      </c>
      <c r="E76" s="391">
        <f t="shared" si="178"/>
        <v>0.1</v>
      </c>
      <c r="F76" s="391" t="str">
        <f t="shared" ref="F76:G76" si="179">F75</f>
        <v>marine water</v>
      </c>
      <c r="G76" s="401" t="str">
        <f t="shared" si="179"/>
        <v>DE: PE fiber 0,01-0,1 mm (emission to marine water)</v>
      </c>
      <c r="H76" s="393">
        <v>1</v>
      </c>
      <c r="I76" s="394" t="s">
        <v>1097</v>
      </c>
      <c r="J76" s="635"/>
      <c r="K76" s="395">
        <v>0</v>
      </c>
      <c r="L76" s="537"/>
      <c r="M76" s="509">
        <f t="shared" si="158"/>
        <v>1000</v>
      </c>
      <c r="N76" s="646"/>
      <c r="O76" s="626"/>
      <c r="P76" s="629"/>
      <c r="Q76" s="629"/>
    </row>
    <row r="77" spans="1:17" ht="15.75" hidden="1" thickBot="1">
      <c r="A77" s="390" t="str">
        <f t="shared" ref="A77:B77" si="180">A74</f>
        <v>PE</v>
      </c>
      <c r="B77" s="391" t="str">
        <f t="shared" si="180"/>
        <v>fiber</v>
      </c>
      <c r="C77" s="391" t="str">
        <f t="shared" si="149"/>
        <v/>
      </c>
      <c r="D77" s="391" t="str">
        <f t="shared" ref="D77:E77" si="181">D74</f>
        <v>0,01-0,1</v>
      </c>
      <c r="E77" s="391">
        <f t="shared" si="181"/>
        <v>0.1</v>
      </c>
      <c r="F77" s="391" t="str">
        <f t="shared" ref="F77:G77" si="182">F76</f>
        <v>marine water</v>
      </c>
      <c r="G77" s="401" t="str">
        <f t="shared" si="182"/>
        <v>DE: PE fiber 0,01-0,1 mm (emission to marine water)</v>
      </c>
      <c r="H77" s="393">
        <v>0</v>
      </c>
      <c r="I77" s="394" t="s">
        <v>1162</v>
      </c>
      <c r="J77" s="635"/>
      <c r="K77" s="395">
        <v>0</v>
      </c>
      <c r="L77" s="537"/>
      <c r="M77" s="509">
        <f t="shared" si="158"/>
        <v>1000</v>
      </c>
      <c r="N77" s="646"/>
      <c r="O77" s="626"/>
      <c r="P77" s="629"/>
      <c r="Q77" s="629"/>
    </row>
    <row r="78" spans="1:17" ht="15.75" hidden="1" thickBot="1">
      <c r="A78" s="390" t="str">
        <f t="shared" ref="A78:B78" si="183">A75</f>
        <v>PE</v>
      </c>
      <c r="B78" s="391" t="str">
        <f t="shared" si="183"/>
        <v>fiber</v>
      </c>
      <c r="C78" s="391" t="str">
        <f t="shared" si="149"/>
        <v/>
      </c>
      <c r="D78" s="391" t="str">
        <f t="shared" ref="D78:E78" si="184">D75</f>
        <v>0,01-0,1</v>
      </c>
      <c r="E78" s="391">
        <f t="shared" si="184"/>
        <v>0.1</v>
      </c>
      <c r="F78" s="391" t="str">
        <f t="shared" ref="F78:G78" si="185">F77</f>
        <v>marine water</v>
      </c>
      <c r="G78" s="401" t="str">
        <f t="shared" si="185"/>
        <v>DE: PE fiber 0,01-0,1 mm (emission to marine water)</v>
      </c>
      <c r="H78" s="393">
        <v>0</v>
      </c>
      <c r="I78" s="394" t="s">
        <v>1163</v>
      </c>
      <c r="J78" s="635"/>
      <c r="K78" s="395">
        <v>0</v>
      </c>
      <c r="L78" s="537"/>
      <c r="M78" s="509">
        <f t="shared" si="158"/>
        <v>1000</v>
      </c>
      <c r="N78" s="646"/>
      <c r="O78" s="626"/>
      <c r="P78" s="629"/>
      <c r="Q78" s="629"/>
    </row>
    <row r="79" spans="1:17" ht="15.75" hidden="1" thickBot="1">
      <c r="A79" s="390" t="str">
        <f t="shared" ref="A79:B79" si="186">A76</f>
        <v>PE</v>
      </c>
      <c r="B79" s="391" t="str">
        <f t="shared" si="186"/>
        <v>fiber</v>
      </c>
      <c r="C79" s="391" t="str">
        <f t="shared" si="149"/>
        <v/>
      </c>
      <c r="D79" s="391" t="str">
        <f t="shared" ref="D79:E79" si="187">D76</f>
        <v>0,01-0,1</v>
      </c>
      <c r="E79" s="391">
        <f t="shared" si="187"/>
        <v>0.1</v>
      </c>
      <c r="F79" s="391" t="str">
        <f t="shared" ref="F79:G79" si="188">F78</f>
        <v>marine water</v>
      </c>
      <c r="G79" s="401" t="str">
        <f t="shared" si="188"/>
        <v>DE: PE fiber 0,01-0,1 mm (emission to marine water)</v>
      </c>
      <c r="H79" s="393">
        <v>0</v>
      </c>
      <c r="I79" s="394" t="s">
        <v>1034</v>
      </c>
      <c r="J79" s="654"/>
      <c r="K79" s="398" t="s">
        <v>596</v>
      </c>
      <c r="L79" s="538"/>
      <c r="M79" s="509">
        <f t="shared" si="158"/>
        <v>0</v>
      </c>
      <c r="N79" s="647"/>
      <c r="O79" s="627"/>
      <c r="P79" s="629"/>
      <c r="Q79" s="629"/>
    </row>
    <row r="80" spans="1:17" ht="15.75" hidden="1" thickBot="1">
      <c r="A80" s="390" t="str">
        <f t="shared" ref="A80:B80" si="189">A77</f>
        <v>PE</v>
      </c>
      <c r="B80" s="391" t="str">
        <f t="shared" si="189"/>
        <v>fiber</v>
      </c>
      <c r="C80" s="391" t="str">
        <f t="shared" si="149"/>
        <v/>
      </c>
      <c r="D80" s="391" t="str">
        <f t="shared" ref="D80:E80" si="190">D77</f>
        <v>0,01-0,1</v>
      </c>
      <c r="E80" s="391">
        <f t="shared" si="190"/>
        <v>0.1</v>
      </c>
      <c r="F80" s="400" t="s">
        <v>1057</v>
      </c>
      <c r="G80" s="422" t="str">
        <f>CONCATENATE("DE: ",A80," ",B80," ",D80," mm (emission to ",F80,")")</f>
        <v>DE: PE fiber 0,01-0,1 mm (emission to air)</v>
      </c>
      <c r="H80" s="403">
        <v>0.94799999999999995</v>
      </c>
      <c r="I80" s="394" t="s">
        <v>1019</v>
      </c>
      <c r="J80" s="634">
        <v>0.22800000000000001</v>
      </c>
      <c r="K80" s="389">
        <v>0.63</v>
      </c>
      <c r="L80" s="536"/>
      <c r="M80" s="509">
        <f t="shared" si="158"/>
        <v>1000</v>
      </c>
      <c r="N80" s="645">
        <f t="shared" ref="N80" si="191">IFERROR(H80*M80+H81*M81+H82*M82+H83*M83+H84*M84,"N.A.")</f>
        <v>1000</v>
      </c>
      <c r="O80" s="625"/>
      <c r="P80" s="628">
        <f t="shared" si="160"/>
        <v>100</v>
      </c>
      <c r="Q80" s="628">
        <f t="shared" ref="Q80" si="192">IFERROR(IF(H80*M80+H81*M81+H82*M82+H83*M83+H84*M84&gt;500,500,H80*M80+H81*M81+H82*M82+H83*M83+H84*M84),"N.A.")</f>
        <v>500</v>
      </c>
    </row>
    <row r="81" spans="1:17" ht="15.75" hidden="1" thickBot="1">
      <c r="A81" s="390" t="str">
        <f t="shared" ref="A81:B81" si="193">A78</f>
        <v>PE</v>
      </c>
      <c r="B81" s="391" t="str">
        <f t="shared" si="193"/>
        <v>fiber</v>
      </c>
      <c r="C81" s="391" t="str">
        <f t="shared" si="149"/>
        <v/>
      </c>
      <c r="D81" s="391" t="str">
        <f t="shared" ref="D81:E81" si="194">D78</f>
        <v>0,01-0,1</v>
      </c>
      <c r="E81" s="391">
        <f t="shared" si="194"/>
        <v>0.1</v>
      </c>
      <c r="F81" s="391" t="str">
        <f t="shared" ref="F81:G81" si="195">F80</f>
        <v>air</v>
      </c>
      <c r="G81" s="401" t="str">
        <f t="shared" si="195"/>
        <v>DE: PE fiber 0,01-0,1 mm (emission to air)</v>
      </c>
      <c r="H81" s="393">
        <v>5.1999999999999998E-2</v>
      </c>
      <c r="I81" s="394" t="s">
        <v>1097</v>
      </c>
      <c r="J81" s="635"/>
      <c r="K81" s="395">
        <v>0</v>
      </c>
      <c r="L81" s="537"/>
      <c r="M81" s="509">
        <f t="shared" si="158"/>
        <v>1000</v>
      </c>
      <c r="N81" s="646"/>
      <c r="O81" s="626"/>
      <c r="P81" s="629"/>
      <c r="Q81" s="629"/>
    </row>
    <row r="82" spans="1:17" ht="15.75" hidden="1" thickBot="1">
      <c r="A82" s="390" t="str">
        <f t="shared" ref="A82:B82" si="196">A79</f>
        <v>PE</v>
      </c>
      <c r="B82" s="391" t="str">
        <f t="shared" si="196"/>
        <v>fiber</v>
      </c>
      <c r="C82" s="391" t="str">
        <f t="shared" si="149"/>
        <v/>
      </c>
      <c r="D82" s="391" t="str">
        <f t="shared" ref="D82:E82" si="197">D79</f>
        <v>0,01-0,1</v>
      </c>
      <c r="E82" s="391">
        <f t="shared" si="197"/>
        <v>0.1</v>
      </c>
      <c r="F82" s="391" t="str">
        <f t="shared" ref="F82:G82" si="198">F81</f>
        <v>air</v>
      </c>
      <c r="G82" s="401" t="str">
        <f t="shared" si="198"/>
        <v>DE: PE fiber 0,01-0,1 mm (emission to air)</v>
      </c>
      <c r="H82" s="393">
        <v>0</v>
      </c>
      <c r="I82" s="394" t="s">
        <v>1162</v>
      </c>
      <c r="J82" s="635"/>
      <c r="K82" s="395">
        <v>0</v>
      </c>
      <c r="L82" s="537"/>
      <c r="M82" s="509">
        <f t="shared" si="158"/>
        <v>1000</v>
      </c>
      <c r="N82" s="646"/>
      <c r="O82" s="626"/>
      <c r="P82" s="629"/>
      <c r="Q82" s="629"/>
    </row>
    <row r="83" spans="1:17" ht="15.75" hidden="1" thickBot="1">
      <c r="A83" s="390" t="str">
        <f t="shared" ref="A83:B83" si="199">A80</f>
        <v>PE</v>
      </c>
      <c r="B83" s="391" t="str">
        <f t="shared" si="199"/>
        <v>fiber</v>
      </c>
      <c r="C83" s="391" t="str">
        <f t="shared" si="149"/>
        <v/>
      </c>
      <c r="D83" s="391" t="str">
        <f t="shared" ref="D83:E83" si="200">D80</f>
        <v>0,01-0,1</v>
      </c>
      <c r="E83" s="391">
        <f t="shared" si="200"/>
        <v>0.1</v>
      </c>
      <c r="F83" s="391" t="str">
        <f t="shared" ref="F83:G83" si="201">F82</f>
        <v>air</v>
      </c>
      <c r="G83" s="401" t="str">
        <f t="shared" si="201"/>
        <v>DE: PE fiber 0,01-0,1 mm (emission to air)</v>
      </c>
      <c r="H83" s="393">
        <v>0</v>
      </c>
      <c r="I83" s="394" t="s">
        <v>1163</v>
      </c>
      <c r="J83" s="635"/>
      <c r="K83" s="395">
        <v>0</v>
      </c>
      <c r="L83" s="537"/>
      <c r="M83" s="509">
        <f t="shared" si="158"/>
        <v>1000</v>
      </c>
      <c r="N83" s="646"/>
      <c r="O83" s="626"/>
      <c r="P83" s="629"/>
      <c r="Q83" s="629"/>
    </row>
    <row r="84" spans="1:17" ht="15.75" hidden="1" thickBot="1">
      <c r="A84" s="404" t="str">
        <f t="shared" ref="A84:B84" si="202">A79</f>
        <v>PE</v>
      </c>
      <c r="B84" s="402" t="str">
        <f t="shared" si="202"/>
        <v>fiber</v>
      </c>
      <c r="C84" s="402" t="str">
        <f t="shared" si="149"/>
        <v/>
      </c>
      <c r="D84" s="402" t="str">
        <f t="shared" ref="D84:E84" si="203">D79</f>
        <v>0,01-0,1</v>
      </c>
      <c r="E84" s="402">
        <f t="shared" si="203"/>
        <v>0.1</v>
      </c>
      <c r="F84" s="391" t="str">
        <f t="shared" ref="F84:G84" si="204">F83</f>
        <v>air</v>
      </c>
      <c r="G84" s="401" t="str">
        <f t="shared" si="204"/>
        <v>DE: PE fiber 0,01-0,1 mm (emission to air)</v>
      </c>
      <c r="H84" s="393">
        <v>0</v>
      </c>
      <c r="I84" s="394" t="s">
        <v>1034</v>
      </c>
      <c r="J84" s="636"/>
      <c r="K84" s="398" t="s">
        <v>596</v>
      </c>
      <c r="L84" s="538"/>
      <c r="M84" s="509">
        <f t="shared" si="158"/>
        <v>0</v>
      </c>
      <c r="N84" s="647"/>
      <c r="O84" s="627"/>
      <c r="P84" s="629"/>
      <c r="Q84" s="629"/>
    </row>
    <row r="85" spans="1:17" ht="15.75" hidden="1" thickBot="1">
      <c r="A85" s="405" t="s">
        <v>77</v>
      </c>
      <c r="B85" s="406" t="s">
        <v>1151</v>
      </c>
      <c r="C85" s="407">
        <v>4</v>
      </c>
      <c r="D85" s="423" t="s">
        <v>1028</v>
      </c>
      <c r="E85" s="408">
        <v>1</v>
      </c>
      <c r="F85" s="424" t="s">
        <v>1019</v>
      </c>
      <c r="G85" s="425" t="str">
        <f>CONCATENATE("DE: ",A85," ",B85," ",D85," mm (emission to ",F85,")")</f>
        <v>DE: PE fiber 0,1-1 mm (emission to soil)</v>
      </c>
      <c r="H85" s="426">
        <v>0.97</v>
      </c>
      <c r="I85" s="427" t="s">
        <v>1019</v>
      </c>
      <c r="J85" s="635">
        <v>0.22800000000000001</v>
      </c>
      <c r="K85" s="428">
        <v>0.63</v>
      </c>
      <c r="L85" s="539"/>
      <c r="M85" s="509">
        <f t="shared" si="158"/>
        <v>396.82539682539681</v>
      </c>
      <c r="N85" s="645">
        <f t="shared" ref="N85" si="205">IFERROR(H85*M85+H86*M86+H87*M87+H88*M88+H89*M89,"N.A.")</f>
        <v>414.92063492063488</v>
      </c>
      <c r="O85" s="625"/>
      <c r="P85" s="628">
        <f t="shared" si="160"/>
        <v>100</v>
      </c>
      <c r="Q85" s="628">
        <f t="shared" ref="Q85" si="206">IFERROR(IF(H85*M85+H86*M86+H87*M87+H88*M88+H89*M89&gt;500,500,H85*M85+H86*M86+H87*M87+H88*M88+H89*M89),"N.A.")</f>
        <v>414.92063492063488</v>
      </c>
    </row>
    <row r="86" spans="1:17" ht="15.75" hidden="1" thickBot="1">
      <c r="A86" s="390" t="str">
        <f>A85</f>
        <v>PE</v>
      </c>
      <c r="B86" s="391" t="str">
        <f>B85</f>
        <v>fiber</v>
      </c>
      <c r="C86" s="391" t="str">
        <f t="shared" ref="C86:C104" si="207">IF(OR(B86="Folie", B86="Strips", B86="Film",B86="Flakes",B86="Coupon"), 2,IF(OR(B86="Fibers",B86="Pellets"),4,IF(OR(B86="Particles",B86="Shreds",B86="Powder",B86="Fragments",B86="Granules"),6,"")))</f>
        <v/>
      </c>
      <c r="D86" s="391" t="str">
        <f t="shared" ref="D86:G86" si="208">D85</f>
        <v>0,1-1</v>
      </c>
      <c r="E86" s="391">
        <f t="shared" si="208"/>
        <v>1</v>
      </c>
      <c r="F86" s="391" t="str">
        <f t="shared" si="208"/>
        <v>soil</v>
      </c>
      <c r="G86" s="392" t="str">
        <f t="shared" si="208"/>
        <v>DE: PE fiber 0,1-1 mm (emission to soil)</v>
      </c>
      <c r="H86" s="393">
        <v>0.03</v>
      </c>
      <c r="I86" s="394" t="s">
        <v>1097</v>
      </c>
      <c r="J86" s="635"/>
      <c r="K86" s="395">
        <v>0</v>
      </c>
      <c r="L86" s="537"/>
      <c r="M86" s="509">
        <f t="shared" si="158"/>
        <v>1000</v>
      </c>
      <c r="N86" s="646"/>
      <c r="O86" s="626"/>
      <c r="P86" s="629"/>
      <c r="Q86" s="629"/>
    </row>
    <row r="87" spans="1:17" ht="15.75" hidden="1" thickBot="1">
      <c r="A87" s="390" t="str">
        <f t="shared" ref="A87:A88" si="209">A86</f>
        <v>PE</v>
      </c>
      <c r="B87" s="391" t="str">
        <f t="shared" ref="B87:B88" si="210">B86</f>
        <v>fiber</v>
      </c>
      <c r="C87" s="391" t="str">
        <f t="shared" si="207"/>
        <v/>
      </c>
      <c r="D87" s="391" t="str">
        <f t="shared" ref="D87:G87" si="211">D86</f>
        <v>0,1-1</v>
      </c>
      <c r="E87" s="391">
        <f t="shared" si="211"/>
        <v>1</v>
      </c>
      <c r="F87" s="391" t="str">
        <f t="shared" si="211"/>
        <v>soil</v>
      </c>
      <c r="G87" s="392" t="str">
        <f t="shared" si="211"/>
        <v>DE: PE fiber 0,1-1 mm (emission to soil)</v>
      </c>
      <c r="H87" s="393">
        <v>0</v>
      </c>
      <c r="I87" s="394" t="s">
        <v>1162</v>
      </c>
      <c r="J87" s="635"/>
      <c r="K87" s="395">
        <v>0</v>
      </c>
      <c r="L87" s="537"/>
      <c r="M87" s="509">
        <f t="shared" si="158"/>
        <v>1000</v>
      </c>
      <c r="N87" s="646"/>
      <c r="O87" s="626"/>
      <c r="P87" s="629"/>
      <c r="Q87" s="629"/>
    </row>
    <row r="88" spans="1:17" ht="15.75" hidden="1" thickBot="1">
      <c r="A88" s="390" t="str">
        <f t="shared" si="209"/>
        <v>PE</v>
      </c>
      <c r="B88" s="391" t="str">
        <f t="shared" si="210"/>
        <v>fiber</v>
      </c>
      <c r="C88" s="391" t="str">
        <f t="shared" si="207"/>
        <v/>
      </c>
      <c r="D88" s="391" t="str">
        <f t="shared" ref="D88:G88" si="212">D87</f>
        <v>0,1-1</v>
      </c>
      <c r="E88" s="391">
        <f t="shared" si="212"/>
        <v>1</v>
      </c>
      <c r="F88" s="391" t="str">
        <f t="shared" si="212"/>
        <v>soil</v>
      </c>
      <c r="G88" s="392" t="str">
        <f t="shared" si="212"/>
        <v>DE: PE fiber 0,1-1 mm (emission to soil)</v>
      </c>
      <c r="H88" s="393">
        <v>0</v>
      </c>
      <c r="I88" s="394" t="s">
        <v>1163</v>
      </c>
      <c r="J88" s="635"/>
      <c r="K88" s="395">
        <v>0</v>
      </c>
      <c r="L88" s="537"/>
      <c r="M88" s="509">
        <f t="shared" si="158"/>
        <v>1000</v>
      </c>
      <c r="N88" s="646"/>
      <c r="O88" s="626"/>
      <c r="P88" s="629"/>
      <c r="Q88" s="629"/>
    </row>
    <row r="89" spans="1:17" ht="15.75" hidden="1" thickBot="1">
      <c r="A89" s="390" t="str">
        <f>A86</f>
        <v>PE</v>
      </c>
      <c r="B89" s="391" t="str">
        <f>B86</f>
        <v>fiber</v>
      </c>
      <c r="C89" s="391" t="str">
        <f t="shared" si="207"/>
        <v/>
      </c>
      <c r="D89" s="391" t="str">
        <f>D86</f>
        <v>0,1-1</v>
      </c>
      <c r="E89" s="391">
        <f>E86</f>
        <v>1</v>
      </c>
      <c r="F89" s="391" t="str">
        <f>F86</f>
        <v>soil</v>
      </c>
      <c r="G89" s="396" t="str">
        <f t="shared" ref="G89" si="213">G88</f>
        <v>DE: PE fiber 0,1-1 mm (emission to soil)</v>
      </c>
      <c r="H89" s="393">
        <v>0</v>
      </c>
      <c r="I89" s="397" t="s">
        <v>1034</v>
      </c>
      <c r="J89" s="654"/>
      <c r="K89" s="398" t="s">
        <v>596</v>
      </c>
      <c r="L89" s="538"/>
      <c r="M89" s="509">
        <f t="shared" si="158"/>
        <v>0</v>
      </c>
      <c r="N89" s="647"/>
      <c r="O89" s="627"/>
      <c r="P89" s="629"/>
      <c r="Q89" s="629"/>
    </row>
    <row r="90" spans="1:17" ht="15.75" hidden="1" thickBot="1">
      <c r="A90" s="390" t="str">
        <f t="shared" ref="A90:B90" si="214">A87</f>
        <v>PE</v>
      </c>
      <c r="B90" s="391" t="str">
        <f t="shared" si="214"/>
        <v>fiber</v>
      </c>
      <c r="C90" s="399" t="str">
        <f t="shared" si="207"/>
        <v/>
      </c>
      <c r="D90" s="399" t="str">
        <f t="shared" ref="D90:E90" si="215">D87</f>
        <v>0,1-1</v>
      </c>
      <c r="E90" s="391">
        <f t="shared" si="215"/>
        <v>1</v>
      </c>
      <c r="F90" s="400" t="s">
        <v>1147</v>
      </c>
      <c r="G90" s="386" t="str">
        <f>CONCATENATE("DE: ",A90," ",B90," ",D90," mm (emission to ",F90,")")</f>
        <v>DE: PE fiber 0,1-1 mm (emission to fresh water)</v>
      </c>
      <c r="H90" s="387">
        <v>0</v>
      </c>
      <c r="I90" s="388" t="s">
        <v>1019</v>
      </c>
      <c r="J90" s="634">
        <v>0.22800000000000001</v>
      </c>
      <c r="K90" s="389">
        <v>0.63</v>
      </c>
      <c r="L90" s="536"/>
      <c r="M90" s="509">
        <f t="shared" si="158"/>
        <v>1000</v>
      </c>
      <c r="N90" s="645">
        <f t="shared" ref="N90" si="216">IFERROR(H90*M90+H91*M91+H92*M92+H93*M93+H94*M94,"N.A.")</f>
        <v>1000</v>
      </c>
      <c r="O90" s="625"/>
      <c r="P90" s="628">
        <f t="shared" si="160"/>
        <v>100</v>
      </c>
      <c r="Q90" s="628">
        <f t="shared" ref="Q90" si="217">IFERROR(IF(H90*M90+H91*M91+H92*M92+H93*M93+H94*M94&gt;500,500,H90*M90+H91*M91+H92*M92+H93*M93+H94*M94),"N.A.")</f>
        <v>500</v>
      </c>
    </row>
    <row r="91" spans="1:17" ht="15.75" hidden="1" thickBot="1">
      <c r="A91" s="390" t="str">
        <f t="shared" ref="A91:B91" si="218">A88</f>
        <v>PE</v>
      </c>
      <c r="B91" s="391" t="str">
        <f t="shared" si="218"/>
        <v>fiber</v>
      </c>
      <c r="C91" s="391" t="str">
        <f t="shared" si="207"/>
        <v/>
      </c>
      <c r="D91" s="391" t="str">
        <f t="shared" ref="D91:E91" si="219">D88</f>
        <v>0,1-1</v>
      </c>
      <c r="E91" s="391">
        <f t="shared" si="219"/>
        <v>1</v>
      </c>
      <c r="F91" s="391" t="str">
        <f t="shared" ref="F91:G91" si="220">F90</f>
        <v>fresh water</v>
      </c>
      <c r="G91" s="401" t="str">
        <f t="shared" si="220"/>
        <v>DE: PE fiber 0,1-1 mm (emission to fresh water)</v>
      </c>
      <c r="H91" s="393">
        <v>1</v>
      </c>
      <c r="I91" s="394" t="s">
        <v>1097</v>
      </c>
      <c r="J91" s="635"/>
      <c r="K91" s="395">
        <v>0</v>
      </c>
      <c r="L91" s="537"/>
      <c r="M91" s="509">
        <f t="shared" si="158"/>
        <v>1000</v>
      </c>
      <c r="N91" s="646"/>
      <c r="O91" s="626"/>
      <c r="P91" s="629"/>
      <c r="Q91" s="629"/>
    </row>
    <row r="92" spans="1:17" ht="15.75" hidden="1" thickBot="1">
      <c r="A92" s="390" t="str">
        <f t="shared" ref="A92:B92" si="221">A89</f>
        <v>PE</v>
      </c>
      <c r="B92" s="391" t="str">
        <f t="shared" si="221"/>
        <v>fiber</v>
      </c>
      <c r="C92" s="391" t="str">
        <f t="shared" si="207"/>
        <v/>
      </c>
      <c r="D92" s="391" t="str">
        <f t="shared" ref="D92:E92" si="222">D89</f>
        <v>0,1-1</v>
      </c>
      <c r="E92" s="391">
        <f t="shared" si="222"/>
        <v>1</v>
      </c>
      <c r="F92" s="391" t="str">
        <f t="shared" ref="F92:G92" si="223">F91</f>
        <v>fresh water</v>
      </c>
      <c r="G92" s="401" t="str">
        <f t="shared" si="223"/>
        <v>DE: PE fiber 0,1-1 mm (emission to fresh water)</v>
      </c>
      <c r="H92" s="393">
        <v>0</v>
      </c>
      <c r="I92" s="394" t="s">
        <v>1162</v>
      </c>
      <c r="J92" s="635"/>
      <c r="K92" s="395">
        <v>0</v>
      </c>
      <c r="L92" s="537"/>
      <c r="M92" s="509">
        <f t="shared" si="158"/>
        <v>1000</v>
      </c>
      <c r="N92" s="646"/>
      <c r="O92" s="626"/>
      <c r="P92" s="629"/>
      <c r="Q92" s="629"/>
    </row>
    <row r="93" spans="1:17" ht="15.75" hidden="1" thickBot="1">
      <c r="A93" s="390" t="str">
        <f t="shared" ref="A93:B93" si="224">A90</f>
        <v>PE</v>
      </c>
      <c r="B93" s="391" t="str">
        <f t="shared" si="224"/>
        <v>fiber</v>
      </c>
      <c r="C93" s="391" t="str">
        <f t="shared" si="207"/>
        <v/>
      </c>
      <c r="D93" s="391" t="str">
        <f t="shared" ref="D93:E93" si="225">D90</f>
        <v>0,1-1</v>
      </c>
      <c r="E93" s="391">
        <f t="shared" si="225"/>
        <v>1</v>
      </c>
      <c r="F93" s="391" t="str">
        <f t="shared" ref="F93:G93" si="226">F92</f>
        <v>fresh water</v>
      </c>
      <c r="G93" s="401" t="str">
        <f t="shared" si="226"/>
        <v>DE: PE fiber 0,1-1 mm (emission to fresh water)</v>
      </c>
      <c r="H93" s="393">
        <v>0</v>
      </c>
      <c r="I93" s="394" t="s">
        <v>1163</v>
      </c>
      <c r="J93" s="635"/>
      <c r="K93" s="395">
        <v>0</v>
      </c>
      <c r="L93" s="537"/>
      <c r="M93" s="509">
        <f t="shared" si="158"/>
        <v>1000</v>
      </c>
      <c r="N93" s="646"/>
      <c r="O93" s="626"/>
      <c r="P93" s="629"/>
      <c r="Q93" s="629"/>
    </row>
    <row r="94" spans="1:17" ht="15.75" hidden="1" thickBot="1">
      <c r="A94" s="390" t="str">
        <f t="shared" ref="A94:B94" si="227">A91</f>
        <v>PE</v>
      </c>
      <c r="B94" s="391" t="str">
        <f t="shared" si="227"/>
        <v>fiber</v>
      </c>
      <c r="C94" s="391" t="str">
        <f t="shared" si="207"/>
        <v/>
      </c>
      <c r="D94" s="391" t="str">
        <f t="shared" ref="D94:E94" si="228">D91</f>
        <v>0,1-1</v>
      </c>
      <c r="E94" s="391">
        <f t="shared" si="228"/>
        <v>1</v>
      </c>
      <c r="F94" s="402" t="str">
        <f>F91</f>
        <v>fresh water</v>
      </c>
      <c r="G94" s="401" t="str">
        <f t="shared" ref="G94" si="229">G93</f>
        <v>DE: PE fiber 0,1-1 mm (emission to fresh water)</v>
      </c>
      <c r="H94" s="393">
        <v>0</v>
      </c>
      <c r="I94" s="394" t="s">
        <v>1034</v>
      </c>
      <c r="J94" s="654"/>
      <c r="K94" s="398" t="s">
        <v>596</v>
      </c>
      <c r="L94" s="538"/>
      <c r="M94" s="509">
        <f t="shared" si="158"/>
        <v>0</v>
      </c>
      <c r="N94" s="647"/>
      <c r="O94" s="627"/>
      <c r="P94" s="629"/>
      <c r="Q94" s="629"/>
    </row>
    <row r="95" spans="1:17" ht="15.75" hidden="1" thickBot="1">
      <c r="A95" s="390" t="str">
        <f t="shared" ref="A95:B95" si="230">A92</f>
        <v>PE</v>
      </c>
      <c r="B95" s="391" t="str">
        <f t="shared" si="230"/>
        <v>fiber</v>
      </c>
      <c r="C95" s="391" t="str">
        <f t="shared" si="207"/>
        <v/>
      </c>
      <c r="D95" s="391" t="str">
        <f t="shared" ref="D95:E95" si="231">D92</f>
        <v>0,1-1</v>
      </c>
      <c r="E95" s="391">
        <f t="shared" si="231"/>
        <v>1</v>
      </c>
      <c r="F95" s="385" t="s">
        <v>1097</v>
      </c>
      <c r="G95" s="422" t="str">
        <f>CONCATENATE("DE: ",A95," ",B95," ",D95," mm (emission to ",F95,")")</f>
        <v>DE: PE fiber 0,1-1 mm (emission to marine water)</v>
      </c>
      <c r="H95" s="387">
        <v>0</v>
      </c>
      <c r="I95" s="394" t="s">
        <v>1019</v>
      </c>
      <c r="J95" s="634">
        <v>0.22800000000000001</v>
      </c>
      <c r="K95" s="389">
        <v>0.63</v>
      </c>
      <c r="L95" s="536"/>
      <c r="M95" s="509">
        <f t="shared" si="158"/>
        <v>1000</v>
      </c>
      <c r="N95" s="645">
        <f t="shared" ref="N95" si="232">IFERROR(H95*M95+H96*M96+H97*M97+H98*M98+H99*M99,"N.A.")</f>
        <v>1000</v>
      </c>
      <c r="O95" s="625"/>
      <c r="P95" s="628">
        <f t="shared" si="160"/>
        <v>100</v>
      </c>
      <c r="Q95" s="628">
        <f t="shared" ref="Q95" si="233">IFERROR(IF(H95*M95+H96*M96+H97*M97+H98*M98+H99*M99&gt;500,500,H95*M95+H96*M96+H97*M97+H98*M98+H99*M99),"N.A.")</f>
        <v>500</v>
      </c>
    </row>
    <row r="96" spans="1:17" ht="15.75" hidden="1" thickBot="1">
      <c r="A96" s="390" t="str">
        <f t="shared" ref="A96:B96" si="234">A93</f>
        <v>PE</v>
      </c>
      <c r="B96" s="391" t="str">
        <f t="shared" si="234"/>
        <v>fiber</v>
      </c>
      <c r="C96" s="391" t="str">
        <f t="shared" si="207"/>
        <v/>
      </c>
      <c r="D96" s="391" t="str">
        <f t="shared" ref="D96:E96" si="235">D93</f>
        <v>0,1-1</v>
      </c>
      <c r="E96" s="391">
        <f t="shared" si="235"/>
        <v>1</v>
      </c>
      <c r="F96" s="391" t="str">
        <f t="shared" ref="F96:G96" si="236">F95</f>
        <v>marine water</v>
      </c>
      <c r="G96" s="401" t="str">
        <f t="shared" si="236"/>
        <v>DE: PE fiber 0,1-1 mm (emission to marine water)</v>
      </c>
      <c r="H96" s="393">
        <v>1</v>
      </c>
      <c r="I96" s="394" t="s">
        <v>1097</v>
      </c>
      <c r="J96" s="635"/>
      <c r="K96" s="395">
        <v>0</v>
      </c>
      <c r="L96" s="537"/>
      <c r="M96" s="509">
        <f t="shared" si="158"/>
        <v>1000</v>
      </c>
      <c r="N96" s="646"/>
      <c r="O96" s="626"/>
      <c r="P96" s="629"/>
      <c r="Q96" s="629"/>
    </row>
    <row r="97" spans="1:17" ht="15.75" hidden="1" thickBot="1">
      <c r="A97" s="390" t="str">
        <f t="shared" ref="A97:B97" si="237">A94</f>
        <v>PE</v>
      </c>
      <c r="B97" s="391" t="str">
        <f t="shared" si="237"/>
        <v>fiber</v>
      </c>
      <c r="C97" s="391" t="str">
        <f t="shared" si="207"/>
        <v/>
      </c>
      <c r="D97" s="391" t="str">
        <f t="shared" ref="D97:E97" si="238">D94</f>
        <v>0,1-1</v>
      </c>
      <c r="E97" s="391">
        <f t="shared" si="238"/>
        <v>1</v>
      </c>
      <c r="F97" s="391" t="str">
        <f t="shared" ref="F97:G97" si="239">F96</f>
        <v>marine water</v>
      </c>
      <c r="G97" s="401" t="str">
        <f t="shared" si="239"/>
        <v>DE: PE fiber 0,1-1 mm (emission to marine water)</v>
      </c>
      <c r="H97" s="393">
        <v>0</v>
      </c>
      <c r="I97" s="394" t="s">
        <v>1162</v>
      </c>
      <c r="J97" s="635"/>
      <c r="K97" s="395">
        <v>0</v>
      </c>
      <c r="L97" s="537"/>
      <c r="M97" s="509">
        <f t="shared" si="158"/>
        <v>1000</v>
      </c>
      <c r="N97" s="646"/>
      <c r="O97" s="626"/>
      <c r="P97" s="629"/>
      <c r="Q97" s="629"/>
    </row>
    <row r="98" spans="1:17" ht="15.75" hidden="1" thickBot="1">
      <c r="A98" s="390" t="str">
        <f t="shared" ref="A98:B98" si="240">A95</f>
        <v>PE</v>
      </c>
      <c r="B98" s="391" t="str">
        <f t="shared" si="240"/>
        <v>fiber</v>
      </c>
      <c r="C98" s="391" t="str">
        <f t="shared" si="207"/>
        <v/>
      </c>
      <c r="D98" s="391" t="str">
        <f t="shared" ref="D98:E98" si="241">D95</f>
        <v>0,1-1</v>
      </c>
      <c r="E98" s="391">
        <f t="shared" si="241"/>
        <v>1</v>
      </c>
      <c r="F98" s="391" t="str">
        <f t="shared" ref="F98:G98" si="242">F97</f>
        <v>marine water</v>
      </c>
      <c r="G98" s="401" t="str">
        <f t="shared" si="242"/>
        <v>DE: PE fiber 0,1-1 mm (emission to marine water)</v>
      </c>
      <c r="H98" s="393">
        <v>0</v>
      </c>
      <c r="I98" s="394" t="s">
        <v>1163</v>
      </c>
      <c r="J98" s="635"/>
      <c r="K98" s="395">
        <v>0</v>
      </c>
      <c r="L98" s="537"/>
      <c r="M98" s="509">
        <f t="shared" si="158"/>
        <v>1000</v>
      </c>
      <c r="N98" s="646"/>
      <c r="O98" s="626"/>
      <c r="P98" s="629"/>
      <c r="Q98" s="629"/>
    </row>
    <row r="99" spans="1:17" ht="15.75" hidden="1" thickBot="1">
      <c r="A99" s="390" t="str">
        <f t="shared" ref="A99:B99" si="243">A96</f>
        <v>PE</v>
      </c>
      <c r="B99" s="391" t="str">
        <f t="shared" si="243"/>
        <v>fiber</v>
      </c>
      <c r="C99" s="391" t="str">
        <f t="shared" si="207"/>
        <v/>
      </c>
      <c r="D99" s="391" t="str">
        <f t="shared" ref="D99:E99" si="244">D96</f>
        <v>0,1-1</v>
      </c>
      <c r="E99" s="391">
        <f t="shared" si="244"/>
        <v>1</v>
      </c>
      <c r="F99" s="391" t="str">
        <f t="shared" ref="F99:G99" si="245">F98</f>
        <v>marine water</v>
      </c>
      <c r="G99" s="401" t="str">
        <f t="shared" si="245"/>
        <v>DE: PE fiber 0,1-1 mm (emission to marine water)</v>
      </c>
      <c r="H99" s="393">
        <v>0</v>
      </c>
      <c r="I99" s="394" t="s">
        <v>1034</v>
      </c>
      <c r="J99" s="654"/>
      <c r="K99" s="398" t="s">
        <v>596</v>
      </c>
      <c r="L99" s="538"/>
      <c r="M99" s="509">
        <f t="shared" si="158"/>
        <v>0</v>
      </c>
      <c r="N99" s="647"/>
      <c r="O99" s="627"/>
      <c r="P99" s="629"/>
      <c r="Q99" s="629"/>
    </row>
    <row r="100" spans="1:17" ht="15.75" hidden="1" thickBot="1">
      <c r="A100" s="390" t="str">
        <f t="shared" ref="A100:B100" si="246">A97</f>
        <v>PE</v>
      </c>
      <c r="B100" s="391" t="str">
        <f t="shared" si="246"/>
        <v>fiber</v>
      </c>
      <c r="C100" s="391" t="str">
        <f t="shared" si="207"/>
        <v/>
      </c>
      <c r="D100" s="391" t="str">
        <f t="shared" ref="D100:E100" si="247">D97</f>
        <v>0,1-1</v>
      </c>
      <c r="E100" s="391">
        <f t="shared" si="247"/>
        <v>1</v>
      </c>
      <c r="F100" s="400" t="s">
        <v>1057</v>
      </c>
      <c r="G100" s="422" t="str">
        <f>CONCATENATE("DE: ",A100," ",B100," ",D100," mm (emission to ",F100,")")</f>
        <v>DE: PE fiber 0,1-1 mm (emission to air)</v>
      </c>
      <c r="H100" s="403">
        <v>0.94799999999999995</v>
      </c>
      <c r="I100" s="394" t="s">
        <v>1019</v>
      </c>
      <c r="J100" s="634">
        <v>0.22800000000000001</v>
      </c>
      <c r="K100" s="389">
        <v>0.63</v>
      </c>
      <c r="L100" s="536"/>
      <c r="M100" s="509">
        <f t="shared" si="158"/>
        <v>1000</v>
      </c>
      <c r="N100" s="645">
        <f t="shared" ref="N100" si="248">IFERROR(H100*M100+H101*M101+H102*M102+H103*M103+H104*M104,"N.A.")</f>
        <v>1000</v>
      </c>
      <c r="O100" s="625"/>
      <c r="P100" s="628">
        <f t="shared" si="160"/>
        <v>100</v>
      </c>
      <c r="Q100" s="628">
        <f t="shared" ref="Q100" si="249">IFERROR(IF(H100*M100+H101*M101+H102*M102+H103*M103+H104*M104&gt;500,500,H100*M100+H101*M101+H102*M102+H103*M103+H104*M104),"N.A.")</f>
        <v>500</v>
      </c>
    </row>
    <row r="101" spans="1:17" ht="15.75" hidden="1" thickBot="1">
      <c r="A101" s="390" t="str">
        <f t="shared" ref="A101:B101" si="250">A98</f>
        <v>PE</v>
      </c>
      <c r="B101" s="391" t="str">
        <f t="shared" si="250"/>
        <v>fiber</v>
      </c>
      <c r="C101" s="391" t="str">
        <f t="shared" si="207"/>
        <v/>
      </c>
      <c r="D101" s="391" t="str">
        <f t="shared" ref="D101:E101" si="251">D98</f>
        <v>0,1-1</v>
      </c>
      <c r="E101" s="391">
        <f t="shared" si="251"/>
        <v>1</v>
      </c>
      <c r="F101" s="391" t="str">
        <f t="shared" ref="F101:G101" si="252">F100</f>
        <v>air</v>
      </c>
      <c r="G101" s="401" t="str">
        <f t="shared" si="252"/>
        <v>DE: PE fiber 0,1-1 mm (emission to air)</v>
      </c>
      <c r="H101" s="393">
        <v>5.1999999999999998E-2</v>
      </c>
      <c r="I101" s="394" t="s">
        <v>1097</v>
      </c>
      <c r="J101" s="635"/>
      <c r="K101" s="395">
        <v>0</v>
      </c>
      <c r="L101" s="537"/>
      <c r="M101" s="509">
        <f t="shared" si="158"/>
        <v>1000</v>
      </c>
      <c r="N101" s="646"/>
      <c r="O101" s="626"/>
      <c r="P101" s="629"/>
      <c r="Q101" s="629"/>
    </row>
    <row r="102" spans="1:17" ht="15.75" hidden="1" thickBot="1">
      <c r="A102" s="390" t="str">
        <f t="shared" ref="A102:B102" si="253">A99</f>
        <v>PE</v>
      </c>
      <c r="B102" s="391" t="str">
        <f t="shared" si="253"/>
        <v>fiber</v>
      </c>
      <c r="C102" s="391" t="str">
        <f t="shared" si="207"/>
        <v/>
      </c>
      <c r="D102" s="391" t="str">
        <f t="shared" ref="D102:E102" si="254">D99</f>
        <v>0,1-1</v>
      </c>
      <c r="E102" s="391">
        <f t="shared" si="254"/>
        <v>1</v>
      </c>
      <c r="F102" s="391" t="str">
        <f t="shared" ref="F102:G102" si="255">F101</f>
        <v>air</v>
      </c>
      <c r="G102" s="401" t="str">
        <f t="shared" si="255"/>
        <v>DE: PE fiber 0,1-1 mm (emission to air)</v>
      </c>
      <c r="H102" s="393">
        <v>0</v>
      </c>
      <c r="I102" s="394" t="s">
        <v>1162</v>
      </c>
      <c r="J102" s="635"/>
      <c r="K102" s="395">
        <v>0</v>
      </c>
      <c r="L102" s="537"/>
      <c r="M102" s="509">
        <f t="shared" si="158"/>
        <v>1000</v>
      </c>
      <c r="N102" s="646"/>
      <c r="O102" s="626"/>
      <c r="P102" s="629"/>
      <c r="Q102" s="629"/>
    </row>
    <row r="103" spans="1:17" ht="15.75" hidden="1" thickBot="1">
      <c r="A103" s="390" t="str">
        <f t="shared" ref="A103:B103" si="256">A100</f>
        <v>PE</v>
      </c>
      <c r="B103" s="391" t="str">
        <f t="shared" si="256"/>
        <v>fiber</v>
      </c>
      <c r="C103" s="391" t="str">
        <f t="shared" si="207"/>
        <v/>
      </c>
      <c r="D103" s="391" t="str">
        <f t="shared" ref="D103:E103" si="257">D100</f>
        <v>0,1-1</v>
      </c>
      <c r="E103" s="391">
        <f t="shared" si="257"/>
        <v>1</v>
      </c>
      <c r="F103" s="391" t="str">
        <f t="shared" ref="F103:G103" si="258">F102</f>
        <v>air</v>
      </c>
      <c r="G103" s="401" t="str">
        <f t="shared" si="258"/>
        <v>DE: PE fiber 0,1-1 mm (emission to air)</v>
      </c>
      <c r="H103" s="393">
        <v>0</v>
      </c>
      <c r="I103" s="394" t="s">
        <v>1163</v>
      </c>
      <c r="J103" s="635"/>
      <c r="K103" s="395">
        <v>0</v>
      </c>
      <c r="L103" s="537"/>
      <c r="M103" s="509">
        <f t="shared" si="158"/>
        <v>1000</v>
      </c>
      <c r="N103" s="646"/>
      <c r="O103" s="626"/>
      <c r="P103" s="629"/>
      <c r="Q103" s="629"/>
    </row>
    <row r="104" spans="1:17" ht="15.75" hidden="1" thickBot="1">
      <c r="A104" s="404" t="str">
        <f t="shared" ref="A104:B104" si="259">A99</f>
        <v>PE</v>
      </c>
      <c r="B104" s="402" t="str">
        <f t="shared" si="259"/>
        <v>fiber</v>
      </c>
      <c r="C104" s="402" t="str">
        <f t="shared" si="207"/>
        <v/>
      </c>
      <c r="D104" s="402" t="str">
        <f t="shared" ref="D104:E104" si="260">D99</f>
        <v>0,1-1</v>
      </c>
      <c r="E104" s="402">
        <f t="shared" si="260"/>
        <v>1</v>
      </c>
      <c r="F104" s="391" t="str">
        <f t="shared" ref="F104:G104" si="261">F103</f>
        <v>air</v>
      </c>
      <c r="G104" s="401" t="str">
        <f t="shared" si="261"/>
        <v>DE: PE fiber 0,1-1 mm (emission to air)</v>
      </c>
      <c r="H104" s="393">
        <v>0</v>
      </c>
      <c r="I104" s="394" t="s">
        <v>1034</v>
      </c>
      <c r="J104" s="636"/>
      <c r="K104" s="398" t="s">
        <v>596</v>
      </c>
      <c r="L104" s="538"/>
      <c r="M104" s="509">
        <f t="shared" si="158"/>
        <v>0</v>
      </c>
      <c r="N104" s="647"/>
      <c r="O104" s="627"/>
      <c r="P104" s="629"/>
      <c r="Q104" s="629"/>
    </row>
    <row r="105" spans="1:17" ht="15.75" hidden="1" thickBot="1">
      <c r="A105" s="405" t="s">
        <v>77</v>
      </c>
      <c r="B105" s="406" t="s">
        <v>1151</v>
      </c>
      <c r="C105" s="407">
        <v>4</v>
      </c>
      <c r="D105" s="423" t="s">
        <v>1026</v>
      </c>
      <c r="E105" s="408">
        <v>10</v>
      </c>
      <c r="F105" s="424" t="s">
        <v>1019</v>
      </c>
      <c r="G105" s="425" t="str">
        <f>CONCATENATE("DE: ",A105," ",B105," ",D105," mm (emission to ",F105,")")</f>
        <v>DE: PE fiber 1-10 mm (emission to soil)</v>
      </c>
      <c r="H105" s="426">
        <v>0.97</v>
      </c>
      <c r="I105" s="427" t="s">
        <v>1019</v>
      </c>
      <c r="J105" s="635">
        <v>0.22800000000000001</v>
      </c>
      <c r="K105" s="428">
        <v>0.63</v>
      </c>
      <c r="L105" s="539"/>
      <c r="M105" s="509">
        <f t="shared" si="158"/>
        <v>1000</v>
      </c>
      <c r="N105" s="645">
        <f t="shared" ref="N105" si="262">IFERROR(H105*M105+H106*M106+H107*M107+H108*M108+H109*M109,"N.A.")</f>
        <v>1000</v>
      </c>
      <c r="O105" s="625"/>
      <c r="P105" s="628">
        <f t="shared" si="160"/>
        <v>100</v>
      </c>
      <c r="Q105" s="628">
        <f t="shared" ref="Q105:Q165" si="263">IFERROR(IF(H105*M105+H106*M106+H107*M107+H108*M108+H109*M109&gt;500,500,H105*M105+H106*M106+H107*M107+H108*M108+H109*M109),"N.A.")</f>
        <v>500</v>
      </c>
    </row>
    <row r="106" spans="1:17" ht="15.75" hidden="1" thickBot="1">
      <c r="A106" s="390" t="str">
        <f>A105</f>
        <v>PE</v>
      </c>
      <c r="B106" s="391" t="str">
        <f>B105</f>
        <v>fiber</v>
      </c>
      <c r="C106" s="391" t="str">
        <f t="shared" ref="C106:C124" si="264">IF(OR(B106="Folie", B106="Strips", B106="Film",B106="Flakes",B106="Coupon"), 2,IF(OR(B106="Fibers",B106="Pellets"),4,IF(OR(B106="Particles",B106="Shreds",B106="Powder",B106="Fragments",B106="Granules"),6,"")))</f>
        <v/>
      </c>
      <c r="D106" s="391" t="str">
        <f t="shared" ref="D106:G106" si="265">D105</f>
        <v>1-10</v>
      </c>
      <c r="E106" s="391">
        <f t="shared" si="265"/>
        <v>10</v>
      </c>
      <c r="F106" s="391" t="str">
        <f t="shared" si="265"/>
        <v>soil</v>
      </c>
      <c r="G106" s="392" t="str">
        <f t="shared" si="265"/>
        <v>DE: PE fiber 1-10 mm (emission to soil)</v>
      </c>
      <c r="H106" s="393">
        <v>0.03</v>
      </c>
      <c r="I106" s="394" t="s">
        <v>1097</v>
      </c>
      <c r="J106" s="635"/>
      <c r="K106" s="395">
        <v>0</v>
      </c>
      <c r="L106" s="537"/>
      <c r="M106" s="509">
        <f t="shared" si="158"/>
        <v>1000</v>
      </c>
      <c r="N106" s="646"/>
      <c r="O106" s="626"/>
      <c r="P106" s="629"/>
      <c r="Q106" s="629"/>
    </row>
    <row r="107" spans="1:17" ht="15.75" hidden="1" thickBot="1">
      <c r="A107" s="390" t="str">
        <f t="shared" ref="A107:A108" si="266">A106</f>
        <v>PE</v>
      </c>
      <c r="B107" s="391" t="str">
        <f t="shared" ref="B107:B108" si="267">B106</f>
        <v>fiber</v>
      </c>
      <c r="C107" s="391" t="str">
        <f t="shared" si="264"/>
        <v/>
      </c>
      <c r="D107" s="391" t="str">
        <f t="shared" ref="D107:G107" si="268">D106</f>
        <v>1-10</v>
      </c>
      <c r="E107" s="391">
        <f t="shared" si="268"/>
        <v>10</v>
      </c>
      <c r="F107" s="391" t="str">
        <f t="shared" si="268"/>
        <v>soil</v>
      </c>
      <c r="G107" s="392" t="str">
        <f t="shared" si="268"/>
        <v>DE: PE fiber 1-10 mm (emission to soil)</v>
      </c>
      <c r="H107" s="393">
        <v>0</v>
      </c>
      <c r="I107" s="394" t="s">
        <v>1162</v>
      </c>
      <c r="J107" s="635"/>
      <c r="K107" s="395">
        <v>0</v>
      </c>
      <c r="L107" s="537"/>
      <c r="M107" s="509">
        <f t="shared" si="158"/>
        <v>1000</v>
      </c>
      <c r="N107" s="646"/>
      <c r="O107" s="626"/>
      <c r="P107" s="629"/>
      <c r="Q107" s="629"/>
    </row>
    <row r="108" spans="1:17" ht="15.75" hidden="1" thickBot="1">
      <c r="A108" s="390" t="str">
        <f t="shared" si="266"/>
        <v>PE</v>
      </c>
      <c r="B108" s="391" t="str">
        <f t="shared" si="267"/>
        <v>fiber</v>
      </c>
      <c r="C108" s="391" t="str">
        <f t="shared" si="264"/>
        <v/>
      </c>
      <c r="D108" s="391" t="str">
        <f t="shared" ref="D108:G108" si="269">D107</f>
        <v>1-10</v>
      </c>
      <c r="E108" s="391">
        <f t="shared" si="269"/>
        <v>10</v>
      </c>
      <c r="F108" s="391" t="str">
        <f t="shared" si="269"/>
        <v>soil</v>
      </c>
      <c r="G108" s="392" t="str">
        <f t="shared" si="269"/>
        <v>DE: PE fiber 1-10 mm (emission to soil)</v>
      </c>
      <c r="H108" s="393">
        <v>0</v>
      </c>
      <c r="I108" s="394" t="s">
        <v>1163</v>
      </c>
      <c r="J108" s="635"/>
      <c r="K108" s="395">
        <v>0</v>
      </c>
      <c r="L108" s="537"/>
      <c r="M108" s="509">
        <f t="shared" si="158"/>
        <v>1000</v>
      </c>
      <c r="N108" s="646"/>
      <c r="O108" s="626"/>
      <c r="P108" s="629"/>
      <c r="Q108" s="629"/>
    </row>
    <row r="109" spans="1:17" ht="15.75" hidden="1" thickBot="1">
      <c r="A109" s="390" t="str">
        <f>A106</f>
        <v>PE</v>
      </c>
      <c r="B109" s="391" t="str">
        <f>B106</f>
        <v>fiber</v>
      </c>
      <c r="C109" s="391" t="str">
        <f t="shared" si="264"/>
        <v/>
      </c>
      <c r="D109" s="391" t="str">
        <f>D106</f>
        <v>1-10</v>
      </c>
      <c r="E109" s="391">
        <f>E106</f>
        <v>10</v>
      </c>
      <c r="F109" s="391" t="str">
        <f>F106</f>
        <v>soil</v>
      </c>
      <c r="G109" s="396" t="str">
        <f t="shared" ref="G109" si="270">G108</f>
        <v>DE: PE fiber 1-10 mm (emission to soil)</v>
      </c>
      <c r="H109" s="393">
        <v>0</v>
      </c>
      <c r="I109" s="397" t="s">
        <v>1034</v>
      </c>
      <c r="J109" s="654"/>
      <c r="K109" s="398" t="s">
        <v>596</v>
      </c>
      <c r="L109" s="538"/>
      <c r="M109" s="509">
        <f t="shared" si="158"/>
        <v>0</v>
      </c>
      <c r="N109" s="647"/>
      <c r="O109" s="627"/>
      <c r="P109" s="629"/>
      <c r="Q109" s="629"/>
    </row>
    <row r="110" spans="1:17" ht="15.75" hidden="1" thickBot="1">
      <c r="A110" s="390" t="str">
        <f t="shared" ref="A110:B110" si="271">A107</f>
        <v>PE</v>
      </c>
      <c r="B110" s="391" t="str">
        <f t="shared" si="271"/>
        <v>fiber</v>
      </c>
      <c r="C110" s="399" t="str">
        <f t="shared" si="264"/>
        <v/>
      </c>
      <c r="D110" s="399" t="str">
        <f t="shared" ref="D110:E110" si="272">D107</f>
        <v>1-10</v>
      </c>
      <c r="E110" s="391">
        <f t="shared" si="272"/>
        <v>10</v>
      </c>
      <c r="F110" s="400" t="s">
        <v>1147</v>
      </c>
      <c r="G110" s="386" t="str">
        <f>CONCATENATE("DE: ",A110," ",B110," ",D110," mm (emission to ",F110,")")</f>
        <v>DE: PE fiber 1-10 mm (emission to fresh water)</v>
      </c>
      <c r="H110" s="387">
        <v>0</v>
      </c>
      <c r="I110" s="388" t="s">
        <v>1019</v>
      </c>
      <c r="J110" s="634">
        <v>0.22800000000000001</v>
      </c>
      <c r="K110" s="389">
        <v>0.63</v>
      </c>
      <c r="L110" s="536"/>
      <c r="M110" s="509">
        <f t="shared" si="158"/>
        <v>1000</v>
      </c>
      <c r="N110" s="645">
        <f t="shared" ref="N110" si="273">IFERROR(H110*M110+H111*M111+H112*M112+H113*M113+H114*M114,"N.A.")</f>
        <v>1000</v>
      </c>
      <c r="O110" s="625"/>
      <c r="P110" s="628">
        <f t="shared" si="160"/>
        <v>100</v>
      </c>
      <c r="Q110" s="628">
        <f t="shared" si="263"/>
        <v>500</v>
      </c>
    </row>
    <row r="111" spans="1:17" ht="15.75" hidden="1" thickBot="1">
      <c r="A111" s="390" t="str">
        <f t="shared" ref="A111:B111" si="274">A108</f>
        <v>PE</v>
      </c>
      <c r="B111" s="391" t="str">
        <f t="shared" si="274"/>
        <v>fiber</v>
      </c>
      <c r="C111" s="391" t="str">
        <f t="shared" si="264"/>
        <v/>
      </c>
      <c r="D111" s="391" t="str">
        <f t="shared" ref="D111:E111" si="275">D108</f>
        <v>1-10</v>
      </c>
      <c r="E111" s="391">
        <f t="shared" si="275"/>
        <v>10</v>
      </c>
      <c r="F111" s="391" t="str">
        <f t="shared" ref="F111:G111" si="276">F110</f>
        <v>fresh water</v>
      </c>
      <c r="G111" s="401" t="str">
        <f t="shared" si="276"/>
        <v>DE: PE fiber 1-10 mm (emission to fresh water)</v>
      </c>
      <c r="H111" s="393">
        <v>1</v>
      </c>
      <c r="I111" s="394" t="s">
        <v>1097</v>
      </c>
      <c r="J111" s="635"/>
      <c r="K111" s="395">
        <v>0</v>
      </c>
      <c r="L111" s="537"/>
      <c r="M111" s="509">
        <f t="shared" si="158"/>
        <v>1000</v>
      </c>
      <c r="N111" s="646"/>
      <c r="O111" s="626"/>
      <c r="P111" s="629"/>
      <c r="Q111" s="629"/>
    </row>
    <row r="112" spans="1:17" ht="15.75" hidden="1" thickBot="1">
      <c r="A112" s="390" t="str">
        <f t="shared" ref="A112:B112" si="277">A109</f>
        <v>PE</v>
      </c>
      <c r="B112" s="391" t="str">
        <f t="shared" si="277"/>
        <v>fiber</v>
      </c>
      <c r="C112" s="391" t="str">
        <f t="shared" si="264"/>
        <v/>
      </c>
      <c r="D112" s="391" t="str">
        <f t="shared" ref="D112:E112" si="278">D109</f>
        <v>1-10</v>
      </c>
      <c r="E112" s="391">
        <f t="shared" si="278"/>
        <v>10</v>
      </c>
      <c r="F112" s="391" t="str">
        <f t="shared" ref="F112:G112" si="279">F111</f>
        <v>fresh water</v>
      </c>
      <c r="G112" s="401" t="str">
        <f t="shared" si="279"/>
        <v>DE: PE fiber 1-10 mm (emission to fresh water)</v>
      </c>
      <c r="H112" s="393">
        <v>0</v>
      </c>
      <c r="I112" s="394" t="s">
        <v>1162</v>
      </c>
      <c r="J112" s="635"/>
      <c r="K112" s="395">
        <v>0</v>
      </c>
      <c r="L112" s="537"/>
      <c r="M112" s="509">
        <f t="shared" si="158"/>
        <v>1000</v>
      </c>
      <c r="N112" s="646"/>
      <c r="O112" s="626"/>
      <c r="P112" s="629"/>
      <c r="Q112" s="629"/>
    </row>
    <row r="113" spans="1:17" ht="15.75" hidden="1" thickBot="1">
      <c r="A113" s="390" t="str">
        <f t="shared" ref="A113:B113" si="280">A110</f>
        <v>PE</v>
      </c>
      <c r="B113" s="391" t="str">
        <f t="shared" si="280"/>
        <v>fiber</v>
      </c>
      <c r="C113" s="391" t="str">
        <f t="shared" si="264"/>
        <v/>
      </c>
      <c r="D113" s="391" t="str">
        <f t="shared" ref="D113:E113" si="281">D110</f>
        <v>1-10</v>
      </c>
      <c r="E113" s="391">
        <f t="shared" si="281"/>
        <v>10</v>
      </c>
      <c r="F113" s="391" t="str">
        <f t="shared" ref="F113:G113" si="282">F112</f>
        <v>fresh water</v>
      </c>
      <c r="G113" s="401" t="str">
        <f t="shared" si="282"/>
        <v>DE: PE fiber 1-10 mm (emission to fresh water)</v>
      </c>
      <c r="H113" s="393">
        <v>0</v>
      </c>
      <c r="I113" s="394" t="s">
        <v>1163</v>
      </c>
      <c r="J113" s="635"/>
      <c r="K113" s="395">
        <v>0</v>
      </c>
      <c r="L113" s="537"/>
      <c r="M113" s="509">
        <f t="shared" si="158"/>
        <v>1000</v>
      </c>
      <c r="N113" s="646"/>
      <c r="O113" s="626"/>
      <c r="P113" s="629"/>
      <c r="Q113" s="629"/>
    </row>
    <row r="114" spans="1:17" ht="15.75" hidden="1" thickBot="1">
      <c r="A114" s="390" t="str">
        <f t="shared" ref="A114:B114" si="283">A111</f>
        <v>PE</v>
      </c>
      <c r="B114" s="391" t="str">
        <f t="shared" si="283"/>
        <v>fiber</v>
      </c>
      <c r="C114" s="391" t="str">
        <f t="shared" si="264"/>
        <v/>
      </c>
      <c r="D114" s="391" t="str">
        <f t="shared" ref="D114:E114" si="284">D111</f>
        <v>1-10</v>
      </c>
      <c r="E114" s="391">
        <f t="shared" si="284"/>
        <v>10</v>
      </c>
      <c r="F114" s="402" t="str">
        <f>F111</f>
        <v>fresh water</v>
      </c>
      <c r="G114" s="401" t="str">
        <f t="shared" ref="G114" si="285">G113</f>
        <v>DE: PE fiber 1-10 mm (emission to fresh water)</v>
      </c>
      <c r="H114" s="393">
        <v>0</v>
      </c>
      <c r="I114" s="394" t="s">
        <v>1034</v>
      </c>
      <c r="J114" s="654"/>
      <c r="K114" s="398" t="s">
        <v>596</v>
      </c>
      <c r="L114" s="538"/>
      <c r="M114" s="509">
        <f t="shared" si="158"/>
        <v>0</v>
      </c>
      <c r="N114" s="647"/>
      <c r="O114" s="627"/>
      <c r="P114" s="629"/>
      <c r="Q114" s="629"/>
    </row>
    <row r="115" spans="1:17" ht="15.75" hidden="1" thickBot="1">
      <c r="A115" s="390" t="str">
        <f t="shared" ref="A115:B115" si="286">A112</f>
        <v>PE</v>
      </c>
      <c r="B115" s="391" t="str">
        <f t="shared" si="286"/>
        <v>fiber</v>
      </c>
      <c r="C115" s="391" t="str">
        <f t="shared" si="264"/>
        <v/>
      </c>
      <c r="D115" s="391" t="str">
        <f t="shared" ref="D115:E115" si="287">D112</f>
        <v>1-10</v>
      </c>
      <c r="E115" s="391">
        <f t="shared" si="287"/>
        <v>10</v>
      </c>
      <c r="F115" s="385" t="s">
        <v>1097</v>
      </c>
      <c r="G115" s="422" t="str">
        <f>CONCATENATE("DE: ",A115," ",B115," ",D115," mm (emission to ",F115,")")</f>
        <v>DE: PE fiber 1-10 mm (emission to marine water)</v>
      </c>
      <c r="H115" s="387">
        <v>0</v>
      </c>
      <c r="I115" s="394" t="s">
        <v>1019</v>
      </c>
      <c r="J115" s="634">
        <v>0.22800000000000001</v>
      </c>
      <c r="K115" s="389">
        <v>0.63</v>
      </c>
      <c r="L115" s="536"/>
      <c r="M115" s="509">
        <f t="shared" si="158"/>
        <v>1000</v>
      </c>
      <c r="N115" s="645">
        <f t="shared" ref="N115" si="288">IFERROR(H115*M115+H116*M116+H117*M117+H118*M118+H119*M119,"N.A.")</f>
        <v>1000</v>
      </c>
      <c r="O115" s="625"/>
      <c r="P115" s="628">
        <f t="shared" si="160"/>
        <v>100</v>
      </c>
      <c r="Q115" s="628">
        <f t="shared" si="263"/>
        <v>500</v>
      </c>
    </row>
    <row r="116" spans="1:17" ht="15.75" hidden="1" thickBot="1">
      <c r="A116" s="390" t="str">
        <f t="shared" ref="A116:B116" si="289">A113</f>
        <v>PE</v>
      </c>
      <c r="B116" s="391" t="str">
        <f t="shared" si="289"/>
        <v>fiber</v>
      </c>
      <c r="C116" s="391" t="str">
        <f t="shared" si="264"/>
        <v/>
      </c>
      <c r="D116" s="391" t="str">
        <f t="shared" ref="D116:E116" si="290">D113</f>
        <v>1-10</v>
      </c>
      <c r="E116" s="391">
        <f t="shared" si="290"/>
        <v>10</v>
      </c>
      <c r="F116" s="391" t="str">
        <f t="shared" ref="F116:G116" si="291">F115</f>
        <v>marine water</v>
      </c>
      <c r="G116" s="401" t="str">
        <f t="shared" si="291"/>
        <v>DE: PE fiber 1-10 mm (emission to marine water)</v>
      </c>
      <c r="H116" s="393">
        <v>1</v>
      </c>
      <c r="I116" s="394" t="s">
        <v>1097</v>
      </c>
      <c r="J116" s="635"/>
      <c r="K116" s="395">
        <v>0</v>
      </c>
      <c r="L116" s="537"/>
      <c r="M116" s="509">
        <f t="shared" si="158"/>
        <v>1000</v>
      </c>
      <c r="N116" s="646"/>
      <c r="O116" s="626"/>
      <c r="P116" s="629"/>
      <c r="Q116" s="629"/>
    </row>
    <row r="117" spans="1:17" ht="15.75" hidden="1" thickBot="1">
      <c r="A117" s="390" t="str">
        <f t="shared" ref="A117:B117" si="292">A114</f>
        <v>PE</v>
      </c>
      <c r="B117" s="391" t="str">
        <f t="shared" si="292"/>
        <v>fiber</v>
      </c>
      <c r="C117" s="391" t="str">
        <f t="shared" si="264"/>
        <v/>
      </c>
      <c r="D117" s="391" t="str">
        <f t="shared" ref="D117:E117" si="293">D114</f>
        <v>1-10</v>
      </c>
      <c r="E117" s="391">
        <f t="shared" si="293"/>
        <v>10</v>
      </c>
      <c r="F117" s="391" t="str">
        <f t="shared" ref="F117:G117" si="294">F116</f>
        <v>marine water</v>
      </c>
      <c r="G117" s="401" t="str">
        <f t="shared" si="294"/>
        <v>DE: PE fiber 1-10 mm (emission to marine water)</v>
      </c>
      <c r="H117" s="393">
        <v>0</v>
      </c>
      <c r="I117" s="394" t="s">
        <v>1162</v>
      </c>
      <c r="J117" s="635"/>
      <c r="K117" s="395">
        <v>0</v>
      </c>
      <c r="L117" s="537"/>
      <c r="M117" s="509">
        <f t="shared" si="158"/>
        <v>1000</v>
      </c>
      <c r="N117" s="646"/>
      <c r="O117" s="626"/>
      <c r="P117" s="629"/>
      <c r="Q117" s="629"/>
    </row>
    <row r="118" spans="1:17" ht="15.75" hidden="1" thickBot="1">
      <c r="A118" s="390" t="str">
        <f t="shared" ref="A118:B118" si="295">A115</f>
        <v>PE</v>
      </c>
      <c r="B118" s="391" t="str">
        <f t="shared" si="295"/>
        <v>fiber</v>
      </c>
      <c r="C118" s="391" t="str">
        <f t="shared" si="264"/>
        <v/>
      </c>
      <c r="D118" s="391" t="str">
        <f t="shared" ref="D118:E118" si="296">D115</f>
        <v>1-10</v>
      </c>
      <c r="E118" s="391">
        <f t="shared" si="296"/>
        <v>10</v>
      </c>
      <c r="F118" s="391" t="str">
        <f t="shared" ref="F118:G118" si="297">F117</f>
        <v>marine water</v>
      </c>
      <c r="G118" s="401" t="str">
        <f t="shared" si="297"/>
        <v>DE: PE fiber 1-10 mm (emission to marine water)</v>
      </c>
      <c r="H118" s="393">
        <v>0</v>
      </c>
      <c r="I118" s="394" t="s">
        <v>1163</v>
      </c>
      <c r="J118" s="635"/>
      <c r="K118" s="395">
        <v>0</v>
      </c>
      <c r="L118" s="537"/>
      <c r="M118" s="509">
        <f t="shared" si="158"/>
        <v>1000</v>
      </c>
      <c r="N118" s="646"/>
      <c r="O118" s="626"/>
      <c r="P118" s="629"/>
      <c r="Q118" s="629"/>
    </row>
    <row r="119" spans="1:17" ht="15.75" hidden="1" thickBot="1">
      <c r="A119" s="390" t="str">
        <f t="shared" ref="A119:B119" si="298">A116</f>
        <v>PE</v>
      </c>
      <c r="B119" s="391" t="str">
        <f t="shared" si="298"/>
        <v>fiber</v>
      </c>
      <c r="C119" s="391" t="str">
        <f t="shared" si="264"/>
        <v/>
      </c>
      <c r="D119" s="391" t="str">
        <f t="shared" ref="D119:E119" si="299">D116</f>
        <v>1-10</v>
      </c>
      <c r="E119" s="391">
        <f t="shared" si="299"/>
        <v>10</v>
      </c>
      <c r="F119" s="391" t="str">
        <f t="shared" ref="F119:G119" si="300">F118</f>
        <v>marine water</v>
      </c>
      <c r="G119" s="401" t="str">
        <f t="shared" si="300"/>
        <v>DE: PE fiber 1-10 mm (emission to marine water)</v>
      </c>
      <c r="H119" s="393">
        <v>0</v>
      </c>
      <c r="I119" s="394" t="s">
        <v>1034</v>
      </c>
      <c r="J119" s="654"/>
      <c r="K119" s="398" t="s">
        <v>596</v>
      </c>
      <c r="L119" s="538"/>
      <c r="M119" s="509">
        <f t="shared" si="158"/>
        <v>0</v>
      </c>
      <c r="N119" s="647"/>
      <c r="O119" s="627"/>
      <c r="P119" s="629"/>
      <c r="Q119" s="629"/>
    </row>
    <row r="120" spans="1:17" ht="15.75" hidden="1" thickBot="1">
      <c r="A120" s="390" t="str">
        <f t="shared" ref="A120:B120" si="301">A117</f>
        <v>PE</v>
      </c>
      <c r="B120" s="391" t="str">
        <f t="shared" si="301"/>
        <v>fiber</v>
      </c>
      <c r="C120" s="391" t="str">
        <f t="shared" si="264"/>
        <v/>
      </c>
      <c r="D120" s="391" t="str">
        <f t="shared" ref="D120:E120" si="302">D117</f>
        <v>1-10</v>
      </c>
      <c r="E120" s="391">
        <f t="shared" si="302"/>
        <v>10</v>
      </c>
      <c r="F120" s="400" t="s">
        <v>1057</v>
      </c>
      <c r="G120" s="422" t="str">
        <f>CONCATENATE("DE: ",A120," ",B120," ",D120," mm (emission to ",F120,")")</f>
        <v>DE: PE fiber 1-10 mm (emission to air)</v>
      </c>
      <c r="H120" s="403">
        <v>0.94799999999999995</v>
      </c>
      <c r="I120" s="394" t="s">
        <v>1019</v>
      </c>
      <c r="J120" s="634">
        <v>0.22800000000000001</v>
      </c>
      <c r="K120" s="389">
        <v>0.63</v>
      </c>
      <c r="L120" s="536"/>
      <c r="M120" s="509">
        <f t="shared" si="158"/>
        <v>1000</v>
      </c>
      <c r="N120" s="645">
        <f t="shared" ref="N120" si="303">IFERROR(H120*M120+H121*M121+H122*M122+H123*M123+H124*M124,"N.A.")</f>
        <v>1000</v>
      </c>
      <c r="O120" s="625"/>
      <c r="P120" s="628">
        <f t="shared" si="160"/>
        <v>100</v>
      </c>
      <c r="Q120" s="628">
        <f t="shared" si="263"/>
        <v>500</v>
      </c>
    </row>
    <row r="121" spans="1:17" ht="15.75" hidden="1" thickBot="1">
      <c r="A121" s="390" t="str">
        <f t="shared" ref="A121:B121" si="304">A118</f>
        <v>PE</v>
      </c>
      <c r="B121" s="391" t="str">
        <f t="shared" si="304"/>
        <v>fiber</v>
      </c>
      <c r="C121" s="391" t="str">
        <f t="shared" si="264"/>
        <v/>
      </c>
      <c r="D121" s="391" t="str">
        <f t="shared" ref="D121:E121" si="305">D118</f>
        <v>1-10</v>
      </c>
      <c r="E121" s="391">
        <f t="shared" si="305"/>
        <v>10</v>
      </c>
      <c r="F121" s="391" t="str">
        <f t="shared" ref="F121:G121" si="306">F120</f>
        <v>air</v>
      </c>
      <c r="G121" s="401" t="str">
        <f t="shared" si="306"/>
        <v>DE: PE fiber 1-10 mm (emission to air)</v>
      </c>
      <c r="H121" s="393">
        <v>5.1999999999999998E-2</v>
      </c>
      <c r="I121" s="394" t="s">
        <v>1097</v>
      </c>
      <c r="J121" s="635"/>
      <c r="K121" s="395">
        <v>0</v>
      </c>
      <c r="L121" s="537"/>
      <c r="M121" s="509">
        <f t="shared" si="158"/>
        <v>1000</v>
      </c>
      <c r="N121" s="646"/>
      <c r="O121" s="626"/>
      <c r="P121" s="629"/>
      <c r="Q121" s="629"/>
    </row>
    <row r="122" spans="1:17" ht="15.75" hidden="1" thickBot="1">
      <c r="A122" s="390" t="str">
        <f t="shared" ref="A122:B122" si="307">A119</f>
        <v>PE</v>
      </c>
      <c r="B122" s="391" t="str">
        <f t="shared" si="307"/>
        <v>fiber</v>
      </c>
      <c r="C122" s="391" t="str">
        <f t="shared" si="264"/>
        <v/>
      </c>
      <c r="D122" s="391" t="str">
        <f t="shared" ref="D122:E122" si="308">D119</f>
        <v>1-10</v>
      </c>
      <c r="E122" s="391">
        <f t="shared" si="308"/>
        <v>10</v>
      </c>
      <c r="F122" s="391" t="str">
        <f t="shared" ref="F122:G122" si="309">F121</f>
        <v>air</v>
      </c>
      <c r="G122" s="401" t="str">
        <f t="shared" si="309"/>
        <v>DE: PE fiber 1-10 mm (emission to air)</v>
      </c>
      <c r="H122" s="393">
        <v>0</v>
      </c>
      <c r="I122" s="394" t="s">
        <v>1162</v>
      </c>
      <c r="J122" s="635"/>
      <c r="K122" s="395">
        <v>0</v>
      </c>
      <c r="L122" s="537"/>
      <c r="M122" s="509">
        <f t="shared" si="158"/>
        <v>1000</v>
      </c>
      <c r="N122" s="646"/>
      <c r="O122" s="626"/>
      <c r="P122" s="629"/>
      <c r="Q122" s="629"/>
    </row>
    <row r="123" spans="1:17" ht="15.75" hidden="1" thickBot="1">
      <c r="A123" s="390" t="str">
        <f t="shared" ref="A123:B123" si="310">A120</f>
        <v>PE</v>
      </c>
      <c r="B123" s="391" t="str">
        <f t="shared" si="310"/>
        <v>fiber</v>
      </c>
      <c r="C123" s="391" t="str">
        <f t="shared" si="264"/>
        <v/>
      </c>
      <c r="D123" s="391" t="str">
        <f t="shared" ref="D123:E123" si="311">D120</f>
        <v>1-10</v>
      </c>
      <c r="E123" s="391">
        <f t="shared" si="311"/>
        <v>10</v>
      </c>
      <c r="F123" s="391" t="str">
        <f t="shared" ref="F123:G123" si="312">F122</f>
        <v>air</v>
      </c>
      <c r="G123" s="401" t="str">
        <f t="shared" si="312"/>
        <v>DE: PE fiber 1-10 mm (emission to air)</v>
      </c>
      <c r="H123" s="393">
        <v>0</v>
      </c>
      <c r="I123" s="394" t="s">
        <v>1163</v>
      </c>
      <c r="J123" s="635"/>
      <c r="K123" s="395">
        <v>0</v>
      </c>
      <c r="L123" s="537"/>
      <c r="M123" s="509">
        <f t="shared" si="158"/>
        <v>1000</v>
      </c>
      <c r="N123" s="646"/>
      <c r="O123" s="626"/>
      <c r="P123" s="629"/>
      <c r="Q123" s="629"/>
    </row>
    <row r="124" spans="1:17" ht="15.75" hidden="1" thickBot="1">
      <c r="A124" s="404" t="str">
        <f t="shared" ref="A124:B124" si="313">A119</f>
        <v>PE</v>
      </c>
      <c r="B124" s="402" t="str">
        <f t="shared" si="313"/>
        <v>fiber</v>
      </c>
      <c r="C124" s="402" t="str">
        <f t="shared" si="264"/>
        <v/>
      </c>
      <c r="D124" s="402" t="str">
        <f t="shared" ref="D124:E124" si="314">D119</f>
        <v>1-10</v>
      </c>
      <c r="E124" s="402">
        <f t="shared" si="314"/>
        <v>10</v>
      </c>
      <c r="F124" s="391" t="str">
        <f t="shared" ref="F124:G124" si="315">F123</f>
        <v>air</v>
      </c>
      <c r="G124" s="401" t="str">
        <f t="shared" si="315"/>
        <v>DE: PE fiber 1-10 mm (emission to air)</v>
      </c>
      <c r="H124" s="393">
        <v>0</v>
      </c>
      <c r="I124" s="394" t="s">
        <v>1034</v>
      </c>
      <c r="J124" s="636"/>
      <c r="K124" s="398" t="s">
        <v>596</v>
      </c>
      <c r="L124" s="538"/>
      <c r="M124" s="509">
        <f t="shared" si="158"/>
        <v>0</v>
      </c>
      <c r="N124" s="647"/>
      <c r="O124" s="627"/>
      <c r="P124" s="629"/>
      <c r="Q124" s="629"/>
    </row>
    <row r="125" spans="1:17" ht="15.75" hidden="1" thickBot="1">
      <c r="A125" s="405" t="s">
        <v>77</v>
      </c>
      <c r="B125" s="406" t="s">
        <v>1152</v>
      </c>
      <c r="C125" s="407">
        <v>6</v>
      </c>
      <c r="D125" s="423" t="s">
        <v>1018</v>
      </c>
      <c r="E125" s="408">
        <v>0.1</v>
      </c>
      <c r="F125" s="424" t="s">
        <v>1019</v>
      </c>
      <c r="G125" s="425" t="str">
        <f>CONCATENATE("DE: ",A125," ",B125," ",D125," mm (emission to ",F125,")")</f>
        <v>DE: PE particle 0,01-0,1 mm (emission to soil)</v>
      </c>
      <c r="H125" s="426">
        <v>0.97</v>
      </c>
      <c r="I125" s="427" t="s">
        <v>1019</v>
      </c>
      <c r="J125" s="635">
        <v>0.22800000000000001</v>
      </c>
      <c r="K125" s="428">
        <v>0.63</v>
      </c>
      <c r="L125" s="539"/>
      <c r="M125" s="509">
        <f t="shared" si="158"/>
        <v>19.841269841269842</v>
      </c>
      <c r="N125" s="645">
        <f t="shared" ref="N125" si="316">IFERROR(H125*M125+H126*M126+H127*M127+H128*M128+H129*M129,"N.A.")</f>
        <v>49.246031746031747</v>
      </c>
      <c r="O125" s="625"/>
      <c r="P125" s="628">
        <f t="shared" si="160"/>
        <v>49.246031746031747</v>
      </c>
      <c r="Q125" s="628">
        <f t="shared" si="263"/>
        <v>49.246031746031747</v>
      </c>
    </row>
    <row r="126" spans="1:17" ht="15.75" hidden="1" thickBot="1">
      <c r="A126" s="390" t="str">
        <f>A125</f>
        <v>PE</v>
      </c>
      <c r="B126" s="391" t="str">
        <f>B125</f>
        <v>particle</v>
      </c>
      <c r="C126" s="391" t="str">
        <f t="shared" ref="C126:C144" si="317">IF(OR(B126="Folie", B126="Strips", B126="Film",B126="Flakes",B126="Coupon"), 2,IF(OR(B126="Fibers",B126="Pellets"),4,IF(OR(B126="Particles",B126="Shreds",B126="Powder",B126="Fragments",B126="Granules"),6,"")))</f>
        <v/>
      </c>
      <c r="D126" s="391" t="str">
        <f t="shared" ref="D126:G126" si="318">D125</f>
        <v>0,01-0,1</v>
      </c>
      <c r="E126" s="391">
        <f t="shared" si="318"/>
        <v>0.1</v>
      </c>
      <c r="F126" s="391" t="str">
        <f t="shared" si="318"/>
        <v>soil</v>
      </c>
      <c r="G126" s="392" t="str">
        <f t="shared" si="318"/>
        <v>DE: PE particle 0,01-0,1 mm (emission to soil)</v>
      </c>
      <c r="H126" s="393">
        <v>0.03</v>
      </c>
      <c r="I126" s="394" t="s">
        <v>1097</v>
      </c>
      <c r="J126" s="635"/>
      <c r="K126" s="395">
        <v>0</v>
      </c>
      <c r="L126" s="537"/>
      <c r="M126" s="509">
        <f t="shared" si="158"/>
        <v>1000</v>
      </c>
      <c r="N126" s="646"/>
      <c r="O126" s="626"/>
      <c r="P126" s="629"/>
      <c r="Q126" s="629"/>
    </row>
    <row r="127" spans="1:17" ht="15.75" hidden="1" thickBot="1">
      <c r="A127" s="390" t="str">
        <f t="shared" ref="A127:A128" si="319">A126</f>
        <v>PE</v>
      </c>
      <c r="B127" s="391" t="str">
        <f t="shared" ref="B127:B128" si="320">B126</f>
        <v>particle</v>
      </c>
      <c r="C127" s="391" t="str">
        <f t="shared" si="317"/>
        <v/>
      </c>
      <c r="D127" s="391" t="str">
        <f t="shared" ref="D127:G127" si="321">D126</f>
        <v>0,01-0,1</v>
      </c>
      <c r="E127" s="391">
        <f t="shared" si="321"/>
        <v>0.1</v>
      </c>
      <c r="F127" s="391" t="str">
        <f t="shared" si="321"/>
        <v>soil</v>
      </c>
      <c r="G127" s="392" t="str">
        <f t="shared" si="321"/>
        <v>DE: PE particle 0,01-0,1 mm (emission to soil)</v>
      </c>
      <c r="H127" s="393">
        <v>0</v>
      </c>
      <c r="I127" s="394" t="s">
        <v>1162</v>
      </c>
      <c r="J127" s="635"/>
      <c r="K127" s="395">
        <v>0</v>
      </c>
      <c r="L127" s="537"/>
      <c r="M127" s="509">
        <f t="shared" si="158"/>
        <v>1000</v>
      </c>
      <c r="N127" s="646"/>
      <c r="O127" s="626"/>
      <c r="P127" s="629"/>
      <c r="Q127" s="629"/>
    </row>
    <row r="128" spans="1:17" ht="15.75" hidden="1" thickBot="1">
      <c r="A128" s="390" t="str">
        <f t="shared" si="319"/>
        <v>PE</v>
      </c>
      <c r="B128" s="391" t="str">
        <f t="shared" si="320"/>
        <v>particle</v>
      </c>
      <c r="C128" s="391" t="str">
        <f t="shared" si="317"/>
        <v/>
      </c>
      <c r="D128" s="391" t="str">
        <f t="shared" ref="D128:G128" si="322">D127</f>
        <v>0,01-0,1</v>
      </c>
      <c r="E128" s="391">
        <f t="shared" si="322"/>
        <v>0.1</v>
      </c>
      <c r="F128" s="391" t="str">
        <f t="shared" si="322"/>
        <v>soil</v>
      </c>
      <c r="G128" s="392" t="str">
        <f t="shared" si="322"/>
        <v>DE: PE particle 0,01-0,1 mm (emission to soil)</v>
      </c>
      <c r="H128" s="393">
        <v>0</v>
      </c>
      <c r="I128" s="394" t="s">
        <v>1163</v>
      </c>
      <c r="J128" s="635"/>
      <c r="K128" s="395">
        <v>0</v>
      </c>
      <c r="L128" s="537"/>
      <c r="M128" s="509">
        <f t="shared" si="158"/>
        <v>1000</v>
      </c>
      <c r="N128" s="646"/>
      <c r="O128" s="626"/>
      <c r="P128" s="629"/>
      <c r="Q128" s="629"/>
    </row>
    <row r="129" spans="1:17" ht="15.75" hidden="1" thickBot="1">
      <c r="A129" s="390" t="str">
        <f>A126</f>
        <v>PE</v>
      </c>
      <c r="B129" s="391" t="str">
        <f>B126</f>
        <v>particle</v>
      </c>
      <c r="C129" s="391" t="str">
        <f t="shared" si="317"/>
        <v/>
      </c>
      <c r="D129" s="391" t="str">
        <f>D126</f>
        <v>0,01-0,1</v>
      </c>
      <c r="E129" s="391">
        <f>E126</f>
        <v>0.1</v>
      </c>
      <c r="F129" s="391" t="str">
        <f>F126</f>
        <v>soil</v>
      </c>
      <c r="G129" s="396" t="str">
        <f t="shared" ref="G129" si="323">G128</f>
        <v>DE: PE particle 0,01-0,1 mm (emission to soil)</v>
      </c>
      <c r="H129" s="393">
        <v>0</v>
      </c>
      <c r="I129" s="397" t="s">
        <v>1034</v>
      </c>
      <c r="J129" s="654"/>
      <c r="K129" s="398" t="s">
        <v>596</v>
      </c>
      <c r="L129" s="538"/>
      <c r="M129" s="509">
        <f t="shared" si="158"/>
        <v>0</v>
      </c>
      <c r="N129" s="647"/>
      <c r="O129" s="627"/>
      <c r="P129" s="629"/>
      <c r="Q129" s="629"/>
    </row>
    <row r="130" spans="1:17" ht="15.75" hidden="1" thickBot="1">
      <c r="A130" s="390" t="str">
        <f t="shared" ref="A130:B130" si="324">A127</f>
        <v>PE</v>
      </c>
      <c r="B130" s="391" t="str">
        <f t="shared" si="324"/>
        <v>particle</v>
      </c>
      <c r="C130" s="399" t="str">
        <f t="shared" si="317"/>
        <v/>
      </c>
      <c r="D130" s="399" t="str">
        <f t="shared" ref="D130:E130" si="325">D127</f>
        <v>0,01-0,1</v>
      </c>
      <c r="E130" s="391">
        <f t="shared" si="325"/>
        <v>0.1</v>
      </c>
      <c r="F130" s="400" t="s">
        <v>1147</v>
      </c>
      <c r="G130" s="386" t="str">
        <f>CONCATENATE("DE: ",A130," ",B130," ",D130," mm (emission to ",F130,")")</f>
        <v>DE: PE particle 0,01-0,1 mm (emission to fresh water)</v>
      </c>
      <c r="H130" s="387">
        <v>0</v>
      </c>
      <c r="I130" s="388" t="s">
        <v>1019</v>
      </c>
      <c r="J130" s="634">
        <v>0.22800000000000001</v>
      </c>
      <c r="K130" s="389">
        <v>0.63</v>
      </c>
      <c r="L130" s="536"/>
      <c r="M130" s="509">
        <f t="shared" si="158"/>
        <v>1000</v>
      </c>
      <c r="N130" s="645">
        <f t="shared" ref="N130" si="326">IFERROR(H130*M130+H131*M131+H132*M132+H133*M133+H134*M134,"N.A.")</f>
        <v>1000</v>
      </c>
      <c r="O130" s="625"/>
      <c r="P130" s="628">
        <f t="shared" si="160"/>
        <v>100</v>
      </c>
      <c r="Q130" s="628">
        <f t="shared" si="263"/>
        <v>500</v>
      </c>
    </row>
    <row r="131" spans="1:17" ht="15.75" hidden="1" thickBot="1">
      <c r="A131" s="390" t="str">
        <f t="shared" ref="A131:B131" si="327">A128</f>
        <v>PE</v>
      </c>
      <c r="B131" s="391" t="str">
        <f t="shared" si="327"/>
        <v>particle</v>
      </c>
      <c r="C131" s="391" t="str">
        <f t="shared" si="317"/>
        <v/>
      </c>
      <c r="D131" s="391" t="str">
        <f t="shared" ref="D131:E131" si="328">D128</f>
        <v>0,01-0,1</v>
      </c>
      <c r="E131" s="391">
        <f t="shared" si="328"/>
        <v>0.1</v>
      </c>
      <c r="F131" s="391" t="str">
        <f t="shared" ref="F131:G131" si="329">F130</f>
        <v>fresh water</v>
      </c>
      <c r="G131" s="401" t="str">
        <f t="shared" si="329"/>
        <v>DE: PE particle 0,01-0,1 mm (emission to fresh water)</v>
      </c>
      <c r="H131" s="393">
        <v>1</v>
      </c>
      <c r="I131" s="394" t="s">
        <v>1097</v>
      </c>
      <c r="J131" s="635"/>
      <c r="K131" s="395">
        <v>0</v>
      </c>
      <c r="L131" s="537"/>
      <c r="M131" s="509">
        <f t="shared" si="158"/>
        <v>1000</v>
      </c>
      <c r="N131" s="646"/>
      <c r="O131" s="626"/>
      <c r="P131" s="629"/>
      <c r="Q131" s="629"/>
    </row>
    <row r="132" spans="1:17" ht="15.75" hidden="1" thickBot="1">
      <c r="A132" s="390" t="str">
        <f t="shared" ref="A132:B132" si="330">A129</f>
        <v>PE</v>
      </c>
      <c r="B132" s="391" t="str">
        <f t="shared" si="330"/>
        <v>particle</v>
      </c>
      <c r="C132" s="391" t="str">
        <f t="shared" si="317"/>
        <v/>
      </c>
      <c r="D132" s="391" t="str">
        <f t="shared" ref="D132:E132" si="331">D129</f>
        <v>0,01-0,1</v>
      </c>
      <c r="E132" s="391">
        <f t="shared" si="331"/>
        <v>0.1</v>
      </c>
      <c r="F132" s="391" t="str">
        <f t="shared" ref="F132:G132" si="332">F131</f>
        <v>fresh water</v>
      </c>
      <c r="G132" s="401" t="str">
        <f t="shared" si="332"/>
        <v>DE: PE particle 0,01-0,1 mm (emission to fresh water)</v>
      </c>
      <c r="H132" s="393">
        <v>0</v>
      </c>
      <c r="I132" s="394" t="s">
        <v>1162</v>
      </c>
      <c r="J132" s="635"/>
      <c r="K132" s="395">
        <v>0</v>
      </c>
      <c r="L132" s="537"/>
      <c r="M132" s="509">
        <f t="shared" si="158"/>
        <v>1000</v>
      </c>
      <c r="N132" s="646"/>
      <c r="O132" s="626"/>
      <c r="P132" s="629"/>
      <c r="Q132" s="629"/>
    </row>
    <row r="133" spans="1:17" ht="15.75" hidden="1" thickBot="1">
      <c r="A133" s="390" t="str">
        <f t="shared" ref="A133:B133" si="333">A130</f>
        <v>PE</v>
      </c>
      <c r="B133" s="391" t="str">
        <f t="shared" si="333"/>
        <v>particle</v>
      </c>
      <c r="C133" s="391" t="str">
        <f t="shared" si="317"/>
        <v/>
      </c>
      <c r="D133" s="391" t="str">
        <f t="shared" ref="D133:E133" si="334">D130</f>
        <v>0,01-0,1</v>
      </c>
      <c r="E133" s="391">
        <f t="shared" si="334"/>
        <v>0.1</v>
      </c>
      <c r="F133" s="391" t="str">
        <f t="shared" ref="F133:G133" si="335">F132</f>
        <v>fresh water</v>
      </c>
      <c r="G133" s="401" t="str">
        <f t="shared" si="335"/>
        <v>DE: PE particle 0,01-0,1 mm (emission to fresh water)</v>
      </c>
      <c r="H133" s="393">
        <v>0</v>
      </c>
      <c r="I133" s="394" t="s">
        <v>1163</v>
      </c>
      <c r="J133" s="635"/>
      <c r="K133" s="395">
        <v>0</v>
      </c>
      <c r="L133" s="537"/>
      <c r="M133" s="509">
        <f t="shared" si="158"/>
        <v>1000</v>
      </c>
      <c r="N133" s="646"/>
      <c r="O133" s="626"/>
      <c r="P133" s="629"/>
      <c r="Q133" s="629"/>
    </row>
    <row r="134" spans="1:17" ht="15.75" hidden="1" thickBot="1">
      <c r="A134" s="390" t="str">
        <f t="shared" ref="A134:B134" si="336">A131</f>
        <v>PE</v>
      </c>
      <c r="B134" s="391" t="str">
        <f t="shared" si="336"/>
        <v>particle</v>
      </c>
      <c r="C134" s="391" t="str">
        <f t="shared" si="317"/>
        <v/>
      </c>
      <c r="D134" s="391" t="str">
        <f t="shared" ref="D134:E134" si="337">D131</f>
        <v>0,01-0,1</v>
      </c>
      <c r="E134" s="391">
        <f t="shared" si="337"/>
        <v>0.1</v>
      </c>
      <c r="F134" s="402" t="str">
        <f>F131</f>
        <v>fresh water</v>
      </c>
      <c r="G134" s="401" t="str">
        <f t="shared" ref="G134" si="338">G133</f>
        <v>DE: PE particle 0,01-0,1 mm (emission to fresh water)</v>
      </c>
      <c r="H134" s="393">
        <v>0</v>
      </c>
      <c r="I134" s="394" t="s">
        <v>1034</v>
      </c>
      <c r="J134" s="654"/>
      <c r="K134" s="398" t="s">
        <v>596</v>
      </c>
      <c r="L134" s="538"/>
      <c r="M134" s="509">
        <f t="shared" ref="M134:M197" si="339">IFERROR(IF(K134="--",0,IF(E134*1000/K134*(1-0.5)^(C134/2)&gt;1000,1000,E134*1000/K134*(1-0.5)^(C134/2))),1000)</f>
        <v>0</v>
      </c>
      <c r="N134" s="647"/>
      <c r="O134" s="627"/>
      <c r="P134" s="629"/>
      <c r="Q134" s="629"/>
    </row>
    <row r="135" spans="1:17" ht="15.75" hidden="1" thickBot="1">
      <c r="A135" s="390" t="str">
        <f t="shared" ref="A135:B135" si="340">A132</f>
        <v>PE</v>
      </c>
      <c r="B135" s="391" t="str">
        <f t="shared" si="340"/>
        <v>particle</v>
      </c>
      <c r="C135" s="391" t="str">
        <f t="shared" si="317"/>
        <v/>
      </c>
      <c r="D135" s="391" t="str">
        <f t="shared" ref="D135:E135" si="341">D132</f>
        <v>0,01-0,1</v>
      </c>
      <c r="E135" s="391">
        <f t="shared" si="341"/>
        <v>0.1</v>
      </c>
      <c r="F135" s="385" t="s">
        <v>1097</v>
      </c>
      <c r="G135" s="422" t="str">
        <f>CONCATENATE("DE: ",A135," ",B135," ",D135," mm (emission to ",F135,")")</f>
        <v>DE: PE particle 0,01-0,1 mm (emission to marine water)</v>
      </c>
      <c r="H135" s="387">
        <v>0</v>
      </c>
      <c r="I135" s="394" t="s">
        <v>1019</v>
      </c>
      <c r="J135" s="634">
        <v>0.22800000000000001</v>
      </c>
      <c r="K135" s="389">
        <v>0.63</v>
      </c>
      <c r="L135" s="536"/>
      <c r="M135" s="509">
        <f t="shared" si="339"/>
        <v>1000</v>
      </c>
      <c r="N135" s="645">
        <f t="shared" ref="N135" si="342">IFERROR(H135*M135+H136*M136+H137*M137+H138*M138+H139*M139,"N.A.")</f>
        <v>1000</v>
      </c>
      <c r="O135" s="625"/>
      <c r="P135" s="628">
        <f t="shared" ref="P135:P195" si="343">IFERROR(IF(H135*M135+H136*M136+H137*M137+H138*M138+H139*M139&gt;100,100,H135*M135+H136*M136+H137*M137+H138*M138+H139*M139),"N.A.")</f>
        <v>100</v>
      </c>
      <c r="Q135" s="628">
        <f t="shared" si="263"/>
        <v>500</v>
      </c>
    </row>
    <row r="136" spans="1:17" ht="15.75" hidden="1" thickBot="1">
      <c r="A136" s="390" t="str">
        <f t="shared" ref="A136:B136" si="344">A133</f>
        <v>PE</v>
      </c>
      <c r="B136" s="391" t="str">
        <f t="shared" si="344"/>
        <v>particle</v>
      </c>
      <c r="C136" s="391" t="str">
        <f t="shared" si="317"/>
        <v/>
      </c>
      <c r="D136" s="391" t="str">
        <f t="shared" ref="D136:E136" si="345">D133</f>
        <v>0,01-0,1</v>
      </c>
      <c r="E136" s="391">
        <f t="shared" si="345"/>
        <v>0.1</v>
      </c>
      <c r="F136" s="391" t="str">
        <f t="shared" ref="F136:G136" si="346">F135</f>
        <v>marine water</v>
      </c>
      <c r="G136" s="401" t="str">
        <f t="shared" si="346"/>
        <v>DE: PE particle 0,01-0,1 mm (emission to marine water)</v>
      </c>
      <c r="H136" s="393">
        <v>1</v>
      </c>
      <c r="I136" s="394" t="s">
        <v>1097</v>
      </c>
      <c r="J136" s="635"/>
      <c r="K136" s="395">
        <v>0</v>
      </c>
      <c r="L136" s="537"/>
      <c r="M136" s="509">
        <f t="shared" si="339"/>
        <v>1000</v>
      </c>
      <c r="N136" s="646"/>
      <c r="O136" s="626"/>
      <c r="P136" s="629"/>
      <c r="Q136" s="629"/>
    </row>
    <row r="137" spans="1:17" ht="15.75" hidden="1" thickBot="1">
      <c r="A137" s="390" t="str">
        <f t="shared" ref="A137:B137" si="347">A134</f>
        <v>PE</v>
      </c>
      <c r="B137" s="391" t="str">
        <f t="shared" si="347"/>
        <v>particle</v>
      </c>
      <c r="C137" s="391" t="str">
        <f t="shared" si="317"/>
        <v/>
      </c>
      <c r="D137" s="391" t="str">
        <f t="shared" ref="D137:E137" si="348">D134</f>
        <v>0,01-0,1</v>
      </c>
      <c r="E137" s="391">
        <f t="shared" si="348"/>
        <v>0.1</v>
      </c>
      <c r="F137" s="391" t="str">
        <f t="shared" ref="F137:G137" si="349">F136</f>
        <v>marine water</v>
      </c>
      <c r="G137" s="401" t="str">
        <f t="shared" si="349"/>
        <v>DE: PE particle 0,01-0,1 mm (emission to marine water)</v>
      </c>
      <c r="H137" s="393">
        <v>0</v>
      </c>
      <c r="I137" s="394" t="s">
        <v>1162</v>
      </c>
      <c r="J137" s="635"/>
      <c r="K137" s="395">
        <v>0</v>
      </c>
      <c r="L137" s="537"/>
      <c r="M137" s="509">
        <f t="shared" si="339"/>
        <v>1000</v>
      </c>
      <c r="N137" s="646"/>
      <c r="O137" s="626"/>
      <c r="P137" s="629"/>
      <c r="Q137" s="629"/>
    </row>
    <row r="138" spans="1:17" ht="15.75" hidden="1" thickBot="1">
      <c r="A138" s="390" t="str">
        <f t="shared" ref="A138:B138" si="350">A135</f>
        <v>PE</v>
      </c>
      <c r="B138" s="391" t="str">
        <f t="shared" si="350"/>
        <v>particle</v>
      </c>
      <c r="C138" s="391" t="str">
        <f t="shared" si="317"/>
        <v/>
      </c>
      <c r="D138" s="391" t="str">
        <f t="shared" ref="D138:E138" si="351">D135</f>
        <v>0,01-0,1</v>
      </c>
      <c r="E138" s="391">
        <f t="shared" si="351"/>
        <v>0.1</v>
      </c>
      <c r="F138" s="391" t="str">
        <f t="shared" ref="F138:G138" si="352">F137</f>
        <v>marine water</v>
      </c>
      <c r="G138" s="401" t="str">
        <f t="shared" si="352"/>
        <v>DE: PE particle 0,01-0,1 mm (emission to marine water)</v>
      </c>
      <c r="H138" s="393">
        <v>0</v>
      </c>
      <c r="I138" s="394" t="s">
        <v>1163</v>
      </c>
      <c r="J138" s="635"/>
      <c r="K138" s="395">
        <v>0</v>
      </c>
      <c r="L138" s="537"/>
      <c r="M138" s="509">
        <f t="shared" si="339"/>
        <v>1000</v>
      </c>
      <c r="N138" s="646"/>
      <c r="O138" s="626"/>
      <c r="P138" s="629"/>
      <c r="Q138" s="629"/>
    </row>
    <row r="139" spans="1:17" ht="15.75" hidden="1" thickBot="1">
      <c r="A139" s="390" t="str">
        <f t="shared" ref="A139:B139" si="353">A136</f>
        <v>PE</v>
      </c>
      <c r="B139" s="391" t="str">
        <f t="shared" si="353"/>
        <v>particle</v>
      </c>
      <c r="C139" s="391" t="str">
        <f t="shared" si="317"/>
        <v/>
      </c>
      <c r="D139" s="391" t="str">
        <f t="shared" ref="D139:E139" si="354">D136</f>
        <v>0,01-0,1</v>
      </c>
      <c r="E139" s="391">
        <f t="shared" si="354"/>
        <v>0.1</v>
      </c>
      <c r="F139" s="391" t="str">
        <f t="shared" ref="F139:G139" si="355">F138</f>
        <v>marine water</v>
      </c>
      <c r="G139" s="401" t="str">
        <f t="shared" si="355"/>
        <v>DE: PE particle 0,01-0,1 mm (emission to marine water)</v>
      </c>
      <c r="H139" s="393">
        <v>0</v>
      </c>
      <c r="I139" s="394" t="s">
        <v>1034</v>
      </c>
      <c r="J139" s="654"/>
      <c r="K139" s="398" t="s">
        <v>596</v>
      </c>
      <c r="L139" s="538"/>
      <c r="M139" s="509">
        <f t="shared" si="339"/>
        <v>0</v>
      </c>
      <c r="N139" s="647"/>
      <c r="O139" s="627"/>
      <c r="P139" s="629"/>
      <c r="Q139" s="629"/>
    </row>
    <row r="140" spans="1:17" ht="15.75" hidden="1" thickBot="1">
      <c r="A140" s="390" t="str">
        <f t="shared" ref="A140:B140" si="356">A137</f>
        <v>PE</v>
      </c>
      <c r="B140" s="391" t="str">
        <f t="shared" si="356"/>
        <v>particle</v>
      </c>
      <c r="C140" s="391" t="str">
        <f t="shared" si="317"/>
        <v/>
      </c>
      <c r="D140" s="391" t="str">
        <f t="shared" ref="D140:E140" si="357">D137</f>
        <v>0,01-0,1</v>
      </c>
      <c r="E140" s="391">
        <f t="shared" si="357"/>
        <v>0.1</v>
      </c>
      <c r="F140" s="400" t="s">
        <v>1057</v>
      </c>
      <c r="G140" s="422" t="str">
        <f>CONCATENATE("DE: ",A140," ",B140," ",D140," mm (emission to ",F140,")")</f>
        <v>DE: PE particle 0,01-0,1 mm (emission to air)</v>
      </c>
      <c r="H140" s="403">
        <v>0.94799999999999995</v>
      </c>
      <c r="I140" s="394" t="s">
        <v>1019</v>
      </c>
      <c r="J140" s="634">
        <v>0.22800000000000001</v>
      </c>
      <c r="K140" s="389">
        <v>0.63</v>
      </c>
      <c r="L140" s="536"/>
      <c r="M140" s="509">
        <f t="shared" si="339"/>
        <v>1000</v>
      </c>
      <c r="N140" s="645">
        <f t="shared" ref="N140" si="358">IFERROR(H140*M140+H141*M141+H142*M142+H143*M143+H144*M144,"N.A.")</f>
        <v>1000</v>
      </c>
      <c r="O140" s="625"/>
      <c r="P140" s="628">
        <f t="shared" si="343"/>
        <v>100</v>
      </c>
      <c r="Q140" s="628">
        <f t="shared" si="263"/>
        <v>500</v>
      </c>
    </row>
    <row r="141" spans="1:17" ht="15.75" hidden="1" thickBot="1">
      <c r="A141" s="390" t="str">
        <f t="shared" ref="A141:B141" si="359">A138</f>
        <v>PE</v>
      </c>
      <c r="B141" s="391" t="str">
        <f t="shared" si="359"/>
        <v>particle</v>
      </c>
      <c r="C141" s="391" t="str">
        <f t="shared" si="317"/>
        <v/>
      </c>
      <c r="D141" s="391" t="str">
        <f t="shared" ref="D141:E141" si="360">D138</f>
        <v>0,01-0,1</v>
      </c>
      <c r="E141" s="391">
        <f t="shared" si="360"/>
        <v>0.1</v>
      </c>
      <c r="F141" s="391" t="str">
        <f t="shared" ref="F141:G141" si="361">F140</f>
        <v>air</v>
      </c>
      <c r="G141" s="401" t="str">
        <f t="shared" si="361"/>
        <v>DE: PE particle 0,01-0,1 mm (emission to air)</v>
      </c>
      <c r="H141" s="393">
        <v>5.1999999999999998E-2</v>
      </c>
      <c r="I141" s="394" t="s">
        <v>1097</v>
      </c>
      <c r="J141" s="635"/>
      <c r="K141" s="395">
        <v>0</v>
      </c>
      <c r="L141" s="537"/>
      <c r="M141" s="509">
        <f t="shared" si="339"/>
        <v>1000</v>
      </c>
      <c r="N141" s="646"/>
      <c r="O141" s="626"/>
      <c r="P141" s="629"/>
      <c r="Q141" s="629"/>
    </row>
    <row r="142" spans="1:17" ht="15.75" hidden="1" thickBot="1">
      <c r="A142" s="390" t="str">
        <f t="shared" ref="A142:B142" si="362">A139</f>
        <v>PE</v>
      </c>
      <c r="B142" s="391" t="str">
        <f t="shared" si="362"/>
        <v>particle</v>
      </c>
      <c r="C142" s="391" t="str">
        <f t="shared" si="317"/>
        <v/>
      </c>
      <c r="D142" s="391" t="str">
        <f t="shared" ref="D142:E142" si="363">D139</f>
        <v>0,01-0,1</v>
      </c>
      <c r="E142" s="391">
        <f t="shared" si="363"/>
        <v>0.1</v>
      </c>
      <c r="F142" s="391" t="str">
        <f t="shared" ref="F142:G142" si="364">F141</f>
        <v>air</v>
      </c>
      <c r="G142" s="401" t="str">
        <f t="shared" si="364"/>
        <v>DE: PE particle 0,01-0,1 mm (emission to air)</v>
      </c>
      <c r="H142" s="393">
        <v>0</v>
      </c>
      <c r="I142" s="394" t="s">
        <v>1162</v>
      </c>
      <c r="J142" s="635"/>
      <c r="K142" s="395">
        <v>0</v>
      </c>
      <c r="L142" s="537"/>
      <c r="M142" s="509">
        <f t="shared" si="339"/>
        <v>1000</v>
      </c>
      <c r="N142" s="646"/>
      <c r="O142" s="626"/>
      <c r="P142" s="629"/>
      <c r="Q142" s="629"/>
    </row>
    <row r="143" spans="1:17" ht="15.75" hidden="1" thickBot="1">
      <c r="A143" s="390" t="str">
        <f t="shared" ref="A143:B143" si="365">A140</f>
        <v>PE</v>
      </c>
      <c r="B143" s="391" t="str">
        <f t="shared" si="365"/>
        <v>particle</v>
      </c>
      <c r="C143" s="391" t="str">
        <f t="shared" si="317"/>
        <v/>
      </c>
      <c r="D143" s="391" t="str">
        <f t="shared" ref="D143:E143" si="366">D140</f>
        <v>0,01-0,1</v>
      </c>
      <c r="E143" s="391">
        <f t="shared" si="366"/>
        <v>0.1</v>
      </c>
      <c r="F143" s="391" t="str">
        <f t="shared" ref="F143:G143" si="367">F142</f>
        <v>air</v>
      </c>
      <c r="G143" s="401" t="str">
        <f t="shared" si="367"/>
        <v>DE: PE particle 0,01-0,1 mm (emission to air)</v>
      </c>
      <c r="H143" s="393">
        <v>0</v>
      </c>
      <c r="I143" s="394" t="s">
        <v>1163</v>
      </c>
      <c r="J143" s="635"/>
      <c r="K143" s="395">
        <v>0</v>
      </c>
      <c r="L143" s="537"/>
      <c r="M143" s="509">
        <f t="shared" si="339"/>
        <v>1000</v>
      </c>
      <c r="N143" s="646"/>
      <c r="O143" s="626"/>
      <c r="P143" s="629"/>
      <c r="Q143" s="629"/>
    </row>
    <row r="144" spans="1:17" ht="15.75" hidden="1" thickBot="1">
      <c r="A144" s="404" t="str">
        <f t="shared" ref="A144:B144" si="368">A139</f>
        <v>PE</v>
      </c>
      <c r="B144" s="402" t="str">
        <f t="shared" si="368"/>
        <v>particle</v>
      </c>
      <c r="C144" s="402" t="str">
        <f t="shared" si="317"/>
        <v/>
      </c>
      <c r="D144" s="402" t="str">
        <f t="shared" ref="D144:E144" si="369">D139</f>
        <v>0,01-0,1</v>
      </c>
      <c r="E144" s="402">
        <f t="shared" si="369"/>
        <v>0.1</v>
      </c>
      <c r="F144" s="391" t="str">
        <f t="shared" ref="F144:G144" si="370">F143</f>
        <v>air</v>
      </c>
      <c r="G144" s="401" t="str">
        <f t="shared" si="370"/>
        <v>DE: PE particle 0,01-0,1 mm (emission to air)</v>
      </c>
      <c r="H144" s="393">
        <v>0</v>
      </c>
      <c r="I144" s="394" t="s">
        <v>1034</v>
      </c>
      <c r="J144" s="636"/>
      <c r="K144" s="398" t="s">
        <v>596</v>
      </c>
      <c r="L144" s="538"/>
      <c r="M144" s="509">
        <f t="shared" si="339"/>
        <v>0</v>
      </c>
      <c r="N144" s="647"/>
      <c r="O144" s="627"/>
      <c r="P144" s="629"/>
      <c r="Q144" s="629"/>
    </row>
    <row r="145" spans="1:17" ht="15.75" hidden="1" thickBot="1">
      <c r="A145" s="405" t="s">
        <v>77</v>
      </c>
      <c r="B145" s="406" t="s">
        <v>1152</v>
      </c>
      <c r="C145" s="407">
        <v>6</v>
      </c>
      <c r="D145" s="423" t="s">
        <v>1028</v>
      </c>
      <c r="E145" s="408">
        <v>1</v>
      </c>
      <c r="F145" s="409" t="s">
        <v>1019</v>
      </c>
      <c r="G145" s="410" t="str">
        <f>CONCATENATE("DE: ",A145," ",B145," ",D145," mm (emission to ",F145,")")</f>
        <v>DE: PE particle 0,1-1 mm (emission to soil)</v>
      </c>
      <c r="H145" s="411">
        <v>0.97</v>
      </c>
      <c r="I145" s="412" t="s">
        <v>1019</v>
      </c>
      <c r="J145" s="635">
        <v>0.22800000000000001</v>
      </c>
      <c r="K145" s="413">
        <v>0.63</v>
      </c>
      <c r="L145" s="539"/>
      <c r="M145" s="509">
        <f t="shared" si="339"/>
        <v>198.4126984126984</v>
      </c>
      <c r="N145" s="645">
        <f t="shared" ref="N145" si="371">IFERROR(H145*M145+H146*M146+H147*M147+H148*M148+H149*M149,"N.A.")</f>
        <v>222.46031746031744</v>
      </c>
      <c r="O145" s="625"/>
      <c r="P145" s="628">
        <f t="shared" si="343"/>
        <v>100</v>
      </c>
      <c r="Q145" s="628">
        <f t="shared" si="263"/>
        <v>222.46031746031744</v>
      </c>
    </row>
    <row r="146" spans="1:17" ht="15.75" hidden="1" thickBot="1">
      <c r="A146" s="390" t="str">
        <f>A145</f>
        <v>PE</v>
      </c>
      <c r="B146" s="391" t="str">
        <f>B145</f>
        <v>particle</v>
      </c>
      <c r="C146" s="391" t="str">
        <f t="shared" ref="C146:C164" si="372">IF(OR(B146="Folie", B146="Strips", B146="Film",B146="Flakes",B146="Coupon"), 2,IF(OR(B146="Fibers",B146="Pellets"),4,IF(OR(B146="Particles",B146="Shreds",B146="Powder",B146="Fragments",B146="Granules"),6,"")))</f>
        <v/>
      </c>
      <c r="D146" s="391" t="str">
        <f t="shared" ref="D146:G146" si="373">D145</f>
        <v>0,1-1</v>
      </c>
      <c r="E146" s="391">
        <f t="shared" si="373"/>
        <v>1</v>
      </c>
      <c r="F146" s="414" t="str">
        <f t="shared" si="373"/>
        <v>soil</v>
      </c>
      <c r="G146" s="415" t="str">
        <f t="shared" si="373"/>
        <v>DE: PE particle 0,1-1 mm (emission to soil)</v>
      </c>
      <c r="H146" s="416">
        <v>0.03</v>
      </c>
      <c r="I146" s="417" t="s">
        <v>1097</v>
      </c>
      <c r="J146" s="635"/>
      <c r="K146" s="418">
        <v>0</v>
      </c>
      <c r="L146" s="537"/>
      <c r="M146" s="509">
        <f t="shared" si="339"/>
        <v>1000</v>
      </c>
      <c r="N146" s="646"/>
      <c r="O146" s="626"/>
      <c r="P146" s="629"/>
      <c r="Q146" s="629"/>
    </row>
    <row r="147" spans="1:17" ht="15.75" hidden="1" thickBot="1">
      <c r="A147" s="390" t="str">
        <f t="shared" ref="A147:A148" si="374">A146</f>
        <v>PE</v>
      </c>
      <c r="B147" s="391" t="str">
        <f t="shared" ref="B147:B148" si="375">B146</f>
        <v>particle</v>
      </c>
      <c r="C147" s="391" t="str">
        <f t="shared" si="372"/>
        <v/>
      </c>
      <c r="D147" s="391" t="str">
        <f t="shared" ref="D147:G147" si="376">D146</f>
        <v>0,1-1</v>
      </c>
      <c r="E147" s="391">
        <f t="shared" si="376"/>
        <v>1</v>
      </c>
      <c r="F147" s="414" t="str">
        <f t="shared" si="376"/>
        <v>soil</v>
      </c>
      <c r="G147" s="415" t="str">
        <f t="shared" si="376"/>
        <v>DE: PE particle 0,1-1 mm (emission to soil)</v>
      </c>
      <c r="H147" s="416">
        <v>0</v>
      </c>
      <c r="I147" s="417" t="s">
        <v>1162</v>
      </c>
      <c r="J147" s="635"/>
      <c r="K147" s="418">
        <v>0</v>
      </c>
      <c r="L147" s="537"/>
      <c r="M147" s="509">
        <f t="shared" si="339"/>
        <v>1000</v>
      </c>
      <c r="N147" s="646"/>
      <c r="O147" s="626"/>
      <c r="P147" s="629"/>
      <c r="Q147" s="629"/>
    </row>
    <row r="148" spans="1:17" ht="15.75" hidden="1" thickBot="1">
      <c r="A148" s="390" t="str">
        <f t="shared" si="374"/>
        <v>PE</v>
      </c>
      <c r="B148" s="391" t="str">
        <f t="shared" si="375"/>
        <v>particle</v>
      </c>
      <c r="C148" s="391" t="str">
        <f t="shared" si="372"/>
        <v/>
      </c>
      <c r="D148" s="391" t="str">
        <f t="shared" ref="D148:G148" si="377">D147</f>
        <v>0,1-1</v>
      </c>
      <c r="E148" s="391">
        <f t="shared" si="377"/>
        <v>1</v>
      </c>
      <c r="F148" s="414" t="str">
        <f t="shared" si="377"/>
        <v>soil</v>
      </c>
      <c r="G148" s="415" t="str">
        <f t="shared" si="377"/>
        <v>DE: PE particle 0,1-1 mm (emission to soil)</v>
      </c>
      <c r="H148" s="416">
        <v>0</v>
      </c>
      <c r="I148" s="417" t="s">
        <v>1163</v>
      </c>
      <c r="J148" s="635"/>
      <c r="K148" s="418">
        <v>0</v>
      </c>
      <c r="L148" s="537"/>
      <c r="M148" s="509">
        <f t="shared" si="339"/>
        <v>1000</v>
      </c>
      <c r="N148" s="646"/>
      <c r="O148" s="626"/>
      <c r="P148" s="629"/>
      <c r="Q148" s="629"/>
    </row>
    <row r="149" spans="1:17" ht="15.75" hidden="1" thickBot="1">
      <c r="A149" s="390" t="str">
        <f>A146</f>
        <v>PE</v>
      </c>
      <c r="B149" s="391" t="str">
        <f>B146</f>
        <v>particle</v>
      </c>
      <c r="C149" s="391" t="str">
        <f t="shared" si="372"/>
        <v/>
      </c>
      <c r="D149" s="391" t="str">
        <f>D146</f>
        <v>0,1-1</v>
      </c>
      <c r="E149" s="391">
        <f>E146</f>
        <v>1</v>
      </c>
      <c r="F149" s="414" t="str">
        <f>F146</f>
        <v>soil</v>
      </c>
      <c r="G149" s="419" t="str">
        <f t="shared" ref="G149" si="378">G148</f>
        <v>DE: PE particle 0,1-1 mm (emission to soil)</v>
      </c>
      <c r="H149" s="416">
        <v>0</v>
      </c>
      <c r="I149" s="420" t="s">
        <v>1034</v>
      </c>
      <c r="J149" s="654"/>
      <c r="K149" s="421" t="s">
        <v>596</v>
      </c>
      <c r="L149" s="538"/>
      <c r="M149" s="509">
        <f t="shared" si="339"/>
        <v>0</v>
      </c>
      <c r="N149" s="647"/>
      <c r="O149" s="627"/>
      <c r="P149" s="629"/>
      <c r="Q149" s="629"/>
    </row>
    <row r="150" spans="1:17" ht="15.75" hidden="1" thickBot="1">
      <c r="A150" s="390" t="str">
        <f t="shared" ref="A150:B150" si="379">A147</f>
        <v>PE</v>
      </c>
      <c r="B150" s="391" t="str">
        <f t="shared" si="379"/>
        <v>particle</v>
      </c>
      <c r="C150" s="399" t="str">
        <f t="shared" si="372"/>
        <v/>
      </c>
      <c r="D150" s="399" t="str">
        <f t="shared" ref="D150:E150" si="380">D147</f>
        <v>0,1-1</v>
      </c>
      <c r="E150" s="391">
        <f t="shared" si="380"/>
        <v>1</v>
      </c>
      <c r="F150" s="430" t="s">
        <v>1147</v>
      </c>
      <c r="G150" s="431" t="str">
        <f>CONCATENATE("DE: ",A150," ",B150," ",D150," mm (emission to ",F150,")")</f>
        <v>DE: PE particle 0,1-1 mm (emission to fresh water)</v>
      </c>
      <c r="H150" s="432">
        <v>0</v>
      </c>
      <c r="I150" s="433" t="s">
        <v>1019</v>
      </c>
      <c r="J150" s="634">
        <v>0.22800000000000001</v>
      </c>
      <c r="K150" s="434">
        <v>0.63</v>
      </c>
      <c r="L150" s="536"/>
      <c r="M150" s="509">
        <f t="shared" si="339"/>
        <v>1000</v>
      </c>
      <c r="N150" s="645">
        <f t="shared" ref="N150" si="381">IFERROR(H150*M150+H151*M151+H152*M152+H153*M153+H154*M154,"N.A.")</f>
        <v>1000</v>
      </c>
      <c r="O150" s="625"/>
      <c r="P150" s="628">
        <f t="shared" si="343"/>
        <v>100</v>
      </c>
      <c r="Q150" s="628">
        <f t="shared" si="263"/>
        <v>500</v>
      </c>
    </row>
    <row r="151" spans="1:17" ht="15.75" hidden="1" thickBot="1">
      <c r="A151" s="390" t="str">
        <f t="shared" ref="A151:B151" si="382">A148</f>
        <v>PE</v>
      </c>
      <c r="B151" s="391" t="str">
        <f t="shared" si="382"/>
        <v>particle</v>
      </c>
      <c r="C151" s="391" t="str">
        <f t="shared" si="372"/>
        <v/>
      </c>
      <c r="D151" s="391" t="str">
        <f t="shared" ref="D151:E151" si="383">D148</f>
        <v>0,1-1</v>
      </c>
      <c r="E151" s="391">
        <f t="shared" si="383"/>
        <v>1</v>
      </c>
      <c r="F151" s="414" t="str">
        <f t="shared" ref="F151:G151" si="384">F150</f>
        <v>fresh water</v>
      </c>
      <c r="G151" s="435" t="str">
        <f t="shared" si="384"/>
        <v>DE: PE particle 0,1-1 mm (emission to fresh water)</v>
      </c>
      <c r="H151" s="416">
        <v>1</v>
      </c>
      <c r="I151" s="417" t="s">
        <v>1097</v>
      </c>
      <c r="J151" s="635"/>
      <c r="K151" s="418">
        <v>0</v>
      </c>
      <c r="L151" s="537"/>
      <c r="M151" s="509">
        <f t="shared" si="339"/>
        <v>1000</v>
      </c>
      <c r="N151" s="646"/>
      <c r="O151" s="626"/>
      <c r="P151" s="629"/>
      <c r="Q151" s="629"/>
    </row>
    <row r="152" spans="1:17" ht="15.75" hidden="1" thickBot="1">
      <c r="A152" s="390" t="str">
        <f t="shared" ref="A152:B152" si="385">A149</f>
        <v>PE</v>
      </c>
      <c r="B152" s="391" t="str">
        <f t="shared" si="385"/>
        <v>particle</v>
      </c>
      <c r="C152" s="391" t="str">
        <f t="shared" si="372"/>
        <v/>
      </c>
      <c r="D152" s="391" t="str">
        <f t="shared" ref="D152:E152" si="386">D149</f>
        <v>0,1-1</v>
      </c>
      <c r="E152" s="391">
        <f t="shared" si="386"/>
        <v>1</v>
      </c>
      <c r="F152" s="414" t="str">
        <f t="shared" ref="F152:G152" si="387">F151</f>
        <v>fresh water</v>
      </c>
      <c r="G152" s="435" t="str">
        <f t="shared" si="387"/>
        <v>DE: PE particle 0,1-1 mm (emission to fresh water)</v>
      </c>
      <c r="H152" s="416">
        <v>0</v>
      </c>
      <c r="I152" s="417" t="s">
        <v>1162</v>
      </c>
      <c r="J152" s="635"/>
      <c r="K152" s="418">
        <v>0</v>
      </c>
      <c r="L152" s="537"/>
      <c r="M152" s="509">
        <f t="shared" si="339"/>
        <v>1000</v>
      </c>
      <c r="N152" s="646"/>
      <c r="O152" s="626"/>
      <c r="P152" s="629"/>
      <c r="Q152" s="629"/>
    </row>
    <row r="153" spans="1:17" ht="15.75" hidden="1" thickBot="1">
      <c r="A153" s="390" t="str">
        <f t="shared" ref="A153:B153" si="388">A150</f>
        <v>PE</v>
      </c>
      <c r="B153" s="391" t="str">
        <f t="shared" si="388"/>
        <v>particle</v>
      </c>
      <c r="C153" s="391" t="str">
        <f t="shared" si="372"/>
        <v/>
      </c>
      <c r="D153" s="391" t="str">
        <f t="shared" ref="D153:E153" si="389">D150</f>
        <v>0,1-1</v>
      </c>
      <c r="E153" s="391">
        <f t="shared" si="389"/>
        <v>1</v>
      </c>
      <c r="F153" s="414" t="str">
        <f t="shared" ref="F153:G153" si="390">F152</f>
        <v>fresh water</v>
      </c>
      <c r="G153" s="435" t="str">
        <f t="shared" si="390"/>
        <v>DE: PE particle 0,1-1 mm (emission to fresh water)</v>
      </c>
      <c r="H153" s="416">
        <v>0</v>
      </c>
      <c r="I153" s="417" t="s">
        <v>1163</v>
      </c>
      <c r="J153" s="635"/>
      <c r="K153" s="418">
        <v>0</v>
      </c>
      <c r="L153" s="537"/>
      <c r="M153" s="509">
        <f t="shared" si="339"/>
        <v>1000</v>
      </c>
      <c r="N153" s="646"/>
      <c r="O153" s="626"/>
      <c r="P153" s="629"/>
      <c r="Q153" s="629"/>
    </row>
    <row r="154" spans="1:17" ht="15.75" hidden="1" thickBot="1">
      <c r="A154" s="390" t="str">
        <f t="shared" ref="A154:B154" si="391">A151</f>
        <v>PE</v>
      </c>
      <c r="B154" s="391" t="str">
        <f t="shared" si="391"/>
        <v>particle</v>
      </c>
      <c r="C154" s="391" t="str">
        <f t="shared" si="372"/>
        <v/>
      </c>
      <c r="D154" s="391" t="str">
        <f t="shared" ref="D154:E154" si="392">D151</f>
        <v>0,1-1</v>
      </c>
      <c r="E154" s="391">
        <f t="shared" si="392"/>
        <v>1</v>
      </c>
      <c r="F154" s="436" t="str">
        <f>F151</f>
        <v>fresh water</v>
      </c>
      <c r="G154" s="435" t="str">
        <f t="shared" ref="G154" si="393">G153</f>
        <v>DE: PE particle 0,1-1 mm (emission to fresh water)</v>
      </c>
      <c r="H154" s="416">
        <v>0</v>
      </c>
      <c r="I154" s="417" t="s">
        <v>1034</v>
      </c>
      <c r="J154" s="654"/>
      <c r="K154" s="421" t="s">
        <v>596</v>
      </c>
      <c r="L154" s="538"/>
      <c r="M154" s="509">
        <f t="shared" si="339"/>
        <v>0</v>
      </c>
      <c r="N154" s="647"/>
      <c r="O154" s="627"/>
      <c r="P154" s="629"/>
      <c r="Q154" s="629"/>
    </row>
    <row r="155" spans="1:17" ht="15.75" hidden="1" thickBot="1">
      <c r="A155" s="390" t="str">
        <f t="shared" ref="A155:B155" si="394">A152</f>
        <v>PE</v>
      </c>
      <c r="B155" s="391" t="str">
        <f t="shared" si="394"/>
        <v>particle</v>
      </c>
      <c r="C155" s="391" t="str">
        <f t="shared" si="372"/>
        <v/>
      </c>
      <c r="D155" s="391" t="str">
        <f t="shared" ref="D155:E155" si="395">D152</f>
        <v>0,1-1</v>
      </c>
      <c r="E155" s="391">
        <f t="shared" si="395"/>
        <v>1</v>
      </c>
      <c r="F155" s="385" t="s">
        <v>1097</v>
      </c>
      <c r="G155" s="422" t="str">
        <f>CONCATENATE("DE: ",A155," ",B155," ",D155," mm (emission to ",F155,")")</f>
        <v>DE: PE particle 0,1-1 mm (emission to marine water)</v>
      </c>
      <c r="H155" s="387">
        <v>0</v>
      </c>
      <c r="I155" s="394" t="s">
        <v>1019</v>
      </c>
      <c r="J155" s="634">
        <v>0.22800000000000001</v>
      </c>
      <c r="K155" s="389">
        <v>0.63</v>
      </c>
      <c r="L155" s="536"/>
      <c r="M155" s="509">
        <f t="shared" si="339"/>
        <v>1000</v>
      </c>
      <c r="N155" s="645">
        <f t="shared" ref="N155" si="396">IFERROR(H155*M155+H156*M156+H157*M157+H158*M158+H159*M159,"N.A.")</f>
        <v>1000</v>
      </c>
      <c r="O155" s="625"/>
      <c r="P155" s="628">
        <f t="shared" si="343"/>
        <v>100</v>
      </c>
      <c r="Q155" s="628">
        <f t="shared" si="263"/>
        <v>500</v>
      </c>
    </row>
    <row r="156" spans="1:17" ht="15.75" hidden="1" thickBot="1">
      <c r="A156" s="390" t="str">
        <f t="shared" ref="A156:B156" si="397">A153</f>
        <v>PE</v>
      </c>
      <c r="B156" s="391" t="str">
        <f t="shared" si="397"/>
        <v>particle</v>
      </c>
      <c r="C156" s="391" t="str">
        <f t="shared" si="372"/>
        <v/>
      </c>
      <c r="D156" s="391" t="str">
        <f t="shared" ref="D156:E156" si="398">D153</f>
        <v>0,1-1</v>
      </c>
      <c r="E156" s="391">
        <f t="shared" si="398"/>
        <v>1</v>
      </c>
      <c r="F156" s="391" t="str">
        <f t="shared" ref="F156:G156" si="399">F155</f>
        <v>marine water</v>
      </c>
      <c r="G156" s="401" t="str">
        <f t="shared" si="399"/>
        <v>DE: PE particle 0,1-1 mm (emission to marine water)</v>
      </c>
      <c r="H156" s="393">
        <v>1</v>
      </c>
      <c r="I156" s="394" t="s">
        <v>1097</v>
      </c>
      <c r="J156" s="635"/>
      <c r="K156" s="395">
        <v>0</v>
      </c>
      <c r="L156" s="537"/>
      <c r="M156" s="509">
        <f t="shared" si="339"/>
        <v>1000</v>
      </c>
      <c r="N156" s="646"/>
      <c r="O156" s="626"/>
      <c r="P156" s="629"/>
      <c r="Q156" s="629"/>
    </row>
    <row r="157" spans="1:17" ht="15.75" hidden="1" thickBot="1">
      <c r="A157" s="390" t="str">
        <f t="shared" ref="A157:B157" si="400">A154</f>
        <v>PE</v>
      </c>
      <c r="B157" s="391" t="str">
        <f t="shared" si="400"/>
        <v>particle</v>
      </c>
      <c r="C157" s="391" t="str">
        <f t="shared" si="372"/>
        <v/>
      </c>
      <c r="D157" s="391" t="str">
        <f t="shared" ref="D157:E157" si="401">D154</f>
        <v>0,1-1</v>
      </c>
      <c r="E157" s="391">
        <f t="shared" si="401"/>
        <v>1</v>
      </c>
      <c r="F157" s="391" t="str">
        <f t="shared" ref="F157:G157" si="402">F156</f>
        <v>marine water</v>
      </c>
      <c r="G157" s="401" t="str">
        <f t="shared" si="402"/>
        <v>DE: PE particle 0,1-1 mm (emission to marine water)</v>
      </c>
      <c r="H157" s="393">
        <v>0</v>
      </c>
      <c r="I157" s="394" t="s">
        <v>1162</v>
      </c>
      <c r="J157" s="635"/>
      <c r="K157" s="395">
        <v>0</v>
      </c>
      <c r="L157" s="537"/>
      <c r="M157" s="509">
        <f t="shared" si="339"/>
        <v>1000</v>
      </c>
      <c r="N157" s="646"/>
      <c r="O157" s="626"/>
      <c r="P157" s="629"/>
      <c r="Q157" s="629"/>
    </row>
    <row r="158" spans="1:17" ht="15.75" hidden="1" thickBot="1">
      <c r="A158" s="390" t="str">
        <f t="shared" ref="A158:B158" si="403">A155</f>
        <v>PE</v>
      </c>
      <c r="B158" s="391" t="str">
        <f t="shared" si="403"/>
        <v>particle</v>
      </c>
      <c r="C158" s="391" t="str">
        <f t="shared" si="372"/>
        <v/>
      </c>
      <c r="D158" s="391" t="str">
        <f t="shared" ref="D158:E158" si="404">D155</f>
        <v>0,1-1</v>
      </c>
      <c r="E158" s="391">
        <f t="shared" si="404"/>
        <v>1</v>
      </c>
      <c r="F158" s="391" t="str">
        <f t="shared" ref="F158:G158" si="405">F157</f>
        <v>marine water</v>
      </c>
      <c r="G158" s="401" t="str">
        <f t="shared" si="405"/>
        <v>DE: PE particle 0,1-1 mm (emission to marine water)</v>
      </c>
      <c r="H158" s="393">
        <v>0</v>
      </c>
      <c r="I158" s="394" t="s">
        <v>1163</v>
      </c>
      <c r="J158" s="635"/>
      <c r="K158" s="395">
        <v>0</v>
      </c>
      <c r="L158" s="537"/>
      <c r="M158" s="509">
        <f t="shared" si="339"/>
        <v>1000</v>
      </c>
      <c r="N158" s="646"/>
      <c r="O158" s="626"/>
      <c r="P158" s="629"/>
      <c r="Q158" s="629"/>
    </row>
    <row r="159" spans="1:17" ht="15.75" hidden="1" thickBot="1">
      <c r="A159" s="390" t="str">
        <f t="shared" ref="A159:B159" si="406">A156</f>
        <v>PE</v>
      </c>
      <c r="B159" s="391" t="str">
        <f t="shared" si="406"/>
        <v>particle</v>
      </c>
      <c r="C159" s="391" t="str">
        <f t="shared" si="372"/>
        <v/>
      </c>
      <c r="D159" s="391" t="str">
        <f t="shared" ref="D159:E159" si="407">D156</f>
        <v>0,1-1</v>
      </c>
      <c r="E159" s="391">
        <f t="shared" si="407"/>
        <v>1</v>
      </c>
      <c r="F159" s="391" t="str">
        <f t="shared" ref="F159:G159" si="408">F158</f>
        <v>marine water</v>
      </c>
      <c r="G159" s="401" t="str">
        <f t="shared" si="408"/>
        <v>DE: PE particle 0,1-1 mm (emission to marine water)</v>
      </c>
      <c r="H159" s="393">
        <v>0</v>
      </c>
      <c r="I159" s="394" t="s">
        <v>1034</v>
      </c>
      <c r="J159" s="654"/>
      <c r="K159" s="398" t="s">
        <v>596</v>
      </c>
      <c r="L159" s="538"/>
      <c r="M159" s="509">
        <f t="shared" si="339"/>
        <v>0</v>
      </c>
      <c r="N159" s="647"/>
      <c r="O159" s="627"/>
      <c r="P159" s="629"/>
      <c r="Q159" s="629"/>
    </row>
    <row r="160" spans="1:17" ht="15.75" hidden="1" thickBot="1">
      <c r="A160" s="390" t="str">
        <f t="shared" ref="A160:B160" si="409">A157</f>
        <v>PE</v>
      </c>
      <c r="B160" s="391" t="str">
        <f t="shared" si="409"/>
        <v>particle</v>
      </c>
      <c r="C160" s="391" t="str">
        <f t="shared" si="372"/>
        <v/>
      </c>
      <c r="D160" s="391" t="str">
        <f t="shared" ref="D160:E160" si="410">D157</f>
        <v>0,1-1</v>
      </c>
      <c r="E160" s="391">
        <f t="shared" si="410"/>
        <v>1</v>
      </c>
      <c r="F160" s="400" t="s">
        <v>1057</v>
      </c>
      <c r="G160" s="422" t="str">
        <f>CONCATENATE("DE: ",A160," ",B160," ",D160," mm (emission to ",F160,")")</f>
        <v>DE: PE particle 0,1-1 mm (emission to air)</v>
      </c>
      <c r="H160" s="403">
        <v>0.94799999999999995</v>
      </c>
      <c r="I160" s="394" t="s">
        <v>1019</v>
      </c>
      <c r="J160" s="634">
        <v>0.22800000000000001</v>
      </c>
      <c r="K160" s="389">
        <v>0.63</v>
      </c>
      <c r="L160" s="536"/>
      <c r="M160" s="509">
        <f t="shared" si="339"/>
        <v>1000</v>
      </c>
      <c r="N160" s="645">
        <f t="shared" ref="N160" si="411">IFERROR(H160*M160+H161*M161+H162*M162+H163*M163+H164*M164,"N.A.")</f>
        <v>1000</v>
      </c>
      <c r="O160" s="625"/>
      <c r="P160" s="628">
        <f t="shared" si="343"/>
        <v>100</v>
      </c>
      <c r="Q160" s="628">
        <f t="shared" si="263"/>
        <v>500</v>
      </c>
    </row>
    <row r="161" spans="1:17" ht="15.75" hidden="1" thickBot="1">
      <c r="A161" s="390" t="str">
        <f t="shared" ref="A161:B161" si="412">A158</f>
        <v>PE</v>
      </c>
      <c r="B161" s="391" t="str">
        <f t="shared" si="412"/>
        <v>particle</v>
      </c>
      <c r="C161" s="391" t="str">
        <f t="shared" si="372"/>
        <v/>
      </c>
      <c r="D161" s="391" t="str">
        <f t="shared" ref="D161:E161" si="413">D158</f>
        <v>0,1-1</v>
      </c>
      <c r="E161" s="391">
        <f t="shared" si="413"/>
        <v>1</v>
      </c>
      <c r="F161" s="391" t="str">
        <f t="shared" ref="F161:G161" si="414">F160</f>
        <v>air</v>
      </c>
      <c r="G161" s="401" t="str">
        <f t="shared" si="414"/>
        <v>DE: PE particle 0,1-1 mm (emission to air)</v>
      </c>
      <c r="H161" s="393">
        <v>5.1999999999999998E-2</v>
      </c>
      <c r="I161" s="394" t="s">
        <v>1097</v>
      </c>
      <c r="J161" s="635"/>
      <c r="K161" s="395">
        <v>0</v>
      </c>
      <c r="L161" s="537"/>
      <c r="M161" s="509">
        <f t="shared" si="339"/>
        <v>1000</v>
      </c>
      <c r="N161" s="646"/>
      <c r="O161" s="626"/>
      <c r="P161" s="629"/>
      <c r="Q161" s="629"/>
    </row>
    <row r="162" spans="1:17" ht="15.75" hidden="1" thickBot="1">
      <c r="A162" s="390" t="str">
        <f t="shared" ref="A162:B162" si="415">A159</f>
        <v>PE</v>
      </c>
      <c r="B162" s="391" t="str">
        <f t="shared" si="415"/>
        <v>particle</v>
      </c>
      <c r="C162" s="391" t="str">
        <f t="shared" si="372"/>
        <v/>
      </c>
      <c r="D162" s="391" t="str">
        <f t="shared" ref="D162:E162" si="416">D159</f>
        <v>0,1-1</v>
      </c>
      <c r="E162" s="391">
        <f t="shared" si="416"/>
        <v>1</v>
      </c>
      <c r="F162" s="391" t="str">
        <f t="shared" ref="F162:G162" si="417">F161</f>
        <v>air</v>
      </c>
      <c r="G162" s="401" t="str">
        <f t="shared" si="417"/>
        <v>DE: PE particle 0,1-1 mm (emission to air)</v>
      </c>
      <c r="H162" s="393">
        <v>0</v>
      </c>
      <c r="I162" s="394" t="s">
        <v>1162</v>
      </c>
      <c r="J162" s="635"/>
      <c r="K162" s="395">
        <v>0</v>
      </c>
      <c r="L162" s="537"/>
      <c r="M162" s="509">
        <f t="shared" si="339"/>
        <v>1000</v>
      </c>
      <c r="N162" s="646"/>
      <c r="O162" s="626"/>
      <c r="P162" s="629"/>
      <c r="Q162" s="629"/>
    </row>
    <row r="163" spans="1:17" ht="15.75" hidden="1" thickBot="1">
      <c r="A163" s="390" t="str">
        <f t="shared" ref="A163:B163" si="418">A160</f>
        <v>PE</v>
      </c>
      <c r="B163" s="391" t="str">
        <f t="shared" si="418"/>
        <v>particle</v>
      </c>
      <c r="C163" s="391" t="str">
        <f t="shared" si="372"/>
        <v/>
      </c>
      <c r="D163" s="391" t="str">
        <f t="shared" ref="D163:E163" si="419">D160</f>
        <v>0,1-1</v>
      </c>
      <c r="E163" s="391">
        <f t="shared" si="419"/>
        <v>1</v>
      </c>
      <c r="F163" s="391" t="str">
        <f t="shared" ref="F163:G163" si="420">F162</f>
        <v>air</v>
      </c>
      <c r="G163" s="401" t="str">
        <f t="shared" si="420"/>
        <v>DE: PE particle 0,1-1 mm (emission to air)</v>
      </c>
      <c r="H163" s="393">
        <v>0</v>
      </c>
      <c r="I163" s="394" t="s">
        <v>1163</v>
      </c>
      <c r="J163" s="635"/>
      <c r="K163" s="395">
        <v>0</v>
      </c>
      <c r="L163" s="537"/>
      <c r="M163" s="509">
        <f t="shared" si="339"/>
        <v>1000</v>
      </c>
      <c r="N163" s="646"/>
      <c r="O163" s="626"/>
      <c r="P163" s="629"/>
      <c r="Q163" s="629"/>
    </row>
    <row r="164" spans="1:17" ht="15.75" hidden="1" thickBot="1">
      <c r="A164" s="404" t="str">
        <f t="shared" ref="A164:B164" si="421">A159</f>
        <v>PE</v>
      </c>
      <c r="B164" s="402" t="str">
        <f t="shared" si="421"/>
        <v>particle</v>
      </c>
      <c r="C164" s="402" t="str">
        <f t="shared" si="372"/>
        <v/>
      </c>
      <c r="D164" s="402" t="str">
        <f t="shared" ref="D164:E164" si="422">D159</f>
        <v>0,1-1</v>
      </c>
      <c r="E164" s="402">
        <f t="shared" si="422"/>
        <v>1</v>
      </c>
      <c r="F164" s="391" t="str">
        <f t="shared" ref="F164:G164" si="423">F163</f>
        <v>air</v>
      </c>
      <c r="G164" s="401" t="str">
        <f t="shared" si="423"/>
        <v>DE: PE particle 0,1-1 mm (emission to air)</v>
      </c>
      <c r="H164" s="393">
        <v>0</v>
      </c>
      <c r="I164" s="394" t="s">
        <v>1034</v>
      </c>
      <c r="J164" s="636"/>
      <c r="K164" s="398" t="s">
        <v>596</v>
      </c>
      <c r="L164" s="538"/>
      <c r="M164" s="509">
        <f t="shared" si="339"/>
        <v>0</v>
      </c>
      <c r="N164" s="647"/>
      <c r="O164" s="627"/>
      <c r="P164" s="629"/>
      <c r="Q164" s="629"/>
    </row>
    <row r="165" spans="1:17" ht="15.75" hidden="1" thickBot="1">
      <c r="A165" s="405" t="s">
        <v>77</v>
      </c>
      <c r="B165" s="406" t="s">
        <v>1152</v>
      </c>
      <c r="C165" s="407">
        <v>6</v>
      </c>
      <c r="D165" s="423" t="s">
        <v>1026</v>
      </c>
      <c r="E165" s="408">
        <v>10</v>
      </c>
      <c r="F165" s="424" t="s">
        <v>1019</v>
      </c>
      <c r="G165" s="425" t="str">
        <f>CONCATENATE("DE: ",A165," ",B165," ",D165," mm (emission to ",F165,")")</f>
        <v>DE: PE particle 1-10 mm (emission to soil)</v>
      </c>
      <c r="H165" s="426">
        <v>0.97</v>
      </c>
      <c r="I165" s="427" t="s">
        <v>1019</v>
      </c>
      <c r="J165" s="635">
        <v>0.22800000000000001</v>
      </c>
      <c r="K165" s="428">
        <v>0.63</v>
      </c>
      <c r="L165" s="539"/>
      <c r="M165" s="509">
        <f t="shared" si="339"/>
        <v>1000</v>
      </c>
      <c r="N165" s="645">
        <f t="shared" ref="N165" si="424">IFERROR(H165*M165+H166*M166+H167*M167+H168*M168+H169*M169,"N.A.")</f>
        <v>1000</v>
      </c>
      <c r="O165" s="625"/>
      <c r="P165" s="628">
        <f t="shared" si="343"/>
        <v>100</v>
      </c>
      <c r="Q165" s="628">
        <f t="shared" si="263"/>
        <v>500</v>
      </c>
    </row>
    <row r="166" spans="1:17" ht="15.75" hidden="1" thickBot="1">
      <c r="A166" s="390" t="str">
        <f>A165</f>
        <v>PE</v>
      </c>
      <c r="B166" s="391" t="str">
        <f>B165</f>
        <v>particle</v>
      </c>
      <c r="C166" s="391" t="str">
        <f t="shared" ref="C166:C184" si="425">IF(OR(B166="Folie", B166="Strips", B166="Film",B166="Flakes",B166="Coupon"), 2,IF(OR(B166="Fibers",B166="Pellets"),4,IF(OR(B166="Particles",B166="Shreds",B166="Powder",B166="Fragments",B166="Granules"),6,"")))</f>
        <v/>
      </c>
      <c r="D166" s="391" t="str">
        <f t="shared" ref="D166:G166" si="426">D165</f>
        <v>1-10</v>
      </c>
      <c r="E166" s="391">
        <f t="shared" si="426"/>
        <v>10</v>
      </c>
      <c r="F166" s="391" t="str">
        <f t="shared" si="426"/>
        <v>soil</v>
      </c>
      <c r="G166" s="392" t="str">
        <f t="shared" si="426"/>
        <v>DE: PE particle 1-10 mm (emission to soil)</v>
      </c>
      <c r="H166" s="393">
        <v>0.03</v>
      </c>
      <c r="I166" s="394" t="s">
        <v>1097</v>
      </c>
      <c r="J166" s="635"/>
      <c r="K166" s="395">
        <v>0</v>
      </c>
      <c r="L166" s="537"/>
      <c r="M166" s="509">
        <f t="shared" si="339"/>
        <v>1000</v>
      </c>
      <c r="N166" s="646"/>
      <c r="O166" s="626"/>
      <c r="P166" s="629"/>
      <c r="Q166" s="629"/>
    </row>
    <row r="167" spans="1:17" ht="15.75" hidden="1" thickBot="1">
      <c r="A167" s="390" t="str">
        <f t="shared" ref="A167:A168" si="427">A166</f>
        <v>PE</v>
      </c>
      <c r="B167" s="391" t="str">
        <f t="shared" ref="B167:B168" si="428">B166</f>
        <v>particle</v>
      </c>
      <c r="C167" s="391" t="str">
        <f t="shared" si="425"/>
        <v/>
      </c>
      <c r="D167" s="391" t="str">
        <f t="shared" ref="D167:G167" si="429">D166</f>
        <v>1-10</v>
      </c>
      <c r="E167" s="391">
        <f t="shared" si="429"/>
        <v>10</v>
      </c>
      <c r="F167" s="391" t="str">
        <f t="shared" si="429"/>
        <v>soil</v>
      </c>
      <c r="G167" s="392" t="str">
        <f t="shared" si="429"/>
        <v>DE: PE particle 1-10 mm (emission to soil)</v>
      </c>
      <c r="H167" s="393">
        <v>0</v>
      </c>
      <c r="I167" s="394" t="s">
        <v>1162</v>
      </c>
      <c r="J167" s="635"/>
      <c r="K167" s="395">
        <v>0</v>
      </c>
      <c r="L167" s="537"/>
      <c r="M167" s="509">
        <f t="shared" si="339"/>
        <v>1000</v>
      </c>
      <c r="N167" s="646"/>
      <c r="O167" s="626"/>
      <c r="P167" s="629"/>
      <c r="Q167" s="629"/>
    </row>
    <row r="168" spans="1:17" ht="15.75" hidden="1" thickBot="1">
      <c r="A168" s="390" t="str">
        <f t="shared" si="427"/>
        <v>PE</v>
      </c>
      <c r="B168" s="391" t="str">
        <f t="shared" si="428"/>
        <v>particle</v>
      </c>
      <c r="C168" s="391" t="str">
        <f t="shared" si="425"/>
        <v/>
      </c>
      <c r="D168" s="391" t="str">
        <f t="shared" ref="D168:G168" si="430">D167</f>
        <v>1-10</v>
      </c>
      <c r="E168" s="391">
        <f t="shared" si="430"/>
        <v>10</v>
      </c>
      <c r="F168" s="391" t="str">
        <f t="shared" si="430"/>
        <v>soil</v>
      </c>
      <c r="G168" s="392" t="str">
        <f t="shared" si="430"/>
        <v>DE: PE particle 1-10 mm (emission to soil)</v>
      </c>
      <c r="H168" s="393">
        <v>0</v>
      </c>
      <c r="I168" s="394" t="s">
        <v>1163</v>
      </c>
      <c r="J168" s="635"/>
      <c r="K168" s="395">
        <v>0</v>
      </c>
      <c r="L168" s="537"/>
      <c r="M168" s="509">
        <f t="shared" si="339"/>
        <v>1000</v>
      </c>
      <c r="N168" s="646"/>
      <c r="O168" s="626"/>
      <c r="P168" s="629"/>
      <c r="Q168" s="629"/>
    </row>
    <row r="169" spans="1:17" ht="15.75" hidden="1" thickBot="1">
      <c r="A169" s="390" t="str">
        <f>A166</f>
        <v>PE</v>
      </c>
      <c r="B169" s="391" t="str">
        <f>B166</f>
        <v>particle</v>
      </c>
      <c r="C169" s="391" t="str">
        <f t="shared" si="425"/>
        <v/>
      </c>
      <c r="D169" s="391" t="str">
        <f>D166</f>
        <v>1-10</v>
      </c>
      <c r="E169" s="391">
        <f>E166</f>
        <v>10</v>
      </c>
      <c r="F169" s="391" t="str">
        <f>F166</f>
        <v>soil</v>
      </c>
      <c r="G169" s="396" t="str">
        <f t="shared" ref="G169" si="431">G168</f>
        <v>DE: PE particle 1-10 mm (emission to soil)</v>
      </c>
      <c r="H169" s="393">
        <v>0</v>
      </c>
      <c r="I169" s="397" t="s">
        <v>1034</v>
      </c>
      <c r="J169" s="654"/>
      <c r="K169" s="398" t="s">
        <v>596</v>
      </c>
      <c r="L169" s="538"/>
      <c r="M169" s="509">
        <f t="shared" si="339"/>
        <v>0</v>
      </c>
      <c r="N169" s="647"/>
      <c r="O169" s="627"/>
      <c r="P169" s="629"/>
      <c r="Q169" s="629"/>
    </row>
    <row r="170" spans="1:17" ht="15.75" hidden="1" thickBot="1">
      <c r="A170" s="390" t="str">
        <f t="shared" ref="A170:B170" si="432">A167</f>
        <v>PE</v>
      </c>
      <c r="B170" s="391" t="str">
        <f t="shared" si="432"/>
        <v>particle</v>
      </c>
      <c r="C170" s="399" t="str">
        <f t="shared" si="425"/>
        <v/>
      </c>
      <c r="D170" s="399" t="str">
        <f t="shared" ref="D170:E170" si="433">D167</f>
        <v>1-10</v>
      </c>
      <c r="E170" s="391">
        <f t="shared" si="433"/>
        <v>10</v>
      </c>
      <c r="F170" s="400" t="s">
        <v>1147</v>
      </c>
      <c r="G170" s="386" t="str">
        <f>CONCATENATE("DE: ",A170," ",B170," ",D170," mm (emission to ",F170,")")</f>
        <v>DE: PE particle 1-10 mm (emission to fresh water)</v>
      </c>
      <c r="H170" s="387">
        <v>0</v>
      </c>
      <c r="I170" s="388" t="s">
        <v>1019</v>
      </c>
      <c r="J170" s="634">
        <v>0.22800000000000001</v>
      </c>
      <c r="K170" s="389">
        <v>0.63</v>
      </c>
      <c r="L170" s="536"/>
      <c r="M170" s="509">
        <f t="shared" si="339"/>
        <v>1000</v>
      </c>
      <c r="N170" s="645">
        <f t="shared" ref="N170" si="434">IFERROR(H170*M170+H171*M171+H172*M172+H173*M173+H174*M174,"N.A.")</f>
        <v>1000</v>
      </c>
      <c r="O170" s="625"/>
      <c r="P170" s="628">
        <f t="shared" si="343"/>
        <v>100</v>
      </c>
      <c r="Q170" s="628">
        <f t="shared" ref="Q170:Q230" si="435">IFERROR(IF(H170*M170+H171*M171+H172*M172+H173*M173+H174*M174&gt;500,500,H170*M170+H171*M171+H172*M172+H173*M173+H174*M174),"N.A.")</f>
        <v>500</v>
      </c>
    </row>
    <row r="171" spans="1:17" ht="15.75" hidden="1" thickBot="1">
      <c r="A171" s="390" t="str">
        <f t="shared" ref="A171:B171" si="436">A168</f>
        <v>PE</v>
      </c>
      <c r="B171" s="391" t="str">
        <f t="shared" si="436"/>
        <v>particle</v>
      </c>
      <c r="C171" s="391" t="str">
        <f t="shared" si="425"/>
        <v/>
      </c>
      <c r="D171" s="391" t="str">
        <f t="shared" ref="D171:E171" si="437">D168</f>
        <v>1-10</v>
      </c>
      <c r="E171" s="391">
        <f t="shared" si="437"/>
        <v>10</v>
      </c>
      <c r="F171" s="391" t="str">
        <f t="shared" ref="F171:G171" si="438">F170</f>
        <v>fresh water</v>
      </c>
      <c r="G171" s="401" t="str">
        <f t="shared" si="438"/>
        <v>DE: PE particle 1-10 mm (emission to fresh water)</v>
      </c>
      <c r="H171" s="393">
        <v>1</v>
      </c>
      <c r="I171" s="394" t="s">
        <v>1097</v>
      </c>
      <c r="J171" s="635"/>
      <c r="K171" s="395">
        <v>0</v>
      </c>
      <c r="L171" s="537"/>
      <c r="M171" s="509">
        <f t="shared" si="339"/>
        <v>1000</v>
      </c>
      <c r="N171" s="646"/>
      <c r="O171" s="626"/>
      <c r="P171" s="629"/>
      <c r="Q171" s="629"/>
    </row>
    <row r="172" spans="1:17" ht="15.75" hidden="1" thickBot="1">
      <c r="A172" s="390" t="str">
        <f t="shared" ref="A172:B172" si="439">A169</f>
        <v>PE</v>
      </c>
      <c r="B172" s="391" t="str">
        <f t="shared" si="439"/>
        <v>particle</v>
      </c>
      <c r="C172" s="391" t="str">
        <f t="shared" si="425"/>
        <v/>
      </c>
      <c r="D172" s="391" t="str">
        <f t="shared" ref="D172:E172" si="440">D169</f>
        <v>1-10</v>
      </c>
      <c r="E172" s="391">
        <f t="shared" si="440"/>
        <v>10</v>
      </c>
      <c r="F172" s="391" t="str">
        <f t="shared" ref="F172:G172" si="441">F171</f>
        <v>fresh water</v>
      </c>
      <c r="G172" s="401" t="str">
        <f t="shared" si="441"/>
        <v>DE: PE particle 1-10 mm (emission to fresh water)</v>
      </c>
      <c r="H172" s="393">
        <v>0</v>
      </c>
      <c r="I172" s="394" t="s">
        <v>1162</v>
      </c>
      <c r="J172" s="635"/>
      <c r="K172" s="395">
        <v>0</v>
      </c>
      <c r="L172" s="537"/>
      <c r="M172" s="509">
        <f t="shared" si="339"/>
        <v>1000</v>
      </c>
      <c r="N172" s="646"/>
      <c r="O172" s="626"/>
      <c r="P172" s="629"/>
      <c r="Q172" s="629"/>
    </row>
    <row r="173" spans="1:17" ht="15.75" hidden="1" thickBot="1">
      <c r="A173" s="390" t="str">
        <f t="shared" ref="A173:B173" si="442">A170</f>
        <v>PE</v>
      </c>
      <c r="B173" s="391" t="str">
        <f t="shared" si="442"/>
        <v>particle</v>
      </c>
      <c r="C173" s="391" t="str">
        <f t="shared" si="425"/>
        <v/>
      </c>
      <c r="D173" s="391" t="str">
        <f t="shared" ref="D173:E173" si="443">D170</f>
        <v>1-10</v>
      </c>
      <c r="E173" s="391">
        <f t="shared" si="443"/>
        <v>10</v>
      </c>
      <c r="F173" s="391" t="str">
        <f t="shared" ref="F173:G173" si="444">F172</f>
        <v>fresh water</v>
      </c>
      <c r="G173" s="401" t="str">
        <f t="shared" si="444"/>
        <v>DE: PE particle 1-10 mm (emission to fresh water)</v>
      </c>
      <c r="H173" s="393">
        <v>0</v>
      </c>
      <c r="I173" s="394" t="s">
        <v>1163</v>
      </c>
      <c r="J173" s="635"/>
      <c r="K173" s="395">
        <v>0</v>
      </c>
      <c r="L173" s="537"/>
      <c r="M173" s="509">
        <f t="shared" si="339"/>
        <v>1000</v>
      </c>
      <c r="N173" s="646"/>
      <c r="O173" s="626"/>
      <c r="P173" s="629"/>
      <c r="Q173" s="629"/>
    </row>
    <row r="174" spans="1:17" ht="15.75" hidden="1" thickBot="1">
      <c r="A174" s="390" t="str">
        <f t="shared" ref="A174:B174" si="445">A171</f>
        <v>PE</v>
      </c>
      <c r="B174" s="391" t="str">
        <f t="shared" si="445"/>
        <v>particle</v>
      </c>
      <c r="C174" s="391" t="str">
        <f t="shared" si="425"/>
        <v/>
      </c>
      <c r="D174" s="391" t="str">
        <f t="shared" ref="D174:E174" si="446">D171</f>
        <v>1-10</v>
      </c>
      <c r="E174" s="391">
        <f t="shared" si="446"/>
        <v>10</v>
      </c>
      <c r="F174" s="402" t="str">
        <f>F171</f>
        <v>fresh water</v>
      </c>
      <c r="G174" s="401" t="str">
        <f t="shared" ref="G174" si="447">G173</f>
        <v>DE: PE particle 1-10 mm (emission to fresh water)</v>
      </c>
      <c r="H174" s="393">
        <v>0</v>
      </c>
      <c r="I174" s="394" t="s">
        <v>1034</v>
      </c>
      <c r="J174" s="654"/>
      <c r="K174" s="398" t="s">
        <v>596</v>
      </c>
      <c r="L174" s="538"/>
      <c r="M174" s="509">
        <f t="shared" si="339"/>
        <v>0</v>
      </c>
      <c r="N174" s="647"/>
      <c r="O174" s="627"/>
      <c r="P174" s="629"/>
      <c r="Q174" s="629"/>
    </row>
    <row r="175" spans="1:17" ht="15.75" hidden="1" thickBot="1">
      <c r="A175" s="390" t="str">
        <f t="shared" ref="A175:B175" si="448">A172</f>
        <v>PE</v>
      </c>
      <c r="B175" s="391" t="str">
        <f t="shared" si="448"/>
        <v>particle</v>
      </c>
      <c r="C175" s="391" t="str">
        <f t="shared" si="425"/>
        <v/>
      </c>
      <c r="D175" s="391" t="str">
        <f t="shared" ref="D175:E175" si="449">D172</f>
        <v>1-10</v>
      </c>
      <c r="E175" s="391">
        <f t="shared" si="449"/>
        <v>10</v>
      </c>
      <c r="F175" s="385" t="s">
        <v>1097</v>
      </c>
      <c r="G175" s="422" t="str">
        <f>CONCATENATE("DE: ",A175," ",B175," ",D175," mm (emission to ",F175,")")</f>
        <v>DE: PE particle 1-10 mm (emission to marine water)</v>
      </c>
      <c r="H175" s="387">
        <v>0</v>
      </c>
      <c r="I175" s="394" t="s">
        <v>1019</v>
      </c>
      <c r="J175" s="634">
        <v>0.22800000000000001</v>
      </c>
      <c r="K175" s="389">
        <v>0.63</v>
      </c>
      <c r="L175" s="536"/>
      <c r="M175" s="509">
        <f t="shared" si="339"/>
        <v>1000</v>
      </c>
      <c r="N175" s="645">
        <f t="shared" ref="N175" si="450">IFERROR(H175*M175+H176*M176+H177*M177+H178*M178+H179*M179,"N.A.")</f>
        <v>1000</v>
      </c>
      <c r="O175" s="625"/>
      <c r="P175" s="628">
        <f t="shared" si="343"/>
        <v>100</v>
      </c>
      <c r="Q175" s="628">
        <f t="shared" si="435"/>
        <v>500</v>
      </c>
    </row>
    <row r="176" spans="1:17" ht="15.75" hidden="1" thickBot="1">
      <c r="A176" s="390" t="str">
        <f t="shared" ref="A176:B176" si="451">A173</f>
        <v>PE</v>
      </c>
      <c r="B176" s="391" t="str">
        <f t="shared" si="451"/>
        <v>particle</v>
      </c>
      <c r="C176" s="391" t="str">
        <f t="shared" si="425"/>
        <v/>
      </c>
      <c r="D176" s="391" t="str">
        <f t="shared" ref="D176:E176" si="452">D173</f>
        <v>1-10</v>
      </c>
      <c r="E176" s="391">
        <f t="shared" si="452"/>
        <v>10</v>
      </c>
      <c r="F176" s="391" t="str">
        <f t="shared" ref="F176:G176" si="453">F175</f>
        <v>marine water</v>
      </c>
      <c r="G176" s="401" t="str">
        <f t="shared" si="453"/>
        <v>DE: PE particle 1-10 mm (emission to marine water)</v>
      </c>
      <c r="H176" s="393">
        <v>1</v>
      </c>
      <c r="I176" s="394" t="s">
        <v>1097</v>
      </c>
      <c r="J176" s="635"/>
      <c r="K176" s="395">
        <v>0</v>
      </c>
      <c r="L176" s="537"/>
      <c r="M176" s="509">
        <f t="shared" si="339"/>
        <v>1000</v>
      </c>
      <c r="N176" s="646"/>
      <c r="O176" s="626"/>
      <c r="P176" s="629"/>
      <c r="Q176" s="629"/>
    </row>
    <row r="177" spans="1:17" ht="15.75" hidden="1" thickBot="1">
      <c r="A177" s="390" t="str">
        <f t="shared" ref="A177:B177" si="454">A174</f>
        <v>PE</v>
      </c>
      <c r="B177" s="391" t="str">
        <f t="shared" si="454"/>
        <v>particle</v>
      </c>
      <c r="C177" s="391" t="str">
        <f t="shared" si="425"/>
        <v/>
      </c>
      <c r="D177" s="391" t="str">
        <f t="shared" ref="D177:E177" si="455">D174</f>
        <v>1-10</v>
      </c>
      <c r="E177" s="391">
        <f t="shared" si="455"/>
        <v>10</v>
      </c>
      <c r="F177" s="391" t="str">
        <f t="shared" ref="F177:G177" si="456">F176</f>
        <v>marine water</v>
      </c>
      <c r="G177" s="401" t="str">
        <f t="shared" si="456"/>
        <v>DE: PE particle 1-10 mm (emission to marine water)</v>
      </c>
      <c r="H177" s="393">
        <v>0</v>
      </c>
      <c r="I177" s="394" t="s">
        <v>1162</v>
      </c>
      <c r="J177" s="635"/>
      <c r="K177" s="395">
        <v>0</v>
      </c>
      <c r="L177" s="537"/>
      <c r="M177" s="509">
        <f t="shared" si="339"/>
        <v>1000</v>
      </c>
      <c r="N177" s="646"/>
      <c r="O177" s="626"/>
      <c r="P177" s="629"/>
      <c r="Q177" s="629"/>
    </row>
    <row r="178" spans="1:17" ht="15.75" hidden="1" thickBot="1">
      <c r="A178" s="390" t="str">
        <f t="shared" ref="A178:B178" si="457">A175</f>
        <v>PE</v>
      </c>
      <c r="B178" s="391" t="str">
        <f t="shared" si="457"/>
        <v>particle</v>
      </c>
      <c r="C178" s="391" t="str">
        <f t="shared" si="425"/>
        <v/>
      </c>
      <c r="D178" s="391" t="str">
        <f t="shared" ref="D178:E178" si="458">D175</f>
        <v>1-10</v>
      </c>
      <c r="E178" s="391">
        <f t="shared" si="458"/>
        <v>10</v>
      </c>
      <c r="F178" s="391" t="str">
        <f t="shared" ref="F178:G178" si="459">F177</f>
        <v>marine water</v>
      </c>
      <c r="G178" s="401" t="str">
        <f t="shared" si="459"/>
        <v>DE: PE particle 1-10 mm (emission to marine water)</v>
      </c>
      <c r="H178" s="393">
        <v>0</v>
      </c>
      <c r="I178" s="394" t="s">
        <v>1163</v>
      </c>
      <c r="J178" s="635"/>
      <c r="K178" s="395">
        <v>0</v>
      </c>
      <c r="L178" s="537"/>
      <c r="M178" s="509">
        <f t="shared" si="339"/>
        <v>1000</v>
      </c>
      <c r="N178" s="646"/>
      <c r="O178" s="626"/>
      <c r="P178" s="629"/>
      <c r="Q178" s="629"/>
    </row>
    <row r="179" spans="1:17" ht="15.75" hidden="1" thickBot="1">
      <c r="A179" s="390" t="str">
        <f t="shared" ref="A179:B179" si="460">A176</f>
        <v>PE</v>
      </c>
      <c r="B179" s="391" t="str">
        <f t="shared" si="460"/>
        <v>particle</v>
      </c>
      <c r="C179" s="391" t="str">
        <f t="shared" si="425"/>
        <v/>
      </c>
      <c r="D179" s="391" t="str">
        <f t="shared" ref="D179:E179" si="461">D176</f>
        <v>1-10</v>
      </c>
      <c r="E179" s="391">
        <f t="shared" si="461"/>
        <v>10</v>
      </c>
      <c r="F179" s="391" t="str">
        <f t="shared" ref="F179:G179" si="462">F178</f>
        <v>marine water</v>
      </c>
      <c r="G179" s="401" t="str">
        <f t="shared" si="462"/>
        <v>DE: PE particle 1-10 mm (emission to marine water)</v>
      </c>
      <c r="H179" s="393">
        <v>0</v>
      </c>
      <c r="I179" s="394" t="s">
        <v>1034</v>
      </c>
      <c r="J179" s="654"/>
      <c r="K179" s="398" t="s">
        <v>596</v>
      </c>
      <c r="L179" s="538"/>
      <c r="M179" s="509">
        <f t="shared" si="339"/>
        <v>0</v>
      </c>
      <c r="N179" s="647"/>
      <c r="O179" s="627"/>
      <c r="P179" s="629"/>
      <c r="Q179" s="629"/>
    </row>
    <row r="180" spans="1:17" ht="15.75" hidden="1" thickBot="1">
      <c r="A180" s="390" t="str">
        <f t="shared" ref="A180:B180" si="463">A177</f>
        <v>PE</v>
      </c>
      <c r="B180" s="391" t="str">
        <f t="shared" si="463"/>
        <v>particle</v>
      </c>
      <c r="C180" s="391" t="str">
        <f t="shared" si="425"/>
        <v/>
      </c>
      <c r="D180" s="391" t="str">
        <f t="shared" ref="D180:E180" si="464">D177</f>
        <v>1-10</v>
      </c>
      <c r="E180" s="391">
        <f t="shared" si="464"/>
        <v>10</v>
      </c>
      <c r="F180" s="400" t="s">
        <v>1057</v>
      </c>
      <c r="G180" s="422" t="str">
        <f>CONCATENATE("DE: ",A180," ",B180," ",D180," mm (emission to ",F180,")")</f>
        <v>DE: PE particle 1-10 mm (emission to air)</v>
      </c>
      <c r="H180" s="403">
        <v>0.94799999999999995</v>
      </c>
      <c r="I180" s="394" t="s">
        <v>1019</v>
      </c>
      <c r="J180" s="634">
        <v>0.22800000000000001</v>
      </c>
      <c r="K180" s="389">
        <v>0.63</v>
      </c>
      <c r="L180" s="536"/>
      <c r="M180" s="509">
        <f t="shared" si="339"/>
        <v>1000</v>
      </c>
      <c r="N180" s="645">
        <f t="shared" ref="N180" si="465">IFERROR(H180*M180+H181*M181+H182*M182+H183*M183+H184*M184,"N.A.")</f>
        <v>1000</v>
      </c>
      <c r="O180" s="625"/>
      <c r="P180" s="628">
        <f t="shared" si="343"/>
        <v>100</v>
      </c>
      <c r="Q180" s="628">
        <f t="shared" si="435"/>
        <v>500</v>
      </c>
    </row>
    <row r="181" spans="1:17" ht="15.75" hidden="1" thickBot="1">
      <c r="A181" s="390" t="str">
        <f t="shared" ref="A181:B181" si="466">A178</f>
        <v>PE</v>
      </c>
      <c r="B181" s="391" t="str">
        <f t="shared" si="466"/>
        <v>particle</v>
      </c>
      <c r="C181" s="391" t="str">
        <f t="shared" si="425"/>
        <v/>
      </c>
      <c r="D181" s="391" t="str">
        <f t="shared" ref="D181:E181" si="467">D178</f>
        <v>1-10</v>
      </c>
      <c r="E181" s="391">
        <f t="shared" si="467"/>
        <v>10</v>
      </c>
      <c r="F181" s="391" t="str">
        <f t="shared" ref="F181:G181" si="468">F180</f>
        <v>air</v>
      </c>
      <c r="G181" s="401" t="str">
        <f t="shared" si="468"/>
        <v>DE: PE particle 1-10 mm (emission to air)</v>
      </c>
      <c r="H181" s="393">
        <v>5.1999999999999998E-2</v>
      </c>
      <c r="I181" s="394" t="s">
        <v>1097</v>
      </c>
      <c r="J181" s="635"/>
      <c r="K181" s="395">
        <v>0</v>
      </c>
      <c r="L181" s="537"/>
      <c r="M181" s="509">
        <f t="shared" si="339"/>
        <v>1000</v>
      </c>
      <c r="N181" s="646"/>
      <c r="O181" s="626"/>
      <c r="P181" s="629"/>
      <c r="Q181" s="629"/>
    </row>
    <row r="182" spans="1:17" ht="15.75" hidden="1" thickBot="1">
      <c r="A182" s="390" t="str">
        <f t="shared" ref="A182:B182" si="469">A179</f>
        <v>PE</v>
      </c>
      <c r="B182" s="391" t="str">
        <f t="shared" si="469"/>
        <v>particle</v>
      </c>
      <c r="C182" s="391" t="str">
        <f t="shared" si="425"/>
        <v/>
      </c>
      <c r="D182" s="391" t="str">
        <f t="shared" ref="D182:E182" si="470">D179</f>
        <v>1-10</v>
      </c>
      <c r="E182" s="391">
        <f t="shared" si="470"/>
        <v>10</v>
      </c>
      <c r="F182" s="391" t="str">
        <f t="shared" ref="F182:G182" si="471">F181</f>
        <v>air</v>
      </c>
      <c r="G182" s="401" t="str">
        <f t="shared" si="471"/>
        <v>DE: PE particle 1-10 mm (emission to air)</v>
      </c>
      <c r="H182" s="393">
        <v>0</v>
      </c>
      <c r="I182" s="394" t="s">
        <v>1162</v>
      </c>
      <c r="J182" s="635"/>
      <c r="K182" s="395">
        <v>0</v>
      </c>
      <c r="L182" s="537"/>
      <c r="M182" s="509">
        <f t="shared" si="339"/>
        <v>1000</v>
      </c>
      <c r="N182" s="646"/>
      <c r="O182" s="626"/>
      <c r="P182" s="629"/>
      <c r="Q182" s="629"/>
    </row>
    <row r="183" spans="1:17" ht="15.75" hidden="1" thickBot="1">
      <c r="A183" s="390" t="str">
        <f t="shared" ref="A183:B183" si="472">A180</f>
        <v>PE</v>
      </c>
      <c r="B183" s="391" t="str">
        <f t="shared" si="472"/>
        <v>particle</v>
      </c>
      <c r="C183" s="391" t="str">
        <f t="shared" si="425"/>
        <v/>
      </c>
      <c r="D183" s="391" t="str">
        <f t="shared" ref="D183:E183" si="473">D180</f>
        <v>1-10</v>
      </c>
      <c r="E183" s="391">
        <f t="shared" si="473"/>
        <v>10</v>
      </c>
      <c r="F183" s="391" t="str">
        <f t="shared" ref="F183:G183" si="474">F182</f>
        <v>air</v>
      </c>
      <c r="G183" s="401" t="str">
        <f t="shared" si="474"/>
        <v>DE: PE particle 1-10 mm (emission to air)</v>
      </c>
      <c r="H183" s="393">
        <v>0</v>
      </c>
      <c r="I183" s="394" t="s">
        <v>1163</v>
      </c>
      <c r="J183" s="635"/>
      <c r="K183" s="395">
        <v>0</v>
      </c>
      <c r="L183" s="537"/>
      <c r="M183" s="509">
        <f t="shared" si="339"/>
        <v>1000</v>
      </c>
      <c r="N183" s="646"/>
      <c r="O183" s="626"/>
      <c r="P183" s="629"/>
      <c r="Q183" s="629"/>
    </row>
    <row r="184" spans="1:17" ht="15.75" hidden="1" thickBot="1">
      <c r="A184" s="437" t="str">
        <f t="shared" ref="A184:B184" si="475">A179</f>
        <v>PE</v>
      </c>
      <c r="B184" s="438" t="str">
        <f t="shared" si="475"/>
        <v>particle</v>
      </c>
      <c r="C184" s="438" t="str">
        <f t="shared" si="425"/>
        <v/>
      </c>
      <c r="D184" s="438" t="str">
        <f t="shared" ref="D184:E184" si="476">D179</f>
        <v>1-10</v>
      </c>
      <c r="E184" s="438">
        <f t="shared" si="476"/>
        <v>10</v>
      </c>
      <c r="F184" s="438" t="str">
        <f t="shared" ref="F184:G184" si="477">F183</f>
        <v>air</v>
      </c>
      <c r="G184" s="439" t="str">
        <f t="shared" si="477"/>
        <v>DE: PE particle 1-10 mm (emission to air)</v>
      </c>
      <c r="H184" s="393">
        <v>0</v>
      </c>
      <c r="I184" s="440" t="s">
        <v>1034</v>
      </c>
      <c r="J184" s="636"/>
      <c r="K184" s="441" t="s">
        <v>596</v>
      </c>
      <c r="L184" s="540"/>
      <c r="M184" s="509">
        <f t="shared" si="339"/>
        <v>0</v>
      </c>
      <c r="N184" s="647"/>
      <c r="O184" s="627"/>
      <c r="P184" s="629"/>
      <c r="Q184" s="629"/>
    </row>
    <row r="185" spans="1:17" ht="16.5" hidden="1" thickTop="1" thickBot="1">
      <c r="A185" s="442" t="s">
        <v>69</v>
      </c>
      <c r="B185" s="443" t="s">
        <v>996</v>
      </c>
      <c r="C185" s="444">
        <f>IF(OR(B185="Folie", B185="Strips", B185="Film",B185="Flakes",B185="Coupon"), 2,IF(OR(B185="Fibers",B185="Pellets"),4,IF(OR(B185="Particles",B185="Shreds",B185="Powder",B185="Fragments",B185="Granules"),6,"")))</f>
        <v>2</v>
      </c>
      <c r="D185" s="444" t="s">
        <v>1018</v>
      </c>
      <c r="E185" s="445">
        <v>0.1</v>
      </c>
      <c r="F185" s="446" t="s">
        <v>1019</v>
      </c>
      <c r="G185" s="447" t="str">
        <f>CONCATENATE("DE: ",A185," ",B185," ",D185," mm (emission to ",F185,")")</f>
        <v>DE: HDPE film 0,01-0,1 mm (emission to soil)</v>
      </c>
      <c r="H185" s="426">
        <v>0.97</v>
      </c>
      <c r="I185" s="448" t="s">
        <v>1153</v>
      </c>
      <c r="J185" s="635">
        <v>0.22800000000000001</v>
      </c>
      <c r="K185" s="449">
        <v>11.703124999999968</v>
      </c>
      <c r="L185" s="541"/>
      <c r="M185" s="509">
        <f t="shared" si="339"/>
        <v>4.272363150867835</v>
      </c>
      <c r="N185" s="645">
        <f t="shared" ref="N185" si="478">IFERROR(H185*M185+H186*M186+H187*M187+H188*M188+H189*M189,"N.A.")</f>
        <v>4.272363150867835</v>
      </c>
      <c r="O185" s="625"/>
      <c r="P185" s="628">
        <f t="shared" si="343"/>
        <v>4.272363150867835</v>
      </c>
      <c r="Q185" s="628">
        <f t="shared" si="435"/>
        <v>4.272363150867835</v>
      </c>
    </row>
    <row r="186" spans="1:17" ht="15.75" hidden="1" thickBot="1">
      <c r="A186" s="390" t="str">
        <f>A185</f>
        <v>HDPE</v>
      </c>
      <c r="B186" s="391" t="str">
        <f>B185</f>
        <v>film</v>
      </c>
      <c r="C186" s="391">
        <f>C185</f>
        <v>2</v>
      </c>
      <c r="D186" s="391" t="str">
        <f t="shared" ref="D186:G189" si="479">D185</f>
        <v>0,01-0,1</v>
      </c>
      <c r="E186" s="391">
        <f t="shared" si="479"/>
        <v>0.1</v>
      </c>
      <c r="F186" s="391" t="str">
        <f t="shared" si="479"/>
        <v>soil</v>
      </c>
      <c r="G186" s="392" t="str">
        <f t="shared" si="479"/>
        <v>DE: HDPE film 0,01-0,1 mm (emission to soil)</v>
      </c>
      <c r="H186" s="393">
        <v>0.03</v>
      </c>
      <c r="I186" s="394" t="s">
        <v>1097</v>
      </c>
      <c r="J186" s="635"/>
      <c r="K186" s="395">
        <v>11.703124999999968</v>
      </c>
      <c r="L186" s="537"/>
      <c r="M186" s="509">
        <f>IFERROR(IF(K186="--",0,IF(E186*1000/K186*(1-0.5)^(C186/2)&gt;1000,1000,E186*1000/K186*(1-0.5)^(C186/2))),1000)</f>
        <v>4.272363150867835</v>
      </c>
      <c r="N186" s="646"/>
      <c r="O186" s="626"/>
      <c r="P186" s="629"/>
      <c r="Q186" s="629"/>
    </row>
    <row r="187" spans="1:17" ht="15.75" hidden="1" thickBot="1">
      <c r="A187" s="390" t="str">
        <f t="shared" ref="A187:A188" si="480">A186</f>
        <v>HDPE</v>
      </c>
      <c r="B187" s="391" t="str">
        <f t="shared" ref="B187:B188" si="481">B186</f>
        <v>film</v>
      </c>
      <c r="C187" s="391">
        <f t="shared" ref="C187:C290" si="482">C186</f>
        <v>2</v>
      </c>
      <c r="D187" s="391" t="str">
        <f t="shared" ref="D187:F187" si="483">D186</f>
        <v>0,01-0,1</v>
      </c>
      <c r="E187" s="391">
        <f t="shared" si="483"/>
        <v>0.1</v>
      </c>
      <c r="F187" s="391" t="str">
        <f t="shared" si="483"/>
        <v>soil</v>
      </c>
      <c r="G187" s="392" t="str">
        <f t="shared" si="479"/>
        <v>DE: HDPE film 0,01-0,1 mm (emission to soil)</v>
      </c>
      <c r="H187" s="393">
        <v>0</v>
      </c>
      <c r="I187" s="394" t="s">
        <v>1162</v>
      </c>
      <c r="J187" s="635"/>
      <c r="K187" s="395">
        <v>11.703124999999968</v>
      </c>
      <c r="L187" s="537"/>
      <c r="M187" s="509">
        <f t="shared" si="339"/>
        <v>4.272363150867835</v>
      </c>
      <c r="N187" s="646"/>
      <c r="O187" s="626"/>
      <c r="P187" s="629"/>
      <c r="Q187" s="629"/>
    </row>
    <row r="188" spans="1:17" ht="15.75" hidden="1" thickBot="1">
      <c r="A188" s="390" t="str">
        <f t="shared" si="480"/>
        <v>HDPE</v>
      </c>
      <c r="B188" s="391" t="str">
        <f t="shared" si="481"/>
        <v>film</v>
      </c>
      <c r="C188" s="391">
        <f t="shared" si="482"/>
        <v>2</v>
      </c>
      <c r="D188" s="391" t="str">
        <f t="shared" ref="D188:F188" si="484">D187</f>
        <v>0,01-0,1</v>
      </c>
      <c r="E188" s="391">
        <f t="shared" si="484"/>
        <v>0.1</v>
      </c>
      <c r="F188" s="391" t="str">
        <f t="shared" si="484"/>
        <v>soil</v>
      </c>
      <c r="G188" s="392" t="str">
        <f t="shared" si="479"/>
        <v>DE: HDPE film 0,01-0,1 mm (emission to soil)</v>
      </c>
      <c r="H188" s="393">
        <v>0</v>
      </c>
      <c r="I188" s="394" t="s">
        <v>1163</v>
      </c>
      <c r="J188" s="635"/>
      <c r="K188" s="395">
        <v>11.703124999999968</v>
      </c>
      <c r="L188" s="537"/>
      <c r="M188" s="509">
        <f t="shared" si="339"/>
        <v>4.272363150867835</v>
      </c>
      <c r="N188" s="646"/>
      <c r="O188" s="626"/>
      <c r="P188" s="629"/>
      <c r="Q188" s="629"/>
    </row>
    <row r="189" spans="1:17" ht="15.75" hidden="1" thickBot="1">
      <c r="A189" s="390" t="str">
        <f>A186</f>
        <v>HDPE</v>
      </c>
      <c r="B189" s="391" t="str">
        <f>B186</f>
        <v>film</v>
      </c>
      <c r="C189" s="391">
        <f t="shared" si="482"/>
        <v>2</v>
      </c>
      <c r="D189" s="391" t="str">
        <f>D186</f>
        <v>0,01-0,1</v>
      </c>
      <c r="E189" s="391">
        <f>E186</f>
        <v>0.1</v>
      </c>
      <c r="F189" s="391" t="str">
        <f>F186</f>
        <v>soil</v>
      </c>
      <c r="G189" s="396" t="str">
        <f t="shared" si="479"/>
        <v>DE: HDPE film 0,01-0,1 mm (emission to soil)</v>
      </c>
      <c r="H189" s="393">
        <v>0</v>
      </c>
      <c r="I189" s="397" t="s">
        <v>1034</v>
      </c>
      <c r="J189" s="654"/>
      <c r="K189" s="398" t="s">
        <v>596</v>
      </c>
      <c r="L189" s="538"/>
      <c r="M189" s="509">
        <f t="shared" si="339"/>
        <v>0</v>
      </c>
      <c r="N189" s="647"/>
      <c r="O189" s="627"/>
      <c r="P189" s="629"/>
      <c r="Q189" s="629"/>
    </row>
    <row r="190" spans="1:17" ht="15.75" hidden="1" thickBot="1">
      <c r="A190" s="390" t="str">
        <f t="shared" ref="A190:B190" si="485">A187</f>
        <v>HDPE</v>
      </c>
      <c r="B190" s="391" t="str">
        <f t="shared" si="485"/>
        <v>film</v>
      </c>
      <c r="C190" s="391">
        <f t="shared" si="482"/>
        <v>2</v>
      </c>
      <c r="D190" s="399" t="str">
        <f t="shared" ref="D190:E190" si="486">D187</f>
        <v>0,01-0,1</v>
      </c>
      <c r="E190" s="391">
        <f t="shared" si="486"/>
        <v>0.1</v>
      </c>
      <c r="F190" s="400" t="s">
        <v>1147</v>
      </c>
      <c r="G190" s="386" t="str">
        <f>CONCATENATE("DE: ",A190," ",B190," ",D190," mm (emission to ",F190,")")</f>
        <v>DE: HDPE film 0,01-0,1 mm (emission to fresh water)</v>
      </c>
      <c r="H190" s="387">
        <v>0</v>
      </c>
      <c r="I190" s="388" t="s">
        <v>1153</v>
      </c>
      <c r="J190" s="634">
        <v>0.22800000000000001</v>
      </c>
      <c r="K190" s="389">
        <v>11.703124999999968</v>
      </c>
      <c r="L190" s="536"/>
      <c r="M190" s="509">
        <f t="shared" si="339"/>
        <v>4.272363150867835</v>
      </c>
      <c r="N190" s="645">
        <f t="shared" ref="N190" si="487">IFERROR(H190*M190+H191*M191+H192*M192+H193*M193+H194*M194,"N.A.")</f>
        <v>4.272363150867835</v>
      </c>
      <c r="O190" s="625"/>
      <c r="P190" s="628">
        <f t="shared" si="343"/>
        <v>4.272363150867835</v>
      </c>
      <c r="Q190" s="628">
        <f t="shared" si="435"/>
        <v>4.272363150867835</v>
      </c>
    </row>
    <row r="191" spans="1:17" ht="15.75" hidden="1" thickBot="1">
      <c r="A191" s="390" t="str">
        <f t="shared" ref="A191:B191" si="488">A188</f>
        <v>HDPE</v>
      </c>
      <c r="B191" s="391" t="str">
        <f t="shared" si="488"/>
        <v>film</v>
      </c>
      <c r="C191" s="391">
        <f t="shared" si="482"/>
        <v>2</v>
      </c>
      <c r="D191" s="391" t="str">
        <f t="shared" ref="D191:E191" si="489">D188</f>
        <v>0,01-0,1</v>
      </c>
      <c r="E191" s="391">
        <f t="shared" si="489"/>
        <v>0.1</v>
      </c>
      <c r="F191" s="391" t="str">
        <f t="shared" ref="F191:G191" si="490">F190</f>
        <v>fresh water</v>
      </c>
      <c r="G191" s="401" t="str">
        <f t="shared" si="490"/>
        <v>DE: HDPE film 0,01-0,1 mm (emission to fresh water)</v>
      </c>
      <c r="H191" s="393">
        <v>1</v>
      </c>
      <c r="I191" s="394" t="s">
        <v>1097</v>
      </c>
      <c r="J191" s="635"/>
      <c r="K191" s="395">
        <v>11.703124999999968</v>
      </c>
      <c r="L191" s="537"/>
      <c r="M191" s="509">
        <f t="shared" si="339"/>
        <v>4.272363150867835</v>
      </c>
      <c r="N191" s="646"/>
      <c r="O191" s="626"/>
      <c r="P191" s="629"/>
      <c r="Q191" s="629"/>
    </row>
    <row r="192" spans="1:17" ht="15.75" hidden="1" thickBot="1">
      <c r="A192" s="390" t="str">
        <f t="shared" ref="A192:B192" si="491">A189</f>
        <v>HDPE</v>
      </c>
      <c r="B192" s="391" t="str">
        <f t="shared" si="491"/>
        <v>film</v>
      </c>
      <c r="C192" s="391">
        <f t="shared" si="482"/>
        <v>2</v>
      </c>
      <c r="D192" s="391" t="str">
        <f t="shared" ref="D192:E192" si="492">D189</f>
        <v>0,01-0,1</v>
      </c>
      <c r="E192" s="391">
        <f t="shared" si="492"/>
        <v>0.1</v>
      </c>
      <c r="F192" s="391" t="str">
        <f t="shared" ref="F192:G192" si="493">F191</f>
        <v>fresh water</v>
      </c>
      <c r="G192" s="401" t="str">
        <f t="shared" si="493"/>
        <v>DE: HDPE film 0,01-0,1 mm (emission to fresh water)</v>
      </c>
      <c r="H192" s="393">
        <v>0</v>
      </c>
      <c r="I192" s="394" t="s">
        <v>1162</v>
      </c>
      <c r="J192" s="635"/>
      <c r="K192" s="395">
        <v>11.703124999999968</v>
      </c>
      <c r="L192" s="537"/>
      <c r="M192" s="509">
        <f t="shared" si="339"/>
        <v>4.272363150867835</v>
      </c>
      <c r="N192" s="646"/>
      <c r="O192" s="626"/>
      <c r="P192" s="629"/>
      <c r="Q192" s="629"/>
    </row>
    <row r="193" spans="1:17" ht="15.75" hidden="1" thickBot="1">
      <c r="A193" s="390" t="str">
        <f t="shared" ref="A193:B193" si="494">A190</f>
        <v>HDPE</v>
      </c>
      <c r="B193" s="391" t="str">
        <f t="shared" si="494"/>
        <v>film</v>
      </c>
      <c r="C193" s="391">
        <f t="shared" si="482"/>
        <v>2</v>
      </c>
      <c r="D193" s="391" t="str">
        <f t="shared" ref="D193:E193" si="495">D190</f>
        <v>0,01-0,1</v>
      </c>
      <c r="E193" s="391">
        <f t="shared" si="495"/>
        <v>0.1</v>
      </c>
      <c r="F193" s="391" t="str">
        <f t="shared" ref="F193:G193" si="496">F192</f>
        <v>fresh water</v>
      </c>
      <c r="G193" s="401" t="str">
        <f t="shared" si="496"/>
        <v>DE: HDPE film 0,01-0,1 mm (emission to fresh water)</v>
      </c>
      <c r="H193" s="393">
        <v>0</v>
      </c>
      <c r="I193" s="394" t="s">
        <v>1163</v>
      </c>
      <c r="J193" s="635"/>
      <c r="K193" s="395">
        <v>11.703124999999968</v>
      </c>
      <c r="L193" s="537"/>
      <c r="M193" s="509">
        <f t="shared" si="339"/>
        <v>4.272363150867835</v>
      </c>
      <c r="N193" s="646"/>
      <c r="O193" s="626"/>
      <c r="P193" s="629"/>
      <c r="Q193" s="629"/>
    </row>
    <row r="194" spans="1:17" ht="15.75" hidden="1" thickBot="1">
      <c r="A194" s="390" t="str">
        <f t="shared" ref="A194:B194" si="497">A191</f>
        <v>HDPE</v>
      </c>
      <c r="B194" s="391" t="str">
        <f t="shared" si="497"/>
        <v>film</v>
      </c>
      <c r="C194" s="391">
        <f t="shared" si="482"/>
        <v>2</v>
      </c>
      <c r="D194" s="391" t="str">
        <f t="shared" ref="D194:E194" si="498">D191</f>
        <v>0,01-0,1</v>
      </c>
      <c r="E194" s="391">
        <f t="shared" si="498"/>
        <v>0.1</v>
      </c>
      <c r="F194" s="402" t="str">
        <f>F191</f>
        <v>fresh water</v>
      </c>
      <c r="G194" s="401" t="str">
        <f t="shared" ref="G194" si="499">G193</f>
        <v>DE: HDPE film 0,01-0,1 mm (emission to fresh water)</v>
      </c>
      <c r="H194" s="393">
        <v>0</v>
      </c>
      <c r="I194" s="394" t="s">
        <v>1034</v>
      </c>
      <c r="J194" s="654"/>
      <c r="K194" s="398" t="s">
        <v>596</v>
      </c>
      <c r="L194" s="538"/>
      <c r="M194" s="509">
        <f t="shared" si="339"/>
        <v>0</v>
      </c>
      <c r="N194" s="647"/>
      <c r="O194" s="627"/>
      <c r="P194" s="629"/>
      <c r="Q194" s="629"/>
    </row>
    <row r="195" spans="1:17" ht="15.75" hidden="1" thickBot="1">
      <c r="A195" s="390" t="str">
        <f t="shared" ref="A195:B195" si="500">A192</f>
        <v>HDPE</v>
      </c>
      <c r="B195" s="391" t="str">
        <f t="shared" si="500"/>
        <v>film</v>
      </c>
      <c r="C195" s="391">
        <f t="shared" si="482"/>
        <v>2</v>
      </c>
      <c r="D195" s="391" t="str">
        <f t="shared" ref="D195:E195" si="501">D192</f>
        <v>0,01-0,1</v>
      </c>
      <c r="E195" s="391">
        <f t="shared" si="501"/>
        <v>0.1</v>
      </c>
      <c r="F195" s="385" t="s">
        <v>1097</v>
      </c>
      <c r="G195" s="422" t="str">
        <f>CONCATENATE("DE: ",A195," ",B195," ",D195," mm (emission to ",F195,")")</f>
        <v>DE: HDPE film 0,01-0,1 mm (emission to marine water)</v>
      </c>
      <c r="H195" s="387">
        <v>0</v>
      </c>
      <c r="I195" s="388" t="s">
        <v>1153</v>
      </c>
      <c r="J195" s="634">
        <v>0.22800000000000001</v>
      </c>
      <c r="K195" s="395">
        <v>11.703124999999968</v>
      </c>
      <c r="L195" s="536"/>
      <c r="M195" s="509">
        <f t="shared" si="339"/>
        <v>4.272363150867835</v>
      </c>
      <c r="N195" s="645">
        <f t="shared" ref="N195" si="502">IFERROR(H195*M195+H196*M196+H197*M197+H198*M198+H199*M199,"N.A.")</f>
        <v>4.272363150867835</v>
      </c>
      <c r="O195" s="625"/>
      <c r="P195" s="628">
        <f t="shared" si="343"/>
        <v>4.272363150867835</v>
      </c>
      <c r="Q195" s="628">
        <f t="shared" si="435"/>
        <v>4.272363150867835</v>
      </c>
    </row>
    <row r="196" spans="1:17" ht="15.75" hidden="1" thickBot="1">
      <c r="A196" s="390" t="str">
        <f t="shared" ref="A196:B196" si="503">A193</f>
        <v>HDPE</v>
      </c>
      <c r="B196" s="391" t="str">
        <f t="shared" si="503"/>
        <v>film</v>
      </c>
      <c r="C196" s="391">
        <f t="shared" si="482"/>
        <v>2</v>
      </c>
      <c r="D196" s="391" t="str">
        <f t="shared" ref="D196:E196" si="504">D193</f>
        <v>0,01-0,1</v>
      </c>
      <c r="E196" s="391">
        <f t="shared" si="504"/>
        <v>0.1</v>
      </c>
      <c r="F196" s="391" t="str">
        <f t="shared" ref="F196:G199" si="505">F195</f>
        <v>marine water</v>
      </c>
      <c r="G196" s="401" t="str">
        <f t="shared" si="505"/>
        <v>DE: HDPE film 0,01-0,1 mm (emission to marine water)</v>
      </c>
      <c r="H196" s="393">
        <v>1</v>
      </c>
      <c r="I196" s="394" t="s">
        <v>1097</v>
      </c>
      <c r="J196" s="635"/>
      <c r="K196" s="395">
        <v>11.703124999999968</v>
      </c>
      <c r="L196" s="537"/>
      <c r="M196" s="509">
        <f t="shared" si="339"/>
        <v>4.272363150867835</v>
      </c>
      <c r="N196" s="646"/>
      <c r="O196" s="626"/>
      <c r="P196" s="629"/>
      <c r="Q196" s="629"/>
    </row>
    <row r="197" spans="1:17" ht="15.75" hidden="1" thickBot="1">
      <c r="A197" s="390" t="str">
        <f t="shared" ref="A197:B197" si="506">A194</f>
        <v>HDPE</v>
      </c>
      <c r="B197" s="391" t="str">
        <f t="shared" si="506"/>
        <v>film</v>
      </c>
      <c r="C197" s="391">
        <f t="shared" si="482"/>
        <v>2</v>
      </c>
      <c r="D197" s="391" t="str">
        <f t="shared" ref="D197:E197" si="507">D194</f>
        <v>0,01-0,1</v>
      </c>
      <c r="E197" s="391">
        <f t="shared" si="507"/>
        <v>0.1</v>
      </c>
      <c r="F197" s="391" t="str">
        <f t="shared" si="505"/>
        <v>marine water</v>
      </c>
      <c r="G197" s="401" t="str">
        <f t="shared" si="505"/>
        <v>DE: HDPE film 0,01-0,1 mm (emission to marine water)</v>
      </c>
      <c r="H197" s="393">
        <v>0</v>
      </c>
      <c r="I197" s="394" t="s">
        <v>1162</v>
      </c>
      <c r="J197" s="635"/>
      <c r="K197" s="395">
        <v>11.703124999999968</v>
      </c>
      <c r="L197" s="537"/>
      <c r="M197" s="509">
        <f t="shared" si="339"/>
        <v>4.272363150867835</v>
      </c>
      <c r="N197" s="646"/>
      <c r="O197" s="626"/>
      <c r="P197" s="629"/>
      <c r="Q197" s="629"/>
    </row>
    <row r="198" spans="1:17" ht="15.75" hidden="1" thickBot="1">
      <c r="A198" s="390" t="str">
        <f t="shared" ref="A198:B198" si="508">A195</f>
        <v>HDPE</v>
      </c>
      <c r="B198" s="391" t="str">
        <f t="shared" si="508"/>
        <v>film</v>
      </c>
      <c r="C198" s="391">
        <f t="shared" si="482"/>
        <v>2</v>
      </c>
      <c r="D198" s="391" t="str">
        <f t="shared" ref="D198:E198" si="509">D195</f>
        <v>0,01-0,1</v>
      </c>
      <c r="E198" s="391">
        <f t="shared" si="509"/>
        <v>0.1</v>
      </c>
      <c r="F198" s="391" t="str">
        <f t="shared" si="505"/>
        <v>marine water</v>
      </c>
      <c r="G198" s="401" t="str">
        <f t="shared" si="505"/>
        <v>DE: HDPE film 0,01-0,1 mm (emission to marine water)</v>
      </c>
      <c r="H198" s="393">
        <v>0</v>
      </c>
      <c r="I198" s="394" t="s">
        <v>1163</v>
      </c>
      <c r="J198" s="635"/>
      <c r="K198" s="395">
        <v>11.703124999999968</v>
      </c>
      <c r="L198" s="537"/>
      <c r="M198" s="509">
        <f t="shared" ref="M198:M261" si="510">IFERROR(IF(K198="--",0,IF(E198*1000/K198*(1-0.5)^(C198/2)&gt;1000,1000,E198*1000/K198*(1-0.5)^(C198/2))),1000)</f>
        <v>4.272363150867835</v>
      </c>
      <c r="N198" s="646"/>
      <c r="O198" s="626"/>
      <c r="P198" s="629"/>
      <c r="Q198" s="629"/>
    </row>
    <row r="199" spans="1:17" ht="15.75" hidden="1" thickBot="1">
      <c r="A199" s="390" t="str">
        <f t="shared" ref="A199:B199" si="511">A196</f>
        <v>HDPE</v>
      </c>
      <c r="B199" s="391" t="str">
        <f t="shared" si="511"/>
        <v>film</v>
      </c>
      <c r="C199" s="391">
        <f t="shared" si="482"/>
        <v>2</v>
      </c>
      <c r="D199" s="391" t="str">
        <f t="shared" ref="D199:E199" si="512">D196</f>
        <v>0,01-0,1</v>
      </c>
      <c r="E199" s="391">
        <f t="shared" si="512"/>
        <v>0.1</v>
      </c>
      <c r="F199" s="391" t="str">
        <f t="shared" si="505"/>
        <v>marine water</v>
      </c>
      <c r="G199" s="401" t="str">
        <f t="shared" si="505"/>
        <v>DE: HDPE film 0,01-0,1 mm (emission to marine water)</v>
      </c>
      <c r="H199" s="393">
        <v>0</v>
      </c>
      <c r="I199" s="394" t="s">
        <v>1034</v>
      </c>
      <c r="J199" s="654"/>
      <c r="K199" s="398" t="s">
        <v>596</v>
      </c>
      <c r="L199" s="538"/>
      <c r="M199" s="509">
        <f t="shared" si="510"/>
        <v>0</v>
      </c>
      <c r="N199" s="647"/>
      <c r="O199" s="627"/>
      <c r="P199" s="629"/>
      <c r="Q199" s="629"/>
    </row>
    <row r="200" spans="1:17" ht="15.75" hidden="1" thickBot="1">
      <c r="A200" s="390" t="str">
        <f t="shared" ref="A200:B200" si="513">A197</f>
        <v>HDPE</v>
      </c>
      <c r="B200" s="391" t="str">
        <f t="shared" si="513"/>
        <v>film</v>
      </c>
      <c r="C200" s="391">
        <f t="shared" si="482"/>
        <v>2</v>
      </c>
      <c r="D200" s="391" t="str">
        <f t="shared" ref="D200:E200" si="514">D197</f>
        <v>0,01-0,1</v>
      </c>
      <c r="E200" s="391">
        <f t="shared" si="514"/>
        <v>0.1</v>
      </c>
      <c r="F200" s="400" t="s">
        <v>1057</v>
      </c>
      <c r="G200" s="422" t="str">
        <f>CONCATENATE("DE: ",A200," ",B200," ",D200," mm (emission to ",F200,")")</f>
        <v>DE: HDPE film 0,01-0,1 mm (emission to air)</v>
      </c>
      <c r="H200" s="403">
        <v>0.94799999999999995</v>
      </c>
      <c r="I200" s="388" t="s">
        <v>1153</v>
      </c>
      <c r="J200" s="634">
        <v>0.22800000000000001</v>
      </c>
      <c r="K200" s="395">
        <v>11.703124999999968</v>
      </c>
      <c r="L200" s="536"/>
      <c r="M200" s="509">
        <f t="shared" si="510"/>
        <v>4.272363150867835</v>
      </c>
      <c r="N200" s="645">
        <f t="shared" ref="N200" si="515">IFERROR(H200*M200+H201*M201+H202*M202+H203*M203+H204*M204,"N.A.")</f>
        <v>4.272363150867835</v>
      </c>
      <c r="O200" s="625"/>
      <c r="P200" s="628">
        <f t="shared" ref="P200:P260" si="516">IFERROR(IF(H200*M200+H201*M201+H202*M202+H203*M203+H204*M204&gt;100,100,H200*M200+H201*M201+H202*M202+H203*M203+H204*M204),"N.A.")</f>
        <v>4.272363150867835</v>
      </c>
      <c r="Q200" s="628">
        <f t="shared" si="435"/>
        <v>4.272363150867835</v>
      </c>
    </row>
    <row r="201" spans="1:17" ht="15.75" hidden="1" thickBot="1">
      <c r="A201" s="390" t="str">
        <f t="shared" ref="A201:B201" si="517">A198</f>
        <v>HDPE</v>
      </c>
      <c r="B201" s="391" t="str">
        <f t="shared" si="517"/>
        <v>film</v>
      </c>
      <c r="C201" s="391">
        <f t="shared" si="482"/>
        <v>2</v>
      </c>
      <c r="D201" s="391" t="str">
        <f t="shared" ref="D201:E201" si="518">D198</f>
        <v>0,01-0,1</v>
      </c>
      <c r="E201" s="391">
        <f t="shared" si="518"/>
        <v>0.1</v>
      </c>
      <c r="F201" s="391" t="str">
        <f t="shared" ref="F201:G204" si="519">F200</f>
        <v>air</v>
      </c>
      <c r="G201" s="401" t="str">
        <f t="shared" si="519"/>
        <v>DE: HDPE film 0,01-0,1 mm (emission to air)</v>
      </c>
      <c r="H201" s="393">
        <v>5.1999999999999998E-2</v>
      </c>
      <c r="I201" s="394" t="s">
        <v>1097</v>
      </c>
      <c r="J201" s="635"/>
      <c r="K201" s="395">
        <v>11.703124999999968</v>
      </c>
      <c r="L201" s="537"/>
      <c r="M201" s="509">
        <f t="shared" si="510"/>
        <v>4.272363150867835</v>
      </c>
      <c r="N201" s="646"/>
      <c r="O201" s="626"/>
      <c r="P201" s="629"/>
      <c r="Q201" s="629"/>
    </row>
    <row r="202" spans="1:17" ht="15.75" hidden="1" thickBot="1">
      <c r="A202" s="390" t="str">
        <f t="shared" ref="A202:B202" si="520">A199</f>
        <v>HDPE</v>
      </c>
      <c r="B202" s="391" t="str">
        <f t="shared" si="520"/>
        <v>film</v>
      </c>
      <c r="C202" s="391">
        <f t="shared" si="482"/>
        <v>2</v>
      </c>
      <c r="D202" s="391" t="str">
        <f t="shared" ref="D202:E202" si="521">D199</f>
        <v>0,01-0,1</v>
      </c>
      <c r="E202" s="391">
        <f t="shared" si="521"/>
        <v>0.1</v>
      </c>
      <c r="F202" s="391" t="str">
        <f t="shared" si="519"/>
        <v>air</v>
      </c>
      <c r="G202" s="401" t="str">
        <f t="shared" si="519"/>
        <v>DE: HDPE film 0,01-0,1 mm (emission to air)</v>
      </c>
      <c r="H202" s="393">
        <v>0</v>
      </c>
      <c r="I202" s="394" t="s">
        <v>1162</v>
      </c>
      <c r="J202" s="635"/>
      <c r="K202" s="395">
        <v>11.703124999999968</v>
      </c>
      <c r="L202" s="537"/>
      <c r="M202" s="509">
        <f t="shared" si="510"/>
        <v>4.272363150867835</v>
      </c>
      <c r="N202" s="646"/>
      <c r="O202" s="626"/>
      <c r="P202" s="629"/>
      <c r="Q202" s="629"/>
    </row>
    <row r="203" spans="1:17" ht="15.75" hidden="1" thickBot="1">
      <c r="A203" s="390" t="str">
        <f t="shared" ref="A203:B203" si="522">A200</f>
        <v>HDPE</v>
      </c>
      <c r="B203" s="391" t="str">
        <f t="shared" si="522"/>
        <v>film</v>
      </c>
      <c r="C203" s="391">
        <f t="shared" si="482"/>
        <v>2</v>
      </c>
      <c r="D203" s="391" t="str">
        <f t="shared" ref="D203:E203" si="523">D200</f>
        <v>0,01-0,1</v>
      </c>
      <c r="E203" s="391">
        <f t="shared" si="523"/>
        <v>0.1</v>
      </c>
      <c r="F203" s="391" t="str">
        <f t="shared" si="519"/>
        <v>air</v>
      </c>
      <c r="G203" s="401" t="str">
        <f t="shared" si="519"/>
        <v>DE: HDPE film 0,01-0,1 mm (emission to air)</v>
      </c>
      <c r="H203" s="393">
        <v>0</v>
      </c>
      <c r="I203" s="394" t="s">
        <v>1163</v>
      </c>
      <c r="J203" s="635"/>
      <c r="K203" s="395">
        <v>11.703124999999968</v>
      </c>
      <c r="L203" s="537"/>
      <c r="M203" s="509">
        <f t="shared" si="510"/>
        <v>4.272363150867835</v>
      </c>
      <c r="N203" s="646"/>
      <c r="O203" s="626"/>
      <c r="P203" s="629"/>
      <c r="Q203" s="629"/>
    </row>
    <row r="204" spans="1:17" ht="15.75" hidden="1" thickBot="1">
      <c r="A204" s="404" t="str">
        <f t="shared" ref="A204:B204" si="524">A199</f>
        <v>HDPE</v>
      </c>
      <c r="B204" s="402" t="str">
        <f t="shared" si="524"/>
        <v>film</v>
      </c>
      <c r="C204" s="391">
        <f t="shared" si="482"/>
        <v>2</v>
      </c>
      <c r="D204" s="402" t="str">
        <f t="shared" ref="D204:E204" si="525">D199</f>
        <v>0,01-0,1</v>
      </c>
      <c r="E204" s="402">
        <f t="shared" si="525"/>
        <v>0.1</v>
      </c>
      <c r="F204" s="391" t="str">
        <f t="shared" si="519"/>
        <v>air</v>
      </c>
      <c r="G204" s="401" t="str">
        <f t="shared" si="519"/>
        <v>DE: HDPE film 0,01-0,1 mm (emission to air)</v>
      </c>
      <c r="H204" s="393">
        <v>0</v>
      </c>
      <c r="I204" s="394" t="s">
        <v>1034</v>
      </c>
      <c r="J204" s="636"/>
      <c r="K204" s="398" t="s">
        <v>596</v>
      </c>
      <c r="L204" s="538"/>
      <c r="M204" s="509">
        <f t="shared" si="510"/>
        <v>0</v>
      </c>
      <c r="N204" s="647"/>
      <c r="O204" s="627"/>
      <c r="P204" s="629"/>
      <c r="Q204" s="629"/>
    </row>
    <row r="205" spans="1:17" ht="16.5" hidden="1" thickTop="1" thickBot="1">
      <c r="A205" s="442" t="s">
        <v>69</v>
      </c>
      <c r="B205" s="443" t="s">
        <v>996</v>
      </c>
      <c r="C205" s="444">
        <f>IF(OR(B205="Folie", B205="Strips", B205="Film",B205="Flakes",B205="Coupon"), 2,IF(OR(B205="Fibers",B205="Pellets"),4,IF(OR(B205="Particles",B205="Shreds",B205="Powder",B205="Fragments",B205="Granules"),6,"")))</f>
        <v>2</v>
      </c>
      <c r="D205" s="444" t="s">
        <v>1028</v>
      </c>
      <c r="E205" s="445">
        <v>1</v>
      </c>
      <c r="F205" s="446" t="s">
        <v>1019</v>
      </c>
      <c r="G205" s="447" t="str">
        <f>CONCATENATE("DE: ",A205," ",B205," ",D205," mm (emission to ",F205,")")</f>
        <v>DE: HDPE film 0,1-1 mm (emission to soil)</v>
      </c>
      <c r="H205" s="426">
        <v>0.97</v>
      </c>
      <c r="I205" s="448" t="s">
        <v>1153</v>
      </c>
      <c r="J205" s="632">
        <v>0.22800000000000001</v>
      </c>
      <c r="K205" s="449">
        <v>11.703124999999968</v>
      </c>
      <c r="L205" s="541"/>
      <c r="M205" s="509">
        <f t="shared" si="510"/>
        <v>42.723631508678352</v>
      </c>
      <c r="N205" s="645">
        <f t="shared" ref="N205" si="526">IFERROR(H205*M205+H206*M206+H207*M207+H208*M208+H209*M209,"N.A.")</f>
        <v>42.723631508678352</v>
      </c>
      <c r="O205" s="625"/>
      <c r="P205" s="628">
        <f t="shared" si="516"/>
        <v>42.723631508678352</v>
      </c>
      <c r="Q205" s="628">
        <f t="shared" si="435"/>
        <v>42.723631508678352</v>
      </c>
    </row>
    <row r="206" spans="1:17" ht="15.75" hidden="1" thickBot="1">
      <c r="A206" s="390" t="str">
        <f>A205</f>
        <v>HDPE</v>
      </c>
      <c r="B206" s="391" t="str">
        <f>B205</f>
        <v>film</v>
      </c>
      <c r="C206" s="391">
        <f>C205</f>
        <v>2</v>
      </c>
      <c r="D206" s="391" t="str">
        <f t="shared" ref="D206:G206" si="527">D205</f>
        <v>0,1-1</v>
      </c>
      <c r="E206" s="391">
        <f t="shared" si="527"/>
        <v>1</v>
      </c>
      <c r="F206" s="391" t="str">
        <f t="shared" si="527"/>
        <v>soil</v>
      </c>
      <c r="G206" s="392" t="str">
        <f t="shared" si="527"/>
        <v>DE: HDPE film 0,1-1 mm (emission to soil)</v>
      </c>
      <c r="H206" s="393">
        <v>0.03</v>
      </c>
      <c r="I206" s="394" t="s">
        <v>1097</v>
      </c>
      <c r="J206" s="632"/>
      <c r="K206" s="395">
        <v>11.703124999999968</v>
      </c>
      <c r="L206" s="537"/>
      <c r="M206" s="509">
        <f t="shared" si="510"/>
        <v>42.723631508678352</v>
      </c>
      <c r="N206" s="646"/>
      <c r="O206" s="626"/>
      <c r="P206" s="629"/>
      <c r="Q206" s="629"/>
    </row>
    <row r="207" spans="1:17" ht="15.75" hidden="1" thickBot="1">
      <c r="A207" s="390" t="str">
        <f t="shared" ref="A207:A208" si="528">A206</f>
        <v>HDPE</v>
      </c>
      <c r="B207" s="391" t="str">
        <f t="shared" ref="B207:B208" si="529">B206</f>
        <v>film</v>
      </c>
      <c r="C207" s="391">
        <f t="shared" ref="C207:G224" si="530">C206</f>
        <v>2</v>
      </c>
      <c r="D207" s="391" t="str">
        <f t="shared" si="530"/>
        <v>0,1-1</v>
      </c>
      <c r="E207" s="391">
        <f t="shared" si="530"/>
        <v>1</v>
      </c>
      <c r="F207" s="391" t="str">
        <f t="shared" si="530"/>
        <v>soil</v>
      </c>
      <c r="G207" s="392" t="str">
        <f t="shared" si="530"/>
        <v>DE: HDPE film 0,1-1 mm (emission to soil)</v>
      </c>
      <c r="H207" s="393">
        <v>0</v>
      </c>
      <c r="I207" s="394" t="s">
        <v>1162</v>
      </c>
      <c r="J207" s="632"/>
      <c r="K207" s="395">
        <v>11.703124999999968</v>
      </c>
      <c r="L207" s="537"/>
      <c r="M207" s="509">
        <f t="shared" si="510"/>
        <v>42.723631508678352</v>
      </c>
      <c r="N207" s="646"/>
      <c r="O207" s="626"/>
      <c r="P207" s="629"/>
      <c r="Q207" s="629"/>
    </row>
    <row r="208" spans="1:17" ht="15.75" hidden="1" thickBot="1">
      <c r="A208" s="390" t="str">
        <f t="shared" si="528"/>
        <v>HDPE</v>
      </c>
      <c r="B208" s="391" t="str">
        <f t="shared" si="529"/>
        <v>film</v>
      </c>
      <c r="C208" s="391">
        <f t="shared" si="530"/>
        <v>2</v>
      </c>
      <c r="D208" s="391" t="str">
        <f t="shared" si="530"/>
        <v>0,1-1</v>
      </c>
      <c r="E208" s="391">
        <f t="shared" si="530"/>
        <v>1</v>
      </c>
      <c r="F208" s="391" t="str">
        <f t="shared" si="530"/>
        <v>soil</v>
      </c>
      <c r="G208" s="392" t="str">
        <f t="shared" si="530"/>
        <v>DE: HDPE film 0,1-1 mm (emission to soil)</v>
      </c>
      <c r="H208" s="393">
        <v>0</v>
      </c>
      <c r="I208" s="394" t="s">
        <v>1163</v>
      </c>
      <c r="J208" s="632"/>
      <c r="K208" s="395">
        <v>11.703124999999968</v>
      </c>
      <c r="L208" s="537"/>
      <c r="M208" s="509">
        <f t="shared" si="510"/>
        <v>42.723631508678352</v>
      </c>
      <c r="N208" s="646"/>
      <c r="O208" s="626"/>
      <c r="P208" s="629"/>
      <c r="Q208" s="629"/>
    </row>
    <row r="209" spans="1:17" ht="15.75" hidden="1" thickBot="1">
      <c r="A209" s="390" t="str">
        <f>A206</f>
        <v>HDPE</v>
      </c>
      <c r="B209" s="391" t="str">
        <f>B206</f>
        <v>film</v>
      </c>
      <c r="C209" s="391">
        <f t="shared" si="530"/>
        <v>2</v>
      </c>
      <c r="D209" s="391" t="str">
        <f>D206</f>
        <v>0,1-1</v>
      </c>
      <c r="E209" s="391">
        <f>E206</f>
        <v>1</v>
      </c>
      <c r="F209" s="391" t="str">
        <f>F206</f>
        <v>soil</v>
      </c>
      <c r="G209" s="396" t="str">
        <f t="shared" ref="G209" si="531">G208</f>
        <v>DE: HDPE film 0,1-1 mm (emission to soil)</v>
      </c>
      <c r="H209" s="393">
        <v>0</v>
      </c>
      <c r="I209" s="397" t="s">
        <v>1034</v>
      </c>
      <c r="J209" s="633"/>
      <c r="K209" s="398" t="s">
        <v>596</v>
      </c>
      <c r="L209" s="538"/>
      <c r="M209" s="509">
        <f t="shared" si="510"/>
        <v>0</v>
      </c>
      <c r="N209" s="647"/>
      <c r="O209" s="627"/>
      <c r="P209" s="629"/>
      <c r="Q209" s="629"/>
    </row>
    <row r="210" spans="1:17" ht="15.75" hidden="1" thickBot="1">
      <c r="A210" s="390" t="str">
        <f t="shared" ref="A210:B210" si="532">A207</f>
        <v>HDPE</v>
      </c>
      <c r="B210" s="391" t="str">
        <f t="shared" si="532"/>
        <v>film</v>
      </c>
      <c r="C210" s="391">
        <f t="shared" si="530"/>
        <v>2</v>
      </c>
      <c r="D210" s="399" t="str">
        <f t="shared" ref="D210:E210" si="533">D207</f>
        <v>0,1-1</v>
      </c>
      <c r="E210" s="391">
        <f t="shared" si="533"/>
        <v>1</v>
      </c>
      <c r="F210" s="400" t="s">
        <v>1147</v>
      </c>
      <c r="G210" s="386" t="str">
        <f>CONCATENATE("DE: ",A210," ",B210," ",D210," mm (emission to ",F210,")")</f>
        <v>DE: HDPE film 0,1-1 mm (emission to fresh water)</v>
      </c>
      <c r="H210" s="387">
        <v>0</v>
      </c>
      <c r="I210" s="388" t="s">
        <v>1153</v>
      </c>
      <c r="J210" s="634">
        <v>0.22800000000000001</v>
      </c>
      <c r="K210" s="389">
        <v>11.703124999999968</v>
      </c>
      <c r="L210" s="536"/>
      <c r="M210" s="509">
        <f t="shared" si="510"/>
        <v>42.723631508678352</v>
      </c>
      <c r="N210" s="645">
        <f t="shared" ref="N210" si="534">IFERROR(H210*M210+H211*M211+H212*M212+H213*M213+H214*M214,"N.A.")</f>
        <v>42.723631508678352</v>
      </c>
      <c r="O210" s="625"/>
      <c r="P210" s="628">
        <f t="shared" si="516"/>
        <v>42.723631508678352</v>
      </c>
      <c r="Q210" s="628">
        <f t="shared" si="435"/>
        <v>42.723631508678352</v>
      </c>
    </row>
    <row r="211" spans="1:17" ht="15.75" hidden="1" thickBot="1">
      <c r="A211" s="390" t="str">
        <f t="shared" ref="A211:B211" si="535">A208</f>
        <v>HDPE</v>
      </c>
      <c r="B211" s="391" t="str">
        <f t="shared" si="535"/>
        <v>film</v>
      </c>
      <c r="C211" s="391">
        <f t="shared" si="530"/>
        <v>2</v>
      </c>
      <c r="D211" s="391" t="str">
        <f t="shared" ref="D211:E211" si="536">D208</f>
        <v>0,1-1</v>
      </c>
      <c r="E211" s="391">
        <f t="shared" si="536"/>
        <v>1</v>
      </c>
      <c r="F211" s="391" t="str">
        <f t="shared" ref="F211:G211" si="537">F210</f>
        <v>fresh water</v>
      </c>
      <c r="G211" s="401" t="str">
        <f t="shared" si="537"/>
        <v>DE: HDPE film 0,1-1 mm (emission to fresh water)</v>
      </c>
      <c r="H211" s="393">
        <v>1</v>
      </c>
      <c r="I211" s="394" t="s">
        <v>1097</v>
      </c>
      <c r="J211" s="635"/>
      <c r="K211" s="389">
        <v>11.703124999999968</v>
      </c>
      <c r="L211" s="536"/>
      <c r="M211" s="509">
        <f t="shared" si="510"/>
        <v>42.723631508678352</v>
      </c>
      <c r="N211" s="646"/>
      <c r="O211" s="626"/>
      <c r="P211" s="629"/>
      <c r="Q211" s="629"/>
    </row>
    <row r="212" spans="1:17" ht="15.75" hidden="1" thickBot="1">
      <c r="A212" s="390" t="str">
        <f t="shared" ref="A212:B212" si="538">A209</f>
        <v>HDPE</v>
      </c>
      <c r="B212" s="391" t="str">
        <f t="shared" si="538"/>
        <v>film</v>
      </c>
      <c r="C212" s="391">
        <f t="shared" si="530"/>
        <v>2</v>
      </c>
      <c r="D212" s="391" t="str">
        <f t="shared" ref="D212:E212" si="539">D209</f>
        <v>0,1-1</v>
      </c>
      <c r="E212" s="391">
        <f t="shared" si="539"/>
        <v>1</v>
      </c>
      <c r="F212" s="391" t="str">
        <f t="shared" ref="F212:G212" si="540">F211</f>
        <v>fresh water</v>
      </c>
      <c r="G212" s="401" t="str">
        <f t="shared" si="540"/>
        <v>DE: HDPE film 0,1-1 mm (emission to fresh water)</v>
      </c>
      <c r="H212" s="393">
        <v>0</v>
      </c>
      <c r="I212" s="394" t="s">
        <v>1162</v>
      </c>
      <c r="J212" s="635"/>
      <c r="K212" s="389">
        <v>11.703124999999968</v>
      </c>
      <c r="L212" s="536"/>
      <c r="M212" s="509">
        <f t="shared" si="510"/>
        <v>42.723631508678352</v>
      </c>
      <c r="N212" s="646"/>
      <c r="O212" s="626"/>
      <c r="P212" s="629"/>
      <c r="Q212" s="629"/>
    </row>
    <row r="213" spans="1:17" ht="15.75" hidden="1" thickBot="1">
      <c r="A213" s="390" t="str">
        <f t="shared" ref="A213:B213" si="541">A210</f>
        <v>HDPE</v>
      </c>
      <c r="B213" s="391" t="str">
        <f t="shared" si="541"/>
        <v>film</v>
      </c>
      <c r="C213" s="391">
        <f t="shared" si="530"/>
        <v>2</v>
      </c>
      <c r="D213" s="391" t="str">
        <f t="shared" ref="D213:E213" si="542">D210</f>
        <v>0,1-1</v>
      </c>
      <c r="E213" s="391">
        <f t="shared" si="542"/>
        <v>1</v>
      </c>
      <c r="F213" s="391" t="str">
        <f t="shared" ref="F213:G213" si="543">F212</f>
        <v>fresh water</v>
      </c>
      <c r="G213" s="401" t="str">
        <f t="shared" si="543"/>
        <v>DE: HDPE film 0,1-1 mm (emission to fresh water)</v>
      </c>
      <c r="H213" s="393">
        <v>0</v>
      </c>
      <c r="I213" s="394" t="s">
        <v>1163</v>
      </c>
      <c r="J213" s="635"/>
      <c r="K213" s="389">
        <v>11.703124999999968</v>
      </c>
      <c r="L213" s="536"/>
      <c r="M213" s="509">
        <f t="shared" si="510"/>
        <v>42.723631508678352</v>
      </c>
      <c r="N213" s="646"/>
      <c r="O213" s="626"/>
      <c r="P213" s="629"/>
      <c r="Q213" s="629"/>
    </row>
    <row r="214" spans="1:17" ht="15.75" hidden="1" thickBot="1">
      <c r="A214" s="390" t="str">
        <f t="shared" ref="A214:B214" si="544">A211</f>
        <v>HDPE</v>
      </c>
      <c r="B214" s="391" t="str">
        <f t="shared" si="544"/>
        <v>film</v>
      </c>
      <c r="C214" s="391">
        <f t="shared" si="530"/>
        <v>2</v>
      </c>
      <c r="D214" s="391" t="str">
        <f t="shared" ref="D214:E214" si="545">D211</f>
        <v>0,1-1</v>
      </c>
      <c r="E214" s="391">
        <f t="shared" si="545"/>
        <v>1</v>
      </c>
      <c r="F214" s="402" t="str">
        <f>F211</f>
        <v>fresh water</v>
      </c>
      <c r="G214" s="401" t="str">
        <f t="shared" ref="G214" si="546">G213</f>
        <v>DE: HDPE film 0,1-1 mm (emission to fresh water)</v>
      </c>
      <c r="H214" s="393">
        <v>0</v>
      </c>
      <c r="I214" s="394" t="s">
        <v>1034</v>
      </c>
      <c r="J214" s="654"/>
      <c r="K214" s="398" t="s">
        <v>596</v>
      </c>
      <c r="L214" s="538"/>
      <c r="M214" s="509">
        <f t="shared" si="510"/>
        <v>0</v>
      </c>
      <c r="N214" s="647"/>
      <c r="O214" s="627"/>
      <c r="P214" s="629"/>
      <c r="Q214" s="629"/>
    </row>
    <row r="215" spans="1:17" ht="15.75" hidden="1" thickBot="1">
      <c r="A215" s="390" t="str">
        <f t="shared" ref="A215:B215" si="547">A212</f>
        <v>HDPE</v>
      </c>
      <c r="B215" s="391" t="str">
        <f t="shared" si="547"/>
        <v>film</v>
      </c>
      <c r="C215" s="391">
        <f t="shared" si="530"/>
        <v>2</v>
      </c>
      <c r="D215" s="391" t="str">
        <f t="shared" ref="D215:E215" si="548">D212</f>
        <v>0,1-1</v>
      </c>
      <c r="E215" s="391">
        <f t="shared" si="548"/>
        <v>1</v>
      </c>
      <c r="F215" s="385" t="s">
        <v>1097</v>
      </c>
      <c r="G215" s="422" t="str">
        <f>CONCATENATE("DE: ",A215," ",B215," ",D215," mm (emission to ",F215,")")</f>
        <v>DE: HDPE film 0,1-1 mm (emission to marine water)</v>
      </c>
      <c r="H215" s="387">
        <v>0</v>
      </c>
      <c r="I215" s="388" t="s">
        <v>1153</v>
      </c>
      <c r="J215" s="634">
        <v>0.22800000000000001</v>
      </c>
      <c r="K215" s="395">
        <v>11.703124999999968</v>
      </c>
      <c r="L215" s="536"/>
      <c r="M215" s="509">
        <f t="shared" si="510"/>
        <v>42.723631508678352</v>
      </c>
      <c r="N215" s="645">
        <f t="shared" ref="N215" si="549">IFERROR(H215*M215+H216*M216+H217*M217+H218*M218+H219*M219,"N.A.")</f>
        <v>42.723631508678352</v>
      </c>
      <c r="O215" s="625"/>
      <c r="P215" s="628">
        <f t="shared" si="516"/>
        <v>42.723631508678352</v>
      </c>
      <c r="Q215" s="628">
        <f t="shared" si="435"/>
        <v>42.723631508678352</v>
      </c>
    </row>
    <row r="216" spans="1:17" ht="15.75" hidden="1" thickBot="1">
      <c r="A216" s="390" t="str">
        <f t="shared" ref="A216:B216" si="550">A213</f>
        <v>HDPE</v>
      </c>
      <c r="B216" s="391" t="str">
        <f t="shared" si="550"/>
        <v>film</v>
      </c>
      <c r="C216" s="391">
        <f t="shared" si="530"/>
        <v>2</v>
      </c>
      <c r="D216" s="391" t="str">
        <f t="shared" ref="D216:E216" si="551">D213</f>
        <v>0,1-1</v>
      </c>
      <c r="E216" s="391">
        <f t="shared" si="551"/>
        <v>1</v>
      </c>
      <c r="F216" s="391" t="str">
        <f t="shared" ref="F216:G216" si="552">F215</f>
        <v>marine water</v>
      </c>
      <c r="G216" s="401" t="str">
        <f t="shared" si="552"/>
        <v>DE: HDPE film 0,1-1 mm (emission to marine water)</v>
      </c>
      <c r="H216" s="393">
        <v>1</v>
      </c>
      <c r="I216" s="394" t="s">
        <v>1097</v>
      </c>
      <c r="J216" s="635"/>
      <c r="K216" s="395">
        <v>11.703124999999968</v>
      </c>
      <c r="L216" s="537"/>
      <c r="M216" s="509">
        <f t="shared" si="510"/>
        <v>42.723631508678352</v>
      </c>
      <c r="N216" s="646"/>
      <c r="O216" s="626"/>
      <c r="P216" s="629"/>
      <c r="Q216" s="629"/>
    </row>
    <row r="217" spans="1:17" ht="15.75" hidden="1" thickBot="1">
      <c r="A217" s="390" t="str">
        <f t="shared" ref="A217:B217" si="553">A214</f>
        <v>HDPE</v>
      </c>
      <c r="B217" s="391" t="str">
        <f t="shared" si="553"/>
        <v>film</v>
      </c>
      <c r="C217" s="391">
        <f t="shared" si="530"/>
        <v>2</v>
      </c>
      <c r="D217" s="391" t="str">
        <f t="shared" ref="D217:E217" si="554">D214</f>
        <v>0,1-1</v>
      </c>
      <c r="E217" s="391">
        <f t="shared" si="554"/>
        <v>1</v>
      </c>
      <c r="F217" s="391" t="str">
        <f t="shared" ref="F217:G217" si="555">F216</f>
        <v>marine water</v>
      </c>
      <c r="G217" s="401" t="str">
        <f t="shared" si="555"/>
        <v>DE: HDPE film 0,1-1 mm (emission to marine water)</v>
      </c>
      <c r="H217" s="393">
        <v>0</v>
      </c>
      <c r="I217" s="394" t="s">
        <v>1162</v>
      </c>
      <c r="J217" s="635"/>
      <c r="K217" s="395">
        <v>11.703124999999968</v>
      </c>
      <c r="L217" s="537"/>
      <c r="M217" s="509">
        <f t="shared" si="510"/>
        <v>42.723631508678352</v>
      </c>
      <c r="N217" s="646"/>
      <c r="O217" s="626"/>
      <c r="P217" s="629"/>
      <c r="Q217" s="629"/>
    </row>
    <row r="218" spans="1:17" ht="15.75" hidden="1" thickBot="1">
      <c r="A218" s="390" t="str">
        <f t="shared" ref="A218:B218" si="556">A215</f>
        <v>HDPE</v>
      </c>
      <c r="B218" s="391" t="str">
        <f t="shared" si="556"/>
        <v>film</v>
      </c>
      <c r="C218" s="391">
        <f t="shared" si="530"/>
        <v>2</v>
      </c>
      <c r="D218" s="391" t="str">
        <f t="shared" ref="D218:E218" si="557">D215</f>
        <v>0,1-1</v>
      </c>
      <c r="E218" s="391">
        <f t="shared" si="557"/>
        <v>1</v>
      </c>
      <c r="F218" s="391" t="str">
        <f t="shared" ref="F218:G218" si="558">F217</f>
        <v>marine water</v>
      </c>
      <c r="G218" s="401" t="str">
        <f t="shared" si="558"/>
        <v>DE: HDPE film 0,1-1 mm (emission to marine water)</v>
      </c>
      <c r="H218" s="393">
        <v>0</v>
      </c>
      <c r="I218" s="394" t="s">
        <v>1163</v>
      </c>
      <c r="J218" s="635"/>
      <c r="K218" s="395">
        <v>11.703124999999968</v>
      </c>
      <c r="L218" s="537"/>
      <c r="M218" s="509">
        <f t="shared" si="510"/>
        <v>42.723631508678352</v>
      </c>
      <c r="N218" s="646"/>
      <c r="O218" s="626"/>
      <c r="P218" s="629"/>
      <c r="Q218" s="629"/>
    </row>
    <row r="219" spans="1:17" ht="15.75" hidden="1" thickBot="1">
      <c r="A219" s="390" t="str">
        <f t="shared" ref="A219:B219" si="559">A216</f>
        <v>HDPE</v>
      </c>
      <c r="B219" s="391" t="str">
        <f t="shared" si="559"/>
        <v>film</v>
      </c>
      <c r="C219" s="391">
        <f t="shared" si="530"/>
        <v>2</v>
      </c>
      <c r="D219" s="391" t="str">
        <f t="shared" ref="D219:E219" si="560">D216</f>
        <v>0,1-1</v>
      </c>
      <c r="E219" s="391">
        <f t="shared" si="560"/>
        <v>1</v>
      </c>
      <c r="F219" s="391" t="str">
        <f t="shared" ref="F219:G219" si="561">F218</f>
        <v>marine water</v>
      </c>
      <c r="G219" s="401" t="str">
        <f t="shared" si="561"/>
        <v>DE: HDPE film 0,1-1 mm (emission to marine water)</v>
      </c>
      <c r="H219" s="393">
        <v>0</v>
      </c>
      <c r="I219" s="394" t="s">
        <v>1034</v>
      </c>
      <c r="J219" s="654"/>
      <c r="K219" s="398" t="s">
        <v>596</v>
      </c>
      <c r="L219" s="538"/>
      <c r="M219" s="509">
        <f t="shared" si="510"/>
        <v>0</v>
      </c>
      <c r="N219" s="647"/>
      <c r="O219" s="627"/>
      <c r="P219" s="629"/>
      <c r="Q219" s="629"/>
    </row>
    <row r="220" spans="1:17" ht="15.75" hidden="1" thickBot="1">
      <c r="A220" s="390" t="str">
        <f t="shared" ref="A220:B220" si="562">A217</f>
        <v>HDPE</v>
      </c>
      <c r="B220" s="391" t="str">
        <f t="shared" si="562"/>
        <v>film</v>
      </c>
      <c r="C220" s="391">
        <f t="shared" si="530"/>
        <v>2</v>
      </c>
      <c r="D220" s="391" t="str">
        <f t="shared" ref="D220:E220" si="563">D217</f>
        <v>0,1-1</v>
      </c>
      <c r="E220" s="391">
        <f t="shared" si="563"/>
        <v>1</v>
      </c>
      <c r="F220" s="400" t="s">
        <v>1057</v>
      </c>
      <c r="G220" s="422" t="str">
        <f>CONCATENATE("DE: ",A220," ",B220," ",D220," mm (emission to ",F220,")")</f>
        <v>DE: HDPE film 0,1-1 mm (emission to air)</v>
      </c>
      <c r="H220" s="403">
        <v>0.94799999999999995</v>
      </c>
      <c r="I220" s="388" t="s">
        <v>1153</v>
      </c>
      <c r="J220" s="634">
        <v>0.22800000000000001</v>
      </c>
      <c r="K220" s="395">
        <v>11.703124999999968</v>
      </c>
      <c r="L220" s="536"/>
      <c r="M220" s="509">
        <f t="shared" si="510"/>
        <v>42.723631508678352</v>
      </c>
      <c r="N220" s="645">
        <f t="shared" ref="N220" si="564">IFERROR(H220*M220+H221*M221+H222*M222+H223*M223+H224*M224,"N.A.")</f>
        <v>42.723631508678352</v>
      </c>
      <c r="O220" s="625"/>
      <c r="P220" s="628">
        <f t="shared" si="516"/>
        <v>42.723631508678352</v>
      </c>
      <c r="Q220" s="628">
        <f t="shared" si="435"/>
        <v>42.723631508678352</v>
      </c>
    </row>
    <row r="221" spans="1:17" ht="15.75" hidden="1" thickBot="1">
      <c r="A221" s="390" t="str">
        <f t="shared" ref="A221:B221" si="565">A218</f>
        <v>HDPE</v>
      </c>
      <c r="B221" s="391" t="str">
        <f t="shared" si="565"/>
        <v>film</v>
      </c>
      <c r="C221" s="391">
        <f t="shared" si="530"/>
        <v>2</v>
      </c>
      <c r="D221" s="391" t="str">
        <f t="shared" ref="D221:E221" si="566">D218</f>
        <v>0,1-1</v>
      </c>
      <c r="E221" s="391">
        <f t="shared" si="566"/>
        <v>1</v>
      </c>
      <c r="F221" s="391" t="str">
        <f t="shared" ref="F221:G221" si="567">F220</f>
        <v>air</v>
      </c>
      <c r="G221" s="401" t="str">
        <f t="shared" si="567"/>
        <v>DE: HDPE film 0,1-1 mm (emission to air)</v>
      </c>
      <c r="H221" s="393">
        <v>5.1999999999999998E-2</v>
      </c>
      <c r="I221" s="394" t="s">
        <v>1097</v>
      </c>
      <c r="J221" s="635"/>
      <c r="K221" s="395">
        <v>11.703124999999968</v>
      </c>
      <c r="L221" s="537"/>
      <c r="M221" s="509">
        <f t="shared" si="510"/>
        <v>42.723631508678352</v>
      </c>
      <c r="N221" s="646"/>
      <c r="O221" s="626"/>
      <c r="P221" s="629"/>
      <c r="Q221" s="629"/>
    </row>
    <row r="222" spans="1:17" ht="15.75" hidden="1" thickBot="1">
      <c r="A222" s="390" t="str">
        <f t="shared" ref="A222:B222" si="568">A219</f>
        <v>HDPE</v>
      </c>
      <c r="B222" s="391" t="str">
        <f t="shared" si="568"/>
        <v>film</v>
      </c>
      <c r="C222" s="391">
        <f t="shared" si="530"/>
        <v>2</v>
      </c>
      <c r="D222" s="391" t="str">
        <f t="shared" ref="D222:E222" si="569">D219</f>
        <v>0,1-1</v>
      </c>
      <c r="E222" s="391">
        <f t="shared" si="569"/>
        <v>1</v>
      </c>
      <c r="F222" s="391" t="str">
        <f t="shared" ref="F222:G222" si="570">F221</f>
        <v>air</v>
      </c>
      <c r="G222" s="401" t="str">
        <f t="shared" si="570"/>
        <v>DE: HDPE film 0,1-1 mm (emission to air)</v>
      </c>
      <c r="H222" s="393">
        <v>0</v>
      </c>
      <c r="I222" s="394" t="s">
        <v>1162</v>
      </c>
      <c r="J222" s="635"/>
      <c r="K222" s="395">
        <v>11.703124999999968</v>
      </c>
      <c r="L222" s="537"/>
      <c r="M222" s="509">
        <f t="shared" si="510"/>
        <v>42.723631508678352</v>
      </c>
      <c r="N222" s="646"/>
      <c r="O222" s="626"/>
      <c r="P222" s="629"/>
      <c r="Q222" s="629"/>
    </row>
    <row r="223" spans="1:17" ht="15.75" hidden="1" thickBot="1">
      <c r="A223" s="390" t="str">
        <f t="shared" ref="A223:B223" si="571">A220</f>
        <v>HDPE</v>
      </c>
      <c r="B223" s="391" t="str">
        <f t="shared" si="571"/>
        <v>film</v>
      </c>
      <c r="C223" s="391">
        <f t="shared" si="530"/>
        <v>2</v>
      </c>
      <c r="D223" s="391" t="str">
        <f t="shared" ref="D223:E223" si="572">D220</f>
        <v>0,1-1</v>
      </c>
      <c r="E223" s="391">
        <f t="shared" si="572"/>
        <v>1</v>
      </c>
      <c r="F223" s="391" t="str">
        <f t="shared" ref="F223:G223" si="573">F222</f>
        <v>air</v>
      </c>
      <c r="G223" s="401" t="str">
        <f t="shared" si="573"/>
        <v>DE: HDPE film 0,1-1 mm (emission to air)</v>
      </c>
      <c r="H223" s="393">
        <v>0</v>
      </c>
      <c r="I223" s="394" t="s">
        <v>1163</v>
      </c>
      <c r="J223" s="635"/>
      <c r="K223" s="395">
        <v>11.703124999999968</v>
      </c>
      <c r="L223" s="537"/>
      <c r="M223" s="509">
        <f t="shared" si="510"/>
        <v>42.723631508678352</v>
      </c>
      <c r="N223" s="646"/>
      <c r="O223" s="626"/>
      <c r="P223" s="629"/>
      <c r="Q223" s="629"/>
    </row>
    <row r="224" spans="1:17" ht="15.75" hidden="1" thickBot="1">
      <c r="A224" s="390" t="str">
        <f t="shared" ref="A224:B224" si="574">A219</f>
        <v>HDPE</v>
      </c>
      <c r="B224" s="391" t="str">
        <f t="shared" si="574"/>
        <v>film</v>
      </c>
      <c r="C224" s="391">
        <f t="shared" si="530"/>
        <v>2</v>
      </c>
      <c r="D224" s="391" t="str">
        <f t="shared" ref="D224:E224" si="575">D219</f>
        <v>0,1-1</v>
      </c>
      <c r="E224" s="391">
        <f t="shared" si="575"/>
        <v>1</v>
      </c>
      <c r="F224" s="391" t="str">
        <f t="shared" ref="F224:G224" si="576">F223</f>
        <v>air</v>
      </c>
      <c r="G224" s="401" t="str">
        <f t="shared" si="576"/>
        <v>DE: HDPE film 0,1-1 mm (emission to air)</v>
      </c>
      <c r="H224" s="450">
        <v>0</v>
      </c>
      <c r="I224" s="422" t="s">
        <v>1034</v>
      </c>
      <c r="J224" s="636"/>
      <c r="K224" s="451" t="s">
        <v>596</v>
      </c>
      <c r="L224" s="542"/>
      <c r="M224" s="509">
        <f t="shared" si="510"/>
        <v>0</v>
      </c>
      <c r="N224" s="647"/>
      <c r="O224" s="627"/>
      <c r="P224" s="629"/>
      <c r="Q224" s="629"/>
    </row>
    <row r="225" spans="1:17" ht="15.75" hidden="1" thickBot="1">
      <c r="A225" s="405" t="s">
        <v>69</v>
      </c>
      <c r="B225" s="406" t="s">
        <v>996</v>
      </c>
      <c r="C225" s="407">
        <f>IF(OR(B225="Folie", B225="Strips", B225="Film",B225="Flakes",B225="Coupon"), 2,IF(OR(B225="Fibers",B225="Pellets"),4,IF(OR(B225="Particles",B225="Shreds",B225="Powder",B225="Fragments",B225="Granules"),6,"")))</f>
        <v>2</v>
      </c>
      <c r="D225" s="423" t="s">
        <v>1026</v>
      </c>
      <c r="E225" s="408">
        <v>10</v>
      </c>
      <c r="F225" s="424" t="s">
        <v>1019</v>
      </c>
      <c r="G225" s="425" t="str">
        <f>CONCATENATE("DE: ",A225," ",B225," ",D225," mm (emission to ",F225,")")</f>
        <v>DE: HDPE film 1-10 mm (emission to soil)</v>
      </c>
      <c r="H225" s="426">
        <v>0.97</v>
      </c>
      <c r="I225" s="427" t="s">
        <v>1153</v>
      </c>
      <c r="J225" s="632">
        <v>0.22800000000000001</v>
      </c>
      <c r="K225" s="428">
        <v>11.703124999999968</v>
      </c>
      <c r="L225" s="539"/>
      <c r="M225" s="509">
        <f t="shared" si="510"/>
        <v>427.23631508678352</v>
      </c>
      <c r="N225" s="645">
        <f t="shared" ref="N225" si="577">IFERROR(H225*M225+H226*M226+H227*M227+H228*M228+H229*M229,"N.A.")</f>
        <v>427.23631508678352</v>
      </c>
      <c r="O225" s="625"/>
      <c r="P225" s="628">
        <f t="shared" si="516"/>
        <v>100</v>
      </c>
      <c r="Q225" s="628">
        <f t="shared" si="435"/>
        <v>427.23631508678352</v>
      </c>
    </row>
    <row r="226" spans="1:17" ht="15.75" hidden="1" thickBot="1">
      <c r="A226" s="390" t="str">
        <f>A225</f>
        <v>HDPE</v>
      </c>
      <c r="B226" s="391" t="str">
        <f>B225</f>
        <v>film</v>
      </c>
      <c r="C226" s="391">
        <f t="shared" si="482"/>
        <v>2</v>
      </c>
      <c r="D226" s="391" t="str">
        <f t="shared" ref="D226:G226" si="578">D225</f>
        <v>1-10</v>
      </c>
      <c r="E226" s="391">
        <f t="shared" si="578"/>
        <v>10</v>
      </c>
      <c r="F226" s="391" t="str">
        <f t="shared" si="578"/>
        <v>soil</v>
      </c>
      <c r="G226" s="392" t="str">
        <f t="shared" si="578"/>
        <v>DE: HDPE film 1-10 mm (emission to soil)</v>
      </c>
      <c r="H226" s="393">
        <v>0.03</v>
      </c>
      <c r="I226" s="394" t="s">
        <v>1097</v>
      </c>
      <c r="J226" s="632"/>
      <c r="K226" s="395">
        <v>11.703124999999968</v>
      </c>
      <c r="L226" s="537"/>
      <c r="M226" s="509">
        <f t="shared" si="510"/>
        <v>427.23631508678352</v>
      </c>
      <c r="N226" s="646"/>
      <c r="O226" s="626"/>
      <c r="P226" s="629"/>
      <c r="Q226" s="629"/>
    </row>
    <row r="227" spans="1:17" ht="15.75" hidden="1" thickBot="1">
      <c r="A227" s="390" t="str">
        <f t="shared" ref="A227:A228" si="579">A226</f>
        <v>HDPE</v>
      </c>
      <c r="B227" s="391" t="str">
        <f t="shared" ref="B227:B228" si="580">B226</f>
        <v>film</v>
      </c>
      <c r="C227" s="391">
        <f t="shared" si="482"/>
        <v>2</v>
      </c>
      <c r="D227" s="391" t="str">
        <f t="shared" ref="D227:G227" si="581">D226</f>
        <v>1-10</v>
      </c>
      <c r="E227" s="391">
        <f t="shared" si="581"/>
        <v>10</v>
      </c>
      <c r="F227" s="391" t="str">
        <f t="shared" si="581"/>
        <v>soil</v>
      </c>
      <c r="G227" s="392" t="str">
        <f t="shared" si="581"/>
        <v>DE: HDPE film 1-10 mm (emission to soil)</v>
      </c>
      <c r="H227" s="393">
        <v>0</v>
      </c>
      <c r="I227" s="394" t="s">
        <v>1162</v>
      </c>
      <c r="J227" s="632"/>
      <c r="K227" s="395">
        <v>11.703124999999968</v>
      </c>
      <c r="L227" s="537"/>
      <c r="M227" s="509">
        <f t="shared" si="510"/>
        <v>427.23631508678352</v>
      </c>
      <c r="N227" s="646"/>
      <c r="O227" s="626"/>
      <c r="P227" s="629"/>
      <c r="Q227" s="629"/>
    </row>
    <row r="228" spans="1:17" ht="15.75" hidden="1" thickBot="1">
      <c r="A228" s="390" t="str">
        <f t="shared" si="579"/>
        <v>HDPE</v>
      </c>
      <c r="B228" s="391" t="str">
        <f t="shared" si="580"/>
        <v>film</v>
      </c>
      <c r="C228" s="391">
        <f t="shared" si="482"/>
        <v>2</v>
      </c>
      <c r="D228" s="391" t="str">
        <f t="shared" ref="D228:G228" si="582">D227</f>
        <v>1-10</v>
      </c>
      <c r="E228" s="391">
        <f t="shared" si="582"/>
        <v>10</v>
      </c>
      <c r="F228" s="391" t="str">
        <f t="shared" si="582"/>
        <v>soil</v>
      </c>
      <c r="G228" s="392" t="str">
        <f t="shared" si="582"/>
        <v>DE: HDPE film 1-10 mm (emission to soil)</v>
      </c>
      <c r="H228" s="393">
        <v>0</v>
      </c>
      <c r="I228" s="394" t="s">
        <v>1163</v>
      </c>
      <c r="J228" s="632"/>
      <c r="K228" s="395">
        <v>11.703124999999968</v>
      </c>
      <c r="L228" s="537"/>
      <c r="M228" s="509">
        <f t="shared" si="510"/>
        <v>427.23631508678352</v>
      </c>
      <c r="N228" s="646"/>
      <c r="O228" s="626"/>
      <c r="P228" s="629"/>
      <c r="Q228" s="629"/>
    </row>
    <row r="229" spans="1:17" ht="15.75" hidden="1" thickBot="1">
      <c r="A229" s="390" t="str">
        <f>A226</f>
        <v>HDPE</v>
      </c>
      <c r="B229" s="391" t="str">
        <f>B226</f>
        <v>film</v>
      </c>
      <c r="C229" s="391">
        <f t="shared" si="482"/>
        <v>2</v>
      </c>
      <c r="D229" s="391" t="str">
        <f>D226</f>
        <v>1-10</v>
      </c>
      <c r="E229" s="391">
        <f>E226</f>
        <v>10</v>
      </c>
      <c r="F229" s="391" t="str">
        <f>F226</f>
        <v>soil</v>
      </c>
      <c r="G229" s="396" t="str">
        <f t="shared" ref="G229" si="583">G228</f>
        <v>DE: HDPE film 1-10 mm (emission to soil)</v>
      </c>
      <c r="H229" s="393">
        <v>0</v>
      </c>
      <c r="I229" s="397" t="s">
        <v>1034</v>
      </c>
      <c r="J229" s="633"/>
      <c r="K229" s="398" t="s">
        <v>596</v>
      </c>
      <c r="L229" s="538"/>
      <c r="M229" s="509">
        <f t="shared" si="510"/>
        <v>0</v>
      </c>
      <c r="N229" s="647"/>
      <c r="O229" s="627"/>
      <c r="P229" s="629"/>
      <c r="Q229" s="629"/>
    </row>
    <row r="230" spans="1:17" ht="15.75" hidden="1" thickBot="1">
      <c r="A230" s="390" t="str">
        <f t="shared" ref="A230:B230" si="584">A227</f>
        <v>HDPE</v>
      </c>
      <c r="B230" s="391" t="str">
        <f t="shared" si="584"/>
        <v>film</v>
      </c>
      <c r="C230" s="391">
        <f t="shared" si="482"/>
        <v>2</v>
      </c>
      <c r="D230" s="399" t="str">
        <f t="shared" ref="D230:E230" si="585">D227</f>
        <v>1-10</v>
      </c>
      <c r="E230" s="391">
        <f t="shared" si="585"/>
        <v>10</v>
      </c>
      <c r="F230" s="400" t="s">
        <v>1147</v>
      </c>
      <c r="G230" s="386" t="str">
        <f>CONCATENATE("DE: ",A230," ",B230," ",D230," mm (emission to ",F230,")")</f>
        <v>DE: HDPE film 1-10 mm (emission to fresh water)</v>
      </c>
      <c r="H230" s="387">
        <v>0</v>
      </c>
      <c r="I230" s="388" t="s">
        <v>1153</v>
      </c>
      <c r="J230" s="634">
        <v>0.22800000000000001</v>
      </c>
      <c r="K230" s="389">
        <v>11.703124999999968</v>
      </c>
      <c r="L230" s="536"/>
      <c r="M230" s="509">
        <f t="shared" si="510"/>
        <v>427.23631508678352</v>
      </c>
      <c r="N230" s="645">
        <f t="shared" ref="N230" si="586">IFERROR(H230*M230+H231*M231+H232*M232+H233*M233+H234*M234,"N.A.")</f>
        <v>427.23631508678352</v>
      </c>
      <c r="O230" s="625"/>
      <c r="P230" s="628">
        <f t="shared" si="516"/>
        <v>100</v>
      </c>
      <c r="Q230" s="628">
        <f t="shared" si="435"/>
        <v>427.23631508678352</v>
      </c>
    </row>
    <row r="231" spans="1:17" ht="15.75" hidden="1" thickBot="1">
      <c r="A231" s="390" t="str">
        <f t="shared" ref="A231:B231" si="587">A228</f>
        <v>HDPE</v>
      </c>
      <c r="B231" s="391" t="str">
        <f t="shared" si="587"/>
        <v>film</v>
      </c>
      <c r="C231" s="391">
        <f t="shared" si="482"/>
        <v>2</v>
      </c>
      <c r="D231" s="391" t="str">
        <f t="shared" ref="D231:E231" si="588">D228</f>
        <v>1-10</v>
      </c>
      <c r="E231" s="391">
        <f t="shared" si="588"/>
        <v>10</v>
      </c>
      <c r="F231" s="391" t="str">
        <f t="shared" ref="F231:G231" si="589">F230</f>
        <v>fresh water</v>
      </c>
      <c r="G231" s="401" t="str">
        <f t="shared" si="589"/>
        <v>DE: HDPE film 1-10 mm (emission to fresh water)</v>
      </c>
      <c r="H231" s="393">
        <v>1</v>
      </c>
      <c r="I231" s="394" t="s">
        <v>1097</v>
      </c>
      <c r="J231" s="635"/>
      <c r="K231" s="395">
        <v>11.703124999999968</v>
      </c>
      <c r="L231" s="537"/>
      <c r="M231" s="509">
        <f t="shared" si="510"/>
        <v>427.23631508678352</v>
      </c>
      <c r="N231" s="646"/>
      <c r="O231" s="626"/>
      <c r="P231" s="629"/>
      <c r="Q231" s="629"/>
    </row>
    <row r="232" spans="1:17" ht="15.75" hidden="1" thickBot="1">
      <c r="A232" s="390" t="str">
        <f t="shared" ref="A232:B232" si="590">A229</f>
        <v>HDPE</v>
      </c>
      <c r="B232" s="391" t="str">
        <f t="shared" si="590"/>
        <v>film</v>
      </c>
      <c r="C232" s="391">
        <f t="shared" si="482"/>
        <v>2</v>
      </c>
      <c r="D232" s="391" t="str">
        <f t="shared" ref="D232:E232" si="591">D229</f>
        <v>1-10</v>
      </c>
      <c r="E232" s="391">
        <f t="shared" si="591"/>
        <v>10</v>
      </c>
      <c r="F232" s="391" t="str">
        <f t="shared" ref="F232:G232" si="592">F231</f>
        <v>fresh water</v>
      </c>
      <c r="G232" s="401" t="str">
        <f t="shared" si="592"/>
        <v>DE: HDPE film 1-10 mm (emission to fresh water)</v>
      </c>
      <c r="H232" s="393">
        <v>0</v>
      </c>
      <c r="I232" s="394" t="s">
        <v>1162</v>
      </c>
      <c r="J232" s="635"/>
      <c r="K232" s="395">
        <v>11.703124999999968</v>
      </c>
      <c r="L232" s="537"/>
      <c r="M232" s="509">
        <f t="shared" si="510"/>
        <v>427.23631508678352</v>
      </c>
      <c r="N232" s="646"/>
      <c r="O232" s="626"/>
      <c r="P232" s="629"/>
      <c r="Q232" s="629"/>
    </row>
    <row r="233" spans="1:17" ht="15.75" hidden="1" thickBot="1">
      <c r="A233" s="390" t="str">
        <f t="shared" ref="A233:B233" si="593">A230</f>
        <v>HDPE</v>
      </c>
      <c r="B233" s="391" t="str">
        <f t="shared" si="593"/>
        <v>film</v>
      </c>
      <c r="C233" s="391">
        <f t="shared" si="482"/>
        <v>2</v>
      </c>
      <c r="D233" s="391" t="str">
        <f t="shared" ref="D233:E233" si="594">D230</f>
        <v>1-10</v>
      </c>
      <c r="E233" s="391">
        <f t="shared" si="594"/>
        <v>10</v>
      </c>
      <c r="F233" s="391" t="str">
        <f t="shared" ref="F233:G234" si="595">F232</f>
        <v>fresh water</v>
      </c>
      <c r="G233" s="401" t="str">
        <f t="shared" si="595"/>
        <v>DE: HDPE film 1-10 mm (emission to fresh water)</v>
      </c>
      <c r="H233" s="393">
        <v>0</v>
      </c>
      <c r="I233" s="394" t="s">
        <v>1163</v>
      </c>
      <c r="J233" s="635"/>
      <c r="K233" s="395">
        <v>11.703124999999968</v>
      </c>
      <c r="L233" s="537"/>
      <c r="M233" s="509">
        <f t="shared" si="510"/>
        <v>427.23631508678352</v>
      </c>
      <c r="N233" s="646"/>
      <c r="O233" s="626"/>
      <c r="P233" s="629"/>
      <c r="Q233" s="629"/>
    </row>
    <row r="234" spans="1:17" ht="15.75" hidden="1" thickBot="1">
      <c r="A234" s="390" t="str">
        <f t="shared" ref="A234:B234" si="596">A231</f>
        <v>HDPE</v>
      </c>
      <c r="B234" s="391" t="str">
        <f t="shared" si="596"/>
        <v>film</v>
      </c>
      <c r="C234" s="391">
        <f t="shared" si="482"/>
        <v>2</v>
      </c>
      <c r="D234" s="391" t="str">
        <f t="shared" ref="D234:E234" si="597">D231</f>
        <v>1-10</v>
      </c>
      <c r="E234" s="391">
        <f t="shared" si="597"/>
        <v>10</v>
      </c>
      <c r="F234" s="402" t="str">
        <f>F231</f>
        <v>fresh water</v>
      </c>
      <c r="G234" s="401" t="str">
        <f t="shared" si="595"/>
        <v>DE: HDPE film 1-10 mm (emission to fresh water)</v>
      </c>
      <c r="H234" s="393">
        <v>0</v>
      </c>
      <c r="I234" s="394" t="s">
        <v>1034</v>
      </c>
      <c r="J234" s="654"/>
      <c r="K234" s="398" t="s">
        <v>596</v>
      </c>
      <c r="L234" s="538"/>
      <c r="M234" s="509">
        <f t="shared" si="510"/>
        <v>0</v>
      </c>
      <c r="N234" s="647"/>
      <c r="O234" s="627"/>
      <c r="P234" s="629"/>
      <c r="Q234" s="629"/>
    </row>
    <row r="235" spans="1:17" ht="15.75" hidden="1" thickBot="1">
      <c r="A235" s="390" t="str">
        <f t="shared" ref="A235:B235" si="598">A232</f>
        <v>HDPE</v>
      </c>
      <c r="B235" s="391" t="str">
        <f t="shared" si="598"/>
        <v>film</v>
      </c>
      <c r="C235" s="391">
        <f t="shared" si="482"/>
        <v>2</v>
      </c>
      <c r="D235" s="391" t="str">
        <f t="shared" ref="D235:E235" si="599">D232</f>
        <v>1-10</v>
      </c>
      <c r="E235" s="391">
        <f t="shared" si="599"/>
        <v>10</v>
      </c>
      <c r="F235" s="385" t="s">
        <v>1097</v>
      </c>
      <c r="G235" s="422" t="str">
        <f>CONCATENATE("DE: ",A235," ",B235," ",D235," mm (emission to ",F235,")")</f>
        <v>DE: HDPE film 1-10 mm (emission to marine water)</v>
      </c>
      <c r="H235" s="387">
        <v>0</v>
      </c>
      <c r="I235" s="388" t="s">
        <v>1153</v>
      </c>
      <c r="J235" s="634">
        <v>0.22800000000000001</v>
      </c>
      <c r="K235" s="395">
        <v>11.703124999999968</v>
      </c>
      <c r="L235" s="536"/>
      <c r="M235" s="509">
        <f t="shared" si="510"/>
        <v>427.23631508678352</v>
      </c>
      <c r="N235" s="645">
        <f t="shared" ref="N235" si="600">IFERROR(H235*M235+H236*M236+H237*M237+H238*M238+H239*M239,"N.A.")</f>
        <v>427.23631508678352</v>
      </c>
      <c r="O235" s="625"/>
      <c r="P235" s="628">
        <f t="shared" si="516"/>
        <v>100</v>
      </c>
      <c r="Q235" s="628">
        <f t="shared" ref="Q235:Q295" si="601">IFERROR(IF(H235*M235+H236*M236+H237*M237+H238*M238+H239*M239&gt;500,500,H235*M235+H236*M236+H237*M237+H238*M238+H239*M239),"N.A.")</f>
        <v>427.23631508678352</v>
      </c>
    </row>
    <row r="236" spans="1:17" ht="15.75" hidden="1" thickBot="1">
      <c r="A236" s="390" t="str">
        <f t="shared" ref="A236:B236" si="602">A233</f>
        <v>HDPE</v>
      </c>
      <c r="B236" s="391" t="str">
        <f t="shared" si="602"/>
        <v>film</v>
      </c>
      <c r="C236" s="391">
        <f t="shared" si="482"/>
        <v>2</v>
      </c>
      <c r="D236" s="391" t="str">
        <f t="shared" ref="D236:E236" si="603">D233</f>
        <v>1-10</v>
      </c>
      <c r="E236" s="391">
        <f t="shared" si="603"/>
        <v>10</v>
      </c>
      <c r="F236" s="391" t="str">
        <f t="shared" ref="F236:G236" si="604">F235</f>
        <v>marine water</v>
      </c>
      <c r="G236" s="401" t="str">
        <f t="shared" si="604"/>
        <v>DE: HDPE film 1-10 mm (emission to marine water)</v>
      </c>
      <c r="H236" s="393">
        <v>1</v>
      </c>
      <c r="I236" s="394" t="s">
        <v>1097</v>
      </c>
      <c r="J236" s="635"/>
      <c r="K236" s="395">
        <v>11.703124999999968</v>
      </c>
      <c r="L236" s="537"/>
      <c r="M236" s="509">
        <f t="shared" si="510"/>
        <v>427.23631508678352</v>
      </c>
      <c r="N236" s="646"/>
      <c r="O236" s="626"/>
      <c r="P236" s="629"/>
      <c r="Q236" s="629"/>
    </row>
    <row r="237" spans="1:17" ht="15.75" hidden="1" thickBot="1">
      <c r="A237" s="390" t="str">
        <f t="shared" ref="A237:B237" si="605">A234</f>
        <v>HDPE</v>
      </c>
      <c r="B237" s="391" t="str">
        <f t="shared" si="605"/>
        <v>film</v>
      </c>
      <c r="C237" s="391">
        <f t="shared" si="482"/>
        <v>2</v>
      </c>
      <c r="D237" s="391" t="str">
        <f t="shared" ref="D237:E237" si="606">D234</f>
        <v>1-10</v>
      </c>
      <c r="E237" s="391">
        <f t="shared" si="606"/>
        <v>10</v>
      </c>
      <c r="F237" s="391" t="str">
        <f t="shared" ref="F237:G237" si="607">F236</f>
        <v>marine water</v>
      </c>
      <c r="G237" s="401" t="str">
        <f t="shared" si="607"/>
        <v>DE: HDPE film 1-10 mm (emission to marine water)</v>
      </c>
      <c r="H237" s="393">
        <v>0</v>
      </c>
      <c r="I237" s="394" t="s">
        <v>1162</v>
      </c>
      <c r="J237" s="635"/>
      <c r="K237" s="395">
        <v>11.703124999999968</v>
      </c>
      <c r="L237" s="537"/>
      <c r="M237" s="509">
        <f t="shared" si="510"/>
        <v>427.23631508678352</v>
      </c>
      <c r="N237" s="646"/>
      <c r="O237" s="626"/>
      <c r="P237" s="629"/>
      <c r="Q237" s="629"/>
    </row>
    <row r="238" spans="1:17" ht="15.75" hidden="1" thickBot="1">
      <c r="A238" s="390" t="str">
        <f t="shared" ref="A238:B238" si="608">A235</f>
        <v>HDPE</v>
      </c>
      <c r="B238" s="391" t="str">
        <f t="shared" si="608"/>
        <v>film</v>
      </c>
      <c r="C238" s="391">
        <f t="shared" si="482"/>
        <v>2</v>
      </c>
      <c r="D238" s="391" t="str">
        <f t="shared" ref="D238:E238" si="609">D235</f>
        <v>1-10</v>
      </c>
      <c r="E238" s="391">
        <f t="shared" si="609"/>
        <v>10</v>
      </c>
      <c r="F238" s="391" t="str">
        <f t="shared" ref="F238:G238" si="610">F237</f>
        <v>marine water</v>
      </c>
      <c r="G238" s="401" t="str">
        <f t="shared" si="610"/>
        <v>DE: HDPE film 1-10 mm (emission to marine water)</v>
      </c>
      <c r="H238" s="393">
        <v>0</v>
      </c>
      <c r="I238" s="394" t="s">
        <v>1163</v>
      </c>
      <c r="J238" s="635"/>
      <c r="K238" s="395">
        <v>11.703124999999968</v>
      </c>
      <c r="L238" s="537"/>
      <c r="M238" s="509">
        <f t="shared" si="510"/>
        <v>427.23631508678352</v>
      </c>
      <c r="N238" s="646"/>
      <c r="O238" s="626"/>
      <c r="P238" s="629"/>
      <c r="Q238" s="629"/>
    </row>
    <row r="239" spans="1:17" ht="15.75" hidden="1" thickBot="1">
      <c r="A239" s="390" t="str">
        <f t="shared" ref="A239:B239" si="611">A236</f>
        <v>HDPE</v>
      </c>
      <c r="B239" s="391" t="str">
        <f t="shared" si="611"/>
        <v>film</v>
      </c>
      <c r="C239" s="391">
        <f t="shared" si="482"/>
        <v>2</v>
      </c>
      <c r="D239" s="391" t="str">
        <f t="shared" ref="D239:E239" si="612">D236</f>
        <v>1-10</v>
      </c>
      <c r="E239" s="391">
        <f t="shared" si="612"/>
        <v>10</v>
      </c>
      <c r="F239" s="391" t="str">
        <f t="shared" ref="F239:G239" si="613">F238</f>
        <v>marine water</v>
      </c>
      <c r="G239" s="401" t="str">
        <f t="shared" si="613"/>
        <v>DE: HDPE film 1-10 mm (emission to marine water)</v>
      </c>
      <c r="H239" s="393">
        <v>0</v>
      </c>
      <c r="I239" s="394" t="s">
        <v>1034</v>
      </c>
      <c r="J239" s="654"/>
      <c r="K239" s="398" t="s">
        <v>596</v>
      </c>
      <c r="L239" s="538"/>
      <c r="M239" s="509">
        <f t="shared" si="510"/>
        <v>0</v>
      </c>
      <c r="N239" s="647"/>
      <c r="O239" s="627"/>
      <c r="P239" s="629"/>
      <c r="Q239" s="629"/>
    </row>
    <row r="240" spans="1:17" ht="15.75" hidden="1" thickBot="1">
      <c r="A240" s="390" t="str">
        <f t="shared" ref="A240:B240" si="614">A237</f>
        <v>HDPE</v>
      </c>
      <c r="B240" s="391" t="str">
        <f t="shared" si="614"/>
        <v>film</v>
      </c>
      <c r="C240" s="391">
        <f t="shared" si="482"/>
        <v>2</v>
      </c>
      <c r="D240" s="391" t="str">
        <f t="shared" ref="D240:E240" si="615">D237</f>
        <v>1-10</v>
      </c>
      <c r="E240" s="391">
        <f t="shared" si="615"/>
        <v>10</v>
      </c>
      <c r="F240" s="400" t="s">
        <v>1057</v>
      </c>
      <c r="G240" s="422" t="str">
        <f>CONCATENATE("DE: ",A240," ",B240," ",D240," mm (emission to ",F240,")")</f>
        <v>DE: HDPE film 1-10 mm (emission to air)</v>
      </c>
      <c r="H240" s="403">
        <v>0.94799999999999995</v>
      </c>
      <c r="I240" s="388" t="s">
        <v>1153</v>
      </c>
      <c r="J240" s="634">
        <v>0.22800000000000001</v>
      </c>
      <c r="K240" s="395">
        <v>11.703124999999968</v>
      </c>
      <c r="L240" s="536"/>
      <c r="M240" s="509">
        <f t="shared" si="510"/>
        <v>427.23631508678352</v>
      </c>
      <c r="N240" s="645">
        <f t="shared" ref="N240" si="616">IFERROR(H240*M240+H241*M241+H242*M242+H243*M243+H244*M244,"N.A.")</f>
        <v>427.23631508678346</v>
      </c>
      <c r="O240" s="625"/>
      <c r="P240" s="628">
        <f t="shared" si="516"/>
        <v>100</v>
      </c>
      <c r="Q240" s="628">
        <f t="shared" si="601"/>
        <v>427.23631508678346</v>
      </c>
    </row>
    <row r="241" spans="1:17" ht="15.75" hidden="1" thickBot="1">
      <c r="A241" s="390" t="str">
        <f t="shared" ref="A241:B241" si="617">A238</f>
        <v>HDPE</v>
      </c>
      <c r="B241" s="391" t="str">
        <f t="shared" si="617"/>
        <v>film</v>
      </c>
      <c r="C241" s="391">
        <f t="shared" si="482"/>
        <v>2</v>
      </c>
      <c r="D241" s="391" t="str">
        <f t="shared" ref="D241:E241" si="618">D238</f>
        <v>1-10</v>
      </c>
      <c r="E241" s="391">
        <f t="shared" si="618"/>
        <v>10</v>
      </c>
      <c r="F241" s="391" t="str">
        <f t="shared" ref="F241:G241" si="619">F240</f>
        <v>air</v>
      </c>
      <c r="G241" s="401" t="str">
        <f t="shared" si="619"/>
        <v>DE: HDPE film 1-10 mm (emission to air)</v>
      </c>
      <c r="H241" s="393">
        <v>5.1999999999999998E-2</v>
      </c>
      <c r="I241" s="394" t="s">
        <v>1097</v>
      </c>
      <c r="J241" s="635"/>
      <c r="K241" s="395">
        <v>11.703124999999968</v>
      </c>
      <c r="L241" s="537"/>
      <c r="M241" s="509">
        <f t="shared" si="510"/>
        <v>427.23631508678352</v>
      </c>
      <c r="N241" s="646"/>
      <c r="O241" s="626"/>
      <c r="P241" s="629"/>
      <c r="Q241" s="629"/>
    </row>
    <row r="242" spans="1:17" ht="15.75" hidden="1" thickBot="1">
      <c r="A242" s="390" t="str">
        <f t="shared" ref="A242:B242" si="620">A239</f>
        <v>HDPE</v>
      </c>
      <c r="B242" s="391" t="str">
        <f t="shared" si="620"/>
        <v>film</v>
      </c>
      <c r="C242" s="391">
        <f t="shared" si="482"/>
        <v>2</v>
      </c>
      <c r="D242" s="391" t="str">
        <f t="shared" ref="D242:E242" si="621">D239</f>
        <v>1-10</v>
      </c>
      <c r="E242" s="391">
        <f t="shared" si="621"/>
        <v>10</v>
      </c>
      <c r="F242" s="391" t="str">
        <f t="shared" ref="F242:G242" si="622">F241</f>
        <v>air</v>
      </c>
      <c r="G242" s="401" t="str">
        <f t="shared" si="622"/>
        <v>DE: HDPE film 1-10 mm (emission to air)</v>
      </c>
      <c r="H242" s="393">
        <v>0</v>
      </c>
      <c r="I242" s="394" t="s">
        <v>1162</v>
      </c>
      <c r="J242" s="635"/>
      <c r="K242" s="395">
        <v>11.703124999999968</v>
      </c>
      <c r="L242" s="537"/>
      <c r="M242" s="509">
        <f t="shared" si="510"/>
        <v>427.23631508678352</v>
      </c>
      <c r="N242" s="646"/>
      <c r="O242" s="626"/>
      <c r="P242" s="629"/>
      <c r="Q242" s="629"/>
    </row>
    <row r="243" spans="1:17" ht="15.75" hidden="1" thickBot="1">
      <c r="A243" s="390" t="str">
        <f t="shared" ref="A243:B243" si="623">A240</f>
        <v>HDPE</v>
      </c>
      <c r="B243" s="391" t="str">
        <f t="shared" si="623"/>
        <v>film</v>
      </c>
      <c r="C243" s="391">
        <f t="shared" si="482"/>
        <v>2</v>
      </c>
      <c r="D243" s="391" t="str">
        <f t="shared" ref="D243:E243" si="624">D240</f>
        <v>1-10</v>
      </c>
      <c r="E243" s="391">
        <f t="shared" si="624"/>
        <v>10</v>
      </c>
      <c r="F243" s="391" t="str">
        <f t="shared" ref="F243:G243" si="625">F242</f>
        <v>air</v>
      </c>
      <c r="G243" s="401" t="str">
        <f t="shared" si="625"/>
        <v>DE: HDPE film 1-10 mm (emission to air)</v>
      </c>
      <c r="H243" s="393">
        <v>0</v>
      </c>
      <c r="I243" s="394" t="s">
        <v>1163</v>
      </c>
      <c r="J243" s="635"/>
      <c r="K243" s="395">
        <v>11.703124999999968</v>
      </c>
      <c r="L243" s="537"/>
      <c r="M243" s="509">
        <f t="shared" si="510"/>
        <v>427.23631508678352</v>
      </c>
      <c r="N243" s="646"/>
      <c r="O243" s="626"/>
      <c r="P243" s="629"/>
      <c r="Q243" s="629"/>
    </row>
    <row r="244" spans="1:17" ht="15.75" hidden="1" thickBot="1">
      <c r="A244" s="452" t="str">
        <f t="shared" ref="A244:B244" si="626">A239</f>
        <v>HDPE</v>
      </c>
      <c r="B244" s="453" t="str">
        <f t="shared" si="626"/>
        <v>film</v>
      </c>
      <c r="C244" s="453">
        <f t="shared" si="482"/>
        <v>2</v>
      </c>
      <c r="D244" s="453" t="str">
        <f t="shared" ref="D244:E244" si="627">D239</f>
        <v>1-10</v>
      </c>
      <c r="E244" s="453">
        <f t="shared" si="627"/>
        <v>10</v>
      </c>
      <c r="F244" s="453" t="str">
        <f t="shared" ref="F244:G244" si="628">F243</f>
        <v>air</v>
      </c>
      <c r="G244" s="454" t="str">
        <f t="shared" si="628"/>
        <v>DE: HDPE film 1-10 mm (emission to air)</v>
      </c>
      <c r="H244" s="455">
        <v>0</v>
      </c>
      <c r="I244" s="456" t="s">
        <v>1034</v>
      </c>
      <c r="J244" s="636"/>
      <c r="K244" s="457" t="s">
        <v>596</v>
      </c>
      <c r="L244" s="543"/>
      <c r="M244" s="509">
        <f t="shared" si="510"/>
        <v>0</v>
      </c>
      <c r="N244" s="647"/>
      <c r="O244" s="627"/>
      <c r="P244" s="629"/>
      <c r="Q244" s="629"/>
    </row>
    <row r="245" spans="1:17" ht="15.75" hidden="1" thickBot="1">
      <c r="A245" s="405" t="s">
        <v>69</v>
      </c>
      <c r="B245" s="406" t="s">
        <v>1151</v>
      </c>
      <c r="C245" s="407">
        <v>4</v>
      </c>
      <c r="D245" s="423" t="s">
        <v>1018</v>
      </c>
      <c r="E245" s="408">
        <v>0.1</v>
      </c>
      <c r="F245" s="424" t="s">
        <v>1019</v>
      </c>
      <c r="G245" s="425" t="str">
        <f>CONCATENATE("DE: ",A245," ",B245," ",D245," mm (emission to ",F245,")")</f>
        <v>DE: HDPE fiber 0,01-0,1 mm (emission to soil)</v>
      </c>
      <c r="H245" s="426">
        <v>0.97</v>
      </c>
      <c r="I245" s="427" t="s">
        <v>1153</v>
      </c>
      <c r="J245" s="632">
        <v>0.22800000000000001</v>
      </c>
      <c r="K245" s="428">
        <v>11.703124999999968</v>
      </c>
      <c r="L245" s="539"/>
      <c r="M245" s="509">
        <f t="shared" si="510"/>
        <v>2.1361815754339175</v>
      </c>
      <c r="N245" s="645">
        <f t="shared" ref="N245" si="629">IFERROR(H245*M245+H246*M246+H247*M247+H248*M248+H249*M249,"N.A.")</f>
        <v>2.1361815754339175</v>
      </c>
      <c r="O245" s="625"/>
      <c r="P245" s="628">
        <f t="shared" si="516"/>
        <v>2.1361815754339175</v>
      </c>
      <c r="Q245" s="628">
        <f t="shared" si="601"/>
        <v>2.1361815754339175</v>
      </c>
    </row>
    <row r="246" spans="1:17" ht="15.75" hidden="1" thickBot="1">
      <c r="A246" s="390" t="str">
        <f>A245</f>
        <v>HDPE</v>
      </c>
      <c r="B246" s="391" t="str">
        <f>B245</f>
        <v>fiber</v>
      </c>
      <c r="C246" s="391">
        <f t="shared" ref="C246:G264" si="630">C245</f>
        <v>4</v>
      </c>
      <c r="D246" s="391" t="str">
        <f t="shared" si="630"/>
        <v>0,01-0,1</v>
      </c>
      <c r="E246" s="391">
        <f t="shared" si="630"/>
        <v>0.1</v>
      </c>
      <c r="F246" s="391" t="str">
        <f t="shared" si="630"/>
        <v>soil</v>
      </c>
      <c r="G246" s="392" t="str">
        <f t="shared" si="630"/>
        <v>DE: HDPE fiber 0,01-0,1 mm (emission to soil)</v>
      </c>
      <c r="H246" s="393">
        <v>0.03</v>
      </c>
      <c r="I246" s="394" t="s">
        <v>1097</v>
      </c>
      <c r="J246" s="632"/>
      <c r="K246" s="395">
        <v>11.703124999999968</v>
      </c>
      <c r="L246" s="537"/>
      <c r="M246" s="509">
        <f t="shared" si="510"/>
        <v>2.1361815754339175</v>
      </c>
      <c r="N246" s="646"/>
      <c r="O246" s="626"/>
      <c r="P246" s="629"/>
      <c r="Q246" s="629"/>
    </row>
    <row r="247" spans="1:17" ht="15.75" hidden="1" thickBot="1">
      <c r="A247" s="390" t="str">
        <f t="shared" ref="A247:A248" si="631">A246</f>
        <v>HDPE</v>
      </c>
      <c r="B247" s="391" t="str">
        <f t="shared" ref="B247:B248" si="632">B246</f>
        <v>fiber</v>
      </c>
      <c r="C247" s="391">
        <f t="shared" si="630"/>
        <v>4</v>
      </c>
      <c r="D247" s="391" t="str">
        <f t="shared" si="630"/>
        <v>0,01-0,1</v>
      </c>
      <c r="E247" s="391">
        <f t="shared" si="630"/>
        <v>0.1</v>
      </c>
      <c r="F247" s="391" t="str">
        <f t="shared" si="630"/>
        <v>soil</v>
      </c>
      <c r="G247" s="392" t="str">
        <f t="shared" si="630"/>
        <v>DE: HDPE fiber 0,01-0,1 mm (emission to soil)</v>
      </c>
      <c r="H247" s="393">
        <v>0</v>
      </c>
      <c r="I247" s="394" t="s">
        <v>1162</v>
      </c>
      <c r="J247" s="632"/>
      <c r="K247" s="395">
        <v>11.703124999999968</v>
      </c>
      <c r="L247" s="537"/>
      <c r="M247" s="509">
        <f t="shared" si="510"/>
        <v>2.1361815754339175</v>
      </c>
      <c r="N247" s="646"/>
      <c r="O247" s="626"/>
      <c r="P247" s="629"/>
      <c r="Q247" s="629"/>
    </row>
    <row r="248" spans="1:17" ht="15.75" hidden="1" thickBot="1">
      <c r="A248" s="390" t="str">
        <f t="shared" si="631"/>
        <v>HDPE</v>
      </c>
      <c r="B248" s="391" t="str">
        <f t="shared" si="632"/>
        <v>fiber</v>
      </c>
      <c r="C248" s="391">
        <f t="shared" si="630"/>
        <v>4</v>
      </c>
      <c r="D248" s="391" t="str">
        <f t="shared" si="630"/>
        <v>0,01-0,1</v>
      </c>
      <c r="E248" s="391">
        <f t="shared" si="630"/>
        <v>0.1</v>
      </c>
      <c r="F248" s="391" t="str">
        <f t="shared" si="630"/>
        <v>soil</v>
      </c>
      <c r="G248" s="392" t="str">
        <f t="shared" si="630"/>
        <v>DE: HDPE fiber 0,01-0,1 mm (emission to soil)</v>
      </c>
      <c r="H248" s="393">
        <v>0</v>
      </c>
      <c r="I248" s="394" t="s">
        <v>1163</v>
      </c>
      <c r="J248" s="632"/>
      <c r="K248" s="395">
        <v>11.703124999999968</v>
      </c>
      <c r="L248" s="537"/>
      <c r="M248" s="509">
        <f t="shared" si="510"/>
        <v>2.1361815754339175</v>
      </c>
      <c r="N248" s="646"/>
      <c r="O248" s="626"/>
      <c r="P248" s="629"/>
      <c r="Q248" s="629"/>
    </row>
    <row r="249" spans="1:17" ht="15.75" hidden="1" thickBot="1">
      <c r="A249" s="390" t="str">
        <f>A246</f>
        <v>HDPE</v>
      </c>
      <c r="B249" s="391" t="str">
        <f>B246</f>
        <v>fiber</v>
      </c>
      <c r="C249" s="391">
        <f t="shared" si="630"/>
        <v>4</v>
      </c>
      <c r="D249" s="391" t="str">
        <f>D246</f>
        <v>0,01-0,1</v>
      </c>
      <c r="E249" s="391">
        <f>E246</f>
        <v>0.1</v>
      </c>
      <c r="F249" s="391" t="str">
        <f>F246</f>
        <v>soil</v>
      </c>
      <c r="G249" s="396" t="str">
        <f t="shared" ref="G249" si="633">G248</f>
        <v>DE: HDPE fiber 0,01-0,1 mm (emission to soil)</v>
      </c>
      <c r="H249" s="393">
        <v>0</v>
      </c>
      <c r="I249" s="397" t="s">
        <v>1034</v>
      </c>
      <c r="J249" s="633"/>
      <c r="K249" s="398" t="s">
        <v>596</v>
      </c>
      <c r="L249" s="538"/>
      <c r="M249" s="509">
        <f t="shared" si="510"/>
        <v>0</v>
      </c>
      <c r="N249" s="647"/>
      <c r="O249" s="627"/>
      <c r="P249" s="629"/>
      <c r="Q249" s="629"/>
    </row>
    <row r="250" spans="1:17" ht="15.75" hidden="1" thickBot="1">
      <c r="A250" s="390" t="str">
        <f t="shared" ref="A250:B250" si="634">A247</f>
        <v>HDPE</v>
      </c>
      <c r="B250" s="391" t="str">
        <f t="shared" si="634"/>
        <v>fiber</v>
      </c>
      <c r="C250" s="391">
        <f t="shared" si="630"/>
        <v>4</v>
      </c>
      <c r="D250" s="399" t="str">
        <f t="shared" ref="D250:E250" si="635">D247</f>
        <v>0,01-0,1</v>
      </c>
      <c r="E250" s="391">
        <f t="shared" si="635"/>
        <v>0.1</v>
      </c>
      <c r="F250" s="400" t="s">
        <v>1147</v>
      </c>
      <c r="G250" s="386" t="str">
        <f>CONCATENATE("DE: ",A250," ",B250," ",D250," mm (emission to ",F250,")")</f>
        <v>DE: HDPE fiber 0,01-0,1 mm (emission to fresh water)</v>
      </c>
      <c r="H250" s="387">
        <v>0</v>
      </c>
      <c r="I250" s="388" t="s">
        <v>1153</v>
      </c>
      <c r="J250" s="634">
        <v>0.22800000000000001</v>
      </c>
      <c r="K250" s="389">
        <v>11.703124999999968</v>
      </c>
      <c r="L250" s="536"/>
      <c r="M250" s="509">
        <f t="shared" si="510"/>
        <v>2.1361815754339175</v>
      </c>
      <c r="N250" s="645">
        <f t="shared" ref="N250" si="636">IFERROR(H250*M250+H251*M251+H252*M252+H253*M253+H254*M254,"N.A.")</f>
        <v>2.1361815754339175</v>
      </c>
      <c r="O250" s="625"/>
      <c r="P250" s="628">
        <f t="shared" si="516"/>
        <v>2.1361815754339175</v>
      </c>
      <c r="Q250" s="628">
        <f t="shared" si="601"/>
        <v>2.1361815754339175</v>
      </c>
    </row>
    <row r="251" spans="1:17" ht="15.75" hidden="1" thickBot="1">
      <c r="A251" s="390" t="str">
        <f t="shared" ref="A251:B251" si="637">A248</f>
        <v>HDPE</v>
      </c>
      <c r="B251" s="391" t="str">
        <f t="shared" si="637"/>
        <v>fiber</v>
      </c>
      <c r="C251" s="391">
        <f t="shared" si="630"/>
        <v>4</v>
      </c>
      <c r="D251" s="391" t="str">
        <f t="shared" ref="D251:E251" si="638">D248</f>
        <v>0,01-0,1</v>
      </c>
      <c r="E251" s="391">
        <f t="shared" si="638"/>
        <v>0.1</v>
      </c>
      <c r="F251" s="391" t="str">
        <f t="shared" ref="F251:G251" si="639">F250</f>
        <v>fresh water</v>
      </c>
      <c r="G251" s="401" t="str">
        <f t="shared" si="639"/>
        <v>DE: HDPE fiber 0,01-0,1 mm (emission to fresh water)</v>
      </c>
      <c r="H251" s="393">
        <v>1</v>
      </c>
      <c r="I251" s="394" t="s">
        <v>1097</v>
      </c>
      <c r="J251" s="635"/>
      <c r="K251" s="389">
        <v>11.703124999999968</v>
      </c>
      <c r="L251" s="536"/>
      <c r="M251" s="509">
        <f t="shared" si="510"/>
        <v>2.1361815754339175</v>
      </c>
      <c r="N251" s="646"/>
      <c r="O251" s="626"/>
      <c r="P251" s="629"/>
      <c r="Q251" s="629"/>
    </row>
    <row r="252" spans="1:17" ht="15.75" hidden="1" thickBot="1">
      <c r="A252" s="390" t="str">
        <f t="shared" ref="A252:B252" si="640">A249</f>
        <v>HDPE</v>
      </c>
      <c r="B252" s="391" t="str">
        <f t="shared" si="640"/>
        <v>fiber</v>
      </c>
      <c r="C252" s="391">
        <f t="shared" si="630"/>
        <v>4</v>
      </c>
      <c r="D252" s="391" t="str">
        <f t="shared" ref="D252:E252" si="641">D249</f>
        <v>0,01-0,1</v>
      </c>
      <c r="E252" s="391">
        <f t="shared" si="641"/>
        <v>0.1</v>
      </c>
      <c r="F252" s="391" t="str">
        <f t="shared" ref="F252:G252" si="642">F251</f>
        <v>fresh water</v>
      </c>
      <c r="G252" s="401" t="str">
        <f t="shared" si="642"/>
        <v>DE: HDPE fiber 0,01-0,1 mm (emission to fresh water)</v>
      </c>
      <c r="H252" s="393">
        <v>0</v>
      </c>
      <c r="I252" s="394" t="s">
        <v>1162</v>
      </c>
      <c r="J252" s="635"/>
      <c r="K252" s="389">
        <v>11.703124999999968</v>
      </c>
      <c r="L252" s="536"/>
      <c r="M252" s="509">
        <f t="shared" si="510"/>
        <v>2.1361815754339175</v>
      </c>
      <c r="N252" s="646"/>
      <c r="O252" s="626"/>
      <c r="P252" s="629"/>
      <c r="Q252" s="629"/>
    </row>
    <row r="253" spans="1:17" ht="15.75" hidden="1" thickBot="1">
      <c r="A253" s="390" t="str">
        <f t="shared" ref="A253:B253" si="643">A250</f>
        <v>HDPE</v>
      </c>
      <c r="B253" s="391" t="str">
        <f t="shared" si="643"/>
        <v>fiber</v>
      </c>
      <c r="C253" s="391">
        <f t="shared" si="630"/>
        <v>4</v>
      </c>
      <c r="D253" s="391" t="str">
        <f t="shared" ref="D253:E253" si="644">D250</f>
        <v>0,01-0,1</v>
      </c>
      <c r="E253" s="391">
        <f t="shared" si="644"/>
        <v>0.1</v>
      </c>
      <c r="F253" s="391" t="str">
        <f t="shared" ref="F253:G253" si="645">F252</f>
        <v>fresh water</v>
      </c>
      <c r="G253" s="401" t="str">
        <f t="shared" si="645"/>
        <v>DE: HDPE fiber 0,01-0,1 mm (emission to fresh water)</v>
      </c>
      <c r="H253" s="393">
        <v>0</v>
      </c>
      <c r="I253" s="394" t="s">
        <v>1163</v>
      </c>
      <c r="J253" s="635"/>
      <c r="K253" s="389">
        <v>11.703124999999968</v>
      </c>
      <c r="L253" s="536"/>
      <c r="M253" s="509">
        <f t="shared" si="510"/>
        <v>2.1361815754339175</v>
      </c>
      <c r="N253" s="646"/>
      <c r="O253" s="626"/>
      <c r="P253" s="629"/>
      <c r="Q253" s="629"/>
    </row>
    <row r="254" spans="1:17" ht="15.75" hidden="1" thickBot="1">
      <c r="A254" s="390" t="str">
        <f t="shared" ref="A254:B254" si="646">A251</f>
        <v>HDPE</v>
      </c>
      <c r="B254" s="391" t="str">
        <f t="shared" si="646"/>
        <v>fiber</v>
      </c>
      <c r="C254" s="391">
        <f t="shared" si="630"/>
        <v>4</v>
      </c>
      <c r="D254" s="391" t="str">
        <f t="shared" ref="D254:E254" si="647">D251</f>
        <v>0,01-0,1</v>
      </c>
      <c r="E254" s="391">
        <f t="shared" si="647"/>
        <v>0.1</v>
      </c>
      <c r="F254" s="402" t="str">
        <f>F251</f>
        <v>fresh water</v>
      </c>
      <c r="G254" s="401" t="str">
        <f t="shared" ref="G254" si="648">G253</f>
        <v>DE: HDPE fiber 0,01-0,1 mm (emission to fresh water)</v>
      </c>
      <c r="H254" s="393">
        <v>0</v>
      </c>
      <c r="I254" s="394" t="s">
        <v>1034</v>
      </c>
      <c r="J254" s="654"/>
      <c r="K254" s="398" t="s">
        <v>596</v>
      </c>
      <c r="L254" s="538"/>
      <c r="M254" s="509">
        <f t="shared" si="510"/>
        <v>0</v>
      </c>
      <c r="N254" s="647"/>
      <c r="O254" s="627"/>
      <c r="P254" s="629"/>
      <c r="Q254" s="629"/>
    </row>
    <row r="255" spans="1:17" ht="15.75" hidden="1" thickBot="1">
      <c r="A255" s="390" t="str">
        <f t="shared" ref="A255:B255" si="649">A252</f>
        <v>HDPE</v>
      </c>
      <c r="B255" s="391" t="str">
        <f t="shared" si="649"/>
        <v>fiber</v>
      </c>
      <c r="C255" s="391">
        <f t="shared" si="630"/>
        <v>4</v>
      </c>
      <c r="D255" s="391" t="str">
        <f t="shared" ref="D255:E255" si="650">D252</f>
        <v>0,01-0,1</v>
      </c>
      <c r="E255" s="391">
        <f t="shared" si="650"/>
        <v>0.1</v>
      </c>
      <c r="F255" s="385" t="s">
        <v>1097</v>
      </c>
      <c r="G255" s="422" t="str">
        <f>CONCATENATE("DE: ",A255," ",B255," ",D255," mm (emission to ",F255,")")</f>
        <v>DE: HDPE fiber 0,01-0,1 mm (emission to marine water)</v>
      </c>
      <c r="H255" s="387">
        <v>0</v>
      </c>
      <c r="I255" s="388" t="s">
        <v>1153</v>
      </c>
      <c r="J255" s="634">
        <v>0.22800000000000001</v>
      </c>
      <c r="K255" s="395">
        <v>11.703124999999968</v>
      </c>
      <c r="L255" s="536"/>
      <c r="M255" s="509">
        <f t="shared" si="510"/>
        <v>2.1361815754339175</v>
      </c>
      <c r="N255" s="645">
        <f t="shared" ref="N255" si="651">IFERROR(H255*M255+H256*M256+H257*M257+H258*M258+H259*M259,"N.A.")</f>
        <v>2.1361815754339175</v>
      </c>
      <c r="O255" s="625"/>
      <c r="P255" s="628">
        <f t="shared" si="516"/>
        <v>2.1361815754339175</v>
      </c>
      <c r="Q255" s="628">
        <f t="shared" si="601"/>
        <v>2.1361815754339175</v>
      </c>
    </row>
    <row r="256" spans="1:17" ht="15.75" hidden="1" thickBot="1">
      <c r="A256" s="390" t="str">
        <f t="shared" ref="A256:B256" si="652">A253</f>
        <v>HDPE</v>
      </c>
      <c r="B256" s="391" t="str">
        <f t="shared" si="652"/>
        <v>fiber</v>
      </c>
      <c r="C256" s="391">
        <f t="shared" si="630"/>
        <v>4</v>
      </c>
      <c r="D256" s="391" t="str">
        <f t="shared" ref="D256:E256" si="653">D253</f>
        <v>0,01-0,1</v>
      </c>
      <c r="E256" s="391">
        <f t="shared" si="653"/>
        <v>0.1</v>
      </c>
      <c r="F256" s="391" t="str">
        <f t="shared" ref="F256:G256" si="654">F255</f>
        <v>marine water</v>
      </c>
      <c r="G256" s="401" t="str">
        <f t="shared" si="654"/>
        <v>DE: HDPE fiber 0,01-0,1 mm (emission to marine water)</v>
      </c>
      <c r="H256" s="393">
        <v>1</v>
      </c>
      <c r="I256" s="394" t="s">
        <v>1097</v>
      </c>
      <c r="J256" s="635"/>
      <c r="K256" s="395">
        <v>11.703124999999968</v>
      </c>
      <c r="L256" s="537"/>
      <c r="M256" s="509">
        <f t="shared" si="510"/>
        <v>2.1361815754339175</v>
      </c>
      <c r="N256" s="646"/>
      <c r="O256" s="626"/>
      <c r="P256" s="629"/>
      <c r="Q256" s="629"/>
    </row>
    <row r="257" spans="1:17" ht="15.75" hidden="1" thickBot="1">
      <c r="A257" s="390" t="str">
        <f t="shared" ref="A257:B257" si="655">A254</f>
        <v>HDPE</v>
      </c>
      <c r="B257" s="391" t="str">
        <f t="shared" si="655"/>
        <v>fiber</v>
      </c>
      <c r="C257" s="391">
        <f t="shared" si="630"/>
        <v>4</v>
      </c>
      <c r="D257" s="391" t="str">
        <f t="shared" ref="D257:E257" si="656">D254</f>
        <v>0,01-0,1</v>
      </c>
      <c r="E257" s="391">
        <f t="shared" si="656"/>
        <v>0.1</v>
      </c>
      <c r="F257" s="391" t="str">
        <f t="shared" ref="F257:G257" si="657">F256</f>
        <v>marine water</v>
      </c>
      <c r="G257" s="401" t="str">
        <f t="shared" si="657"/>
        <v>DE: HDPE fiber 0,01-0,1 mm (emission to marine water)</v>
      </c>
      <c r="H257" s="393">
        <v>0</v>
      </c>
      <c r="I257" s="394" t="s">
        <v>1162</v>
      </c>
      <c r="J257" s="635"/>
      <c r="K257" s="395">
        <v>11.703124999999968</v>
      </c>
      <c r="L257" s="537"/>
      <c r="M257" s="509">
        <f t="shared" si="510"/>
        <v>2.1361815754339175</v>
      </c>
      <c r="N257" s="646"/>
      <c r="O257" s="626"/>
      <c r="P257" s="629"/>
      <c r="Q257" s="629"/>
    </row>
    <row r="258" spans="1:17" ht="15.75" hidden="1" thickBot="1">
      <c r="A258" s="390" t="str">
        <f t="shared" ref="A258:B258" si="658">A255</f>
        <v>HDPE</v>
      </c>
      <c r="B258" s="391" t="str">
        <f t="shared" si="658"/>
        <v>fiber</v>
      </c>
      <c r="C258" s="391">
        <f t="shared" si="630"/>
        <v>4</v>
      </c>
      <c r="D258" s="391" t="str">
        <f t="shared" ref="D258:E258" si="659">D255</f>
        <v>0,01-0,1</v>
      </c>
      <c r="E258" s="391">
        <f t="shared" si="659"/>
        <v>0.1</v>
      </c>
      <c r="F258" s="391" t="str">
        <f t="shared" ref="F258:G258" si="660">F257</f>
        <v>marine water</v>
      </c>
      <c r="G258" s="401" t="str">
        <f t="shared" si="660"/>
        <v>DE: HDPE fiber 0,01-0,1 mm (emission to marine water)</v>
      </c>
      <c r="H258" s="393">
        <v>0</v>
      </c>
      <c r="I258" s="394" t="s">
        <v>1163</v>
      </c>
      <c r="J258" s="635"/>
      <c r="K258" s="395">
        <v>11.703124999999968</v>
      </c>
      <c r="L258" s="537"/>
      <c r="M258" s="509">
        <f t="shared" si="510"/>
        <v>2.1361815754339175</v>
      </c>
      <c r="N258" s="646"/>
      <c r="O258" s="626"/>
      <c r="P258" s="629"/>
      <c r="Q258" s="629"/>
    </row>
    <row r="259" spans="1:17" ht="15.75" hidden="1" thickBot="1">
      <c r="A259" s="390" t="str">
        <f t="shared" ref="A259:B259" si="661">A256</f>
        <v>HDPE</v>
      </c>
      <c r="B259" s="391" t="str">
        <f t="shared" si="661"/>
        <v>fiber</v>
      </c>
      <c r="C259" s="391">
        <f t="shared" si="630"/>
        <v>4</v>
      </c>
      <c r="D259" s="391" t="str">
        <f t="shared" ref="D259:E259" si="662">D256</f>
        <v>0,01-0,1</v>
      </c>
      <c r="E259" s="391">
        <f t="shared" si="662"/>
        <v>0.1</v>
      </c>
      <c r="F259" s="391" t="str">
        <f t="shared" ref="F259:G259" si="663">F258</f>
        <v>marine water</v>
      </c>
      <c r="G259" s="401" t="str">
        <f t="shared" si="663"/>
        <v>DE: HDPE fiber 0,01-0,1 mm (emission to marine water)</v>
      </c>
      <c r="H259" s="393">
        <v>0</v>
      </c>
      <c r="I259" s="394" t="s">
        <v>1034</v>
      </c>
      <c r="J259" s="654"/>
      <c r="K259" s="398" t="s">
        <v>596</v>
      </c>
      <c r="L259" s="538"/>
      <c r="M259" s="509">
        <f t="shared" si="510"/>
        <v>0</v>
      </c>
      <c r="N259" s="647"/>
      <c r="O259" s="627"/>
      <c r="P259" s="629"/>
      <c r="Q259" s="629"/>
    </row>
    <row r="260" spans="1:17" ht="15.75" hidden="1" thickBot="1">
      <c r="A260" s="390" t="str">
        <f t="shared" ref="A260:B260" si="664">A257</f>
        <v>HDPE</v>
      </c>
      <c r="B260" s="391" t="str">
        <f t="shared" si="664"/>
        <v>fiber</v>
      </c>
      <c r="C260" s="391">
        <f t="shared" si="630"/>
        <v>4</v>
      </c>
      <c r="D260" s="391" t="str">
        <f t="shared" ref="D260:E260" si="665">D257</f>
        <v>0,01-0,1</v>
      </c>
      <c r="E260" s="391">
        <f t="shared" si="665"/>
        <v>0.1</v>
      </c>
      <c r="F260" s="400" t="s">
        <v>1057</v>
      </c>
      <c r="G260" s="422" t="str">
        <f>CONCATENATE("DE: ",A260," ",B260," ",D260," mm (emission to ",F260,")")</f>
        <v>DE: HDPE fiber 0,01-0,1 mm (emission to air)</v>
      </c>
      <c r="H260" s="403">
        <v>0.94799999999999995</v>
      </c>
      <c r="I260" s="388" t="s">
        <v>1153</v>
      </c>
      <c r="J260" s="634">
        <v>0.22800000000000001</v>
      </c>
      <c r="K260" s="395">
        <v>11.703124999999968</v>
      </c>
      <c r="L260" s="536"/>
      <c r="M260" s="509">
        <f t="shared" si="510"/>
        <v>2.1361815754339175</v>
      </c>
      <c r="N260" s="645">
        <f t="shared" ref="N260" si="666">IFERROR(H260*M260+H261*M261+H262*M262+H263*M263+H264*M264,"N.A.")</f>
        <v>2.1361815754339175</v>
      </c>
      <c r="O260" s="625"/>
      <c r="P260" s="628">
        <f t="shared" si="516"/>
        <v>2.1361815754339175</v>
      </c>
      <c r="Q260" s="628">
        <f t="shared" si="601"/>
        <v>2.1361815754339175</v>
      </c>
    </row>
    <row r="261" spans="1:17" ht="15.75" hidden="1" thickBot="1">
      <c r="A261" s="390" t="str">
        <f t="shared" ref="A261:B261" si="667">A258</f>
        <v>HDPE</v>
      </c>
      <c r="B261" s="391" t="str">
        <f t="shared" si="667"/>
        <v>fiber</v>
      </c>
      <c r="C261" s="391">
        <f t="shared" si="630"/>
        <v>4</v>
      </c>
      <c r="D261" s="391" t="str">
        <f t="shared" ref="D261:E261" si="668">D258</f>
        <v>0,01-0,1</v>
      </c>
      <c r="E261" s="391">
        <f t="shared" si="668"/>
        <v>0.1</v>
      </c>
      <c r="F261" s="391" t="str">
        <f t="shared" ref="F261:G261" si="669">F260</f>
        <v>air</v>
      </c>
      <c r="G261" s="401" t="str">
        <f t="shared" si="669"/>
        <v>DE: HDPE fiber 0,01-0,1 mm (emission to air)</v>
      </c>
      <c r="H261" s="393">
        <v>5.1999999999999998E-2</v>
      </c>
      <c r="I261" s="394" t="s">
        <v>1097</v>
      </c>
      <c r="J261" s="635"/>
      <c r="K261" s="395">
        <v>11.703124999999968</v>
      </c>
      <c r="L261" s="537"/>
      <c r="M261" s="509">
        <f t="shared" si="510"/>
        <v>2.1361815754339175</v>
      </c>
      <c r="N261" s="646"/>
      <c r="O261" s="626"/>
      <c r="P261" s="629"/>
      <c r="Q261" s="629"/>
    </row>
    <row r="262" spans="1:17" ht="15.75" hidden="1" thickBot="1">
      <c r="A262" s="390" t="str">
        <f t="shared" ref="A262:B262" si="670">A259</f>
        <v>HDPE</v>
      </c>
      <c r="B262" s="391" t="str">
        <f t="shared" si="670"/>
        <v>fiber</v>
      </c>
      <c r="C262" s="391">
        <f t="shared" si="630"/>
        <v>4</v>
      </c>
      <c r="D262" s="391" t="str">
        <f t="shared" ref="D262:E262" si="671">D259</f>
        <v>0,01-0,1</v>
      </c>
      <c r="E262" s="391">
        <f t="shared" si="671"/>
        <v>0.1</v>
      </c>
      <c r="F262" s="391" t="str">
        <f t="shared" ref="F262:G262" si="672">F261</f>
        <v>air</v>
      </c>
      <c r="G262" s="401" t="str">
        <f t="shared" si="672"/>
        <v>DE: HDPE fiber 0,01-0,1 mm (emission to air)</v>
      </c>
      <c r="H262" s="393">
        <v>0</v>
      </c>
      <c r="I262" s="394" t="s">
        <v>1162</v>
      </c>
      <c r="J262" s="635"/>
      <c r="K262" s="395">
        <v>11.703124999999968</v>
      </c>
      <c r="L262" s="537"/>
      <c r="M262" s="509">
        <f t="shared" ref="M262:M325" si="673">IFERROR(IF(K262="--",0,IF(E262*1000/K262*(1-0.5)^(C262/2)&gt;1000,1000,E262*1000/K262*(1-0.5)^(C262/2))),1000)</f>
        <v>2.1361815754339175</v>
      </c>
      <c r="N262" s="646"/>
      <c r="O262" s="626"/>
      <c r="P262" s="629"/>
      <c r="Q262" s="629"/>
    </row>
    <row r="263" spans="1:17" ht="15.75" hidden="1" thickBot="1">
      <c r="A263" s="390" t="str">
        <f t="shared" ref="A263:B263" si="674">A260</f>
        <v>HDPE</v>
      </c>
      <c r="B263" s="391" t="str">
        <f t="shared" si="674"/>
        <v>fiber</v>
      </c>
      <c r="C263" s="391">
        <f t="shared" si="630"/>
        <v>4</v>
      </c>
      <c r="D263" s="391" t="str">
        <f t="shared" ref="D263:E263" si="675">D260</f>
        <v>0,01-0,1</v>
      </c>
      <c r="E263" s="391">
        <f t="shared" si="675"/>
        <v>0.1</v>
      </c>
      <c r="F263" s="391" t="str">
        <f t="shared" ref="F263:G263" si="676">F262</f>
        <v>air</v>
      </c>
      <c r="G263" s="401" t="str">
        <f t="shared" si="676"/>
        <v>DE: HDPE fiber 0,01-0,1 mm (emission to air)</v>
      </c>
      <c r="H263" s="393">
        <v>0</v>
      </c>
      <c r="I263" s="394" t="s">
        <v>1163</v>
      </c>
      <c r="J263" s="635"/>
      <c r="K263" s="395">
        <v>11.703124999999968</v>
      </c>
      <c r="L263" s="537"/>
      <c r="M263" s="509">
        <f t="shared" si="673"/>
        <v>2.1361815754339175</v>
      </c>
      <c r="N263" s="646"/>
      <c r="O263" s="626"/>
      <c r="P263" s="629"/>
      <c r="Q263" s="629"/>
    </row>
    <row r="264" spans="1:17" ht="15.75" hidden="1" thickBot="1">
      <c r="A264" s="404" t="str">
        <f t="shared" ref="A264:B264" si="677">A259</f>
        <v>HDPE</v>
      </c>
      <c r="B264" s="402" t="str">
        <f t="shared" si="677"/>
        <v>fiber</v>
      </c>
      <c r="C264" s="391">
        <f t="shared" si="630"/>
        <v>4</v>
      </c>
      <c r="D264" s="402" t="str">
        <f t="shared" ref="D264:E264" si="678">D259</f>
        <v>0,01-0,1</v>
      </c>
      <c r="E264" s="402">
        <f t="shared" si="678"/>
        <v>0.1</v>
      </c>
      <c r="F264" s="391" t="str">
        <f t="shared" ref="F264:G264" si="679">F263</f>
        <v>air</v>
      </c>
      <c r="G264" s="401" t="str">
        <f t="shared" si="679"/>
        <v>DE: HDPE fiber 0,01-0,1 mm (emission to air)</v>
      </c>
      <c r="H264" s="393">
        <v>0</v>
      </c>
      <c r="I264" s="394" t="s">
        <v>1034</v>
      </c>
      <c r="J264" s="636"/>
      <c r="K264" s="398" t="s">
        <v>596</v>
      </c>
      <c r="L264" s="538"/>
      <c r="M264" s="509">
        <f t="shared" si="673"/>
        <v>0</v>
      </c>
      <c r="N264" s="647"/>
      <c r="O264" s="627"/>
      <c r="P264" s="629"/>
      <c r="Q264" s="629"/>
    </row>
    <row r="265" spans="1:17" ht="15.75" hidden="1" thickBot="1">
      <c r="A265" s="405" t="s">
        <v>69</v>
      </c>
      <c r="B265" s="406" t="s">
        <v>1151</v>
      </c>
      <c r="C265" s="407">
        <v>4</v>
      </c>
      <c r="D265" s="423" t="s">
        <v>1028</v>
      </c>
      <c r="E265" s="408">
        <v>1</v>
      </c>
      <c r="F265" s="424" t="s">
        <v>1019</v>
      </c>
      <c r="G265" s="425" t="str">
        <f>CONCATENATE("DE: ",A265," ",B265," ",D265," mm (emission to ",F265,")")</f>
        <v>DE: HDPE fiber 0,1-1 mm (emission to soil)</v>
      </c>
      <c r="H265" s="426">
        <v>0.97</v>
      </c>
      <c r="I265" s="427" t="s">
        <v>1153</v>
      </c>
      <c r="J265" s="632">
        <v>0.22800000000000001</v>
      </c>
      <c r="K265" s="428">
        <v>11.703124999999968</v>
      </c>
      <c r="L265" s="539"/>
      <c r="M265" s="509">
        <f t="shared" si="673"/>
        <v>21.361815754339176</v>
      </c>
      <c r="N265" s="645">
        <f t="shared" ref="N265" si="680">IFERROR(H265*M265+H266*M266+H267*M267+H268*M268+H269*M269,"N.A.")</f>
        <v>21.361815754339176</v>
      </c>
      <c r="O265" s="625"/>
      <c r="P265" s="628">
        <f t="shared" ref="P265:P325" si="681">IFERROR(IF(H265*M265+H266*M266+H267*M267+H268*M268+H269*M269&gt;100,100,H265*M265+H266*M266+H267*M267+H268*M268+H269*M269),"N.A.")</f>
        <v>21.361815754339176</v>
      </c>
      <c r="Q265" s="628">
        <f t="shared" si="601"/>
        <v>21.361815754339176</v>
      </c>
    </row>
    <row r="266" spans="1:17" ht="15.75" hidden="1" thickBot="1">
      <c r="A266" s="390" t="str">
        <f>A265</f>
        <v>HDPE</v>
      </c>
      <c r="B266" s="391" t="str">
        <f>B265</f>
        <v>fiber</v>
      </c>
      <c r="C266" s="391">
        <f t="shared" si="482"/>
        <v>4</v>
      </c>
      <c r="D266" s="391" t="str">
        <f t="shared" ref="D266:G266" si="682">D265</f>
        <v>0,1-1</v>
      </c>
      <c r="E266" s="391">
        <f t="shared" si="682"/>
        <v>1</v>
      </c>
      <c r="F266" s="391" t="str">
        <f t="shared" si="682"/>
        <v>soil</v>
      </c>
      <c r="G266" s="392" t="str">
        <f t="shared" si="682"/>
        <v>DE: HDPE fiber 0,1-1 mm (emission to soil)</v>
      </c>
      <c r="H266" s="393">
        <v>0.03</v>
      </c>
      <c r="I266" s="394" t="s">
        <v>1097</v>
      </c>
      <c r="J266" s="632"/>
      <c r="K266" s="395">
        <v>11.703124999999968</v>
      </c>
      <c r="L266" s="537"/>
      <c r="M266" s="509">
        <f t="shared" si="673"/>
        <v>21.361815754339176</v>
      </c>
      <c r="N266" s="646"/>
      <c r="O266" s="626"/>
      <c r="P266" s="629"/>
      <c r="Q266" s="629"/>
    </row>
    <row r="267" spans="1:17" ht="15.75" hidden="1" thickBot="1">
      <c r="A267" s="390" t="str">
        <f t="shared" ref="A267:A268" si="683">A266</f>
        <v>HDPE</v>
      </c>
      <c r="B267" s="391" t="str">
        <f t="shared" ref="B267:B268" si="684">B266</f>
        <v>fiber</v>
      </c>
      <c r="C267" s="391">
        <f t="shared" si="482"/>
        <v>4</v>
      </c>
      <c r="D267" s="391" t="str">
        <f t="shared" ref="D267:G267" si="685">D266</f>
        <v>0,1-1</v>
      </c>
      <c r="E267" s="391">
        <f t="shared" si="685"/>
        <v>1</v>
      </c>
      <c r="F267" s="391" t="str">
        <f t="shared" si="685"/>
        <v>soil</v>
      </c>
      <c r="G267" s="392" t="str">
        <f t="shared" si="685"/>
        <v>DE: HDPE fiber 0,1-1 mm (emission to soil)</v>
      </c>
      <c r="H267" s="393">
        <v>0</v>
      </c>
      <c r="I267" s="394" t="s">
        <v>1162</v>
      </c>
      <c r="J267" s="632"/>
      <c r="K267" s="395">
        <v>11.703124999999968</v>
      </c>
      <c r="L267" s="537"/>
      <c r="M267" s="509">
        <f t="shared" si="673"/>
        <v>21.361815754339176</v>
      </c>
      <c r="N267" s="646"/>
      <c r="O267" s="626"/>
      <c r="P267" s="629"/>
      <c r="Q267" s="629"/>
    </row>
    <row r="268" spans="1:17" ht="15.75" hidden="1" thickBot="1">
      <c r="A268" s="390" t="str">
        <f t="shared" si="683"/>
        <v>HDPE</v>
      </c>
      <c r="B268" s="391" t="str">
        <f t="shared" si="684"/>
        <v>fiber</v>
      </c>
      <c r="C268" s="391">
        <f t="shared" si="482"/>
        <v>4</v>
      </c>
      <c r="D268" s="391" t="str">
        <f t="shared" ref="D268:G269" si="686">D267</f>
        <v>0,1-1</v>
      </c>
      <c r="E268" s="391">
        <f t="shared" si="686"/>
        <v>1</v>
      </c>
      <c r="F268" s="391" t="str">
        <f t="shared" si="686"/>
        <v>soil</v>
      </c>
      <c r="G268" s="392" t="str">
        <f t="shared" si="686"/>
        <v>DE: HDPE fiber 0,1-1 mm (emission to soil)</v>
      </c>
      <c r="H268" s="393">
        <v>0</v>
      </c>
      <c r="I268" s="394" t="s">
        <v>1163</v>
      </c>
      <c r="J268" s="632"/>
      <c r="K268" s="395">
        <v>11.703124999999968</v>
      </c>
      <c r="L268" s="537"/>
      <c r="M268" s="509">
        <f t="shared" si="673"/>
        <v>21.361815754339176</v>
      </c>
      <c r="N268" s="646"/>
      <c r="O268" s="626"/>
      <c r="P268" s="629"/>
      <c r="Q268" s="629"/>
    </row>
    <row r="269" spans="1:17" ht="15.75" hidden="1" thickBot="1">
      <c r="A269" s="390" t="str">
        <f>A266</f>
        <v>HDPE</v>
      </c>
      <c r="B269" s="391" t="str">
        <f>B266</f>
        <v>fiber</v>
      </c>
      <c r="C269" s="391">
        <f t="shared" si="482"/>
        <v>4</v>
      </c>
      <c r="D269" s="391" t="str">
        <f>D266</f>
        <v>0,1-1</v>
      </c>
      <c r="E269" s="391">
        <f>E266</f>
        <v>1</v>
      </c>
      <c r="F269" s="391" t="str">
        <f>F266</f>
        <v>soil</v>
      </c>
      <c r="G269" s="396" t="str">
        <f t="shared" si="686"/>
        <v>DE: HDPE fiber 0,1-1 mm (emission to soil)</v>
      </c>
      <c r="H269" s="393">
        <v>0</v>
      </c>
      <c r="I269" s="397" t="s">
        <v>1034</v>
      </c>
      <c r="J269" s="633"/>
      <c r="K269" s="398" t="s">
        <v>596</v>
      </c>
      <c r="L269" s="538"/>
      <c r="M269" s="509">
        <f t="shared" si="673"/>
        <v>0</v>
      </c>
      <c r="N269" s="647"/>
      <c r="O269" s="627"/>
      <c r="P269" s="629"/>
      <c r="Q269" s="629"/>
    </row>
    <row r="270" spans="1:17" ht="15.75" hidden="1" thickBot="1">
      <c r="A270" s="390" t="str">
        <f t="shared" ref="A270:B270" si="687">A267</f>
        <v>HDPE</v>
      </c>
      <c r="B270" s="391" t="str">
        <f t="shared" si="687"/>
        <v>fiber</v>
      </c>
      <c r="C270" s="391">
        <f t="shared" si="482"/>
        <v>4</v>
      </c>
      <c r="D270" s="399" t="str">
        <f t="shared" ref="D270:E270" si="688">D267</f>
        <v>0,1-1</v>
      </c>
      <c r="E270" s="391">
        <f t="shared" si="688"/>
        <v>1</v>
      </c>
      <c r="F270" s="400" t="s">
        <v>1147</v>
      </c>
      <c r="G270" s="386" t="str">
        <f>CONCATENATE("DE: ",A270," ",B270," ",D270," mm (emission to ",F270,")")</f>
        <v>DE: HDPE fiber 0,1-1 mm (emission to fresh water)</v>
      </c>
      <c r="H270" s="387">
        <v>0</v>
      </c>
      <c r="I270" s="388" t="s">
        <v>1153</v>
      </c>
      <c r="J270" s="634">
        <v>0.22800000000000001</v>
      </c>
      <c r="K270" s="389">
        <v>11.703124999999968</v>
      </c>
      <c r="L270" s="536"/>
      <c r="M270" s="509">
        <f t="shared" si="673"/>
        <v>21.361815754339176</v>
      </c>
      <c r="N270" s="645">
        <f t="shared" ref="N270" si="689">IFERROR(H270*M270+H271*M271+H272*M272+H273*M273+H274*M274,"N.A.")</f>
        <v>21.361815754339176</v>
      </c>
      <c r="O270" s="625"/>
      <c r="P270" s="628">
        <f t="shared" si="681"/>
        <v>21.361815754339176</v>
      </c>
      <c r="Q270" s="628">
        <f t="shared" si="601"/>
        <v>21.361815754339176</v>
      </c>
    </row>
    <row r="271" spans="1:17" ht="15.75" hidden="1" thickBot="1">
      <c r="A271" s="390" t="str">
        <f t="shared" ref="A271:B271" si="690">A268</f>
        <v>HDPE</v>
      </c>
      <c r="B271" s="391" t="str">
        <f t="shared" si="690"/>
        <v>fiber</v>
      </c>
      <c r="C271" s="391">
        <f t="shared" si="482"/>
        <v>4</v>
      </c>
      <c r="D271" s="391" t="str">
        <f t="shared" ref="D271:E271" si="691">D268</f>
        <v>0,1-1</v>
      </c>
      <c r="E271" s="391">
        <f t="shared" si="691"/>
        <v>1</v>
      </c>
      <c r="F271" s="391" t="str">
        <f t="shared" ref="F271:G271" si="692">F270</f>
        <v>fresh water</v>
      </c>
      <c r="G271" s="401" t="str">
        <f t="shared" si="692"/>
        <v>DE: HDPE fiber 0,1-1 mm (emission to fresh water)</v>
      </c>
      <c r="H271" s="393">
        <v>1</v>
      </c>
      <c r="I271" s="394" t="s">
        <v>1097</v>
      </c>
      <c r="J271" s="635"/>
      <c r="K271" s="395">
        <v>11.703124999999968</v>
      </c>
      <c r="L271" s="537"/>
      <c r="M271" s="509">
        <f t="shared" si="673"/>
        <v>21.361815754339176</v>
      </c>
      <c r="N271" s="646"/>
      <c r="O271" s="626"/>
      <c r="P271" s="629"/>
      <c r="Q271" s="629"/>
    </row>
    <row r="272" spans="1:17" ht="15.75" hidden="1" thickBot="1">
      <c r="A272" s="390" t="str">
        <f t="shared" ref="A272:B272" si="693">A269</f>
        <v>HDPE</v>
      </c>
      <c r="B272" s="391" t="str">
        <f t="shared" si="693"/>
        <v>fiber</v>
      </c>
      <c r="C272" s="391">
        <f t="shared" si="482"/>
        <v>4</v>
      </c>
      <c r="D272" s="391" t="str">
        <f t="shared" ref="D272:E272" si="694">D269</f>
        <v>0,1-1</v>
      </c>
      <c r="E272" s="391">
        <f t="shared" si="694"/>
        <v>1</v>
      </c>
      <c r="F272" s="391" t="str">
        <f t="shared" ref="F272:G272" si="695">F271</f>
        <v>fresh water</v>
      </c>
      <c r="G272" s="401" t="str">
        <f t="shared" si="695"/>
        <v>DE: HDPE fiber 0,1-1 mm (emission to fresh water)</v>
      </c>
      <c r="H272" s="393">
        <v>0</v>
      </c>
      <c r="I272" s="394" t="s">
        <v>1162</v>
      </c>
      <c r="J272" s="635"/>
      <c r="K272" s="395">
        <v>11.703124999999968</v>
      </c>
      <c r="L272" s="537"/>
      <c r="M272" s="509">
        <f t="shared" si="673"/>
        <v>21.361815754339176</v>
      </c>
      <c r="N272" s="646"/>
      <c r="O272" s="626"/>
      <c r="P272" s="629"/>
      <c r="Q272" s="629"/>
    </row>
    <row r="273" spans="1:17" ht="15.75" hidden="1" thickBot="1">
      <c r="A273" s="390" t="str">
        <f t="shared" ref="A273:B273" si="696">A270</f>
        <v>HDPE</v>
      </c>
      <c r="B273" s="391" t="str">
        <f t="shared" si="696"/>
        <v>fiber</v>
      </c>
      <c r="C273" s="391">
        <f t="shared" si="482"/>
        <v>4</v>
      </c>
      <c r="D273" s="391" t="str">
        <f t="shared" ref="D273:E273" si="697">D270</f>
        <v>0,1-1</v>
      </c>
      <c r="E273" s="391">
        <f t="shared" si="697"/>
        <v>1</v>
      </c>
      <c r="F273" s="391" t="str">
        <f t="shared" ref="F273:G274" si="698">F272</f>
        <v>fresh water</v>
      </c>
      <c r="G273" s="401" t="str">
        <f t="shared" si="698"/>
        <v>DE: HDPE fiber 0,1-1 mm (emission to fresh water)</v>
      </c>
      <c r="H273" s="393">
        <v>0</v>
      </c>
      <c r="I273" s="394" t="s">
        <v>1163</v>
      </c>
      <c r="J273" s="635"/>
      <c r="K273" s="395">
        <v>11.703124999999968</v>
      </c>
      <c r="L273" s="537"/>
      <c r="M273" s="509">
        <f t="shared" si="673"/>
        <v>21.361815754339176</v>
      </c>
      <c r="N273" s="646"/>
      <c r="O273" s="626"/>
      <c r="P273" s="629"/>
      <c r="Q273" s="629"/>
    </row>
    <row r="274" spans="1:17" ht="15.75" hidden="1" thickBot="1">
      <c r="A274" s="390" t="str">
        <f t="shared" ref="A274:B274" si="699">A271</f>
        <v>HDPE</v>
      </c>
      <c r="B274" s="391" t="str">
        <f t="shared" si="699"/>
        <v>fiber</v>
      </c>
      <c r="C274" s="391">
        <f t="shared" si="482"/>
        <v>4</v>
      </c>
      <c r="D274" s="391" t="str">
        <f t="shared" ref="D274:E274" si="700">D271</f>
        <v>0,1-1</v>
      </c>
      <c r="E274" s="391">
        <f t="shared" si="700"/>
        <v>1</v>
      </c>
      <c r="F274" s="402" t="str">
        <f>F271</f>
        <v>fresh water</v>
      </c>
      <c r="G274" s="401" t="str">
        <f t="shared" si="698"/>
        <v>DE: HDPE fiber 0,1-1 mm (emission to fresh water)</v>
      </c>
      <c r="H274" s="393">
        <v>0</v>
      </c>
      <c r="I274" s="394" t="s">
        <v>1034</v>
      </c>
      <c r="J274" s="654"/>
      <c r="K274" s="398" t="s">
        <v>596</v>
      </c>
      <c r="L274" s="538"/>
      <c r="M274" s="509">
        <f t="shared" si="673"/>
        <v>0</v>
      </c>
      <c r="N274" s="647"/>
      <c r="O274" s="627"/>
      <c r="P274" s="629"/>
      <c r="Q274" s="629"/>
    </row>
    <row r="275" spans="1:17" ht="15.75" hidden="1" thickBot="1">
      <c r="A275" s="390" t="str">
        <f t="shared" ref="A275:B275" si="701">A272</f>
        <v>HDPE</v>
      </c>
      <c r="B275" s="391" t="str">
        <f t="shared" si="701"/>
        <v>fiber</v>
      </c>
      <c r="C275" s="391">
        <f t="shared" si="482"/>
        <v>4</v>
      </c>
      <c r="D275" s="391" t="str">
        <f t="shared" ref="D275:E275" si="702">D272</f>
        <v>0,1-1</v>
      </c>
      <c r="E275" s="391">
        <f t="shared" si="702"/>
        <v>1</v>
      </c>
      <c r="F275" s="385" t="s">
        <v>1097</v>
      </c>
      <c r="G275" s="422" t="str">
        <f>CONCATENATE("DE: ",A275," ",B275," ",D275," mm (emission to ",F275,")")</f>
        <v>DE: HDPE fiber 0,1-1 mm (emission to marine water)</v>
      </c>
      <c r="H275" s="387">
        <v>0</v>
      </c>
      <c r="I275" s="388" t="s">
        <v>1153</v>
      </c>
      <c r="J275" s="634">
        <v>0.22800000000000001</v>
      </c>
      <c r="K275" s="395">
        <v>11.703124999999968</v>
      </c>
      <c r="L275" s="536"/>
      <c r="M275" s="509">
        <f t="shared" si="673"/>
        <v>21.361815754339176</v>
      </c>
      <c r="N275" s="645">
        <f t="shared" ref="N275" si="703">IFERROR(H275*M275+H276*M276+H277*M277+H278*M278+H279*M279,"N.A.")</f>
        <v>21.361815754339176</v>
      </c>
      <c r="O275" s="625"/>
      <c r="P275" s="628">
        <f t="shared" si="681"/>
        <v>21.361815754339176</v>
      </c>
      <c r="Q275" s="628">
        <f t="shared" si="601"/>
        <v>21.361815754339176</v>
      </c>
    </row>
    <row r="276" spans="1:17" ht="15.75" hidden="1" thickBot="1">
      <c r="A276" s="390" t="str">
        <f t="shared" ref="A276:B276" si="704">A273</f>
        <v>HDPE</v>
      </c>
      <c r="B276" s="391" t="str">
        <f t="shared" si="704"/>
        <v>fiber</v>
      </c>
      <c r="C276" s="391">
        <f t="shared" si="482"/>
        <v>4</v>
      </c>
      <c r="D276" s="391" t="str">
        <f t="shared" ref="D276:E276" si="705">D273</f>
        <v>0,1-1</v>
      </c>
      <c r="E276" s="391">
        <f t="shared" si="705"/>
        <v>1</v>
      </c>
      <c r="F276" s="391" t="str">
        <f t="shared" ref="F276:G276" si="706">F275</f>
        <v>marine water</v>
      </c>
      <c r="G276" s="401" t="str">
        <f t="shared" si="706"/>
        <v>DE: HDPE fiber 0,1-1 mm (emission to marine water)</v>
      </c>
      <c r="H276" s="393">
        <v>1</v>
      </c>
      <c r="I276" s="394" t="s">
        <v>1097</v>
      </c>
      <c r="J276" s="635"/>
      <c r="K276" s="395">
        <v>11.703124999999968</v>
      </c>
      <c r="L276" s="537"/>
      <c r="M276" s="509">
        <f t="shared" si="673"/>
        <v>21.361815754339176</v>
      </c>
      <c r="N276" s="646"/>
      <c r="O276" s="626"/>
      <c r="P276" s="629"/>
      <c r="Q276" s="629"/>
    </row>
    <row r="277" spans="1:17" ht="15.75" hidden="1" thickBot="1">
      <c r="A277" s="390" t="str">
        <f t="shared" ref="A277:B277" si="707">A274</f>
        <v>HDPE</v>
      </c>
      <c r="B277" s="391" t="str">
        <f t="shared" si="707"/>
        <v>fiber</v>
      </c>
      <c r="C277" s="391">
        <f t="shared" si="482"/>
        <v>4</v>
      </c>
      <c r="D277" s="391" t="str">
        <f t="shared" ref="D277:E277" si="708">D274</f>
        <v>0,1-1</v>
      </c>
      <c r="E277" s="391">
        <f t="shared" si="708"/>
        <v>1</v>
      </c>
      <c r="F277" s="391" t="str">
        <f t="shared" ref="F277:G277" si="709">F276</f>
        <v>marine water</v>
      </c>
      <c r="G277" s="401" t="str">
        <f t="shared" si="709"/>
        <v>DE: HDPE fiber 0,1-1 mm (emission to marine water)</v>
      </c>
      <c r="H277" s="393">
        <v>0</v>
      </c>
      <c r="I277" s="394" t="s">
        <v>1162</v>
      </c>
      <c r="J277" s="635"/>
      <c r="K277" s="395">
        <v>11.703124999999968</v>
      </c>
      <c r="L277" s="537"/>
      <c r="M277" s="509">
        <f t="shared" si="673"/>
        <v>21.361815754339176</v>
      </c>
      <c r="N277" s="646"/>
      <c r="O277" s="626"/>
      <c r="P277" s="629"/>
      <c r="Q277" s="629"/>
    </row>
    <row r="278" spans="1:17" ht="15.75" hidden="1" thickBot="1">
      <c r="A278" s="390" t="str">
        <f t="shared" ref="A278:B278" si="710">A275</f>
        <v>HDPE</v>
      </c>
      <c r="B278" s="391" t="str">
        <f t="shared" si="710"/>
        <v>fiber</v>
      </c>
      <c r="C278" s="391">
        <f t="shared" si="482"/>
        <v>4</v>
      </c>
      <c r="D278" s="391" t="str">
        <f t="shared" ref="D278:E278" si="711">D275</f>
        <v>0,1-1</v>
      </c>
      <c r="E278" s="391">
        <f t="shared" si="711"/>
        <v>1</v>
      </c>
      <c r="F278" s="391" t="str">
        <f t="shared" ref="F278:G278" si="712">F277</f>
        <v>marine water</v>
      </c>
      <c r="G278" s="401" t="str">
        <f t="shared" si="712"/>
        <v>DE: HDPE fiber 0,1-1 mm (emission to marine water)</v>
      </c>
      <c r="H278" s="393">
        <v>0</v>
      </c>
      <c r="I278" s="394" t="s">
        <v>1163</v>
      </c>
      <c r="J278" s="635"/>
      <c r="K278" s="395">
        <v>11.703124999999968</v>
      </c>
      <c r="L278" s="537"/>
      <c r="M278" s="509">
        <f t="shared" si="673"/>
        <v>21.361815754339176</v>
      </c>
      <c r="N278" s="646"/>
      <c r="O278" s="626"/>
      <c r="P278" s="629"/>
      <c r="Q278" s="629"/>
    </row>
    <row r="279" spans="1:17" ht="15.75" hidden="1" thickBot="1">
      <c r="A279" s="390" t="str">
        <f t="shared" ref="A279:B279" si="713">A276</f>
        <v>HDPE</v>
      </c>
      <c r="B279" s="391" t="str">
        <f t="shared" si="713"/>
        <v>fiber</v>
      </c>
      <c r="C279" s="391">
        <f t="shared" si="482"/>
        <v>4</v>
      </c>
      <c r="D279" s="391" t="str">
        <f t="shared" ref="D279:E279" si="714">D276</f>
        <v>0,1-1</v>
      </c>
      <c r="E279" s="391">
        <f t="shared" si="714"/>
        <v>1</v>
      </c>
      <c r="F279" s="391" t="str">
        <f t="shared" ref="F279:G279" si="715">F278</f>
        <v>marine water</v>
      </c>
      <c r="G279" s="401" t="str">
        <f t="shared" si="715"/>
        <v>DE: HDPE fiber 0,1-1 mm (emission to marine water)</v>
      </c>
      <c r="H279" s="393">
        <v>0</v>
      </c>
      <c r="I279" s="394" t="s">
        <v>1034</v>
      </c>
      <c r="J279" s="654"/>
      <c r="K279" s="398" t="s">
        <v>596</v>
      </c>
      <c r="L279" s="538"/>
      <c r="M279" s="509">
        <f t="shared" si="673"/>
        <v>0</v>
      </c>
      <c r="N279" s="647"/>
      <c r="O279" s="627"/>
      <c r="P279" s="629"/>
      <c r="Q279" s="629"/>
    </row>
    <row r="280" spans="1:17" ht="15.75" hidden="1" thickBot="1">
      <c r="A280" s="390" t="str">
        <f t="shared" ref="A280:B280" si="716">A277</f>
        <v>HDPE</v>
      </c>
      <c r="B280" s="391" t="str">
        <f t="shared" si="716"/>
        <v>fiber</v>
      </c>
      <c r="C280" s="391">
        <f t="shared" si="482"/>
        <v>4</v>
      </c>
      <c r="D280" s="391" t="str">
        <f t="shared" ref="D280:E280" si="717">D277</f>
        <v>0,1-1</v>
      </c>
      <c r="E280" s="391">
        <f t="shared" si="717"/>
        <v>1</v>
      </c>
      <c r="F280" s="400" t="s">
        <v>1057</v>
      </c>
      <c r="G280" s="422" t="str">
        <f>CONCATENATE("DE: ",A280," ",B280," ",D280," mm (emission to ",F280,")")</f>
        <v>DE: HDPE fiber 0,1-1 mm (emission to air)</v>
      </c>
      <c r="H280" s="403">
        <v>0.94799999999999995</v>
      </c>
      <c r="I280" s="388" t="s">
        <v>1153</v>
      </c>
      <c r="J280" s="634">
        <v>0.22800000000000001</v>
      </c>
      <c r="K280" s="395">
        <v>11.703124999999968</v>
      </c>
      <c r="L280" s="536"/>
      <c r="M280" s="509">
        <f t="shared" si="673"/>
        <v>21.361815754339176</v>
      </c>
      <c r="N280" s="645">
        <f t="shared" ref="N280" si="718">IFERROR(H280*M280+H281*M281+H282*M282+H283*M283+H284*M284,"N.A.")</f>
        <v>21.361815754339176</v>
      </c>
      <c r="O280" s="625"/>
      <c r="P280" s="628">
        <f t="shared" si="681"/>
        <v>21.361815754339176</v>
      </c>
      <c r="Q280" s="628">
        <f t="shared" si="601"/>
        <v>21.361815754339176</v>
      </c>
    </row>
    <row r="281" spans="1:17" ht="15.75" hidden="1" thickBot="1">
      <c r="A281" s="390" t="str">
        <f t="shared" ref="A281:B281" si="719">A278</f>
        <v>HDPE</v>
      </c>
      <c r="B281" s="391" t="str">
        <f t="shared" si="719"/>
        <v>fiber</v>
      </c>
      <c r="C281" s="391">
        <f t="shared" si="482"/>
        <v>4</v>
      </c>
      <c r="D281" s="391" t="str">
        <f t="shared" ref="D281:E281" si="720">D278</f>
        <v>0,1-1</v>
      </c>
      <c r="E281" s="391">
        <f t="shared" si="720"/>
        <v>1</v>
      </c>
      <c r="F281" s="391" t="str">
        <f t="shared" ref="F281:G281" si="721">F280</f>
        <v>air</v>
      </c>
      <c r="G281" s="401" t="str">
        <f t="shared" si="721"/>
        <v>DE: HDPE fiber 0,1-1 mm (emission to air)</v>
      </c>
      <c r="H281" s="393">
        <v>5.1999999999999998E-2</v>
      </c>
      <c r="I281" s="394" t="s">
        <v>1097</v>
      </c>
      <c r="J281" s="635"/>
      <c r="K281" s="395">
        <v>11.703124999999968</v>
      </c>
      <c r="L281" s="537"/>
      <c r="M281" s="509">
        <f t="shared" si="673"/>
        <v>21.361815754339176</v>
      </c>
      <c r="N281" s="646"/>
      <c r="O281" s="626"/>
      <c r="P281" s="629"/>
      <c r="Q281" s="629"/>
    </row>
    <row r="282" spans="1:17" ht="15.75" hidden="1" thickBot="1">
      <c r="A282" s="390" t="str">
        <f t="shared" ref="A282:B282" si="722">A279</f>
        <v>HDPE</v>
      </c>
      <c r="B282" s="391" t="str">
        <f t="shared" si="722"/>
        <v>fiber</v>
      </c>
      <c r="C282" s="391">
        <f t="shared" si="482"/>
        <v>4</v>
      </c>
      <c r="D282" s="391" t="str">
        <f t="shared" ref="D282:E282" si="723">D279</f>
        <v>0,1-1</v>
      </c>
      <c r="E282" s="391">
        <f t="shared" si="723"/>
        <v>1</v>
      </c>
      <c r="F282" s="391" t="str">
        <f t="shared" ref="F282:G282" si="724">F281</f>
        <v>air</v>
      </c>
      <c r="G282" s="401" t="str">
        <f t="shared" si="724"/>
        <v>DE: HDPE fiber 0,1-1 mm (emission to air)</v>
      </c>
      <c r="H282" s="393">
        <v>0</v>
      </c>
      <c r="I282" s="394" t="s">
        <v>1162</v>
      </c>
      <c r="J282" s="635"/>
      <c r="K282" s="395">
        <v>11.703124999999968</v>
      </c>
      <c r="L282" s="537"/>
      <c r="M282" s="509">
        <f t="shared" si="673"/>
        <v>21.361815754339176</v>
      </c>
      <c r="N282" s="646"/>
      <c r="O282" s="626"/>
      <c r="P282" s="629"/>
      <c r="Q282" s="629"/>
    </row>
    <row r="283" spans="1:17" ht="15.75" hidden="1" thickBot="1">
      <c r="A283" s="390" t="str">
        <f t="shared" ref="A283:B283" si="725">A280</f>
        <v>HDPE</v>
      </c>
      <c r="B283" s="391" t="str">
        <f t="shared" si="725"/>
        <v>fiber</v>
      </c>
      <c r="C283" s="391">
        <f t="shared" si="482"/>
        <v>4</v>
      </c>
      <c r="D283" s="391" t="str">
        <f t="shared" ref="D283:E283" si="726">D280</f>
        <v>0,1-1</v>
      </c>
      <c r="E283" s="391">
        <f t="shared" si="726"/>
        <v>1</v>
      </c>
      <c r="F283" s="391" t="str">
        <f t="shared" ref="F283:G283" si="727">F282</f>
        <v>air</v>
      </c>
      <c r="G283" s="401" t="str">
        <f t="shared" si="727"/>
        <v>DE: HDPE fiber 0,1-1 mm (emission to air)</v>
      </c>
      <c r="H283" s="393">
        <v>0</v>
      </c>
      <c r="I283" s="394" t="s">
        <v>1163</v>
      </c>
      <c r="J283" s="635"/>
      <c r="K283" s="395">
        <v>11.703124999999968</v>
      </c>
      <c r="L283" s="537"/>
      <c r="M283" s="509">
        <f t="shared" si="673"/>
        <v>21.361815754339176</v>
      </c>
      <c r="N283" s="646"/>
      <c r="O283" s="626"/>
      <c r="P283" s="629"/>
      <c r="Q283" s="629"/>
    </row>
    <row r="284" spans="1:17" ht="15.75" hidden="1" thickBot="1">
      <c r="A284" s="404" t="str">
        <f t="shared" ref="A284:B284" si="728">A279</f>
        <v>HDPE</v>
      </c>
      <c r="B284" s="402" t="str">
        <f t="shared" si="728"/>
        <v>fiber</v>
      </c>
      <c r="C284" s="391">
        <f t="shared" si="482"/>
        <v>4</v>
      </c>
      <c r="D284" s="402" t="str">
        <f t="shared" ref="D284:E284" si="729">D279</f>
        <v>0,1-1</v>
      </c>
      <c r="E284" s="402">
        <f t="shared" si="729"/>
        <v>1</v>
      </c>
      <c r="F284" s="391" t="str">
        <f t="shared" ref="F284:G284" si="730">F283</f>
        <v>air</v>
      </c>
      <c r="G284" s="401" t="str">
        <f t="shared" si="730"/>
        <v>DE: HDPE fiber 0,1-1 mm (emission to air)</v>
      </c>
      <c r="H284" s="393">
        <v>0</v>
      </c>
      <c r="I284" s="394" t="s">
        <v>1034</v>
      </c>
      <c r="J284" s="636"/>
      <c r="K284" s="398" t="s">
        <v>596</v>
      </c>
      <c r="L284" s="538"/>
      <c r="M284" s="509">
        <f t="shared" si="673"/>
        <v>0</v>
      </c>
      <c r="N284" s="647"/>
      <c r="O284" s="627"/>
      <c r="P284" s="629"/>
      <c r="Q284" s="629"/>
    </row>
    <row r="285" spans="1:17" ht="15.75" hidden="1" thickBot="1">
      <c r="A285" s="405" t="s">
        <v>69</v>
      </c>
      <c r="B285" s="406" t="s">
        <v>1151</v>
      </c>
      <c r="C285" s="407">
        <v>4</v>
      </c>
      <c r="D285" s="423" t="s">
        <v>1026</v>
      </c>
      <c r="E285" s="408">
        <v>10</v>
      </c>
      <c r="F285" s="424" t="s">
        <v>1019</v>
      </c>
      <c r="G285" s="425" t="str">
        <f>CONCATENATE("DE: ",A285," ",B285," ",D285," mm (emission to ",F285,")")</f>
        <v>DE: HDPE fiber 1-10 mm (emission to soil)</v>
      </c>
      <c r="H285" s="426">
        <v>0.97</v>
      </c>
      <c r="I285" s="427" t="s">
        <v>1153</v>
      </c>
      <c r="J285" s="632">
        <v>0.22800000000000001</v>
      </c>
      <c r="K285" s="428">
        <v>11.703124999999968</v>
      </c>
      <c r="L285" s="539"/>
      <c r="M285" s="509">
        <f t="shared" si="673"/>
        <v>213.61815754339176</v>
      </c>
      <c r="N285" s="645">
        <f t="shared" ref="N285" si="731">IFERROR(H285*M285+H286*M286+H287*M287+H288*M288+H289*M289,"N.A.")</f>
        <v>213.61815754339176</v>
      </c>
      <c r="O285" s="625"/>
      <c r="P285" s="628">
        <f t="shared" si="681"/>
        <v>100</v>
      </c>
      <c r="Q285" s="628">
        <f t="shared" si="601"/>
        <v>213.61815754339176</v>
      </c>
    </row>
    <row r="286" spans="1:17" ht="15.75" hidden="1" thickBot="1">
      <c r="A286" s="390" t="str">
        <f>A285</f>
        <v>HDPE</v>
      </c>
      <c r="B286" s="391" t="str">
        <f>B285</f>
        <v>fiber</v>
      </c>
      <c r="C286" s="391">
        <f t="shared" si="482"/>
        <v>4</v>
      </c>
      <c r="D286" s="391" t="str">
        <f t="shared" ref="D286:G286" si="732">D285</f>
        <v>1-10</v>
      </c>
      <c r="E286" s="391">
        <f t="shared" si="732"/>
        <v>10</v>
      </c>
      <c r="F286" s="391" t="str">
        <f t="shared" si="732"/>
        <v>soil</v>
      </c>
      <c r="G286" s="392" t="str">
        <f t="shared" si="732"/>
        <v>DE: HDPE fiber 1-10 mm (emission to soil)</v>
      </c>
      <c r="H286" s="393">
        <v>0.03</v>
      </c>
      <c r="I286" s="394" t="s">
        <v>1097</v>
      </c>
      <c r="J286" s="632"/>
      <c r="K286" s="395">
        <v>11.703124999999968</v>
      </c>
      <c r="L286" s="537"/>
      <c r="M286" s="509">
        <f t="shared" si="673"/>
        <v>213.61815754339176</v>
      </c>
      <c r="N286" s="646"/>
      <c r="O286" s="626"/>
      <c r="P286" s="629"/>
      <c r="Q286" s="629"/>
    </row>
    <row r="287" spans="1:17" ht="15.75" hidden="1" thickBot="1">
      <c r="A287" s="390" t="str">
        <f t="shared" ref="A287:A288" si="733">A286</f>
        <v>HDPE</v>
      </c>
      <c r="B287" s="391" t="str">
        <f t="shared" ref="B287:B288" si="734">B286</f>
        <v>fiber</v>
      </c>
      <c r="C287" s="391">
        <f t="shared" si="482"/>
        <v>4</v>
      </c>
      <c r="D287" s="391" t="str">
        <f t="shared" ref="D287:G287" si="735">D286</f>
        <v>1-10</v>
      </c>
      <c r="E287" s="391">
        <f t="shared" si="735"/>
        <v>10</v>
      </c>
      <c r="F287" s="391" t="str">
        <f t="shared" si="735"/>
        <v>soil</v>
      </c>
      <c r="G287" s="392" t="str">
        <f t="shared" si="735"/>
        <v>DE: HDPE fiber 1-10 mm (emission to soil)</v>
      </c>
      <c r="H287" s="393">
        <v>0</v>
      </c>
      <c r="I287" s="394" t="s">
        <v>1162</v>
      </c>
      <c r="J287" s="632"/>
      <c r="K287" s="395">
        <v>11.703124999999968</v>
      </c>
      <c r="L287" s="537"/>
      <c r="M287" s="509">
        <f t="shared" si="673"/>
        <v>213.61815754339176</v>
      </c>
      <c r="N287" s="646"/>
      <c r="O287" s="626"/>
      <c r="P287" s="629"/>
      <c r="Q287" s="629"/>
    </row>
    <row r="288" spans="1:17" ht="15.75" hidden="1" thickBot="1">
      <c r="A288" s="390" t="str">
        <f t="shared" si="733"/>
        <v>HDPE</v>
      </c>
      <c r="B288" s="391" t="str">
        <f t="shared" si="734"/>
        <v>fiber</v>
      </c>
      <c r="C288" s="391">
        <f t="shared" si="482"/>
        <v>4</v>
      </c>
      <c r="D288" s="391" t="str">
        <f t="shared" ref="D288:G289" si="736">D287</f>
        <v>1-10</v>
      </c>
      <c r="E288" s="391">
        <f t="shared" si="736"/>
        <v>10</v>
      </c>
      <c r="F288" s="391" t="str">
        <f t="shared" si="736"/>
        <v>soil</v>
      </c>
      <c r="G288" s="392" t="str">
        <f t="shared" si="736"/>
        <v>DE: HDPE fiber 1-10 mm (emission to soil)</v>
      </c>
      <c r="H288" s="393">
        <v>0</v>
      </c>
      <c r="I288" s="394" t="s">
        <v>1163</v>
      </c>
      <c r="J288" s="632"/>
      <c r="K288" s="395">
        <v>11.703124999999968</v>
      </c>
      <c r="L288" s="537"/>
      <c r="M288" s="509">
        <f t="shared" si="673"/>
        <v>213.61815754339176</v>
      </c>
      <c r="N288" s="646"/>
      <c r="O288" s="626"/>
      <c r="P288" s="629"/>
      <c r="Q288" s="629"/>
    </row>
    <row r="289" spans="1:17" ht="15.75" hidden="1" thickBot="1">
      <c r="A289" s="390" t="str">
        <f>A286</f>
        <v>HDPE</v>
      </c>
      <c r="B289" s="391" t="str">
        <f>B286</f>
        <v>fiber</v>
      </c>
      <c r="C289" s="391">
        <f t="shared" si="482"/>
        <v>4</v>
      </c>
      <c r="D289" s="391" t="str">
        <f>D286</f>
        <v>1-10</v>
      </c>
      <c r="E289" s="391">
        <f>E286</f>
        <v>10</v>
      </c>
      <c r="F289" s="391" t="str">
        <f>F286</f>
        <v>soil</v>
      </c>
      <c r="G289" s="396" t="str">
        <f t="shared" si="736"/>
        <v>DE: HDPE fiber 1-10 mm (emission to soil)</v>
      </c>
      <c r="H289" s="393">
        <v>0</v>
      </c>
      <c r="I289" s="397" t="s">
        <v>1034</v>
      </c>
      <c r="J289" s="633"/>
      <c r="K289" s="398" t="s">
        <v>596</v>
      </c>
      <c r="L289" s="538"/>
      <c r="M289" s="509">
        <f t="shared" si="673"/>
        <v>0</v>
      </c>
      <c r="N289" s="647"/>
      <c r="O289" s="627"/>
      <c r="P289" s="629"/>
      <c r="Q289" s="629"/>
    </row>
    <row r="290" spans="1:17" ht="15.75" hidden="1" thickBot="1">
      <c r="A290" s="390" t="str">
        <f t="shared" ref="A290:B290" si="737">A287</f>
        <v>HDPE</v>
      </c>
      <c r="B290" s="391" t="str">
        <f t="shared" si="737"/>
        <v>fiber</v>
      </c>
      <c r="C290" s="391">
        <f t="shared" si="482"/>
        <v>4</v>
      </c>
      <c r="D290" s="399" t="str">
        <f t="shared" ref="D290:E290" si="738">D287</f>
        <v>1-10</v>
      </c>
      <c r="E290" s="391">
        <f t="shared" si="738"/>
        <v>10</v>
      </c>
      <c r="F290" s="400" t="s">
        <v>1147</v>
      </c>
      <c r="G290" s="386" t="str">
        <f>CONCATENATE("DE: ",A290," ",B290," ",D290," mm (emission to ",F290,")")</f>
        <v>DE: HDPE fiber 1-10 mm (emission to fresh water)</v>
      </c>
      <c r="H290" s="387">
        <v>0</v>
      </c>
      <c r="I290" s="388" t="s">
        <v>1153</v>
      </c>
      <c r="J290" s="634">
        <v>0.22800000000000001</v>
      </c>
      <c r="K290" s="389">
        <v>11.703124999999968</v>
      </c>
      <c r="L290" s="536"/>
      <c r="M290" s="509">
        <f t="shared" si="673"/>
        <v>213.61815754339176</v>
      </c>
      <c r="N290" s="645">
        <f t="shared" ref="N290" si="739">IFERROR(H290*M290+H291*M291+H292*M292+H293*M293+H294*M294,"N.A.")</f>
        <v>213.61815754339176</v>
      </c>
      <c r="O290" s="625"/>
      <c r="P290" s="628">
        <f t="shared" si="681"/>
        <v>100</v>
      </c>
      <c r="Q290" s="628">
        <f t="shared" si="601"/>
        <v>213.61815754339176</v>
      </c>
    </row>
    <row r="291" spans="1:17" ht="15.75" hidden="1" thickBot="1">
      <c r="A291" s="390" t="str">
        <f t="shared" ref="A291:B291" si="740">A288</f>
        <v>HDPE</v>
      </c>
      <c r="B291" s="391" t="str">
        <f t="shared" si="740"/>
        <v>fiber</v>
      </c>
      <c r="C291" s="391">
        <f t="shared" ref="C291:C304" si="741">C290</f>
        <v>4</v>
      </c>
      <c r="D291" s="391" t="str">
        <f t="shared" ref="D291:E291" si="742">D288</f>
        <v>1-10</v>
      </c>
      <c r="E291" s="391">
        <f t="shared" si="742"/>
        <v>10</v>
      </c>
      <c r="F291" s="391" t="str">
        <f t="shared" ref="F291:G291" si="743">F290</f>
        <v>fresh water</v>
      </c>
      <c r="G291" s="401" t="str">
        <f t="shared" si="743"/>
        <v>DE: HDPE fiber 1-10 mm (emission to fresh water)</v>
      </c>
      <c r="H291" s="393">
        <v>1</v>
      </c>
      <c r="I291" s="394" t="s">
        <v>1097</v>
      </c>
      <c r="J291" s="635"/>
      <c r="K291" s="395">
        <v>11.703124999999968</v>
      </c>
      <c r="L291" s="537"/>
      <c r="M291" s="509">
        <f t="shared" si="673"/>
        <v>213.61815754339176</v>
      </c>
      <c r="N291" s="646"/>
      <c r="O291" s="626"/>
      <c r="P291" s="629"/>
      <c r="Q291" s="629"/>
    </row>
    <row r="292" spans="1:17" ht="15.75" hidden="1" thickBot="1">
      <c r="A292" s="390" t="str">
        <f t="shared" ref="A292:B292" si="744">A289</f>
        <v>HDPE</v>
      </c>
      <c r="B292" s="391" t="str">
        <f t="shared" si="744"/>
        <v>fiber</v>
      </c>
      <c r="C292" s="391">
        <f t="shared" si="741"/>
        <v>4</v>
      </c>
      <c r="D292" s="391" t="str">
        <f t="shared" ref="D292:E292" si="745">D289</f>
        <v>1-10</v>
      </c>
      <c r="E292" s="391">
        <f t="shared" si="745"/>
        <v>10</v>
      </c>
      <c r="F292" s="391" t="str">
        <f t="shared" ref="F292:G292" si="746">F291</f>
        <v>fresh water</v>
      </c>
      <c r="G292" s="401" t="str">
        <f t="shared" si="746"/>
        <v>DE: HDPE fiber 1-10 mm (emission to fresh water)</v>
      </c>
      <c r="H292" s="393">
        <v>0</v>
      </c>
      <c r="I292" s="394" t="s">
        <v>1162</v>
      </c>
      <c r="J292" s="635"/>
      <c r="K292" s="395">
        <v>11.703124999999968</v>
      </c>
      <c r="L292" s="537"/>
      <c r="M292" s="509">
        <f t="shared" si="673"/>
        <v>213.61815754339176</v>
      </c>
      <c r="N292" s="646"/>
      <c r="O292" s="626"/>
      <c r="P292" s="629"/>
      <c r="Q292" s="629"/>
    </row>
    <row r="293" spans="1:17" ht="15.75" hidden="1" thickBot="1">
      <c r="A293" s="390" t="str">
        <f t="shared" ref="A293:B293" si="747">A290</f>
        <v>HDPE</v>
      </c>
      <c r="B293" s="391" t="str">
        <f t="shared" si="747"/>
        <v>fiber</v>
      </c>
      <c r="C293" s="391">
        <f t="shared" si="741"/>
        <v>4</v>
      </c>
      <c r="D293" s="391" t="str">
        <f t="shared" ref="D293:E293" si="748">D290</f>
        <v>1-10</v>
      </c>
      <c r="E293" s="391">
        <f t="shared" si="748"/>
        <v>10</v>
      </c>
      <c r="F293" s="391" t="str">
        <f t="shared" ref="F293:G294" si="749">F292</f>
        <v>fresh water</v>
      </c>
      <c r="G293" s="401" t="str">
        <f t="shared" si="749"/>
        <v>DE: HDPE fiber 1-10 mm (emission to fresh water)</v>
      </c>
      <c r="H293" s="393">
        <v>0</v>
      </c>
      <c r="I293" s="394" t="s">
        <v>1163</v>
      </c>
      <c r="J293" s="635"/>
      <c r="K293" s="395">
        <v>11.703124999999968</v>
      </c>
      <c r="L293" s="537"/>
      <c r="M293" s="509">
        <f t="shared" si="673"/>
        <v>213.61815754339176</v>
      </c>
      <c r="N293" s="646"/>
      <c r="O293" s="626"/>
      <c r="P293" s="629"/>
      <c r="Q293" s="629"/>
    </row>
    <row r="294" spans="1:17" ht="15.75" hidden="1" thickBot="1">
      <c r="A294" s="390" t="str">
        <f t="shared" ref="A294:B294" si="750">A291</f>
        <v>HDPE</v>
      </c>
      <c r="B294" s="391" t="str">
        <f t="shared" si="750"/>
        <v>fiber</v>
      </c>
      <c r="C294" s="391">
        <f t="shared" si="741"/>
        <v>4</v>
      </c>
      <c r="D294" s="391" t="str">
        <f t="shared" ref="D294:E294" si="751">D291</f>
        <v>1-10</v>
      </c>
      <c r="E294" s="391">
        <f t="shared" si="751"/>
        <v>10</v>
      </c>
      <c r="F294" s="402" t="str">
        <f>F291</f>
        <v>fresh water</v>
      </c>
      <c r="G294" s="401" t="str">
        <f t="shared" si="749"/>
        <v>DE: HDPE fiber 1-10 mm (emission to fresh water)</v>
      </c>
      <c r="H294" s="393">
        <v>0</v>
      </c>
      <c r="I294" s="394" t="s">
        <v>1034</v>
      </c>
      <c r="J294" s="654"/>
      <c r="K294" s="398" t="s">
        <v>596</v>
      </c>
      <c r="L294" s="538"/>
      <c r="M294" s="509">
        <f t="shared" si="673"/>
        <v>0</v>
      </c>
      <c r="N294" s="647"/>
      <c r="O294" s="627"/>
      <c r="P294" s="629"/>
      <c r="Q294" s="629"/>
    </row>
    <row r="295" spans="1:17" ht="15.75" hidden="1" thickBot="1">
      <c r="A295" s="390" t="str">
        <f t="shared" ref="A295:B295" si="752">A292</f>
        <v>HDPE</v>
      </c>
      <c r="B295" s="391" t="str">
        <f t="shared" si="752"/>
        <v>fiber</v>
      </c>
      <c r="C295" s="391">
        <f t="shared" si="741"/>
        <v>4</v>
      </c>
      <c r="D295" s="391" t="str">
        <f t="shared" ref="D295:E295" si="753">D292</f>
        <v>1-10</v>
      </c>
      <c r="E295" s="391">
        <f t="shared" si="753"/>
        <v>10</v>
      </c>
      <c r="F295" s="385" t="s">
        <v>1097</v>
      </c>
      <c r="G295" s="422" t="str">
        <f>CONCATENATE("DE: ",A295," ",B295," ",D295," mm (emission to ",F295,")")</f>
        <v>DE: HDPE fiber 1-10 mm (emission to marine water)</v>
      </c>
      <c r="H295" s="387">
        <v>0</v>
      </c>
      <c r="I295" s="388" t="s">
        <v>1153</v>
      </c>
      <c r="J295" s="634">
        <v>0.22800000000000001</v>
      </c>
      <c r="K295" s="395">
        <v>11.703124999999968</v>
      </c>
      <c r="L295" s="536"/>
      <c r="M295" s="509">
        <f t="shared" si="673"/>
        <v>213.61815754339176</v>
      </c>
      <c r="N295" s="645">
        <f t="shared" ref="N295" si="754">IFERROR(H295*M295+H296*M296+H297*M297+H298*M298+H299*M299,"N.A.")</f>
        <v>213.61815754339176</v>
      </c>
      <c r="O295" s="625"/>
      <c r="P295" s="628">
        <f t="shared" si="681"/>
        <v>100</v>
      </c>
      <c r="Q295" s="628">
        <f t="shared" si="601"/>
        <v>213.61815754339176</v>
      </c>
    </row>
    <row r="296" spans="1:17" ht="15.75" hidden="1" thickBot="1">
      <c r="A296" s="390" t="str">
        <f t="shared" ref="A296:B296" si="755">A293</f>
        <v>HDPE</v>
      </c>
      <c r="B296" s="391" t="str">
        <f t="shared" si="755"/>
        <v>fiber</v>
      </c>
      <c r="C296" s="391">
        <f t="shared" si="741"/>
        <v>4</v>
      </c>
      <c r="D296" s="391" t="str">
        <f t="shared" ref="D296:E296" si="756">D293</f>
        <v>1-10</v>
      </c>
      <c r="E296" s="391">
        <f t="shared" si="756"/>
        <v>10</v>
      </c>
      <c r="F296" s="391" t="str">
        <f t="shared" ref="F296:G296" si="757">F295</f>
        <v>marine water</v>
      </c>
      <c r="G296" s="401" t="str">
        <f t="shared" si="757"/>
        <v>DE: HDPE fiber 1-10 mm (emission to marine water)</v>
      </c>
      <c r="H296" s="393">
        <v>1</v>
      </c>
      <c r="I296" s="394" t="s">
        <v>1097</v>
      </c>
      <c r="J296" s="635"/>
      <c r="K296" s="395">
        <v>11.703124999999968</v>
      </c>
      <c r="L296" s="537"/>
      <c r="M296" s="509">
        <f t="shared" si="673"/>
        <v>213.61815754339176</v>
      </c>
      <c r="N296" s="646"/>
      <c r="O296" s="626"/>
      <c r="P296" s="629"/>
      <c r="Q296" s="629"/>
    </row>
    <row r="297" spans="1:17" ht="15.75" hidden="1" thickBot="1">
      <c r="A297" s="390" t="str">
        <f t="shared" ref="A297:B297" si="758">A294</f>
        <v>HDPE</v>
      </c>
      <c r="B297" s="391" t="str">
        <f t="shared" si="758"/>
        <v>fiber</v>
      </c>
      <c r="C297" s="391">
        <f t="shared" si="741"/>
        <v>4</v>
      </c>
      <c r="D297" s="391" t="str">
        <f t="shared" ref="D297:E297" si="759">D294</f>
        <v>1-10</v>
      </c>
      <c r="E297" s="391">
        <f t="shared" si="759"/>
        <v>10</v>
      </c>
      <c r="F297" s="391" t="str">
        <f t="shared" ref="F297:G297" si="760">F296</f>
        <v>marine water</v>
      </c>
      <c r="G297" s="401" t="str">
        <f t="shared" si="760"/>
        <v>DE: HDPE fiber 1-10 mm (emission to marine water)</v>
      </c>
      <c r="H297" s="393">
        <v>0</v>
      </c>
      <c r="I297" s="394" t="s">
        <v>1162</v>
      </c>
      <c r="J297" s="635"/>
      <c r="K297" s="395">
        <v>11.703124999999968</v>
      </c>
      <c r="L297" s="537"/>
      <c r="M297" s="509">
        <f t="shared" si="673"/>
        <v>213.61815754339176</v>
      </c>
      <c r="N297" s="646"/>
      <c r="O297" s="626"/>
      <c r="P297" s="629"/>
      <c r="Q297" s="629"/>
    </row>
    <row r="298" spans="1:17" ht="15.75" hidden="1" thickBot="1">
      <c r="A298" s="390" t="str">
        <f t="shared" ref="A298:B298" si="761">A295</f>
        <v>HDPE</v>
      </c>
      <c r="B298" s="391" t="str">
        <f t="shared" si="761"/>
        <v>fiber</v>
      </c>
      <c r="C298" s="391">
        <f t="shared" si="741"/>
        <v>4</v>
      </c>
      <c r="D298" s="391" t="str">
        <f t="shared" ref="D298:E298" si="762">D295</f>
        <v>1-10</v>
      </c>
      <c r="E298" s="391">
        <f t="shared" si="762"/>
        <v>10</v>
      </c>
      <c r="F298" s="391" t="str">
        <f t="shared" ref="F298:G298" si="763">F297</f>
        <v>marine water</v>
      </c>
      <c r="G298" s="401" t="str">
        <f t="shared" si="763"/>
        <v>DE: HDPE fiber 1-10 mm (emission to marine water)</v>
      </c>
      <c r="H298" s="393">
        <v>0</v>
      </c>
      <c r="I298" s="394" t="s">
        <v>1163</v>
      </c>
      <c r="J298" s="635"/>
      <c r="K298" s="395">
        <v>11.703124999999968</v>
      </c>
      <c r="L298" s="537"/>
      <c r="M298" s="509">
        <f t="shared" si="673"/>
        <v>213.61815754339176</v>
      </c>
      <c r="N298" s="646"/>
      <c r="O298" s="626"/>
      <c r="P298" s="629"/>
      <c r="Q298" s="629"/>
    </row>
    <row r="299" spans="1:17" ht="15.75" hidden="1" thickBot="1">
      <c r="A299" s="390" t="str">
        <f t="shared" ref="A299:B299" si="764">A296</f>
        <v>HDPE</v>
      </c>
      <c r="B299" s="391" t="str">
        <f t="shared" si="764"/>
        <v>fiber</v>
      </c>
      <c r="C299" s="391">
        <f t="shared" si="741"/>
        <v>4</v>
      </c>
      <c r="D299" s="391" t="str">
        <f t="shared" ref="D299:E299" si="765">D296</f>
        <v>1-10</v>
      </c>
      <c r="E299" s="391">
        <f t="shared" si="765"/>
        <v>10</v>
      </c>
      <c r="F299" s="391" t="str">
        <f t="shared" ref="F299:G299" si="766">F298</f>
        <v>marine water</v>
      </c>
      <c r="G299" s="401" t="str">
        <f t="shared" si="766"/>
        <v>DE: HDPE fiber 1-10 mm (emission to marine water)</v>
      </c>
      <c r="H299" s="393">
        <v>0</v>
      </c>
      <c r="I299" s="394" t="s">
        <v>1034</v>
      </c>
      <c r="J299" s="654"/>
      <c r="K299" s="398" t="s">
        <v>596</v>
      </c>
      <c r="L299" s="538"/>
      <c r="M299" s="509">
        <f t="shared" si="673"/>
        <v>0</v>
      </c>
      <c r="N299" s="647"/>
      <c r="O299" s="627"/>
      <c r="P299" s="629"/>
      <c r="Q299" s="629"/>
    </row>
    <row r="300" spans="1:17" ht="15.75" hidden="1" thickBot="1">
      <c r="A300" s="390" t="str">
        <f t="shared" ref="A300:B300" si="767">A297</f>
        <v>HDPE</v>
      </c>
      <c r="B300" s="391" t="str">
        <f t="shared" si="767"/>
        <v>fiber</v>
      </c>
      <c r="C300" s="391">
        <f t="shared" si="741"/>
        <v>4</v>
      </c>
      <c r="D300" s="391" t="str">
        <f t="shared" ref="D300:E300" si="768">D297</f>
        <v>1-10</v>
      </c>
      <c r="E300" s="391">
        <f t="shared" si="768"/>
        <v>10</v>
      </c>
      <c r="F300" s="400" t="s">
        <v>1057</v>
      </c>
      <c r="G300" s="422" t="str">
        <f>CONCATENATE("DE: ",A300," ",B300," ",D300," mm (emission to ",F300,")")</f>
        <v>DE: HDPE fiber 1-10 mm (emission to air)</v>
      </c>
      <c r="H300" s="403">
        <v>0.94799999999999995</v>
      </c>
      <c r="I300" s="388" t="s">
        <v>1153</v>
      </c>
      <c r="J300" s="634">
        <v>0.22800000000000001</v>
      </c>
      <c r="K300" s="395">
        <v>11.703124999999968</v>
      </c>
      <c r="L300" s="536"/>
      <c r="M300" s="509">
        <f t="shared" si="673"/>
        <v>213.61815754339176</v>
      </c>
      <c r="N300" s="645">
        <f t="shared" ref="N300" si="769">IFERROR(H300*M300+H301*M301+H302*M302+H303*M303+H304*M304,"N.A.")</f>
        <v>213.61815754339173</v>
      </c>
      <c r="O300" s="625"/>
      <c r="P300" s="628">
        <f t="shared" si="681"/>
        <v>100</v>
      </c>
      <c r="Q300" s="628">
        <f t="shared" ref="Q300:Q360" si="770">IFERROR(IF(H300*M300+H301*M301+H302*M302+H303*M303+H304*M304&gt;500,500,H300*M300+H301*M301+H302*M302+H303*M303+H304*M304),"N.A.")</f>
        <v>213.61815754339173</v>
      </c>
    </row>
    <row r="301" spans="1:17" ht="15.75" hidden="1" thickBot="1">
      <c r="A301" s="390" t="str">
        <f t="shared" ref="A301:B301" si="771">A298</f>
        <v>HDPE</v>
      </c>
      <c r="B301" s="391" t="str">
        <f t="shared" si="771"/>
        <v>fiber</v>
      </c>
      <c r="C301" s="391">
        <f t="shared" si="741"/>
        <v>4</v>
      </c>
      <c r="D301" s="391" t="str">
        <f t="shared" ref="D301:E301" si="772">D298</f>
        <v>1-10</v>
      </c>
      <c r="E301" s="391">
        <f t="shared" si="772"/>
        <v>10</v>
      </c>
      <c r="F301" s="391" t="str">
        <f t="shared" ref="F301:G301" si="773">F300</f>
        <v>air</v>
      </c>
      <c r="G301" s="401" t="str">
        <f t="shared" si="773"/>
        <v>DE: HDPE fiber 1-10 mm (emission to air)</v>
      </c>
      <c r="H301" s="393">
        <v>5.1999999999999998E-2</v>
      </c>
      <c r="I301" s="394" t="s">
        <v>1097</v>
      </c>
      <c r="J301" s="635"/>
      <c r="K301" s="395">
        <v>11.703124999999968</v>
      </c>
      <c r="L301" s="537"/>
      <c r="M301" s="509">
        <f t="shared" si="673"/>
        <v>213.61815754339176</v>
      </c>
      <c r="N301" s="646"/>
      <c r="O301" s="626"/>
      <c r="P301" s="629"/>
      <c r="Q301" s="629"/>
    </row>
    <row r="302" spans="1:17" ht="15.75" hidden="1" thickBot="1">
      <c r="A302" s="390" t="str">
        <f t="shared" ref="A302:B302" si="774">A299</f>
        <v>HDPE</v>
      </c>
      <c r="B302" s="391" t="str">
        <f t="shared" si="774"/>
        <v>fiber</v>
      </c>
      <c r="C302" s="391">
        <f t="shared" si="741"/>
        <v>4</v>
      </c>
      <c r="D302" s="391" t="str">
        <f t="shared" ref="D302:E302" si="775">D299</f>
        <v>1-10</v>
      </c>
      <c r="E302" s="391">
        <f t="shared" si="775"/>
        <v>10</v>
      </c>
      <c r="F302" s="391" t="str">
        <f t="shared" ref="F302:G302" si="776">F301</f>
        <v>air</v>
      </c>
      <c r="G302" s="401" t="str">
        <f t="shared" si="776"/>
        <v>DE: HDPE fiber 1-10 mm (emission to air)</v>
      </c>
      <c r="H302" s="393">
        <v>0</v>
      </c>
      <c r="I302" s="394" t="s">
        <v>1162</v>
      </c>
      <c r="J302" s="635"/>
      <c r="K302" s="395">
        <v>11.703124999999968</v>
      </c>
      <c r="L302" s="537"/>
      <c r="M302" s="509">
        <f t="shared" si="673"/>
        <v>213.61815754339176</v>
      </c>
      <c r="N302" s="646"/>
      <c r="O302" s="626"/>
      <c r="P302" s="629"/>
      <c r="Q302" s="629"/>
    </row>
    <row r="303" spans="1:17" ht="15.75" hidden="1" thickBot="1">
      <c r="A303" s="390" t="str">
        <f t="shared" ref="A303:B303" si="777">A300</f>
        <v>HDPE</v>
      </c>
      <c r="B303" s="391" t="str">
        <f t="shared" si="777"/>
        <v>fiber</v>
      </c>
      <c r="C303" s="391">
        <f t="shared" si="741"/>
        <v>4</v>
      </c>
      <c r="D303" s="391" t="str">
        <f t="shared" ref="D303:E303" si="778">D300</f>
        <v>1-10</v>
      </c>
      <c r="E303" s="391">
        <f t="shared" si="778"/>
        <v>10</v>
      </c>
      <c r="F303" s="391" t="str">
        <f t="shared" ref="F303:G303" si="779">F302</f>
        <v>air</v>
      </c>
      <c r="G303" s="401" t="str">
        <f t="shared" si="779"/>
        <v>DE: HDPE fiber 1-10 mm (emission to air)</v>
      </c>
      <c r="H303" s="393">
        <v>0</v>
      </c>
      <c r="I303" s="394" t="s">
        <v>1163</v>
      </c>
      <c r="J303" s="635"/>
      <c r="K303" s="395">
        <v>11.703124999999968</v>
      </c>
      <c r="L303" s="537"/>
      <c r="M303" s="509">
        <f t="shared" si="673"/>
        <v>213.61815754339176</v>
      </c>
      <c r="N303" s="646"/>
      <c r="O303" s="626"/>
      <c r="P303" s="629"/>
      <c r="Q303" s="629"/>
    </row>
    <row r="304" spans="1:17" ht="15.75" hidden="1" thickBot="1">
      <c r="A304" s="404" t="str">
        <f t="shared" ref="A304:B304" si="780">A299</f>
        <v>HDPE</v>
      </c>
      <c r="B304" s="402" t="str">
        <f t="shared" si="780"/>
        <v>fiber</v>
      </c>
      <c r="C304" s="391">
        <f t="shared" si="741"/>
        <v>4</v>
      </c>
      <c r="D304" s="402" t="str">
        <f t="shared" ref="D304:E304" si="781">D299</f>
        <v>1-10</v>
      </c>
      <c r="E304" s="402">
        <f t="shared" si="781"/>
        <v>10</v>
      </c>
      <c r="F304" s="391" t="str">
        <f t="shared" ref="F304:G304" si="782">F303</f>
        <v>air</v>
      </c>
      <c r="G304" s="401" t="str">
        <f t="shared" si="782"/>
        <v>DE: HDPE fiber 1-10 mm (emission to air)</v>
      </c>
      <c r="H304" s="393">
        <v>0</v>
      </c>
      <c r="I304" s="394" t="s">
        <v>1034</v>
      </c>
      <c r="J304" s="636"/>
      <c r="K304" s="398" t="s">
        <v>596</v>
      </c>
      <c r="L304" s="538"/>
      <c r="M304" s="509">
        <f t="shared" si="673"/>
        <v>0</v>
      </c>
      <c r="N304" s="647"/>
      <c r="O304" s="627"/>
      <c r="P304" s="629"/>
      <c r="Q304" s="629"/>
    </row>
    <row r="305" spans="1:17" ht="15.75" hidden="1" thickBot="1">
      <c r="A305" s="405" t="s">
        <v>69</v>
      </c>
      <c r="B305" s="406" t="s">
        <v>1152</v>
      </c>
      <c r="C305" s="407">
        <v>6</v>
      </c>
      <c r="D305" s="423" t="s">
        <v>1018</v>
      </c>
      <c r="E305" s="408">
        <v>0.1</v>
      </c>
      <c r="F305" s="424" t="s">
        <v>1019</v>
      </c>
      <c r="G305" s="425" t="str">
        <f>CONCATENATE("DE: ",A305," ",B305," ",D305," mm (emission to ",F305,")")</f>
        <v>DE: HDPE particle 0,01-0,1 mm (emission to soil)</v>
      </c>
      <c r="H305" s="426">
        <v>0.97</v>
      </c>
      <c r="I305" s="427" t="s">
        <v>1153</v>
      </c>
      <c r="J305" s="632">
        <v>0.22800000000000001</v>
      </c>
      <c r="K305" s="428">
        <v>11.703124999999968</v>
      </c>
      <c r="L305" s="539"/>
      <c r="M305" s="509">
        <f t="shared" si="673"/>
        <v>1.0680907877169588</v>
      </c>
      <c r="N305" s="645">
        <f t="shared" ref="N305" si="783">IFERROR(H305*M305+H306*M306+H307*M307+H308*M308+H309*M309,"N.A.")</f>
        <v>1.0680907877169588</v>
      </c>
      <c r="O305" s="625"/>
      <c r="P305" s="628">
        <f t="shared" si="681"/>
        <v>1.0680907877169588</v>
      </c>
      <c r="Q305" s="628">
        <f t="shared" si="770"/>
        <v>1.0680907877169588</v>
      </c>
    </row>
    <row r="306" spans="1:17" ht="15.75" hidden="1" thickBot="1">
      <c r="A306" s="390" t="str">
        <f>A305</f>
        <v>HDPE</v>
      </c>
      <c r="B306" s="391" t="str">
        <f>B305</f>
        <v>particle</v>
      </c>
      <c r="C306" s="391">
        <f t="shared" ref="C306:C324" si="784">C305</f>
        <v>6</v>
      </c>
      <c r="D306" s="391" t="str">
        <f t="shared" ref="D306:G306" si="785">D305</f>
        <v>0,01-0,1</v>
      </c>
      <c r="E306" s="391">
        <f t="shared" si="785"/>
        <v>0.1</v>
      </c>
      <c r="F306" s="391" t="str">
        <f t="shared" si="785"/>
        <v>soil</v>
      </c>
      <c r="G306" s="392" t="str">
        <f t="shared" si="785"/>
        <v>DE: HDPE particle 0,01-0,1 mm (emission to soil)</v>
      </c>
      <c r="H306" s="393">
        <v>0.03</v>
      </c>
      <c r="I306" s="394" t="s">
        <v>1097</v>
      </c>
      <c r="J306" s="632"/>
      <c r="K306" s="395">
        <v>11.703124999999968</v>
      </c>
      <c r="L306" s="537"/>
      <c r="M306" s="509">
        <f t="shared" si="673"/>
        <v>1.0680907877169588</v>
      </c>
      <c r="N306" s="646"/>
      <c r="O306" s="626"/>
      <c r="P306" s="629"/>
      <c r="Q306" s="629"/>
    </row>
    <row r="307" spans="1:17" ht="15.75" hidden="1" thickBot="1">
      <c r="A307" s="390" t="str">
        <f t="shared" ref="A307:A308" si="786">A306</f>
        <v>HDPE</v>
      </c>
      <c r="B307" s="391" t="str">
        <f t="shared" ref="B307:B308" si="787">B306</f>
        <v>particle</v>
      </c>
      <c r="C307" s="391">
        <f t="shared" si="784"/>
        <v>6</v>
      </c>
      <c r="D307" s="391" t="str">
        <f t="shared" ref="D307:G307" si="788">D306</f>
        <v>0,01-0,1</v>
      </c>
      <c r="E307" s="391">
        <f t="shared" si="788"/>
        <v>0.1</v>
      </c>
      <c r="F307" s="391" t="str">
        <f t="shared" si="788"/>
        <v>soil</v>
      </c>
      <c r="G307" s="392" t="str">
        <f t="shared" si="788"/>
        <v>DE: HDPE particle 0,01-0,1 mm (emission to soil)</v>
      </c>
      <c r="H307" s="393">
        <v>0</v>
      </c>
      <c r="I307" s="394" t="s">
        <v>1162</v>
      </c>
      <c r="J307" s="632"/>
      <c r="K307" s="395">
        <v>11.703124999999968</v>
      </c>
      <c r="L307" s="537"/>
      <c r="M307" s="509">
        <f t="shared" si="673"/>
        <v>1.0680907877169588</v>
      </c>
      <c r="N307" s="646"/>
      <c r="O307" s="626"/>
      <c r="P307" s="629"/>
      <c r="Q307" s="629"/>
    </row>
    <row r="308" spans="1:17" ht="15.75" hidden="1" thickBot="1">
      <c r="A308" s="390" t="str">
        <f t="shared" si="786"/>
        <v>HDPE</v>
      </c>
      <c r="B308" s="391" t="str">
        <f t="shared" si="787"/>
        <v>particle</v>
      </c>
      <c r="C308" s="391">
        <f t="shared" si="784"/>
        <v>6</v>
      </c>
      <c r="D308" s="391" t="str">
        <f t="shared" ref="D308:G309" si="789">D307</f>
        <v>0,01-0,1</v>
      </c>
      <c r="E308" s="391">
        <f t="shared" si="789"/>
        <v>0.1</v>
      </c>
      <c r="F308" s="391" t="str">
        <f t="shared" si="789"/>
        <v>soil</v>
      </c>
      <c r="G308" s="392" t="str">
        <f t="shared" si="789"/>
        <v>DE: HDPE particle 0,01-0,1 mm (emission to soil)</v>
      </c>
      <c r="H308" s="393">
        <v>0</v>
      </c>
      <c r="I308" s="394" t="s">
        <v>1163</v>
      </c>
      <c r="J308" s="632"/>
      <c r="K308" s="395">
        <v>11.703124999999968</v>
      </c>
      <c r="L308" s="537"/>
      <c r="M308" s="509">
        <f t="shared" si="673"/>
        <v>1.0680907877169588</v>
      </c>
      <c r="N308" s="646"/>
      <c r="O308" s="626"/>
      <c r="P308" s="629"/>
      <c r="Q308" s="629"/>
    </row>
    <row r="309" spans="1:17" ht="15.75" hidden="1" thickBot="1">
      <c r="A309" s="390" t="str">
        <f>A306</f>
        <v>HDPE</v>
      </c>
      <c r="B309" s="391" t="str">
        <f>B306</f>
        <v>particle</v>
      </c>
      <c r="C309" s="391">
        <f t="shared" si="784"/>
        <v>6</v>
      </c>
      <c r="D309" s="391" t="str">
        <f>D306</f>
        <v>0,01-0,1</v>
      </c>
      <c r="E309" s="391">
        <f>E306</f>
        <v>0.1</v>
      </c>
      <c r="F309" s="391" t="str">
        <f>F306</f>
        <v>soil</v>
      </c>
      <c r="G309" s="396" t="str">
        <f t="shared" si="789"/>
        <v>DE: HDPE particle 0,01-0,1 mm (emission to soil)</v>
      </c>
      <c r="H309" s="393">
        <v>0</v>
      </c>
      <c r="I309" s="397" t="s">
        <v>1034</v>
      </c>
      <c r="J309" s="633"/>
      <c r="K309" s="398" t="s">
        <v>596</v>
      </c>
      <c r="L309" s="538"/>
      <c r="M309" s="509">
        <f t="shared" si="673"/>
        <v>0</v>
      </c>
      <c r="N309" s="647"/>
      <c r="O309" s="627"/>
      <c r="P309" s="629"/>
      <c r="Q309" s="629"/>
    </row>
    <row r="310" spans="1:17" ht="15.75" hidden="1" thickBot="1">
      <c r="A310" s="390" t="str">
        <f t="shared" ref="A310:B310" si="790">A307</f>
        <v>HDPE</v>
      </c>
      <c r="B310" s="391" t="str">
        <f t="shared" si="790"/>
        <v>particle</v>
      </c>
      <c r="C310" s="391">
        <f t="shared" si="784"/>
        <v>6</v>
      </c>
      <c r="D310" s="399" t="str">
        <f t="shared" ref="D310:E310" si="791">D307</f>
        <v>0,01-0,1</v>
      </c>
      <c r="E310" s="391">
        <f t="shared" si="791"/>
        <v>0.1</v>
      </c>
      <c r="F310" s="400" t="s">
        <v>1147</v>
      </c>
      <c r="G310" s="386" t="str">
        <f>CONCATENATE("DE: ",A310," ",B310," ",D310," mm (emission to ",F310,")")</f>
        <v>DE: HDPE particle 0,01-0,1 mm (emission to fresh water)</v>
      </c>
      <c r="H310" s="387">
        <v>0</v>
      </c>
      <c r="I310" s="388" t="s">
        <v>1153</v>
      </c>
      <c r="J310" s="634">
        <v>0.22800000000000001</v>
      </c>
      <c r="K310" s="389">
        <v>11.703124999999968</v>
      </c>
      <c r="L310" s="536"/>
      <c r="M310" s="509">
        <f t="shared" si="673"/>
        <v>1.0680907877169588</v>
      </c>
      <c r="N310" s="645">
        <f t="shared" ref="N310" si="792">IFERROR(H310*M310+H311*M311+H312*M312+H313*M313+H314*M314,"N.A.")</f>
        <v>1.0680907877169588</v>
      </c>
      <c r="O310" s="625"/>
      <c r="P310" s="628">
        <f t="shared" si="681"/>
        <v>1.0680907877169588</v>
      </c>
      <c r="Q310" s="628">
        <f t="shared" si="770"/>
        <v>1.0680907877169588</v>
      </c>
    </row>
    <row r="311" spans="1:17" ht="15.75" hidden="1" thickBot="1">
      <c r="A311" s="390" t="str">
        <f t="shared" ref="A311:B311" si="793">A308</f>
        <v>HDPE</v>
      </c>
      <c r="B311" s="391" t="str">
        <f t="shared" si="793"/>
        <v>particle</v>
      </c>
      <c r="C311" s="391">
        <f t="shared" si="784"/>
        <v>6</v>
      </c>
      <c r="D311" s="391" t="str">
        <f t="shared" ref="D311:E311" si="794">D308</f>
        <v>0,01-0,1</v>
      </c>
      <c r="E311" s="391">
        <f t="shared" si="794"/>
        <v>0.1</v>
      </c>
      <c r="F311" s="391" t="str">
        <f t="shared" ref="F311:G311" si="795">F310</f>
        <v>fresh water</v>
      </c>
      <c r="G311" s="401" t="str">
        <f t="shared" si="795"/>
        <v>DE: HDPE particle 0,01-0,1 mm (emission to fresh water)</v>
      </c>
      <c r="H311" s="393">
        <v>1</v>
      </c>
      <c r="I311" s="394" t="s">
        <v>1097</v>
      </c>
      <c r="J311" s="635"/>
      <c r="K311" s="395">
        <v>11.703124999999968</v>
      </c>
      <c r="L311" s="537"/>
      <c r="M311" s="509">
        <f t="shared" si="673"/>
        <v>1.0680907877169588</v>
      </c>
      <c r="N311" s="646"/>
      <c r="O311" s="626"/>
      <c r="P311" s="629"/>
      <c r="Q311" s="629"/>
    </row>
    <row r="312" spans="1:17" ht="15.75" hidden="1" thickBot="1">
      <c r="A312" s="390" t="str">
        <f t="shared" ref="A312:B312" si="796">A309</f>
        <v>HDPE</v>
      </c>
      <c r="B312" s="391" t="str">
        <f t="shared" si="796"/>
        <v>particle</v>
      </c>
      <c r="C312" s="391">
        <f t="shared" si="784"/>
        <v>6</v>
      </c>
      <c r="D312" s="391" t="str">
        <f t="shared" ref="D312:E312" si="797">D309</f>
        <v>0,01-0,1</v>
      </c>
      <c r="E312" s="391">
        <f t="shared" si="797"/>
        <v>0.1</v>
      </c>
      <c r="F312" s="391" t="str">
        <f t="shared" ref="F312:G312" si="798">F311</f>
        <v>fresh water</v>
      </c>
      <c r="G312" s="401" t="str">
        <f t="shared" si="798"/>
        <v>DE: HDPE particle 0,01-0,1 mm (emission to fresh water)</v>
      </c>
      <c r="H312" s="393">
        <v>0</v>
      </c>
      <c r="I312" s="394" t="s">
        <v>1162</v>
      </c>
      <c r="J312" s="635"/>
      <c r="K312" s="395">
        <v>11.703124999999968</v>
      </c>
      <c r="L312" s="537"/>
      <c r="M312" s="509">
        <f t="shared" si="673"/>
        <v>1.0680907877169588</v>
      </c>
      <c r="N312" s="646"/>
      <c r="O312" s="626"/>
      <c r="P312" s="629"/>
      <c r="Q312" s="629"/>
    </row>
    <row r="313" spans="1:17" ht="15.75" hidden="1" thickBot="1">
      <c r="A313" s="390" t="str">
        <f t="shared" ref="A313:B313" si="799">A310</f>
        <v>HDPE</v>
      </c>
      <c r="B313" s="391" t="str">
        <f t="shared" si="799"/>
        <v>particle</v>
      </c>
      <c r="C313" s="391">
        <f t="shared" si="784"/>
        <v>6</v>
      </c>
      <c r="D313" s="391" t="str">
        <f t="shared" ref="D313:E313" si="800">D310</f>
        <v>0,01-0,1</v>
      </c>
      <c r="E313" s="391">
        <f t="shared" si="800"/>
        <v>0.1</v>
      </c>
      <c r="F313" s="391" t="str">
        <f t="shared" ref="F313:G314" si="801">F312</f>
        <v>fresh water</v>
      </c>
      <c r="G313" s="401" t="str">
        <f t="shared" si="801"/>
        <v>DE: HDPE particle 0,01-0,1 mm (emission to fresh water)</v>
      </c>
      <c r="H313" s="393">
        <v>0</v>
      </c>
      <c r="I313" s="394" t="s">
        <v>1163</v>
      </c>
      <c r="J313" s="635"/>
      <c r="K313" s="395">
        <v>11.703124999999968</v>
      </c>
      <c r="L313" s="537"/>
      <c r="M313" s="509">
        <f t="shared" si="673"/>
        <v>1.0680907877169588</v>
      </c>
      <c r="N313" s="646"/>
      <c r="O313" s="626"/>
      <c r="P313" s="629"/>
      <c r="Q313" s="629"/>
    </row>
    <row r="314" spans="1:17" ht="15.75" hidden="1" thickBot="1">
      <c r="A314" s="390" t="str">
        <f t="shared" ref="A314:B314" si="802">A311</f>
        <v>HDPE</v>
      </c>
      <c r="B314" s="391" t="str">
        <f t="shared" si="802"/>
        <v>particle</v>
      </c>
      <c r="C314" s="391">
        <f t="shared" si="784"/>
        <v>6</v>
      </c>
      <c r="D314" s="391" t="str">
        <f t="shared" ref="D314:E314" si="803">D311</f>
        <v>0,01-0,1</v>
      </c>
      <c r="E314" s="391">
        <f t="shared" si="803"/>
        <v>0.1</v>
      </c>
      <c r="F314" s="402" t="str">
        <f>F311</f>
        <v>fresh water</v>
      </c>
      <c r="G314" s="401" t="str">
        <f t="shared" si="801"/>
        <v>DE: HDPE particle 0,01-0,1 mm (emission to fresh water)</v>
      </c>
      <c r="H314" s="393">
        <v>0</v>
      </c>
      <c r="I314" s="394" t="s">
        <v>1034</v>
      </c>
      <c r="J314" s="654"/>
      <c r="K314" s="398" t="s">
        <v>596</v>
      </c>
      <c r="L314" s="538"/>
      <c r="M314" s="509">
        <f t="shared" si="673"/>
        <v>0</v>
      </c>
      <c r="N314" s="647"/>
      <c r="O314" s="627"/>
      <c r="P314" s="629"/>
      <c r="Q314" s="629"/>
    </row>
    <row r="315" spans="1:17" ht="15.75" hidden="1" thickBot="1">
      <c r="A315" s="390" t="str">
        <f t="shared" ref="A315:B315" si="804">A312</f>
        <v>HDPE</v>
      </c>
      <c r="B315" s="391" t="str">
        <f t="shared" si="804"/>
        <v>particle</v>
      </c>
      <c r="C315" s="391">
        <f t="shared" si="784"/>
        <v>6</v>
      </c>
      <c r="D315" s="391" t="str">
        <f t="shared" ref="D315:E315" si="805">D312</f>
        <v>0,01-0,1</v>
      </c>
      <c r="E315" s="391">
        <f t="shared" si="805"/>
        <v>0.1</v>
      </c>
      <c r="F315" s="385" t="s">
        <v>1097</v>
      </c>
      <c r="G315" s="422" t="str">
        <f>CONCATENATE("DE: ",A315," ",B315," ",D315," mm (emission to ",F315,")")</f>
        <v>DE: HDPE particle 0,01-0,1 mm (emission to marine water)</v>
      </c>
      <c r="H315" s="387">
        <v>0</v>
      </c>
      <c r="I315" s="388" t="s">
        <v>1153</v>
      </c>
      <c r="J315" s="634">
        <v>0.22800000000000001</v>
      </c>
      <c r="K315" s="395">
        <v>11.703124999999968</v>
      </c>
      <c r="L315" s="536"/>
      <c r="M315" s="509">
        <f t="shared" si="673"/>
        <v>1.0680907877169588</v>
      </c>
      <c r="N315" s="645">
        <f t="shared" ref="N315" si="806">IFERROR(H315*M315+H316*M316+H317*M317+H318*M318+H319*M319,"N.A.")</f>
        <v>1.0680907877169588</v>
      </c>
      <c r="O315" s="625"/>
      <c r="P315" s="628">
        <f t="shared" si="681"/>
        <v>1.0680907877169588</v>
      </c>
      <c r="Q315" s="628">
        <f t="shared" si="770"/>
        <v>1.0680907877169588</v>
      </c>
    </row>
    <row r="316" spans="1:17" ht="15.75" hidden="1" thickBot="1">
      <c r="A316" s="390" t="str">
        <f t="shared" ref="A316:B316" si="807">A313</f>
        <v>HDPE</v>
      </c>
      <c r="B316" s="391" t="str">
        <f t="shared" si="807"/>
        <v>particle</v>
      </c>
      <c r="C316" s="391">
        <f t="shared" si="784"/>
        <v>6</v>
      </c>
      <c r="D316" s="391" t="str">
        <f t="shared" ref="D316:E316" si="808">D313</f>
        <v>0,01-0,1</v>
      </c>
      <c r="E316" s="391">
        <f t="shared" si="808"/>
        <v>0.1</v>
      </c>
      <c r="F316" s="391" t="str">
        <f t="shared" ref="F316:G316" si="809">F315</f>
        <v>marine water</v>
      </c>
      <c r="G316" s="401" t="str">
        <f t="shared" si="809"/>
        <v>DE: HDPE particle 0,01-0,1 mm (emission to marine water)</v>
      </c>
      <c r="H316" s="393">
        <v>1</v>
      </c>
      <c r="I316" s="394" t="s">
        <v>1097</v>
      </c>
      <c r="J316" s="635"/>
      <c r="K316" s="395">
        <v>11.703124999999968</v>
      </c>
      <c r="L316" s="537"/>
      <c r="M316" s="509">
        <f t="shared" si="673"/>
        <v>1.0680907877169588</v>
      </c>
      <c r="N316" s="646"/>
      <c r="O316" s="626"/>
      <c r="P316" s="629"/>
      <c r="Q316" s="629"/>
    </row>
    <row r="317" spans="1:17" ht="15.75" hidden="1" thickBot="1">
      <c r="A317" s="390" t="str">
        <f t="shared" ref="A317:B317" si="810">A314</f>
        <v>HDPE</v>
      </c>
      <c r="B317" s="391" t="str">
        <f t="shared" si="810"/>
        <v>particle</v>
      </c>
      <c r="C317" s="391">
        <f t="shared" si="784"/>
        <v>6</v>
      </c>
      <c r="D317" s="391" t="str">
        <f t="shared" ref="D317:E317" si="811">D314</f>
        <v>0,01-0,1</v>
      </c>
      <c r="E317" s="391">
        <f t="shared" si="811"/>
        <v>0.1</v>
      </c>
      <c r="F317" s="391" t="str">
        <f t="shared" ref="F317:G317" si="812">F316</f>
        <v>marine water</v>
      </c>
      <c r="G317" s="401" t="str">
        <f t="shared" si="812"/>
        <v>DE: HDPE particle 0,01-0,1 mm (emission to marine water)</v>
      </c>
      <c r="H317" s="393">
        <v>0</v>
      </c>
      <c r="I317" s="394" t="s">
        <v>1162</v>
      </c>
      <c r="J317" s="635"/>
      <c r="K317" s="395">
        <v>11.703124999999968</v>
      </c>
      <c r="L317" s="537"/>
      <c r="M317" s="509">
        <f t="shared" si="673"/>
        <v>1.0680907877169588</v>
      </c>
      <c r="N317" s="646"/>
      <c r="O317" s="626"/>
      <c r="P317" s="629"/>
      <c r="Q317" s="629"/>
    </row>
    <row r="318" spans="1:17" ht="15.75" hidden="1" thickBot="1">
      <c r="A318" s="390" t="str">
        <f t="shared" ref="A318:B318" si="813">A315</f>
        <v>HDPE</v>
      </c>
      <c r="B318" s="391" t="str">
        <f t="shared" si="813"/>
        <v>particle</v>
      </c>
      <c r="C318" s="391">
        <f t="shared" si="784"/>
        <v>6</v>
      </c>
      <c r="D318" s="391" t="str">
        <f t="shared" ref="D318:E318" si="814">D315</f>
        <v>0,01-0,1</v>
      </c>
      <c r="E318" s="391">
        <f t="shared" si="814"/>
        <v>0.1</v>
      </c>
      <c r="F318" s="391" t="str">
        <f t="shared" ref="F318:G318" si="815">F317</f>
        <v>marine water</v>
      </c>
      <c r="G318" s="401" t="str">
        <f t="shared" si="815"/>
        <v>DE: HDPE particle 0,01-0,1 mm (emission to marine water)</v>
      </c>
      <c r="H318" s="393">
        <v>0</v>
      </c>
      <c r="I318" s="394" t="s">
        <v>1163</v>
      </c>
      <c r="J318" s="635"/>
      <c r="K318" s="395">
        <v>11.703124999999968</v>
      </c>
      <c r="L318" s="537"/>
      <c r="M318" s="509">
        <f t="shared" si="673"/>
        <v>1.0680907877169588</v>
      </c>
      <c r="N318" s="646"/>
      <c r="O318" s="626"/>
      <c r="P318" s="629"/>
      <c r="Q318" s="629"/>
    </row>
    <row r="319" spans="1:17" ht="15.75" hidden="1" thickBot="1">
      <c r="A319" s="390" t="str">
        <f t="shared" ref="A319:B319" si="816">A316</f>
        <v>HDPE</v>
      </c>
      <c r="B319" s="391" t="str">
        <f t="shared" si="816"/>
        <v>particle</v>
      </c>
      <c r="C319" s="391">
        <f t="shared" si="784"/>
        <v>6</v>
      </c>
      <c r="D319" s="391" t="str">
        <f t="shared" ref="D319:E319" si="817">D316</f>
        <v>0,01-0,1</v>
      </c>
      <c r="E319" s="391">
        <f t="shared" si="817"/>
        <v>0.1</v>
      </c>
      <c r="F319" s="391" t="str">
        <f t="shared" ref="F319:G319" si="818">F318</f>
        <v>marine water</v>
      </c>
      <c r="G319" s="401" t="str">
        <f t="shared" si="818"/>
        <v>DE: HDPE particle 0,01-0,1 mm (emission to marine water)</v>
      </c>
      <c r="H319" s="393">
        <v>0</v>
      </c>
      <c r="I319" s="394" t="s">
        <v>1034</v>
      </c>
      <c r="J319" s="654"/>
      <c r="K319" s="398" t="s">
        <v>596</v>
      </c>
      <c r="L319" s="538"/>
      <c r="M319" s="509">
        <f t="shared" si="673"/>
        <v>0</v>
      </c>
      <c r="N319" s="647"/>
      <c r="O319" s="627"/>
      <c r="P319" s="629"/>
      <c r="Q319" s="629"/>
    </row>
    <row r="320" spans="1:17" ht="15.75" hidden="1" thickBot="1">
      <c r="A320" s="390" t="str">
        <f t="shared" ref="A320:B320" si="819">A317</f>
        <v>HDPE</v>
      </c>
      <c r="B320" s="391" t="str">
        <f t="shared" si="819"/>
        <v>particle</v>
      </c>
      <c r="C320" s="391">
        <f t="shared" si="784"/>
        <v>6</v>
      </c>
      <c r="D320" s="391" t="str">
        <f t="shared" ref="D320:E320" si="820">D317</f>
        <v>0,01-0,1</v>
      </c>
      <c r="E320" s="391">
        <f t="shared" si="820"/>
        <v>0.1</v>
      </c>
      <c r="F320" s="400" t="s">
        <v>1057</v>
      </c>
      <c r="G320" s="422" t="str">
        <f>CONCATENATE("DE: ",A320," ",B320," ",D320," mm (emission to ",F320,")")</f>
        <v>DE: HDPE particle 0,01-0,1 mm (emission to air)</v>
      </c>
      <c r="H320" s="403">
        <v>0.94799999999999995</v>
      </c>
      <c r="I320" s="388" t="s">
        <v>1153</v>
      </c>
      <c r="J320" s="634">
        <v>0.22800000000000001</v>
      </c>
      <c r="K320" s="395">
        <v>11.703124999999968</v>
      </c>
      <c r="L320" s="536"/>
      <c r="M320" s="509">
        <f t="shared" si="673"/>
        <v>1.0680907877169588</v>
      </c>
      <c r="N320" s="645">
        <f t="shared" ref="N320" si="821">IFERROR(H320*M320+H321*M321+H322*M322+H323*M323+H324*M324,"N.A.")</f>
        <v>1.0680907877169588</v>
      </c>
      <c r="O320" s="625"/>
      <c r="P320" s="628">
        <f t="shared" si="681"/>
        <v>1.0680907877169588</v>
      </c>
      <c r="Q320" s="628">
        <f t="shared" si="770"/>
        <v>1.0680907877169588</v>
      </c>
    </row>
    <row r="321" spans="1:17" ht="15.75" hidden="1" thickBot="1">
      <c r="A321" s="390" t="str">
        <f t="shared" ref="A321:B321" si="822">A318</f>
        <v>HDPE</v>
      </c>
      <c r="B321" s="391" t="str">
        <f t="shared" si="822"/>
        <v>particle</v>
      </c>
      <c r="C321" s="391">
        <f t="shared" si="784"/>
        <v>6</v>
      </c>
      <c r="D321" s="391" t="str">
        <f t="shared" ref="D321:E321" si="823">D318</f>
        <v>0,01-0,1</v>
      </c>
      <c r="E321" s="391">
        <f t="shared" si="823"/>
        <v>0.1</v>
      </c>
      <c r="F321" s="391" t="str">
        <f t="shared" ref="F321:G321" si="824">F320</f>
        <v>air</v>
      </c>
      <c r="G321" s="401" t="str">
        <f t="shared" si="824"/>
        <v>DE: HDPE particle 0,01-0,1 mm (emission to air)</v>
      </c>
      <c r="H321" s="393">
        <v>5.1999999999999998E-2</v>
      </c>
      <c r="I321" s="394" t="s">
        <v>1097</v>
      </c>
      <c r="J321" s="635"/>
      <c r="K321" s="395">
        <v>11.703124999999968</v>
      </c>
      <c r="L321" s="537"/>
      <c r="M321" s="509">
        <f t="shared" si="673"/>
        <v>1.0680907877169588</v>
      </c>
      <c r="N321" s="646"/>
      <c r="O321" s="626"/>
      <c r="P321" s="629"/>
      <c r="Q321" s="629"/>
    </row>
    <row r="322" spans="1:17" ht="15.75" hidden="1" thickBot="1">
      <c r="A322" s="390" t="str">
        <f t="shared" ref="A322:B322" si="825">A319</f>
        <v>HDPE</v>
      </c>
      <c r="B322" s="391" t="str">
        <f t="shared" si="825"/>
        <v>particle</v>
      </c>
      <c r="C322" s="391">
        <f t="shared" si="784"/>
        <v>6</v>
      </c>
      <c r="D322" s="391" t="str">
        <f t="shared" ref="D322:E322" si="826">D319</f>
        <v>0,01-0,1</v>
      </c>
      <c r="E322" s="391">
        <f t="shared" si="826"/>
        <v>0.1</v>
      </c>
      <c r="F322" s="391" t="str">
        <f t="shared" ref="F322:G322" si="827">F321</f>
        <v>air</v>
      </c>
      <c r="G322" s="401" t="str">
        <f t="shared" si="827"/>
        <v>DE: HDPE particle 0,01-0,1 mm (emission to air)</v>
      </c>
      <c r="H322" s="393">
        <v>0</v>
      </c>
      <c r="I322" s="394" t="s">
        <v>1162</v>
      </c>
      <c r="J322" s="635"/>
      <c r="K322" s="395">
        <v>11.703124999999968</v>
      </c>
      <c r="L322" s="537"/>
      <c r="M322" s="509">
        <f t="shared" si="673"/>
        <v>1.0680907877169588</v>
      </c>
      <c r="N322" s="646"/>
      <c r="O322" s="626"/>
      <c r="P322" s="629"/>
      <c r="Q322" s="629"/>
    </row>
    <row r="323" spans="1:17" ht="15.75" hidden="1" thickBot="1">
      <c r="A323" s="390" t="str">
        <f t="shared" ref="A323:B323" si="828">A320</f>
        <v>HDPE</v>
      </c>
      <c r="B323" s="391" t="str">
        <f t="shared" si="828"/>
        <v>particle</v>
      </c>
      <c r="C323" s="391">
        <f t="shared" si="784"/>
        <v>6</v>
      </c>
      <c r="D323" s="391" t="str">
        <f t="shared" ref="D323:E323" si="829">D320</f>
        <v>0,01-0,1</v>
      </c>
      <c r="E323" s="391">
        <f t="shared" si="829"/>
        <v>0.1</v>
      </c>
      <c r="F323" s="391" t="str">
        <f t="shared" ref="F323:G323" si="830">F322</f>
        <v>air</v>
      </c>
      <c r="G323" s="401" t="str">
        <f t="shared" si="830"/>
        <v>DE: HDPE particle 0,01-0,1 mm (emission to air)</v>
      </c>
      <c r="H323" s="393">
        <v>0</v>
      </c>
      <c r="I323" s="394" t="s">
        <v>1163</v>
      </c>
      <c r="J323" s="635"/>
      <c r="K323" s="395">
        <v>11.703124999999968</v>
      </c>
      <c r="L323" s="537"/>
      <c r="M323" s="509">
        <f t="shared" si="673"/>
        <v>1.0680907877169588</v>
      </c>
      <c r="N323" s="646"/>
      <c r="O323" s="626"/>
      <c r="P323" s="629"/>
      <c r="Q323" s="629"/>
    </row>
    <row r="324" spans="1:17" ht="15.75" hidden="1" thickBot="1">
      <c r="A324" s="404" t="str">
        <f t="shared" ref="A324:B324" si="831">A319</f>
        <v>HDPE</v>
      </c>
      <c r="B324" s="402" t="str">
        <f t="shared" si="831"/>
        <v>particle</v>
      </c>
      <c r="C324" s="391">
        <f t="shared" si="784"/>
        <v>6</v>
      </c>
      <c r="D324" s="402" t="str">
        <f t="shared" ref="D324:E324" si="832">D319</f>
        <v>0,01-0,1</v>
      </c>
      <c r="E324" s="402">
        <f t="shared" si="832"/>
        <v>0.1</v>
      </c>
      <c r="F324" s="391" t="str">
        <f t="shared" ref="F324:G324" si="833">F323</f>
        <v>air</v>
      </c>
      <c r="G324" s="401" t="str">
        <f t="shared" si="833"/>
        <v>DE: HDPE particle 0,01-0,1 mm (emission to air)</v>
      </c>
      <c r="H324" s="393">
        <v>0</v>
      </c>
      <c r="I324" s="394" t="s">
        <v>1034</v>
      </c>
      <c r="J324" s="636"/>
      <c r="K324" s="398" t="s">
        <v>596</v>
      </c>
      <c r="L324" s="538"/>
      <c r="M324" s="509">
        <f t="shared" si="673"/>
        <v>0</v>
      </c>
      <c r="N324" s="647"/>
      <c r="O324" s="627"/>
      <c r="P324" s="629"/>
      <c r="Q324" s="629"/>
    </row>
    <row r="325" spans="1:17" ht="15.75" hidden="1" thickBot="1">
      <c r="A325" s="405" t="s">
        <v>69</v>
      </c>
      <c r="B325" s="406" t="s">
        <v>1152</v>
      </c>
      <c r="C325" s="407">
        <v>6</v>
      </c>
      <c r="D325" s="423" t="s">
        <v>1028</v>
      </c>
      <c r="E325" s="408">
        <v>1</v>
      </c>
      <c r="F325" s="424" t="s">
        <v>1019</v>
      </c>
      <c r="G325" s="425" t="str">
        <f>CONCATENATE("DE: ",A325," ",B325," ",D325," mm (emission to ",F325,")")</f>
        <v>DE: HDPE particle 0,1-1 mm (emission to soil)</v>
      </c>
      <c r="H325" s="426">
        <v>0.97</v>
      </c>
      <c r="I325" s="427" t="s">
        <v>1153</v>
      </c>
      <c r="J325" s="632">
        <v>0.22800000000000001</v>
      </c>
      <c r="K325" s="428">
        <v>11.703124999999968</v>
      </c>
      <c r="L325" s="539"/>
      <c r="M325" s="509">
        <f t="shared" si="673"/>
        <v>10.680907877169588</v>
      </c>
      <c r="N325" s="645">
        <f t="shared" ref="N325" si="834">IFERROR(H325*M325+H326*M326+H327*M327+H328*M328+H329*M329,"N.A.")</f>
        <v>10.680907877169588</v>
      </c>
      <c r="O325" s="625"/>
      <c r="P325" s="628">
        <f t="shared" si="681"/>
        <v>10.680907877169588</v>
      </c>
      <c r="Q325" s="628">
        <f t="shared" si="770"/>
        <v>10.680907877169588</v>
      </c>
    </row>
    <row r="326" spans="1:17" ht="15.75" hidden="1" thickBot="1">
      <c r="A326" s="390" t="str">
        <f>A325</f>
        <v>HDPE</v>
      </c>
      <c r="B326" s="391" t="str">
        <f>B325</f>
        <v>particle</v>
      </c>
      <c r="C326" s="391">
        <f t="shared" ref="C326:C344" si="835">C325</f>
        <v>6</v>
      </c>
      <c r="D326" s="391" t="str">
        <f t="shared" ref="D326:G326" si="836">D325</f>
        <v>0,1-1</v>
      </c>
      <c r="E326" s="391">
        <f t="shared" si="836"/>
        <v>1</v>
      </c>
      <c r="F326" s="391" t="str">
        <f t="shared" si="836"/>
        <v>soil</v>
      </c>
      <c r="G326" s="392" t="str">
        <f t="shared" si="836"/>
        <v>DE: HDPE particle 0,1-1 mm (emission to soil)</v>
      </c>
      <c r="H326" s="393">
        <v>0.03</v>
      </c>
      <c r="I326" s="394" t="s">
        <v>1097</v>
      </c>
      <c r="J326" s="632"/>
      <c r="K326" s="395">
        <v>11.703124999999968</v>
      </c>
      <c r="L326" s="537"/>
      <c r="M326" s="509">
        <f t="shared" ref="M326:M389" si="837">IFERROR(IF(K326="--",0,IF(E326*1000/K326*(1-0.5)^(C326/2)&gt;1000,1000,E326*1000/K326*(1-0.5)^(C326/2))),1000)</f>
        <v>10.680907877169588</v>
      </c>
      <c r="N326" s="646"/>
      <c r="O326" s="626"/>
      <c r="P326" s="629"/>
      <c r="Q326" s="629"/>
    </row>
    <row r="327" spans="1:17" ht="15.75" hidden="1" thickBot="1">
      <c r="A327" s="390" t="str">
        <f t="shared" ref="A327:A328" si="838">A326</f>
        <v>HDPE</v>
      </c>
      <c r="B327" s="391" t="str">
        <f t="shared" ref="B327:B328" si="839">B326</f>
        <v>particle</v>
      </c>
      <c r="C327" s="391">
        <f t="shared" si="835"/>
        <v>6</v>
      </c>
      <c r="D327" s="391" t="str">
        <f t="shared" ref="D327:G327" si="840">D326</f>
        <v>0,1-1</v>
      </c>
      <c r="E327" s="391">
        <f t="shared" si="840"/>
        <v>1</v>
      </c>
      <c r="F327" s="391" t="str">
        <f t="shared" si="840"/>
        <v>soil</v>
      </c>
      <c r="G327" s="392" t="str">
        <f t="shared" si="840"/>
        <v>DE: HDPE particle 0,1-1 mm (emission to soil)</v>
      </c>
      <c r="H327" s="393">
        <v>0</v>
      </c>
      <c r="I327" s="394" t="s">
        <v>1162</v>
      </c>
      <c r="J327" s="632"/>
      <c r="K327" s="395">
        <v>11.703124999999968</v>
      </c>
      <c r="L327" s="537"/>
      <c r="M327" s="509">
        <f t="shared" si="837"/>
        <v>10.680907877169588</v>
      </c>
      <c r="N327" s="646"/>
      <c r="O327" s="626"/>
      <c r="P327" s="629"/>
      <c r="Q327" s="629"/>
    </row>
    <row r="328" spans="1:17" ht="15.75" hidden="1" thickBot="1">
      <c r="A328" s="390" t="str">
        <f t="shared" si="838"/>
        <v>HDPE</v>
      </c>
      <c r="B328" s="391" t="str">
        <f t="shared" si="839"/>
        <v>particle</v>
      </c>
      <c r="C328" s="391">
        <f t="shared" si="835"/>
        <v>6</v>
      </c>
      <c r="D328" s="391" t="str">
        <f t="shared" ref="D328:G329" si="841">D327</f>
        <v>0,1-1</v>
      </c>
      <c r="E328" s="391">
        <f t="shared" si="841"/>
        <v>1</v>
      </c>
      <c r="F328" s="391" t="str">
        <f t="shared" si="841"/>
        <v>soil</v>
      </c>
      <c r="G328" s="392" t="str">
        <f t="shared" si="841"/>
        <v>DE: HDPE particle 0,1-1 mm (emission to soil)</v>
      </c>
      <c r="H328" s="393">
        <v>0</v>
      </c>
      <c r="I328" s="394" t="s">
        <v>1163</v>
      </c>
      <c r="J328" s="632"/>
      <c r="K328" s="395">
        <v>11.703124999999968</v>
      </c>
      <c r="L328" s="537"/>
      <c r="M328" s="509">
        <f t="shared" si="837"/>
        <v>10.680907877169588</v>
      </c>
      <c r="N328" s="646"/>
      <c r="O328" s="626"/>
      <c r="P328" s="629"/>
      <c r="Q328" s="629"/>
    </row>
    <row r="329" spans="1:17" ht="15.75" hidden="1" thickBot="1">
      <c r="A329" s="390" t="str">
        <f>A326</f>
        <v>HDPE</v>
      </c>
      <c r="B329" s="391" t="str">
        <f>B326</f>
        <v>particle</v>
      </c>
      <c r="C329" s="391">
        <f t="shared" si="835"/>
        <v>6</v>
      </c>
      <c r="D329" s="391" t="str">
        <f>D326</f>
        <v>0,1-1</v>
      </c>
      <c r="E329" s="391">
        <f>E326</f>
        <v>1</v>
      </c>
      <c r="F329" s="391" t="str">
        <f>F326</f>
        <v>soil</v>
      </c>
      <c r="G329" s="396" t="str">
        <f t="shared" si="841"/>
        <v>DE: HDPE particle 0,1-1 mm (emission to soil)</v>
      </c>
      <c r="H329" s="393">
        <v>0</v>
      </c>
      <c r="I329" s="397" t="s">
        <v>1034</v>
      </c>
      <c r="J329" s="633"/>
      <c r="K329" s="398" t="s">
        <v>596</v>
      </c>
      <c r="L329" s="538"/>
      <c r="M329" s="509">
        <f t="shared" si="837"/>
        <v>0</v>
      </c>
      <c r="N329" s="647"/>
      <c r="O329" s="627"/>
      <c r="P329" s="629"/>
      <c r="Q329" s="629"/>
    </row>
    <row r="330" spans="1:17" ht="15.75" hidden="1" thickBot="1">
      <c r="A330" s="390" t="str">
        <f t="shared" ref="A330:B330" si="842">A327</f>
        <v>HDPE</v>
      </c>
      <c r="B330" s="391" t="str">
        <f t="shared" si="842"/>
        <v>particle</v>
      </c>
      <c r="C330" s="391">
        <f t="shared" si="835"/>
        <v>6</v>
      </c>
      <c r="D330" s="399" t="str">
        <f t="shared" ref="D330:E330" si="843">D327</f>
        <v>0,1-1</v>
      </c>
      <c r="E330" s="391">
        <f t="shared" si="843"/>
        <v>1</v>
      </c>
      <c r="F330" s="400" t="s">
        <v>1147</v>
      </c>
      <c r="G330" s="386" t="str">
        <f>CONCATENATE("DE: ",A330," ",B330," ",D330," mm (emission to ",F330,")")</f>
        <v>DE: HDPE particle 0,1-1 mm (emission to fresh water)</v>
      </c>
      <c r="H330" s="387">
        <v>0</v>
      </c>
      <c r="I330" s="388" t="s">
        <v>1153</v>
      </c>
      <c r="J330" s="634">
        <v>0.22800000000000001</v>
      </c>
      <c r="K330" s="389">
        <v>11.703124999999968</v>
      </c>
      <c r="L330" s="536"/>
      <c r="M330" s="509">
        <f t="shared" si="837"/>
        <v>10.680907877169588</v>
      </c>
      <c r="N330" s="645">
        <f t="shared" ref="N330" si="844">IFERROR(H330*M330+H331*M331+H332*M332+H333*M333+H334*M334,"N.A.")</f>
        <v>10.680907877169588</v>
      </c>
      <c r="O330" s="625"/>
      <c r="P330" s="628">
        <f t="shared" ref="P330:P390" si="845">IFERROR(IF(H330*M330+H331*M331+H332*M332+H333*M333+H334*M334&gt;100,100,H330*M330+H331*M331+H332*M332+H333*M333+H334*M334),"N.A.")</f>
        <v>10.680907877169588</v>
      </c>
      <c r="Q330" s="628">
        <f t="shared" si="770"/>
        <v>10.680907877169588</v>
      </c>
    </row>
    <row r="331" spans="1:17" ht="15.75" hidden="1" thickBot="1">
      <c r="A331" s="390" t="str">
        <f t="shared" ref="A331:B331" si="846">A328</f>
        <v>HDPE</v>
      </c>
      <c r="B331" s="391" t="str">
        <f t="shared" si="846"/>
        <v>particle</v>
      </c>
      <c r="C331" s="391">
        <f t="shared" si="835"/>
        <v>6</v>
      </c>
      <c r="D331" s="391" t="str">
        <f t="shared" ref="D331:E331" si="847">D328</f>
        <v>0,1-1</v>
      </c>
      <c r="E331" s="391">
        <f t="shared" si="847"/>
        <v>1</v>
      </c>
      <c r="F331" s="391" t="str">
        <f t="shared" ref="F331:G331" si="848">F330</f>
        <v>fresh water</v>
      </c>
      <c r="G331" s="401" t="str">
        <f t="shared" si="848"/>
        <v>DE: HDPE particle 0,1-1 mm (emission to fresh water)</v>
      </c>
      <c r="H331" s="393">
        <v>1</v>
      </c>
      <c r="I331" s="394" t="s">
        <v>1097</v>
      </c>
      <c r="J331" s="635"/>
      <c r="K331" s="395">
        <v>11.703124999999968</v>
      </c>
      <c r="L331" s="537"/>
      <c r="M331" s="509">
        <f t="shared" si="837"/>
        <v>10.680907877169588</v>
      </c>
      <c r="N331" s="646"/>
      <c r="O331" s="626"/>
      <c r="P331" s="629"/>
      <c r="Q331" s="629"/>
    </row>
    <row r="332" spans="1:17" ht="15.75" hidden="1" thickBot="1">
      <c r="A332" s="390" t="str">
        <f t="shared" ref="A332:B332" si="849">A329</f>
        <v>HDPE</v>
      </c>
      <c r="B332" s="391" t="str">
        <f t="shared" si="849"/>
        <v>particle</v>
      </c>
      <c r="C332" s="391">
        <f t="shared" si="835"/>
        <v>6</v>
      </c>
      <c r="D332" s="391" t="str">
        <f t="shared" ref="D332:E332" si="850">D329</f>
        <v>0,1-1</v>
      </c>
      <c r="E332" s="391">
        <f t="shared" si="850"/>
        <v>1</v>
      </c>
      <c r="F332" s="391" t="str">
        <f t="shared" ref="F332:G332" si="851">F331</f>
        <v>fresh water</v>
      </c>
      <c r="G332" s="401" t="str">
        <f t="shared" si="851"/>
        <v>DE: HDPE particle 0,1-1 mm (emission to fresh water)</v>
      </c>
      <c r="H332" s="393">
        <v>0</v>
      </c>
      <c r="I332" s="394" t="s">
        <v>1162</v>
      </c>
      <c r="J332" s="635"/>
      <c r="K332" s="395">
        <v>11.703124999999968</v>
      </c>
      <c r="L332" s="537"/>
      <c r="M332" s="509">
        <f t="shared" si="837"/>
        <v>10.680907877169588</v>
      </c>
      <c r="N332" s="646"/>
      <c r="O332" s="626"/>
      <c r="P332" s="629"/>
      <c r="Q332" s="629"/>
    </row>
    <row r="333" spans="1:17" ht="15.75" hidden="1" thickBot="1">
      <c r="A333" s="390" t="str">
        <f t="shared" ref="A333:B333" si="852">A330</f>
        <v>HDPE</v>
      </c>
      <c r="B333" s="391" t="str">
        <f t="shared" si="852"/>
        <v>particle</v>
      </c>
      <c r="C333" s="391">
        <f t="shared" si="835"/>
        <v>6</v>
      </c>
      <c r="D333" s="391" t="str">
        <f t="shared" ref="D333:E333" si="853">D330</f>
        <v>0,1-1</v>
      </c>
      <c r="E333" s="391">
        <f t="shared" si="853"/>
        <v>1</v>
      </c>
      <c r="F333" s="391" t="str">
        <f t="shared" ref="F333:G334" si="854">F332</f>
        <v>fresh water</v>
      </c>
      <c r="G333" s="401" t="str">
        <f t="shared" si="854"/>
        <v>DE: HDPE particle 0,1-1 mm (emission to fresh water)</v>
      </c>
      <c r="H333" s="393">
        <v>0</v>
      </c>
      <c r="I333" s="394" t="s">
        <v>1163</v>
      </c>
      <c r="J333" s="635"/>
      <c r="K333" s="395">
        <v>11.703124999999968</v>
      </c>
      <c r="L333" s="537"/>
      <c r="M333" s="509">
        <f t="shared" si="837"/>
        <v>10.680907877169588</v>
      </c>
      <c r="N333" s="646"/>
      <c r="O333" s="626"/>
      <c r="P333" s="629"/>
      <c r="Q333" s="629"/>
    </row>
    <row r="334" spans="1:17" ht="15.75" hidden="1" thickBot="1">
      <c r="A334" s="390" t="str">
        <f t="shared" ref="A334:B334" si="855">A331</f>
        <v>HDPE</v>
      </c>
      <c r="B334" s="391" t="str">
        <f t="shared" si="855"/>
        <v>particle</v>
      </c>
      <c r="C334" s="391">
        <f t="shared" si="835"/>
        <v>6</v>
      </c>
      <c r="D334" s="391" t="str">
        <f t="shared" ref="D334:E334" si="856">D331</f>
        <v>0,1-1</v>
      </c>
      <c r="E334" s="391">
        <f t="shared" si="856"/>
        <v>1</v>
      </c>
      <c r="F334" s="402" t="str">
        <f>F331</f>
        <v>fresh water</v>
      </c>
      <c r="G334" s="401" t="str">
        <f t="shared" si="854"/>
        <v>DE: HDPE particle 0,1-1 mm (emission to fresh water)</v>
      </c>
      <c r="H334" s="393">
        <v>0</v>
      </c>
      <c r="I334" s="394" t="s">
        <v>1034</v>
      </c>
      <c r="J334" s="654"/>
      <c r="K334" s="398" t="s">
        <v>596</v>
      </c>
      <c r="L334" s="538"/>
      <c r="M334" s="509">
        <f t="shared" si="837"/>
        <v>0</v>
      </c>
      <c r="N334" s="647"/>
      <c r="O334" s="627"/>
      <c r="P334" s="629"/>
      <c r="Q334" s="629"/>
    </row>
    <row r="335" spans="1:17" ht="15.75" hidden="1" thickBot="1">
      <c r="A335" s="390" t="str">
        <f t="shared" ref="A335:B335" si="857">A332</f>
        <v>HDPE</v>
      </c>
      <c r="B335" s="391" t="str">
        <f t="shared" si="857"/>
        <v>particle</v>
      </c>
      <c r="C335" s="391">
        <f t="shared" si="835"/>
        <v>6</v>
      </c>
      <c r="D335" s="391" t="str">
        <f t="shared" ref="D335:E335" si="858">D332</f>
        <v>0,1-1</v>
      </c>
      <c r="E335" s="391">
        <f t="shared" si="858"/>
        <v>1</v>
      </c>
      <c r="F335" s="385" t="s">
        <v>1097</v>
      </c>
      <c r="G335" s="422" t="str">
        <f>CONCATENATE("DE: ",A335," ",B335," ",D335," mm (emission to ",F335,")")</f>
        <v>DE: HDPE particle 0,1-1 mm (emission to marine water)</v>
      </c>
      <c r="H335" s="387">
        <v>0</v>
      </c>
      <c r="I335" s="388" t="s">
        <v>1153</v>
      </c>
      <c r="J335" s="634">
        <v>0.22800000000000001</v>
      </c>
      <c r="K335" s="395">
        <v>11.703124999999968</v>
      </c>
      <c r="L335" s="536"/>
      <c r="M335" s="509">
        <f t="shared" si="837"/>
        <v>10.680907877169588</v>
      </c>
      <c r="N335" s="645">
        <f t="shared" ref="N335" si="859">IFERROR(H335*M335+H336*M336+H337*M337+H338*M338+H339*M339,"N.A.")</f>
        <v>10.680907877169588</v>
      </c>
      <c r="O335" s="625"/>
      <c r="P335" s="628">
        <f t="shared" si="845"/>
        <v>10.680907877169588</v>
      </c>
      <c r="Q335" s="628">
        <f t="shared" si="770"/>
        <v>10.680907877169588</v>
      </c>
    </row>
    <row r="336" spans="1:17" ht="15.75" hidden="1" thickBot="1">
      <c r="A336" s="390" t="str">
        <f t="shared" ref="A336:B336" si="860">A333</f>
        <v>HDPE</v>
      </c>
      <c r="B336" s="391" t="str">
        <f t="shared" si="860"/>
        <v>particle</v>
      </c>
      <c r="C336" s="391">
        <f t="shared" si="835"/>
        <v>6</v>
      </c>
      <c r="D336" s="391" t="str">
        <f t="shared" ref="D336:E336" si="861">D333</f>
        <v>0,1-1</v>
      </c>
      <c r="E336" s="391">
        <f t="shared" si="861"/>
        <v>1</v>
      </c>
      <c r="F336" s="391" t="str">
        <f t="shared" ref="F336:G336" si="862">F335</f>
        <v>marine water</v>
      </c>
      <c r="G336" s="401" t="str">
        <f t="shared" si="862"/>
        <v>DE: HDPE particle 0,1-1 mm (emission to marine water)</v>
      </c>
      <c r="H336" s="393">
        <v>1</v>
      </c>
      <c r="I336" s="394" t="s">
        <v>1097</v>
      </c>
      <c r="J336" s="635"/>
      <c r="K336" s="395">
        <v>11.703124999999968</v>
      </c>
      <c r="L336" s="537"/>
      <c r="M336" s="509">
        <f t="shared" si="837"/>
        <v>10.680907877169588</v>
      </c>
      <c r="N336" s="646"/>
      <c r="O336" s="626"/>
      <c r="P336" s="629"/>
      <c r="Q336" s="629"/>
    </row>
    <row r="337" spans="1:17" ht="15.75" hidden="1" thickBot="1">
      <c r="A337" s="390" t="str">
        <f t="shared" ref="A337:B337" si="863">A334</f>
        <v>HDPE</v>
      </c>
      <c r="B337" s="391" t="str">
        <f t="shared" si="863"/>
        <v>particle</v>
      </c>
      <c r="C337" s="391">
        <f t="shared" si="835"/>
        <v>6</v>
      </c>
      <c r="D337" s="391" t="str">
        <f t="shared" ref="D337:E337" si="864">D334</f>
        <v>0,1-1</v>
      </c>
      <c r="E337" s="391">
        <f t="shared" si="864"/>
        <v>1</v>
      </c>
      <c r="F337" s="391" t="str">
        <f t="shared" ref="F337:G337" si="865">F336</f>
        <v>marine water</v>
      </c>
      <c r="G337" s="401" t="str">
        <f t="shared" si="865"/>
        <v>DE: HDPE particle 0,1-1 mm (emission to marine water)</v>
      </c>
      <c r="H337" s="393">
        <v>0</v>
      </c>
      <c r="I337" s="394" t="s">
        <v>1162</v>
      </c>
      <c r="J337" s="635"/>
      <c r="K337" s="395">
        <v>11.703124999999968</v>
      </c>
      <c r="L337" s="537"/>
      <c r="M337" s="509">
        <f t="shared" si="837"/>
        <v>10.680907877169588</v>
      </c>
      <c r="N337" s="646"/>
      <c r="O337" s="626"/>
      <c r="P337" s="629"/>
      <c r="Q337" s="629"/>
    </row>
    <row r="338" spans="1:17" ht="15.75" hidden="1" thickBot="1">
      <c r="A338" s="390" t="str">
        <f t="shared" ref="A338:B338" si="866">A335</f>
        <v>HDPE</v>
      </c>
      <c r="B338" s="391" t="str">
        <f t="shared" si="866"/>
        <v>particle</v>
      </c>
      <c r="C338" s="391">
        <f t="shared" si="835"/>
        <v>6</v>
      </c>
      <c r="D338" s="391" t="str">
        <f t="shared" ref="D338:E338" si="867">D335</f>
        <v>0,1-1</v>
      </c>
      <c r="E338" s="391">
        <f t="shared" si="867"/>
        <v>1</v>
      </c>
      <c r="F338" s="391" t="str">
        <f t="shared" ref="F338:G338" si="868">F337</f>
        <v>marine water</v>
      </c>
      <c r="G338" s="401" t="str">
        <f t="shared" si="868"/>
        <v>DE: HDPE particle 0,1-1 mm (emission to marine water)</v>
      </c>
      <c r="H338" s="393">
        <v>0</v>
      </c>
      <c r="I338" s="394" t="s">
        <v>1163</v>
      </c>
      <c r="J338" s="635"/>
      <c r="K338" s="395">
        <v>11.703124999999968</v>
      </c>
      <c r="L338" s="537"/>
      <c r="M338" s="509">
        <f t="shared" si="837"/>
        <v>10.680907877169588</v>
      </c>
      <c r="N338" s="646"/>
      <c r="O338" s="626"/>
      <c r="P338" s="629"/>
      <c r="Q338" s="629"/>
    </row>
    <row r="339" spans="1:17" ht="15.75" hidden="1" thickBot="1">
      <c r="A339" s="390" t="str">
        <f t="shared" ref="A339:B339" si="869">A336</f>
        <v>HDPE</v>
      </c>
      <c r="B339" s="391" t="str">
        <f t="shared" si="869"/>
        <v>particle</v>
      </c>
      <c r="C339" s="391">
        <f t="shared" si="835"/>
        <v>6</v>
      </c>
      <c r="D339" s="391" t="str">
        <f t="shared" ref="D339:E339" si="870">D336</f>
        <v>0,1-1</v>
      </c>
      <c r="E339" s="391">
        <f t="shared" si="870"/>
        <v>1</v>
      </c>
      <c r="F339" s="391" t="str">
        <f t="shared" ref="F339:G339" si="871">F338</f>
        <v>marine water</v>
      </c>
      <c r="G339" s="401" t="str">
        <f t="shared" si="871"/>
        <v>DE: HDPE particle 0,1-1 mm (emission to marine water)</v>
      </c>
      <c r="H339" s="393">
        <v>0</v>
      </c>
      <c r="I339" s="394" t="s">
        <v>1034</v>
      </c>
      <c r="J339" s="654"/>
      <c r="K339" s="398" t="s">
        <v>596</v>
      </c>
      <c r="L339" s="538"/>
      <c r="M339" s="509">
        <f t="shared" si="837"/>
        <v>0</v>
      </c>
      <c r="N339" s="647"/>
      <c r="O339" s="627"/>
      <c r="P339" s="629"/>
      <c r="Q339" s="629"/>
    </row>
    <row r="340" spans="1:17" ht="15.75" hidden="1" thickBot="1">
      <c r="A340" s="390" t="str">
        <f t="shared" ref="A340:B340" si="872">A337</f>
        <v>HDPE</v>
      </c>
      <c r="B340" s="391" t="str">
        <f t="shared" si="872"/>
        <v>particle</v>
      </c>
      <c r="C340" s="391">
        <f t="shared" si="835"/>
        <v>6</v>
      </c>
      <c r="D340" s="391" t="str">
        <f t="shared" ref="D340:E340" si="873">D337</f>
        <v>0,1-1</v>
      </c>
      <c r="E340" s="391">
        <f t="shared" si="873"/>
        <v>1</v>
      </c>
      <c r="F340" s="400" t="s">
        <v>1057</v>
      </c>
      <c r="G340" s="422" t="str">
        <f>CONCATENATE("DE: ",A340," ",B340," ",D340," mm (emission to ",F340,")")</f>
        <v>DE: HDPE particle 0,1-1 mm (emission to air)</v>
      </c>
      <c r="H340" s="403">
        <v>0.94799999999999995</v>
      </c>
      <c r="I340" s="388" t="s">
        <v>1153</v>
      </c>
      <c r="J340" s="634">
        <v>0.22800000000000001</v>
      </c>
      <c r="K340" s="395">
        <v>11.703124999999968</v>
      </c>
      <c r="L340" s="536"/>
      <c r="M340" s="509">
        <f t="shared" si="837"/>
        <v>10.680907877169588</v>
      </c>
      <c r="N340" s="645">
        <f t="shared" ref="N340" si="874">IFERROR(H340*M340+H341*M341+H342*M342+H343*M343+H344*M344,"N.A.")</f>
        <v>10.680907877169588</v>
      </c>
      <c r="O340" s="625"/>
      <c r="P340" s="628">
        <f t="shared" si="845"/>
        <v>10.680907877169588</v>
      </c>
      <c r="Q340" s="628">
        <f t="shared" si="770"/>
        <v>10.680907877169588</v>
      </c>
    </row>
    <row r="341" spans="1:17" ht="15.75" hidden="1" thickBot="1">
      <c r="A341" s="390" t="str">
        <f t="shared" ref="A341:B341" si="875">A338</f>
        <v>HDPE</v>
      </c>
      <c r="B341" s="391" t="str">
        <f t="shared" si="875"/>
        <v>particle</v>
      </c>
      <c r="C341" s="391">
        <f t="shared" si="835"/>
        <v>6</v>
      </c>
      <c r="D341" s="391" t="str">
        <f t="shared" ref="D341:E341" si="876">D338</f>
        <v>0,1-1</v>
      </c>
      <c r="E341" s="391">
        <f t="shared" si="876"/>
        <v>1</v>
      </c>
      <c r="F341" s="391" t="str">
        <f t="shared" ref="F341:G341" si="877">F340</f>
        <v>air</v>
      </c>
      <c r="G341" s="401" t="str">
        <f t="shared" si="877"/>
        <v>DE: HDPE particle 0,1-1 mm (emission to air)</v>
      </c>
      <c r="H341" s="393">
        <v>5.1999999999999998E-2</v>
      </c>
      <c r="I341" s="394" t="s">
        <v>1097</v>
      </c>
      <c r="J341" s="635"/>
      <c r="K341" s="395">
        <v>11.703124999999968</v>
      </c>
      <c r="L341" s="537"/>
      <c r="M341" s="509">
        <f t="shared" si="837"/>
        <v>10.680907877169588</v>
      </c>
      <c r="N341" s="646"/>
      <c r="O341" s="626"/>
      <c r="P341" s="629"/>
      <c r="Q341" s="629"/>
    </row>
    <row r="342" spans="1:17" ht="15.75" hidden="1" thickBot="1">
      <c r="A342" s="390" t="str">
        <f t="shared" ref="A342:B342" si="878">A339</f>
        <v>HDPE</v>
      </c>
      <c r="B342" s="391" t="str">
        <f t="shared" si="878"/>
        <v>particle</v>
      </c>
      <c r="C342" s="391">
        <f t="shared" si="835"/>
        <v>6</v>
      </c>
      <c r="D342" s="391" t="str">
        <f t="shared" ref="D342:E342" si="879">D339</f>
        <v>0,1-1</v>
      </c>
      <c r="E342" s="391">
        <f t="shared" si="879"/>
        <v>1</v>
      </c>
      <c r="F342" s="391" t="str">
        <f t="shared" ref="F342:G342" si="880">F341</f>
        <v>air</v>
      </c>
      <c r="G342" s="401" t="str">
        <f t="shared" si="880"/>
        <v>DE: HDPE particle 0,1-1 mm (emission to air)</v>
      </c>
      <c r="H342" s="393">
        <v>0</v>
      </c>
      <c r="I342" s="394" t="s">
        <v>1162</v>
      </c>
      <c r="J342" s="635"/>
      <c r="K342" s="395">
        <v>11.703124999999968</v>
      </c>
      <c r="L342" s="537"/>
      <c r="M342" s="509">
        <f t="shared" si="837"/>
        <v>10.680907877169588</v>
      </c>
      <c r="N342" s="646"/>
      <c r="O342" s="626"/>
      <c r="P342" s="629"/>
      <c r="Q342" s="629"/>
    </row>
    <row r="343" spans="1:17" ht="15.75" hidden="1" thickBot="1">
      <c r="A343" s="390" t="str">
        <f t="shared" ref="A343:B343" si="881">A340</f>
        <v>HDPE</v>
      </c>
      <c r="B343" s="391" t="str">
        <f t="shared" si="881"/>
        <v>particle</v>
      </c>
      <c r="C343" s="391">
        <f t="shared" si="835"/>
        <v>6</v>
      </c>
      <c r="D343" s="391" t="str">
        <f t="shared" ref="D343:E343" si="882">D340</f>
        <v>0,1-1</v>
      </c>
      <c r="E343" s="391">
        <f t="shared" si="882"/>
        <v>1</v>
      </c>
      <c r="F343" s="391" t="str">
        <f t="shared" ref="F343:G343" si="883">F342</f>
        <v>air</v>
      </c>
      <c r="G343" s="401" t="str">
        <f t="shared" si="883"/>
        <v>DE: HDPE particle 0,1-1 mm (emission to air)</v>
      </c>
      <c r="H343" s="393">
        <v>0</v>
      </c>
      <c r="I343" s="394" t="s">
        <v>1163</v>
      </c>
      <c r="J343" s="635"/>
      <c r="K343" s="395">
        <v>11.703124999999968</v>
      </c>
      <c r="L343" s="537"/>
      <c r="M343" s="509">
        <f t="shared" si="837"/>
        <v>10.680907877169588</v>
      </c>
      <c r="N343" s="646"/>
      <c r="O343" s="626"/>
      <c r="P343" s="629"/>
      <c r="Q343" s="629"/>
    </row>
    <row r="344" spans="1:17" ht="15.75" hidden="1" thickBot="1">
      <c r="A344" s="404" t="str">
        <f t="shared" ref="A344:B344" si="884">A339</f>
        <v>HDPE</v>
      </c>
      <c r="B344" s="402" t="str">
        <f t="shared" si="884"/>
        <v>particle</v>
      </c>
      <c r="C344" s="391">
        <f t="shared" si="835"/>
        <v>6</v>
      </c>
      <c r="D344" s="402" t="str">
        <f t="shared" ref="D344:E344" si="885">D339</f>
        <v>0,1-1</v>
      </c>
      <c r="E344" s="402">
        <f t="shared" si="885"/>
        <v>1</v>
      </c>
      <c r="F344" s="391" t="str">
        <f t="shared" ref="F344:G344" si="886">F343</f>
        <v>air</v>
      </c>
      <c r="G344" s="401" t="str">
        <f t="shared" si="886"/>
        <v>DE: HDPE particle 0,1-1 mm (emission to air)</v>
      </c>
      <c r="H344" s="393">
        <v>0</v>
      </c>
      <c r="I344" s="394" t="s">
        <v>1034</v>
      </c>
      <c r="J344" s="636"/>
      <c r="K344" s="398" t="s">
        <v>596</v>
      </c>
      <c r="L344" s="538"/>
      <c r="M344" s="509">
        <f t="shared" si="837"/>
        <v>0</v>
      </c>
      <c r="N344" s="647"/>
      <c r="O344" s="627"/>
      <c r="P344" s="629"/>
      <c r="Q344" s="629"/>
    </row>
    <row r="345" spans="1:17" ht="15.75" hidden="1" thickBot="1">
      <c r="A345" s="405" t="s">
        <v>69</v>
      </c>
      <c r="B345" s="406" t="s">
        <v>1152</v>
      </c>
      <c r="C345" s="407">
        <v>6</v>
      </c>
      <c r="D345" s="423" t="s">
        <v>1026</v>
      </c>
      <c r="E345" s="408">
        <v>10</v>
      </c>
      <c r="F345" s="424" t="s">
        <v>1019</v>
      </c>
      <c r="G345" s="425" t="str">
        <f>CONCATENATE("DE: ",A345," ",B345," ",D345," mm (emission to ",F345,")")</f>
        <v>DE: HDPE particle 1-10 mm (emission to soil)</v>
      </c>
      <c r="H345" s="426">
        <v>0.97</v>
      </c>
      <c r="I345" s="427" t="s">
        <v>1153</v>
      </c>
      <c r="J345" s="632">
        <v>0.22800000000000001</v>
      </c>
      <c r="K345" s="428">
        <v>11.703124999999968</v>
      </c>
      <c r="L345" s="539"/>
      <c r="M345" s="509">
        <f t="shared" si="837"/>
        <v>106.80907877169588</v>
      </c>
      <c r="N345" s="645">
        <f t="shared" ref="N345" si="887">IFERROR(H345*M345+H346*M346+H347*M347+H348*M348+H349*M349,"N.A.")</f>
        <v>106.80907877169588</v>
      </c>
      <c r="O345" s="625"/>
      <c r="P345" s="628">
        <f t="shared" si="845"/>
        <v>100</v>
      </c>
      <c r="Q345" s="628">
        <f t="shared" si="770"/>
        <v>106.80907877169588</v>
      </c>
    </row>
    <row r="346" spans="1:17" ht="15.75" hidden="1" thickBot="1">
      <c r="A346" s="390" t="str">
        <f>A345</f>
        <v>HDPE</v>
      </c>
      <c r="B346" s="391" t="str">
        <f>B345</f>
        <v>particle</v>
      </c>
      <c r="C346" s="391">
        <f t="shared" ref="C346:C364" si="888">C345</f>
        <v>6</v>
      </c>
      <c r="D346" s="391" t="str">
        <f t="shared" ref="D346:G346" si="889">D345</f>
        <v>1-10</v>
      </c>
      <c r="E346" s="391">
        <f t="shared" si="889"/>
        <v>10</v>
      </c>
      <c r="F346" s="391" t="str">
        <f t="shared" si="889"/>
        <v>soil</v>
      </c>
      <c r="G346" s="392" t="str">
        <f t="shared" si="889"/>
        <v>DE: HDPE particle 1-10 mm (emission to soil)</v>
      </c>
      <c r="H346" s="393">
        <v>0.03</v>
      </c>
      <c r="I346" s="394" t="s">
        <v>1097</v>
      </c>
      <c r="J346" s="632"/>
      <c r="K346" s="395">
        <v>11.703124999999968</v>
      </c>
      <c r="L346" s="537"/>
      <c r="M346" s="509">
        <f t="shared" si="837"/>
        <v>106.80907877169588</v>
      </c>
      <c r="N346" s="646"/>
      <c r="O346" s="626"/>
      <c r="P346" s="629"/>
      <c r="Q346" s="629"/>
    </row>
    <row r="347" spans="1:17" ht="15.75" hidden="1" thickBot="1">
      <c r="A347" s="390" t="str">
        <f t="shared" ref="A347:A348" si="890">A346</f>
        <v>HDPE</v>
      </c>
      <c r="B347" s="391" t="str">
        <f t="shared" ref="B347:B348" si="891">B346</f>
        <v>particle</v>
      </c>
      <c r="C347" s="391">
        <f t="shared" si="888"/>
        <v>6</v>
      </c>
      <c r="D347" s="391" t="str">
        <f t="shared" ref="D347:G347" si="892">D346</f>
        <v>1-10</v>
      </c>
      <c r="E347" s="391">
        <f t="shared" si="892"/>
        <v>10</v>
      </c>
      <c r="F347" s="391" t="str">
        <f t="shared" si="892"/>
        <v>soil</v>
      </c>
      <c r="G347" s="392" t="str">
        <f t="shared" si="892"/>
        <v>DE: HDPE particle 1-10 mm (emission to soil)</v>
      </c>
      <c r="H347" s="393">
        <v>0</v>
      </c>
      <c r="I347" s="394" t="s">
        <v>1162</v>
      </c>
      <c r="J347" s="632"/>
      <c r="K347" s="395">
        <v>11.703124999999968</v>
      </c>
      <c r="L347" s="537"/>
      <c r="M347" s="509">
        <f t="shared" si="837"/>
        <v>106.80907877169588</v>
      </c>
      <c r="N347" s="646"/>
      <c r="O347" s="626"/>
      <c r="P347" s="629"/>
      <c r="Q347" s="629"/>
    </row>
    <row r="348" spans="1:17" ht="15.75" hidden="1" thickBot="1">
      <c r="A348" s="390" t="str">
        <f t="shared" si="890"/>
        <v>HDPE</v>
      </c>
      <c r="B348" s="391" t="str">
        <f t="shared" si="891"/>
        <v>particle</v>
      </c>
      <c r="C348" s="391">
        <f t="shared" si="888"/>
        <v>6</v>
      </c>
      <c r="D348" s="391" t="str">
        <f t="shared" ref="D348:G349" si="893">D347</f>
        <v>1-10</v>
      </c>
      <c r="E348" s="391">
        <f t="shared" si="893"/>
        <v>10</v>
      </c>
      <c r="F348" s="391" t="str">
        <f t="shared" si="893"/>
        <v>soil</v>
      </c>
      <c r="G348" s="392" t="str">
        <f t="shared" si="893"/>
        <v>DE: HDPE particle 1-10 mm (emission to soil)</v>
      </c>
      <c r="H348" s="393">
        <v>0</v>
      </c>
      <c r="I348" s="394" t="s">
        <v>1163</v>
      </c>
      <c r="J348" s="632"/>
      <c r="K348" s="395">
        <v>11.703124999999968</v>
      </c>
      <c r="L348" s="537"/>
      <c r="M348" s="509">
        <f t="shared" si="837"/>
        <v>106.80907877169588</v>
      </c>
      <c r="N348" s="646"/>
      <c r="O348" s="626"/>
      <c r="P348" s="629"/>
      <c r="Q348" s="629"/>
    </row>
    <row r="349" spans="1:17" ht="15.75" hidden="1" thickBot="1">
      <c r="A349" s="390" t="str">
        <f>A346</f>
        <v>HDPE</v>
      </c>
      <c r="B349" s="391" t="str">
        <f>B346</f>
        <v>particle</v>
      </c>
      <c r="C349" s="391">
        <f t="shared" si="888"/>
        <v>6</v>
      </c>
      <c r="D349" s="391" t="str">
        <f>D346</f>
        <v>1-10</v>
      </c>
      <c r="E349" s="391">
        <f>E346</f>
        <v>10</v>
      </c>
      <c r="F349" s="391" t="str">
        <f>F346</f>
        <v>soil</v>
      </c>
      <c r="G349" s="396" t="str">
        <f t="shared" si="893"/>
        <v>DE: HDPE particle 1-10 mm (emission to soil)</v>
      </c>
      <c r="H349" s="393">
        <v>0</v>
      </c>
      <c r="I349" s="397" t="s">
        <v>1034</v>
      </c>
      <c r="J349" s="633"/>
      <c r="K349" s="398" t="s">
        <v>596</v>
      </c>
      <c r="L349" s="538"/>
      <c r="M349" s="509">
        <f t="shared" si="837"/>
        <v>0</v>
      </c>
      <c r="N349" s="647"/>
      <c r="O349" s="627"/>
      <c r="P349" s="629"/>
      <c r="Q349" s="629"/>
    </row>
    <row r="350" spans="1:17" ht="15.75" hidden="1" thickBot="1">
      <c r="A350" s="390" t="str">
        <f t="shared" ref="A350:B350" si="894">A347</f>
        <v>HDPE</v>
      </c>
      <c r="B350" s="391" t="str">
        <f t="shared" si="894"/>
        <v>particle</v>
      </c>
      <c r="C350" s="391">
        <f t="shared" si="888"/>
        <v>6</v>
      </c>
      <c r="D350" s="399" t="str">
        <f t="shared" ref="D350:E350" si="895">D347</f>
        <v>1-10</v>
      </c>
      <c r="E350" s="391">
        <f t="shared" si="895"/>
        <v>10</v>
      </c>
      <c r="F350" s="400" t="s">
        <v>1147</v>
      </c>
      <c r="G350" s="386" t="str">
        <f>CONCATENATE("DE: ",A350," ",B350," ",D350," mm (emission to ",F350,")")</f>
        <v>DE: HDPE particle 1-10 mm (emission to fresh water)</v>
      </c>
      <c r="H350" s="387">
        <v>0</v>
      </c>
      <c r="I350" s="388" t="s">
        <v>1153</v>
      </c>
      <c r="J350" s="634">
        <v>0.22800000000000001</v>
      </c>
      <c r="K350" s="389">
        <v>11.703124999999968</v>
      </c>
      <c r="L350" s="536"/>
      <c r="M350" s="509">
        <f t="shared" si="837"/>
        <v>106.80907877169588</v>
      </c>
      <c r="N350" s="645">
        <f t="shared" ref="N350" si="896">IFERROR(H350*M350+H351*M351+H352*M352+H353*M353+H354*M354,"N.A.")</f>
        <v>106.80907877169588</v>
      </c>
      <c r="O350" s="625"/>
      <c r="P350" s="628">
        <f t="shared" si="845"/>
        <v>100</v>
      </c>
      <c r="Q350" s="628">
        <f t="shared" si="770"/>
        <v>106.80907877169588</v>
      </c>
    </row>
    <row r="351" spans="1:17" ht="15.75" hidden="1" thickBot="1">
      <c r="A351" s="390" t="str">
        <f t="shared" ref="A351:B351" si="897">A348</f>
        <v>HDPE</v>
      </c>
      <c r="B351" s="391" t="str">
        <f t="shared" si="897"/>
        <v>particle</v>
      </c>
      <c r="C351" s="391">
        <f t="shared" si="888"/>
        <v>6</v>
      </c>
      <c r="D351" s="391" t="str">
        <f t="shared" ref="D351:E351" si="898">D348</f>
        <v>1-10</v>
      </c>
      <c r="E351" s="391">
        <f t="shared" si="898"/>
        <v>10</v>
      </c>
      <c r="F351" s="391" t="str">
        <f t="shared" ref="F351:G351" si="899">F350</f>
        <v>fresh water</v>
      </c>
      <c r="G351" s="401" t="str">
        <f t="shared" si="899"/>
        <v>DE: HDPE particle 1-10 mm (emission to fresh water)</v>
      </c>
      <c r="H351" s="393">
        <v>1</v>
      </c>
      <c r="I351" s="394" t="s">
        <v>1097</v>
      </c>
      <c r="J351" s="635"/>
      <c r="K351" s="395">
        <v>11.703124999999968</v>
      </c>
      <c r="L351" s="537"/>
      <c r="M351" s="509">
        <f t="shared" si="837"/>
        <v>106.80907877169588</v>
      </c>
      <c r="N351" s="646"/>
      <c r="O351" s="626"/>
      <c r="P351" s="629"/>
      <c r="Q351" s="629"/>
    </row>
    <row r="352" spans="1:17" ht="15.75" hidden="1" thickBot="1">
      <c r="A352" s="390" t="str">
        <f t="shared" ref="A352:B352" si="900">A349</f>
        <v>HDPE</v>
      </c>
      <c r="B352" s="391" t="str">
        <f t="shared" si="900"/>
        <v>particle</v>
      </c>
      <c r="C352" s="391">
        <f t="shared" si="888"/>
        <v>6</v>
      </c>
      <c r="D352" s="391" t="str">
        <f t="shared" ref="D352:E352" si="901">D349</f>
        <v>1-10</v>
      </c>
      <c r="E352" s="391">
        <f t="shared" si="901"/>
        <v>10</v>
      </c>
      <c r="F352" s="391" t="str">
        <f t="shared" ref="F352:G352" si="902">F351</f>
        <v>fresh water</v>
      </c>
      <c r="G352" s="401" t="str">
        <f t="shared" si="902"/>
        <v>DE: HDPE particle 1-10 mm (emission to fresh water)</v>
      </c>
      <c r="H352" s="393">
        <v>0</v>
      </c>
      <c r="I352" s="394" t="s">
        <v>1162</v>
      </c>
      <c r="J352" s="635"/>
      <c r="K352" s="395">
        <v>11.703124999999968</v>
      </c>
      <c r="L352" s="537"/>
      <c r="M352" s="509">
        <f t="shared" si="837"/>
        <v>106.80907877169588</v>
      </c>
      <c r="N352" s="646"/>
      <c r="O352" s="626"/>
      <c r="P352" s="629"/>
      <c r="Q352" s="629"/>
    </row>
    <row r="353" spans="1:17" ht="15.75" hidden="1" thickBot="1">
      <c r="A353" s="390" t="str">
        <f t="shared" ref="A353:B353" si="903">A350</f>
        <v>HDPE</v>
      </c>
      <c r="B353" s="391" t="str">
        <f t="shared" si="903"/>
        <v>particle</v>
      </c>
      <c r="C353" s="391">
        <f t="shared" si="888"/>
        <v>6</v>
      </c>
      <c r="D353" s="391" t="str">
        <f t="shared" ref="D353:E353" si="904">D350</f>
        <v>1-10</v>
      </c>
      <c r="E353" s="391">
        <f t="shared" si="904"/>
        <v>10</v>
      </c>
      <c r="F353" s="391" t="str">
        <f t="shared" ref="F353:G354" si="905">F352</f>
        <v>fresh water</v>
      </c>
      <c r="G353" s="401" t="str">
        <f t="shared" si="905"/>
        <v>DE: HDPE particle 1-10 mm (emission to fresh water)</v>
      </c>
      <c r="H353" s="393">
        <v>0</v>
      </c>
      <c r="I353" s="394" t="s">
        <v>1163</v>
      </c>
      <c r="J353" s="635"/>
      <c r="K353" s="395">
        <v>11.703124999999968</v>
      </c>
      <c r="L353" s="537"/>
      <c r="M353" s="509">
        <f t="shared" si="837"/>
        <v>106.80907877169588</v>
      </c>
      <c r="N353" s="646"/>
      <c r="O353" s="626"/>
      <c r="P353" s="629"/>
      <c r="Q353" s="629"/>
    </row>
    <row r="354" spans="1:17" ht="15.75" hidden="1" thickBot="1">
      <c r="A354" s="390" t="str">
        <f t="shared" ref="A354:B354" si="906">A351</f>
        <v>HDPE</v>
      </c>
      <c r="B354" s="391" t="str">
        <f t="shared" si="906"/>
        <v>particle</v>
      </c>
      <c r="C354" s="391">
        <f t="shared" si="888"/>
        <v>6</v>
      </c>
      <c r="D354" s="391" t="str">
        <f t="shared" ref="D354:E354" si="907">D351</f>
        <v>1-10</v>
      </c>
      <c r="E354" s="391">
        <f t="shared" si="907"/>
        <v>10</v>
      </c>
      <c r="F354" s="402" t="str">
        <f>F351</f>
        <v>fresh water</v>
      </c>
      <c r="G354" s="401" t="str">
        <f t="shared" si="905"/>
        <v>DE: HDPE particle 1-10 mm (emission to fresh water)</v>
      </c>
      <c r="H354" s="393">
        <v>0</v>
      </c>
      <c r="I354" s="394" t="s">
        <v>1034</v>
      </c>
      <c r="J354" s="654"/>
      <c r="K354" s="398" t="s">
        <v>596</v>
      </c>
      <c r="L354" s="538"/>
      <c r="M354" s="509">
        <f t="shared" si="837"/>
        <v>0</v>
      </c>
      <c r="N354" s="647"/>
      <c r="O354" s="627"/>
      <c r="P354" s="629"/>
      <c r="Q354" s="629"/>
    </row>
    <row r="355" spans="1:17" ht="15.75" hidden="1" thickBot="1">
      <c r="A355" s="390" t="str">
        <f t="shared" ref="A355:B355" si="908">A352</f>
        <v>HDPE</v>
      </c>
      <c r="B355" s="391" t="str">
        <f t="shared" si="908"/>
        <v>particle</v>
      </c>
      <c r="C355" s="391">
        <f t="shared" si="888"/>
        <v>6</v>
      </c>
      <c r="D355" s="391" t="str">
        <f t="shared" ref="D355:E355" si="909">D352</f>
        <v>1-10</v>
      </c>
      <c r="E355" s="391">
        <f t="shared" si="909"/>
        <v>10</v>
      </c>
      <c r="F355" s="385" t="s">
        <v>1097</v>
      </c>
      <c r="G355" s="422" t="str">
        <f>CONCATENATE("DE: ",A355," ",B355," ",D355," mm (emission to ",F355,")")</f>
        <v>DE: HDPE particle 1-10 mm (emission to marine water)</v>
      </c>
      <c r="H355" s="387">
        <v>0</v>
      </c>
      <c r="I355" s="388" t="s">
        <v>1153</v>
      </c>
      <c r="J355" s="634">
        <v>0.22800000000000001</v>
      </c>
      <c r="K355" s="395">
        <v>11.703124999999968</v>
      </c>
      <c r="L355" s="536"/>
      <c r="M355" s="509">
        <f t="shared" si="837"/>
        <v>106.80907877169588</v>
      </c>
      <c r="N355" s="645">
        <f t="shared" ref="N355" si="910">IFERROR(H355*M355+H356*M356+H357*M357+H358*M358+H359*M359,"N.A.")</f>
        <v>106.80907877169588</v>
      </c>
      <c r="O355" s="625"/>
      <c r="P355" s="628">
        <f t="shared" si="845"/>
        <v>100</v>
      </c>
      <c r="Q355" s="628">
        <f t="shared" si="770"/>
        <v>106.80907877169588</v>
      </c>
    </row>
    <row r="356" spans="1:17" ht="15.75" hidden="1" thickBot="1">
      <c r="A356" s="390" t="str">
        <f t="shared" ref="A356:B356" si="911">A353</f>
        <v>HDPE</v>
      </c>
      <c r="B356" s="391" t="str">
        <f t="shared" si="911"/>
        <v>particle</v>
      </c>
      <c r="C356" s="391">
        <f t="shared" si="888"/>
        <v>6</v>
      </c>
      <c r="D356" s="391" t="str">
        <f t="shared" ref="D356:E356" si="912">D353</f>
        <v>1-10</v>
      </c>
      <c r="E356" s="391">
        <f t="shared" si="912"/>
        <v>10</v>
      </c>
      <c r="F356" s="391" t="str">
        <f t="shared" ref="F356:G356" si="913">F355</f>
        <v>marine water</v>
      </c>
      <c r="G356" s="401" t="str">
        <f t="shared" si="913"/>
        <v>DE: HDPE particle 1-10 mm (emission to marine water)</v>
      </c>
      <c r="H356" s="393">
        <v>1</v>
      </c>
      <c r="I356" s="394" t="s">
        <v>1097</v>
      </c>
      <c r="J356" s="635"/>
      <c r="K356" s="395">
        <v>11.703124999999968</v>
      </c>
      <c r="L356" s="537"/>
      <c r="M356" s="509">
        <f t="shared" si="837"/>
        <v>106.80907877169588</v>
      </c>
      <c r="N356" s="646"/>
      <c r="O356" s="626"/>
      <c r="P356" s="629"/>
      <c r="Q356" s="629"/>
    </row>
    <row r="357" spans="1:17" ht="15.75" hidden="1" thickBot="1">
      <c r="A357" s="390" t="str">
        <f t="shared" ref="A357:B357" si="914">A354</f>
        <v>HDPE</v>
      </c>
      <c r="B357" s="391" t="str">
        <f t="shared" si="914"/>
        <v>particle</v>
      </c>
      <c r="C357" s="391">
        <f t="shared" si="888"/>
        <v>6</v>
      </c>
      <c r="D357" s="391" t="str">
        <f t="shared" ref="D357:E357" si="915">D354</f>
        <v>1-10</v>
      </c>
      <c r="E357" s="391">
        <f t="shared" si="915"/>
        <v>10</v>
      </c>
      <c r="F357" s="391" t="str">
        <f t="shared" ref="F357:G357" si="916">F356</f>
        <v>marine water</v>
      </c>
      <c r="G357" s="401" t="str">
        <f t="shared" si="916"/>
        <v>DE: HDPE particle 1-10 mm (emission to marine water)</v>
      </c>
      <c r="H357" s="393">
        <v>0</v>
      </c>
      <c r="I357" s="394" t="s">
        <v>1162</v>
      </c>
      <c r="J357" s="635"/>
      <c r="K357" s="395">
        <v>11.703124999999968</v>
      </c>
      <c r="L357" s="537"/>
      <c r="M357" s="509">
        <f t="shared" si="837"/>
        <v>106.80907877169588</v>
      </c>
      <c r="N357" s="646"/>
      <c r="O357" s="626"/>
      <c r="P357" s="629"/>
      <c r="Q357" s="629"/>
    </row>
    <row r="358" spans="1:17" ht="15.75" hidden="1" thickBot="1">
      <c r="A358" s="390" t="str">
        <f t="shared" ref="A358:B358" si="917">A355</f>
        <v>HDPE</v>
      </c>
      <c r="B358" s="391" t="str">
        <f t="shared" si="917"/>
        <v>particle</v>
      </c>
      <c r="C358" s="391">
        <f t="shared" si="888"/>
        <v>6</v>
      </c>
      <c r="D358" s="391" t="str">
        <f t="shared" ref="D358:E358" si="918">D355</f>
        <v>1-10</v>
      </c>
      <c r="E358" s="391">
        <f t="shared" si="918"/>
        <v>10</v>
      </c>
      <c r="F358" s="391" t="str">
        <f t="shared" ref="F358:G358" si="919">F357</f>
        <v>marine water</v>
      </c>
      <c r="G358" s="401" t="str">
        <f t="shared" si="919"/>
        <v>DE: HDPE particle 1-10 mm (emission to marine water)</v>
      </c>
      <c r="H358" s="393">
        <v>0</v>
      </c>
      <c r="I358" s="394" t="s">
        <v>1163</v>
      </c>
      <c r="J358" s="635"/>
      <c r="K358" s="395">
        <v>11.703124999999968</v>
      </c>
      <c r="L358" s="537"/>
      <c r="M358" s="509">
        <f t="shared" si="837"/>
        <v>106.80907877169588</v>
      </c>
      <c r="N358" s="646"/>
      <c r="O358" s="626"/>
      <c r="P358" s="629"/>
      <c r="Q358" s="629"/>
    </row>
    <row r="359" spans="1:17" ht="15.75" hidden="1" thickBot="1">
      <c r="A359" s="390" t="str">
        <f t="shared" ref="A359:B359" si="920">A356</f>
        <v>HDPE</v>
      </c>
      <c r="B359" s="391" t="str">
        <f t="shared" si="920"/>
        <v>particle</v>
      </c>
      <c r="C359" s="391">
        <f t="shared" si="888"/>
        <v>6</v>
      </c>
      <c r="D359" s="391" t="str">
        <f t="shared" ref="D359:E359" si="921">D356</f>
        <v>1-10</v>
      </c>
      <c r="E359" s="391">
        <f t="shared" si="921"/>
        <v>10</v>
      </c>
      <c r="F359" s="391" t="str">
        <f t="shared" ref="F359:G359" si="922">F358</f>
        <v>marine water</v>
      </c>
      <c r="G359" s="401" t="str">
        <f t="shared" si="922"/>
        <v>DE: HDPE particle 1-10 mm (emission to marine water)</v>
      </c>
      <c r="H359" s="393">
        <v>0</v>
      </c>
      <c r="I359" s="394" t="s">
        <v>1034</v>
      </c>
      <c r="J359" s="654"/>
      <c r="K359" s="398" t="s">
        <v>596</v>
      </c>
      <c r="L359" s="538"/>
      <c r="M359" s="509">
        <f t="shared" si="837"/>
        <v>0</v>
      </c>
      <c r="N359" s="647"/>
      <c r="O359" s="627"/>
      <c r="P359" s="629"/>
      <c r="Q359" s="629"/>
    </row>
    <row r="360" spans="1:17" ht="15.75" hidden="1" thickBot="1">
      <c r="A360" s="390" t="str">
        <f t="shared" ref="A360:B360" si="923">A357</f>
        <v>HDPE</v>
      </c>
      <c r="B360" s="391" t="str">
        <f t="shared" si="923"/>
        <v>particle</v>
      </c>
      <c r="C360" s="391">
        <f t="shared" si="888"/>
        <v>6</v>
      </c>
      <c r="D360" s="391" t="str">
        <f t="shared" ref="D360:E360" si="924">D357</f>
        <v>1-10</v>
      </c>
      <c r="E360" s="391">
        <f t="shared" si="924"/>
        <v>10</v>
      </c>
      <c r="F360" s="400" t="s">
        <v>1057</v>
      </c>
      <c r="G360" s="422" t="str">
        <f>CONCATENATE("DE: ",A360," ",B360," ",D360," mm (emission to ",F360,")")</f>
        <v>DE: HDPE particle 1-10 mm (emission to air)</v>
      </c>
      <c r="H360" s="403">
        <v>0.94799999999999995</v>
      </c>
      <c r="I360" s="388" t="s">
        <v>1153</v>
      </c>
      <c r="J360" s="634">
        <v>0.22800000000000001</v>
      </c>
      <c r="K360" s="395">
        <v>11.703124999999968</v>
      </c>
      <c r="L360" s="536"/>
      <c r="M360" s="509">
        <f t="shared" si="837"/>
        <v>106.80907877169588</v>
      </c>
      <c r="N360" s="645">
        <f t="shared" ref="N360" si="925">IFERROR(H360*M360+H361*M361+H362*M362+H363*M363+H364*M364,"N.A.")</f>
        <v>106.80907877169587</v>
      </c>
      <c r="O360" s="625"/>
      <c r="P360" s="628">
        <f t="shared" si="845"/>
        <v>100</v>
      </c>
      <c r="Q360" s="628">
        <f t="shared" si="770"/>
        <v>106.80907877169587</v>
      </c>
    </row>
    <row r="361" spans="1:17" ht="15.75" hidden="1" thickBot="1">
      <c r="A361" s="390" t="str">
        <f t="shared" ref="A361:B361" si="926">A358</f>
        <v>HDPE</v>
      </c>
      <c r="B361" s="391" t="str">
        <f t="shared" si="926"/>
        <v>particle</v>
      </c>
      <c r="C361" s="391">
        <f t="shared" si="888"/>
        <v>6</v>
      </c>
      <c r="D361" s="391" t="str">
        <f t="shared" ref="D361:E361" si="927">D358</f>
        <v>1-10</v>
      </c>
      <c r="E361" s="391">
        <f t="shared" si="927"/>
        <v>10</v>
      </c>
      <c r="F361" s="391" t="str">
        <f t="shared" ref="F361:G361" si="928">F360</f>
        <v>air</v>
      </c>
      <c r="G361" s="401" t="str">
        <f t="shared" si="928"/>
        <v>DE: HDPE particle 1-10 mm (emission to air)</v>
      </c>
      <c r="H361" s="393">
        <v>5.1999999999999998E-2</v>
      </c>
      <c r="I361" s="394" t="s">
        <v>1097</v>
      </c>
      <c r="J361" s="635"/>
      <c r="K361" s="395">
        <v>11.703124999999968</v>
      </c>
      <c r="L361" s="537"/>
      <c r="M361" s="509">
        <f t="shared" si="837"/>
        <v>106.80907877169588</v>
      </c>
      <c r="N361" s="646"/>
      <c r="O361" s="626"/>
      <c r="P361" s="629"/>
      <c r="Q361" s="629"/>
    </row>
    <row r="362" spans="1:17" ht="15.75" hidden="1" thickBot="1">
      <c r="A362" s="390" t="str">
        <f t="shared" ref="A362:B362" si="929">A359</f>
        <v>HDPE</v>
      </c>
      <c r="B362" s="391" t="str">
        <f t="shared" si="929"/>
        <v>particle</v>
      </c>
      <c r="C362" s="391">
        <f t="shared" si="888"/>
        <v>6</v>
      </c>
      <c r="D362" s="391" t="str">
        <f t="shared" ref="D362:E362" si="930">D359</f>
        <v>1-10</v>
      </c>
      <c r="E362" s="391">
        <f t="shared" si="930"/>
        <v>10</v>
      </c>
      <c r="F362" s="391" t="str">
        <f t="shared" ref="F362:G362" si="931">F361</f>
        <v>air</v>
      </c>
      <c r="G362" s="401" t="str">
        <f t="shared" si="931"/>
        <v>DE: HDPE particle 1-10 mm (emission to air)</v>
      </c>
      <c r="H362" s="393">
        <v>0</v>
      </c>
      <c r="I362" s="394" t="s">
        <v>1162</v>
      </c>
      <c r="J362" s="635"/>
      <c r="K362" s="395">
        <v>11.703124999999968</v>
      </c>
      <c r="L362" s="537"/>
      <c r="M362" s="509">
        <f t="shared" si="837"/>
        <v>106.80907877169588</v>
      </c>
      <c r="N362" s="646"/>
      <c r="O362" s="626"/>
      <c r="P362" s="629"/>
      <c r="Q362" s="629"/>
    </row>
    <row r="363" spans="1:17" ht="15.75" hidden="1" thickBot="1">
      <c r="A363" s="390" t="str">
        <f t="shared" ref="A363:B363" si="932">A360</f>
        <v>HDPE</v>
      </c>
      <c r="B363" s="391" t="str">
        <f t="shared" si="932"/>
        <v>particle</v>
      </c>
      <c r="C363" s="391">
        <f t="shared" si="888"/>
        <v>6</v>
      </c>
      <c r="D363" s="391" t="str">
        <f t="shared" ref="D363:E363" si="933">D360</f>
        <v>1-10</v>
      </c>
      <c r="E363" s="391">
        <f t="shared" si="933"/>
        <v>10</v>
      </c>
      <c r="F363" s="391" t="str">
        <f t="shared" ref="F363:G363" si="934">F362</f>
        <v>air</v>
      </c>
      <c r="G363" s="401" t="str">
        <f t="shared" si="934"/>
        <v>DE: HDPE particle 1-10 mm (emission to air)</v>
      </c>
      <c r="H363" s="393">
        <v>0</v>
      </c>
      <c r="I363" s="394" t="s">
        <v>1163</v>
      </c>
      <c r="J363" s="635"/>
      <c r="K363" s="395">
        <v>11.703124999999968</v>
      </c>
      <c r="L363" s="537"/>
      <c r="M363" s="509">
        <f t="shared" si="837"/>
        <v>106.80907877169588</v>
      </c>
      <c r="N363" s="646"/>
      <c r="O363" s="626"/>
      <c r="P363" s="629"/>
      <c r="Q363" s="629"/>
    </row>
    <row r="364" spans="1:17" ht="15.75" hidden="1" thickBot="1">
      <c r="A364" s="404" t="str">
        <f t="shared" ref="A364:B364" si="935">A359</f>
        <v>HDPE</v>
      </c>
      <c r="B364" s="402" t="str">
        <f t="shared" si="935"/>
        <v>particle</v>
      </c>
      <c r="C364" s="391">
        <f t="shared" si="888"/>
        <v>6</v>
      </c>
      <c r="D364" s="402" t="str">
        <f t="shared" ref="D364:E364" si="936">D359</f>
        <v>1-10</v>
      </c>
      <c r="E364" s="402">
        <f t="shared" si="936"/>
        <v>10</v>
      </c>
      <c r="F364" s="391" t="str">
        <f t="shared" ref="F364:G364" si="937">F363</f>
        <v>air</v>
      </c>
      <c r="G364" s="401" t="str">
        <f t="shared" si="937"/>
        <v>DE: HDPE particle 1-10 mm (emission to air)</v>
      </c>
      <c r="H364" s="393">
        <v>0</v>
      </c>
      <c r="I364" s="394" t="s">
        <v>1034</v>
      </c>
      <c r="J364" s="636"/>
      <c r="K364" s="398" t="s">
        <v>596</v>
      </c>
      <c r="L364" s="538"/>
      <c r="M364" s="509">
        <f t="shared" si="837"/>
        <v>0</v>
      </c>
      <c r="N364" s="647"/>
      <c r="O364" s="627"/>
      <c r="P364" s="629"/>
      <c r="Q364" s="629"/>
    </row>
    <row r="365" spans="1:17" ht="16.5" hidden="1" thickTop="1" thickBot="1">
      <c r="A365" s="442" t="s">
        <v>67</v>
      </c>
      <c r="B365" s="443" t="s">
        <v>996</v>
      </c>
      <c r="C365" s="444">
        <f>IF(OR(B365="Folie", B365="Strips", B365="Film",B365="Flakes",B365="Coupon"), 2,IF(OR(B365="Fibers",B365="Pellets"),4,IF(OR(B365="Particles",B365="Shreds",B365="Powder",B365="Fragments",B365="Granules"),6,"")))</f>
        <v>2</v>
      </c>
      <c r="D365" s="444" t="s">
        <v>1018</v>
      </c>
      <c r="E365" s="445">
        <v>0.1</v>
      </c>
      <c r="F365" s="458" t="s">
        <v>1019</v>
      </c>
      <c r="G365" s="459" t="str">
        <f>CONCATENATE("DE: ",A365," ",B365," ",D365," mm (emission to ",F365,")")</f>
        <v>DE: LDPE film 0,01-0,1 mm (emission to soil)</v>
      </c>
      <c r="H365" s="460">
        <v>0.97</v>
      </c>
      <c r="I365" s="461" t="s">
        <v>1153</v>
      </c>
      <c r="J365" s="632">
        <v>0.22800000000000001</v>
      </c>
      <c r="K365" s="462">
        <v>5.66</v>
      </c>
      <c r="L365" s="541"/>
      <c r="M365" s="509">
        <f t="shared" si="837"/>
        <v>8.8339222614840995</v>
      </c>
      <c r="N365" s="645">
        <f t="shared" ref="N365" si="938">IFERROR(H365*M365+H366*M366+H367*M367+H368*M368+H369*M369,"N.A.")</f>
        <v>8.8339222614840995</v>
      </c>
      <c r="O365" s="625"/>
      <c r="P365" s="628">
        <f t="shared" si="845"/>
        <v>8.8339222614840995</v>
      </c>
      <c r="Q365" s="628">
        <f t="shared" ref="Q365:Q425" si="939">IFERROR(IF(H365*M365+H366*M366+H367*M367+H368*M368+H369*M369&gt;500,500,H365*M365+H366*M366+H367*M367+H368*M368+H369*M369),"N.A.")</f>
        <v>8.8339222614840995</v>
      </c>
    </row>
    <row r="366" spans="1:17" ht="15.75" hidden="1" thickBot="1">
      <c r="A366" s="390" t="str">
        <f>A365</f>
        <v>LDPE</v>
      </c>
      <c r="B366" s="391" t="str">
        <f>B365</f>
        <v>film</v>
      </c>
      <c r="C366" s="391">
        <f t="shared" ref="C366:C384" si="940">C365</f>
        <v>2</v>
      </c>
      <c r="D366" s="391" t="str">
        <f t="shared" ref="D366:G366" si="941">D365</f>
        <v>0,01-0,1</v>
      </c>
      <c r="E366" s="391">
        <f t="shared" si="941"/>
        <v>0.1</v>
      </c>
      <c r="F366" s="414" t="str">
        <f t="shared" si="941"/>
        <v>soil</v>
      </c>
      <c r="G366" s="415" t="str">
        <f t="shared" si="941"/>
        <v>DE: LDPE film 0,01-0,1 mm (emission to soil)</v>
      </c>
      <c r="H366" s="416">
        <v>0.03</v>
      </c>
      <c r="I366" s="417" t="s">
        <v>1097</v>
      </c>
      <c r="J366" s="632"/>
      <c r="K366" s="418">
        <v>5.66</v>
      </c>
      <c r="L366" s="537"/>
      <c r="M366" s="509">
        <f t="shared" si="837"/>
        <v>8.8339222614840995</v>
      </c>
      <c r="N366" s="646"/>
      <c r="O366" s="626"/>
      <c r="P366" s="629"/>
      <c r="Q366" s="629"/>
    </row>
    <row r="367" spans="1:17" ht="15.75" hidden="1" thickBot="1">
      <c r="A367" s="390" t="str">
        <f t="shared" ref="A367:A368" si="942">A366</f>
        <v>LDPE</v>
      </c>
      <c r="B367" s="391" t="str">
        <f t="shared" ref="B367:B368" si="943">B366</f>
        <v>film</v>
      </c>
      <c r="C367" s="391">
        <f t="shared" si="940"/>
        <v>2</v>
      </c>
      <c r="D367" s="391" t="str">
        <f t="shared" ref="D367:G367" si="944">D366</f>
        <v>0,01-0,1</v>
      </c>
      <c r="E367" s="391">
        <f t="shared" si="944"/>
        <v>0.1</v>
      </c>
      <c r="F367" s="414" t="str">
        <f t="shared" si="944"/>
        <v>soil</v>
      </c>
      <c r="G367" s="415" t="str">
        <f t="shared" si="944"/>
        <v>DE: LDPE film 0,01-0,1 mm (emission to soil)</v>
      </c>
      <c r="H367" s="416">
        <v>0</v>
      </c>
      <c r="I367" s="417" t="s">
        <v>1162</v>
      </c>
      <c r="J367" s="632"/>
      <c r="K367" s="418">
        <v>0.4</v>
      </c>
      <c r="L367" s="537"/>
      <c r="M367" s="509">
        <f t="shared" si="837"/>
        <v>125</v>
      </c>
      <c r="N367" s="646"/>
      <c r="O367" s="626"/>
      <c r="P367" s="629"/>
      <c r="Q367" s="629"/>
    </row>
    <row r="368" spans="1:17" ht="15.75" hidden="1" thickBot="1">
      <c r="A368" s="390" t="str">
        <f t="shared" si="942"/>
        <v>LDPE</v>
      </c>
      <c r="B368" s="391" t="str">
        <f t="shared" si="943"/>
        <v>film</v>
      </c>
      <c r="C368" s="391">
        <f t="shared" si="940"/>
        <v>2</v>
      </c>
      <c r="D368" s="391" t="str">
        <f t="shared" ref="D368:G368" si="945">D367</f>
        <v>0,01-0,1</v>
      </c>
      <c r="E368" s="391">
        <f t="shared" si="945"/>
        <v>0.1</v>
      </c>
      <c r="F368" s="414" t="str">
        <f t="shared" si="945"/>
        <v>soil</v>
      </c>
      <c r="G368" s="415" t="str">
        <f t="shared" si="945"/>
        <v>DE: LDPE film 0,01-0,1 mm (emission to soil)</v>
      </c>
      <c r="H368" s="416">
        <v>0</v>
      </c>
      <c r="I368" s="417" t="s">
        <v>1146</v>
      </c>
      <c r="J368" s="632"/>
      <c r="K368" s="418">
        <v>0.4</v>
      </c>
      <c r="L368" s="537"/>
      <c r="M368" s="509">
        <f t="shared" si="837"/>
        <v>125</v>
      </c>
      <c r="N368" s="646"/>
      <c r="O368" s="626"/>
      <c r="P368" s="629"/>
      <c r="Q368" s="629"/>
    </row>
    <row r="369" spans="1:17" ht="15.75" hidden="1" thickBot="1">
      <c r="A369" s="390" t="str">
        <f>A366</f>
        <v>LDPE</v>
      </c>
      <c r="B369" s="391" t="str">
        <f>B366</f>
        <v>film</v>
      </c>
      <c r="C369" s="391">
        <f t="shared" si="940"/>
        <v>2</v>
      </c>
      <c r="D369" s="391" t="str">
        <f>D366</f>
        <v>0,01-0,1</v>
      </c>
      <c r="E369" s="391">
        <f>E366</f>
        <v>0.1</v>
      </c>
      <c r="F369" s="414" t="str">
        <f>F366</f>
        <v>soil</v>
      </c>
      <c r="G369" s="419" t="str">
        <f t="shared" ref="G369" si="946">G368</f>
        <v>DE: LDPE film 0,01-0,1 mm (emission to soil)</v>
      </c>
      <c r="H369" s="416">
        <v>0</v>
      </c>
      <c r="I369" s="420" t="s">
        <v>1034</v>
      </c>
      <c r="J369" s="633"/>
      <c r="K369" s="421" t="s">
        <v>596</v>
      </c>
      <c r="L369" s="538"/>
      <c r="M369" s="509">
        <f t="shared" si="837"/>
        <v>0</v>
      </c>
      <c r="N369" s="647"/>
      <c r="O369" s="627"/>
      <c r="P369" s="629"/>
      <c r="Q369" s="629"/>
    </row>
    <row r="370" spans="1:17" ht="15.75" hidden="1" thickBot="1">
      <c r="A370" s="390" t="str">
        <f t="shared" ref="A370:B370" si="947">A367</f>
        <v>LDPE</v>
      </c>
      <c r="B370" s="391" t="str">
        <f t="shared" si="947"/>
        <v>film</v>
      </c>
      <c r="C370" s="391">
        <f t="shared" si="940"/>
        <v>2</v>
      </c>
      <c r="D370" s="399" t="str">
        <f t="shared" ref="D370:E370" si="948">D367</f>
        <v>0,01-0,1</v>
      </c>
      <c r="E370" s="391">
        <f t="shared" si="948"/>
        <v>0.1</v>
      </c>
      <c r="F370" s="400" t="s">
        <v>1147</v>
      </c>
      <c r="G370" s="386" t="str">
        <f>CONCATENATE("DE: ",A370," ",B370," ",D370," mm (emission to ",F370,")")</f>
        <v>DE: LDPE film 0,01-0,1 mm (emission to fresh water)</v>
      </c>
      <c r="H370" s="387">
        <v>0</v>
      </c>
      <c r="I370" s="388" t="s">
        <v>1153</v>
      </c>
      <c r="J370" s="634">
        <v>0.22800000000000001</v>
      </c>
      <c r="K370" s="389">
        <v>5.66</v>
      </c>
      <c r="L370" s="536"/>
      <c r="M370" s="509">
        <f t="shared" si="837"/>
        <v>8.8339222614840995</v>
      </c>
      <c r="N370" s="645">
        <f t="shared" ref="N370" si="949">IFERROR(H370*M370+H371*M371+H372*M372+H373*M373+H374*M374,"N.A.")</f>
        <v>8.8339222614840995</v>
      </c>
      <c r="O370" s="625"/>
      <c r="P370" s="628">
        <f t="shared" si="845"/>
        <v>8.8339222614840995</v>
      </c>
      <c r="Q370" s="628">
        <f t="shared" si="939"/>
        <v>8.8339222614840995</v>
      </c>
    </row>
    <row r="371" spans="1:17" ht="15.75" hidden="1" thickBot="1">
      <c r="A371" s="390" t="str">
        <f t="shared" ref="A371:B371" si="950">A368</f>
        <v>LDPE</v>
      </c>
      <c r="B371" s="391" t="str">
        <f t="shared" si="950"/>
        <v>film</v>
      </c>
      <c r="C371" s="391">
        <f t="shared" si="940"/>
        <v>2</v>
      </c>
      <c r="D371" s="391" t="str">
        <f t="shared" ref="D371:E371" si="951">D368</f>
        <v>0,01-0,1</v>
      </c>
      <c r="E371" s="391">
        <f t="shared" si="951"/>
        <v>0.1</v>
      </c>
      <c r="F371" s="391" t="str">
        <f t="shared" ref="F371:G371" si="952">F370</f>
        <v>fresh water</v>
      </c>
      <c r="G371" s="401" t="str">
        <f t="shared" si="952"/>
        <v>DE: LDPE film 0,01-0,1 mm (emission to fresh water)</v>
      </c>
      <c r="H371" s="393">
        <v>1</v>
      </c>
      <c r="I371" s="394" t="s">
        <v>1097</v>
      </c>
      <c r="J371" s="635"/>
      <c r="K371" s="395">
        <v>5.66</v>
      </c>
      <c r="L371" s="537"/>
      <c r="M371" s="509">
        <f t="shared" si="837"/>
        <v>8.8339222614840995</v>
      </c>
      <c r="N371" s="646"/>
      <c r="O371" s="626"/>
      <c r="P371" s="629"/>
      <c r="Q371" s="629"/>
    </row>
    <row r="372" spans="1:17" ht="15.75" hidden="1" thickBot="1">
      <c r="A372" s="390" t="str">
        <f t="shared" ref="A372:B372" si="953">A369</f>
        <v>LDPE</v>
      </c>
      <c r="B372" s="391" t="str">
        <f t="shared" si="953"/>
        <v>film</v>
      </c>
      <c r="C372" s="391">
        <f t="shared" si="940"/>
        <v>2</v>
      </c>
      <c r="D372" s="391" t="str">
        <f t="shared" ref="D372:E372" si="954">D369</f>
        <v>0,01-0,1</v>
      </c>
      <c r="E372" s="391">
        <f t="shared" si="954"/>
        <v>0.1</v>
      </c>
      <c r="F372" s="391" t="str">
        <f t="shared" ref="F372:G372" si="955">F371</f>
        <v>fresh water</v>
      </c>
      <c r="G372" s="401" t="str">
        <f t="shared" si="955"/>
        <v>DE: LDPE film 0,01-0,1 mm (emission to fresh water)</v>
      </c>
      <c r="H372" s="393">
        <v>0</v>
      </c>
      <c r="I372" s="394" t="s">
        <v>1162</v>
      </c>
      <c r="J372" s="635"/>
      <c r="K372" s="395">
        <v>0.4</v>
      </c>
      <c r="L372" s="537"/>
      <c r="M372" s="509">
        <f t="shared" si="837"/>
        <v>125</v>
      </c>
      <c r="N372" s="646"/>
      <c r="O372" s="626"/>
      <c r="P372" s="629"/>
      <c r="Q372" s="629"/>
    </row>
    <row r="373" spans="1:17" ht="15.75" hidden="1" thickBot="1">
      <c r="A373" s="390" t="str">
        <f t="shared" ref="A373:B373" si="956">A370</f>
        <v>LDPE</v>
      </c>
      <c r="B373" s="391" t="str">
        <f t="shared" si="956"/>
        <v>film</v>
      </c>
      <c r="C373" s="391">
        <f t="shared" si="940"/>
        <v>2</v>
      </c>
      <c r="D373" s="391" t="str">
        <f t="shared" ref="D373:E373" si="957">D370</f>
        <v>0,01-0,1</v>
      </c>
      <c r="E373" s="391">
        <f t="shared" si="957"/>
        <v>0.1</v>
      </c>
      <c r="F373" s="391" t="str">
        <f t="shared" ref="F373:G373" si="958">F372</f>
        <v>fresh water</v>
      </c>
      <c r="G373" s="401" t="str">
        <f t="shared" si="958"/>
        <v>DE: LDPE film 0,01-0,1 mm (emission to fresh water)</v>
      </c>
      <c r="H373" s="393">
        <v>0</v>
      </c>
      <c r="I373" s="394" t="s">
        <v>1146</v>
      </c>
      <c r="J373" s="635"/>
      <c r="K373" s="395">
        <v>0.4</v>
      </c>
      <c r="L373" s="537"/>
      <c r="M373" s="509">
        <f t="shared" si="837"/>
        <v>125</v>
      </c>
      <c r="N373" s="646"/>
      <c r="O373" s="626"/>
      <c r="P373" s="629"/>
      <c r="Q373" s="629"/>
    </row>
    <row r="374" spans="1:17" ht="15.75" hidden="1" thickBot="1">
      <c r="A374" s="390" t="str">
        <f t="shared" ref="A374:B374" si="959">A371</f>
        <v>LDPE</v>
      </c>
      <c r="B374" s="391" t="str">
        <f t="shared" si="959"/>
        <v>film</v>
      </c>
      <c r="C374" s="391">
        <f t="shared" si="940"/>
        <v>2</v>
      </c>
      <c r="D374" s="391" t="str">
        <f t="shared" ref="D374:E374" si="960">D371</f>
        <v>0,01-0,1</v>
      </c>
      <c r="E374" s="391">
        <f t="shared" si="960"/>
        <v>0.1</v>
      </c>
      <c r="F374" s="402" t="str">
        <f>F371</f>
        <v>fresh water</v>
      </c>
      <c r="G374" s="401" t="str">
        <f t="shared" ref="G374" si="961">G373</f>
        <v>DE: LDPE film 0,01-0,1 mm (emission to fresh water)</v>
      </c>
      <c r="H374" s="393">
        <v>0</v>
      </c>
      <c r="I374" s="394" t="s">
        <v>1034</v>
      </c>
      <c r="J374" s="654"/>
      <c r="K374" s="398" t="s">
        <v>596</v>
      </c>
      <c r="L374" s="538"/>
      <c r="M374" s="509">
        <f t="shared" si="837"/>
        <v>0</v>
      </c>
      <c r="N374" s="647"/>
      <c r="O374" s="627"/>
      <c r="P374" s="629"/>
      <c r="Q374" s="629"/>
    </row>
    <row r="375" spans="1:17" ht="15.75" hidden="1" thickBot="1">
      <c r="A375" s="390" t="str">
        <f t="shared" ref="A375:B375" si="962">A372</f>
        <v>LDPE</v>
      </c>
      <c r="B375" s="391" t="str">
        <f t="shared" si="962"/>
        <v>film</v>
      </c>
      <c r="C375" s="391">
        <f t="shared" si="940"/>
        <v>2</v>
      </c>
      <c r="D375" s="391" t="str">
        <f t="shared" ref="D375:E375" si="963">D372</f>
        <v>0,01-0,1</v>
      </c>
      <c r="E375" s="391">
        <f t="shared" si="963"/>
        <v>0.1</v>
      </c>
      <c r="F375" s="385" t="s">
        <v>1097</v>
      </c>
      <c r="G375" s="422" t="str">
        <f>CONCATENATE("DE: ",A375," ",B375," ",D375," mm (emission to ",F375,")")</f>
        <v>DE: LDPE film 0,01-0,1 mm (emission to marine water)</v>
      </c>
      <c r="H375" s="403">
        <v>0</v>
      </c>
      <c r="I375" s="388" t="s">
        <v>1153</v>
      </c>
      <c r="J375" s="634">
        <v>0.22800000000000001</v>
      </c>
      <c r="K375" s="395">
        <v>5.66</v>
      </c>
      <c r="L375" s="536"/>
      <c r="M375" s="509">
        <f t="shared" si="837"/>
        <v>8.8339222614840995</v>
      </c>
      <c r="N375" s="645">
        <f t="shared" ref="N375" si="964">IFERROR(H375*M375+H376*M376+H377*M377+H378*M378+H379*M379,"N.A.")</f>
        <v>8.8339222614840995</v>
      </c>
      <c r="O375" s="625"/>
      <c r="P375" s="628">
        <f t="shared" si="845"/>
        <v>8.8339222614840995</v>
      </c>
      <c r="Q375" s="628">
        <f t="shared" si="939"/>
        <v>8.8339222614840995</v>
      </c>
    </row>
    <row r="376" spans="1:17" ht="15.75" hidden="1" thickBot="1">
      <c r="A376" s="390" t="str">
        <f t="shared" ref="A376:B376" si="965">A373</f>
        <v>LDPE</v>
      </c>
      <c r="B376" s="391" t="str">
        <f t="shared" si="965"/>
        <v>film</v>
      </c>
      <c r="C376" s="391">
        <f t="shared" si="940"/>
        <v>2</v>
      </c>
      <c r="D376" s="391" t="str">
        <f t="shared" ref="D376:E376" si="966">D373</f>
        <v>0,01-0,1</v>
      </c>
      <c r="E376" s="391">
        <f t="shared" si="966"/>
        <v>0.1</v>
      </c>
      <c r="F376" s="391" t="str">
        <f t="shared" ref="F376:G376" si="967">F375</f>
        <v>marine water</v>
      </c>
      <c r="G376" s="401" t="str">
        <f t="shared" si="967"/>
        <v>DE: LDPE film 0,01-0,1 mm (emission to marine water)</v>
      </c>
      <c r="H376" s="393">
        <v>1</v>
      </c>
      <c r="I376" s="394" t="s">
        <v>1097</v>
      </c>
      <c r="J376" s="635"/>
      <c r="K376" s="395">
        <v>5.66</v>
      </c>
      <c r="L376" s="537"/>
      <c r="M376" s="509">
        <f t="shared" si="837"/>
        <v>8.8339222614840995</v>
      </c>
      <c r="N376" s="646"/>
      <c r="O376" s="626"/>
      <c r="P376" s="629"/>
      <c r="Q376" s="629"/>
    </row>
    <row r="377" spans="1:17" ht="15.75" hidden="1" thickBot="1">
      <c r="A377" s="390" t="str">
        <f t="shared" ref="A377:B377" si="968">A374</f>
        <v>LDPE</v>
      </c>
      <c r="B377" s="391" t="str">
        <f t="shared" si="968"/>
        <v>film</v>
      </c>
      <c r="C377" s="391">
        <f t="shared" si="940"/>
        <v>2</v>
      </c>
      <c r="D377" s="391" t="str">
        <f t="shared" ref="D377:E377" si="969">D374</f>
        <v>0,01-0,1</v>
      </c>
      <c r="E377" s="391">
        <f t="shared" si="969"/>
        <v>0.1</v>
      </c>
      <c r="F377" s="391" t="str">
        <f t="shared" ref="F377:G377" si="970">F376</f>
        <v>marine water</v>
      </c>
      <c r="G377" s="401" t="str">
        <f t="shared" si="970"/>
        <v>DE: LDPE film 0,01-0,1 mm (emission to marine water)</v>
      </c>
      <c r="H377" s="393">
        <v>0</v>
      </c>
      <c r="I377" s="394" t="s">
        <v>1162</v>
      </c>
      <c r="J377" s="635"/>
      <c r="K377" s="395">
        <v>0.4</v>
      </c>
      <c r="L377" s="537"/>
      <c r="M377" s="509">
        <f t="shared" si="837"/>
        <v>125</v>
      </c>
      <c r="N377" s="646"/>
      <c r="O377" s="626"/>
      <c r="P377" s="629"/>
      <c r="Q377" s="629"/>
    </row>
    <row r="378" spans="1:17" ht="15.75" hidden="1" thickBot="1">
      <c r="A378" s="390" t="str">
        <f t="shared" ref="A378:B378" si="971">A375</f>
        <v>LDPE</v>
      </c>
      <c r="B378" s="391" t="str">
        <f t="shared" si="971"/>
        <v>film</v>
      </c>
      <c r="C378" s="391">
        <f t="shared" si="940"/>
        <v>2</v>
      </c>
      <c r="D378" s="391" t="str">
        <f t="shared" ref="D378:E378" si="972">D375</f>
        <v>0,01-0,1</v>
      </c>
      <c r="E378" s="391">
        <f t="shared" si="972"/>
        <v>0.1</v>
      </c>
      <c r="F378" s="391" t="str">
        <f t="shared" ref="F378:G378" si="973">F377</f>
        <v>marine water</v>
      </c>
      <c r="G378" s="401" t="str">
        <f t="shared" si="973"/>
        <v>DE: LDPE film 0,01-0,1 mm (emission to marine water)</v>
      </c>
      <c r="H378" s="393">
        <v>0</v>
      </c>
      <c r="I378" s="394" t="s">
        <v>1146</v>
      </c>
      <c r="J378" s="635"/>
      <c r="K378" s="395">
        <v>0.4</v>
      </c>
      <c r="L378" s="537"/>
      <c r="M378" s="509">
        <f t="shared" si="837"/>
        <v>125</v>
      </c>
      <c r="N378" s="646"/>
      <c r="O378" s="626"/>
      <c r="P378" s="629"/>
      <c r="Q378" s="629"/>
    </row>
    <row r="379" spans="1:17" ht="15.75" hidden="1" thickBot="1">
      <c r="A379" s="390" t="str">
        <f t="shared" ref="A379:B379" si="974">A376</f>
        <v>LDPE</v>
      </c>
      <c r="B379" s="391" t="str">
        <f t="shared" si="974"/>
        <v>film</v>
      </c>
      <c r="C379" s="391">
        <f t="shared" si="940"/>
        <v>2</v>
      </c>
      <c r="D379" s="391" t="str">
        <f t="shared" ref="D379:E379" si="975">D376</f>
        <v>0,01-0,1</v>
      </c>
      <c r="E379" s="391">
        <f t="shared" si="975"/>
        <v>0.1</v>
      </c>
      <c r="F379" s="391" t="str">
        <f t="shared" ref="F379:G379" si="976">F378</f>
        <v>marine water</v>
      </c>
      <c r="G379" s="401" t="str">
        <f t="shared" si="976"/>
        <v>DE: LDPE film 0,01-0,1 mm (emission to marine water)</v>
      </c>
      <c r="H379" s="393">
        <v>0</v>
      </c>
      <c r="I379" s="394" t="s">
        <v>1034</v>
      </c>
      <c r="J379" s="654"/>
      <c r="K379" s="398" t="s">
        <v>596</v>
      </c>
      <c r="L379" s="538"/>
      <c r="M379" s="509">
        <f t="shared" si="837"/>
        <v>0</v>
      </c>
      <c r="N379" s="647"/>
      <c r="O379" s="627"/>
      <c r="P379" s="629"/>
      <c r="Q379" s="629"/>
    </row>
    <row r="380" spans="1:17" ht="15.75" hidden="1" thickBot="1">
      <c r="A380" s="390" t="str">
        <f t="shared" ref="A380:B380" si="977">A377</f>
        <v>LDPE</v>
      </c>
      <c r="B380" s="391" t="str">
        <f t="shared" si="977"/>
        <v>film</v>
      </c>
      <c r="C380" s="391">
        <f t="shared" si="940"/>
        <v>2</v>
      </c>
      <c r="D380" s="391" t="str">
        <f t="shared" ref="D380:E380" si="978">D377</f>
        <v>0,01-0,1</v>
      </c>
      <c r="E380" s="391">
        <f t="shared" si="978"/>
        <v>0.1</v>
      </c>
      <c r="F380" s="400" t="s">
        <v>1057</v>
      </c>
      <c r="G380" s="422" t="str">
        <f>CONCATENATE("DE: ",A380," ",B380," ",D380," mm (emission to ",F380,")")</f>
        <v>DE: LDPE film 0,01-0,1 mm (emission to air)</v>
      </c>
      <c r="H380" s="403">
        <v>0.94799999999999995</v>
      </c>
      <c r="I380" s="388" t="s">
        <v>1153</v>
      </c>
      <c r="J380" s="634">
        <v>0.22800000000000001</v>
      </c>
      <c r="K380" s="395">
        <v>5.66</v>
      </c>
      <c r="L380" s="536"/>
      <c r="M380" s="509">
        <f t="shared" si="837"/>
        <v>8.8339222614840995</v>
      </c>
      <c r="N380" s="645">
        <f t="shared" ref="N380" si="979">IFERROR(H380*M380+H381*M381+H382*M382+H383*M383+H384*M384,"N.A.")</f>
        <v>8.8339222614840995</v>
      </c>
      <c r="O380" s="625"/>
      <c r="P380" s="628">
        <f t="shared" si="845"/>
        <v>8.8339222614840995</v>
      </c>
      <c r="Q380" s="628">
        <f t="shared" si="939"/>
        <v>8.8339222614840995</v>
      </c>
    </row>
    <row r="381" spans="1:17" ht="15.75" hidden="1" thickBot="1">
      <c r="A381" s="390" t="str">
        <f t="shared" ref="A381:B381" si="980">A378</f>
        <v>LDPE</v>
      </c>
      <c r="B381" s="391" t="str">
        <f t="shared" si="980"/>
        <v>film</v>
      </c>
      <c r="C381" s="391">
        <f t="shared" si="940"/>
        <v>2</v>
      </c>
      <c r="D381" s="391" t="str">
        <f t="shared" ref="D381:E381" si="981">D378</f>
        <v>0,01-0,1</v>
      </c>
      <c r="E381" s="391">
        <f t="shared" si="981"/>
        <v>0.1</v>
      </c>
      <c r="F381" s="391" t="str">
        <f t="shared" ref="F381:G381" si="982">F380</f>
        <v>air</v>
      </c>
      <c r="G381" s="401" t="str">
        <f t="shared" si="982"/>
        <v>DE: LDPE film 0,01-0,1 mm (emission to air)</v>
      </c>
      <c r="H381" s="393">
        <v>5.1999999999999998E-2</v>
      </c>
      <c r="I381" s="394" t="s">
        <v>1097</v>
      </c>
      <c r="J381" s="635"/>
      <c r="K381" s="395">
        <v>5.66</v>
      </c>
      <c r="L381" s="537"/>
      <c r="M381" s="509">
        <f t="shared" si="837"/>
        <v>8.8339222614840995</v>
      </c>
      <c r="N381" s="646"/>
      <c r="O381" s="626"/>
      <c r="P381" s="629"/>
      <c r="Q381" s="629"/>
    </row>
    <row r="382" spans="1:17" ht="15.75" hidden="1" thickBot="1">
      <c r="A382" s="390" t="str">
        <f t="shared" ref="A382:B382" si="983">A379</f>
        <v>LDPE</v>
      </c>
      <c r="B382" s="391" t="str">
        <f t="shared" si="983"/>
        <v>film</v>
      </c>
      <c r="C382" s="391">
        <f t="shared" si="940"/>
        <v>2</v>
      </c>
      <c r="D382" s="391" t="str">
        <f t="shared" ref="D382:E382" si="984">D379</f>
        <v>0,01-0,1</v>
      </c>
      <c r="E382" s="391">
        <f t="shared" si="984"/>
        <v>0.1</v>
      </c>
      <c r="F382" s="391" t="str">
        <f t="shared" ref="F382:G382" si="985">F381</f>
        <v>air</v>
      </c>
      <c r="G382" s="401" t="str">
        <f t="shared" si="985"/>
        <v>DE: LDPE film 0,01-0,1 mm (emission to air)</v>
      </c>
      <c r="H382" s="393">
        <v>0</v>
      </c>
      <c r="I382" s="394" t="s">
        <v>1162</v>
      </c>
      <c r="J382" s="635"/>
      <c r="K382" s="395">
        <v>0.4</v>
      </c>
      <c r="L382" s="537"/>
      <c r="M382" s="509">
        <f t="shared" si="837"/>
        <v>125</v>
      </c>
      <c r="N382" s="646"/>
      <c r="O382" s="626"/>
      <c r="P382" s="629"/>
      <c r="Q382" s="629"/>
    </row>
    <row r="383" spans="1:17" ht="15.75" hidden="1" thickBot="1">
      <c r="A383" s="390" t="str">
        <f t="shared" ref="A383:B383" si="986">A380</f>
        <v>LDPE</v>
      </c>
      <c r="B383" s="391" t="str">
        <f t="shared" si="986"/>
        <v>film</v>
      </c>
      <c r="C383" s="391">
        <f t="shared" si="940"/>
        <v>2</v>
      </c>
      <c r="D383" s="391" t="str">
        <f t="shared" ref="D383:E383" si="987">D380</f>
        <v>0,01-0,1</v>
      </c>
      <c r="E383" s="391">
        <f t="shared" si="987"/>
        <v>0.1</v>
      </c>
      <c r="F383" s="391" t="str">
        <f t="shared" ref="F383:G383" si="988">F382</f>
        <v>air</v>
      </c>
      <c r="G383" s="401" t="str">
        <f t="shared" si="988"/>
        <v>DE: LDPE film 0,01-0,1 mm (emission to air)</v>
      </c>
      <c r="H383" s="393">
        <v>0</v>
      </c>
      <c r="I383" s="394" t="s">
        <v>1146</v>
      </c>
      <c r="J383" s="635"/>
      <c r="K383" s="395">
        <v>0.4</v>
      </c>
      <c r="L383" s="537"/>
      <c r="M383" s="509">
        <f t="shared" si="837"/>
        <v>125</v>
      </c>
      <c r="N383" s="646"/>
      <c r="O383" s="626"/>
      <c r="P383" s="629"/>
      <c r="Q383" s="629"/>
    </row>
    <row r="384" spans="1:17" ht="15.75" hidden="1" thickBot="1">
      <c r="A384" s="404" t="str">
        <f t="shared" ref="A384:B384" si="989">A379</f>
        <v>LDPE</v>
      </c>
      <c r="B384" s="402" t="str">
        <f t="shared" si="989"/>
        <v>film</v>
      </c>
      <c r="C384" s="391">
        <f t="shared" si="940"/>
        <v>2</v>
      </c>
      <c r="D384" s="402" t="str">
        <f t="shared" ref="D384:E384" si="990">D379</f>
        <v>0,01-0,1</v>
      </c>
      <c r="E384" s="402">
        <f t="shared" si="990"/>
        <v>0.1</v>
      </c>
      <c r="F384" s="391" t="str">
        <f t="shared" ref="F384:G384" si="991">F383</f>
        <v>air</v>
      </c>
      <c r="G384" s="401" t="str">
        <f t="shared" si="991"/>
        <v>DE: LDPE film 0,01-0,1 mm (emission to air)</v>
      </c>
      <c r="H384" s="393">
        <v>0</v>
      </c>
      <c r="I384" s="394" t="s">
        <v>1034</v>
      </c>
      <c r="J384" s="636"/>
      <c r="K384" s="398" t="s">
        <v>596</v>
      </c>
      <c r="L384" s="538"/>
      <c r="M384" s="509">
        <f t="shared" si="837"/>
        <v>0</v>
      </c>
      <c r="N384" s="647"/>
      <c r="O384" s="627"/>
      <c r="P384" s="629"/>
      <c r="Q384" s="629"/>
    </row>
    <row r="385" spans="1:17" ht="16.5" hidden="1" thickTop="1" thickBot="1">
      <c r="A385" s="405" t="s">
        <v>67</v>
      </c>
      <c r="B385" s="406" t="s">
        <v>996</v>
      </c>
      <c r="C385" s="407">
        <f>IF(OR(B385="Folie", B385="Strips", B385="Film",B385="Flakes",B385="Coupon"), 2,IF(OR(B385="Fibers",B385="Pellets"),4,IF(OR(B385="Particles",B385="Shreds",B385="Powder",B385="Fragments",B385="Granules"),6,"")))</f>
        <v>2</v>
      </c>
      <c r="D385" s="423" t="s">
        <v>1028</v>
      </c>
      <c r="E385" s="408">
        <v>1</v>
      </c>
      <c r="F385" s="424" t="s">
        <v>1019</v>
      </c>
      <c r="G385" s="425" t="str">
        <f>CONCATENATE("DE: ",A385," ",B385," ",D385," mm (emission to ",F385,")")</f>
        <v>DE: LDPE film 0,1-1 mm (emission to soil)</v>
      </c>
      <c r="H385" s="463">
        <v>0.97</v>
      </c>
      <c r="I385" s="427" t="s">
        <v>1153</v>
      </c>
      <c r="J385" s="632">
        <v>0.22800000000000001</v>
      </c>
      <c r="K385" s="428">
        <v>5.66</v>
      </c>
      <c r="L385" s="539"/>
      <c r="M385" s="509">
        <f t="shared" si="837"/>
        <v>88.339222614840992</v>
      </c>
      <c r="N385" s="645">
        <f t="shared" ref="N385" si="992">IFERROR(H385*M385+H386*M386+H387*M387+H388*M388+H389*M389,"N.A.")</f>
        <v>88.339222614840992</v>
      </c>
      <c r="O385" s="625"/>
      <c r="P385" s="628">
        <f t="shared" si="845"/>
        <v>88.339222614840992</v>
      </c>
      <c r="Q385" s="628">
        <f t="shared" si="939"/>
        <v>88.339222614840992</v>
      </c>
    </row>
    <row r="386" spans="1:17" ht="15.75" hidden="1" thickBot="1">
      <c r="A386" s="390" t="str">
        <f>A385</f>
        <v>LDPE</v>
      </c>
      <c r="B386" s="391" t="str">
        <f>B385</f>
        <v>film</v>
      </c>
      <c r="C386" s="391">
        <f t="shared" ref="C386:G404" si="993">C385</f>
        <v>2</v>
      </c>
      <c r="D386" s="391" t="str">
        <f t="shared" si="993"/>
        <v>0,1-1</v>
      </c>
      <c r="E386" s="391">
        <f t="shared" si="993"/>
        <v>1</v>
      </c>
      <c r="F386" s="391" t="str">
        <f t="shared" si="993"/>
        <v>soil</v>
      </c>
      <c r="G386" s="392" t="str">
        <f t="shared" si="993"/>
        <v>DE: LDPE film 0,1-1 mm (emission to soil)</v>
      </c>
      <c r="H386" s="393">
        <v>0.03</v>
      </c>
      <c r="I386" s="394" t="s">
        <v>1097</v>
      </c>
      <c r="J386" s="632"/>
      <c r="K386" s="395">
        <v>5.66</v>
      </c>
      <c r="L386" s="537"/>
      <c r="M386" s="509">
        <f t="shared" si="837"/>
        <v>88.339222614840992</v>
      </c>
      <c r="N386" s="646"/>
      <c r="O386" s="626"/>
      <c r="P386" s="629"/>
      <c r="Q386" s="629"/>
    </row>
    <row r="387" spans="1:17" ht="15.75" hidden="1" thickBot="1">
      <c r="A387" s="390" t="str">
        <f t="shared" ref="A387:A388" si="994">A386</f>
        <v>LDPE</v>
      </c>
      <c r="B387" s="391" t="str">
        <f t="shared" ref="B387:B388" si="995">B386</f>
        <v>film</v>
      </c>
      <c r="C387" s="391">
        <f t="shared" si="993"/>
        <v>2</v>
      </c>
      <c r="D387" s="391" t="str">
        <f t="shared" si="993"/>
        <v>0,1-1</v>
      </c>
      <c r="E387" s="391">
        <f t="shared" si="993"/>
        <v>1</v>
      </c>
      <c r="F387" s="391" t="str">
        <f t="shared" si="993"/>
        <v>soil</v>
      </c>
      <c r="G387" s="392" t="str">
        <f t="shared" si="993"/>
        <v>DE: LDPE film 0,1-1 mm (emission to soil)</v>
      </c>
      <c r="H387" s="393">
        <v>0</v>
      </c>
      <c r="I387" s="394" t="s">
        <v>1162</v>
      </c>
      <c r="J387" s="632"/>
      <c r="K387" s="395">
        <v>0.4</v>
      </c>
      <c r="L387" s="537"/>
      <c r="M387" s="509">
        <f t="shared" si="837"/>
        <v>1000</v>
      </c>
      <c r="N387" s="646"/>
      <c r="O387" s="626"/>
      <c r="P387" s="629"/>
      <c r="Q387" s="629"/>
    </row>
    <row r="388" spans="1:17" ht="15.75" hidden="1" thickBot="1">
      <c r="A388" s="390" t="str">
        <f t="shared" si="994"/>
        <v>LDPE</v>
      </c>
      <c r="B388" s="391" t="str">
        <f t="shared" si="995"/>
        <v>film</v>
      </c>
      <c r="C388" s="391">
        <f t="shared" si="993"/>
        <v>2</v>
      </c>
      <c r="D388" s="391" t="str">
        <f t="shared" si="993"/>
        <v>0,1-1</v>
      </c>
      <c r="E388" s="391">
        <f t="shared" si="993"/>
        <v>1</v>
      </c>
      <c r="F388" s="391" t="str">
        <f t="shared" si="993"/>
        <v>soil</v>
      </c>
      <c r="G388" s="392" t="str">
        <f t="shared" si="993"/>
        <v>DE: LDPE film 0,1-1 mm (emission to soil)</v>
      </c>
      <c r="H388" s="393">
        <v>0</v>
      </c>
      <c r="I388" s="394" t="s">
        <v>1146</v>
      </c>
      <c r="J388" s="632"/>
      <c r="K388" s="395">
        <v>0.4</v>
      </c>
      <c r="L388" s="537"/>
      <c r="M388" s="509">
        <f t="shared" si="837"/>
        <v>1000</v>
      </c>
      <c r="N388" s="646"/>
      <c r="O388" s="626"/>
      <c r="P388" s="629"/>
      <c r="Q388" s="629"/>
    </row>
    <row r="389" spans="1:17" ht="15.75" hidden="1" thickBot="1">
      <c r="A389" s="390" t="str">
        <f>A386</f>
        <v>LDPE</v>
      </c>
      <c r="B389" s="391" t="str">
        <f>B386</f>
        <v>film</v>
      </c>
      <c r="C389" s="391">
        <f t="shared" si="993"/>
        <v>2</v>
      </c>
      <c r="D389" s="391" t="str">
        <f>D386</f>
        <v>0,1-1</v>
      </c>
      <c r="E389" s="391">
        <f>E386</f>
        <v>1</v>
      </c>
      <c r="F389" s="391" t="str">
        <f>F386</f>
        <v>soil</v>
      </c>
      <c r="G389" s="396" t="str">
        <f t="shared" ref="G389" si="996">G388</f>
        <v>DE: LDPE film 0,1-1 mm (emission to soil)</v>
      </c>
      <c r="H389" s="393">
        <v>0</v>
      </c>
      <c r="I389" s="397" t="s">
        <v>1034</v>
      </c>
      <c r="J389" s="633"/>
      <c r="K389" s="398" t="s">
        <v>596</v>
      </c>
      <c r="L389" s="538"/>
      <c r="M389" s="509">
        <f t="shared" si="837"/>
        <v>0</v>
      </c>
      <c r="N389" s="647"/>
      <c r="O389" s="627"/>
      <c r="P389" s="629"/>
      <c r="Q389" s="629"/>
    </row>
    <row r="390" spans="1:17" ht="15.75" hidden="1" thickBot="1">
      <c r="A390" s="390" t="str">
        <f t="shared" ref="A390:B390" si="997">A387</f>
        <v>LDPE</v>
      </c>
      <c r="B390" s="391" t="str">
        <f t="shared" si="997"/>
        <v>film</v>
      </c>
      <c r="C390" s="391">
        <f t="shared" si="993"/>
        <v>2</v>
      </c>
      <c r="D390" s="399" t="str">
        <f t="shared" ref="D390:E390" si="998">D387</f>
        <v>0,1-1</v>
      </c>
      <c r="E390" s="391">
        <f t="shared" si="998"/>
        <v>1</v>
      </c>
      <c r="F390" s="400" t="s">
        <v>1147</v>
      </c>
      <c r="G390" s="386" t="str">
        <f>CONCATENATE("DE: ",A390," ",B390," ",D390," mm (emission to ",F390,")")</f>
        <v>DE: LDPE film 0,1-1 mm (emission to fresh water)</v>
      </c>
      <c r="H390" s="387">
        <v>0</v>
      </c>
      <c r="I390" s="388" t="s">
        <v>1153</v>
      </c>
      <c r="J390" s="634">
        <v>0.22800000000000001</v>
      </c>
      <c r="K390" s="395">
        <v>5.66</v>
      </c>
      <c r="L390" s="536"/>
      <c r="M390" s="509">
        <f t="shared" ref="M390:M453" si="999">IFERROR(IF(K390="--",0,IF(E390*1000/K390*(1-0.5)^(C390/2)&gt;1000,1000,E390*1000/K390*(1-0.5)^(C390/2))),1000)</f>
        <v>88.339222614840992</v>
      </c>
      <c r="N390" s="645">
        <f t="shared" ref="N390" si="1000">IFERROR(H390*M390+H391*M391+H392*M392+H393*M393+H394*M394,"N.A.")</f>
        <v>88.339222614840992</v>
      </c>
      <c r="O390" s="625"/>
      <c r="P390" s="628">
        <f t="shared" si="845"/>
        <v>88.339222614840992</v>
      </c>
      <c r="Q390" s="628">
        <f t="shared" si="939"/>
        <v>88.339222614840992</v>
      </c>
    </row>
    <row r="391" spans="1:17" ht="15.75" hidden="1" thickBot="1">
      <c r="A391" s="390" t="str">
        <f t="shared" ref="A391:B391" si="1001">A388</f>
        <v>LDPE</v>
      </c>
      <c r="B391" s="391" t="str">
        <f t="shared" si="1001"/>
        <v>film</v>
      </c>
      <c r="C391" s="391">
        <f t="shared" si="993"/>
        <v>2</v>
      </c>
      <c r="D391" s="391" t="str">
        <f t="shared" ref="D391:E391" si="1002">D388</f>
        <v>0,1-1</v>
      </c>
      <c r="E391" s="391">
        <f t="shared" si="1002"/>
        <v>1</v>
      </c>
      <c r="F391" s="391" t="str">
        <f t="shared" ref="F391:G391" si="1003">F390</f>
        <v>fresh water</v>
      </c>
      <c r="G391" s="401" t="str">
        <f t="shared" si="1003"/>
        <v>DE: LDPE film 0,1-1 mm (emission to fresh water)</v>
      </c>
      <c r="H391" s="393">
        <v>1</v>
      </c>
      <c r="I391" s="394" t="s">
        <v>1097</v>
      </c>
      <c r="J391" s="635"/>
      <c r="K391" s="395">
        <v>5.66</v>
      </c>
      <c r="L391" s="536"/>
      <c r="M391" s="509">
        <f t="shared" si="999"/>
        <v>88.339222614840992</v>
      </c>
      <c r="N391" s="646"/>
      <c r="O391" s="626"/>
      <c r="P391" s="629"/>
      <c r="Q391" s="629"/>
    </row>
    <row r="392" spans="1:17" ht="15.75" hidden="1" thickBot="1">
      <c r="A392" s="390" t="str">
        <f t="shared" ref="A392:B392" si="1004">A389</f>
        <v>LDPE</v>
      </c>
      <c r="B392" s="391" t="str">
        <f t="shared" si="1004"/>
        <v>film</v>
      </c>
      <c r="C392" s="391">
        <f t="shared" si="993"/>
        <v>2</v>
      </c>
      <c r="D392" s="391" t="str">
        <f t="shared" ref="D392:E392" si="1005">D389</f>
        <v>0,1-1</v>
      </c>
      <c r="E392" s="391">
        <f t="shared" si="1005"/>
        <v>1</v>
      </c>
      <c r="F392" s="391" t="str">
        <f t="shared" ref="F392:G392" si="1006">F391</f>
        <v>fresh water</v>
      </c>
      <c r="G392" s="401" t="str">
        <f t="shared" si="1006"/>
        <v>DE: LDPE film 0,1-1 mm (emission to fresh water)</v>
      </c>
      <c r="H392" s="393">
        <v>0</v>
      </c>
      <c r="I392" s="394" t="s">
        <v>1162</v>
      </c>
      <c r="J392" s="635"/>
      <c r="K392" s="395">
        <v>0.4</v>
      </c>
      <c r="L392" s="536"/>
      <c r="M392" s="509">
        <f t="shared" si="999"/>
        <v>1000</v>
      </c>
      <c r="N392" s="646"/>
      <c r="O392" s="626"/>
      <c r="P392" s="629"/>
      <c r="Q392" s="629"/>
    </row>
    <row r="393" spans="1:17" ht="15.75" hidden="1" thickBot="1">
      <c r="A393" s="390" t="str">
        <f t="shared" ref="A393:B393" si="1007">A390</f>
        <v>LDPE</v>
      </c>
      <c r="B393" s="391" t="str">
        <f t="shared" si="1007"/>
        <v>film</v>
      </c>
      <c r="C393" s="391">
        <f t="shared" si="993"/>
        <v>2</v>
      </c>
      <c r="D393" s="391" t="str">
        <f t="shared" ref="D393:E393" si="1008">D390</f>
        <v>0,1-1</v>
      </c>
      <c r="E393" s="391">
        <f t="shared" si="1008"/>
        <v>1</v>
      </c>
      <c r="F393" s="391" t="str">
        <f t="shared" ref="F393:G393" si="1009">F392</f>
        <v>fresh water</v>
      </c>
      <c r="G393" s="401" t="str">
        <f t="shared" si="1009"/>
        <v>DE: LDPE film 0,1-1 mm (emission to fresh water)</v>
      </c>
      <c r="H393" s="393">
        <v>0</v>
      </c>
      <c r="I393" s="394" t="s">
        <v>1146</v>
      </c>
      <c r="J393" s="635"/>
      <c r="K393" s="395">
        <v>0.4</v>
      </c>
      <c r="L393" s="536"/>
      <c r="M393" s="509">
        <f t="shared" si="999"/>
        <v>1000</v>
      </c>
      <c r="N393" s="646"/>
      <c r="O393" s="626"/>
      <c r="P393" s="629"/>
      <c r="Q393" s="629"/>
    </row>
    <row r="394" spans="1:17" ht="15.75" hidden="1" thickBot="1">
      <c r="A394" s="390" t="str">
        <f t="shared" ref="A394:B394" si="1010">A391</f>
        <v>LDPE</v>
      </c>
      <c r="B394" s="391" t="str">
        <f t="shared" si="1010"/>
        <v>film</v>
      </c>
      <c r="C394" s="391">
        <f t="shared" si="993"/>
        <v>2</v>
      </c>
      <c r="D394" s="391" t="str">
        <f t="shared" ref="D394:E394" si="1011">D391</f>
        <v>0,1-1</v>
      </c>
      <c r="E394" s="391">
        <f t="shared" si="1011"/>
        <v>1</v>
      </c>
      <c r="F394" s="402" t="str">
        <f>F391</f>
        <v>fresh water</v>
      </c>
      <c r="G394" s="401" t="str">
        <f t="shared" ref="G394" si="1012">G393</f>
        <v>DE: LDPE film 0,1-1 mm (emission to fresh water)</v>
      </c>
      <c r="H394" s="393">
        <v>0</v>
      </c>
      <c r="I394" s="394" t="s">
        <v>1034</v>
      </c>
      <c r="J394" s="654"/>
      <c r="K394" s="398" t="s">
        <v>596</v>
      </c>
      <c r="L394" s="538"/>
      <c r="M394" s="509">
        <f t="shared" si="999"/>
        <v>0</v>
      </c>
      <c r="N394" s="647"/>
      <c r="O394" s="627"/>
      <c r="P394" s="629"/>
      <c r="Q394" s="629"/>
    </row>
    <row r="395" spans="1:17" ht="15.75" hidden="1" thickBot="1">
      <c r="A395" s="390" t="str">
        <f t="shared" ref="A395:B395" si="1013">A392</f>
        <v>LDPE</v>
      </c>
      <c r="B395" s="391" t="str">
        <f t="shared" si="1013"/>
        <v>film</v>
      </c>
      <c r="C395" s="391">
        <f t="shared" si="993"/>
        <v>2</v>
      </c>
      <c r="D395" s="391" t="str">
        <f t="shared" ref="D395:E395" si="1014">D392</f>
        <v>0,1-1</v>
      </c>
      <c r="E395" s="391">
        <f t="shared" si="1014"/>
        <v>1</v>
      </c>
      <c r="F395" s="385" t="s">
        <v>1097</v>
      </c>
      <c r="G395" s="422" t="str">
        <f>CONCATENATE("DE: ",A395," ",B395," ",D395," mm (emission to ",F395,")")</f>
        <v>DE: LDPE film 0,1-1 mm (emission to marine water)</v>
      </c>
      <c r="H395" s="403">
        <v>0</v>
      </c>
      <c r="I395" s="388" t="s">
        <v>1153</v>
      </c>
      <c r="J395" s="634">
        <v>0.22800000000000001</v>
      </c>
      <c r="K395" s="395">
        <v>5.66</v>
      </c>
      <c r="L395" s="536"/>
      <c r="M395" s="509">
        <f t="shared" si="999"/>
        <v>88.339222614840992</v>
      </c>
      <c r="N395" s="645">
        <f t="shared" ref="N395" si="1015">IFERROR(H395*M395+H396*M396+H397*M397+H398*M398+H399*M399,"N.A.")</f>
        <v>88.339222614840992</v>
      </c>
      <c r="O395" s="625"/>
      <c r="P395" s="628">
        <f t="shared" ref="P395:P455" si="1016">IFERROR(IF(H395*M395+H396*M396+H397*M397+H398*M398+H399*M399&gt;100,100,H395*M395+H396*M396+H397*M397+H398*M398+H399*M399),"N.A.")</f>
        <v>88.339222614840992</v>
      </c>
      <c r="Q395" s="628">
        <f t="shared" si="939"/>
        <v>88.339222614840992</v>
      </c>
    </row>
    <row r="396" spans="1:17" ht="15.75" hidden="1" thickBot="1">
      <c r="A396" s="390" t="str">
        <f t="shared" ref="A396:B396" si="1017">A393</f>
        <v>LDPE</v>
      </c>
      <c r="B396" s="391" t="str">
        <f t="shared" si="1017"/>
        <v>film</v>
      </c>
      <c r="C396" s="391">
        <f t="shared" si="993"/>
        <v>2</v>
      </c>
      <c r="D396" s="391" t="str">
        <f t="shared" ref="D396:E396" si="1018">D393</f>
        <v>0,1-1</v>
      </c>
      <c r="E396" s="391">
        <f t="shared" si="1018"/>
        <v>1</v>
      </c>
      <c r="F396" s="391" t="str">
        <f t="shared" ref="F396:G396" si="1019">F395</f>
        <v>marine water</v>
      </c>
      <c r="G396" s="401" t="str">
        <f t="shared" si="1019"/>
        <v>DE: LDPE film 0,1-1 mm (emission to marine water)</v>
      </c>
      <c r="H396" s="393">
        <v>1</v>
      </c>
      <c r="I396" s="394" t="s">
        <v>1097</v>
      </c>
      <c r="J396" s="635"/>
      <c r="K396" s="395">
        <v>5.66</v>
      </c>
      <c r="L396" s="537"/>
      <c r="M396" s="509">
        <f t="shared" si="999"/>
        <v>88.339222614840992</v>
      </c>
      <c r="N396" s="646"/>
      <c r="O396" s="626"/>
      <c r="P396" s="629"/>
      <c r="Q396" s="629"/>
    </row>
    <row r="397" spans="1:17" ht="15.75" hidden="1" thickBot="1">
      <c r="A397" s="390" t="str">
        <f t="shared" ref="A397:B397" si="1020">A394</f>
        <v>LDPE</v>
      </c>
      <c r="B397" s="391" t="str">
        <f t="shared" si="1020"/>
        <v>film</v>
      </c>
      <c r="C397" s="391">
        <f t="shared" si="993"/>
        <v>2</v>
      </c>
      <c r="D397" s="391" t="str">
        <f t="shared" ref="D397:E397" si="1021">D394</f>
        <v>0,1-1</v>
      </c>
      <c r="E397" s="391">
        <f t="shared" si="1021"/>
        <v>1</v>
      </c>
      <c r="F397" s="391" t="str">
        <f t="shared" ref="F397:G397" si="1022">F396</f>
        <v>marine water</v>
      </c>
      <c r="G397" s="401" t="str">
        <f t="shared" si="1022"/>
        <v>DE: LDPE film 0,1-1 mm (emission to marine water)</v>
      </c>
      <c r="H397" s="393">
        <v>0</v>
      </c>
      <c r="I397" s="394" t="s">
        <v>1162</v>
      </c>
      <c r="J397" s="635"/>
      <c r="K397" s="395">
        <v>0.4</v>
      </c>
      <c r="L397" s="537"/>
      <c r="M397" s="509">
        <f t="shared" si="999"/>
        <v>1000</v>
      </c>
      <c r="N397" s="646"/>
      <c r="O397" s="626"/>
      <c r="P397" s="629"/>
      <c r="Q397" s="629"/>
    </row>
    <row r="398" spans="1:17" ht="15.75" hidden="1" thickBot="1">
      <c r="A398" s="390" t="str">
        <f t="shared" ref="A398:B398" si="1023">A395</f>
        <v>LDPE</v>
      </c>
      <c r="B398" s="391" t="str">
        <f t="shared" si="1023"/>
        <v>film</v>
      </c>
      <c r="C398" s="391">
        <f t="shared" si="993"/>
        <v>2</v>
      </c>
      <c r="D398" s="391" t="str">
        <f t="shared" ref="D398:E398" si="1024">D395</f>
        <v>0,1-1</v>
      </c>
      <c r="E398" s="391">
        <f t="shared" si="1024"/>
        <v>1</v>
      </c>
      <c r="F398" s="391" t="str">
        <f t="shared" ref="F398:G398" si="1025">F397</f>
        <v>marine water</v>
      </c>
      <c r="G398" s="401" t="str">
        <f t="shared" si="1025"/>
        <v>DE: LDPE film 0,1-1 mm (emission to marine water)</v>
      </c>
      <c r="H398" s="393">
        <v>0</v>
      </c>
      <c r="I398" s="394" t="s">
        <v>1146</v>
      </c>
      <c r="J398" s="635"/>
      <c r="K398" s="395">
        <v>0.4</v>
      </c>
      <c r="L398" s="537"/>
      <c r="M398" s="509">
        <f t="shared" si="999"/>
        <v>1000</v>
      </c>
      <c r="N398" s="646"/>
      <c r="O398" s="626"/>
      <c r="P398" s="629"/>
      <c r="Q398" s="629"/>
    </row>
    <row r="399" spans="1:17" ht="15.75" hidden="1" thickBot="1">
      <c r="A399" s="390" t="str">
        <f t="shared" ref="A399:B399" si="1026">A396</f>
        <v>LDPE</v>
      </c>
      <c r="B399" s="391" t="str">
        <f t="shared" si="1026"/>
        <v>film</v>
      </c>
      <c r="C399" s="391">
        <f t="shared" si="993"/>
        <v>2</v>
      </c>
      <c r="D399" s="391" t="str">
        <f t="shared" ref="D399:E399" si="1027">D396</f>
        <v>0,1-1</v>
      </c>
      <c r="E399" s="391">
        <f t="shared" si="1027"/>
        <v>1</v>
      </c>
      <c r="F399" s="391" t="str">
        <f t="shared" ref="F399:G399" si="1028">F398</f>
        <v>marine water</v>
      </c>
      <c r="G399" s="401" t="str">
        <f t="shared" si="1028"/>
        <v>DE: LDPE film 0,1-1 mm (emission to marine water)</v>
      </c>
      <c r="H399" s="393">
        <v>0</v>
      </c>
      <c r="I399" s="394" t="s">
        <v>1034</v>
      </c>
      <c r="J399" s="654"/>
      <c r="K399" s="398" t="s">
        <v>596</v>
      </c>
      <c r="L399" s="538"/>
      <c r="M399" s="509">
        <f t="shared" si="999"/>
        <v>0</v>
      </c>
      <c r="N399" s="647"/>
      <c r="O399" s="627"/>
      <c r="P399" s="629"/>
      <c r="Q399" s="629"/>
    </row>
    <row r="400" spans="1:17" ht="15.75" hidden="1" thickBot="1">
      <c r="A400" s="390" t="str">
        <f t="shared" ref="A400:B400" si="1029">A397</f>
        <v>LDPE</v>
      </c>
      <c r="B400" s="391" t="str">
        <f t="shared" si="1029"/>
        <v>film</v>
      </c>
      <c r="C400" s="391">
        <f t="shared" si="993"/>
        <v>2</v>
      </c>
      <c r="D400" s="391" t="str">
        <f t="shared" ref="D400:E400" si="1030">D397</f>
        <v>0,1-1</v>
      </c>
      <c r="E400" s="391">
        <f t="shared" si="1030"/>
        <v>1</v>
      </c>
      <c r="F400" s="400" t="s">
        <v>1057</v>
      </c>
      <c r="G400" s="422" t="str">
        <f>CONCATENATE("DE: ",A400," ",B400," ",D400," mm (emission to ",F400,")")</f>
        <v>DE: LDPE film 0,1-1 mm (emission to air)</v>
      </c>
      <c r="H400" s="403">
        <v>0.94799999999999995</v>
      </c>
      <c r="I400" s="388" t="s">
        <v>1153</v>
      </c>
      <c r="J400" s="634">
        <v>0.22800000000000001</v>
      </c>
      <c r="K400" s="395">
        <v>5.66</v>
      </c>
      <c r="L400" s="536"/>
      <c r="M400" s="509">
        <f t="shared" si="999"/>
        <v>88.339222614840992</v>
      </c>
      <c r="N400" s="645">
        <f t="shared" ref="N400" si="1031">IFERROR(H400*M400+H401*M401+H402*M402+H403*M403+H404*M404,"N.A.")</f>
        <v>88.339222614840992</v>
      </c>
      <c r="O400" s="625"/>
      <c r="P400" s="628">
        <f t="shared" si="1016"/>
        <v>88.339222614840992</v>
      </c>
      <c r="Q400" s="628">
        <f t="shared" si="939"/>
        <v>88.339222614840992</v>
      </c>
    </row>
    <row r="401" spans="1:17" ht="15.75" hidden="1" thickBot="1">
      <c r="A401" s="390" t="str">
        <f t="shared" ref="A401:B401" si="1032">A398</f>
        <v>LDPE</v>
      </c>
      <c r="B401" s="391" t="str">
        <f t="shared" si="1032"/>
        <v>film</v>
      </c>
      <c r="C401" s="391">
        <f t="shared" si="993"/>
        <v>2</v>
      </c>
      <c r="D401" s="391" t="str">
        <f t="shared" ref="D401:E401" si="1033">D398</f>
        <v>0,1-1</v>
      </c>
      <c r="E401" s="391">
        <f t="shared" si="1033"/>
        <v>1</v>
      </c>
      <c r="F401" s="391" t="str">
        <f t="shared" ref="F401:G401" si="1034">F400</f>
        <v>air</v>
      </c>
      <c r="G401" s="401" t="str">
        <f t="shared" si="1034"/>
        <v>DE: LDPE film 0,1-1 mm (emission to air)</v>
      </c>
      <c r="H401" s="393">
        <v>5.1999999999999998E-2</v>
      </c>
      <c r="I401" s="394" t="s">
        <v>1097</v>
      </c>
      <c r="J401" s="635"/>
      <c r="K401" s="395">
        <v>5.66</v>
      </c>
      <c r="L401" s="537"/>
      <c r="M401" s="509">
        <f t="shared" si="999"/>
        <v>88.339222614840992</v>
      </c>
      <c r="N401" s="646"/>
      <c r="O401" s="626"/>
      <c r="P401" s="629"/>
      <c r="Q401" s="629"/>
    </row>
    <row r="402" spans="1:17" ht="15.75" hidden="1" thickBot="1">
      <c r="A402" s="390" t="str">
        <f t="shared" ref="A402:B402" si="1035">A399</f>
        <v>LDPE</v>
      </c>
      <c r="B402" s="391" t="str">
        <f t="shared" si="1035"/>
        <v>film</v>
      </c>
      <c r="C402" s="391">
        <f t="shared" si="993"/>
        <v>2</v>
      </c>
      <c r="D402" s="391" t="str">
        <f t="shared" ref="D402:E402" si="1036">D399</f>
        <v>0,1-1</v>
      </c>
      <c r="E402" s="391">
        <f t="shared" si="1036"/>
        <v>1</v>
      </c>
      <c r="F402" s="391" t="str">
        <f t="shared" ref="F402:G402" si="1037">F401</f>
        <v>air</v>
      </c>
      <c r="G402" s="401" t="str">
        <f t="shared" si="1037"/>
        <v>DE: LDPE film 0,1-1 mm (emission to air)</v>
      </c>
      <c r="H402" s="393">
        <v>0</v>
      </c>
      <c r="I402" s="394" t="s">
        <v>1162</v>
      </c>
      <c r="J402" s="635"/>
      <c r="K402" s="395">
        <v>0.4</v>
      </c>
      <c r="L402" s="537"/>
      <c r="M402" s="509">
        <f t="shared" si="999"/>
        <v>1000</v>
      </c>
      <c r="N402" s="646"/>
      <c r="O402" s="626"/>
      <c r="P402" s="629"/>
      <c r="Q402" s="629"/>
    </row>
    <row r="403" spans="1:17" ht="15.75" hidden="1" thickBot="1">
      <c r="A403" s="390" t="str">
        <f t="shared" ref="A403:B403" si="1038">A400</f>
        <v>LDPE</v>
      </c>
      <c r="B403" s="391" t="str">
        <f t="shared" si="1038"/>
        <v>film</v>
      </c>
      <c r="C403" s="391">
        <f t="shared" si="993"/>
        <v>2</v>
      </c>
      <c r="D403" s="391" t="str">
        <f t="shared" ref="D403:E403" si="1039">D400</f>
        <v>0,1-1</v>
      </c>
      <c r="E403" s="391">
        <f t="shared" si="1039"/>
        <v>1</v>
      </c>
      <c r="F403" s="391" t="str">
        <f t="shared" ref="F403:G403" si="1040">F402</f>
        <v>air</v>
      </c>
      <c r="G403" s="401" t="str">
        <f t="shared" si="1040"/>
        <v>DE: LDPE film 0,1-1 mm (emission to air)</v>
      </c>
      <c r="H403" s="393">
        <v>0</v>
      </c>
      <c r="I403" s="394" t="s">
        <v>1146</v>
      </c>
      <c r="J403" s="635"/>
      <c r="K403" s="395">
        <v>0.4</v>
      </c>
      <c r="L403" s="537"/>
      <c r="M403" s="509">
        <f t="shared" si="999"/>
        <v>1000</v>
      </c>
      <c r="N403" s="646"/>
      <c r="O403" s="626"/>
      <c r="P403" s="629"/>
      <c r="Q403" s="629"/>
    </row>
    <row r="404" spans="1:17" ht="15.75" hidden="1" thickBot="1">
      <c r="A404" s="404" t="str">
        <f t="shared" ref="A404:B404" si="1041">A399</f>
        <v>LDPE</v>
      </c>
      <c r="B404" s="402" t="str">
        <f t="shared" si="1041"/>
        <v>film</v>
      </c>
      <c r="C404" s="391">
        <f t="shared" si="993"/>
        <v>2</v>
      </c>
      <c r="D404" s="402" t="str">
        <f t="shared" ref="D404:E404" si="1042">D399</f>
        <v>0,1-1</v>
      </c>
      <c r="E404" s="402">
        <f t="shared" si="1042"/>
        <v>1</v>
      </c>
      <c r="F404" s="391" t="str">
        <f t="shared" ref="F404:G404" si="1043">F403</f>
        <v>air</v>
      </c>
      <c r="G404" s="401" t="str">
        <f t="shared" si="1043"/>
        <v>DE: LDPE film 0,1-1 mm (emission to air)</v>
      </c>
      <c r="H404" s="393">
        <v>0</v>
      </c>
      <c r="I404" s="394" t="s">
        <v>1034</v>
      </c>
      <c r="J404" s="636"/>
      <c r="K404" s="398" t="s">
        <v>596</v>
      </c>
      <c r="L404" s="538"/>
      <c r="M404" s="509">
        <f t="shared" si="999"/>
        <v>0</v>
      </c>
      <c r="N404" s="647"/>
      <c r="O404" s="627"/>
      <c r="P404" s="629"/>
      <c r="Q404" s="629"/>
    </row>
    <row r="405" spans="1:17" ht="16.5" hidden="1" thickTop="1" thickBot="1">
      <c r="A405" s="405" t="s">
        <v>67</v>
      </c>
      <c r="B405" s="406" t="s">
        <v>996</v>
      </c>
      <c r="C405" s="407">
        <f>IF(OR(B405="Folie", B405="Strips", B405="Film",B405="Flakes",B405="Coupon"), 2,IF(OR(B405="Fibers",B405="Pellets"),4,IF(OR(B405="Particles",B405="Shreds",B405="Powder",B405="Fragments",B405="Granules"),6,"")))</f>
        <v>2</v>
      </c>
      <c r="D405" s="423" t="s">
        <v>1026</v>
      </c>
      <c r="E405" s="408">
        <v>10</v>
      </c>
      <c r="F405" s="424" t="s">
        <v>1019</v>
      </c>
      <c r="G405" s="425" t="str">
        <f>CONCATENATE("DE: ",A405," ",B405," ",D405," mm (emission to ",F405,")")</f>
        <v>DE: LDPE film 1-10 mm (emission to soil)</v>
      </c>
      <c r="H405" s="463">
        <v>0.97</v>
      </c>
      <c r="I405" s="427" t="s">
        <v>1153</v>
      </c>
      <c r="J405" s="632">
        <v>0.22800000000000001</v>
      </c>
      <c r="K405" s="428">
        <v>5.66</v>
      </c>
      <c r="L405" s="539"/>
      <c r="M405" s="509">
        <f t="shared" si="999"/>
        <v>883.39222614840992</v>
      </c>
      <c r="N405" s="645">
        <f t="shared" ref="N405" si="1044">IFERROR(H405*M405+H406*M406+H407*M407+H408*M408+H409*M409,"N.A.")</f>
        <v>883.39222614840992</v>
      </c>
      <c r="O405" s="625"/>
      <c r="P405" s="628">
        <f t="shared" si="1016"/>
        <v>100</v>
      </c>
      <c r="Q405" s="628">
        <f t="shared" si="939"/>
        <v>500</v>
      </c>
    </row>
    <row r="406" spans="1:17" ht="15.75" hidden="1" thickBot="1">
      <c r="A406" s="390" t="str">
        <f>A405</f>
        <v>LDPE</v>
      </c>
      <c r="B406" s="391" t="str">
        <f>B405</f>
        <v>film</v>
      </c>
      <c r="C406" s="391">
        <f t="shared" ref="C406:C424" si="1045">C405</f>
        <v>2</v>
      </c>
      <c r="D406" s="391" t="str">
        <f t="shared" ref="D406:G406" si="1046">D405</f>
        <v>1-10</v>
      </c>
      <c r="E406" s="391">
        <f t="shared" si="1046"/>
        <v>10</v>
      </c>
      <c r="F406" s="391" t="str">
        <f t="shared" si="1046"/>
        <v>soil</v>
      </c>
      <c r="G406" s="392" t="str">
        <f t="shared" si="1046"/>
        <v>DE: LDPE film 1-10 mm (emission to soil)</v>
      </c>
      <c r="H406" s="393">
        <v>0.03</v>
      </c>
      <c r="I406" s="394" t="s">
        <v>1097</v>
      </c>
      <c r="J406" s="632"/>
      <c r="K406" s="395">
        <v>5.66</v>
      </c>
      <c r="L406" s="537"/>
      <c r="M406" s="509">
        <f t="shared" si="999"/>
        <v>883.39222614840992</v>
      </c>
      <c r="N406" s="646"/>
      <c r="O406" s="626"/>
      <c r="P406" s="629"/>
      <c r="Q406" s="629"/>
    </row>
    <row r="407" spans="1:17" ht="15.75" hidden="1" thickBot="1">
      <c r="A407" s="390" t="str">
        <f t="shared" ref="A407:A408" si="1047">A406</f>
        <v>LDPE</v>
      </c>
      <c r="B407" s="391" t="str">
        <f t="shared" ref="B407:B408" si="1048">B406</f>
        <v>film</v>
      </c>
      <c r="C407" s="391">
        <f t="shared" si="1045"/>
        <v>2</v>
      </c>
      <c r="D407" s="391" t="str">
        <f t="shared" ref="D407:G407" si="1049">D406</f>
        <v>1-10</v>
      </c>
      <c r="E407" s="391">
        <f t="shared" si="1049"/>
        <v>10</v>
      </c>
      <c r="F407" s="391" t="str">
        <f t="shared" si="1049"/>
        <v>soil</v>
      </c>
      <c r="G407" s="392" t="str">
        <f t="shared" si="1049"/>
        <v>DE: LDPE film 1-10 mm (emission to soil)</v>
      </c>
      <c r="H407" s="393">
        <v>0</v>
      </c>
      <c r="I407" s="394" t="s">
        <v>1162</v>
      </c>
      <c r="J407" s="632"/>
      <c r="K407" s="395">
        <v>0.4</v>
      </c>
      <c r="L407" s="537"/>
      <c r="M407" s="509">
        <f t="shared" si="999"/>
        <v>1000</v>
      </c>
      <c r="N407" s="646"/>
      <c r="O407" s="626"/>
      <c r="P407" s="629"/>
      <c r="Q407" s="629"/>
    </row>
    <row r="408" spans="1:17" ht="15.75" hidden="1" thickBot="1">
      <c r="A408" s="390" t="str">
        <f t="shared" si="1047"/>
        <v>LDPE</v>
      </c>
      <c r="B408" s="391" t="str">
        <f t="shared" si="1048"/>
        <v>film</v>
      </c>
      <c r="C408" s="391">
        <f t="shared" si="1045"/>
        <v>2</v>
      </c>
      <c r="D408" s="391" t="str">
        <f t="shared" ref="D408:G408" si="1050">D407</f>
        <v>1-10</v>
      </c>
      <c r="E408" s="391">
        <f t="shared" si="1050"/>
        <v>10</v>
      </c>
      <c r="F408" s="391" t="str">
        <f t="shared" si="1050"/>
        <v>soil</v>
      </c>
      <c r="G408" s="392" t="str">
        <f t="shared" si="1050"/>
        <v>DE: LDPE film 1-10 mm (emission to soil)</v>
      </c>
      <c r="H408" s="393">
        <v>0</v>
      </c>
      <c r="I408" s="394" t="s">
        <v>1146</v>
      </c>
      <c r="J408" s="632"/>
      <c r="K408" s="395">
        <v>0.4</v>
      </c>
      <c r="L408" s="537"/>
      <c r="M408" s="509">
        <f t="shared" si="999"/>
        <v>1000</v>
      </c>
      <c r="N408" s="646"/>
      <c r="O408" s="626"/>
      <c r="P408" s="629"/>
      <c r="Q408" s="629"/>
    </row>
    <row r="409" spans="1:17" ht="15.75" hidden="1" thickBot="1">
      <c r="A409" s="390" t="str">
        <f>A406</f>
        <v>LDPE</v>
      </c>
      <c r="B409" s="391" t="str">
        <f>B406</f>
        <v>film</v>
      </c>
      <c r="C409" s="391">
        <f t="shared" si="1045"/>
        <v>2</v>
      </c>
      <c r="D409" s="391" t="str">
        <f>D406</f>
        <v>1-10</v>
      </c>
      <c r="E409" s="391">
        <f>E406</f>
        <v>10</v>
      </c>
      <c r="F409" s="391" t="str">
        <f>F406</f>
        <v>soil</v>
      </c>
      <c r="G409" s="396" t="str">
        <f t="shared" ref="G409" si="1051">G408</f>
        <v>DE: LDPE film 1-10 mm (emission to soil)</v>
      </c>
      <c r="H409" s="393">
        <v>0</v>
      </c>
      <c r="I409" s="397" t="s">
        <v>1034</v>
      </c>
      <c r="J409" s="633"/>
      <c r="K409" s="398" t="s">
        <v>596</v>
      </c>
      <c r="L409" s="538"/>
      <c r="M409" s="509">
        <f t="shared" si="999"/>
        <v>0</v>
      </c>
      <c r="N409" s="647"/>
      <c r="O409" s="627"/>
      <c r="P409" s="629"/>
      <c r="Q409" s="629"/>
    </row>
    <row r="410" spans="1:17" ht="15.75" hidden="1" thickBot="1">
      <c r="A410" s="390" t="str">
        <f t="shared" ref="A410:B410" si="1052">A407</f>
        <v>LDPE</v>
      </c>
      <c r="B410" s="391" t="str">
        <f t="shared" si="1052"/>
        <v>film</v>
      </c>
      <c r="C410" s="391">
        <f t="shared" si="1045"/>
        <v>2</v>
      </c>
      <c r="D410" s="399" t="str">
        <f t="shared" ref="D410:E410" si="1053">D407</f>
        <v>1-10</v>
      </c>
      <c r="E410" s="391">
        <f t="shared" si="1053"/>
        <v>10</v>
      </c>
      <c r="F410" s="400" t="s">
        <v>1147</v>
      </c>
      <c r="G410" s="386" t="str">
        <f>CONCATENATE("DE: ",A410," ",B410," ",D410," mm (emission to ",F410,")")</f>
        <v>DE: LDPE film 1-10 mm (emission to fresh water)</v>
      </c>
      <c r="H410" s="387">
        <v>0</v>
      </c>
      <c r="I410" s="388" t="s">
        <v>1153</v>
      </c>
      <c r="J410" s="634">
        <v>0.22800000000000001</v>
      </c>
      <c r="K410" s="395">
        <v>5.66</v>
      </c>
      <c r="L410" s="536"/>
      <c r="M410" s="509">
        <f t="shared" si="999"/>
        <v>883.39222614840992</v>
      </c>
      <c r="N410" s="645">
        <f t="shared" ref="N410" si="1054">IFERROR(H410*M410+H411*M411+H412*M412+H413*M413+H414*M414,"N.A.")</f>
        <v>883.39222614840992</v>
      </c>
      <c r="O410" s="625"/>
      <c r="P410" s="628">
        <f t="shared" si="1016"/>
        <v>100</v>
      </c>
      <c r="Q410" s="628">
        <f t="shared" si="939"/>
        <v>500</v>
      </c>
    </row>
    <row r="411" spans="1:17" ht="15.75" hidden="1" thickBot="1">
      <c r="A411" s="390" t="str">
        <f t="shared" ref="A411:B411" si="1055">A408</f>
        <v>LDPE</v>
      </c>
      <c r="B411" s="391" t="str">
        <f t="shared" si="1055"/>
        <v>film</v>
      </c>
      <c r="C411" s="391">
        <f t="shared" si="1045"/>
        <v>2</v>
      </c>
      <c r="D411" s="391" t="str">
        <f t="shared" ref="D411:E411" si="1056">D408</f>
        <v>1-10</v>
      </c>
      <c r="E411" s="391">
        <f t="shared" si="1056"/>
        <v>10</v>
      </c>
      <c r="F411" s="391" t="str">
        <f t="shared" ref="F411:G411" si="1057">F410</f>
        <v>fresh water</v>
      </c>
      <c r="G411" s="401" t="str">
        <f t="shared" si="1057"/>
        <v>DE: LDPE film 1-10 mm (emission to fresh water)</v>
      </c>
      <c r="H411" s="393">
        <v>1</v>
      </c>
      <c r="I411" s="394" t="s">
        <v>1097</v>
      </c>
      <c r="J411" s="635"/>
      <c r="K411" s="395">
        <v>5.66</v>
      </c>
      <c r="L411" s="537"/>
      <c r="M411" s="509">
        <f t="shared" si="999"/>
        <v>883.39222614840992</v>
      </c>
      <c r="N411" s="646"/>
      <c r="O411" s="626"/>
      <c r="P411" s="629"/>
      <c r="Q411" s="629"/>
    </row>
    <row r="412" spans="1:17" ht="15.75" hidden="1" thickBot="1">
      <c r="A412" s="390" t="str">
        <f t="shared" ref="A412:B412" si="1058">A409</f>
        <v>LDPE</v>
      </c>
      <c r="B412" s="391" t="str">
        <f t="shared" si="1058"/>
        <v>film</v>
      </c>
      <c r="C412" s="391">
        <f t="shared" si="1045"/>
        <v>2</v>
      </c>
      <c r="D412" s="391" t="str">
        <f t="shared" ref="D412:E412" si="1059">D409</f>
        <v>1-10</v>
      </c>
      <c r="E412" s="391">
        <f t="shared" si="1059"/>
        <v>10</v>
      </c>
      <c r="F412" s="391" t="str">
        <f t="shared" ref="F412:G412" si="1060">F411</f>
        <v>fresh water</v>
      </c>
      <c r="G412" s="401" t="str">
        <f t="shared" si="1060"/>
        <v>DE: LDPE film 1-10 mm (emission to fresh water)</v>
      </c>
      <c r="H412" s="393">
        <v>0</v>
      </c>
      <c r="I412" s="394" t="s">
        <v>1162</v>
      </c>
      <c r="J412" s="635"/>
      <c r="K412" s="395">
        <v>0.4</v>
      </c>
      <c r="L412" s="537"/>
      <c r="M412" s="509">
        <f t="shared" si="999"/>
        <v>1000</v>
      </c>
      <c r="N412" s="646"/>
      <c r="O412" s="626"/>
      <c r="P412" s="629"/>
      <c r="Q412" s="629"/>
    </row>
    <row r="413" spans="1:17" ht="15.75" hidden="1" thickBot="1">
      <c r="A413" s="390" t="str">
        <f t="shared" ref="A413:B413" si="1061">A410</f>
        <v>LDPE</v>
      </c>
      <c r="B413" s="391" t="str">
        <f t="shared" si="1061"/>
        <v>film</v>
      </c>
      <c r="C413" s="391">
        <f t="shared" si="1045"/>
        <v>2</v>
      </c>
      <c r="D413" s="391" t="str">
        <f t="shared" ref="D413:E413" si="1062">D410</f>
        <v>1-10</v>
      </c>
      <c r="E413" s="391">
        <f t="shared" si="1062"/>
        <v>10</v>
      </c>
      <c r="F413" s="391" t="str">
        <f t="shared" ref="F413:G413" si="1063">F412</f>
        <v>fresh water</v>
      </c>
      <c r="G413" s="401" t="str">
        <f t="shared" si="1063"/>
        <v>DE: LDPE film 1-10 mm (emission to fresh water)</v>
      </c>
      <c r="H413" s="393">
        <v>0</v>
      </c>
      <c r="I413" s="394" t="s">
        <v>1146</v>
      </c>
      <c r="J413" s="635"/>
      <c r="K413" s="395">
        <v>0.4</v>
      </c>
      <c r="L413" s="537"/>
      <c r="M413" s="509">
        <f t="shared" si="999"/>
        <v>1000</v>
      </c>
      <c r="N413" s="646"/>
      <c r="O413" s="626"/>
      <c r="P413" s="629"/>
      <c r="Q413" s="629"/>
    </row>
    <row r="414" spans="1:17" ht="15.75" hidden="1" thickBot="1">
      <c r="A414" s="390" t="str">
        <f t="shared" ref="A414:B414" si="1064">A411</f>
        <v>LDPE</v>
      </c>
      <c r="B414" s="391" t="str">
        <f t="shared" si="1064"/>
        <v>film</v>
      </c>
      <c r="C414" s="391">
        <f t="shared" si="1045"/>
        <v>2</v>
      </c>
      <c r="D414" s="391" t="str">
        <f t="shared" ref="D414:E414" si="1065">D411</f>
        <v>1-10</v>
      </c>
      <c r="E414" s="391">
        <f t="shared" si="1065"/>
        <v>10</v>
      </c>
      <c r="F414" s="402" t="str">
        <f>F411</f>
        <v>fresh water</v>
      </c>
      <c r="G414" s="401" t="str">
        <f t="shared" ref="G414" si="1066">G413</f>
        <v>DE: LDPE film 1-10 mm (emission to fresh water)</v>
      </c>
      <c r="H414" s="393">
        <v>0</v>
      </c>
      <c r="I414" s="394" t="s">
        <v>1034</v>
      </c>
      <c r="J414" s="654"/>
      <c r="K414" s="398" t="s">
        <v>596</v>
      </c>
      <c r="L414" s="538"/>
      <c r="M414" s="509">
        <f t="shared" si="999"/>
        <v>0</v>
      </c>
      <c r="N414" s="647"/>
      <c r="O414" s="627"/>
      <c r="P414" s="629"/>
      <c r="Q414" s="629"/>
    </row>
    <row r="415" spans="1:17" ht="15.75" hidden="1" thickBot="1">
      <c r="A415" s="390" t="str">
        <f t="shared" ref="A415:B415" si="1067">A412</f>
        <v>LDPE</v>
      </c>
      <c r="B415" s="391" t="str">
        <f t="shared" si="1067"/>
        <v>film</v>
      </c>
      <c r="C415" s="391">
        <f t="shared" si="1045"/>
        <v>2</v>
      </c>
      <c r="D415" s="391" t="str">
        <f t="shared" ref="D415:E415" si="1068">D412</f>
        <v>1-10</v>
      </c>
      <c r="E415" s="391">
        <f t="shared" si="1068"/>
        <v>10</v>
      </c>
      <c r="F415" s="385" t="s">
        <v>1097</v>
      </c>
      <c r="G415" s="422" t="str">
        <f>CONCATENATE("DE: ",A415," ",B415," ",D415," mm (emission to ",F415,")")</f>
        <v>DE: LDPE film 1-10 mm (emission to marine water)</v>
      </c>
      <c r="H415" s="403">
        <v>0</v>
      </c>
      <c r="I415" s="388" t="s">
        <v>1153</v>
      </c>
      <c r="J415" s="634">
        <v>0.22800000000000001</v>
      </c>
      <c r="K415" s="395">
        <v>5.66</v>
      </c>
      <c r="L415" s="536"/>
      <c r="M415" s="509">
        <f t="shared" si="999"/>
        <v>883.39222614840992</v>
      </c>
      <c r="N415" s="645">
        <f t="shared" ref="N415" si="1069">IFERROR(H415*M415+H416*M416+H417*M417+H418*M418+H419*M419,"N.A.")</f>
        <v>883.39222614840992</v>
      </c>
      <c r="O415" s="625"/>
      <c r="P415" s="628">
        <f t="shared" si="1016"/>
        <v>100</v>
      </c>
      <c r="Q415" s="628">
        <f t="shared" si="939"/>
        <v>500</v>
      </c>
    </row>
    <row r="416" spans="1:17" ht="15.75" hidden="1" thickBot="1">
      <c r="A416" s="390" t="str">
        <f t="shared" ref="A416:B416" si="1070">A413</f>
        <v>LDPE</v>
      </c>
      <c r="B416" s="391" t="str">
        <f t="shared" si="1070"/>
        <v>film</v>
      </c>
      <c r="C416" s="391">
        <f t="shared" si="1045"/>
        <v>2</v>
      </c>
      <c r="D416" s="391" t="str">
        <f t="shared" ref="D416:E416" si="1071">D413</f>
        <v>1-10</v>
      </c>
      <c r="E416" s="391">
        <f t="shared" si="1071"/>
        <v>10</v>
      </c>
      <c r="F416" s="391" t="str">
        <f t="shared" ref="F416:G416" si="1072">F415</f>
        <v>marine water</v>
      </c>
      <c r="G416" s="401" t="str">
        <f t="shared" si="1072"/>
        <v>DE: LDPE film 1-10 mm (emission to marine water)</v>
      </c>
      <c r="H416" s="393">
        <v>1</v>
      </c>
      <c r="I416" s="394" t="s">
        <v>1097</v>
      </c>
      <c r="J416" s="635"/>
      <c r="K416" s="395">
        <v>5.66</v>
      </c>
      <c r="L416" s="537"/>
      <c r="M416" s="509">
        <f t="shared" si="999"/>
        <v>883.39222614840992</v>
      </c>
      <c r="N416" s="646"/>
      <c r="O416" s="626"/>
      <c r="P416" s="629"/>
      <c r="Q416" s="629"/>
    </row>
    <row r="417" spans="1:17" ht="15.75" hidden="1" thickBot="1">
      <c r="A417" s="390" t="str">
        <f t="shared" ref="A417:B417" si="1073">A414</f>
        <v>LDPE</v>
      </c>
      <c r="B417" s="391" t="str">
        <f t="shared" si="1073"/>
        <v>film</v>
      </c>
      <c r="C417" s="391">
        <f t="shared" si="1045"/>
        <v>2</v>
      </c>
      <c r="D417" s="391" t="str">
        <f t="shared" ref="D417:E417" si="1074">D414</f>
        <v>1-10</v>
      </c>
      <c r="E417" s="391">
        <f t="shared" si="1074"/>
        <v>10</v>
      </c>
      <c r="F417" s="391" t="str">
        <f t="shared" ref="F417:G417" si="1075">F416</f>
        <v>marine water</v>
      </c>
      <c r="G417" s="401" t="str">
        <f t="shared" si="1075"/>
        <v>DE: LDPE film 1-10 mm (emission to marine water)</v>
      </c>
      <c r="H417" s="393">
        <v>0</v>
      </c>
      <c r="I417" s="394" t="s">
        <v>1162</v>
      </c>
      <c r="J417" s="635"/>
      <c r="K417" s="395">
        <v>0.4</v>
      </c>
      <c r="L417" s="537"/>
      <c r="M417" s="509">
        <f t="shared" si="999"/>
        <v>1000</v>
      </c>
      <c r="N417" s="646"/>
      <c r="O417" s="626"/>
      <c r="P417" s="629"/>
      <c r="Q417" s="629"/>
    </row>
    <row r="418" spans="1:17" ht="15.75" hidden="1" thickBot="1">
      <c r="A418" s="390" t="str">
        <f t="shared" ref="A418:B418" si="1076">A415</f>
        <v>LDPE</v>
      </c>
      <c r="B418" s="391" t="str">
        <f t="shared" si="1076"/>
        <v>film</v>
      </c>
      <c r="C418" s="391">
        <f t="shared" si="1045"/>
        <v>2</v>
      </c>
      <c r="D418" s="391" t="str">
        <f t="shared" ref="D418:E418" si="1077">D415</f>
        <v>1-10</v>
      </c>
      <c r="E418" s="391">
        <f t="shared" si="1077"/>
        <v>10</v>
      </c>
      <c r="F418" s="391" t="str">
        <f t="shared" ref="F418:G418" si="1078">F417</f>
        <v>marine water</v>
      </c>
      <c r="G418" s="401" t="str">
        <f t="shared" si="1078"/>
        <v>DE: LDPE film 1-10 mm (emission to marine water)</v>
      </c>
      <c r="H418" s="393">
        <v>0</v>
      </c>
      <c r="I418" s="394" t="s">
        <v>1146</v>
      </c>
      <c r="J418" s="635"/>
      <c r="K418" s="395">
        <v>0.4</v>
      </c>
      <c r="L418" s="537"/>
      <c r="M418" s="509">
        <f t="shared" si="999"/>
        <v>1000</v>
      </c>
      <c r="N418" s="646"/>
      <c r="O418" s="626"/>
      <c r="P418" s="629"/>
      <c r="Q418" s="629"/>
    </row>
    <row r="419" spans="1:17" ht="15.75" hidden="1" thickBot="1">
      <c r="A419" s="390" t="str">
        <f t="shared" ref="A419:B419" si="1079">A416</f>
        <v>LDPE</v>
      </c>
      <c r="B419" s="391" t="str">
        <f t="shared" si="1079"/>
        <v>film</v>
      </c>
      <c r="C419" s="391">
        <f t="shared" si="1045"/>
        <v>2</v>
      </c>
      <c r="D419" s="391" t="str">
        <f t="shared" ref="D419:E419" si="1080">D416</f>
        <v>1-10</v>
      </c>
      <c r="E419" s="391">
        <f t="shared" si="1080"/>
        <v>10</v>
      </c>
      <c r="F419" s="391" t="str">
        <f t="shared" ref="F419:G419" si="1081">F418</f>
        <v>marine water</v>
      </c>
      <c r="G419" s="401" t="str">
        <f t="shared" si="1081"/>
        <v>DE: LDPE film 1-10 mm (emission to marine water)</v>
      </c>
      <c r="H419" s="393">
        <v>0</v>
      </c>
      <c r="I419" s="394" t="s">
        <v>1034</v>
      </c>
      <c r="J419" s="654"/>
      <c r="K419" s="398" t="s">
        <v>596</v>
      </c>
      <c r="L419" s="538"/>
      <c r="M419" s="509">
        <f t="shared" si="999"/>
        <v>0</v>
      </c>
      <c r="N419" s="647"/>
      <c r="O419" s="627"/>
      <c r="P419" s="629"/>
      <c r="Q419" s="629"/>
    </row>
    <row r="420" spans="1:17" ht="15.75" hidden="1" thickBot="1">
      <c r="A420" s="390" t="str">
        <f t="shared" ref="A420:B420" si="1082">A417</f>
        <v>LDPE</v>
      </c>
      <c r="B420" s="391" t="str">
        <f t="shared" si="1082"/>
        <v>film</v>
      </c>
      <c r="C420" s="391">
        <f t="shared" si="1045"/>
        <v>2</v>
      </c>
      <c r="D420" s="391" t="str">
        <f t="shared" ref="D420:E420" si="1083">D417</f>
        <v>1-10</v>
      </c>
      <c r="E420" s="391">
        <f t="shared" si="1083"/>
        <v>10</v>
      </c>
      <c r="F420" s="400" t="s">
        <v>1057</v>
      </c>
      <c r="G420" s="422" t="str">
        <f>CONCATENATE("DE: ",A420," ",B420," ",D420," mm (emission to ",F420,")")</f>
        <v>DE: LDPE film 1-10 mm (emission to air)</v>
      </c>
      <c r="H420" s="403">
        <v>0.94799999999999995</v>
      </c>
      <c r="I420" s="388" t="s">
        <v>1153</v>
      </c>
      <c r="J420" s="634">
        <v>0.22800000000000001</v>
      </c>
      <c r="K420" s="395">
        <v>5.66</v>
      </c>
      <c r="L420" s="536"/>
      <c r="M420" s="509">
        <f t="shared" si="999"/>
        <v>883.39222614840992</v>
      </c>
      <c r="N420" s="645">
        <f t="shared" ref="N420" si="1084">IFERROR(H420*M420+H421*M421+H422*M422+H423*M423+H424*M424,"N.A.")</f>
        <v>883.39222614840992</v>
      </c>
      <c r="O420" s="625"/>
      <c r="P420" s="628">
        <f t="shared" si="1016"/>
        <v>100</v>
      </c>
      <c r="Q420" s="628">
        <f t="shared" si="939"/>
        <v>500</v>
      </c>
    </row>
    <row r="421" spans="1:17" ht="15.75" hidden="1" thickBot="1">
      <c r="A421" s="390" t="str">
        <f t="shared" ref="A421:B421" si="1085">A418</f>
        <v>LDPE</v>
      </c>
      <c r="B421" s="391" t="str">
        <f t="shared" si="1085"/>
        <v>film</v>
      </c>
      <c r="C421" s="391">
        <f t="shared" si="1045"/>
        <v>2</v>
      </c>
      <c r="D421" s="391" t="str">
        <f t="shared" ref="D421:E421" si="1086">D418</f>
        <v>1-10</v>
      </c>
      <c r="E421" s="391">
        <f t="shared" si="1086"/>
        <v>10</v>
      </c>
      <c r="F421" s="391" t="str">
        <f t="shared" ref="F421:G421" si="1087">F420</f>
        <v>air</v>
      </c>
      <c r="G421" s="401" t="str">
        <f t="shared" si="1087"/>
        <v>DE: LDPE film 1-10 mm (emission to air)</v>
      </c>
      <c r="H421" s="393">
        <v>5.1999999999999998E-2</v>
      </c>
      <c r="I421" s="394" t="s">
        <v>1097</v>
      </c>
      <c r="J421" s="635"/>
      <c r="K421" s="395">
        <v>5.66</v>
      </c>
      <c r="L421" s="537"/>
      <c r="M421" s="509">
        <f t="shared" si="999"/>
        <v>883.39222614840992</v>
      </c>
      <c r="N421" s="646"/>
      <c r="O421" s="626"/>
      <c r="P421" s="629"/>
      <c r="Q421" s="629"/>
    </row>
    <row r="422" spans="1:17" ht="15.75" hidden="1" thickBot="1">
      <c r="A422" s="390" t="str">
        <f t="shared" ref="A422:B422" si="1088">A419</f>
        <v>LDPE</v>
      </c>
      <c r="B422" s="391" t="str">
        <f t="shared" si="1088"/>
        <v>film</v>
      </c>
      <c r="C422" s="391">
        <f t="shared" si="1045"/>
        <v>2</v>
      </c>
      <c r="D422" s="391" t="str">
        <f t="shared" ref="D422:E422" si="1089">D419</f>
        <v>1-10</v>
      </c>
      <c r="E422" s="391">
        <f t="shared" si="1089"/>
        <v>10</v>
      </c>
      <c r="F422" s="391" t="str">
        <f t="shared" ref="F422:G422" si="1090">F421</f>
        <v>air</v>
      </c>
      <c r="G422" s="401" t="str">
        <f t="shared" si="1090"/>
        <v>DE: LDPE film 1-10 mm (emission to air)</v>
      </c>
      <c r="H422" s="393">
        <v>0</v>
      </c>
      <c r="I422" s="394" t="s">
        <v>1162</v>
      </c>
      <c r="J422" s="635"/>
      <c r="K422" s="395">
        <v>0.4</v>
      </c>
      <c r="L422" s="537"/>
      <c r="M422" s="509">
        <f t="shared" si="999"/>
        <v>1000</v>
      </c>
      <c r="N422" s="646"/>
      <c r="O422" s="626"/>
      <c r="P422" s="629"/>
      <c r="Q422" s="629"/>
    </row>
    <row r="423" spans="1:17" ht="15.75" hidden="1" thickBot="1">
      <c r="A423" s="390" t="str">
        <f t="shared" ref="A423:B423" si="1091">A420</f>
        <v>LDPE</v>
      </c>
      <c r="B423" s="391" t="str">
        <f t="shared" si="1091"/>
        <v>film</v>
      </c>
      <c r="C423" s="391">
        <f t="shared" si="1045"/>
        <v>2</v>
      </c>
      <c r="D423" s="391" t="str">
        <f t="shared" ref="D423:E423" si="1092">D420</f>
        <v>1-10</v>
      </c>
      <c r="E423" s="391">
        <f t="shared" si="1092"/>
        <v>10</v>
      </c>
      <c r="F423" s="391" t="str">
        <f t="shared" ref="F423:G423" si="1093">F422</f>
        <v>air</v>
      </c>
      <c r="G423" s="401" t="str">
        <f t="shared" si="1093"/>
        <v>DE: LDPE film 1-10 mm (emission to air)</v>
      </c>
      <c r="H423" s="393">
        <v>0</v>
      </c>
      <c r="I423" s="394" t="s">
        <v>1146</v>
      </c>
      <c r="J423" s="635"/>
      <c r="K423" s="395">
        <v>0.4</v>
      </c>
      <c r="L423" s="537"/>
      <c r="M423" s="509">
        <f t="shared" si="999"/>
        <v>1000</v>
      </c>
      <c r="N423" s="646"/>
      <c r="O423" s="626"/>
      <c r="P423" s="629"/>
      <c r="Q423" s="629"/>
    </row>
    <row r="424" spans="1:17" ht="15.75" hidden="1" thickBot="1">
      <c r="A424" s="404" t="str">
        <f t="shared" ref="A424:B424" si="1094">A419</f>
        <v>LDPE</v>
      </c>
      <c r="B424" s="402" t="str">
        <f t="shared" si="1094"/>
        <v>film</v>
      </c>
      <c r="C424" s="391">
        <f t="shared" si="1045"/>
        <v>2</v>
      </c>
      <c r="D424" s="402" t="str">
        <f t="shared" ref="D424:E424" si="1095">D419</f>
        <v>1-10</v>
      </c>
      <c r="E424" s="402">
        <f t="shared" si="1095"/>
        <v>10</v>
      </c>
      <c r="F424" s="391" t="str">
        <f t="shared" ref="F424:G424" si="1096">F423</f>
        <v>air</v>
      </c>
      <c r="G424" s="401" t="str">
        <f t="shared" si="1096"/>
        <v>DE: LDPE film 1-10 mm (emission to air)</v>
      </c>
      <c r="H424" s="393">
        <v>0</v>
      </c>
      <c r="I424" s="394" t="s">
        <v>1034</v>
      </c>
      <c r="J424" s="636"/>
      <c r="K424" s="398" t="s">
        <v>596</v>
      </c>
      <c r="L424" s="538"/>
      <c r="M424" s="509">
        <f t="shared" si="999"/>
        <v>0</v>
      </c>
      <c r="N424" s="647"/>
      <c r="O424" s="627"/>
      <c r="P424" s="629"/>
      <c r="Q424" s="629"/>
    </row>
    <row r="425" spans="1:17" ht="16.5" hidden="1" thickTop="1" thickBot="1">
      <c r="A425" s="405" t="s">
        <v>67</v>
      </c>
      <c r="B425" s="406" t="s">
        <v>1151</v>
      </c>
      <c r="C425" s="407">
        <v>4</v>
      </c>
      <c r="D425" s="423" t="s">
        <v>1018</v>
      </c>
      <c r="E425" s="408">
        <v>0.1</v>
      </c>
      <c r="F425" s="424" t="s">
        <v>1019</v>
      </c>
      <c r="G425" s="425" t="str">
        <f>CONCATENATE("DE: ",A425," ",B425," ",D425," mm (emission to ",F425,")")</f>
        <v>DE: LDPE fiber 0,01-0,1 mm (emission to soil)</v>
      </c>
      <c r="H425" s="463">
        <v>0.97</v>
      </c>
      <c r="I425" s="427" t="s">
        <v>1153</v>
      </c>
      <c r="J425" s="632">
        <v>0.22800000000000001</v>
      </c>
      <c r="K425" s="428">
        <v>5.66</v>
      </c>
      <c r="L425" s="539"/>
      <c r="M425" s="509">
        <f t="shared" si="999"/>
        <v>4.4169611307420498</v>
      </c>
      <c r="N425" s="645">
        <f t="shared" ref="N425" si="1097">IFERROR(H425*M425+H426*M426+H427*M427+H428*M428+H429*M429,"N.A.")</f>
        <v>4.4169611307420498</v>
      </c>
      <c r="O425" s="625"/>
      <c r="P425" s="628">
        <f t="shared" si="1016"/>
        <v>4.4169611307420498</v>
      </c>
      <c r="Q425" s="628">
        <f t="shared" si="939"/>
        <v>4.4169611307420498</v>
      </c>
    </row>
    <row r="426" spans="1:17" ht="15.75" hidden="1" thickBot="1">
      <c r="A426" s="390" t="str">
        <f>A425</f>
        <v>LDPE</v>
      </c>
      <c r="B426" s="391" t="str">
        <f>B425</f>
        <v>fiber</v>
      </c>
      <c r="C426" s="391">
        <f t="shared" ref="C426:G444" si="1098">C425</f>
        <v>4</v>
      </c>
      <c r="D426" s="391" t="str">
        <f t="shared" si="1098"/>
        <v>0,01-0,1</v>
      </c>
      <c r="E426" s="391">
        <f t="shared" si="1098"/>
        <v>0.1</v>
      </c>
      <c r="F426" s="391" t="str">
        <f t="shared" si="1098"/>
        <v>soil</v>
      </c>
      <c r="G426" s="392" t="str">
        <f t="shared" si="1098"/>
        <v>DE: LDPE fiber 0,01-0,1 mm (emission to soil)</v>
      </c>
      <c r="H426" s="393">
        <v>0.03</v>
      </c>
      <c r="I426" s="394" t="s">
        <v>1097</v>
      </c>
      <c r="J426" s="632"/>
      <c r="K426" s="395">
        <v>5.66</v>
      </c>
      <c r="L426" s="537"/>
      <c r="M426" s="509">
        <f t="shared" si="999"/>
        <v>4.4169611307420498</v>
      </c>
      <c r="N426" s="646"/>
      <c r="O426" s="626"/>
      <c r="P426" s="629"/>
      <c r="Q426" s="629"/>
    </row>
    <row r="427" spans="1:17" ht="15.75" hidden="1" thickBot="1">
      <c r="A427" s="390" t="str">
        <f t="shared" ref="A427:A428" si="1099">A426</f>
        <v>LDPE</v>
      </c>
      <c r="B427" s="391" t="str">
        <f t="shared" ref="B427:B428" si="1100">B426</f>
        <v>fiber</v>
      </c>
      <c r="C427" s="391">
        <f t="shared" si="1098"/>
        <v>4</v>
      </c>
      <c r="D427" s="391" t="str">
        <f t="shared" si="1098"/>
        <v>0,01-0,1</v>
      </c>
      <c r="E427" s="391">
        <f t="shared" si="1098"/>
        <v>0.1</v>
      </c>
      <c r="F427" s="391" t="str">
        <f t="shared" si="1098"/>
        <v>soil</v>
      </c>
      <c r="G427" s="392" t="str">
        <f t="shared" si="1098"/>
        <v>DE: LDPE fiber 0,01-0,1 mm (emission to soil)</v>
      </c>
      <c r="H427" s="393">
        <v>0</v>
      </c>
      <c r="I427" s="394" t="s">
        <v>1162</v>
      </c>
      <c r="J427" s="632"/>
      <c r="K427" s="395">
        <v>0.4</v>
      </c>
      <c r="L427" s="537"/>
      <c r="M427" s="509">
        <f t="shared" si="999"/>
        <v>62.5</v>
      </c>
      <c r="N427" s="646"/>
      <c r="O427" s="626"/>
      <c r="P427" s="629"/>
      <c r="Q427" s="629"/>
    </row>
    <row r="428" spans="1:17" ht="15.75" hidden="1" thickBot="1">
      <c r="A428" s="390" t="str">
        <f t="shared" si="1099"/>
        <v>LDPE</v>
      </c>
      <c r="B428" s="391" t="str">
        <f t="shared" si="1100"/>
        <v>fiber</v>
      </c>
      <c r="C428" s="391">
        <f t="shared" si="1098"/>
        <v>4</v>
      </c>
      <c r="D428" s="391" t="str">
        <f t="shared" si="1098"/>
        <v>0,01-0,1</v>
      </c>
      <c r="E428" s="391">
        <f t="shared" si="1098"/>
        <v>0.1</v>
      </c>
      <c r="F428" s="391" t="str">
        <f t="shared" si="1098"/>
        <v>soil</v>
      </c>
      <c r="G428" s="392" t="str">
        <f t="shared" si="1098"/>
        <v>DE: LDPE fiber 0,01-0,1 mm (emission to soil)</v>
      </c>
      <c r="H428" s="393">
        <v>0</v>
      </c>
      <c r="I428" s="394" t="s">
        <v>1146</v>
      </c>
      <c r="J428" s="632"/>
      <c r="K428" s="395">
        <v>0.4</v>
      </c>
      <c r="L428" s="537"/>
      <c r="M428" s="509">
        <f t="shared" si="999"/>
        <v>62.5</v>
      </c>
      <c r="N428" s="646"/>
      <c r="O428" s="626"/>
      <c r="P428" s="629"/>
      <c r="Q428" s="629"/>
    </row>
    <row r="429" spans="1:17" ht="15.75" hidden="1" thickBot="1">
      <c r="A429" s="390" t="str">
        <f>A426</f>
        <v>LDPE</v>
      </c>
      <c r="B429" s="391" t="str">
        <f>B426</f>
        <v>fiber</v>
      </c>
      <c r="C429" s="391">
        <f t="shared" si="1098"/>
        <v>4</v>
      </c>
      <c r="D429" s="391" t="str">
        <f>D426</f>
        <v>0,01-0,1</v>
      </c>
      <c r="E429" s="391">
        <f>E426</f>
        <v>0.1</v>
      </c>
      <c r="F429" s="391" t="str">
        <f>F426</f>
        <v>soil</v>
      </c>
      <c r="G429" s="396" t="str">
        <f t="shared" ref="G429" si="1101">G428</f>
        <v>DE: LDPE fiber 0,01-0,1 mm (emission to soil)</v>
      </c>
      <c r="H429" s="393">
        <v>0</v>
      </c>
      <c r="I429" s="397" t="s">
        <v>1034</v>
      </c>
      <c r="J429" s="633"/>
      <c r="K429" s="398" t="s">
        <v>596</v>
      </c>
      <c r="L429" s="538"/>
      <c r="M429" s="509">
        <f t="shared" si="999"/>
        <v>0</v>
      </c>
      <c r="N429" s="647"/>
      <c r="O429" s="627"/>
      <c r="P429" s="629"/>
      <c r="Q429" s="629"/>
    </row>
    <row r="430" spans="1:17" ht="15.75" hidden="1" thickBot="1">
      <c r="A430" s="390" t="str">
        <f t="shared" ref="A430:B430" si="1102">A427</f>
        <v>LDPE</v>
      </c>
      <c r="B430" s="391" t="str">
        <f t="shared" si="1102"/>
        <v>fiber</v>
      </c>
      <c r="C430" s="391">
        <f t="shared" si="1098"/>
        <v>4</v>
      </c>
      <c r="D430" s="399" t="str">
        <f t="shared" ref="D430:E430" si="1103">D427</f>
        <v>0,01-0,1</v>
      </c>
      <c r="E430" s="391">
        <f t="shared" si="1103"/>
        <v>0.1</v>
      </c>
      <c r="F430" s="400" t="s">
        <v>1147</v>
      </c>
      <c r="G430" s="386" t="str">
        <f>CONCATENATE("DE: ",A430," ",B430," ",D430," mm (emission to ",F430,")")</f>
        <v>DE: LDPE fiber 0,01-0,1 mm (emission to fresh water)</v>
      </c>
      <c r="H430" s="387">
        <v>0</v>
      </c>
      <c r="I430" s="388" t="s">
        <v>1153</v>
      </c>
      <c r="J430" s="634">
        <v>0.22800000000000001</v>
      </c>
      <c r="K430" s="395">
        <v>5.66</v>
      </c>
      <c r="L430" s="536"/>
      <c r="M430" s="509">
        <f t="shared" si="999"/>
        <v>4.4169611307420498</v>
      </c>
      <c r="N430" s="645">
        <f t="shared" ref="N430" si="1104">IFERROR(H430*M430+H431*M431+H432*M432+H433*M433+H434*M434,"N.A.")</f>
        <v>4.4169611307420498</v>
      </c>
      <c r="O430" s="625"/>
      <c r="P430" s="628">
        <f t="shared" si="1016"/>
        <v>4.4169611307420498</v>
      </c>
      <c r="Q430" s="628">
        <f t="shared" ref="Q430:Q490" si="1105">IFERROR(IF(H430*M430+H431*M431+H432*M432+H433*M433+H434*M434&gt;500,500,H430*M430+H431*M431+H432*M432+H433*M433+H434*M434),"N.A.")</f>
        <v>4.4169611307420498</v>
      </c>
    </row>
    <row r="431" spans="1:17" ht="15.75" hidden="1" thickBot="1">
      <c r="A431" s="390" t="str">
        <f t="shared" ref="A431:B431" si="1106">A428</f>
        <v>LDPE</v>
      </c>
      <c r="B431" s="391" t="str">
        <f t="shared" si="1106"/>
        <v>fiber</v>
      </c>
      <c r="C431" s="391">
        <f t="shared" si="1098"/>
        <v>4</v>
      </c>
      <c r="D431" s="391" t="str">
        <f t="shared" ref="D431:E431" si="1107">D428</f>
        <v>0,01-0,1</v>
      </c>
      <c r="E431" s="391">
        <f t="shared" si="1107"/>
        <v>0.1</v>
      </c>
      <c r="F431" s="391" t="str">
        <f t="shared" ref="F431:G431" si="1108">F430</f>
        <v>fresh water</v>
      </c>
      <c r="G431" s="401" t="str">
        <f t="shared" si="1108"/>
        <v>DE: LDPE fiber 0,01-0,1 mm (emission to fresh water)</v>
      </c>
      <c r="H431" s="393">
        <v>1</v>
      </c>
      <c r="I431" s="394" t="s">
        <v>1097</v>
      </c>
      <c r="J431" s="635"/>
      <c r="K431" s="395">
        <v>5.66</v>
      </c>
      <c r="L431" s="536"/>
      <c r="M431" s="509">
        <f t="shared" si="999"/>
        <v>4.4169611307420498</v>
      </c>
      <c r="N431" s="646"/>
      <c r="O431" s="626"/>
      <c r="P431" s="629"/>
      <c r="Q431" s="629"/>
    </row>
    <row r="432" spans="1:17" ht="15.75" hidden="1" thickBot="1">
      <c r="A432" s="390" t="str">
        <f t="shared" ref="A432:B432" si="1109">A429</f>
        <v>LDPE</v>
      </c>
      <c r="B432" s="391" t="str">
        <f t="shared" si="1109"/>
        <v>fiber</v>
      </c>
      <c r="C432" s="391">
        <f t="shared" si="1098"/>
        <v>4</v>
      </c>
      <c r="D432" s="391" t="str">
        <f t="shared" ref="D432:E432" si="1110">D429</f>
        <v>0,01-0,1</v>
      </c>
      <c r="E432" s="391">
        <f t="shared" si="1110"/>
        <v>0.1</v>
      </c>
      <c r="F432" s="391" t="str">
        <f t="shared" ref="F432:G432" si="1111">F431</f>
        <v>fresh water</v>
      </c>
      <c r="G432" s="401" t="str">
        <f t="shared" si="1111"/>
        <v>DE: LDPE fiber 0,01-0,1 mm (emission to fresh water)</v>
      </c>
      <c r="H432" s="393">
        <v>0</v>
      </c>
      <c r="I432" s="394" t="s">
        <v>1162</v>
      </c>
      <c r="J432" s="635"/>
      <c r="K432" s="395">
        <v>0.4</v>
      </c>
      <c r="L432" s="536"/>
      <c r="M432" s="509">
        <f t="shared" si="999"/>
        <v>62.5</v>
      </c>
      <c r="N432" s="646"/>
      <c r="O432" s="626"/>
      <c r="P432" s="629"/>
      <c r="Q432" s="629"/>
    </row>
    <row r="433" spans="1:17" ht="15.75" hidden="1" thickBot="1">
      <c r="A433" s="390" t="str">
        <f t="shared" ref="A433:B433" si="1112">A430</f>
        <v>LDPE</v>
      </c>
      <c r="B433" s="391" t="str">
        <f t="shared" si="1112"/>
        <v>fiber</v>
      </c>
      <c r="C433" s="391">
        <f t="shared" si="1098"/>
        <v>4</v>
      </c>
      <c r="D433" s="391" t="str">
        <f t="shared" ref="D433:E433" si="1113">D430</f>
        <v>0,01-0,1</v>
      </c>
      <c r="E433" s="391">
        <f t="shared" si="1113"/>
        <v>0.1</v>
      </c>
      <c r="F433" s="391" t="str">
        <f t="shared" ref="F433:G433" si="1114">F432</f>
        <v>fresh water</v>
      </c>
      <c r="G433" s="401" t="str">
        <f t="shared" si="1114"/>
        <v>DE: LDPE fiber 0,01-0,1 mm (emission to fresh water)</v>
      </c>
      <c r="H433" s="393">
        <v>0</v>
      </c>
      <c r="I433" s="394" t="s">
        <v>1146</v>
      </c>
      <c r="J433" s="635"/>
      <c r="K433" s="395">
        <v>0.4</v>
      </c>
      <c r="L433" s="536"/>
      <c r="M433" s="509">
        <f t="shared" si="999"/>
        <v>62.5</v>
      </c>
      <c r="N433" s="646"/>
      <c r="O433" s="626"/>
      <c r="P433" s="629"/>
      <c r="Q433" s="629"/>
    </row>
    <row r="434" spans="1:17" ht="15.75" hidden="1" thickBot="1">
      <c r="A434" s="390" t="str">
        <f t="shared" ref="A434:B434" si="1115">A431</f>
        <v>LDPE</v>
      </c>
      <c r="B434" s="391" t="str">
        <f t="shared" si="1115"/>
        <v>fiber</v>
      </c>
      <c r="C434" s="391">
        <f t="shared" si="1098"/>
        <v>4</v>
      </c>
      <c r="D434" s="391" t="str">
        <f t="shared" ref="D434:E434" si="1116">D431</f>
        <v>0,01-0,1</v>
      </c>
      <c r="E434" s="391">
        <f t="shared" si="1116"/>
        <v>0.1</v>
      </c>
      <c r="F434" s="402" t="str">
        <f>F431</f>
        <v>fresh water</v>
      </c>
      <c r="G434" s="401" t="str">
        <f t="shared" ref="G434" si="1117">G433</f>
        <v>DE: LDPE fiber 0,01-0,1 mm (emission to fresh water)</v>
      </c>
      <c r="H434" s="393">
        <v>0</v>
      </c>
      <c r="I434" s="394" t="s">
        <v>1034</v>
      </c>
      <c r="J434" s="654"/>
      <c r="K434" s="398" t="s">
        <v>596</v>
      </c>
      <c r="L434" s="538"/>
      <c r="M434" s="509">
        <f t="shared" si="999"/>
        <v>0</v>
      </c>
      <c r="N434" s="647"/>
      <c r="O434" s="627"/>
      <c r="P434" s="629"/>
      <c r="Q434" s="629"/>
    </row>
    <row r="435" spans="1:17" ht="15.75" hidden="1" thickBot="1">
      <c r="A435" s="390" t="str">
        <f t="shared" ref="A435:B435" si="1118">A432</f>
        <v>LDPE</v>
      </c>
      <c r="B435" s="391" t="str">
        <f t="shared" si="1118"/>
        <v>fiber</v>
      </c>
      <c r="C435" s="391">
        <f t="shared" si="1098"/>
        <v>4</v>
      </c>
      <c r="D435" s="391" t="str">
        <f t="shared" ref="D435:E435" si="1119">D432</f>
        <v>0,01-0,1</v>
      </c>
      <c r="E435" s="391">
        <f t="shared" si="1119"/>
        <v>0.1</v>
      </c>
      <c r="F435" s="385" t="s">
        <v>1097</v>
      </c>
      <c r="G435" s="422" t="str">
        <f>CONCATENATE("DE: ",A435," ",B435," ",D435," mm (emission to ",F435,")")</f>
        <v>DE: LDPE fiber 0,01-0,1 mm (emission to marine water)</v>
      </c>
      <c r="H435" s="403">
        <v>0</v>
      </c>
      <c r="I435" s="388" t="s">
        <v>1153</v>
      </c>
      <c r="J435" s="634">
        <v>0.22800000000000001</v>
      </c>
      <c r="K435" s="395">
        <v>5.66</v>
      </c>
      <c r="L435" s="536"/>
      <c r="M435" s="509">
        <f t="shared" si="999"/>
        <v>4.4169611307420498</v>
      </c>
      <c r="N435" s="645">
        <f t="shared" ref="N435" si="1120">IFERROR(H435*M435+H436*M436+H437*M437+H438*M438+H439*M439,"N.A.")</f>
        <v>4.4169611307420498</v>
      </c>
      <c r="O435" s="625"/>
      <c r="P435" s="628">
        <f t="shared" si="1016"/>
        <v>4.4169611307420498</v>
      </c>
      <c r="Q435" s="628">
        <f t="shared" si="1105"/>
        <v>4.4169611307420498</v>
      </c>
    </row>
    <row r="436" spans="1:17" ht="15.75" hidden="1" thickBot="1">
      <c r="A436" s="390" t="str">
        <f t="shared" ref="A436:B436" si="1121">A433</f>
        <v>LDPE</v>
      </c>
      <c r="B436" s="391" t="str">
        <f t="shared" si="1121"/>
        <v>fiber</v>
      </c>
      <c r="C436" s="391">
        <f t="shared" si="1098"/>
        <v>4</v>
      </c>
      <c r="D436" s="391" t="str">
        <f t="shared" ref="D436:E436" si="1122">D433</f>
        <v>0,01-0,1</v>
      </c>
      <c r="E436" s="391">
        <f t="shared" si="1122"/>
        <v>0.1</v>
      </c>
      <c r="F436" s="391" t="str">
        <f t="shared" ref="F436:G436" si="1123">F435</f>
        <v>marine water</v>
      </c>
      <c r="G436" s="401" t="str">
        <f t="shared" si="1123"/>
        <v>DE: LDPE fiber 0,01-0,1 mm (emission to marine water)</v>
      </c>
      <c r="H436" s="393">
        <v>1</v>
      </c>
      <c r="I436" s="394" t="s">
        <v>1097</v>
      </c>
      <c r="J436" s="635"/>
      <c r="K436" s="395">
        <v>5.66</v>
      </c>
      <c r="L436" s="537"/>
      <c r="M436" s="509">
        <f t="shared" si="999"/>
        <v>4.4169611307420498</v>
      </c>
      <c r="N436" s="646"/>
      <c r="O436" s="626"/>
      <c r="P436" s="629"/>
      <c r="Q436" s="629"/>
    </row>
    <row r="437" spans="1:17" ht="15.75" hidden="1" thickBot="1">
      <c r="A437" s="390" t="str">
        <f t="shared" ref="A437:B437" si="1124">A434</f>
        <v>LDPE</v>
      </c>
      <c r="B437" s="391" t="str">
        <f t="shared" si="1124"/>
        <v>fiber</v>
      </c>
      <c r="C437" s="391">
        <f t="shared" si="1098"/>
        <v>4</v>
      </c>
      <c r="D437" s="391" t="str">
        <f t="shared" ref="D437:E437" si="1125">D434</f>
        <v>0,01-0,1</v>
      </c>
      <c r="E437" s="391">
        <f t="shared" si="1125"/>
        <v>0.1</v>
      </c>
      <c r="F437" s="391" t="str">
        <f t="shared" ref="F437:G437" si="1126">F436</f>
        <v>marine water</v>
      </c>
      <c r="G437" s="401" t="str">
        <f t="shared" si="1126"/>
        <v>DE: LDPE fiber 0,01-0,1 mm (emission to marine water)</v>
      </c>
      <c r="H437" s="393">
        <v>0</v>
      </c>
      <c r="I437" s="394" t="s">
        <v>1162</v>
      </c>
      <c r="J437" s="635"/>
      <c r="K437" s="395">
        <v>0.4</v>
      </c>
      <c r="L437" s="537"/>
      <c r="M437" s="509">
        <f t="shared" si="999"/>
        <v>62.5</v>
      </c>
      <c r="N437" s="646"/>
      <c r="O437" s="626"/>
      <c r="P437" s="629"/>
      <c r="Q437" s="629"/>
    </row>
    <row r="438" spans="1:17" ht="15.75" hidden="1" thickBot="1">
      <c r="A438" s="390" t="str">
        <f t="shared" ref="A438:B438" si="1127">A435</f>
        <v>LDPE</v>
      </c>
      <c r="B438" s="391" t="str">
        <f t="shared" si="1127"/>
        <v>fiber</v>
      </c>
      <c r="C438" s="391">
        <f t="shared" si="1098"/>
        <v>4</v>
      </c>
      <c r="D438" s="391" t="str">
        <f t="shared" ref="D438:E438" si="1128">D435</f>
        <v>0,01-0,1</v>
      </c>
      <c r="E438" s="391">
        <f t="shared" si="1128"/>
        <v>0.1</v>
      </c>
      <c r="F438" s="391" t="str">
        <f t="shared" ref="F438:G438" si="1129">F437</f>
        <v>marine water</v>
      </c>
      <c r="G438" s="401" t="str">
        <f t="shared" si="1129"/>
        <v>DE: LDPE fiber 0,01-0,1 mm (emission to marine water)</v>
      </c>
      <c r="H438" s="393">
        <v>0</v>
      </c>
      <c r="I438" s="394" t="s">
        <v>1146</v>
      </c>
      <c r="J438" s="635"/>
      <c r="K438" s="395">
        <v>0.4</v>
      </c>
      <c r="L438" s="537"/>
      <c r="M438" s="509">
        <f t="shared" si="999"/>
        <v>62.5</v>
      </c>
      <c r="N438" s="646"/>
      <c r="O438" s="626"/>
      <c r="P438" s="629"/>
      <c r="Q438" s="629"/>
    </row>
    <row r="439" spans="1:17" ht="15.75" hidden="1" thickBot="1">
      <c r="A439" s="390" t="str">
        <f t="shared" ref="A439:B439" si="1130">A436</f>
        <v>LDPE</v>
      </c>
      <c r="B439" s="391" t="str">
        <f t="shared" si="1130"/>
        <v>fiber</v>
      </c>
      <c r="C439" s="391">
        <f t="shared" si="1098"/>
        <v>4</v>
      </c>
      <c r="D439" s="391" t="str">
        <f t="shared" ref="D439:E439" si="1131">D436</f>
        <v>0,01-0,1</v>
      </c>
      <c r="E439" s="391">
        <f t="shared" si="1131"/>
        <v>0.1</v>
      </c>
      <c r="F439" s="391" t="str">
        <f t="shared" ref="F439:G439" si="1132">F438</f>
        <v>marine water</v>
      </c>
      <c r="G439" s="401" t="str">
        <f t="shared" si="1132"/>
        <v>DE: LDPE fiber 0,01-0,1 mm (emission to marine water)</v>
      </c>
      <c r="H439" s="393">
        <v>0</v>
      </c>
      <c r="I439" s="394" t="s">
        <v>1034</v>
      </c>
      <c r="J439" s="654"/>
      <c r="K439" s="398" t="s">
        <v>596</v>
      </c>
      <c r="L439" s="538"/>
      <c r="M439" s="509">
        <f t="shared" si="999"/>
        <v>0</v>
      </c>
      <c r="N439" s="647"/>
      <c r="O439" s="627"/>
      <c r="P439" s="629"/>
      <c r="Q439" s="629"/>
    </row>
    <row r="440" spans="1:17" ht="15.75" hidden="1" thickBot="1">
      <c r="A440" s="390" t="str">
        <f t="shared" ref="A440:B440" si="1133">A437</f>
        <v>LDPE</v>
      </c>
      <c r="B440" s="391" t="str">
        <f t="shared" si="1133"/>
        <v>fiber</v>
      </c>
      <c r="C440" s="391">
        <f t="shared" si="1098"/>
        <v>4</v>
      </c>
      <c r="D440" s="391" t="str">
        <f t="shared" ref="D440:E440" si="1134">D437</f>
        <v>0,01-0,1</v>
      </c>
      <c r="E440" s="391">
        <f t="shared" si="1134"/>
        <v>0.1</v>
      </c>
      <c r="F440" s="400" t="s">
        <v>1057</v>
      </c>
      <c r="G440" s="422" t="str">
        <f>CONCATENATE("DE: ",A440," ",B440," ",D440," mm (emission to ",F440,")")</f>
        <v>DE: LDPE fiber 0,01-0,1 mm (emission to air)</v>
      </c>
      <c r="H440" s="403">
        <v>0.94799999999999995</v>
      </c>
      <c r="I440" s="388" t="s">
        <v>1153</v>
      </c>
      <c r="J440" s="634">
        <v>0.22800000000000001</v>
      </c>
      <c r="K440" s="395">
        <v>5.66</v>
      </c>
      <c r="L440" s="536"/>
      <c r="M440" s="509">
        <f t="shared" si="999"/>
        <v>4.4169611307420498</v>
      </c>
      <c r="N440" s="645">
        <f t="shared" ref="N440" si="1135">IFERROR(H440*M440+H441*M441+H442*M442+H443*M443+H444*M444,"N.A.")</f>
        <v>4.4169611307420498</v>
      </c>
      <c r="O440" s="625"/>
      <c r="P440" s="628">
        <f t="shared" si="1016"/>
        <v>4.4169611307420498</v>
      </c>
      <c r="Q440" s="628">
        <f t="shared" si="1105"/>
        <v>4.4169611307420498</v>
      </c>
    </row>
    <row r="441" spans="1:17" ht="15.75" hidden="1" thickBot="1">
      <c r="A441" s="390" t="str">
        <f t="shared" ref="A441:B441" si="1136">A438</f>
        <v>LDPE</v>
      </c>
      <c r="B441" s="391" t="str">
        <f t="shared" si="1136"/>
        <v>fiber</v>
      </c>
      <c r="C441" s="391">
        <f t="shared" si="1098"/>
        <v>4</v>
      </c>
      <c r="D441" s="391" t="str">
        <f t="shared" ref="D441:E441" si="1137">D438</f>
        <v>0,01-0,1</v>
      </c>
      <c r="E441" s="391">
        <f t="shared" si="1137"/>
        <v>0.1</v>
      </c>
      <c r="F441" s="391" t="str">
        <f t="shared" ref="F441:G441" si="1138">F440</f>
        <v>air</v>
      </c>
      <c r="G441" s="401" t="str">
        <f t="shared" si="1138"/>
        <v>DE: LDPE fiber 0,01-0,1 mm (emission to air)</v>
      </c>
      <c r="H441" s="393">
        <v>5.1999999999999998E-2</v>
      </c>
      <c r="I441" s="394" t="s">
        <v>1097</v>
      </c>
      <c r="J441" s="635"/>
      <c r="K441" s="395">
        <v>5.66</v>
      </c>
      <c r="L441" s="537"/>
      <c r="M441" s="509">
        <f t="shared" si="999"/>
        <v>4.4169611307420498</v>
      </c>
      <c r="N441" s="646"/>
      <c r="O441" s="626"/>
      <c r="P441" s="629"/>
      <c r="Q441" s="629"/>
    </row>
    <row r="442" spans="1:17" ht="15.75" hidden="1" thickBot="1">
      <c r="A442" s="390" t="str">
        <f t="shared" ref="A442:B442" si="1139">A439</f>
        <v>LDPE</v>
      </c>
      <c r="B442" s="391" t="str">
        <f t="shared" si="1139"/>
        <v>fiber</v>
      </c>
      <c r="C442" s="391">
        <f t="shared" si="1098"/>
        <v>4</v>
      </c>
      <c r="D442" s="391" t="str">
        <f t="shared" ref="D442:E442" si="1140">D439</f>
        <v>0,01-0,1</v>
      </c>
      <c r="E442" s="391">
        <f t="shared" si="1140"/>
        <v>0.1</v>
      </c>
      <c r="F442" s="391" t="str">
        <f t="shared" ref="F442:G442" si="1141">F441</f>
        <v>air</v>
      </c>
      <c r="G442" s="401" t="str">
        <f t="shared" si="1141"/>
        <v>DE: LDPE fiber 0,01-0,1 mm (emission to air)</v>
      </c>
      <c r="H442" s="393">
        <v>0</v>
      </c>
      <c r="I442" s="394" t="s">
        <v>1162</v>
      </c>
      <c r="J442" s="635"/>
      <c r="K442" s="395">
        <v>0.4</v>
      </c>
      <c r="L442" s="537"/>
      <c r="M442" s="509">
        <f t="shared" si="999"/>
        <v>62.5</v>
      </c>
      <c r="N442" s="646"/>
      <c r="O442" s="626"/>
      <c r="P442" s="629"/>
      <c r="Q442" s="629"/>
    </row>
    <row r="443" spans="1:17" ht="15.75" hidden="1" thickBot="1">
      <c r="A443" s="390" t="str">
        <f t="shared" ref="A443:B443" si="1142">A440</f>
        <v>LDPE</v>
      </c>
      <c r="B443" s="391" t="str">
        <f t="shared" si="1142"/>
        <v>fiber</v>
      </c>
      <c r="C443" s="391">
        <f t="shared" si="1098"/>
        <v>4</v>
      </c>
      <c r="D443" s="391" t="str">
        <f t="shared" ref="D443:E443" si="1143">D440</f>
        <v>0,01-0,1</v>
      </c>
      <c r="E443" s="391">
        <f t="shared" si="1143"/>
        <v>0.1</v>
      </c>
      <c r="F443" s="391" t="str">
        <f t="shared" ref="F443:G443" si="1144">F442</f>
        <v>air</v>
      </c>
      <c r="G443" s="401" t="str">
        <f t="shared" si="1144"/>
        <v>DE: LDPE fiber 0,01-0,1 mm (emission to air)</v>
      </c>
      <c r="H443" s="393">
        <v>0</v>
      </c>
      <c r="I443" s="394" t="s">
        <v>1146</v>
      </c>
      <c r="J443" s="635"/>
      <c r="K443" s="395">
        <v>0.4</v>
      </c>
      <c r="L443" s="537"/>
      <c r="M443" s="509">
        <f t="shared" si="999"/>
        <v>62.5</v>
      </c>
      <c r="N443" s="646"/>
      <c r="O443" s="626"/>
      <c r="P443" s="629"/>
      <c r="Q443" s="629"/>
    </row>
    <row r="444" spans="1:17" ht="15.75" hidden="1" thickBot="1">
      <c r="A444" s="404" t="str">
        <f t="shared" ref="A444:B444" si="1145">A439</f>
        <v>LDPE</v>
      </c>
      <c r="B444" s="402" t="str">
        <f t="shared" si="1145"/>
        <v>fiber</v>
      </c>
      <c r="C444" s="391">
        <f t="shared" si="1098"/>
        <v>4</v>
      </c>
      <c r="D444" s="402" t="str">
        <f t="shared" ref="D444:E444" si="1146">D439</f>
        <v>0,01-0,1</v>
      </c>
      <c r="E444" s="402">
        <f t="shared" si="1146"/>
        <v>0.1</v>
      </c>
      <c r="F444" s="391" t="str">
        <f t="shared" ref="F444:G444" si="1147">F443</f>
        <v>air</v>
      </c>
      <c r="G444" s="401" t="str">
        <f t="shared" si="1147"/>
        <v>DE: LDPE fiber 0,01-0,1 mm (emission to air)</v>
      </c>
      <c r="H444" s="393">
        <v>0</v>
      </c>
      <c r="I444" s="394" t="s">
        <v>1034</v>
      </c>
      <c r="J444" s="636"/>
      <c r="K444" s="398" t="s">
        <v>596</v>
      </c>
      <c r="L444" s="538"/>
      <c r="M444" s="509">
        <f t="shared" si="999"/>
        <v>0</v>
      </c>
      <c r="N444" s="647"/>
      <c r="O444" s="627"/>
      <c r="P444" s="629"/>
      <c r="Q444" s="629"/>
    </row>
    <row r="445" spans="1:17" ht="16.5" hidden="1" thickTop="1" thickBot="1">
      <c r="A445" s="405" t="s">
        <v>67</v>
      </c>
      <c r="B445" s="406" t="s">
        <v>1151</v>
      </c>
      <c r="C445" s="407">
        <v>4</v>
      </c>
      <c r="D445" s="423" t="s">
        <v>1028</v>
      </c>
      <c r="E445" s="408">
        <v>1</v>
      </c>
      <c r="F445" s="424" t="s">
        <v>1019</v>
      </c>
      <c r="G445" s="425" t="str">
        <f>CONCATENATE("DE: ",A445," ",B445," ",D445," mm (emission to ",F445,")")</f>
        <v>DE: LDPE fiber 0,1-1 mm (emission to soil)</v>
      </c>
      <c r="H445" s="463">
        <v>0.97</v>
      </c>
      <c r="I445" s="427" t="s">
        <v>1153</v>
      </c>
      <c r="J445" s="632">
        <v>0.22800000000000001</v>
      </c>
      <c r="K445" s="428">
        <v>5.66</v>
      </c>
      <c r="L445" s="539"/>
      <c r="M445" s="509">
        <f t="shared" si="999"/>
        <v>44.169611307420496</v>
      </c>
      <c r="N445" s="645">
        <f t="shared" ref="N445" si="1148">IFERROR(H445*M445+H446*M446+H447*M447+H448*M448+H449*M449,"N.A.")</f>
        <v>44.169611307420496</v>
      </c>
      <c r="O445" s="625"/>
      <c r="P445" s="628">
        <f t="shared" si="1016"/>
        <v>44.169611307420496</v>
      </c>
      <c r="Q445" s="628">
        <f t="shared" si="1105"/>
        <v>44.169611307420496</v>
      </c>
    </row>
    <row r="446" spans="1:17" ht="15.75" hidden="1" thickBot="1">
      <c r="A446" s="390" t="str">
        <f>A445</f>
        <v>LDPE</v>
      </c>
      <c r="B446" s="391" t="str">
        <f>B445</f>
        <v>fiber</v>
      </c>
      <c r="C446" s="391">
        <f t="shared" ref="C446:C464" si="1149">C445</f>
        <v>4</v>
      </c>
      <c r="D446" s="391" t="str">
        <f t="shared" ref="D446:G446" si="1150">D445</f>
        <v>0,1-1</v>
      </c>
      <c r="E446" s="391">
        <f t="shared" si="1150"/>
        <v>1</v>
      </c>
      <c r="F446" s="391" t="str">
        <f t="shared" si="1150"/>
        <v>soil</v>
      </c>
      <c r="G446" s="392" t="str">
        <f t="shared" si="1150"/>
        <v>DE: LDPE fiber 0,1-1 mm (emission to soil)</v>
      </c>
      <c r="H446" s="393">
        <v>0.03</v>
      </c>
      <c r="I446" s="394" t="s">
        <v>1097</v>
      </c>
      <c r="J446" s="632"/>
      <c r="K446" s="395">
        <v>5.66</v>
      </c>
      <c r="L446" s="537"/>
      <c r="M446" s="509">
        <f t="shared" si="999"/>
        <v>44.169611307420496</v>
      </c>
      <c r="N446" s="646"/>
      <c r="O446" s="626"/>
      <c r="P446" s="629"/>
      <c r="Q446" s="629"/>
    </row>
    <row r="447" spans="1:17" ht="15.75" hidden="1" thickBot="1">
      <c r="A447" s="390" t="str">
        <f t="shared" ref="A447:A448" si="1151">A446</f>
        <v>LDPE</v>
      </c>
      <c r="B447" s="391" t="str">
        <f t="shared" ref="B447:B448" si="1152">B446</f>
        <v>fiber</v>
      </c>
      <c r="C447" s="391">
        <f t="shared" si="1149"/>
        <v>4</v>
      </c>
      <c r="D447" s="391" t="str">
        <f t="shared" ref="D447:G447" si="1153">D446</f>
        <v>0,1-1</v>
      </c>
      <c r="E447" s="391">
        <f t="shared" si="1153"/>
        <v>1</v>
      </c>
      <c r="F447" s="391" t="str">
        <f t="shared" si="1153"/>
        <v>soil</v>
      </c>
      <c r="G447" s="392" t="str">
        <f t="shared" si="1153"/>
        <v>DE: LDPE fiber 0,1-1 mm (emission to soil)</v>
      </c>
      <c r="H447" s="393">
        <v>0</v>
      </c>
      <c r="I447" s="394" t="s">
        <v>1162</v>
      </c>
      <c r="J447" s="632"/>
      <c r="K447" s="395">
        <v>0.4</v>
      </c>
      <c r="L447" s="537"/>
      <c r="M447" s="509">
        <f t="shared" si="999"/>
        <v>625</v>
      </c>
      <c r="N447" s="646"/>
      <c r="O447" s="626"/>
      <c r="P447" s="629"/>
      <c r="Q447" s="629"/>
    </row>
    <row r="448" spans="1:17" ht="15.75" hidden="1" thickBot="1">
      <c r="A448" s="390" t="str">
        <f t="shared" si="1151"/>
        <v>LDPE</v>
      </c>
      <c r="B448" s="391" t="str">
        <f t="shared" si="1152"/>
        <v>fiber</v>
      </c>
      <c r="C448" s="391">
        <f t="shared" si="1149"/>
        <v>4</v>
      </c>
      <c r="D448" s="391" t="str">
        <f t="shared" ref="D448:G448" si="1154">D447</f>
        <v>0,1-1</v>
      </c>
      <c r="E448" s="391">
        <f t="shared" si="1154"/>
        <v>1</v>
      </c>
      <c r="F448" s="391" t="str">
        <f t="shared" si="1154"/>
        <v>soil</v>
      </c>
      <c r="G448" s="392" t="str">
        <f t="shared" si="1154"/>
        <v>DE: LDPE fiber 0,1-1 mm (emission to soil)</v>
      </c>
      <c r="H448" s="393">
        <v>0</v>
      </c>
      <c r="I448" s="394" t="s">
        <v>1146</v>
      </c>
      <c r="J448" s="632"/>
      <c r="K448" s="395">
        <v>0.4</v>
      </c>
      <c r="L448" s="537"/>
      <c r="M448" s="509">
        <f t="shared" si="999"/>
        <v>625</v>
      </c>
      <c r="N448" s="646"/>
      <c r="O448" s="626"/>
      <c r="P448" s="629"/>
      <c r="Q448" s="629"/>
    </row>
    <row r="449" spans="1:17" ht="15.75" hidden="1" thickBot="1">
      <c r="A449" s="390" t="str">
        <f>A446</f>
        <v>LDPE</v>
      </c>
      <c r="B449" s="391" t="str">
        <f>B446</f>
        <v>fiber</v>
      </c>
      <c r="C449" s="391">
        <f t="shared" si="1149"/>
        <v>4</v>
      </c>
      <c r="D449" s="391" t="str">
        <f>D446</f>
        <v>0,1-1</v>
      </c>
      <c r="E449" s="391">
        <f>E446</f>
        <v>1</v>
      </c>
      <c r="F449" s="391" t="str">
        <f>F446</f>
        <v>soil</v>
      </c>
      <c r="G449" s="396" t="str">
        <f t="shared" ref="G449" si="1155">G448</f>
        <v>DE: LDPE fiber 0,1-1 mm (emission to soil)</v>
      </c>
      <c r="H449" s="393">
        <v>0</v>
      </c>
      <c r="I449" s="397" t="s">
        <v>1034</v>
      </c>
      <c r="J449" s="633"/>
      <c r="K449" s="398" t="s">
        <v>596</v>
      </c>
      <c r="L449" s="538"/>
      <c r="M449" s="509">
        <f t="shared" si="999"/>
        <v>0</v>
      </c>
      <c r="N449" s="647"/>
      <c r="O449" s="627"/>
      <c r="P449" s="629"/>
      <c r="Q449" s="629"/>
    </row>
    <row r="450" spans="1:17" ht="15.75" hidden="1" thickBot="1">
      <c r="A450" s="390" t="str">
        <f t="shared" ref="A450:B450" si="1156">A447</f>
        <v>LDPE</v>
      </c>
      <c r="B450" s="391" t="str">
        <f t="shared" si="1156"/>
        <v>fiber</v>
      </c>
      <c r="C450" s="391">
        <f t="shared" si="1149"/>
        <v>4</v>
      </c>
      <c r="D450" s="399" t="str">
        <f t="shared" ref="D450:E450" si="1157">D447</f>
        <v>0,1-1</v>
      </c>
      <c r="E450" s="391">
        <f t="shared" si="1157"/>
        <v>1</v>
      </c>
      <c r="F450" s="400" t="s">
        <v>1147</v>
      </c>
      <c r="G450" s="386" t="str">
        <f>CONCATENATE("DE: ",A450," ",B450," ",D450," mm (emission to ",F450,")")</f>
        <v>DE: LDPE fiber 0,1-1 mm (emission to fresh water)</v>
      </c>
      <c r="H450" s="387">
        <v>0</v>
      </c>
      <c r="I450" s="388" t="s">
        <v>1153</v>
      </c>
      <c r="J450" s="634">
        <v>0.22800000000000001</v>
      </c>
      <c r="K450" s="395">
        <v>5.66</v>
      </c>
      <c r="L450" s="536"/>
      <c r="M450" s="509">
        <f t="shared" si="999"/>
        <v>44.169611307420496</v>
      </c>
      <c r="N450" s="645">
        <f t="shared" ref="N450" si="1158">IFERROR(H450*M450+H451*M451+H452*M452+H453*M453+H454*M454,"N.A.")</f>
        <v>44.169611307420496</v>
      </c>
      <c r="O450" s="625"/>
      <c r="P450" s="628">
        <f t="shared" si="1016"/>
        <v>44.169611307420496</v>
      </c>
      <c r="Q450" s="628">
        <f t="shared" si="1105"/>
        <v>44.169611307420496</v>
      </c>
    </row>
    <row r="451" spans="1:17" ht="15.75" hidden="1" thickBot="1">
      <c r="A451" s="390" t="str">
        <f t="shared" ref="A451:B451" si="1159">A448</f>
        <v>LDPE</v>
      </c>
      <c r="B451" s="391" t="str">
        <f t="shared" si="1159"/>
        <v>fiber</v>
      </c>
      <c r="C451" s="391">
        <f t="shared" si="1149"/>
        <v>4</v>
      </c>
      <c r="D451" s="391" t="str">
        <f t="shared" ref="D451:E451" si="1160">D448</f>
        <v>0,1-1</v>
      </c>
      <c r="E451" s="391">
        <f t="shared" si="1160"/>
        <v>1</v>
      </c>
      <c r="F451" s="391" t="str">
        <f t="shared" ref="F451:G451" si="1161">F450</f>
        <v>fresh water</v>
      </c>
      <c r="G451" s="401" t="str">
        <f t="shared" si="1161"/>
        <v>DE: LDPE fiber 0,1-1 mm (emission to fresh water)</v>
      </c>
      <c r="H451" s="393">
        <v>1</v>
      </c>
      <c r="I451" s="394" t="s">
        <v>1097</v>
      </c>
      <c r="J451" s="635"/>
      <c r="K451" s="395">
        <v>5.66</v>
      </c>
      <c r="L451" s="537"/>
      <c r="M451" s="509">
        <f t="shared" si="999"/>
        <v>44.169611307420496</v>
      </c>
      <c r="N451" s="646"/>
      <c r="O451" s="626"/>
      <c r="P451" s="629"/>
      <c r="Q451" s="629"/>
    </row>
    <row r="452" spans="1:17" ht="15.75" hidden="1" thickBot="1">
      <c r="A452" s="390" t="str">
        <f t="shared" ref="A452:B452" si="1162">A449</f>
        <v>LDPE</v>
      </c>
      <c r="B452" s="391" t="str">
        <f t="shared" si="1162"/>
        <v>fiber</v>
      </c>
      <c r="C452" s="391">
        <f t="shared" si="1149"/>
        <v>4</v>
      </c>
      <c r="D452" s="391" t="str">
        <f t="shared" ref="D452:E452" si="1163">D449</f>
        <v>0,1-1</v>
      </c>
      <c r="E452" s="391">
        <f t="shared" si="1163"/>
        <v>1</v>
      </c>
      <c r="F452" s="391" t="str">
        <f t="shared" ref="F452:G452" si="1164">F451</f>
        <v>fresh water</v>
      </c>
      <c r="G452" s="401" t="str">
        <f t="shared" si="1164"/>
        <v>DE: LDPE fiber 0,1-1 mm (emission to fresh water)</v>
      </c>
      <c r="H452" s="393">
        <v>0</v>
      </c>
      <c r="I452" s="394" t="s">
        <v>1162</v>
      </c>
      <c r="J452" s="635"/>
      <c r="K452" s="395">
        <v>0.4</v>
      </c>
      <c r="L452" s="537"/>
      <c r="M452" s="509">
        <f t="shared" si="999"/>
        <v>625</v>
      </c>
      <c r="N452" s="646"/>
      <c r="O452" s="626"/>
      <c r="P452" s="629"/>
      <c r="Q452" s="629"/>
    </row>
    <row r="453" spans="1:17" ht="15.75" hidden="1" thickBot="1">
      <c r="A453" s="390" t="str">
        <f t="shared" ref="A453:B453" si="1165">A450</f>
        <v>LDPE</v>
      </c>
      <c r="B453" s="391" t="str">
        <f t="shared" si="1165"/>
        <v>fiber</v>
      </c>
      <c r="C453" s="391">
        <f t="shared" si="1149"/>
        <v>4</v>
      </c>
      <c r="D453" s="391" t="str">
        <f t="shared" ref="D453:E453" si="1166">D450</f>
        <v>0,1-1</v>
      </c>
      <c r="E453" s="391">
        <f t="shared" si="1166"/>
        <v>1</v>
      </c>
      <c r="F453" s="391" t="str">
        <f t="shared" ref="F453:G453" si="1167">F452</f>
        <v>fresh water</v>
      </c>
      <c r="G453" s="401" t="str">
        <f t="shared" si="1167"/>
        <v>DE: LDPE fiber 0,1-1 mm (emission to fresh water)</v>
      </c>
      <c r="H453" s="393">
        <v>0</v>
      </c>
      <c r="I453" s="394" t="s">
        <v>1146</v>
      </c>
      <c r="J453" s="635"/>
      <c r="K453" s="395">
        <v>0.4</v>
      </c>
      <c r="L453" s="537"/>
      <c r="M453" s="509">
        <f t="shared" si="999"/>
        <v>625</v>
      </c>
      <c r="N453" s="646"/>
      <c r="O453" s="626"/>
      <c r="P453" s="629"/>
      <c r="Q453" s="629"/>
    </row>
    <row r="454" spans="1:17" ht="15.75" hidden="1" thickBot="1">
      <c r="A454" s="390" t="str">
        <f t="shared" ref="A454:B454" si="1168">A451</f>
        <v>LDPE</v>
      </c>
      <c r="B454" s="391" t="str">
        <f t="shared" si="1168"/>
        <v>fiber</v>
      </c>
      <c r="C454" s="391">
        <f t="shared" si="1149"/>
        <v>4</v>
      </c>
      <c r="D454" s="391" t="str">
        <f t="shared" ref="D454:E454" si="1169">D451</f>
        <v>0,1-1</v>
      </c>
      <c r="E454" s="391">
        <f t="shared" si="1169"/>
        <v>1</v>
      </c>
      <c r="F454" s="402" t="str">
        <f>F451</f>
        <v>fresh water</v>
      </c>
      <c r="G454" s="401" t="str">
        <f t="shared" ref="G454" si="1170">G453</f>
        <v>DE: LDPE fiber 0,1-1 mm (emission to fresh water)</v>
      </c>
      <c r="H454" s="393">
        <v>0</v>
      </c>
      <c r="I454" s="394" t="s">
        <v>1034</v>
      </c>
      <c r="J454" s="654"/>
      <c r="K454" s="398" t="s">
        <v>596</v>
      </c>
      <c r="L454" s="538"/>
      <c r="M454" s="509">
        <f t="shared" ref="M454:M517" si="1171">IFERROR(IF(K454="--",0,IF(E454*1000/K454*(1-0.5)^(C454/2)&gt;1000,1000,E454*1000/K454*(1-0.5)^(C454/2))),1000)</f>
        <v>0</v>
      </c>
      <c r="N454" s="647"/>
      <c r="O454" s="627"/>
      <c r="P454" s="629"/>
      <c r="Q454" s="629"/>
    </row>
    <row r="455" spans="1:17" ht="15.75" hidden="1" thickBot="1">
      <c r="A455" s="390" t="str">
        <f t="shared" ref="A455:B455" si="1172">A452</f>
        <v>LDPE</v>
      </c>
      <c r="B455" s="391" t="str">
        <f t="shared" si="1172"/>
        <v>fiber</v>
      </c>
      <c r="C455" s="391">
        <f t="shared" si="1149"/>
        <v>4</v>
      </c>
      <c r="D455" s="391" t="str">
        <f t="shared" ref="D455:E455" si="1173">D452</f>
        <v>0,1-1</v>
      </c>
      <c r="E455" s="391">
        <f t="shared" si="1173"/>
        <v>1</v>
      </c>
      <c r="F455" s="385" t="s">
        <v>1097</v>
      </c>
      <c r="G455" s="422" t="str">
        <f>CONCATENATE("DE: ",A455," ",B455," ",D455," mm (emission to ",F455,")")</f>
        <v>DE: LDPE fiber 0,1-1 mm (emission to marine water)</v>
      </c>
      <c r="H455" s="403">
        <v>0</v>
      </c>
      <c r="I455" s="388" t="s">
        <v>1153</v>
      </c>
      <c r="J455" s="634">
        <v>0.22800000000000001</v>
      </c>
      <c r="K455" s="395">
        <v>5.66</v>
      </c>
      <c r="L455" s="536"/>
      <c r="M455" s="509">
        <f t="shared" si="1171"/>
        <v>44.169611307420496</v>
      </c>
      <c r="N455" s="645">
        <f t="shared" ref="N455" si="1174">IFERROR(H455*M455+H456*M456+H457*M457+H458*M458+H459*M459,"N.A.")</f>
        <v>44.169611307420496</v>
      </c>
      <c r="O455" s="625"/>
      <c r="P455" s="628">
        <f t="shared" si="1016"/>
        <v>44.169611307420496</v>
      </c>
      <c r="Q455" s="628">
        <f t="shared" si="1105"/>
        <v>44.169611307420496</v>
      </c>
    </row>
    <row r="456" spans="1:17" ht="15.75" hidden="1" thickBot="1">
      <c r="A456" s="390" t="str">
        <f t="shared" ref="A456:B456" si="1175">A453</f>
        <v>LDPE</v>
      </c>
      <c r="B456" s="391" t="str">
        <f t="shared" si="1175"/>
        <v>fiber</v>
      </c>
      <c r="C456" s="391">
        <f t="shared" si="1149"/>
        <v>4</v>
      </c>
      <c r="D456" s="391" t="str">
        <f t="shared" ref="D456:E456" si="1176">D453</f>
        <v>0,1-1</v>
      </c>
      <c r="E456" s="391">
        <f t="shared" si="1176"/>
        <v>1</v>
      </c>
      <c r="F456" s="391" t="str">
        <f t="shared" ref="F456:G456" si="1177">F455</f>
        <v>marine water</v>
      </c>
      <c r="G456" s="401" t="str">
        <f t="shared" si="1177"/>
        <v>DE: LDPE fiber 0,1-1 mm (emission to marine water)</v>
      </c>
      <c r="H456" s="393">
        <v>1</v>
      </c>
      <c r="I456" s="394" t="s">
        <v>1097</v>
      </c>
      <c r="J456" s="635"/>
      <c r="K456" s="395">
        <v>5.66</v>
      </c>
      <c r="L456" s="537"/>
      <c r="M456" s="509">
        <f t="shared" si="1171"/>
        <v>44.169611307420496</v>
      </c>
      <c r="N456" s="646"/>
      <c r="O456" s="626"/>
      <c r="P456" s="629"/>
      <c r="Q456" s="629"/>
    </row>
    <row r="457" spans="1:17" ht="15.75" hidden="1" thickBot="1">
      <c r="A457" s="390" t="str">
        <f t="shared" ref="A457:B457" si="1178">A454</f>
        <v>LDPE</v>
      </c>
      <c r="B457" s="391" t="str">
        <f t="shared" si="1178"/>
        <v>fiber</v>
      </c>
      <c r="C457" s="391">
        <f t="shared" si="1149"/>
        <v>4</v>
      </c>
      <c r="D457" s="391" t="str">
        <f t="shared" ref="D457:E457" si="1179">D454</f>
        <v>0,1-1</v>
      </c>
      <c r="E457" s="391">
        <f t="shared" si="1179"/>
        <v>1</v>
      </c>
      <c r="F457" s="391" t="str">
        <f t="shared" ref="F457:G457" si="1180">F456</f>
        <v>marine water</v>
      </c>
      <c r="G457" s="401" t="str">
        <f t="shared" si="1180"/>
        <v>DE: LDPE fiber 0,1-1 mm (emission to marine water)</v>
      </c>
      <c r="H457" s="393">
        <v>0</v>
      </c>
      <c r="I457" s="394" t="s">
        <v>1162</v>
      </c>
      <c r="J457" s="635"/>
      <c r="K457" s="395">
        <v>0.4</v>
      </c>
      <c r="L457" s="537"/>
      <c r="M457" s="509">
        <f t="shared" si="1171"/>
        <v>625</v>
      </c>
      <c r="N457" s="646"/>
      <c r="O457" s="626"/>
      <c r="P457" s="629"/>
      <c r="Q457" s="629"/>
    </row>
    <row r="458" spans="1:17" ht="15.75" hidden="1" thickBot="1">
      <c r="A458" s="390" t="str">
        <f t="shared" ref="A458:B458" si="1181">A455</f>
        <v>LDPE</v>
      </c>
      <c r="B458" s="391" t="str">
        <f t="shared" si="1181"/>
        <v>fiber</v>
      </c>
      <c r="C458" s="391">
        <f t="shared" si="1149"/>
        <v>4</v>
      </c>
      <c r="D458" s="391" t="str">
        <f t="shared" ref="D458:E458" si="1182">D455</f>
        <v>0,1-1</v>
      </c>
      <c r="E458" s="391">
        <f t="shared" si="1182"/>
        <v>1</v>
      </c>
      <c r="F458" s="391" t="str">
        <f t="shared" ref="F458:G458" si="1183">F457</f>
        <v>marine water</v>
      </c>
      <c r="G458" s="401" t="str">
        <f t="shared" si="1183"/>
        <v>DE: LDPE fiber 0,1-1 mm (emission to marine water)</v>
      </c>
      <c r="H458" s="393">
        <v>0</v>
      </c>
      <c r="I458" s="394" t="s">
        <v>1146</v>
      </c>
      <c r="J458" s="635"/>
      <c r="K458" s="395">
        <v>0.4</v>
      </c>
      <c r="L458" s="537"/>
      <c r="M458" s="509">
        <f t="shared" si="1171"/>
        <v>625</v>
      </c>
      <c r="N458" s="646"/>
      <c r="O458" s="626"/>
      <c r="P458" s="629"/>
      <c r="Q458" s="629"/>
    </row>
    <row r="459" spans="1:17" ht="15.75" hidden="1" thickBot="1">
      <c r="A459" s="390" t="str">
        <f t="shared" ref="A459:B459" si="1184">A456</f>
        <v>LDPE</v>
      </c>
      <c r="B459" s="391" t="str">
        <f t="shared" si="1184"/>
        <v>fiber</v>
      </c>
      <c r="C459" s="391">
        <f t="shared" si="1149"/>
        <v>4</v>
      </c>
      <c r="D459" s="391" t="str">
        <f t="shared" ref="D459:E459" si="1185">D456</f>
        <v>0,1-1</v>
      </c>
      <c r="E459" s="391">
        <f t="shared" si="1185"/>
        <v>1</v>
      </c>
      <c r="F459" s="391" t="str">
        <f t="shared" ref="F459:G459" si="1186">F458</f>
        <v>marine water</v>
      </c>
      <c r="G459" s="401" t="str">
        <f t="shared" si="1186"/>
        <v>DE: LDPE fiber 0,1-1 mm (emission to marine water)</v>
      </c>
      <c r="H459" s="393">
        <v>0</v>
      </c>
      <c r="I459" s="394" t="s">
        <v>1034</v>
      </c>
      <c r="J459" s="654"/>
      <c r="K459" s="398" t="s">
        <v>596</v>
      </c>
      <c r="L459" s="538"/>
      <c r="M459" s="509">
        <f t="shared" si="1171"/>
        <v>0</v>
      </c>
      <c r="N459" s="647"/>
      <c r="O459" s="627"/>
      <c r="P459" s="629"/>
      <c r="Q459" s="629"/>
    </row>
    <row r="460" spans="1:17" ht="15.75" hidden="1" thickBot="1">
      <c r="A460" s="390" t="str">
        <f t="shared" ref="A460:B460" si="1187">A457</f>
        <v>LDPE</v>
      </c>
      <c r="B460" s="391" t="str">
        <f t="shared" si="1187"/>
        <v>fiber</v>
      </c>
      <c r="C460" s="391">
        <f t="shared" si="1149"/>
        <v>4</v>
      </c>
      <c r="D460" s="391" t="str">
        <f t="shared" ref="D460:E460" si="1188">D457</f>
        <v>0,1-1</v>
      </c>
      <c r="E460" s="391">
        <f t="shared" si="1188"/>
        <v>1</v>
      </c>
      <c r="F460" s="400" t="s">
        <v>1057</v>
      </c>
      <c r="G460" s="422" t="str">
        <f>CONCATENATE("DE: ",A460," ",B460," ",D460," mm (emission to ",F460,")")</f>
        <v>DE: LDPE fiber 0,1-1 mm (emission to air)</v>
      </c>
      <c r="H460" s="403">
        <v>0.94799999999999995</v>
      </c>
      <c r="I460" s="388" t="s">
        <v>1153</v>
      </c>
      <c r="J460" s="634">
        <v>0.22800000000000001</v>
      </c>
      <c r="K460" s="395">
        <v>5.66</v>
      </c>
      <c r="L460" s="536"/>
      <c r="M460" s="509">
        <f t="shared" si="1171"/>
        <v>44.169611307420496</v>
      </c>
      <c r="N460" s="645">
        <f t="shared" ref="N460" si="1189">IFERROR(H460*M460+H461*M461+H462*M462+H463*M463+H464*M464,"N.A.")</f>
        <v>44.169611307420496</v>
      </c>
      <c r="O460" s="625"/>
      <c r="P460" s="628">
        <f t="shared" ref="P460:P520" si="1190">IFERROR(IF(H460*M460+H461*M461+H462*M462+H463*M463+H464*M464&gt;100,100,H460*M460+H461*M461+H462*M462+H463*M463+H464*M464),"N.A.")</f>
        <v>44.169611307420496</v>
      </c>
      <c r="Q460" s="628">
        <f t="shared" si="1105"/>
        <v>44.169611307420496</v>
      </c>
    </row>
    <row r="461" spans="1:17" ht="15.75" hidden="1" thickBot="1">
      <c r="A461" s="390" t="str">
        <f t="shared" ref="A461:B461" si="1191">A458</f>
        <v>LDPE</v>
      </c>
      <c r="B461" s="391" t="str">
        <f t="shared" si="1191"/>
        <v>fiber</v>
      </c>
      <c r="C461" s="391">
        <f t="shared" si="1149"/>
        <v>4</v>
      </c>
      <c r="D461" s="391" t="str">
        <f t="shared" ref="D461:E461" si="1192">D458</f>
        <v>0,1-1</v>
      </c>
      <c r="E461" s="391">
        <f t="shared" si="1192"/>
        <v>1</v>
      </c>
      <c r="F461" s="391" t="str">
        <f t="shared" ref="F461:G461" si="1193">F460</f>
        <v>air</v>
      </c>
      <c r="G461" s="401" t="str">
        <f t="shared" si="1193"/>
        <v>DE: LDPE fiber 0,1-1 mm (emission to air)</v>
      </c>
      <c r="H461" s="393">
        <v>5.1999999999999998E-2</v>
      </c>
      <c r="I461" s="394" t="s">
        <v>1097</v>
      </c>
      <c r="J461" s="635"/>
      <c r="K461" s="395">
        <v>5.66</v>
      </c>
      <c r="L461" s="537"/>
      <c r="M461" s="509">
        <f t="shared" si="1171"/>
        <v>44.169611307420496</v>
      </c>
      <c r="N461" s="646"/>
      <c r="O461" s="626"/>
      <c r="P461" s="629"/>
      <c r="Q461" s="629"/>
    </row>
    <row r="462" spans="1:17" ht="15.75" hidden="1" thickBot="1">
      <c r="A462" s="390" t="str">
        <f t="shared" ref="A462:B462" si="1194">A459</f>
        <v>LDPE</v>
      </c>
      <c r="B462" s="391" t="str">
        <f t="shared" si="1194"/>
        <v>fiber</v>
      </c>
      <c r="C462" s="391">
        <f t="shared" si="1149"/>
        <v>4</v>
      </c>
      <c r="D462" s="391" t="str">
        <f t="shared" ref="D462:E462" si="1195">D459</f>
        <v>0,1-1</v>
      </c>
      <c r="E462" s="391">
        <f t="shared" si="1195"/>
        <v>1</v>
      </c>
      <c r="F462" s="391" t="str">
        <f t="shared" ref="F462:G462" si="1196">F461</f>
        <v>air</v>
      </c>
      <c r="G462" s="401" t="str">
        <f t="shared" si="1196"/>
        <v>DE: LDPE fiber 0,1-1 mm (emission to air)</v>
      </c>
      <c r="H462" s="393">
        <v>0</v>
      </c>
      <c r="I462" s="394" t="s">
        <v>1162</v>
      </c>
      <c r="J462" s="635"/>
      <c r="K462" s="395">
        <v>0.4</v>
      </c>
      <c r="L462" s="537"/>
      <c r="M462" s="509">
        <f t="shared" si="1171"/>
        <v>625</v>
      </c>
      <c r="N462" s="646"/>
      <c r="O462" s="626"/>
      <c r="P462" s="629"/>
      <c r="Q462" s="629"/>
    </row>
    <row r="463" spans="1:17" ht="15.75" hidden="1" thickBot="1">
      <c r="A463" s="390" t="str">
        <f t="shared" ref="A463:B463" si="1197">A460</f>
        <v>LDPE</v>
      </c>
      <c r="B463" s="391" t="str">
        <f t="shared" si="1197"/>
        <v>fiber</v>
      </c>
      <c r="C463" s="391">
        <f t="shared" si="1149"/>
        <v>4</v>
      </c>
      <c r="D463" s="391" t="str">
        <f t="shared" ref="D463:E463" si="1198">D460</f>
        <v>0,1-1</v>
      </c>
      <c r="E463" s="391">
        <f t="shared" si="1198"/>
        <v>1</v>
      </c>
      <c r="F463" s="391" t="str">
        <f t="shared" ref="F463:G463" si="1199">F462</f>
        <v>air</v>
      </c>
      <c r="G463" s="401" t="str">
        <f t="shared" si="1199"/>
        <v>DE: LDPE fiber 0,1-1 mm (emission to air)</v>
      </c>
      <c r="H463" s="393">
        <v>0</v>
      </c>
      <c r="I463" s="394" t="s">
        <v>1146</v>
      </c>
      <c r="J463" s="635"/>
      <c r="K463" s="395">
        <v>0.4</v>
      </c>
      <c r="L463" s="537"/>
      <c r="M463" s="509">
        <f t="shared" si="1171"/>
        <v>625</v>
      </c>
      <c r="N463" s="646"/>
      <c r="O463" s="626"/>
      <c r="P463" s="629"/>
      <c r="Q463" s="629"/>
    </row>
    <row r="464" spans="1:17" ht="15.75" hidden="1" thickBot="1">
      <c r="A464" s="404" t="str">
        <f t="shared" ref="A464:B464" si="1200">A459</f>
        <v>LDPE</v>
      </c>
      <c r="B464" s="402" t="str">
        <f t="shared" si="1200"/>
        <v>fiber</v>
      </c>
      <c r="C464" s="391">
        <f t="shared" si="1149"/>
        <v>4</v>
      </c>
      <c r="D464" s="402" t="str">
        <f t="shared" ref="D464:E464" si="1201">D459</f>
        <v>0,1-1</v>
      </c>
      <c r="E464" s="402">
        <f t="shared" si="1201"/>
        <v>1</v>
      </c>
      <c r="F464" s="391" t="str">
        <f t="shared" ref="F464:G464" si="1202">F463</f>
        <v>air</v>
      </c>
      <c r="G464" s="401" t="str">
        <f t="shared" si="1202"/>
        <v>DE: LDPE fiber 0,1-1 mm (emission to air)</v>
      </c>
      <c r="H464" s="393">
        <v>0</v>
      </c>
      <c r="I464" s="394" t="s">
        <v>1034</v>
      </c>
      <c r="J464" s="636"/>
      <c r="K464" s="398" t="s">
        <v>596</v>
      </c>
      <c r="L464" s="538"/>
      <c r="M464" s="509">
        <f t="shared" si="1171"/>
        <v>0</v>
      </c>
      <c r="N464" s="647"/>
      <c r="O464" s="627"/>
      <c r="P464" s="629"/>
      <c r="Q464" s="629"/>
    </row>
    <row r="465" spans="1:17" ht="16.5" hidden="1" thickTop="1" thickBot="1">
      <c r="A465" s="405" t="s">
        <v>67</v>
      </c>
      <c r="B465" s="406" t="s">
        <v>1151</v>
      </c>
      <c r="C465" s="407">
        <v>4</v>
      </c>
      <c r="D465" s="423" t="s">
        <v>1026</v>
      </c>
      <c r="E465" s="408">
        <v>10</v>
      </c>
      <c r="F465" s="424" t="s">
        <v>1019</v>
      </c>
      <c r="G465" s="425" t="str">
        <f>CONCATENATE("DE: ",A465," ",B465," ",D465," mm (emission to ",F465,")")</f>
        <v>DE: LDPE fiber 1-10 mm (emission to soil)</v>
      </c>
      <c r="H465" s="463">
        <v>0.97</v>
      </c>
      <c r="I465" s="427" t="s">
        <v>1153</v>
      </c>
      <c r="J465" s="632">
        <v>0.22800000000000001</v>
      </c>
      <c r="K465" s="428">
        <v>5.66</v>
      </c>
      <c r="L465" s="539"/>
      <c r="M465" s="509">
        <f t="shared" si="1171"/>
        <v>441.69611307420496</v>
      </c>
      <c r="N465" s="645">
        <f t="shared" ref="N465" si="1203">IFERROR(H465*M465+H466*M466+H467*M467+H468*M468+H469*M469,"N.A.")</f>
        <v>441.69611307420496</v>
      </c>
      <c r="O465" s="625"/>
      <c r="P465" s="628">
        <f t="shared" si="1190"/>
        <v>100</v>
      </c>
      <c r="Q465" s="628">
        <f t="shared" si="1105"/>
        <v>441.69611307420496</v>
      </c>
    </row>
    <row r="466" spans="1:17" ht="15.75" hidden="1" thickBot="1">
      <c r="A466" s="390" t="str">
        <f>A465</f>
        <v>LDPE</v>
      </c>
      <c r="B466" s="391" t="str">
        <f>B465</f>
        <v>fiber</v>
      </c>
      <c r="C466" s="391">
        <f t="shared" ref="C466:C484" si="1204">C465</f>
        <v>4</v>
      </c>
      <c r="D466" s="391" t="str">
        <f t="shared" ref="D466:G466" si="1205">D465</f>
        <v>1-10</v>
      </c>
      <c r="E466" s="391">
        <f t="shared" si="1205"/>
        <v>10</v>
      </c>
      <c r="F466" s="391" t="str">
        <f t="shared" si="1205"/>
        <v>soil</v>
      </c>
      <c r="G466" s="392" t="str">
        <f t="shared" si="1205"/>
        <v>DE: LDPE fiber 1-10 mm (emission to soil)</v>
      </c>
      <c r="H466" s="393">
        <v>0.03</v>
      </c>
      <c r="I466" s="394" t="s">
        <v>1097</v>
      </c>
      <c r="J466" s="632"/>
      <c r="K466" s="395">
        <v>5.66</v>
      </c>
      <c r="L466" s="537"/>
      <c r="M466" s="509">
        <f t="shared" si="1171"/>
        <v>441.69611307420496</v>
      </c>
      <c r="N466" s="646"/>
      <c r="O466" s="626"/>
      <c r="P466" s="629"/>
      <c r="Q466" s="629"/>
    </row>
    <row r="467" spans="1:17" ht="15.75" hidden="1" thickBot="1">
      <c r="A467" s="390" t="str">
        <f t="shared" ref="A467:A468" si="1206">A466</f>
        <v>LDPE</v>
      </c>
      <c r="B467" s="391" t="str">
        <f t="shared" ref="B467:B468" si="1207">B466</f>
        <v>fiber</v>
      </c>
      <c r="C467" s="391">
        <f t="shared" si="1204"/>
        <v>4</v>
      </c>
      <c r="D467" s="391" t="str">
        <f t="shared" ref="D467:G467" si="1208">D466</f>
        <v>1-10</v>
      </c>
      <c r="E467" s="391">
        <f t="shared" si="1208"/>
        <v>10</v>
      </c>
      <c r="F467" s="391" t="str">
        <f t="shared" si="1208"/>
        <v>soil</v>
      </c>
      <c r="G467" s="392" t="str">
        <f t="shared" si="1208"/>
        <v>DE: LDPE fiber 1-10 mm (emission to soil)</v>
      </c>
      <c r="H467" s="393">
        <v>0</v>
      </c>
      <c r="I467" s="394" t="s">
        <v>1162</v>
      </c>
      <c r="J467" s="632"/>
      <c r="K467" s="395">
        <v>0.4</v>
      </c>
      <c r="L467" s="537"/>
      <c r="M467" s="509">
        <f t="shared" si="1171"/>
        <v>1000</v>
      </c>
      <c r="N467" s="646"/>
      <c r="O467" s="626"/>
      <c r="P467" s="629"/>
      <c r="Q467" s="629"/>
    </row>
    <row r="468" spans="1:17" ht="15.75" hidden="1" thickBot="1">
      <c r="A468" s="390" t="str">
        <f t="shared" si="1206"/>
        <v>LDPE</v>
      </c>
      <c r="B468" s="391" t="str">
        <f t="shared" si="1207"/>
        <v>fiber</v>
      </c>
      <c r="C468" s="391">
        <f t="shared" si="1204"/>
        <v>4</v>
      </c>
      <c r="D468" s="391" t="str">
        <f t="shared" ref="D468:G468" si="1209">D467</f>
        <v>1-10</v>
      </c>
      <c r="E468" s="391">
        <f t="shared" si="1209"/>
        <v>10</v>
      </c>
      <c r="F468" s="391" t="str">
        <f t="shared" si="1209"/>
        <v>soil</v>
      </c>
      <c r="G468" s="392" t="str">
        <f t="shared" si="1209"/>
        <v>DE: LDPE fiber 1-10 mm (emission to soil)</v>
      </c>
      <c r="H468" s="393">
        <v>0</v>
      </c>
      <c r="I468" s="394" t="s">
        <v>1146</v>
      </c>
      <c r="J468" s="632"/>
      <c r="K468" s="395">
        <v>0.4</v>
      </c>
      <c r="L468" s="537"/>
      <c r="M468" s="509">
        <f t="shared" si="1171"/>
        <v>1000</v>
      </c>
      <c r="N468" s="646"/>
      <c r="O468" s="626"/>
      <c r="P468" s="629"/>
      <c r="Q468" s="629"/>
    </row>
    <row r="469" spans="1:17" ht="15.75" hidden="1" thickBot="1">
      <c r="A469" s="390" t="str">
        <f>A466</f>
        <v>LDPE</v>
      </c>
      <c r="B469" s="391" t="str">
        <f>B466</f>
        <v>fiber</v>
      </c>
      <c r="C469" s="391">
        <f t="shared" si="1204"/>
        <v>4</v>
      </c>
      <c r="D469" s="391" t="str">
        <f>D466</f>
        <v>1-10</v>
      </c>
      <c r="E469" s="391">
        <f>E466</f>
        <v>10</v>
      </c>
      <c r="F469" s="391" t="str">
        <f>F466</f>
        <v>soil</v>
      </c>
      <c r="G469" s="396" t="str">
        <f t="shared" ref="G469" si="1210">G468</f>
        <v>DE: LDPE fiber 1-10 mm (emission to soil)</v>
      </c>
      <c r="H469" s="393">
        <v>0</v>
      </c>
      <c r="I469" s="397" t="s">
        <v>1034</v>
      </c>
      <c r="J469" s="633"/>
      <c r="K469" s="398" t="s">
        <v>596</v>
      </c>
      <c r="L469" s="538"/>
      <c r="M469" s="509">
        <f t="shared" si="1171"/>
        <v>0</v>
      </c>
      <c r="N469" s="647"/>
      <c r="O469" s="627"/>
      <c r="P469" s="629"/>
      <c r="Q469" s="629"/>
    </row>
    <row r="470" spans="1:17" ht="15.75" hidden="1" thickBot="1">
      <c r="A470" s="390" t="str">
        <f t="shared" ref="A470:B470" si="1211">A467</f>
        <v>LDPE</v>
      </c>
      <c r="B470" s="391" t="str">
        <f t="shared" si="1211"/>
        <v>fiber</v>
      </c>
      <c r="C470" s="391">
        <f t="shared" si="1204"/>
        <v>4</v>
      </c>
      <c r="D470" s="399" t="str">
        <f t="shared" ref="D470:E470" si="1212">D467</f>
        <v>1-10</v>
      </c>
      <c r="E470" s="391">
        <f t="shared" si="1212"/>
        <v>10</v>
      </c>
      <c r="F470" s="400" t="s">
        <v>1147</v>
      </c>
      <c r="G470" s="386" t="str">
        <f>CONCATENATE("DE: ",A470," ",B470," ",D470," mm (emission to ",F470,")")</f>
        <v>DE: LDPE fiber 1-10 mm (emission to fresh water)</v>
      </c>
      <c r="H470" s="387">
        <v>0</v>
      </c>
      <c r="I470" s="388" t="s">
        <v>1153</v>
      </c>
      <c r="J470" s="634">
        <v>0.22800000000000001</v>
      </c>
      <c r="K470" s="395">
        <v>5.66</v>
      </c>
      <c r="L470" s="536"/>
      <c r="M470" s="509">
        <f t="shared" si="1171"/>
        <v>441.69611307420496</v>
      </c>
      <c r="N470" s="645">
        <f t="shared" ref="N470" si="1213">IFERROR(H470*M470+H471*M471+H472*M472+H473*M473+H474*M474,"N.A.")</f>
        <v>441.69611307420496</v>
      </c>
      <c r="O470" s="625"/>
      <c r="P470" s="628">
        <f t="shared" si="1190"/>
        <v>100</v>
      </c>
      <c r="Q470" s="628">
        <f t="shared" si="1105"/>
        <v>441.69611307420496</v>
      </c>
    </row>
    <row r="471" spans="1:17" ht="15.75" hidden="1" thickBot="1">
      <c r="A471" s="390" t="str">
        <f t="shared" ref="A471:B471" si="1214">A468</f>
        <v>LDPE</v>
      </c>
      <c r="B471" s="391" t="str">
        <f t="shared" si="1214"/>
        <v>fiber</v>
      </c>
      <c r="C471" s="391">
        <f t="shared" si="1204"/>
        <v>4</v>
      </c>
      <c r="D471" s="391" t="str">
        <f t="shared" ref="D471:E471" si="1215">D468</f>
        <v>1-10</v>
      </c>
      <c r="E471" s="391">
        <f t="shared" si="1215"/>
        <v>10</v>
      </c>
      <c r="F471" s="391" t="str">
        <f t="shared" ref="F471:G471" si="1216">F470</f>
        <v>fresh water</v>
      </c>
      <c r="G471" s="401" t="str">
        <f t="shared" si="1216"/>
        <v>DE: LDPE fiber 1-10 mm (emission to fresh water)</v>
      </c>
      <c r="H471" s="393">
        <v>1</v>
      </c>
      <c r="I471" s="394" t="s">
        <v>1097</v>
      </c>
      <c r="J471" s="635"/>
      <c r="K471" s="395">
        <v>5.66</v>
      </c>
      <c r="L471" s="537"/>
      <c r="M471" s="509">
        <f t="shared" si="1171"/>
        <v>441.69611307420496</v>
      </c>
      <c r="N471" s="646"/>
      <c r="O471" s="626"/>
      <c r="P471" s="629"/>
      <c r="Q471" s="629"/>
    </row>
    <row r="472" spans="1:17" ht="15.75" hidden="1" thickBot="1">
      <c r="A472" s="390" t="str">
        <f t="shared" ref="A472:B472" si="1217">A469</f>
        <v>LDPE</v>
      </c>
      <c r="B472" s="391" t="str">
        <f t="shared" si="1217"/>
        <v>fiber</v>
      </c>
      <c r="C472" s="391">
        <f t="shared" si="1204"/>
        <v>4</v>
      </c>
      <c r="D472" s="391" t="str">
        <f t="shared" ref="D472:E472" si="1218">D469</f>
        <v>1-10</v>
      </c>
      <c r="E472" s="391">
        <f t="shared" si="1218"/>
        <v>10</v>
      </c>
      <c r="F472" s="391" t="str">
        <f t="shared" ref="F472:G472" si="1219">F471</f>
        <v>fresh water</v>
      </c>
      <c r="G472" s="401" t="str">
        <f t="shared" si="1219"/>
        <v>DE: LDPE fiber 1-10 mm (emission to fresh water)</v>
      </c>
      <c r="H472" s="393">
        <v>0</v>
      </c>
      <c r="I472" s="394" t="s">
        <v>1162</v>
      </c>
      <c r="J472" s="635"/>
      <c r="K472" s="395">
        <v>0.4</v>
      </c>
      <c r="L472" s="537"/>
      <c r="M472" s="509">
        <f t="shared" si="1171"/>
        <v>1000</v>
      </c>
      <c r="N472" s="646"/>
      <c r="O472" s="626"/>
      <c r="P472" s="629"/>
      <c r="Q472" s="629"/>
    </row>
    <row r="473" spans="1:17" ht="15.75" hidden="1" thickBot="1">
      <c r="A473" s="390" t="str">
        <f t="shared" ref="A473:B473" si="1220">A470</f>
        <v>LDPE</v>
      </c>
      <c r="B473" s="391" t="str">
        <f t="shared" si="1220"/>
        <v>fiber</v>
      </c>
      <c r="C473" s="391">
        <f t="shared" si="1204"/>
        <v>4</v>
      </c>
      <c r="D473" s="391" t="str">
        <f t="shared" ref="D473:E473" si="1221">D470</f>
        <v>1-10</v>
      </c>
      <c r="E473" s="391">
        <f t="shared" si="1221"/>
        <v>10</v>
      </c>
      <c r="F473" s="391" t="str">
        <f t="shared" ref="F473:G473" si="1222">F472</f>
        <v>fresh water</v>
      </c>
      <c r="G473" s="401" t="str">
        <f t="shared" si="1222"/>
        <v>DE: LDPE fiber 1-10 mm (emission to fresh water)</v>
      </c>
      <c r="H473" s="393">
        <v>0</v>
      </c>
      <c r="I473" s="394" t="s">
        <v>1146</v>
      </c>
      <c r="J473" s="635"/>
      <c r="K473" s="395">
        <v>0.4</v>
      </c>
      <c r="L473" s="537"/>
      <c r="M473" s="509">
        <f t="shared" si="1171"/>
        <v>1000</v>
      </c>
      <c r="N473" s="646"/>
      <c r="O473" s="626"/>
      <c r="P473" s="629"/>
      <c r="Q473" s="629"/>
    </row>
    <row r="474" spans="1:17" ht="15.75" hidden="1" thickBot="1">
      <c r="A474" s="390" t="str">
        <f t="shared" ref="A474:B474" si="1223">A471</f>
        <v>LDPE</v>
      </c>
      <c r="B474" s="391" t="str">
        <f t="shared" si="1223"/>
        <v>fiber</v>
      </c>
      <c r="C474" s="391">
        <f t="shared" si="1204"/>
        <v>4</v>
      </c>
      <c r="D474" s="391" t="str">
        <f t="shared" ref="D474:E474" si="1224">D471</f>
        <v>1-10</v>
      </c>
      <c r="E474" s="391">
        <f t="shared" si="1224"/>
        <v>10</v>
      </c>
      <c r="F474" s="402" t="str">
        <f>F471</f>
        <v>fresh water</v>
      </c>
      <c r="G474" s="401" t="str">
        <f t="shared" ref="G474" si="1225">G473</f>
        <v>DE: LDPE fiber 1-10 mm (emission to fresh water)</v>
      </c>
      <c r="H474" s="393">
        <v>0</v>
      </c>
      <c r="I474" s="394" t="s">
        <v>1034</v>
      </c>
      <c r="J474" s="654"/>
      <c r="K474" s="398" t="s">
        <v>596</v>
      </c>
      <c r="L474" s="538"/>
      <c r="M474" s="509">
        <f t="shared" si="1171"/>
        <v>0</v>
      </c>
      <c r="N474" s="647"/>
      <c r="O474" s="627"/>
      <c r="P474" s="629"/>
      <c r="Q474" s="629"/>
    </row>
    <row r="475" spans="1:17" ht="15.75" hidden="1" thickBot="1">
      <c r="A475" s="390" t="str">
        <f t="shared" ref="A475:B475" si="1226">A472</f>
        <v>LDPE</v>
      </c>
      <c r="B475" s="391" t="str">
        <f t="shared" si="1226"/>
        <v>fiber</v>
      </c>
      <c r="C475" s="391">
        <f t="shared" si="1204"/>
        <v>4</v>
      </c>
      <c r="D475" s="391" t="str">
        <f t="shared" ref="D475:E475" si="1227">D472</f>
        <v>1-10</v>
      </c>
      <c r="E475" s="391">
        <f t="shared" si="1227"/>
        <v>10</v>
      </c>
      <c r="F475" s="385" t="s">
        <v>1097</v>
      </c>
      <c r="G475" s="422" t="str">
        <f>CONCATENATE("DE: ",A475," ",B475," ",D475," mm (emission to ",F475,")")</f>
        <v>DE: LDPE fiber 1-10 mm (emission to marine water)</v>
      </c>
      <c r="H475" s="403">
        <v>0</v>
      </c>
      <c r="I475" s="388" t="s">
        <v>1153</v>
      </c>
      <c r="J475" s="634">
        <v>0.22800000000000001</v>
      </c>
      <c r="K475" s="395">
        <v>5.66</v>
      </c>
      <c r="L475" s="536"/>
      <c r="M475" s="509">
        <f t="shared" si="1171"/>
        <v>441.69611307420496</v>
      </c>
      <c r="N475" s="645">
        <f t="shared" ref="N475" si="1228">IFERROR(H475*M475+H476*M476+H477*M477+H478*M478+H479*M479,"N.A.")</f>
        <v>441.69611307420496</v>
      </c>
      <c r="O475" s="625"/>
      <c r="P475" s="628">
        <f t="shared" si="1190"/>
        <v>100</v>
      </c>
      <c r="Q475" s="628">
        <f t="shared" si="1105"/>
        <v>441.69611307420496</v>
      </c>
    </row>
    <row r="476" spans="1:17" ht="15.75" hidden="1" thickBot="1">
      <c r="A476" s="390" t="str">
        <f t="shared" ref="A476:B476" si="1229">A473</f>
        <v>LDPE</v>
      </c>
      <c r="B476" s="391" t="str">
        <f t="shared" si="1229"/>
        <v>fiber</v>
      </c>
      <c r="C476" s="391">
        <f t="shared" si="1204"/>
        <v>4</v>
      </c>
      <c r="D476" s="391" t="str">
        <f t="shared" ref="D476:E476" si="1230">D473</f>
        <v>1-10</v>
      </c>
      <c r="E476" s="391">
        <f t="shared" si="1230"/>
        <v>10</v>
      </c>
      <c r="F476" s="391" t="str">
        <f t="shared" ref="F476:G476" si="1231">F475</f>
        <v>marine water</v>
      </c>
      <c r="G476" s="401" t="str">
        <f t="shared" si="1231"/>
        <v>DE: LDPE fiber 1-10 mm (emission to marine water)</v>
      </c>
      <c r="H476" s="393">
        <v>1</v>
      </c>
      <c r="I476" s="394" t="s">
        <v>1097</v>
      </c>
      <c r="J476" s="635"/>
      <c r="K476" s="395">
        <v>5.66</v>
      </c>
      <c r="L476" s="537"/>
      <c r="M476" s="509">
        <f t="shared" si="1171"/>
        <v>441.69611307420496</v>
      </c>
      <c r="N476" s="646"/>
      <c r="O476" s="626"/>
      <c r="P476" s="629"/>
      <c r="Q476" s="629"/>
    </row>
    <row r="477" spans="1:17" ht="15.75" hidden="1" thickBot="1">
      <c r="A477" s="390" t="str">
        <f t="shared" ref="A477:B477" si="1232">A474</f>
        <v>LDPE</v>
      </c>
      <c r="B477" s="391" t="str">
        <f t="shared" si="1232"/>
        <v>fiber</v>
      </c>
      <c r="C477" s="391">
        <f t="shared" si="1204"/>
        <v>4</v>
      </c>
      <c r="D477" s="391" t="str">
        <f t="shared" ref="D477:E477" si="1233">D474</f>
        <v>1-10</v>
      </c>
      <c r="E477" s="391">
        <f t="shared" si="1233"/>
        <v>10</v>
      </c>
      <c r="F477" s="391" t="str">
        <f t="shared" ref="F477:G477" si="1234">F476</f>
        <v>marine water</v>
      </c>
      <c r="G477" s="401" t="str">
        <f t="shared" si="1234"/>
        <v>DE: LDPE fiber 1-10 mm (emission to marine water)</v>
      </c>
      <c r="H477" s="393">
        <v>0</v>
      </c>
      <c r="I477" s="394" t="s">
        <v>1162</v>
      </c>
      <c r="J477" s="635"/>
      <c r="K477" s="395">
        <v>0.4</v>
      </c>
      <c r="L477" s="537"/>
      <c r="M477" s="509">
        <f t="shared" si="1171"/>
        <v>1000</v>
      </c>
      <c r="N477" s="646"/>
      <c r="O477" s="626"/>
      <c r="P477" s="629"/>
      <c r="Q477" s="629"/>
    </row>
    <row r="478" spans="1:17" ht="15.75" hidden="1" thickBot="1">
      <c r="A478" s="390" t="str">
        <f t="shared" ref="A478:B478" si="1235">A475</f>
        <v>LDPE</v>
      </c>
      <c r="B478" s="391" t="str">
        <f t="shared" si="1235"/>
        <v>fiber</v>
      </c>
      <c r="C478" s="391">
        <f t="shared" si="1204"/>
        <v>4</v>
      </c>
      <c r="D478" s="391" t="str">
        <f t="shared" ref="D478:E478" si="1236">D475</f>
        <v>1-10</v>
      </c>
      <c r="E478" s="391">
        <f t="shared" si="1236"/>
        <v>10</v>
      </c>
      <c r="F478" s="391" t="str">
        <f t="shared" ref="F478:G478" si="1237">F477</f>
        <v>marine water</v>
      </c>
      <c r="G478" s="401" t="str">
        <f t="shared" si="1237"/>
        <v>DE: LDPE fiber 1-10 mm (emission to marine water)</v>
      </c>
      <c r="H478" s="393">
        <v>0</v>
      </c>
      <c r="I478" s="394" t="s">
        <v>1146</v>
      </c>
      <c r="J478" s="635"/>
      <c r="K478" s="395">
        <v>0.4</v>
      </c>
      <c r="L478" s="537"/>
      <c r="M478" s="509">
        <f t="shared" si="1171"/>
        <v>1000</v>
      </c>
      <c r="N478" s="646"/>
      <c r="O478" s="626"/>
      <c r="P478" s="629"/>
      <c r="Q478" s="629"/>
    </row>
    <row r="479" spans="1:17" ht="15.75" hidden="1" thickBot="1">
      <c r="A479" s="390" t="str">
        <f t="shared" ref="A479:B479" si="1238">A476</f>
        <v>LDPE</v>
      </c>
      <c r="B479" s="391" t="str">
        <f t="shared" si="1238"/>
        <v>fiber</v>
      </c>
      <c r="C479" s="391">
        <f t="shared" si="1204"/>
        <v>4</v>
      </c>
      <c r="D479" s="391" t="str">
        <f t="shared" ref="D479:E479" si="1239">D476</f>
        <v>1-10</v>
      </c>
      <c r="E479" s="391">
        <f t="shared" si="1239"/>
        <v>10</v>
      </c>
      <c r="F479" s="391" t="str">
        <f t="shared" ref="F479:G479" si="1240">F478</f>
        <v>marine water</v>
      </c>
      <c r="G479" s="401" t="str">
        <f t="shared" si="1240"/>
        <v>DE: LDPE fiber 1-10 mm (emission to marine water)</v>
      </c>
      <c r="H479" s="393">
        <v>0</v>
      </c>
      <c r="I479" s="394" t="s">
        <v>1034</v>
      </c>
      <c r="J479" s="654"/>
      <c r="K479" s="398" t="s">
        <v>596</v>
      </c>
      <c r="L479" s="538"/>
      <c r="M479" s="509">
        <f t="shared" si="1171"/>
        <v>0</v>
      </c>
      <c r="N479" s="647"/>
      <c r="O479" s="627"/>
      <c r="P479" s="629"/>
      <c r="Q479" s="629"/>
    </row>
    <row r="480" spans="1:17" ht="15.75" hidden="1" thickBot="1">
      <c r="A480" s="390" t="str">
        <f t="shared" ref="A480:B480" si="1241">A477</f>
        <v>LDPE</v>
      </c>
      <c r="B480" s="391" t="str">
        <f t="shared" si="1241"/>
        <v>fiber</v>
      </c>
      <c r="C480" s="391">
        <f t="shared" si="1204"/>
        <v>4</v>
      </c>
      <c r="D480" s="391" t="str">
        <f t="shared" ref="D480:E480" si="1242">D477</f>
        <v>1-10</v>
      </c>
      <c r="E480" s="391">
        <f t="shared" si="1242"/>
        <v>10</v>
      </c>
      <c r="F480" s="400" t="s">
        <v>1057</v>
      </c>
      <c r="G480" s="422" t="str">
        <f>CONCATENATE("DE: ",A480," ",B480," ",D480," mm (emission to ",F480,")")</f>
        <v>DE: LDPE fiber 1-10 mm (emission to air)</v>
      </c>
      <c r="H480" s="403">
        <v>0.94799999999999995</v>
      </c>
      <c r="I480" s="388" t="s">
        <v>1153</v>
      </c>
      <c r="J480" s="634">
        <v>0.22800000000000001</v>
      </c>
      <c r="K480" s="395">
        <v>5.66</v>
      </c>
      <c r="L480" s="536"/>
      <c r="M480" s="509">
        <f t="shared" si="1171"/>
        <v>441.69611307420496</v>
      </c>
      <c r="N480" s="645">
        <f t="shared" ref="N480" si="1243">IFERROR(H480*M480+H481*M481+H482*M482+H483*M483+H484*M484,"N.A.")</f>
        <v>441.69611307420496</v>
      </c>
      <c r="O480" s="625"/>
      <c r="P480" s="628">
        <f t="shared" si="1190"/>
        <v>100</v>
      </c>
      <c r="Q480" s="628">
        <f t="shared" si="1105"/>
        <v>441.69611307420496</v>
      </c>
    </row>
    <row r="481" spans="1:17" ht="15.75" hidden="1" thickBot="1">
      <c r="A481" s="390" t="str">
        <f t="shared" ref="A481:B481" si="1244">A478</f>
        <v>LDPE</v>
      </c>
      <c r="B481" s="391" t="str">
        <f t="shared" si="1244"/>
        <v>fiber</v>
      </c>
      <c r="C481" s="391">
        <f t="shared" si="1204"/>
        <v>4</v>
      </c>
      <c r="D481" s="391" t="str">
        <f t="shared" ref="D481:E481" si="1245">D478</f>
        <v>1-10</v>
      </c>
      <c r="E481" s="391">
        <f t="shared" si="1245"/>
        <v>10</v>
      </c>
      <c r="F481" s="391" t="str">
        <f t="shared" ref="F481:G481" si="1246">F480</f>
        <v>air</v>
      </c>
      <c r="G481" s="401" t="str">
        <f t="shared" si="1246"/>
        <v>DE: LDPE fiber 1-10 mm (emission to air)</v>
      </c>
      <c r="H481" s="393">
        <v>5.1999999999999998E-2</v>
      </c>
      <c r="I481" s="394" t="s">
        <v>1097</v>
      </c>
      <c r="J481" s="635"/>
      <c r="K481" s="395">
        <v>5.66</v>
      </c>
      <c r="L481" s="537"/>
      <c r="M481" s="509">
        <f t="shared" si="1171"/>
        <v>441.69611307420496</v>
      </c>
      <c r="N481" s="646"/>
      <c r="O481" s="626"/>
      <c r="P481" s="629"/>
      <c r="Q481" s="629"/>
    </row>
    <row r="482" spans="1:17" ht="15.75" hidden="1" thickBot="1">
      <c r="A482" s="390" t="str">
        <f t="shared" ref="A482:B482" si="1247">A479</f>
        <v>LDPE</v>
      </c>
      <c r="B482" s="391" t="str">
        <f t="shared" si="1247"/>
        <v>fiber</v>
      </c>
      <c r="C482" s="391">
        <f t="shared" si="1204"/>
        <v>4</v>
      </c>
      <c r="D482" s="391" t="str">
        <f t="shared" ref="D482:E482" si="1248">D479</f>
        <v>1-10</v>
      </c>
      <c r="E482" s="391">
        <f t="shared" si="1248"/>
        <v>10</v>
      </c>
      <c r="F482" s="391" t="str">
        <f t="shared" ref="F482:G482" si="1249">F481</f>
        <v>air</v>
      </c>
      <c r="G482" s="401" t="str">
        <f t="shared" si="1249"/>
        <v>DE: LDPE fiber 1-10 mm (emission to air)</v>
      </c>
      <c r="H482" s="393">
        <v>0</v>
      </c>
      <c r="I482" s="394" t="s">
        <v>1162</v>
      </c>
      <c r="J482" s="635"/>
      <c r="K482" s="395">
        <v>0.4</v>
      </c>
      <c r="L482" s="537"/>
      <c r="M482" s="509">
        <f t="shared" si="1171"/>
        <v>1000</v>
      </c>
      <c r="N482" s="646"/>
      <c r="O482" s="626"/>
      <c r="P482" s="629"/>
      <c r="Q482" s="629"/>
    </row>
    <row r="483" spans="1:17" ht="15.75" hidden="1" thickBot="1">
      <c r="A483" s="390" t="str">
        <f t="shared" ref="A483:B483" si="1250">A480</f>
        <v>LDPE</v>
      </c>
      <c r="B483" s="391" t="str">
        <f t="shared" si="1250"/>
        <v>fiber</v>
      </c>
      <c r="C483" s="391">
        <f t="shared" si="1204"/>
        <v>4</v>
      </c>
      <c r="D483" s="391" t="str">
        <f t="shared" ref="D483:E483" si="1251">D480</f>
        <v>1-10</v>
      </c>
      <c r="E483" s="391">
        <f t="shared" si="1251"/>
        <v>10</v>
      </c>
      <c r="F483" s="391" t="str">
        <f t="shared" ref="F483:G483" si="1252">F482</f>
        <v>air</v>
      </c>
      <c r="G483" s="401" t="str">
        <f t="shared" si="1252"/>
        <v>DE: LDPE fiber 1-10 mm (emission to air)</v>
      </c>
      <c r="H483" s="393">
        <v>0</v>
      </c>
      <c r="I483" s="394" t="s">
        <v>1146</v>
      </c>
      <c r="J483" s="635"/>
      <c r="K483" s="395">
        <v>0.4</v>
      </c>
      <c r="L483" s="537"/>
      <c r="M483" s="509">
        <f t="shared" si="1171"/>
        <v>1000</v>
      </c>
      <c r="N483" s="646"/>
      <c r="O483" s="626"/>
      <c r="P483" s="629"/>
      <c r="Q483" s="629"/>
    </row>
    <row r="484" spans="1:17" ht="15.75" hidden="1" thickBot="1">
      <c r="A484" s="404" t="str">
        <f t="shared" ref="A484:B484" si="1253">A479</f>
        <v>LDPE</v>
      </c>
      <c r="B484" s="402" t="str">
        <f t="shared" si="1253"/>
        <v>fiber</v>
      </c>
      <c r="C484" s="391">
        <f t="shared" si="1204"/>
        <v>4</v>
      </c>
      <c r="D484" s="402" t="str">
        <f t="shared" ref="D484:E484" si="1254">D479</f>
        <v>1-10</v>
      </c>
      <c r="E484" s="402">
        <f t="shared" si="1254"/>
        <v>10</v>
      </c>
      <c r="F484" s="391" t="str">
        <f t="shared" ref="F484:G484" si="1255">F483</f>
        <v>air</v>
      </c>
      <c r="G484" s="401" t="str">
        <f t="shared" si="1255"/>
        <v>DE: LDPE fiber 1-10 mm (emission to air)</v>
      </c>
      <c r="H484" s="393">
        <v>0</v>
      </c>
      <c r="I484" s="394" t="s">
        <v>1034</v>
      </c>
      <c r="J484" s="636"/>
      <c r="K484" s="398" t="s">
        <v>596</v>
      </c>
      <c r="L484" s="538"/>
      <c r="M484" s="509">
        <f t="shared" si="1171"/>
        <v>0</v>
      </c>
      <c r="N484" s="647"/>
      <c r="O484" s="627"/>
      <c r="P484" s="629"/>
      <c r="Q484" s="629"/>
    </row>
    <row r="485" spans="1:17" ht="16.5" hidden="1" thickTop="1" thickBot="1">
      <c r="A485" s="405" t="s">
        <v>67</v>
      </c>
      <c r="B485" s="406" t="s">
        <v>1152</v>
      </c>
      <c r="C485" s="407">
        <v>6</v>
      </c>
      <c r="D485" s="423" t="s">
        <v>1018</v>
      </c>
      <c r="E485" s="408">
        <v>0.1</v>
      </c>
      <c r="F485" s="424" t="s">
        <v>1019</v>
      </c>
      <c r="G485" s="425" t="str">
        <f>CONCATENATE("DE: ",A485," ",B485," ",D485," mm (emission to ",F485,")")</f>
        <v>DE: LDPE particle 0,01-0,1 mm (emission to soil)</v>
      </c>
      <c r="H485" s="463">
        <v>0.97</v>
      </c>
      <c r="I485" s="427" t="s">
        <v>1153</v>
      </c>
      <c r="J485" s="632">
        <v>0.22800000000000001</v>
      </c>
      <c r="K485" s="428">
        <v>5.66</v>
      </c>
      <c r="L485" s="539"/>
      <c r="M485" s="509">
        <f t="shared" si="1171"/>
        <v>2.2084805653710249</v>
      </c>
      <c r="N485" s="645">
        <f t="shared" ref="N485" si="1256">IFERROR(H485*M485+H486*M486+H487*M487+H488*M488+H489*M489,"N.A.")</f>
        <v>2.2084805653710249</v>
      </c>
      <c r="O485" s="625"/>
      <c r="P485" s="628">
        <f t="shared" si="1190"/>
        <v>2.2084805653710249</v>
      </c>
      <c r="Q485" s="628">
        <f t="shared" si="1105"/>
        <v>2.2084805653710249</v>
      </c>
    </row>
    <row r="486" spans="1:17" ht="15.75" hidden="1" thickBot="1">
      <c r="A486" s="390" t="str">
        <f>A485</f>
        <v>LDPE</v>
      </c>
      <c r="B486" s="391" t="str">
        <f>B485</f>
        <v>particle</v>
      </c>
      <c r="C486" s="391">
        <f t="shared" ref="C486:C504" si="1257">C485</f>
        <v>6</v>
      </c>
      <c r="D486" s="391" t="str">
        <f t="shared" ref="D486:G486" si="1258">D485</f>
        <v>0,01-0,1</v>
      </c>
      <c r="E486" s="391">
        <f t="shared" si="1258"/>
        <v>0.1</v>
      </c>
      <c r="F486" s="391" t="str">
        <f t="shared" si="1258"/>
        <v>soil</v>
      </c>
      <c r="G486" s="392" t="str">
        <f t="shared" si="1258"/>
        <v>DE: LDPE particle 0,01-0,1 mm (emission to soil)</v>
      </c>
      <c r="H486" s="393">
        <v>0.03</v>
      </c>
      <c r="I486" s="394" t="s">
        <v>1097</v>
      </c>
      <c r="J486" s="632"/>
      <c r="K486" s="395">
        <v>5.66</v>
      </c>
      <c r="L486" s="537"/>
      <c r="M486" s="509">
        <f t="shared" si="1171"/>
        <v>2.2084805653710249</v>
      </c>
      <c r="N486" s="646"/>
      <c r="O486" s="626"/>
      <c r="P486" s="629"/>
      <c r="Q486" s="629"/>
    </row>
    <row r="487" spans="1:17" ht="15.75" hidden="1" thickBot="1">
      <c r="A487" s="390" t="str">
        <f t="shared" ref="A487:A488" si="1259">A486</f>
        <v>LDPE</v>
      </c>
      <c r="B487" s="391" t="str">
        <f t="shared" ref="B487:B488" si="1260">B486</f>
        <v>particle</v>
      </c>
      <c r="C487" s="391">
        <f t="shared" si="1257"/>
        <v>6</v>
      </c>
      <c r="D487" s="391" t="str">
        <f t="shared" ref="D487:G487" si="1261">D486</f>
        <v>0,01-0,1</v>
      </c>
      <c r="E487" s="391">
        <f t="shared" si="1261"/>
        <v>0.1</v>
      </c>
      <c r="F487" s="391" t="str">
        <f t="shared" si="1261"/>
        <v>soil</v>
      </c>
      <c r="G487" s="392" t="str">
        <f t="shared" si="1261"/>
        <v>DE: LDPE particle 0,01-0,1 mm (emission to soil)</v>
      </c>
      <c r="H487" s="393">
        <v>0</v>
      </c>
      <c r="I487" s="394" t="s">
        <v>1162</v>
      </c>
      <c r="J487" s="632"/>
      <c r="K487" s="395">
        <v>0.4</v>
      </c>
      <c r="L487" s="537"/>
      <c r="M487" s="509">
        <f t="shared" si="1171"/>
        <v>31.25</v>
      </c>
      <c r="N487" s="646"/>
      <c r="O487" s="626"/>
      <c r="P487" s="629"/>
      <c r="Q487" s="629"/>
    </row>
    <row r="488" spans="1:17" ht="15.75" hidden="1" thickBot="1">
      <c r="A488" s="390" t="str">
        <f t="shared" si="1259"/>
        <v>LDPE</v>
      </c>
      <c r="B488" s="391" t="str">
        <f t="shared" si="1260"/>
        <v>particle</v>
      </c>
      <c r="C488" s="391">
        <f t="shared" si="1257"/>
        <v>6</v>
      </c>
      <c r="D488" s="391" t="str">
        <f t="shared" ref="D488:G488" si="1262">D487</f>
        <v>0,01-0,1</v>
      </c>
      <c r="E488" s="391">
        <f t="shared" si="1262"/>
        <v>0.1</v>
      </c>
      <c r="F488" s="391" t="str">
        <f t="shared" si="1262"/>
        <v>soil</v>
      </c>
      <c r="G488" s="392" t="str">
        <f t="shared" si="1262"/>
        <v>DE: LDPE particle 0,01-0,1 mm (emission to soil)</v>
      </c>
      <c r="H488" s="393">
        <v>0</v>
      </c>
      <c r="I488" s="394" t="s">
        <v>1146</v>
      </c>
      <c r="J488" s="632"/>
      <c r="K488" s="395">
        <v>0.4</v>
      </c>
      <c r="L488" s="537"/>
      <c r="M488" s="509">
        <f t="shared" si="1171"/>
        <v>31.25</v>
      </c>
      <c r="N488" s="646"/>
      <c r="O488" s="626"/>
      <c r="P488" s="629"/>
      <c r="Q488" s="629"/>
    </row>
    <row r="489" spans="1:17" ht="15.75" hidden="1" thickBot="1">
      <c r="A489" s="390" t="str">
        <f>A486</f>
        <v>LDPE</v>
      </c>
      <c r="B489" s="391" t="str">
        <f>B486</f>
        <v>particle</v>
      </c>
      <c r="C489" s="391">
        <f t="shared" si="1257"/>
        <v>6</v>
      </c>
      <c r="D489" s="391" t="str">
        <f>D486</f>
        <v>0,01-0,1</v>
      </c>
      <c r="E489" s="391">
        <f>E486</f>
        <v>0.1</v>
      </c>
      <c r="F489" s="391" t="str">
        <f>F486</f>
        <v>soil</v>
      </c>
      <c r="G489" s="396" t="str">
        <f t="shared" ref="G489" si="1263">G488</f>
        <v>DE: LDPE particle 0,01-0,1 mm (emission to soil)</v>
      </c>
      <c r="H489" s="393">
        <v>0</v>
      </c>
      <c r="I489" s="397" t="s">
        <v>1034</v>
      </c>
      <c r="J489" s="633"/>
      <c r="K489" s="398" t="s">
        <v>596</v>
      </c>
      <c r="L489" s="538"/>
      <c r="M489" s="509">
        <f t="shared" si="1171"/>
        <v>0</v>
      </c>
      <c r="N489" s="647"/>
      <c r="O489" s="627"/>
      <c r="P489" s="629"/>
      <c r="Q489" s="629"/>
    </row>
    <row r="490" spans="1:17" ht="15.75" hidden="1" thickBot="1">
      <c r="A490" s="390" t="str">
        <f t="shared" ref="A490:B490" si="1264">A487</f>
        <v>LDPE</v>
      </c>
      <c r="B490" s="391" t="str">
        <f t="shared" si="1264"/>
        <v>particle</v>
      </c>
      <c r="C490" s="391">
        <f t="shared" si="1257"/>
        <v>6</v>
      </c>
      <c r="D490" s="399" t="str">
        <f t="shared" ref="D490:E490" si="1265">D487</f>
        <v>0,01-0,1</v>
      </c>
      <c r="E490" s="391">
        <f t="shared" si="1265"/>
        <v>0.1</v>
      </c>
      <c r="F490" s="400" t="s">
        <v>1147</v>
      </c>
      <c r="G490" s="386" t="str">
        <f>CONCATENATE("DE: ",A490," ",B490," ",D490," mm (emission to ",F490,")")</f>
        <v>DE: LDPE particle 0,01-0,1 mm (emission to fresh water)</v>
      </c>
      <c r="H490" s="387">
        <v>0</v>
      </c>
      <c r="I490" s="388" t="s">
        <v>1153</v>
      </c>
      <c r="J490" s="634">
        <v>0.22800000000000001</v>
      </c>
      <c r="K490" s="395">
        <v>5.66</v>
      </c>
      <c r="L490" s="536"/>
      <c r="M490" s="509">
        <f t="shared" si="1171"/>
        <v>2.2084805653710249</v>
      </c>
      <c r="N490" s="645">
        <f t="shared" ref="N490" si="1266">IFERROR(H490*M490+H491*M491+H492*M492+H493*M493+H494*M494,"N.A.")</f>
        <v>2.2084805653710249</v>
      </c>
      <c r="O490" s="625"/>
      <c r="P490" s="628">
        <f t="shared" si="1190"/>
        <v>2.2084805653710249</v>
      </c>
      <c r="Q490" s="628">
        <f t="shared" si="1105"/>
        <v>2.2084805653710249</v>
      </c>
    </row>
    <row r="491" spans="1:17" ht="15.75" hidden="1" thickBot="1">
      <c r="A491" s="390" t="str">
        <f t="shared" ref="A491:B491" si="1267">A488</f>
        <v>LDPE</v>
      </c>
      <c r="B491" s="391" t="str">
        <f t="shared" si="1267"/>
        <v>particle</v>
      </c>
      <c r="C491" s="391">
        <f t="shared" si="1257"/>
        <v>6</v>
      </c>
      <c r="D491" s="391" t="str">
        <f t="shared" ref="D491:E491" si="1268">D488</f>
        <v>0,01-0,1</v>
      </c>
      <c r="E491" s="391">
        <f t="shared" si="1268"/>
        <v>0.1</v>
      </c>
      <c r="F491" s="391" t="str">
        <f t="shared" ref="F491:G491" si="1269">F490</f>
        <v>fresh water</v>
      </c>
      <c r="G491" s="401" t="str">
        <f t="shared" si="1269"/>
        <v>DE: LDPE particle 0,01-0,1 mm (emission to fresh water)</v>
      </c>
      <c r="H491" s="393">
        <v>1</v>
      </c>
      <c r="I491" s="394" t="s">
        <v>1097</v>
      </c>
      <c r="J491" s="635"/>
      <c r="K491" s="395">
        <v>5.66</v>
      </c>
      <c r="L491" s="537"/>
      <c r="M491" s="509">
        <f t="shared" si="1171"/>
        <v>2.2084805653710249</v>
      </c>
      <c r="N491" s="646"/>
      <c r="O491" s="626"/>
      <c r="P491" s="629"/>
      <c r="Q491" s="629"/>
    </row>
    <row r="492" spans="1:17" ht="15.75" hidden="1" thickBot="1">
      <c r="A492" s="390" t="str">
        <f t="shared" ref="A492:B492" si="1270">A489</f>
        <v>LDPE</v>
      </c>
      <c r="B492" s="391" t="str">
        <f t="shared" si="1270"/>
        <v>particle</v>
      </c>
      <c r="C492" s="391">
        <f t="shared" si="1257"/>
        <v>6</v>
      </c>
      <c r="D492" s="391" t="str">
        <f t="shared" ref="D492:E492" si="1271">D489</f>
        <v>0,01-0,1</v>
      </c>
      <c r="E492" s="391">
        <f t="shared" si="1271"/>
        <v>0.1</v>
      </c>
      <c r="F492" s="391" t="str">
        <f t="shared" ref="F492:G492" si="1272">F491</f>
        <v>fresh water</v>
      </c>
      <c r="G492" s="401" t="str">
        <f t="shared" si="1272"/>
        <v>DE: LDPE particle 0,01-0,1 mm (emission to fresh water)</v>
      </c>
      <c r="H492" s="393">
        <v>0</v>
      </c>
      <c r="I492" s="394" t="s">
        <v>1162</v>
      </c>
      <c r="J492" s="635"/>
      <c r="K492" s="395">
        <v>0.4</v>
      </c>
      <c r="L492" s="537"/>
      <c r="M492" s="509">
        <f t="shared" si="1171"/>
        <v>31.25</v>
      </c>
      <c r="N492" s="646"/>
      <c r="O492" s="626"/>
      <c r="P492" s="629"/>
      <c r="Q492" s="629"/>
    </row>
    <row r="493" spans="1:17" ht="15.75" hidden="1" thickBot="1">
      <c r="A493" s="390" t="str">
        <f t="shared" ref="A493:B493" si="1273">A490</f>
        <v>LDPE</v>
      </c>
      <c r="B493" s="391" t="str">
        <f t="shared" si="1273"/>
        <v>particle</v>
      </c>
      <c r="C493" s="391">
        <f t="shared" si="1257"/>
        <v>6</v>
      </c>
      <c r="D493" s="391" t="str">
        <f t="shared" ref="D493:E493" si="1274">D490</f>
        <v>0,01-0,1</v>
      </c>
      <c r="E493" s="391">
        <f t="shared" si="1274"/>
        <v>0.1</v>
      </c>
      <c r="F493" s="391" t="str">
        <f t="shared" ref="F493:G493" si="1275">F492</f>
        <v>fresh water</v>
      </c>
      <c r="G493" s="401" t="str">
        <f t="shared" si="1275"/>
        <v>DE: LDPE particle 0,01-0,1 mm (emission to fresh water)</v>
      </c>
      <c r="H493" s="393">
        <v>0</v>
      </c>
      <c r="I493" s="394" t="s">
        <v>1146</v>
      </c>
      <c r="J493" s="635"/>
      <c r="K493" s="395">
        <v>0.4</v>
      </c>
      <c r="L493" s="537"/>
      <c r="M493" s="509">
        <f t="shared" si="1171"/>
        <v>31.25</v>
      </c>
      <c r="N493" s="646"/>
      <c r="O493" s="626"/>
      <c r="P493" s="629"/>
      <c r="Q493" s="629"/>
    </row>
    <row r="494" spans="1:17" ht="15.75" hidden="1" thickBot="1">
      <c r="A494" s="390" t="str">
        <f t="shared" ref="A494:B494" si="1276">A491</f>
        <v>LDPE</v>
      </c>
      <c r="B494" s="391" t="str">
        <f t="shared" si="1276"/>
        <v>particle</v>
      </c>
      <c r="C494" s="391">
        <f t="shared" si="1257"/>
        <v>6</v>
      </c>
      <c r="D494" s="391" t="str">
        <f t="shared" ref="D494:E494" si="1277">D491</f>
        <v>0,01-0,1</v>
      </c>
      <c r="E494" s="391">
        <f t="shared" si="1277"/>
        <v>0.1</v>
      </c>
      <c r="F494" s="402" t="str">
        <f>F491</f>
        <v>fresh water</v>
      </c>
      <c r="G494" s="401" t="str">
        <f t="shared" ref="G494" si="1278">G493</f>
        <v>DE: LDPE particle 0,01-0,1 mm (emission to fresh water)</v>
      </c>
      <c r="H494" s="393">
        <v>0</v>
      </c>
      <c r="I494" s="394" t="s">
        <v>1034</v>
      </c>
      <c r="J494" s="654"/>
      <c r="K494" s="398" t="s">
        <v>596</v>
      </c>
      <c r="L494" s="538"/>
      <c r="M494" s="509">
        <f t="shared" si="1171"/>
        <v>0</v>
      </c>
      <c r="N494" s="647"/>
      <c r="O494" s="627"/>
      <c r="P494" s="629"/>
      <c r="Q494" s="629"/>
    </row>
    <row r="495" spans="1:17" ht="15.75" hidden="1" thickBot="1">
      <c r="A495" s="390" t="str">
        <f t="shared" ref="A495:B495" si="1279">A492</f>
        <v>LDPE</v>
      </c>
      <c r="B495" s="391" t="str">
        <f t="shared" si="1279"/>
        <v>particle</v>
      </c>
      <c r="C495" s="391">
        <f t="shared" si="1257"/>
        <v>6</v>
      </c>
      <c r="D495" s="391" t="str">
        <f t="shared" ref="D495:E495" si="1280">D492</f>
        <v>0,01-0,1</v>
      </c>
      <c r="E495" s="391">
        <f t="shared" si="1280"/>
        <v>0.1</v>
      </c>
      <c r="F495" s="385" t="s">
        <v>1097</v>
      </c>
      <c r="G495" s="422" t="str">
        <f>CONCATENATE("DE: ",A495," ",B495," ",D495," mm (emission to ",F495,")")</f>
        <v>DE: LDPE particle 0,01-0,1 mm (emission to marine water)</v>
      </c>
      <c r="H495" s="403">
        <v>0</v>
      </c>
      <c r="I495" s="388" t="s">
        <v>1153</v>
      </c>
      <c r="J495" s="634">
        <v>0.22800000000000001</v>
      </c>
      <c r="K495" s="395">
        <v>5.66</v>
      </c>
      <c r="L495" s="536"/>
      <c r="M495" s="509">
        <f t="shared" si="1171"/>
        <v>2.2084805653710249</v>
      </c>
      <c r="N495" s="645">
        <f t="shared" ref="N495" si="1281">IFERROR(H495*M495+H496*M496+H497*M497+H498*M498+H499*M499,"N.A.")</f>
        <v>2.2084805653710249</v>
      </c>
      <c r="O495" s="625"/>
      <c r="P495" s="628">
        <f t="shared" si="1190"/>
        <v>2.2084805653710249</v>
      </c>
      <c r="Q495" s="628">
        <f t="shared" ref="Q495:Q555" si="1282">IFERROR(IF(H495*M495+H496*M496+H497*M497+H498*M498+H499*M499&gt;500,500,H495*M495+H496*M496+H497*M497+H498*M498+H499*M499),"N.A.")</f>
        <v>2.2084805653710249</v>
      </c>
    </row>
    <row r="496" spans="1:17" ht="15.75" hidden="1" thickBot="1">
      <c r="A496" s="390" t="str">
        <f t="shared" ref="A496:B496" si="1283">A493</f>
        <v>LDPE</v>
      </c>
      <c r="B496" s="391" t="str">
        <f t="shared" si="1283"/>
        <v>particle</v>
      </c>
      <c r="C496" s="391">
        <f t="shared" si="1257"/>
        <v>6</v>
      </c>
      <c r="D496" s="391" t="str">
        <f t="shared" ref="D496:E496" si="1284">D493</f>
        <v>0,01-0,1</v>
      </c>
      <c r="E496" s="391">
        <f t="shared" si="1284"/>
        <v>0.1</v>
      </c>
      <c r="F496" s="391" t="str">
        <f t="shared" ref="F496:G496" si="1285">F495</f>
        <v>marine water</v>
      </c>
      <c r="G496" s="401" t="str">
        <f t="shared" si="1285"/>
        <v>DE: LDPE particle 0,01-0,1 mm (emission to marine water)</v>
      </c>
      <c r="H496" s="393">
        <v>1</v>
      </c>
      <c r="I496" s="394" t="s">
        <v>1097</v>
      </c>
      <c r="J496" s="635"/>
      <c r="K496" s="395">
        <v>5.66</v>
      </c>
      <c r="L496" s="537"/>
      <c r="M496" s="509">
        <f t="shared" si="1171"/>
        <v>2.2084805653710249</v>
      </c>
      <c r="N496" s="646"/>
      <c r="O496" s="626"/>
      <c r="P496" s="629"/>
      <c r="Q496" s="629"/>
    </row>
    <row r="497" spans="1:17" ht="15.75" hidden="1" thickBot="1">
      <c r="A497" s="390" t="str">
        <f t="shared" ref="A497:B497" si="1286">A494</f>
        <v>LDPE</v>
      </c>
      <c r="B497" s="391" t="str">
        <f t="shared" si="1286"/>
        <v>particle</v>
      </c>
      <c r="C497" s="391">
        <f t="shared" si="1257"/>
        <v>6</v>
      </c>
      <c r="D497" s="391" t="str">
        <f t="shared" ref="D497:E497" si="1287">D494</f>
        <v>0,01-0,1</v>
      </c>
      <c r="E497" s="391">
        <f t="shared" si="1287"/>
        <v>0.1</v>
      </c>
      <c r="F497" s="391" t="str">
        <f t="shared" ref="F497:G497" si="1288">F496</f>
        <v>marine water</v>
      </c>
      <c r="G497" s="401" t="str">
        <f t="shared" si="1288"/>
        <v>DE: LDPE particle 0,01-0,1 mm (emission to marine water)</v>
      </c>
      <c r="H497" s="393">
        <v>0</v>
      </c>
      <c r="I497" s="394" t="s">
        <v>1162</v>
      </c>
      <c r="J497" s="635"/>
      <c r="K497" s="395">
        <v>0.4</v>
      </c>
      <c r="L497" s="537"/>
      <c r="M497" s="509">
        <f t="shared" si="1171"/>
        <v>31.25</v>
      </c>
      <c r="N497" s="646"/>
      <c r="O497" s="626"/>
      <c r="P497" s="629"/>
      <c r="Q497" s="629"/>
    </row>
    <row r="498" spans="1:17" ht="15.75" hidden="1" thickBot="1">
      <c r="A498" s="390" t="str">
        <f t="shared" ref="A498:B498" si="1289">A495</f>
        <v>LDPE</v>
      </c>
      <c r="B498" s="391" t="str">
        <f t="shared" si="1289"/>
        <v>particle</v>
      </c>
      <c r="C498" s="391">
        <f t="shared" si="1257"/>
        <v>6</v>
      </c>
      <c r="D498" s="391" t="str">
        <f t="shared" ref="D498:E498" si="1290">D495</f>
        <v>0,01-0,1</v>
      </c>
      <c r="E498" s="391">
        <f t="shared" si="1290"/>
        <v>0.1</v>
      </c>
      <c r="F498" s="391" t="str">
        <f t="shared" ref="F498:G498" si="1291">F497</f>
        <v>marine water</v>
      </c>
      <c r="G498" s="401" t="str">
        <f t="shared" si="1291"/>
        <v>DE: LDPE particle 0,01-0,1 mm (emission to marine water)</v>
      </c>
      <c r="H498" s="393">
        <v>0</v>
      </c>
      <c r="I498" s="394" t="s">
        <v>1146</v>
      </c>
      <c r="J498" s="635"/>
      <c r="K498" s="395">
        <v>0.4</v>
      </c>
      <c r="L498" s="537"/>
      <c r="M498" s="509">
        <f t="shared" si="1171"/>
        <v>31.25</v>
      </c>
      <c r="N498" s="646"/>
      <c r="O498" s="626"/>
      <c r="P498" s="629"/>
      <c r="Q498" s="629"/>
    </row>
    <row r="499" spans="1:17" ht="15.75" hidden="1" thickBot="1">
      <c r="A499" s="390" t="str">
        <f t="shared" ref="A499:B499" si="1292">A496</f>
        <v>LDPE</v>
      </c>
      <c r="B499" s="391" t="str">
        <f t="shared" si="1292"/>
        <v>particle</v>
      </c>
      <c r="C499" s="391">
        <f t="shared" si="1257"/>
        <v>6</v>
      </c>
      <c r="D499" s="391" t="str">
        <f t="shared" ref="D499:E499" si="1293">D496</f>
        <v>0,01-0,1</v>
      </c>
      <c r="E499" s="391">
        <f t="shared" si="1293"/>
        <v>0.1</v>
      </c>
      <c r="F499" s="391" t="str">
        <f t="shared" ref="F499:G499" si="1294">F498</f>
        <v>marine water</v>
      </c>
      <c r="G499" s="401" t="str">
        <f t="shared" si="1294"/>
        <v>DE: LDPE particle 0,01-0,1 mm (emission to marine water)</v>
      </c>
      <c r="H499" s="393">
        <v>0</v>
      </c>
      <c r="I499" s="394" t="s">
        <v>1034</v>
      </c>
      <c r="J499" s="654"/>
      <c r="K499" s="398" t="s">
        <v>596</v>
      </c>
      <c r="L499" s="538"/>
      <c r="M499" s="509">
        <f t="shared" si="1171"/>
        <v>0</v>
      </c>
      <c r="N499" s="647"/>
      <c r="O499" s="627"/>
      <c r="P499" s="629"/>
      <c r="Q499" s="629"/>
    </row>
    <row r="500" spans="1:17" ht="15.75" hidden="1" thickBot="1">
      <c r="A500" s="390" t="str">
        <f t="shared" ref="A500:B500" si="1295">A497</f>
        <v>LDPE</v>
      </c>
      <c r="B500" s="391" t="str">
        <f t="shared" si="1295"/>
        <v>particle</v>
      </c>
      <c r="C500" s="391">
        <f t="shared" si="1257"/>
        <v>6</v>
      </c>
      <c r="D500" s="391" t="str">
        <f t="shared" ref="D500:E500" si="1296">D497</f>
        <v>0,01-0,1</v>
      </c>
      <c r="E500" s="391">
        <f t="shared" si="1296"/>
        <v>0.1</v>
      </c>
      <c r="F500" s="400" t="s">
        <v>1057</v>
      </c>
      <c r="G500" s="422" t="str">
        <f>CONCATENATE("DE: ",A500," ",B500," ",D500," mm (emission to ",F500,")")</f>
        <v>DE: LDPE particle 0,01-0,1 mm (emission to air)</v>
      </c>
      <c r="H500" s="403">
        <v>0.94799999999999995</v>
      </c>
      <c r="I500" s="388" t="s">
        <v>1153</v>
      </c>
      <c r="J500" s="634">
        <v>0.22800000000000001</v>
      </c>
      <c r="K500" s="395">
        <v>7.1250000000000053</v>
      </c>
      <c r="L500" s="536"/>
      <c r="M500" s="509">
        <f t="shared" si="1171"/>
        <v>1.7543859649122795</v>
      </c>
      <c r="N500" s="645">
        <f t="shared" ref="N500" si="1297">IFERROR(H500*M500+H501*M501+H502*M502+H503*M503+H504*M504,"N.A.")</f>
        <v>1.7543859649122793</v>
      </c>
      <c r="O500" s="625"/>
      <c r="P500" s="628">
        <f t="shared" si="1190"/>
        <v>1.7543859649122793</v>
      </c>
      <c r="Q500" s="628">
        <f t="shared" si="1282"/>
        <v>1.7543859649122793</v>
      </c>
    </row>
    <row r="501" spans="1:17" ht="15.75" hidden="1" thickBot="1">
      <c r="A501" s="390" t="str">
        <f t="shared" ref="A501:B501" si="1298">A498</f>
        <v>LDPE</v>
      </c>
      <c r="B501" s="391" t="str">
        <f t="shared" si="1298"/>
        <v>particle</v>
      </c>
      <c r="C501" s="391">
        <f t="shared" si="1257"/>
        <v>6</v>
      </c>
      <c r="D501" s="391" t="str">
        <f t="shared" ref="D501:E501" si="1299">D498</f>
        <v>0,01-0,1</v>
      </c>
      <c r="E501" s="391">
        <f t="shared" si="1299"/>
        <v>0.1</v>
      </c>
      <c r="F501" s="391" t="str">
        <f t="shared" ref="F501:G501" si="1300">F500</f>
        <v>air</v>
      </c>
      <c r="G501" s="401" t="str">
        <f t="shared" si="1300"/>
        <v>DE: LDPE particle 0,01-0,1 mm (emission to air)</v>
      </c>
      <c r="H501" s="393">
        <v>5.1999999999999998E-2</v>
      </c>
      <c r="I501" s="394" t="s">
        <v>1097</v>
      </c>
      <c r="J501" s="635"/>
      <c r="K501" s="395">
        <v>7.1250000000000053</v>
      </c>
      <c r="L501" s="537"/>
      <c r="M501" s="509">
        <f t="shared" si="1171"/>
        <v>1.7543859649122795</v>
      </c>
      <c r="N501" s="646"/>
      <c r="O501" s="626"/>
      <c r="P501" s="629"/>
      <c r="Q501" s="629"/>
    </row>
    <row r="502" spans="1:17" ht="15.75" hidden="1" thickBot="1">
      <c r="A502" s="390" t="str">
        <f t="shared" ref="A502:B502" si="1301">A499</f>
        <v>LDPE</v>
      </c>
      <c r="B502" s="391" t="str">
        <f t="shared" si="1301"/>
        <v>particle</v>
      </c>
      <c r="C502" s="391">
        <f t="shared" si="1257"/>
        <v>6</v>
      </c>
      <c r="D502" s="391" t="str">
        <f t="shared" ref="D502:E502" si="1302">D499</f>
        <v>0,01-0,1</v>
      </c>
      <c r="E502" s="391">
        <f t="shared" si="1302"/>
        <v>0.1</v>
      </c>
      <c r="F502" s="391" t="str">
        <f t="shared" ref="F502:G502" si="1303">F501</f>
        <v>air</v>
      </c>
      <c r="G502" s="401" t="str">
        <f t="shared" si="1303"/>
        <v>DE: LDPE particle 0,01-0,1 mm (emission to air)</v>
      </c>
      <c r="H502" s="393">
        <v>0</v>
      </c>
      <c r="I502" s="394" t="s">
        <v>1162</v>
      </c>
      <c r="J502" s="635"/>
      <c r="K502" s="395">
        <v>0</v>
      </c>
      <c r="L502" s="537"/>
      <c r="M502" s="509">
        <f t="shared" si="1171"/>
        <v>1000</v>
      </c>
      <c r="N502" s="646"/>
      <c r="O502" s="626"/>
      <c r="P502" s="629"/>
      <c r="Q502" s="629"/>
    </row>
    <row r="503" spans="1:17" ht="15.75" hidden="1" thickBot="1">
      <c r="A503" s="390" t="str">
        <f t="shared" ref="A503:B503" si="1304">A500</f>
        <v>LDPE</v>
      </c>
      <c r="B503" s="391" t="str">
        <f t="shared" si="1304"/>
        <v>particle</v>
      </c>
      <c r="C503" s="391">
        <f t="shared" si="1257"/>
        <v>6</v>
      </c>
      <c r="D503" s="391" t="str">
        <f t="shared" ref="D503:E503" si="1305">D500</f>
        <v>0,01-0,1</v>
      </c>
      <c r="E503" s="391">
        <f t="shared" si="1305"/>
        <v>0.1</v>
      </c>
      <c r="F503" s="391" t="str">
        <f t="shared" ref="F503:G503" si="1306">F502</f>
        <v>air</v>
      </c>
      <c r="G503" s="401" t="str">
        <f t="shared" si="1306"/>
        <v>DE: LDPE particle 0,01-0,1 mm (emission to air)</v>
      </c>
      <c r="H503" s="393">
        <v>0</v>
      </c>
      <c r="I503" s="394" t="s">
        <v>1146</v>
      </c>
      <c r="J503" s="635"/>
      <c r="K503" s="395">
        <v>0</v>
      </c>
      <c r="L503" s="537"/>
      <c r="M503" s="509">
        <f t="shared" si="1171"/>
        <v>1000</v>
      </c>
      <c r="N503" s="646"/>
      <c r="O503" s="626"/>
      <c r="P503" s="629"/>
      <c r="Q503" s="629"/>
    </row>
    <row r="504" spans="1:17" ht="15.75" hidden="1" thickBot="1">
      <c r="A504" s="404" t="str">
        <f t="shared" ref="A504:B504" si="1307">A499</f>
        <v>LDPE</v>
      </c>
      <c r="B504" s="402" t="str">
        <f t="shared" si="1307"/>
        <v>particle</v>
      </c>
      <c r="C504" s="391">
        <f t="shared" si="1257"/>
        <v>6</v>
      </c>
      <c r="D504" s="402" t="str">
        <f t="shared" ref="D504:E504" si="1308">D499</f>
        <v>0,01-0,1</v>
      </c>
      <c r="E504" s="402">
        <f t="shared" si="1308"/>
        <v>0.1</v>
      </c>
      <c r="F504" s="391" t="str">
        <f t="shared" ref="F504:G504" si="1309">F503</f>
        <v>air</v>
      </c>
      <c r="G504" s="401" t="str">
        <f t="shared" si="1309"/>
        <v>DE: LDPE particle 0,01-0,1 mm (emission to air)</v>
      </c>
      <c r="H504" s="393">
        <v>0</v>
      </c>
      <c r="I504" s="394" t="s">
        <v>1034</v>
      </c>
      <c r="J504" s="636"/>
      <c r="K504" s="398" t="s">
        <v>596</v>
      </c>
      <c r="L504" s="538"/>
      <c r="M504" s="509">
        <f t="shared" si="1171"/>
        <v>0</v>
      </c>
      <c r="N504" s="647"/>
      <c r="O504" s="627"/>
      <c r="P504" s="629"/>
      <c r="Q504" s="629"/>
    </row>
    <row r="505" spans="1:17" ht="16.5" hidden="1" thickTop="1" thickBot="1">
      <c r="A505" s="405" t="s">
        <v>67</v>
      </c>
      <c r="B505" s="406" t="s">
        <v>1152</v>
      </c>
      <c r="C505" s="407">
        <v>6</v>
      </c>
      <c r="D505" s="423" t="s">
        <v>1028</v>
      </c>
      <c r="E505" s="408">
        <v>1</v>
      </c>
      <c r="F505" s="424" t="s">
        <v>1019</v>
      </c>
      <c r="G505" s="425" t="str">
        <f>CONCATENATE("DE: ",A505," ",B505," ",D505," mm (emission to ",F505,")")</f>
        <v>DE: LDPE particle 0,1-1 mm (emission to soil)</v>
      </c>
      <c r="H505" s="463">
        <v>0.97</v>
      </c>
      <c r="I505" s="427" t="s">
        <v>1153</v>
      </c>
      <c r="J505" s="632">
        <v>0.22800000000000001</v>
      </c>
      <c r="K505" s="428">
        <v>5.66</v>
      </c>
      <c r="L505" s="539"/>
      <c r="M505" s="509">
        <f t="shared" si="1171"/>
        <v>22.084805653710248</v>
      </c>
      <c r="N505" s="645">
        <f t="shared" ref="N505" si="1310">IFERROR(H505*M505+H506*M506+H507*M507+H508*M508+H509*M509,"N.A.")</f>
        <v>22.084805653710248</v>
      </c>
      <c r="O505" s="625"/>
      <c r="P505" s="628">
        <f t="shared" si="1190"/>
        <v>22.084805653710248</v>
      </c>
      <c r="Q505" s="628">
        <f t="shared" si="1282"/>
        <v>22.084805653710248</v>
      </c>
    </row>
    <row r="506" spans="1:17" ht="15.75" hidden="1" thickBot="1">
      <c r="A506" s="390" t="str">
        <f>A505</f>
        <v>LDPE</v>
      </c>
      <c r="B506" s="391" t="str">
        <f>B505</f>
        <v>particle</v>
      </c>
      <c r="C506" s="391">
        <f t="shared" ref="C506:C524" si="1311">C505</f>
        <v>6</v>
      </c>
      <c r="D506" s="391" t="str">
        <f t="shared" ref="D506:G506" si="1312">D505</f>
        <v>0,1-1</v>
      </c>
      <c r="E506" s="391">
        <f t="shared" si="1312"/>
        <v>1</v>
      </c>
      <c r="F506" s="391" t="str">
        <f t="shared" si="1312"/>
        <v>soil</v>
      </c>
      <c r="G506" s="392" t="str">
        <f t="shared" si="1312"/>
        <v>DE: LDPE particle 0,1-1 mm (emission to soil)</v>
      </c>
      <c r="H506" s="393">
        <v>0.03</v>
      </c>
      <c r="I506" s="394" t="s">
        <v>1097</v>
      </c>
      <c r="J506" s="632"/>
      <c r="K506" s="395">
        <v>5.66</v>
      </c>
      <c r="L506" s="537"/>
      <c r="M506" s="509">
        <f t="shared" si="1171"/>
        <v>22.084805653710248</v>
      </c>
      <c r="N506" s="646"/>
      <c r="O506" s="626"/>
      <c r="P506" s="629"/>
      <c r="Q506" s="629"/>
    </row>
    <row r="507" spans="1:17" ht="15.75" hidden="1" thickBot="1">
      <c r="A507" s="390" t="str">
        <f t="shared" ref="A507:A508" si="1313">A506</f>
        <v>LDPE</v>
      </c>
      <c r="B507" s="391" t="str">
        <f t="shared" ref="B507:B508" si="1314">B506</f>
        <v>particle</v>
      </c>
      <c r="C507" s="391">
        <f t="shared" si="1311"/>
        <v>6</v>
      </c>
      <c r="D507" s="391" t="str">
        <f t="shared" ref="D507:G507" si="1315">D506</f>
        <v>0,1-1</v>
      </c>
      <c r="E507" s="391">
        <f t="shared" si="1315"/>
        <v>1</v>
      </c>
      <c r="F507" s="391" t="str">
        <f t="shared" si="1315"/>
        <v>soil</v>
      </c>
      <c r="G507" s="392" t="str">
        <f t="shared" si="1315"/>
        <v>DE: LDPE particle 0,1-1 mm (emission to soil)</v>
      </c>
      <c r="H507" s="393">
        <v>0</v>
      </c>
      <c r="I507" s="394" t="s">
        <v>1162</v>
      </c>
      <c r="J507" s="632"/>
      <c r="K507" s="395">
        <v>0.4</v>
      </c>
      <c r="L507" s="537"/>
      <c r="M507" s="509">
        <f t="shared" si="1171"/>
        <v>312.5</v>
      </c>
      <c r="N507" s="646"/>
      <c r="O507" s="626"/>
      <c r="P507" s="629"/>
      <c r="Q507" s="629"/>
    </row>
    <row r="508" spans="1:17" ht="15.75" hidden="1" thickBot="1">
      <c r="A508" s="390" t="str">
        <f t="shared" si="1313"/>
        <v>LDPE</v>
      </c>
      <c r="B508" s="391" t="str">
        <f t="shared" si="1314"/>
        <v>particle</v>
      </c>
      <c r="C508" s="391">
        <f t="shared" si="1311"/>
        <v>6</v>
      </c>
      <c r="D508" s="391" t="str">
        <f t="shared" ref="D508:G508" si="1316">D507</f>
        <v>0,1-1</v>
      </c>
      <c r="E508" s="391">
        <f t="shared" si="1316"/>
        <v>1</v>
      </c>
      <c r="F508" s="391" t="str">
        <f t="shared" si="1316"/>
        <v>soil</v>
      </c>
      <c r="G508" s="392" t="str">
        <f t="shared" si="1316"/>
        <v>DE: LDPE particle 0,1-1 mm (emission to soil)</v>
      </c>
      <c r="H508" s="393">
        <v>0</v>
      </c>
      <c r="I508" s="394" t="s">
        <v>1146</v>
      </c>
      <c r="J508" s="632"/>
      <c r="K508" s="395">
        <v>0.4</v>
      </c>
      <c r="L508" s="537"/>
      <c r="M508" s="509">
        <f t="shared" si="1171"/>
        <v>312.5</v>
      </c>
      <c r="N508" s="646"/>
      <c r="O508" s="626"/>
      <c r="P508" s="629"/>
      <c r="Q508" s="629"/>
    </row>
    <row r="509" spans="1:17" ht="15.75" hidden="1" thickBot="1">
      <c r="A509" s="390" t="str">
        <f>A506</f>
        <v>LDPE</v>
      </c>
      <c r="B509" s="391" t="str">
        <f>B506</f>
        <v>particle</v>
      </c>
      <c r="C509" s="391">
        <f t="shared" si="1311"/>
        <v>6</v>
      </c>
      <c r="D509" s="391" t="str">
        <f>D506</f>
        <v>0,1-1</v>
      </c>
      <c r="E509" s="391">
        <f>E506</f>
        <v>1</v>
      </c>
      <c r="F509" s="391" t="str">
        <f>F506</f>
        <v>soil</v>
      </c>
      <c r="G509" s="396" t="str">
        <f t="shared" ref="G509" si="1317">G508</f>
        <v>DE: LDPE particle 0,1-1 mm (emission to soil)</v>
      </c>
      <c r="H509" s="393">
        <v>0</v>
      </c>
      <c r="I509" s="397" t="s">
        <v>1034</v>
      </c>
      <c r="J509" s="633"/>
      <c r="K509" s="398" t="s">
        <v>596</v>
      </c>
      <c r="L509" s="538"/>
      <c r="M509" s="509">
        <f t="shared" si="1171"/>
        <v>0</v>
      </c>
      <c r="N509" s="647"/>
      <c r="O509" s="627"/>
      <c r="P509" s="629"/>
      <c r="Q509" s="629"/>
    </row>
    <row r="510" spans="1:17" ht="15.75" hidden="1" thickBot="1">
      <c r="A510" s="390" t="str">
        <f t="shared" ref="A510:B510" si="1318">A507</f>
        <v>LDPE</v>
      </c>
      <c r="B510" s="391" t="str">
        <f t="shared" si="1318"/>
        <v>particle</v>
      </c>
      <c r="C510" s="391">
        <f t="shared" si="1311"/>
        <v>6</v>
      </c>
      <c r="D510" s="399" t="str">
        <f t="shared" ref="D510:E510" si="1319">D507</f>
        <v>0,1-1</v>
      </c>
      <c r="E510" s="391">
        <f t="shared" si="1319"/>
        <v>1</v>
      </c>
      <c r="F510" s="400" t="s">
        <v>1147</v>
      </c>
      <c r="G510" s="386" t="str">
        <f>CONCATENATE("DE: ",A510," ",B510," ",D510," mm (emission to ",F510,")")</f>
        <v>DE: LDPE particle 0,1-1 mm (emission to fresh water)</v>
      </c>
      <c r="H510" s="387">
        <v>0</v>
      </c>
      <c r="I510" s="388" t="s">
        <v>1153</v>
      </c>
      <c r="J510" s="634">
        <v>0.22800000000000001</v>
      </c>
      <c r="K510" s="395">
        <v>5.66</v>
      </c>
      <c r="L510" s="536"/>
      <c r="M510" s="509">
        <f t="shared" si="1171"/>
        <v>22.084805653710248</v>
      </c>
      <c r="N510" s="645">
        <f t="shared" ref="N510" si="1320">IFERROR(H510*M510+H511*M511+H512*M512+H513*M513+H514*M514,"N.A.")</f>
        <v>22.084805653710248</v>
      </c>
      <c r="O510" s="625"/>
      <c r="P510" s="628">
        <f t="shared" si="1190"/>
        <v>22.084805653710248</v>
      </c>
      <c r="Q510" s="628">
        <f t="shared" si="1282"/>
        <v>22.084805653710248</v>
      </c>
    </row>
    <row r="511" spans="1:17" ht="15.75" hidden="1" thickBot="1">
      <c r="A511" s="390" t="str">
        <f t="shared" ref="A511:B511" si="1321">A508</f>
        <v>LDPE</v>
      </c>
      <c r="B511" s="391" t="str">
        <f t="shared" si="1321"/>
        <v>particle</v>
      </c>
      <c r="C511" s="391">
        <f t="shared" si="1311"/>
        <v>6</v>
      </c>
      <c r="D511" s="391" t="str">
        <f t="shared" ref="D511:E511" si="1322">D508</f>
        <v>0,1-1</v>
      </c>
      <c r="E511" s="391">
        <f t="shared" si="1322"/>
        <v>1</v>
      </c>
      <c r="F511" s="391" t="str">
        <f t="shared" ref="F511:G511" si="1323">F510</f>
        <v>fresh water</v>
      </c>
      <c r="G511" s="401" t="str">
        <f t="shared" si="1323"/>
        <v>DE: LDPE particle 0,1-1 mm (emission to fresh water)</v>
      </c>
      <c r="H511" s="393">
        <v>1</v>
      </c>
      <c r="I511" s="394" t="s">
        <v>1097</v>
      </c>
      <c r="J511" s="635"/>
      <c r="K511" s="395">
        <v>5.66</v>
      </c>
      <c r="L511" s="537"/>
      <c r="M511" s="509">
        <f t="shared" si="1171"/>
        <v>22.084805653710248</v>
      </c>
      <c r="N511" s="646"/>
      <c r="O511" s="626"/>
      <c r="P511" s="629"/>
      <c r="Q511" s="629"/>
    </row>
    <row r="512" spans="1:17" ht="15.75" hidden="1" thickBot="1">
      <c r="A512" s="390" t="str">
        <f t="shared" ref="A512:B512" si="1324">A509</f>
        <v>LDPE</v>
      </c>
      <c r="B512" s="391" t="str">
        <f t="shared" si="1324"/>
        <v>particle</v>
      </c>
      <c r="C512" s="391">
        <f t="shared" si="1311"/>
        <v>6</v>
      </c>
      <c r="D512" s="391" t="str">
        <f t="shared" ref="D512:E512" si="1325">D509</f>
        <v>0,1-1</v>
      </c>
      <c r="E512" s="391">
        <f t="shared" si="1325"/>
        <v>1</v>
      </c>
      <c r="F512" s="391" t="str">
        <f t="shared" ref="F512:G512" si="1326">F511</f>
        <v>fresh water</v>
      </c>
      <c r="G512" s="401" t="str">
        <f t="shared" si="1326"/>
        <v>DE: LDPE particle 0,1-1 mm (emission to fresh water)</v>
      </c>
      <c r="H512" s="393">
        <v>0</v>
      </c>
      <c r="I512" s="394" t="s">
        <v>1162</v>
      </c>
      <c r="J512" s="635"/>
      <c r="K512" s="395">
        <v>0.4</v>
      </c>
      <c r="L512" s="537"/>
      <c r="M512" s="509">
        <f t="shared" si="1171"/>
        <v>312.5</v>
      </c>
      <c r="N512" s="646"/>
      <c r="O512" s="626"/>
      <c r="P512" s="629"/>
      <c r="Q512" s="629"/>
    </row>
    <row r="513" spans="1:17" ht="15.75" hidden="1" thickBot="1">
      <c r="A513" s="390" t="str">
        <f t="shared" ref="A513:B513" si="1327">A510</f>
        <v>LDPE</v>
      </c>
      <c r="B513" s="391" t="str">
        <f t="shared" si="1327"/>
        <v>particle</v>
      </c>
      <c r="C513" s="391">
        <f t="shared" si="1311"/>
        <v>6</v>
      </c>
      <c r="D513" s="391" t="str">
        <f t="shared" ref="D513:E513" si="1328">D510</f>
        <v>0,1-1</v>
      </c>
      <c r="E513" s="391">
        <f t="shared" si="1328"/>
        <v>1</v>
      </c>
      <c r="F513" s="391" t="str">
        <f t="shared" ref="F513:G513" si="1329">F512</f>
        <v>fresh water</v>
      </c>
      <c r="G513" s="401" t="str">
        <f t="shared" si="1329"/>
        <v>DE: LDPE particle 0,1-1 mm (emission to fresh water)</v>
      </c>
      <c r="H513" s="393">
        <v>0</v>
      </c>
      <c r="I513" s="394" t="s">
        <v>1146</v>
      </c>
      <c r="J513" s="635"/>
      <c r="K513" s="395">
        <v>0.4</v>
      </c>
      <c r="L513" s="537"/>
      <c r="M513" s="509">
        <f t="shared" si="1171"/>
        <v>312.5</v>
      </c>
      <c r="N513" s="646"/>
      <c r="O513" s="626"/>
      <c r="P513" s="629"/>
      <c r="Q513" s="629"/>
    </row>
    <row r="514" spans="1:17" ht="15.75" hidden="1" thickBot="1">
      <c r="A514" s="390" t="str">
        <f t="shared" ref="A514:B514" si="1330">A511</f>
        <v>LDPE</v>
      </c>
      <c r="B514" s="391" t="str">
        <f t="shared" si="1330"/>
        <v>particle</v>
      </c>
      <c r="C514" s="391">
        <f t="shared" si="1311"/>
        <v>6</v>
      </c>
      <c r="D514" s="391" t="str">
        <f t="shared" ref="D514:E514" si="1331">D511</f>
        <v>0,1-1</v>
      </c>
      <c r="E514" s="391">
        <f t="shared" si="1331"/>
        <v>1</v>
      </c>
      <c r="F514" s="402" t="str">
        <f>F511</f>
        <v>fresh water</v>
      </c>
      <c r="G514" s="401" t="str">
        <f t="shared" ref="G514" si="1332">G513</f>
        <v>DE: LDPE particle 0,1-1 mm (emission to fresh water)</v>
      </c>
      <c r="H514" s="393">
        <v>0</v>
      </c>
      <c r="I514" s="394" t="s">
        <v>1034</v>
      </c>
      <c r="J514" s="654"/>
      <c r="K514" s="398" t="s">
        <v>596</v>
      </c>
      <c r="L514" s="538"/>
      <c r="M514" s="509">
        <f t="shared" si="1171"/>
        <v>0</v>
      </c>
      <c r="N514" s="647"/>
      <c r="O514" s="627"/>
      <c r="P514" s="629"/>
      <c r="Q514" s="629"/>
    </row>
    <row r="515" spans="1:17" ht="15.75" hidden="1" thickBot="1">
      <c r="A515" s="390" t="str">
        <f t="shared" ref="A515:B515" si="1333">A512</f>
        <v>LDPE</v>
      </c>
      <c r="B515" s="391" t="str">
        <f t="shared" si="1333"/>
        <v>particle</v>
      </c>
      <c r="C515" s="391">
        <f t="shared" si="1311"/>
        <v>6</v>
      </c>
      <c r="D515" s="391" t="str">
        <f t="shared" ref="D515:E515" si="1334">D512</f>
        <v>0,1-1</v>
      </c>
      <c r="E515" s="391">
        <f t="shared" si="1334"/>
        <v>1</v>
      </c>
      <c r="F515" s="385" t="s">
        <v>1097</v>
      </c>
      <c r="G515" s="422" t="str">
        <f>CONCATENATE("DE: ",A515," ",B515," ",D515," mm (emission to ",F515,")")</f>
        <v>DE: LDPE particle 0,1-1 mm (emission to marine water)</v>
      </c>
      <c r="H515" s="403">
        <v>0</v>
      </c>
      <c r="I515" s="388" t="s">
        <v>1153</v>
      </c>
      <c r="J515" s="634">
        <v>0.22800000000000001</v>
      </c>
      <c r="K515" s="395">
        <v>5.66</v>
      </c>
      <c r="L515" s="536"/>
      <c r="M515" s="509">
        <f t="shared" si="1171"/>
        <v>22.084805653710248</v>
      </c>
      <c r="N515" s="645">
        <f t="shared" ref="N515" si="1335">IFERROR(H515*M515+H516*M516+H517*M517+H518*M518+H519*M519,"N.A.")</f>
        <v>22.084805653710248</v>
      </c>
      <c r="O515" s="625"/>
      <c r="P515" s="628">
        <f t="shared" si="1190"/>
        <v>22.084805653710248</v>
      </c>
      <c r="Q515" s="628">
        <f t="shared" si="1282"/>
        <v>22.084805653710248</v>
      </c>
    </row>
    <row r="516" spans="1:17" ht="15.75" hidden="1" thickBot="1">
      <c r="A516" s="390" t="str">
        <f t="shared" ref="A516:B516" si="1336">A513</f>
        <v>LDPE</v>
      </c>
      <c r="B516" s="391" t="str">
        <f t="shared" si="1336"/>
        <v>particle</v>
      </c>
      <c r="C516" s="391">
        <f t="shared" si="1311"/>
        <v>6</v>
      </c>
      <c r="D516" s="391" t="str">
        <f t="shared" ref="D516:E516" si="1337">D513</f>
        <v>0,1-1</v>
      </c>
      <c r="E516" s="391">
        <f t="shared" si="1337"/>
        <v>1</v>
      </c>
      <c r="F516" s="391" t="str">
        <f t="shared" ref="F516:G516" si="1338">F515</f>
        <v>marine water</v>
      </c>
      <c r="G516" s="401" t="str">
        <f t="shared" si="1338"/>
        <v>DE: LDPE particle 0,1-1 mm (emission to marine water)</v>
      </c>
      <c r="H516" s="393">
        <v>1</v>
      </c>
      <c r="I516" s="394" t="s">
        <v>1097</v>
      </c>
      <c r="J516" s="635"/>
      <c r="K516" s="395">
        <v>5.66</v>
      </c>
      <c r="L516" s="537"/>
      <c r="M516" s="509">
        <f t="shared" si="1171"/>
        <v>22.084805653710248</v>
      </c>
      <c r="N516" s="646"/>
      <c r="O516" s="626"/>
      <c r="P516" s="629"/>
      <c r="Q516" s="629"/>
    </row>
    <row r="517" spans="1:17" ht="15.75" hidden="1" thickBot="1">
      <c r="A517" s="390" t="str">
        <f t="shared" ref="A517:B517" si="1339">A514</f>
        <v>LDPE</v>
      </c>
      <c r="B517" s="391" t="str">
        <f t="shared" si="1339"/>
        <v>particle</v>
      </c>
      <c r="C517" s="391">
        <f t="shared" si="1311"/>
        <v>6</v>
      </c>
      <c r="D517" s="391" t="str">
        <f t="shared" ref="D517:E517" si="1340">D514</f>
        <v>0,1-1</v>
      </c>
      <c r="E517" s="391">
        <f t="shared" si="1340"/>
        <v>1</v>
      </c>
      <c r="F517" s="391" t="str">
        <f t="shared" ref="F517:G517" si="1341">F516</f>
        <v>marine water</v>
      </c>
      <c r="G517" s="401" t="str">
        <f t="shared" si="1341"/>
        <v>DE: LDPE particle 0,1-1 mm (emission to marine water)</v>
      </c>
      <c r="H517" s="393">
        <v>0</v>
      </c>
      <c r="I517" s="394" t="s">
        <v>1162</v>
      </c>
      <c r="J517" s="635"/>
      <c r="K517" s="395">
        <v>0.4</v>
      </c>
      <c r="L517" s="537"/>
      <c r="M517" s="509">
        <f t="shared" si="1171"/>
        <v>312.5</v>
      </c>
      <c r="N517" s="646"/>
      <c r="O517" s="626"/>
      <c r="P517" s="629"/>
      <c r="Q517" s="629"/>
    </row>
    <row r="518" spans="1:17" ht="15.75" hidden="1" thickBot="1">
      <c r="A518" s="390" t="str">
        <f t="shared" ref="A518:B518" si="1342">A515</f>
        <v>LDPE</v>
      </c>
      <c r="B518" s="391" t="str">
        <f t="shared" si="1342"/>
        <v>particle</v>
      </c>
      <c r="C518" s="391">
        <f t="shared" si="1311"/>
        <v>6</v>
      </c>
      <c r="D518" s="391" t="str">
        <f t="shared" ref="D518:E518" si="1343">D515</f>
        <v>0,1-1</v>
      </c>
      <c r="E518" s="391">
        <f t="shared" si="1343"/>
        <v>1</v>
      </c>
      <c r="F518" s="391" t="str">
        <f t="shared" ref="F518:G518" si="1344">F517</f>
        <v>marine water</v>
      </c>
      <c r="G518" s="401" t="str">
        <f t="shared" si="1344"/>
        <v>DE: LDPE particle 0,1-1 mm (emission to marine water)</v>
      </c>
      <c r="H518" s="393">
        <v>0</v>
      </c>
      <c r="I518" s="394" t="s">
        <v>1146</v>
      </c>
      <c r="J518" s="635"/>
      <c r="K518" s="395">
        <v>0.4</v>
      </c>
      <c r="L518" s="537"/>
      <c r="M518" s="509">
        <f t="shared" ref="M518:M581" si="1345">IFERROR(IF(K518="--",0,IF(E518*1000/K518*(1-0.5)^(C518/2)&gt;1000,1000,E518*1000/K518*(1-0.5)^(C518/2))),1000)</f>
        <v>312.5</v>
      </c>
      <c r="N518" s="646"/>
      <c r="O518" s="626"/>
      <c r="P518" s="629"/>
      <c r="Q518" s="629"/>
    </row>
    <row r="519" spans="1:17" ht="15.75" hidden="1" thickBot="1">
      <c r="A519" s="390" t="str">
        <f t="shared" ref="A519:B519" si="1346">A516</f>
        <v>LDPE</v>
      </c>
      <c r="B519" s="391" t="str">
        <f t="shared" si="1346"/>
        <v>particle</v>
      </c>
      <c r="C519" s="391">
        <f t="shared" si="1311"/>
        <v>6</v>
      </c>
      <c r="D519" s="391" t="str">
        <f t="shared" ref="D519:E519" si="1347">D516</f>
        <v>0,1-1</v>
      </c>
      <c r="E519" s="391">
        <f t="shared" si="1347"/>
        <v>1</v>
      </c>
      <c r="F519" s="391" t="str">
        <f t="shared" ref="F519:G519" si="1348">F518</f>
        <v>marine water</v>
      </c>
      <c r="G519" s="401" t="str">
        <f t="shared" si="1348"/>
        <v>DE: LDPE particle 0,1-1 mm (emission to marine water)</v>
      </c>
      <c r="H519" s="393">
        <v>0</v>
      </c>
      <c r="I519" s="394" t="s">
        <v>1034</v>
      </c>
      <c r="J519" s="654"/>
      <c r="K519" s="398" t="s">
        <v>596</v>
      </c>
      <c r="L519" s="538"/>
      <c r="M519" s="509">
        <f t="shared" si="1345"/>
        <v>0</v>
      </c>
      <c r="N519" s="647"/>
      <c r="O519" s="627"/>
      <c r="P519" s="629"/>
      <c r="Q519" s="629"/>
    </row>
    <row r="520" spans="1:17" ht="15.75" hidden="1" thickBot="1">
      <c r="A520" s="390" t="str">
        <f t="shared" ref="A520:B520" si="1349">A517</f>
        <v>LDPE</v>
      </c>
      <c r="B520" s="391" t="str">
        <f t="shared" si="1349"/>
        <v>particle</v>
      </c>
      <c r="C520" s="391">
        <f t="shared" si="1311"/>
        <v>6</v>
      </c>
      <c r="D520" s="391" t="str">
        <f t="shared" ref="D520:E520" si="1350">D517</f>
        <v>0,1-1</v>
      </c>
      <c r="E520" s="391">
        <f t="shared" si="1350"/>
        <v>1</v>
      </c>
      <c r="F520" s="400" t="s">
        <v>1057</v>
      </c>
      <c r="G520" s="422" t="str">
        <f>CONCATENATE("DE: ",A520," ",B520," ",D520," mm (emission to ",F520,")")</f>
        <v>DE: LDPE particle 0,1-1 mm (emission to air)</v>
      </c>
      <c r="H520" s="403">
        <v>0.94799999999999995</v>
      </c>
      <c r="I520" s="388" t="s">
        <v>1153</v>
      </c>
      <c r="J520" s="634">
        <v>0.22800000000000001</v>
      </c>
      <c r="K520" s="395">
        <v>5.66</v>
      </c>
      <c r="L520" s="536"/>
      <c r="M520" s="509">
        <f t="shared" si="1345"/>
        <v>22.084805653710248</v>
      </c>
      <c r="N520" s="645">
        <f t="shared" ref="N520" si="1351">IFERROR(H520*M520+H521*M521+H522*M522+H523*M523+H524*M524,"N.A.")</f>
        <v>22.084805653710248</v>
      </c>
      <c r="O520" s="625"/>
      <c r="P520" s="628">
        <f t="shared" si="1190"/>
        <v>22.084805653710248</v>
      </c>
      <c r="Q520" s="628">
        <f t="shared" si="1282"/>
        <v>22.084805653710248</v>
      </c>
    </row>
    <row r="521" spans="1:17" ht="15.75" hidden="1" thickBot="1">
      <c r="A521" s="390" t="str">
        <f t="shared" ref="A521:B521" si="1352">A518</f>
        <v>LDPE</v>
      </c>
      <c r="B521" s="391" t="str">
        <f t="shared" si="1352"/>
        <v>particle</v>
      </c>
      <c r="C521" s="391">
        <f t="shared" si="1311"/>
        <v>6</v>
      </c>
      <c r="D521" s="391" t="str">
        <f t="shared" ref="D521:E521" si="1353">D518</f>
        <v>0,1-1</v>
      </c>
      <c r="E521" s="391">
        <f t="shared" si="1353"/>
        <v>1</v>
      </c>
      <c r="F521" s="391" t="str">
        <f t="shared" ref="F521:G521" si="1354">F520</f>
        <v>air</v>
      </c>
      <c r="G521" s="401" t="str">
        <f t="shared" si="1354"/>
        <v>DE: LDPE particle 0,1-1 mm (emission to air)</v>
      </c>
      <c r="H521" s="393">
        <v>5.1999999999999998E-2</v>
      </c>
      <c r="I521" s="394" t="s">
        <v>1097</v>
      </c>
      <c r="J521" s="635"/>
      <c r="K521" s="395">
        <v>5.66</v>
      </c>
      <c r="L521" s="537"/>
      <c r="M521" s="509">
        <f t="shared" si="1345"/>
        <v>22.084805653710248</v>
      </c>
      <c r="N521" s="646"/>
      <c r="O521" s="626"/>
      <c r="P521" s="629"/>
      <c r="Q521" s="629"/>
    </row>
    <row r="522" spans="1:17" ht="15.75" hidden="1" thickBot="1">
      <c r="A522" s="390" t="str">
        <f t="shared" ref="A522:B522" si="1355">A519</f>
        <v>LDPE</v>
      </c>
      <c r="B522" s="391" t="str">
        <f t="shared" si="1355"/>
        <v>particle</v>
      </c>
      <c r="C522" s="391">
        <f t="shared" si="1311"/>
        <v>6</v>
      </c>
      <c r="D522" s="391" t="str">
        <f t="shared" ref="D522:E522" si="1356">D519</f>
        <v>0,1-1</v>
      </c>
      <c r="E522" s="391">
        <f t="shared" si="1356"/>
        <v>1</v>
      </c>
      <c r="F522" s="391" t="str">
        <f t="shared" ref="F522:G522" si="1357">F521</f>
        <v>air</v>
      </c>
      <c r="G522" s="401" t="str">
        <f t="shared" si="1357"/>
        <v>DE: LDPE particle 0,1-1 mm (emission to air)</v>
      </c>
      <c r="H522" s="393">
        <v>0</v>
      </c>
      <c r="I522" s="394" t="s">
        <v>1162</v>
      </c>
      <c r="J522" s="635"/>
      <c r="K522" s="395">
        <v>0.4</v>
      </c>
      <c r="L522" s="537"/>
      <c r="M522" s="509">
        <f t="shared" si="1345"/>
        <v>312.5</v>
      </c>
      <c r="N522" s="646"/>
      <c r="O522" s="626"/>
      <c r="P522" s="629"/>
      <c r="Q522" s="629"/>
    </row>
    <row r="523" spans="1:17" ht="15.75" hidden="1" thickBot="1">
      <c r="A523" s="390" t="str">
        <f t="shared" ref="A523:B523" si="1358">A520</f>
        <v>LDPE</v>
      </c>
      <c r="B523" s="391" t="str">
        <f t="shared" si="1358"/>
        <v>particle</v>
      </c>
      <c r="C523" s="391">
        <f t="shared" si="1311"/>
        <v>6</v>
      </c>
      <c r="D523" s="391" t="str">
        <f t="shared" ref="D523:E523" si="1359">D520</f>
        <v>0,1-1</v>
      </c>
      <c r="E523" s="391">
        <f t="shared" si="1359"/>
        <v>1</v>
      </c>
      <c r="F523" s="391" t="str">
        <f t="shared" ref="F523:G523" si="1360">F522</f>
        <v>air</v>
      </c>
      <c r="G523" s="401" t="str">
        <f t="shared" si="1360"/>
        <v>DE: LDPE particle 0,1-1 mm (emission to air)</v>
      </c>
      <c r="H523" s="393">
        <v>0</v>
      </c>
      <c r="I523" s="394" t="s">
        <v>1146</v>
      </c>
      <c r="J523" s="635"/>
      <c r="K523" s="395">
        <v>0.4</v>
      </c>
      <c r="L523" s="537"/>
      <c r="M523" s="509">
        <f t="shared" si="1345"/>
        <v>312.5</v>
      </c>
      <c r="N523" s="646"/>
      <c r="O523" s="626"/>
      <c r="P523" s="629"/>
      <c r="Q523" s="629"/>
    </row>
    <row r="524" spans="1:17" ht="15.75" hidden="1" thickBot="1">
      <c r="A524" s="404" t="str">
        <f t="shared" ref="A524:B524" si="1361">A519</f>
        <v>LDPE</v>
      </c>
      <c r="B524" s="402" t="str">
        <f t="shared" si="1361"/>
        <v>particle</v>
      </c>
      <c r="C524" s="391">
        <f t="shared" si="1311"/>
        <v>6</v>
      </c>
      <c r="D524" s="402" t="str">
        <f t="shared" ref="D524:E524" si="1362">D519</f>
        <v>0,1-1</v>
      </c>
      <c r="E524" s="402">
        <f t="shared" si="1362"/>
        <v>1</v>
      </c>
      <c r="F524" s="391" t="str">
        <f t="shared" ref="F524:G524" si="1363">F523</f>
        <v>air</v>
      </c>
      <c r="G524" s="401" t="str">
        <f t="shared" si="1363"/>
        <v>DE: LDPE particle 0,1-1 mm (emission to air)</v>
      </c>
      <c r="H524" s="393">
        <v>0</v>
      </c>
      <c r="I524" s="394" t="s">
        <v>1034</v>
      </c>
      <c r="J524" s="636"/>
      <c r="K524" s="398" t="s">
        <v>596</v>
      </c>
      <c r="L524" s="538"/>
      <c r="M524" s="509">
        <f t="shared" si="1345"/>
        <v>0</v>
      </c>
      <c r="N524" s="647"/>
      <c r="O524" s="627"/>
      <c r="P524" s="629"/>
      <c r="Q524" s="629"/>
    </row>
    <row r="525" spans="1:17" ht="16.5" hidden="1" thickTop="1" thickBot="1">
      <c r="A525" s="405" t="s">
        <v>67</v>
      </c>
      <c r="B525" s="406" t="s">
        <v>1152</v>
      </c>
      <c r="C525" s="407">
        <v>6</v>
      </c>
      <c r="D525" s="423" t="s">
        <v>1026</v>
      </c>
      <c r="E525" s="408">
        <v>10</v>
      </c>
      <c r="F525" s="424" t="s">
        <v>1019</v>
      </c>
      <c r="G525" s="425" t="str">
        <f>CONCATENATE("DE: ",A525," ",B525," ",D525," mm (emission to ",F525,")")</f>
        <v>DE: LDPE particle 1-10 mm (emission to soil)</v>
      </c>
      <c r="H525" s="463">
        <v>0.97</v>
      </c>
      <c r="I525" s="427" t="s">
        <v>1153</v>
      </c>
      <c r="J525" s="632">
        <v>0.22800000000000001</v>
      </c>
      <c r="K525" s="428">
        <v>5.66</v>
      </c>
      <c r="L525" s="539"/>
      <c r="M525" s="509">
        <f t="shared" si="1345"/>
        <v>220.84805653710248</v>
      </c>
      <c r="N525" s="645">
        <f t="shared" ref="N525" si="1364">IFERROR(H525*M525+H526*M526+H527*M527+H528*M528+H529*M529,"N.A.")</f>
        <v>220.84805653710248</v>
      </c>
      <c r="O525" s="625"/>
      <c r="P525" s="628">
        <f>IFERROR(IF(H525*M525+H526*M526+H527*M527+H528*M528+H529*M529&gt;100,100,H525*M525+H526*M526+H527*M527+H528*M528+H529*M529),"N.A.")</f>
        <v>100</v>
      </c>
      <c r="Q525" s="628">
        <f t="shared" si="1282"/>
        <v>220.84805653710248</v>
      </c>
    </row>
    <row r="526" spans="1:17" ht="15.75" hidden="1" thickBot="1">
      <c r="A526" s="390" t="str">
        <f>A525</f>
        <v>LDPE</v>
      </c>
      <c r="B526" s="391" t="str">
        <f>B525</f>
        <v>particle</v>
      </c>
      <c r="C526" s="391">
        <f t="shared" ref="C526:C544" si="1365">C525</f>
        <v>6</v>
      </c>
      <c r="D526" s="391" t="str">
        <f t="shared" ref="D526:G526" si="1366">D525</f>
        <v>1-10</v>
      </c>
      <c r="E526" s="391">
        <f t="shared" si="1366"/>
        <v>10</v>
      </c>
      <c r="F526" s="391" t="str">
        <f t="shared" si="1366"/>
        <v>soil</v>
      </c>
      <c r="G526" s="392" t="str">
        <f t="shared" si="1366"/>
        <v>DE: LDPE particle 1-10 mm (emission to soil)</v>
      </c>
      <c r="H526" s="393">
        <v>0.03</v>
      </c>
      <c r="I526" s="394" t="s">
        <v>1097</v>
      </c>
      <c r="J526" s="632"/>
      <c r="K526" s="395">
        <v>5.66</v>
      </c>
      <c r="L526" s="537"/>
      <c r="M526" s="509">
        <f t="shared" si="1345"/>
        <v>220.84805653710248</v>
      </c>
      <c r="N526" s="646"/>
      <c r="O526" s="626"/>
      <c r="P526" s="629"/>
      <c r="Q526" s="629"/>
    </row>
    <row r="527" spans="1:17" ht="15.75" hidden="1" thickBot="1">
      <c r="A527" s="390" t="str">
        <f t="shared" ref="A527:A528" si="1367">A526</f>
        <v>LDPE</v>
      </c>
      <c r="B527" s="391" t="str">
        <f t="shared" ref="B527:B528" si="1368">B526</f>
        <v>particle</v>
      </c>
      <c r="C527" s="391">
        <f t="shared" si="1365"/>
        <v>6</v>
      </c>
      <c r="D527" s="391" t="str">
        <f t="shared" ref="D527:G527" si="1369">D526</f>
        <v>1-10</v>
      </c>
      <c r="E527" s="391">
        <f t="shared" si="1369"/>
        <v>10</v>
      </c>
      <c r="F527" s="391" t="str">
        <f t="shared" si="1369"/>
        <v>soil</v>
      </c>
      <c r="G527" s="392" t="str">
        <f t="shared" si="1369"/>
        <v>DE: LDPE particle 1-10 mm (emission to soil)</v>
      </c>
      <c r="H527" s="393">
        <v>0</v>
      </c>
      <c r="I527" s="394" t="s">
        <v>1162</v>
      </c>
      <c r="J527" s="632"/>
      <c r="K527" s="395">
        <v>0.4</v>
      </c>
      <c r="L527" s="537"/>
      <c r="M527" s="509">
        <f t="shared" si="1345"/>
        <v>1000</v>
      </c>
      <c r="N527" s="646"/>
      <c r="O527" s="626"/>
      <c r="P527" s="629"/>
      <c r="Q527" s="629"/>
    </row>
    <row r="528" spans="1:17" ht="15.75" hidden="1" thickBot="1">
      <c r="A528" s="390" t="str">
        <f t="shared" si="1367"/>
        <v>LDPE</v>
      </c>
      <c r="B528" s="391" t="str">
        <f t="shared" si="1368"/>
        <v>particle</v>
      </c>
      <c r="C528" s="391">
        <f t="shared" si="1365"/>
        <v>6</v>
      </c>
      <c r="D528" s="391" t="str">
        <f t="shared" ref="D528:G528" si="1370">D527</f>
        <v>1-10</v>
      </c>
      <c r="E528" s="391">
        <f t="shared" si="1370"/>
        <v>10</v>
      </c>
      <c r="F528" s="391" t="str">
        <f t="shared" si="1370"/>
        <v>soil</v>
      </c>
      <c r="G528" s="392" t="str">
        <f t="shared" si="1370"/>
        <v>DE: LDPE particle 1-10 mm (emission to soil)</v>
      </c>
      <c r="H528" s="393">
        <v>0</v>
      </c>
      <c r="I528" s="394" t="s">
        <v>1146</v>
      </c>
      <c r="J528" s="632"/>
      <c r="K528" s="395">
        <v>0.4</v>
      </c>
      <c r="L528" s="537"/>
      <c r="M528" s="509">
        <f t="shared" si="1345"/>
        <v>1000</v>
      </c>
      <c r="N528" s="646"/>
      <c r="O528" s="626"/>
      <c r="P528" s="629"/>
      <c r="Q528" s="629"/>
    </row>
    <row r="529" spans="1:17" ht="15.75" hidden="1" thickBot="1">
      <c r="A529" s="390" t="str">
        <f>A526</f>
        <v>LDPE</v>
      </c>
      <c r="B529" s="391" t="str">
        <f>B526</f>
        <v>particle</v>
      </c>
      <c r="C529" s="391">
        <f t="shared" si="1365"/>
        <v>6</v>
      </c>
      <c r="D529" s="391" t="str">
        <f>D526</f>
        <v>1-10</v>
      </c>
      <c r="E529" s="391">
        <f>E526</f>
        <v>10</v>
      </c>
      <c r="F529" s="391" t="str">
        <f>F526</f>
        <v>soil</v>
      </c>
      <c r="G529" s="396" t="str">
        <f t="shared" ref="G529" si="1371">G528</f>
        <v>DE: LDPE particle 1-10 mm (emission to soil)</v>
      </c>
      <c r="H529" s="393">
        <v>0</v>
      </c>
      <c r="I529" s="397" t="s">
        <v>1034</v>
      </c>
      <c r="J529" s="633"/>
      <c r="K529" s="398" t="s">
        <v>596</v>
      </c>
      <c r="L529" s="538"/>
      <c r="M529" s="509">
        <f t="shared" si="1345"/>
        <v>0</v>
      </c>
      <c r="N529" s="647"/>
      <c r="O529" s="627"/>
      <c r="P529" s="629"/>
      <c r="Q529" s="629"/>
    </row>
    <row r="530" spans="1:17" ht="15.75" hidden="1" thickBot="1">
      <c r="A530" s="390" t="str">
        <f t="shared" ref="A530:B530" si="1372">A527</f>
        <v>LDPE</v>
      </c>
      <c r="B530" s="391" t="str">
        <f t="shared" si="1372"/>
        <v>particle</v>
      </c>
      <c r="C530" s="391">
        <f t="shared" si="1365"/>
        <v>6</v>
      </c>
      <c r="D530" s="399" t="str">
        <f t="shared" ref="D530:E530" si="1373">D527</f>
        <v>1-10</v>
      </c>
      <c r="E530" s="391">
        <f t="shared" si="1373"/>
        <v>10</v>
      </c>
      <c r="F530" s="400" t="s">
        <v>1147</v>
      </c>
      <c r="G530" s="386" t="str">
        <f>CONCATENATE("DE: ",A530," ",B530," ",D530," mm (emission to ",F530,")")</f>
        <v>DE: LDPE particle 1-10 mm (emission to fresh water)</v>
      </c>
      <c r="H530" s="387">
        <v>0</v>
      </c>
      <c r="I530" s="388" t="s">
        <v>1153</v>
      </c>
      <c r="J530" s="634">
        <v>0.22800000000000001</v>
      </c>
      <c r="K530" s="395">
        <v>5.66</v>
      </c>
      <c r="L530" s="536"/>
      <c r="M530" s="509">
        <f t="shared" si="1345"/>
        <v>220.84805653710248</v>
      </c>
      <c r="N530" s="645">
        <f t="shared" ref="N530" si="1374">IFERROR(H530*M530+H531*M531+H532*M532+H533*M533+H534*M534,"N.A.")</f>
        <v>220.84805653710248</v>
      </c>
      <c r="O530" s="625"/>
      <c r="P530" s="628">
        <f>IFERROR(IF(H530*M530+H531*M531+H532*M532+H533*M533+H534*M534&gt;100,100,H530*M530+H531*M531+H532*M532+H533*M533+H534*M534),"N.A.")</f>
        <v>100</v>
      </c>
      <c r="Q530" s="628">
        <f t="shared" si="1282"/>
        <v>220.84805653710248</v>
      </c>
    </row>
    <row r="531" spans="1:17" ht="15.75" hidden="1" thickBot="1">
      <c r="A531" s="390" t="str">
        <f t="shared" ref="A531:B531" si="1375">A528</f>
        <v>LDPE</v>
      </c>
      <c r="B531" s="391" t="str">
        <f t="shared" si="1375"/>
        <v>particle</v>
      </c>
      <c r="C531" s="391">
        <f t="shared" si="1365"/>
        <v>6</v>
      </c>
      <c r="D531" s="391" t="str">
        <f t="shared" ref="D531:E531" si="1376">D528</f>
        <v>1-10</v>
      </c>
      <c r="E531" s="391">
        <f t="shared" si="1376"/>
        <v>10</v>
      </c>
      <c r="F531" s="391" t="str">
        <f t="shared" ref="F531:G531" si="1377">F530</f>
        <v>fresh water</v>
      </c>
      <c r="G531" s="401" t="str">
        <f t="shared" si="1377"/>
        <v>DE: LDPE particle 1-10 mm (emission to fresh water)</v>
      </c>
      <c r="H531" s="393">
        <v>1</v>
      </c>
      <c r="I531" s="394" t="s">
        <v>1097</v>
      </c>
      <c r="J531" s="635"/>
      <c r="K531" s="395">
        <v>5.66</v>
      </c>
      <c r="L531" s="537"/>
      <c r="M531" s="509">
        <f t="shared" si="1345"/>
        <v>220.84805653710248</v>
      </c>
      <c r="N531" s="646"/>
      <c r="O531" s="626"/>
      <c r="P531" s="629"/>
      <c r="Q531" s="629"/>
    </row>
    <row r="532" spans="1:17" ht="15.75" hidden="1" thickBot="1">
      <c r="A532" s="390" t="str">
        <f t="shared" ref="A532:B532" si="1378">A529</f>
        <v>LDPE</v>
      </c>
      <c r="B532" s="391" t="str">
        <f t="shared" si="1378"/>
        <v>particle</v>
      </c>
      <c r="C532" s="391">
        <f t="shared" si="1365"/>
        <v>6</v>
      </c>
      <c r="D532" s="391" t="str">
        <f t="shared" ref="D532:E532" si="1379">D529</f>
        <v>1-10</v>
      </c>
      <c r="E532" s="391">
        <f t="shared" si="1379"/>
        <v>10</v>
      </c>
      <c r="F532" s="391" t="str">
        <f t="shared" ref="F532:G532" si="1380">F531</f>
        <v>fresh water</v>
      </c>
      <c r="G532" s="401" t="str">
        <f t="shared" si="1380"/>
        <v>DE: LDPE particle 1-10 mm (emission to fresh water)</v>
      </c>
      <c r="H532" s="393">
        <v>0</v>
      </c>
      <c r="I532" s="394" t="s">
        <v>1162</v>
      </c>
      <c r="J532" s="635"/>
      <c r="K532" s="395">
        <v>0.4</v>
      </c>
      <c r="L532" s="537"/>
      <c r="M532" s="509">
        <f t="shared" si="1345"/>
        <v>1000</v>
      </c>
      <c r="N532" s="646"/>
      <c r="O532" s="626"/>
      <c r="P532" s="629"/>
      <c r="Q532" s="629"/>
    </row>
    <row r="533" spans="1:17" ht="15.75" hidden="1" thickBot="1">
      <c r="A533" s="390" t="str">
        <f t="shared" ref="A533:B533" si="1381">A530</f>
        <v>LDPE</v>
      </c>
      <c r="B533" s="391" t="str">
        <f t="shared" si="1381"/>
        <v>particle</v>
      </c>
      <c r="C533" s="391">
        <f t="shared" si="1365"/>
        <v>6</v>
      </c>
      <c r="D533" s="391" t="str">
        <f t="shared" ref="D533:E533" si="1382">D530</f>
        <v>1-10</v>
      </c>
      <c r="E533" s="391">
        <f t="shared" si="1382"/>
        <v>10</v>
      </c>
      <c r="F533" s="391" t="str">
        <f t="shared" ref="F533:G533" si="1383">F532</f>
        <v>fresh water</v>
      </c>
      <c r="G533" s="401" t="str">
        <f t="shared" si="1383"/>
        <v>DE: LDPE particle 1-10 mm (emission to fresh water)</v>
      </c>
      <c r="H533" s="393">
        <v>0</v>
      </c>
      <c r="I533" s="394" t="s">
        <v>1146</v>
      </c>
      <c r="J533" s="635"/>
      <c r="K533" s="395">
        <v>0.4</v>
      </c>
      <c r="L533" s="537"/>
      <c r="M533" s="509">
        <f t="shared" si="1345"/>
        <v>1000</v>
      </c>
      <c r="N533" s="646"/>
      <c r="O533" s="626"/>
      <c r="P533" s="629"/>
      <c r="Q533" s="629"/>
    </row>
    <row r="534" spans="1:17" ht="15.75" hidden="1" thickBot="1">
      <c r="A534" s="390" t="str">
        <f t="shared" ref="A534:B534" si="1384">A531</f>
        <v>LDPE</v>
      </c>
      <c r="B534" s="391" t="str">
        <f t="shared" si="1384"/>
        <v>particle</v>
      </c>
      <c r="C534" s="391">
        <f t="shared" si="1365"/>
        <v>6</v>
      </c>
      <c r="D534" s="391" t="str">
        <f t="shared" ref="D534:E534" si="1385">D531</f>
        <v>1-10</v>
      </c>
      <c r="E534" s="391">
        <f t="shared" si="1385"/>
        <v>10</v>
      </c>
      <c r="F534" s="402" t="str">
        <f>F531</f>
        <v>fresh water</v>
      </c>
      <c r="G534" s="401" t="str">
        <f t="shared" ref="G534" si="1386">G533</f>
        <v>DE: LDPE particle 1-10 mm (emission to fresh water)</v>
      </c>
      <c r="H534" s="393">
        <v>0</v>
      </c>
      <c r="I534" s="394" t="s">
        <v>1034</v>
      </c>
      <c r="J534" s="654"/>
      <c r="K534" s="398" t="s">
        <v>596</v>
      </c>
      <c r="L534" s="538"/>
      <c r="M534" s="509">
        <f t="shared" si="1345"/>
        <v>0</v>
      </c>
      <c r="N534" s="647"/>
      <c r="O534" s="627"/>
      <c r="P534" s="629"/>
      <c r="Q534" s="629"/>
    </row>
    <row r="535" spans="1:17" ht="15.75" hidden="1" thickBot="1">
      <c r="A535" s="390" t="str">
        <f t="shared" ref="A535:B535" si="1387">A532</f>
        <v>LDPE</v>
      </c>
      <c r="B535" s="391" t="str">
        <f t="shared" si="1387"/>
        <v>particle</v>
      </c>
      <c r="C535" s="391">
        <f t="shared" si="1365"/>
        <v>6</v>
      </c>
      <c r="D535" s="391" t="str">
        <f t="shared" ref="D535:E535" si="1388">D532</f>
        <v>1-10</v>
      </c>
      <c r="E535" s="391">
        <f t="shared" si="1388"/>
        <v>10</v>
      </c>
      <c r="F535" s="385" t="s">
        <v>1097</v>
      </c>
      <c r="G535" s="422" t="str">
        <f>CONCATENATE("DE: ",A535," ",B535," ",D535," mm (emission to ",F535,")")</f>
        <v>DE: LDPE particle 1-10 mm (emission to marine water)</v>
      </c>
      <c r="H535" s="403">
        <v>0</v>
      </c>
      <c r="I535" s="388" t="s">
        <v>1153</v>
      </c>
      <c r="J535" s="634">
        <v>0.22800000000000001</v>
      </c>
      <c r="K535" s="395">
        <v>5.66</v>
      </c>
      <c r="L535" s="536"/>
      <c r="M535" s="509">
        <f t="shared" si="1345"/>
        <v>220.84805653710248</v>
      </c>
      <c r="N535" s="645">
        <f t="shared" ref="N535" si="1389">IFERROR(H535*M535+H536*M536+H537*M537+H538*M538+H539*M539,"N.A.")</f>
        <v>220.84805653710248</v>
      </c>
      <c r="O535" s="625"/>
      <c r="P535" s="628">
        <f>IFERROR(IF(H535*M535+H536*M536+H537*M537+H538*M538+H539*M539&gt;100,100,H535*M535+H536*M536+H537*M537+H538*M538+H539*M539),"N.A.")</f>
        <v>100</v>
      </c>
      <c r="Q535" s="628">
        <f t="shared" si="1282"/>
        <v>220.84805653710248</v>
      </c>
    </row>
    <row r="536" spans="1:17" ht="15.75" hidden="1" thickBot="1">
      <c r="A536" s="390" t="str">
        <f t="shared" ref="A536:B536" si="1390">A533</f>
        <v>LDPE</v>
      </c>
      <c r="B536" s="391" t="str">
        <f t="shared" si="1390"/>
        <v>particle</v>
      </c>
      <c r="C536" s="391">
        <f t="shared" si="1365"/>
        <v>6</v>
      </c>
      <c r="D536" s="391" t="str">
        <f t="shared" ref="D536:E536" si="1391">D533</f>
        <v>1-10</v>
      </c>
      <c r="E536" s="391">
        <f t="shared" si="1391"/>
        <v>10</v>
      </c>
      <c r="F536" s="391" t="str">
        <f t="shared" ref="F536:G536" si="1392">F535</f>
        <v>marine water</v>
      </c>
      <c r="G536" s="401" t="str">
        <f t="shared" si="1392"/>
        <v>DE: LDPE particle 1-10 mm (emission to marine water)</v>
      </c>
      <c r="H536" s="393">
        <v>1</v>
      </c>
      <c r="I536" s="394" t="s">
        <v>1097</v>
      </c>
      <c r="J536" s="635"/>
      <c r="K536" s="395">
        <v>5.66</v>
      </c>
      <c r="L536" s="537"/>
      <c r="M536" s="509">
        <f t="shared" si="1345"/>
        <v>220.84805653710248</v>
      </c>
      <c r="N536" s="646"/>
      <c r="O536" s="626"/>
      <c r="P536" s="629"/>
      <c r="Q536" s="629"/>
    </row>
    <row r="537" spans="1:17" ht="15.75" hidden="1" thickBot="1">
      <c r="A537" s="390" t="str">
        <f t="shared" ref="A537:B537" si="1393">A534</f>
        <v>LDPE</v>
      </c>
      <c r="B537" s="391" t="str">
        <f t="shared" si="1393"/>
        <v>particle</v>
      </c>
      <c r="C537" s="391">
        <f t="shared" si="1365"/>
        <v>6</v>
      </c>
      <c r="D537" s="391" t="str">
        <f t="shared" ref="D537:E537" si="1394">D534</f>
        <v>1-10</v>
      </c>
      <c r="E537" s="391">
        <f t="shared" si="1394"/>
        <v>10</v>
      </c>
      <c r="F537" s="391" t="str">
        <f t="shared" ref="F537:G537" si="1395">F536</f>
        <v>marine water</v>
      </c>
      <c r="G537" s="401" t="str">
        <f t="shared" si="1395"/>
        <v>DE: LDPE particle 1-10 mm (emission to marine water)</v>
      </c>
      <c r="H537" s="393">
        <v>0</v>
      </c>
      <c r="I537" s="394" t="s">
        <v>1162</v>
      </c>
      <c r="J537" s="635"/>
      <c r="K537" s="395">
        <v>0.4</v>
      </c>
      <c r="L537" s="537"/>
      <c r="M537" s="509">
        <f t="shared" si="1345"/>
        <v>1000</v>
      </c>
      <c r="N537" s="646"/>
      <c r="O537" s="626"/>
      <c r="P537" s="629"/>
      <c r="Q537" s="629"/>
    </row>
    <row r="538" spans="1:17" ht="15.75" hidden="1" thickBot="1">
      <c r="A538" s="390" t="str">
        <f t="shared" ref="A538:B538" si="1396">A535</f>
        <v>LDPE</v>
      </c>
      <c r="B538" s="391" t="str">
        <f t="shared" si="1396"/>
        <v>particle</v>
      </c>
      <c r="C538" s="391">
        <f t="shared" si="1365"/>
        <v>6</v>
      </c>
      <c r="D538" s="391" t="str">
        <f t="shared" ref="D538:E538" si="1397">D535</f>
        <v>1-10</v>
      </c>
      <c r="E538" s="391">
        <f t="shared" si="1397"/>
        <v>10</v>
      </c>
      <c r="F538" s="391" t="str">
        <f t="shared" ref="F538:G538" si="1398">F537</f>
        <v>marine water</v>
      </c>
      <c r="G538" s="401" t="str">
        <f t="shared" si="1398"/>
        <v>DE: LDPE particle 1-10 mm (emission to marine water)</v>
      </c>
      <c r="H538" s="393">
        <v>0</v>
      </c>
      <c r="I538" s="394" t="s">
        <v>1146</v>
      </c>
      <c r="J538" s="635"/>
      <c r="K538" s="395">
        <v>0.4</v>
      </c>
      <c r="L538" s="537"/>
      <c r="M538" s="509">
        <f t="shared" si="1345"/>
        <v>1000</v>
      </c>
      <c r="N538" s="646"/>
      <c r="O538" s="626"/>
      <c r="P538" s="629"/>
      <c r="Q538" s="629"/>
    </row>
    <row r="539" spans="1:17" ht="15.75" hidden="1" thickBot="1">
      <c r="A539" s="390" t="str">
        <f t="shared" ref="A539:B539" si="1399">A536</f>
        <v>LDPE</v>
      </c>
      <c r="B539" s="391" t="str">
        <f t="shared" si="1399"/>
        <v>particle</v>
      </c>
      <c r="C539" s="391">
        <f t="shared" si="1365"/>
        <v>6</v>
      </c>
      <c r="D539" s="391" t="str">
        <f t="shared" ref="D539:E539" si="1400">D536</f>
        <v>1-10</v>
      </c>
      <c r="E539" s="391">
        <f t="shared" si="1400"/>
        <v>10</v>
      </c>
      <c r="F539" s="391" t="str">
        <f t="shared" ref="F539:G539" si="1401">F538</f>
        <v>marine water</v>
      </c>
      <c r="G539" s="401" t="str">
        <f t="shared" si="1401"/>
        <v>DE: LDPE particle 1-10 mm (emission to marine water)</v>
      </c>
      <c r="H539" s="393">
        <v>0</v>
      </c>
      <c r="I539" s="394" t="s">
        <v>1034</v>
      </c>
      <c r="J539" s="654"/>
      <c r="K539" s="398" t="s">
        <v>596</v>
      </c>
      <c r="L539" s="538"/>
      <c r="M539" s="509">
        <f t="shared" si="1345"/>
        <v>0</v>
      </c>
      <c r="N539" s="647"/>
      <c r="O539" s="627"/>
      <c r="P539" s="629"/>
      <c r="Q539" s="629"/>
    </row>
    <row r="540" spans="1:17" ht="15.75" hidden="1" thickBot="1">
      <c r="A540" s="390" t="str">
        <f t="shared" ref="A540:B540" si="1402">A537</f>
        <v>LDPE</v>
      </c>
      <c r="B540" s="391" t="str">
        <f t="shared" si="1402"/>
        <v>particle</v>
      </c>
      <c r="C540" s="391">
        <f t="shared" si="1365"/>
        <v>6</v>
      </c>
      <c r="D540" s="391" t="str">
        <f t="shared" ref="D540:E540" si="1403">D537</f>
        <v>1-10</v>
      </c>
      <c r="E540" s="391">
        <f t="shared" si="1403"/>
        <v>10</v>
      </c>
      <c r="F540" s="400" t="s">
        <v>1057</v>
      </c>
      <c r="G540" s="422" t="str">
        <f>CONCATENATE("DE: ",A540," ",B540," ",D540," mm (emission to ",F540,")")</f>
        <v>DE: LDPE particle 1-10 mm (emission to air)</v>
      </c>
      <c r="H540" s="403">
        <v>0.94799999999999995</v>
      </c>
      <c r="I540" s="388" t="s">
        <v>1153</v>
      </c>
      <c r="J540" s="634">
        <v>0.22800000000000001</v>
      </c>
      <c r="K540" s="395">
        <v>5.66</v>
      </c>
      <c r="L540" s="536"/>
      <c r="M540" s="509">
        <f t="shared" si="1345"/>
        <v>220.84805653710248</v>
      </c>
      <c r="N540" s="645">
        <f t="shared" ref="N540" si="1404">IFERROR(H540*M540+H541*M541+H542*M542+H543*M543+H544*M544,"N.A.")</f>
        <v>220.84805653710248</v>
      </c>
      <c r="O540" s="625"/>
      <c r="P540" s="628">
        <f>IFERROR(IF(H540*M540+H541*M541+H542*M542+H543*M543+H544*M544&gt;100,100,H540*M540+H541*M541+H542*M542+H543*M543+H544*M544),"N.A.")</f>
        <v>100</v>
      </c>
      <c r="Q540" s="628">
        <f t="shared" si="1282"/>
        <v>220.84805653710248</v>
      </c>
    </row>
    <row r="541" spans="1:17" ht="15.75" hidden="1" thickBot="1">
      <c r="A541" s="390" t="str">
        <f t="shared" ref="A541:B541" si="1405">A538</f>
        <v>LDPE</v>
      </c>
      <c r="B541" s="391" t="str">
        <f t="shared" si="1405"/>
        <v>particle</v>
      </c>
      <c r="C541" s="391">
        <f t="shared" si="1365"/>
        <v>6</v>
      </c>
      <c r="D541" s="391" t="str">
        <f t="shared" ref="D541:E541" si="1406">D538</f>
        <v>1-10</v>
      </c>
      <c r="E541" s="391">
        <f t="shared" si="1406"/>
        <v>10</v>
      </c>
      <c r="F541" s="391" t="str">
        <f t="shared" ref="F541:G541" si="1407">F540</f>
        <v>air</v>
      </c>
      <c r="G541" s="401" t="str">
        <f t="shared" si="1407"/>
        <v>DE: LDPE particle 1-10 mm (emission to air)</v>
      </c>
      <c r="H541" s="393">
        <v>5.1999999999999998E-2</v>
      </c>
      <c r="I541" s="394" t="s">
        <v>1097</v>
      </c>
      <c r="J541" s="635"/>
      <c r="K541" s="395">
        <v>5.66</v>
      </c>
      <c r="L541" s="537"/>
      <c r="M541" s="509">
        <f t="shared" si="1345"/>
        <v>220.84805653710248</v>
      </c>
      <c r="N541" s="646"/>
      <c r="O541" s="626"/>
      <c r="P541" s="629"/>
      <c r="Q541" s="629"/>
    </row>
    <row r="542" spans="1:17" ht="15.75" hidden="1" thickBot="1">
      <c r="A542" s="390" t="str">
        <f t="shared" ref="A542:B542" si="1408">A539</f>
        <v>LDPE</v>
      </c>
      <c r="B542" s="391" t="str">
        <f t="shared" si="1408"/>
        <v>particle</v>
      </c>
      <c r="C542" s="391">
        <f t="shared" si="1365"/>
        <v>6</v>
      </c>
      <c r="D542" s="391" t="str">
        <f t="shared" ref="D542:E542" si="1409">D539</f>
        <v>1-10</v>
      </c>
      <c r="E542" s="391">
        <f t="shared" si="1409"/>
        <v>10</v>
      </c>
      <c r="F542" s="391" t="str">
        <f t="shared" ref="F542:G542" si="1410">F541</f>
        <v>air</v>
      </c>
      <c r="G542" s="401" t="str">
        <f t="shared" si="1410"/>
        <v>DE: LDPE particle 1-10 mm (emission to air)</v>
      </c>
      <c r="H542" s="393">
        <v>0</v>
      </c>
      <c r="I542" s="394" t="s">
        <v>1162</v>
      </c>
      <c r="J542" s="635"/>
      <c r="K542" s="395">
        <v>0.4</v>
      </c>
      <c r="L542" s="537"/>
      <c r="M542" s="509">
        <f t="shared" si="1345"/>
        <v>1000</v>
      </c>
      <c r="N542" s="646"/>
      <c r="O542" s="626"/>
      <c r="P542" s="629"/>
      <c r="Q542" s="629"/>
    </row>
    <row r="543" spans="1:17" ht="15.75" hidden="1" thickBot="1">
      <c r="A543" s="390" t="str">
        <f t="shared" ref="A543:B543" si="1411">A540</f>
        <v>LDPE</v>
      </c>
      <c r="B543" s="391" t="str">
        <f t="shared" si="1411"/>
        <v>particle</v>
      </c>
      <c r="C543" s="391">
        <f t="shared" si="1365"/>
        <v>6</v>
      </c>
      <c r="D543" s="391" t="str">
        <f t="shared" ref="D543:E543" si="1412">D540</f>
        <v>1-10</v>
      </c>
      <c r="E543" s="391">
        <f t="shared" si="1412"/>
        <v>10</v>
      </c>
      <c r="F543" s="391" t="str">
        <f t="shared" ref="F543:G543" si="1413">F542</f>
        <v>air</v>
      </c>
      <c r="G543" s="401" t="str">
        <f t="shared" si="1413"/>
        <v>DE: LDPE particle 1-10 mm (emission to air)</v>
      </c>
      <c r="H543" s="393">
        <v>0</v>
      </c>
      <c r="I543" s="394" t="s">
        <v>1146</v>
      </c>
      <c r="J543" s="635"/>
      <c r="K543" s="395">
        <v>0.4</v>
      </c>
      <c r="L543" s="537"/>
      <c r="M543" s="509">
        <f t="shared" si="1345"/>
        <v>1000</v>
      </c>
      <c r="N543" s="646"/>
      <c r="O543" s="626"/>
      <c r="P543" s="629"/>
      <c r="Q543" s="629"/>
    </row>
    <row r="544" spans="1:17" ht="15.75" hidden="1" thickBot="1">
      <c r="A544" s="404" t="str">
        <f t="shared" ref="A544:B544" si="1414">A539</f>
        <v>LDPE</v>
      </c>
      <c r="B544" s="402" t="str">
        <f t="shared" si="1414"/>
        <v>particle</v>
      </c>
      <c r="C544" s="391">
        <f t="shared" si="1365"/>
        <v>6</v>
      </c>
      <c r="D544" s="402" t="str">
        <f t="shared" ref="D544:E544" si="1415">D539</f>
        <v>1-10</v>
      </c>
      <c r="E544" s="402">
        <f t="shared" si="1415"/>
        <v>10</v>
      </c>
      <c r="F544" s="391" t="str">
        <f t="shared" ref="F544:G544" si="1416">F543</f>
        <v>air</v>
      </c>
      <c r="G544" s="401" t="str">
        <f t="shared" si="1416"/>
        <v>DE: LDPE particle 1-10 mm (emission to air)</v>
      </c>
      <c r="H544" s="393">
        <v>0</v>
      </c>
      <c r="I544" s="394" t="s">
        <v>1034</v>
      </c>
      <c r="J544" s="636"/>
      <c r="K544" s="398" t="s">
        <v>596</v>
      </c>
      <c r="L544" s="538"/>
      <c r="M544" s="509">
        <f t="shared" si="1345"/>
        <v>0</v>
      </c>
      <c r="N544" s="647"/>
      <c r="O544" s="627"/>
      <c r="P544" s="629"/>
      <c r="Q544" s="629"/>
    </row>
    <row r="545" spans="1:17" ht="16.5" hidden="1" thickTop="1" thickBot="1">
      <c r="A545" s="442" t="s">
        <v>165</v>
      </c>
      <c r="B545" s="443" t="s">
        <v>996</v>
      </c>
      <c r="C545" s="444">
        <f>IF(OR(B545="Folie", B545="Strips", B545="Film",B545="Flakes",B545="Coupon"), 2,IF(OR(B545="Fibers",B545="Pellets"),4,IF(OR(B545="Particles",B545="Shreds",B545="Powder",B545="Fragments",B545="Granules"),6,"")))</f>
        <v>2</v>
      </c>
      <c r="D545" s="444" t="s">
        <v>1018</v>
      </c>
      <c r="E545" s="445">
        <v>0.1</v>
      </c>
      <c r="F545" s="446" t="s">
        <v>1019</v>
      </c>
      <c r="G545" s="447" t="str">
        <f>CONCATENATE("DE: ",A545," ",B545," ",D545," mm (emission to ",F545,")")</f>
        <v>DE: PP film 0,01-0,1 mm (emission to soil)</v>
      </c>
      <c r="H545" s="464">
        <v>0.97</v>
      </c>
      <c r="I545" s="448" t="s">
        <v>1019</v>
      </c>
      <c r="J545" s="632">
        <v>0.22800000000000001</v>
      </c>
      <c r="K545" s="449">
        <v>0.29775984121096721</v>
      </c>
      <c r="L545" s="541"/>
      <c r="M545" s="509">
        <f t="shared" si="1345"/>
        <v>167.92056241249225</v>
      </c>
      <c r="N545" s="645">
        <f t="shared" ref="N545" si="1417">IFERROR(H545*M545+H546*M546+H547*M547+H548*M548+H549*M549,"N.A.")</f>
        <v>163.12333015550209</v>
      </c>
      <c r="O545" s="625"/>
      <c r="P545" s="628">
        <f>IFERROR(IF(H545*M545+H546*M546+H547*M547+H548*M548+H549*M549&gt;100,100,H545*M545+H546*M546+H547*M547+H548*M548+H549*M549),"N.A.")</f>
        <v>100</v>
      </c>
      <c r="Q545" s="628">
        <f t="shared" si="1282"/>
        <v>163.12333015550209</v>
      </c>
    </row>
    <row r="546" spans="1:17" ht="15.75" hidden="1" thickBot="1">
      <c r="A546" s="390" t="str">
        <f>A545</f>
        <v>PP</v>
      </c>
      <c r="B546" s="391" t="str">
        <f>B545</f>
        <v>film</v>
      </c>
      <c r="C546" s="391">
        <f t="shared" ref="C546:G564" si="1418">C545</f>
        <v>2</v>
      </c>
      <c r="D546" s="391" t="str">
        <f t="shared" si="1418"/>
        <v>0,01-0,1</v>
      </c>
      <c r="E546" s="391">
        <f t="shared" si="1418"/>
        <v>0.1</v>
      </c>
      <c r="F546" s="391" t="str">
        <f t="shared" si="1418"/>
        <v>soil</v>
      </c>
      <c r="G546" s="392" t="str">
        <f t="shared" si="1418"/>
        <v>DE: PP film 0,01-0,1 mm (emission to soil)</v>
      </c>
      <c r="H546" s="465">
        <v>0.03</v>
      </c>
      <c r="I546" s="394" t="s">
        <v>1097</v>
      </c>
      <c r="J546" s="632"/>
      <c r="K546" s="395">
        <v>6.24</v>
      </c>
      <c r="L546" s="537"/>
      <c r="M546" s="509">
        <f t="shared" si="1345"/>
        <v>8.0128205128205128</v>
      </c>
      <c r="N546" s="646"/>
      <c r="O546" s="626"/>
      <c r="P546" s="629"/>
      <c r="Q546" s="629"/>
    </row>
    <row r="547" spans="1:17" ht="15.75" hidden="1" thickBot="1">
      <c r="A547" s="390" t="str">
        <f t="shared" ref="A547:A548" si="1419">A546</f>
        <v>PP</v>
      </c>
      <c r="B547" s="391" t="str">
        <f t="shared" ref="B547:B548" si="1420">B546</f>
        <v>film</v>
      </c>
      <c r="C547" s="391">
        <f t="shared" si="1418"/>
        <v>2</v>
      </c>
      <c r="D547" s="391" t="str">
        <f t="shared" si="1418"/>
        <v>0,01-0,1</v>
      </c>
      <c r="E547" s="391">
        <f t="shared" si="1418"/>
        <v>0.1</v>
      </c>
      <c r="F547" s="391" t="str">
        <f t="shared" si="1418"/>
        <v>soil</v>
      </c>
      <c r="G547" s="392" t="str">
        <f t="shared" si="1418"/>
        <v>DE: PP film 0,01-0,1 mm (emission to soil)</v>
      </c>
      <c r="H547" s="465">
        <v>0</v>
      </c>
      <c r="I547" s="394" t="s">
        <v>1162</v>
      </c>
      <c r="J547" s="632"/>
      <c r="K547" s="395">
        <v>0.29775984121096721</v>
      </c>
      <c r="L547" s="537"/>
      <c r="M547" s="509">
        <f t="shared" si="1345"/>
        <v>167.92056241249225</v>
      </c>
      <c r="N547" s="646"/>
      <c r="O547" s="626"/>
      <c r="P547" s="629"/>
      <c r="Q547" s="629"/>
    </row>
    <row r="548" spans="1:17" ht="15.75" hidden="1" thickBot="1">
      <c r="A548" s="390" t="str">
        <f t="shared" si="1419"/>
        <v>PP</v>
      </c>
      <c r="B548" s="391" t="str">
        <f t="shared" si="1420"/>
        <v>film</v>
      </c>
      <c r="C548" s="391">
        <f t="shared" si="1418"/>
        <v>2</v>
      </c>
      <c r="D548" s="391" t="str">
        <f t="shared" si="1418"/>
        <v>0,01-0,1</v>
      </c>
      <c r="E548" s="391">
        <f t="shared" si="1418"/>
        <v>0.1</v>
      </c>
      <c r="F548" s="391" t="str">
        <f t="shared" si="1418"/>
        <v>soil</v>
      </c>
      <c r="G548" s="392" t="str">
        <f t="shared" si="1418"/>
        <v>DE: PP film 0,01-0,1 mm (emission to soil)</v>
      </c>
      <c r="H548" s="465">
        <v>0</v>
      </c>
      <c r="I548" s="394" t="s">
        <v>1163</v>
      </c>
      <c r="J548" s="632"/>
      <c r="K548" s="395">
        <v>0.29775984121096721</v>
      </c>
      <c r="L548" s="537"/>
      <c r="M548" s="509">
        <f t="shared" si="1345"/>
        <v>167.92056241249225</v>
      </c>
      <c r="N548" s="646"/>
      <c r="O548" s="626"/>
      <c r="P548" s="629"/>
      <c r="Q548" s="629"/>
    </row>
    <row r="549" spans="1:17" ht="15.75" hidden="1" thickBot="1">
      <c r="A549" s="390" t="str">
        <f>A546</f>
        <v>PP</v>
      </c>
      <c r="B549" s="391" t="str">
        <f>B546</f>
        <v>film</v>
      </c>
      <c r="C549" s="391">
        <f t="shared" si="1418"/>
        <v>2</v>
      </c>
      <c r="D549" s="391" t="str">
        <f>D546</f>
        <v>0,01-0,1</v>
      </c>
      <c r="E549" s="391">
        <f>E546</f>
        <v>0.1</v>
      </c>
      <c r="F549" s="391" t="str">
        <f>F546</f>
        <v>soil</v>
      </c>
      <c r="G549" s="396" t="str">
        <f t="shared" ref="G549" si="1421">G548</f>
        <v>DE: PP film 0,01-0,1 mm (emission to soil)</v>
      </c>
      <c r="H549" s="465">
        <v>0</v>
      </c>
      <c r="I549" s="397" t="s">
        <v>1034</v>
      </c>
      <c r="J549" s="633"/>
      <c r="K549" s="398" t="s">
        <v>596</v>
      </c>
      <c r="L549" s="538"/>
      <c r="M549" s="509">
        <f t="shared" si="1345"/>
        <v>0</v>
      </c>
      <c r="N549" s="647"/>
      <c r="O549" s="627"/>
      <c r="P549" s="629"/>
      <c r="Q549" s="629"/>
    </row>
    <row r="550" spans="1:17" ht="15.75" hidden="1" thickBot="1">
      <c r="A550" s="390" t="str">
        <f t="shared" ref="A550:B550" si="1422">A547</f>
        <v>PP</v>
      </c>
      <c r="B550" s="391" t="str">
        <f t="shared" si="1422"/>
        <v>film</v>
      </c>
      <c r="C550" s="391">
        <f t="shared" si="1418"/>
        <v>2</v>
      </c>
      <c r="D550" s="399" t="str">
        <f t="shared" ref="D550:E550" si="1423">D547</f>
        <v>0,01-0,1</v>
      </c>
      <c r="E550" s="391">
        <f t="shared" si="1423"/>
        <v>0.1</v>
      </c>
      <c r="F550" s="400" t="s">
        <v>1147</v>
      </c>
      <c r="G550" s="386" t="str">
        <f>CONCATENATE("DE: ",A550," ",B550," ",D550," mm (emission to ",F550,")")</f>
        <v>DE: PP film 0,01-0,1 mm (emission to fresh water)</v>
      </c>
      <c r="H550" s="466">
        <v>0</v>
      </c>
      <c r="I550" s="388" t="s">
        <v>1019</v>
      </c>
      <c r="J550" s="634">
        <v>0.22800000000000001</v>
      </c>
      <c r="K550" s="389">
        <v>0.29775984121096721</v>
      </c>
      <c r="L550" s="536"/>
      <c r="M550" s="509">
        <f t="shared" si="1345"/>
        <v>167.92056241249225</v>
      </c>
      <c r="N550" s="645">
        <f t="shared" ref="N550" si="1424">IFERROR(H550*M550+H551*M551+H552*M552+H553*M553+H554*M554,"N.A.")</f>
        <v>8.0128205128205128</v>
      </c>
      <c r="O550" s="625"/>
      <c r="P550" s="628">
        <f>IFERROR(IF(H550*M550+H551*M551+H552*M552+H553*M553+H554*M554&gt;100,100,H550*M550+H551*M551+H552*M552+H553*M553+H554*M554),"N.A.")</f>
        <v>8.0128205128205128</v>
      </c>
      <c r="Q550" s="628">
        <f t="shared" si="1282"/>
        <v>8.0128205128205128</v>
      </c>
    </row>
    <row r="551" spans="1:17" ht="15.75" hidden="1" thickBot="1">
      <c r="A551" s="390" t="str">
        <f t="shared" ref="A551:B551" si="1425">A548</f>
        <v>PP</v>
      </c>
      <c r="B551" s="391" t="str">
        <f t="shared" si="1425"/>
        <v>film</v>
      </c>
      <c r="C551" s="391">
        <f t="shared" si="1418"/>
        <v>2</v>
      </c>
      <c r="D551" s="391" t="str">
        <f t="shared" ref="D551:E551" si="1426">D548</f>
        <v>0,01-0,1</v>
      </c>
      <c r="E551" s="391">
        <f t="shared" si="1426"/>
        <v>0.1</v>
      </c>
      <c r="F551" s="391" t="str">
        <f t="shared" ref="F551:G551" si="1427">F550</f>
        <v>fresh water</v>
      </c>
      <c r="G551" s="401" t="str">
        <f t="shared" si="1427"/>
        <v>DE: PP film 0,01-0,1 mm (emission to fresh water)</v>
      </c>
      <c r="H551" s="465">
        <v>1</v>
      </c>
      <c r="I551" s="394" t="s">
        <v>1097</v>
      </c>
      <c r="J551" s="635"/>
      <c r="K551" s="389">
        <v>6.24</v>
      </c>
      <c r="L551" s="536"/>
      <c r="M551" s="509">
        <f t="shared" si="1345"/>
        <v>8.0128205128205128</v>
      </c>
      <c r="N551" s="646"/>
      <c r="O551" s="626"/>
      <c r="P551" s="629"/>
      <c r="Q551" s="629"/>
    </row>
    <row r="552" spans="1:17" ht="15.75" hidden="1" thickBot="1">
      <c r="A552" s="390" t="str">
        <f t="shared" ref="A552:B552" si="1428">A549</f>
        <v>PP</v>
      </c>
      <c r="B552" s="391" t="str">
        <f t="shared" si="1428"/>
        <v>film</v>
      </c>
      <c r="C552" s="391">
        <f t="shared" si="1418"/>
        <v>2</v>
      </c>
      <c r="D552" s="391" t="str">
        <f t="shared" ref="D552:E552" si="1429">D549</f>
        <v>0,01-0,1</v>
      </c>
      <c r="E552" s="391">
        <f t="shared" si="1429"/>
        <v>0.1</v>
      </c>
      <c r="F552" s="391" t="str">
        <f t="shared" ref="F552:G552" si="1430">F551</f>
        <v>fresh water</v>
      </c>
      <c r="G552" s="401" t="str">
        <f t="shared" si="1430"/>
        <v>DE: PP film 0,01-0,1 mm (emission to fresh water)</v>
      </c>
      <c r="H552" s="465">
        <v>0</v>
      </c>
      <c r="I552" s="394" t="s">
        <v>1162</v>
      </c>
      <c r="J552" s="635"/>
      <c r="K552" s="389">
        <v>0.29775984121096721</v>
      </c>
      <c r="L552" s="536"/>
      <c r="M552" s="509">
        <f t="shared" si="1345"/>
        <v>167.92056241249225</v>
      </c>
      <c r="N552" s="646"/>
      <c r="O552" s="626"/>
      <c r="P552" s="629"/>
      <c r="Q552" s="629"/>
    </row>
    <row r="553" spans="1:17" ht="15.75" hidden="1" thickBot="1">
      <c r="A553" s="390" t="str">
        <f t="shared" ref="A553:B553" si="1431">A550</f>
        <v>PP</v>
      </c>
      <c r="B553" s="391" t="str">
        <f t="shared" si="1431"/>
        <v>film</v>
      </c>
      <c r="C553" s="391">
        <f t="shared" si="1418"/>
        <v>2</v>
      </c>
      <c r="D553" s="391" t="str">
        <f t="shared" ref="D553:E553" si="1432">D550</f>
        <v>0,01-0,1</v>
      </c>
      <c r="E553" s="391">
        <f t="shared" si="1432"/>
        <v>0.1</v>
      </c>
      <c r="F553" s="391" t="str">
        <f t="shared" ref="F553:G553" si="1433">F552</f>
        <v>fresh water</v>
      </c>
      <c r="G553" s="401" t="str">
        <f t="shared" si="1433"/>
        <v>DE: PP film 0,01-0,1 mm (emission to fresh water)</v>
      </c>
      <c r="H553" s="465">
        <v>0</v>
      </c>
      <c r="I553" s="394" t="s">
        <v>1163</v>
      </c>
      <c r="J553" s="635"/>
      <c r="K553" s="389">
        <v>0.29775984121096721</v>
      </c>
      <c r="L553" s="536"/>
      <c r="M553" s="509">
        <f t="shared" si="1345"/>
        <v>167.92056241249225</v>
      </c>
      <c r="N553" s="646"/>
      <c r="O553" s="626"/>
      <c r="P553" s="629"/>
      <c r="Q553" s="629"/>
    </row>
    <row r="554" spans="1:17" ht="15.75" hidden="1" thickBot="1">
      <c r="A554" s="390" t="str">
        <f t="shared" ref="A554:B554" si="1434">A551</f>
        <v>PP</v>
      </c>
      <c r="B554" s="391" t="str">
        <f t="shared" si="1434"/>
        <v>film</v>
      </c>
      <c r="C554" s="391">
        <f t="shared" si="1418"/>
        <v>2</v>
      </c>
      <c r="D554" s="391" t="str">
        <f t="shared" ref="D554:E554" si="1435">D551</f>
        <v>0,01-0,1</v>
      </c>
      <c r="E554" s="391">
        <f t="shared" si="1435"/>
        <v>0.1</v>
      </c>
      <c r="F554" s="402" t="str">
        <f>F551</f>
        <v>fresh water</v>
      </c>
      <c r="G554" s="401" t="str">
        <f t="shared" ref="G554" si="1436">G553</f>
        <v>DE: PP film 0,01-0,1 mm (emission to fresh water)</v>
      </c>
      <c r="H554" s="465">
        <v>0</v>
      </c>
      <c r="I554" s="397" t="s">
        <v>1034</v>
      </c>
      <c r="J554" s="654"/>
      <c r="K554" s="398" t="s">
        <v>596</v>
      </c>
      <c r="L554" s="538"/>
      <c r="M554" s="509">
        <f t="shared" si="1345"/>
        <v>0</v>
      </c>
      <c r="N554" s="647"/>
      <c r="O554" s="627"/>
      <c r="P554" s="629"/>
      <c r="Q554" s="629"/>
    </row>
    <row r="555" spans="1:17" ht="15.75" hidden="1" thickBot="1">
      <c r="A555" s="390" t="str">
        <f t="shared" ref="A555:B555" si="1437">A552</f>
        <v>PP</v>
      </c>
      <c r="B555" s="391" t="str">
        <f t="shared" si="1437"/>
        <v>film</v>
      </c>
      <c r="C555" s="391">
        <f t="shared" si="1418"/>
        <v>2</v>
      </c>
      <c r="D555" s="391" t="str">
        <f t="shared" ref="D555:E555" si="1438">D552</f>
        <v>0,01-0,1</v>
      </c>
      <c r="E555" s="391">
        <f t="shared" si="1438"/>
        <v>0.1</v>
      </c>
      <c r="F555" s="385" t="s">
        <v>1097</v>
      </c>
      <c r="G555" s="422" t="str">
        <f>CONCATENATE("DE: ",A555," ",B555," ",D555," mm (emission to ",F555,")")</f>
        <v>DE: PP film 0,01-0,1 mm (emission to marine water)</v>
      </c>
      <c r="H555" s="467">
        <v>0</v>
      </c>
      <c r="I555" s="388" t="s">
        <v>1019</v>
      </c>
      <c r="J555" s="634">
        <v>0.22800000000000001</v>
      </c>
      <c r="K555" s="389">
        <v>0.29775984121096721</v>
      </c>
      <c r="L555" s="536"/>
      <c r="M555" s="509">
        <f t="shared" si="1345"/>
        <v>167.92056241249225</v>
      </c>
      <c r="N555" s="645">
        <f t="shared" ref="N555" si="1439">IFERROR(H555*M555+H556*M556+H557*M557+H558*M558+H559*M559,"N.A.")</f>
        <v>8.0128205128205128</v>
      </c>
      <c r="O555" s="625"/>
      <c r="P555" s="628">
        <f>IFERROR(IF(H555*M555+H556*M556+H557*M557+H558*M558+H559*M559&gt;100,100,H555*M555+H556*M556+H557*M557+H558*M558+H559*M559),"N.A.")</f>
        <v>8.0128205128205128</v>
      </c>
      <c r="Q555" s="628">
        <f t="shared" si="1282"/>
        <v>8.0128205128205128</v>
      </c>
    </row>
    <row r="556" spans="1:17" ht="15.75" hidden="1" thickBot="1">
      <c r="A556" s="390" t="str">
        <f t="shared" ref="A556:B556" si="1440">A553</f>
        <v>PP</v>
      </c>
      <c r="B556" s="391" t="str">
        <f t="shared" si="1440"/>
        <v>film</v>
      </c>
      <c r="C556" s="391">
        <f t="shared" si="1418"/>
        <v>2</v>
      </c>
      <c r="D556" s="391" t="str">
        <f t="shared" ref="D556:E556" si="1441">D553</f>
        <v>0,01-0,1</v>
      </c>
      <c r="E556" s="391">
        <f t="shared" si="1441"/>
        <v>0.1</v>
      </c>
      <c r="F556" s="391" t="str">
        <f t="shared" ref="F556:G556" si="1442">F555</f>
        <v>marine water</v>
      </c>
      <c r="G556" s="401" t="str">
        <f t="shared" si="1442"/>
        <v>DE: PP film 0,01-0,1 mm (emission to marine water)</v>
      </c>
      <c r="H556" s="465">
        <v>1</v>
      </c>
      <c r="I556" s="394" t="s">
        <v>1097</v>
      </c>
      <c r="J556" s="635"/>
      <c r="K556" s="389">
        <v>6.24</v>
      </c>
      <c r="L556" s="537"/>
      <c r="M556" s="509">
        <f t="shared" si="1345"/>
        <v>8.0128205128205128</v>
      </c>
      <c r="N556" s="646"/>
      <c r="O556" s="626"/>
      <c r="P556" s="629"/>
      <c r="Q556" s="629"/>
    </row>
    <row r="557" spans="1:17" ht="15.75" hidden="1" thickBot="1">
      <c r="A557" s="390" t="str">
        <f t="shared" ref="A557:B557" si="1443">A554</f>
        <v>PP</v>
      </c>
      <c r="B557" s="391" t="str">
        <f t="shared" si="1443"/>
        <v>film</v>
      </c>
      <c r="C557" s="391">
        <f t="shared" si="1418"/>
        <v>2</v>
      </c>
      <c r="D557" s="391" t="str">
        <f t="shared" ref="D557:E557" si="1444">D554</f>
        <v>0,01-0,1</v>
      </c>
      <c r="E557" s="391">
        <f t="shared" si="1444"/>
        <v>0.1</v>
      </c>
      <c r="F557" s="391" t="str">
        <f t="shared" ref="F557:G557" si="1445">F556</f>
        <v>marine water</v>
      </c>
      <c r="G557" s="401" t="str">
        <f t="shared" si="1445"/>
        <v>DE: PP film 0,01-0,1 mm (emission to marine water)</v>
      </c>
      <c r="H557" s="465">
        <v>0</v>
      </c>
      <c r="I557" s="394" t="s">
        <v>1162</v>
      </c>
      <c r="J557" s="635"/>
      <c r="K557" s="389">
        <v>0.29775984121096721</v>
      </c>
      <c r="L557" s="537"/>
      <c r="M557" s="509">
        <f t="shared" si="1345"/>
        <v>167.92056241249225</v>
      </c>
      <c r="N557" s="646"/>
      <c r="O557" s="626"/>
      <c r="P557" s="629"/>
      <c r="Q557" s="629"/>
    </row>
    <row r="558" spans="1:17" ht="15.75" hidden="1" thickBot="1">
      <c r="A558" s="390" t="str">
        <f t="shared" ref="A558:B558" si="1446">A555</f>
        <v>PP</v>
      </c>
      <c r="B558" s="391" t="str">
        <f t="shared" si="1446"/>
        <v>film</v>
      </c>
      <c r="C558" s="391">
        <f t="shared" si="1418"/>
        <v>2</v>
      </c>
      <c r="D558" s="391" t="str">
        <f t="shared" ref="D558:E558" si="1447">D555</f>
        <v>0,01-0,1</v>
      </c>
      <c r="E558" s="391">
        <f t="shared" si="1447"/>
        <v>0.1</v>
      </c>
      <c r="F558" s="391" t="str">
        <f t="shared" ref="F558:G558" si="1448">F557</f>
        <v>marine water</v>
      </c>
      <c r="G558" s="401" t="str">
        <f t="shared" si="1448"/>
        <v>DE: PP film 0,01-0,1 mm (emission to marine water)</v>
      </c>
      <c r="H558" s="465">
        <v>0</v>
      </c>
      <c r="I558" s="394" t="s">
        <v>1163</v>
      </c>
      <c r="J558" s="635"/>
      <c r="K558" s="389">
        <v>0.29775984121096721</v>
      </c>
      <c r="L558" s="537"/>
      <c r="M558" s="509">
        <f t="shared" si="1345"/>
        <v>167.92056241249225</v>
      </c>
      <c r="N558" s="646"/>
      <c r="O558" s="626"/>
      <c r="P558" s="629"/>
      <c r="Q558" s="629"/>
    </row>
    <row r="559" spans="1:17" ht="15.75" hidden="1" thickBot="1">
      <c r="A559" s="390" t="str">
        <f t="shared" ref="A559:B559" si="1449">A556</f>
        <v>PP</v>
      </c>
      <c r="B559" s="391" t="str">
        <f t="shared" si="1449"/>
        <v>film</v>
      </c>
      <c r="C559" s="391">
        <f t="shared" si="1418"/>
        <v>2</v>
      </c>
      <c r="D559" s="391" t="str">
        <f t="shared" ref="D559:E559" si="1450">D556</f>
        <v>0,01-0,1</v>
      </c>
      <c r="E559" s="391">
        <f t="shared" si="1450"/>
        <v>0.1</v>
      </c>
      <c r="F559" s="391" t="str">
        <f t="shared" ref="F559:G559" si="1451">F558</f>
        <v>marine water</v>
      </c>
      <c r="G559" s="401" t="str">
        <f t="shared" si="1451"/>
        <v>DE: PP film 0,01-0,1 mm (emission to marine water)</v>
      </c>
      <c r="H559" s="465">
        <v>0</v>
      </c>
      <c r="I559" s="397" t="s">
        <v>1034</v>
      </c>
      <c r="J559" s="654"/>
      <c r="K559" s="398" t="s">
        <v>596</v>
      </c>
      <c r="L559" s="538"/>
      <c r="M559" s="509">
        <f t="shared" si="1345"/>
        <v>0</v>
      </c>
      <c r="N559" s="647"/>
      <c r="O559" s="627"/>
      <c r="P559" s="629"/>
      <c r="Q559" s="629"/>
    </row>
    <row r="560" spans="1:17" ht="15.75" hidden="1" thickBot="1">
      <c r="A560" s="390" t="str">
        <f t="shared" ref="A560:B560" si="1452">A557</f>
        <v>PP</v>
      </c>
      <c r="B560" s="391" t="str">
        <f t="shared" si="1452"/>
        <v>film</v>
      </c>
      <c r="C560" s="391">
        <f t="shared" si="1418"/>
        <v>2</v>
      </c>
      <c r="D560" s="391" t="str">
        <f t="shared" ref="D560:E560" si="1453">D557</f>
        <v>0,01-0,1</v>
      </c>
      <c r="E560" s="391">
        <f t="shared" si="1453"/>
        <v>0.1</v>
      </c>
      <c r="F560" s="400" t="s">
        <v>1057</v>
      </c>
      <c r="G560" s="422" t="str">
        <f>CONCATENATE("DE: ",A560," ",B560," ",D560," mm (emission to ",F560,")")</f>
        <v>DE: PP film 0,01-0,1 mm (emission to air)</v>
      </c>
      <c r="H560" s="467">
        <v>0.94799999999999995</v>
      </c>
      <c r="I560" s="388" t="s">
        <v>1019</v>
      </c>
      <c r="J560" s="634">
        <v>0.22800000000000001</v>
      </c>
      <c r="K560" s="389">
        <v>0.29775984121096721</v>
      </c>
      <c r="L560" s="536"/>
      <c r="M560" s="509">
        <f t="shared" si="1345"/>
        <v>167.92056241249225</v>
      </c>
      <c r="N560" s="645">
        <f t="shared" ref="N560" si="1454">IFERROR(H560*M560+H561*M561+H562*M562+H563*M563+H564*M564,"N.A.")</f>
        <v>159.60535983370929</v>
      </c>
      <c r="O560" s="625"/>
      <c r="P560" s="628">
        <f>IFERROR(IF(H560*M560+H561*M561+H562*M562+H563*M563+H564*M564&gt;100,100,H560*M560+H561*M561+H562*M562+H563*M563+H564*M564),"N.A.")</f>
        <v>100</v>
      </c>
      <c r="Q560" s="628">
        <f t="shared" ref="Q560:Q620" si="1455">IFERROR(IF(H560*M560+H561*M561+H562*M562+H563*M563+H564*M564&gt;500,500,H560*M560+H561*M561+H562*M562+H563*M563+H564*M564),"N.A.")</f>
        <v>159.60535983370929</v>
      </c>
    </row>
    <row r="561" spans="1:17" ht="15.75" hidden="1" thickBot="1">
      <c r="A561" s="390" t="str">
        <f t="shared" ref="A561:B561" si="1456">A558</f>
        <v>PP</v>
      </c>
      <c r="B561" s="391" t="str">
        <f t="shared" si="1456"/>
        <v>film</v>
      </c>
      <c r="C561" s="391">
        <f t="shared" si="1418"/>
        <v>2</v>
      </c>
      <c r="D561" s="391" t="str">
        <f t="shared" ref="D561:E561" si="1457">D558</f>
        <v>0,01-0,1</v>
      </c>
      <c r="E561" s="391">
        <f t="shared" si="1457"/>
        <v>0.1</v>
      </c>
      <c r="F561" s="391" t="str">
        <f t="shared" ref="F561:G561" si="1458">F560</f>
        <v>air</v>
      </c>
      <c r="G561" s="401" t="str">
        <f t="shared" si="1458"/>
        <v>DE: PP film 0,01-0,1 mm (emission to air)</v>
      </c>
      <c r="H561" s="465">
        <v>5.1999999999999998E-2</v>
      </c>
      <c r="I561" s="394" t="s">
        <v>1097</v>
      </c>
      <c r="J561" s="635"/>
      <c r="K561" s="389">
        <v>6.24</v>
      </c>
      <c r="L561" s="537"/>
      <c r="M561" s="509">
        <f t="shared" si="1345"/>
        <v>8.0128205128205128</v>
      </c>
      <c r="N561" s="646"/>
      <c r="O561" s="626"/>
      <c r="P561" s="629"/>
      <c r="Q561" s="629"/>
    </row>
    <row r="562" spans="1:17" ht="15.75" hidden="1" thickBot="1">
      <c r="A562" s="390" t="str">
        <f t="shared" ref="A562:B562" si="1459">A559</f>
        <v>PP</v>
      </c>
      <c r="B562" s="391" t="str">
        <f t="shared" si="1459"/>
        <v>film</v>
      </c>
      <c r="C562" s="391">
        <f t="shared" si="1418"/>
        <v>2</v>
      </c>
      <c r="D562" s="391" t="str">
        <f t="shared" ref="D562:E562" si="1460">D559</f>
        <v>0,01-0,1</v>
      </c>
      <c r="E562" s="391">
        <f t="shared" si="1460"/>
        <v>0.1</v>
      </c>
      <c r="F562" s="391" t="str">
        <f t="shared" ref="F562:G562" si="1461">F561</f>
        <v>air</v>
      </c>
      <c r="G562" s="401" t="str">
        <f t="shared" si="1461"/>
        <v>DE: PP film 0,01-0,1 mm (emission to air)</v>
      </c>
      <c r="H562" s="465">
        <v>0</v>
      </c>
      <c r="I562" s="394" t="s">
        <v>1162</v>
      </c>
      <c r="J562" s="635"/>
      <c r="K562" s="389">
        <v>0.29775984121096721</v>
      </c>
      <c r="L562" s="537"/>
      <c r="M562" s="509">
        <f t="shared" si="1345"/>
        <v>167.92056241249225</v>
      </c>
      <c r="N562" s="646"/>
      <c r="O562" s="626"/>
      <c r="P562" s="629"/>
      <c r="Q562" s="629"/>
    </row>
    <row r="563" spans="1:17" ht="15.75" hidden="1" thickBot="1">
      <c r="A563" s="390" t="str">
        <f t="shared" ref="A563:B563" si="1462">A560</f>
        <v>PP</v>
      </c>
      <c r="B563" s="391" t="str">
        <f t="shared" si="1462"/>
        <v>film</v>
      </c>
      <c r="C563" s="391">
        <f t="shared" si="1418"/>
        <v>2</v>
      </c>
      <c r="D563" s="391" t="str">
        <f t="shared" ref="D563:E563" si="1463">D560</f>
        <v>0,01-0,1</v>
      </c>
      <c r="E563" s="391">
        <f t="shared" si="1463"/>
        <v>0.1</v>
      </c>
      <c r="F563" s="391" t="str">
        <f t="shared" ref="F563:G563" si="1464">F562</f>
        <v>air</v>
      </c>
      <c r="G563" s="401" t="str">
        <f t="shared" si="1464"/>
        <v>DE: PP film 0,01-0,1 mm (emission to air)</v>
      </c>
      <c r="H563" s="465">
        <v>0</v>
      </c>
      <c r="I563" s="394" t="s">
        <v>1163</v>
      </c>
      <c r="J563" s="635"/>
      <c r="K563" s="389">
        <v>0.29775984121096721</v>
      </c>
      <c r="L563" s="537"/>
      <c r="M563" s="509">
        <f t="shared" si="1345"/>
        <v>167.92056241249225</v>
      </c>
      <c r="N563" s="646"/>
      <c r="O563" s="626"/>
      <c r="P563" s="629"/>
      <c r="Q563" s="629"/>
    </row>
    <row r="564" spans="1:17" ht="15.75" hidden="1" thickBot="1">
      <c r="A564" s="404" t="str">
        <f t="shared" ref="A564:B564" si="1465">A559</f>
        <v>PP</v>
      </c>
      <c r="B564" s="402" t="str">
        <f t="shared" si="1465"/>
        <v>film</v>
      </c>
      <c r="C564" s="391">
        <f t="shared" si="1418"/>
        <v>2</v>
      </c>
      <c r="D564" s="402" t="str">
        <f t="shared" ref="D564:E564" si="1466">D559</f>
        <v>0,01-0,1</v>
      </c>
      <c r="E564" s="402">
        <f t="shared" si="1466"/>
        <v>0.1</v>
      </c>
      <c r="F564" s="391" t="str">
        <f t="shared" ref="F564:G564" si="1467">F563</f>
        <v>air</v>
      </c>
      <c r="G564" s="401" t="str">
        <f t="shared" si="1467"/>
        <v>DE: PP film 0,01-0,1 mm (emission to air)</v>
      </c>
      <c r="H564" s="465">
        <v>0</v>
      </c>
      <c r="I564" s="394" t="s">
        <v>1034</v>
      </c>
      <c r="J564" s="636"/>
      <c r="K564" s="398" t="s">
        <v>596</v>
      </c>
      <c r="L564" s="538"/>
      <c r="M564" s="509">
        <f t="shared" si="1345"/>
        <v>0</v>
      </c>
      <c r="N564" s="647"/>
      <c r="O564" s="627"/>
      <c r="P564" s="629"/>
      <c r="Q564" s="629"/>
    </row>
    <row r="565" spans="1:17" ht="16.5" hidden="1" thickTop="1" thickBot="1">
      <c r="A565" s="405" t="s">
        <v>165</v>
      </c>
      <c r="B565" s="406" t="s">
        <v>996</v>
      </c>
      <c r="C565" s="407">
        <f>IF(OR(B565="Folie", B565="Strips", B565="Film",B565="Flakes",B565="Coupon"), 2,IF(OR(B565="Fibers",B565="Pellets"),4,IF(OR(B565="Particles",B565="Shreds",B565="Powder",B565="Fragments",B565="Granules"),6,"")))</f>
        <v>2</v>
      </c>
      <c r="D565" s="423" t="s">
        <v>1028</v>
      </c>
      <c r="E565" s="408">
        <v>1</v>
      </c>
      <c r="F565" s="424" t="s">
        <v>1019</v>
      </c>
      <c r="G565" s="425" t="str">
        <f>CONCATENATE("DE: ",A565," ",B565," ",D565," mm (emission to ",F565,")")</f>
        <v>DE: PP film 0,1-1 mm (emission to soil)</v>
      </c>
      <c r="H565" s="464">
        <v>0.97</v>
      </c>
      <c r="I565" s="427" t="s">
        <v>1019</v>
      </c>
      <c r="J565" s="632">
        <v>0.22800000000000001</v>
      </c>
      <c r="K565" s="428">
        <v>0.29775984121096721</v>
      </c>
      <c r="L565" s="539"/>
      <c r="M565" s="509">
        <f t="shared" si="1345"/>
        <v>1000</v>
      </c>
      <c r="N565" s="645">
        <f t="shared" ref="N565" si="1468">IFERROR(H565*M565+H566*M566+H567*M567+H568*M568+H569*M569,"N.A.")</f>
        <v>972.40384615384619</v>
      </c>
      <c r="O565" s="625"/>
      <c r="P565" s="628">
        <f>IFERROR(IF(H565*M565+H566*M566+H567*M567+H568*M568+H569*M569&gt;100,100,H565*M565+H566*M566+H567*M567+H568*M568+H569*M569),"N.A.")</f>
        <v>100</v>
      </c>
      <c r="Q565" s="628">
        <f t="shared" si="1455"/>
        <v>500</v>
      </c>
    </row>
    <row r="566" spans="1:17" ht="15.75" hidden="1" thickBot="1">
      <c r="A566" s="390" t="str">
        <f>A565</f>
        <v>PP</v>
      </c>
      <c r="B566" s="391" t="str">
        <f>B565</f>
        <v>film</v>
      </c>
      <c r="C566" s="391">
        <f t="shared" ref="C566:C584" si="1469">C565</f>
        <v>2</v>
      </c>
      <c r="D566" s="391" t="str">
        <f t="shared" ref="D566:D568" si="1470">D565</f>
        <v>0,1-1</v>
      </c>
      <c r="E566" s="391">
        <f t="shared" ref="E566:E568" si="1471">E565</f>
        <v>1</v>
      </c>
      <c r="F566" s="391" t="str">
        <f t="shared" ref="F566:F568" si="1472">F565</f>
        <v>soil</v>
      </c>
      <c r="G566" s="392" t="str">
        <f t="shared" ref="G566:G568" si="1473">G565</f>
        <v>DE: PP film 0,1-1 mm (emission to soil)</v>
      </c>
      <c r="H566" s="465">
        <v>0.03</v>
      </c>
      <c r="I566" s="394" t="s">
        <v>1097</v>
      </c>
      <c r="J566" s="632"/>
      <c r="K566" s="395">
        <v>6.24</v>
      </c>
      <c r="L566" s="537"/>
      <c r="M566" s="509">
        <f t="shared" si="1345"/>
        <v>80.128205128205124</v>
      </c>
      <c r="N566" s="646"/>
      <c r="O566" s="626"/>
      <c r="P566" s="629"/>
      <c r="Q566" s="629"/>
    </row>
    <row r="567" spans="1:17" ht="15.75" hidden="1" thickBot="1">
      <c r="A567" s="390" t="str">
        <f t="shared" ref="A567:A568" si="1474">A566</f>
        <v>PP</v>
      </c>
      <c r="B567" s="391" t="str">
        <f t="shared" ref="B567:B568" si="1475">B566</f>
        <v>film</v>
      </c>
      <c r="C567" s="391">
        <f t="shared" si="1469"/>
        <v>2</v>
      </c>
      <c r="D567" s="391" t="str">
        <f t="shared" si="1470"/>
        <v>0,1-1</v>
      </c>
      <c r="E567" s="391">
        <f t="shared" si="1471"/>
        <v>1</v>
      </c>
      <c r="F567" s="391" t="str">
        <f t="shared" si="1472"/>
        <v>soil</v>
      </c>
      <c r="G567" s="392" t="str">
        <f t="shared" si="1473"/>
        <v>DE: PP film 0,1-1 mm (emission to soil)</v>
      </c>
      <c r="H567" s="465">
        <v>0</v>
      </c>
      <c r="I567" s="394" t="s">
        <v>1162</v>
      </c>
      <c r="J567" s="632"/>
      <c r="K567" s="395">
        <v>0.29775984121096721</v>
      </c>
      <c r="L567" s="537"/>
      <c r="M567" s="509">
        <f t="shared" si="1345"/>
        <v>1000</v>
      </c>
      <c r="N567" s="646"/>
      <c r="O567" s="626"/>
      <c r="P567" s="629"/>
      <c r="Q567" s="629"/>
    </row>
    <row r="568" spans="1:17" ht="15.75" hidden="1" thickBot="1">
      <c r="A568" s="390" t="str">
        <f t="shared" si="1474"/>
        <v>PP</v>
      </c>
      <c r="B568" s="391" t="str">
        <f t="shared" si="1475"/>
        <v>film</v>
      </c>
      <c r="C568" s="391">
        <f t="shared" si="1469"/>
        <v>2</v>
      </c>
      <c r="D568" s="391" t="str">
        <f t="shared" si="1470"/>
        <v>0,1-1</v>
      </c>
      <c r="E568" s="391">
        <f t="shared" si="1471"/>
        <v>1</v>
      </c>
      <c r="F568" s="391" t="str">
        <f t="shared" si="1472"/>
        <v>soil</v>
      </c>
      <c r="G568" s="392" t="str">
        <f t="shared" si="1473"/>
        <v>DE: PP film 0,1-1 mm (emission to soil)</v>
      </c>
      <c r="H568" s="465">
        <v>0</v>
      </c>
      <c r="I568" s="394" t="s">
        <v>1163</v>
      </c>
      <c r="J568" s="632"/>
      <c r="K568" s="395">
        <v>0.29775984121096721</v>
      </c>
      <c r="L568" s="537"/>
      <c r="M568" s="509">
        <f t="shared" si="1345"/>
        <v>1000</v>
      </c>
      <c r="N568" s="646"/>
      <c r="O568" s="626"/>
      <c r="P568" s="629"/>
      <c r="Q568" s="629"/>
    </row>
    <row r="569" spans="1:17" ht="15.75" hidden="1" thickBot="1">
      <c r="A569" s="390" t="str">
        <f>A566</f>
        <v>PP</v>
      </c>
      <c r="B569" s="391" t="str">
        <f>B566</f>
        <v>film</v>
      </c>
      <c r="C569" s="391">
        <f t="shared" si="1469"/>
        <v>2</v>
      </c>
      <c r="D569" s="391" t="str">
        <f>D566</f>
        <v>0,1-1</v>
      </c>
      <c r="E569" s="391">
        <f>E566</f>
        <v>1</v>
      </c>
      <c r="F569" s="391" t="str">
        <f>F566</f>
        <v>soil</v>
      </c>
      <c r="G569" s="396" t="str">
        <f t="shared" ref="G569" si="1476">G568</f>
        <v>DE: PP film 0,1-1 mm (emission to soil)</v>
      </c>
      <c r="H569" s="465">
        <v>0</v>
      </c>
      <c r="I569" s="397" t="s">
        <v>1034</v>
      </c>
      <c r="J569" s="633"/>
      <c r="K569" s="398" t="s">
        <v>596</v>
      </c>
      <c r="L569" s="538"/>
      <c r="M569" s="509">
        <f t="shared" si="1345"/>
        <v>0</v>
      </c>
      <c r="N569" s="647"/>
      <c r="O569" s="627"/>
      <c r="P569" s="629"/>
      <c r="Q569" s="629"/>
    </row>
    <row r="570" spans="1:17" ht="15.75" hidden="1" thickBot="1">
      <c r="A570" s="390" t="str">
        <f t="shared" ref="A570:B570" si="1477">A567</f>
        <v>PP</v>
      </c>
      <c r="B570" s="391" t="str">
        <f t="shared" si="1477"/>
        <v>film</v>
      </c>
      <c r="C570" s="391">
        <f t="shared" si="1469"/>
        <v>2</v>
      </c>
      <c r="D570" s="399" t="str">
        <f t="shared" ref="D570:E570" si="1478">D567</f>
        <v>0,1-1</v>
      </c>
      <c r="E570" s="391">
        <f t="shared" si="1478"/>
        <v>1</v>
      </c>
      <c r="F570" s="400" t="s">
        <v>1147</v>
      </c>
      <c r="G570" s="386" t="str">
        <f>CONCATENATE("DE: ",A570," ",B570," ",D570," mm (emission to ",F570,")")</f>
        <v>DE: PP film 0,1-1 mm (emission to fresh water)</v>
      </c>
      <c r="H570" s="466">
        <v>0</v>
      </c>
      <c r="I570" s="388" t="s">
        <v>1019</v>
      </c>
      <c r="J570" s="634">
        <v>0.22800000000000001</v>
      </c>
      <c r="K570" s="389">
        <v>0.29775984121096721</v>
      </c>
      <c r="L570" s="536"/>
      <c r="M570" s="509">
        <f t="shared" si="1345"/>
        <v>1000</v>
      </c>
      <c r="N570" s="645">
        <f t="shared" ref="N570" si="1479">IFERROR(H570*M570+H571*M571+H572*M572+H573*M573+H574*M574,"N.A.")</f>
        <v>80.128205128205124</v>
      </c>
      <c r="O570" s="625"/>
      <c r="P570" s="628">
        <f>IFERROR(IF(H570*M570+H571*M571+H572*M572+H573*M573+H574*M574&gt;100,100,H570*M570+H571*M571+H572*M572+H573*M573+H574*M574),"N.A.")</f>
        <v>80.128205128205124</v>
      </c>
      <c r="Q570" s="628">
        <f t="shared" si="1455"/>
        <v>80.128205128205124</v>
      </c>
    </row>
    <row r="571" spans="1:17" ht="15.75" hidden="1" thickBot="1">
      <c r="A571" s="390" t="str">
        <f t="shared" ref="A571:B571" si="1480">A568</f>
        <v>PP</v>
      </c>
      <c r="B571" s="391" t="str">
        <f t="shared" si="1480"/>
        <v>film</v>
      </c>
      <c r="C571" s="391">
        <f t="shared" si="1469"/>
        <v>2</v>
      </c>
      <c r="D571" s="391" t="str">
        <f t="shared" ref="D571:E571" si="1481">D568</f>
        <v>0,1-1</v>
      </c>
      <c r="E571" s="391">
        <f t="shared" si="1481"/>
        <v>1</v>
      </c>
      <c r="F571" s="391" t="str">
        <f t="shared" ref="F571:G571" si="1482">F570</f>
        <v>fresh water</v>
      </c>
      <c r="G571" s="401" t="str">
        <f t="shared" si="1482"/>
        <v>DE: PP film 0,1-1 mm (emission to fresh water)</v>
      </c>
      <c r="H571" s="465">
        <v>1</v>
      </c>
      <c r="I571" s="394" t="s">
        <v>1097</v>
      </c>
      <c r="J571" s="635"/>
      <c r="K571" s="389">
        <v>6.24</v>
      </c>
      <c r="L571" s="536"/>
      <c r="M571" s="509">
        <f t="shared" si="1345"/>
        <v>80.128205128205124</v>
      </c>
      <c r="N571" s="646"/>
      <c r="O571" s="626"/>
      <c r="P571" s="629"/>
      <c r="Q571" s="629"/>
    </row>
    <row r="572" spans="1:17" ht="15.75" hidden="1" thickBot="1">
      <c r="A572" s="390" t="str">
        <f t="shared" ref="A572:B572" si="1483">A569</f>
        <v>PP</v>
      </c>
      <c r="B572" s="391" t="str">
        <f t="shared" si="1483"/>
        <v>film</v>
      </c>
      <c r="C572" s="391">
        <f t="shared" si="1469"/>
        <v>2</v>
      </c>
      <c r="D572" s="391" t="str">
        <f t="shared" ref="D572:E572" si="1484">D569</f>
        <v>0,1-1</v>
      </c>
      <c r="E572" s="391">
        <f t="shared" si="1484"/>
        <v>1</v>
      </c>
      <c r="F572" s="391" t="str">
        <f t="shared" ref="F572:G572" si="1485">F571</f>
        <v>fresh water</v>
      </c>
      <c r="G572" s="401" t="str">
        <f t="shared" si="1485"/>
        <v>DE: PP film 0,1-1 mm (emission to fresh water)</v>
      </c>
      <c r="H572" s="465">
        <v>0</v>
      </c>
      <c r="I572" s="394" t="s">
        <v>1162</v>
      </c>
      <c r="J572" s="635"/>
      <c r="K572" s="389">
        <v>0.29775984121096721</v>
      </c>
      <c r="L572" s="536"/>
      <c r="M572" s="509">
        <f t="shared" si="1345"/>
        <v>1000</v>
      </c>
      <c r="N572" s="646"/>
      <c r="O572" s="626"/>
      <c r="P572" s="629"/>
      <c r="Q572" s="629"/>
    </row>
    <row r="573" spans="1:17" ht="15.75" hidden="1" thickBot="1">
      <c r="A573" s="390" t="str">
        <f t="shared" ref="A573:B573" si="1486">A570</f>
        <v>PP</v>
      </c>
      <c r="B573" s="391" t="str">
        <f t="shared" si="1486"/>
        <v>film</v>
      </c>
      <c r="C573" s="391">
        <f t="shared" si="1469"/>
        <v>2</v>
      </c>
      <c r="D573" s="391" t="str">
        <f t="shared" ref="D573:E573" si="1487">D570</f>
        <v>0,1-1</v>
      </c>
      <c r="E573" s="391">
        <f t="shared" si="1487"/>
        <v>1</v>
      </c>
      <c r="F573" s="391" t="str">
        <f t="shared" ref="F573:G573" si="1488">F572</f>
        <v>fresh water</v>
      </c>
      <c r="G573" s="401" t="str">
        <f t="shared" si="1488"/>
        <v>DE: PP film 0,1-1 mm (emission to fresh water)</v>
      </c>
      <c r="H573" s="465">
        <v>0</v>
      </c>
      <c r="I573" s="394" t="s">
        <v>1163</v>
      </c>
      <c r="J573" s="635"/>
      <c r="K573" s="389">
        <v>0.29775984121096721</v>
      </c>
      <c r="L573" s="536"/>
      <c r="M573" s="509">
        <f t="shared" si="1345"/>
        <v>1000</v>
      </c>
      <c r="N573" s="646"/>
      <c r="O573" s="626"/>
      <c r="P573" s="629"/>
      <c r="Q573" s="629"/>
    </row>
    <row r="574" spans="1:17" ht="15.75" hidden="1" thickBot="1">
      <c r="A574" s="390" t="str">
        <f t="shared" ref="A574:B574" si="1489">A571</f>
        <v>PP</v>
      </c>
      <c r="B574" s="391" t="str">
        <f t="shared" si="1489"/>
        <v>film</v>
      </c>
      <c r="C574" s="391">
        <f t="shared" si="1469"/>
        <v>2</v>
      </c>
      <c r="D574" s="391" t="str">
        <f t="shared" ref="D574:E574" si="1490">D571</f>
        <v>0,1-1</v>
      </c>
      <c r="E574" s="391">
        <f t="shared" si="1490"/>
        <v>1</v>
      </c>
      <c r="F574" s="402" t="str">
        <f>F571</f>
        <v>fresh water</v>
      </c>
      <c r="G574" s="401" t="str">
        <f t="shared" ref="G574" si="1491">G573</f>
        <v>DE: PP film 0,1-1 mm (emission to fresh water)</v>
      </c>
      <c r="H574" s="465">
        <v>0</v>
      </c>
      <c r="I574" s="397" t="s">
        <v>1034</v>
      </c>
      <c r="J574" s="654"/>
      <c r="K574" s="398" t="s">
        <v>596</v>
      </c>
      <c r="L574" s="538"/>
      <c r="M574" s="509">
        <f t="shared" si="1345"/>
        <v>0</v>
      </c>
      <c r="N574" s="647"/>
      <c r="O574" s="627"/>
      <c r="P574" s="629"/>
      <c r="Q574" s="629"/>
    </row>
    <row r="575" spans="1:17" ht="15.75" hidden="1" thickBot="1">
      <c r="A575" s="390" t="str">
        <f t="shared" ref="A575:B575" si="1492">A572</f>
        <v>PP</v>
      </c>
      <c r="B575" s="391" t="str">
        <f t="shared" si="1492"/>
        <v>film</v>
      </c>
      <c r="C575" s="391">
        <f t="shared" si="1469"/>
        <v>2</v>
      </c>
      <c r="D575" s="391" t="str">
        <f t="shared" ref="D575:E575" si="1493">D572</f>
        <v>0,1-1</v>
      </c>
      <c r="E575" s="391">
        <f t="shared" si="1493"/>
        <v>1</v>
      </c>
      <c r="F575" s="385" t="s">
        <v>1097</v>
      </c>
      <c r="G575" s="422" t="str">
        <f>CONCATENATE("DE: ",A575," ",B575," ",D575," mm (emission to ",F575,")")</f>
        <v>DE: PP film 0,1-1 mm (emission to marine water)</v>
      </c>
      <c r="H575" s="467">
        <v>0</v>
      </c>
      <c r="I575" s="388" t="s">
        <v>1019</v>
      </c>
      <c r="J575" s="634">
        <v>0.22800000000000001</v>
      </c>
      <c r="K575" s="389">
        <v>0.29775984121096721</v>
      </c>
      <c r="L575" s="536"/>
      <c r="M575" s="509">
        <f t="shared" si="1345"/>
        <v>1000</v>
      </c>
      <c r="N575" s="645">
        <f t="shared" ref="N575" si="1494">IFERROR(H575*M575+H576*M576+H577*M577+H578*M578+H579*M579,"N.A.")</f>
        <v>80.128205128205124</v>
      </c>
      <c r="O575" s="625"/>
      <c r="P575" s="628">
        <f>IFERROR(IF(H575*M575+H576*M576+H577*M577+H578*M578+H579*M579&gt;100,100,H575*M575+H576*M576+H577*M577+H578*M578+H579*M579),"N.A.")</f>
        <v>80.128205128205124</v>
      </c>
      <c r="Q575" s="628">
        <f t="shared" si="1455"/>
        <v>80.128205128205124</v>
      </c>
    </row>
    <row r="576" spans="1:17" ht="15.75" hidden="1" thickBot="1">
      <c r="A576" s="390" t="str">
        <f t="shared" ref="A576:B576" si="1495">A573</f>
        <v>PP</v>
      </c>
      <c r="B576" s="391" t="str">
        <f t="shared" si="1495"/>
        <v>film</v>
      </c>
      <c r="C576" s="391">
        <f t="shared" si="1469"/>
        <v>2</v>
      </c>
      <c r="D576" s="391" t="str">
        <f t="shared" ref="D576:E576" si="1496">D573</f>
        <v>0,1-1</v>
      </c>
      <c r="E576" s="391">
        <f t="shared" si="1496"/>
        <v>1</v>
      </c>
      <c r="F576" s="391" t="str">
        <f t="shared" ref="F576:G576" si="1497">F575</f>
        <v>marine water</v>
      </c>
      <c r="G576" s="401" t="str">
        <f t="shared" si="1497"/>
        <v>DE: PP film 0,1-1 mm (emission to marine water)</v>
      </c>
      <c r="H576" s="465">
        <v>1</v>
      </c>
      <c r="I576" s="394" t="s">
        <v>1097</v>
      </c>
      <c r="J576" s="635"/>
      <c r="K576" s="389">
        <v>6.24</v>
      </c>
      <c r="L576" s="537"/>
      <c r="M576" s="509">
        <f t="shared" si="1345"/>
        <v>80.128205128205124</v>
      </c>
      <c r="N576" s="646"/>
      <c r="O576" s="626"/>
      <c r="P576" s="629"/>
      <c r="Q576" s="629"/>
    </row>
    <row r="577" spans="1:17" ht="15.75" hidden="1" thickBot="1">
      <c r="A577" s="390" t="str">
        <f t="shared" ref="A577:B577" si="1498">A574</f>
        <v>PP</v>
      </c>
      <c r="B577" s="391" t="str">
        <f t="shared" si="1498"/>
        <v>film</v>
      </c>
      <c r="C577" s="391">
        <f t="shared" si="1469"/>
        <v>2</v>
      </c>
      <c r="D577" s="391" t="str">
        <f t="shared" ref="D577:E577" si="1499">D574</f>
        <v>0,1-1</v>
      </c>
      <c r="E577" s="391">
        <f t="shared" si="1499"/>
        <v>1</v>
      </c>
      <c r="F577" s="391" t="str">
        <f t="shared" ref="F577:G577" si="1500">F576</f>
        <v>marine water</v>
      </c>
      <c r="G577" s="401" t="str">
        <f t="shared" si="1500"/>
        <v>DE: PP film 0,1-1 mm (emission to marine water)</v>
      </c>
      <c r="H577" s="465">
        <v>0</v>
      </c>
      <c r="I577" s="394" t="s">
        <v>1162</v>
      </c>
      <c r="J577" s="635"/>
      <c r="K577" s="389">
        <v>0.29775984121096721</v>
      </c>
      <c r="L577" s="537"/>
      <c r="M577" s="509">
        <f t="shared" si="1345"/>
        <v>1000</v>
      </c>
      <c r="N577" s="646"/>
      <c r="O577" s="626"/>
      <c r="P577" s="629"/>
      <c r="Q577" s="629"/>
    </row>
    <row r="578" spans="1:17" ht="15.75" hidden="1" thickBot="1">
      <c r="A578" s="390" t="str">
        <f t="shared" ref="A578:B578" si="1501">A575</f>
        <v>PP</v>
      </c>
      <c r="B578" s="391" t="str">
        <f t="shared" si="1501"/>
        <v>film</v>
      </c>
      <c r="C578" s="391">
        <f t="shared" si="1469"/>
        <v>2</v>
      </c>
      <c r="D578" s="391" t="str">
        <f t="shared" ref="D578:E578" si="1502">D575</f>
        <v>0,1-1</v>
      </c>
      <c r="E578" s="391">
        <f t="shared" si="1502"/>
        <v>1</v>
      </c>
      <c r="F578" s="391" t="str">
        <f t="shared" ref="F578:G578" si="1503">F577</f>
        <v>marine water</v>
      </c>
      <c r="G578" s="401" t="str">
        <f t="shared" si="1503"/>
        <v>DE: PP film 0,1-1 mm (emission to marine water)</v>
      </c>
      <c r="H578" s="465">
        <v>0</v>
      </c>
      <c r="I578" s="394" t="s">
        <v>1163</v>
      </c>
      <c r="J578" s="635"/>
      <c r="K578" s="389">
        <v>0.29775984121096721</v>
      </c>
      <c r="L578" s="537"/>
      <c r="M578" s="509">
        <f t="shared" si="1345"/>
        <v>1000</v>
      </c>
      <c r="N578" s="646"/>
      <c r="O578" s="626"/>
      <c r="P578" s="629"/>
      <c r="Q578" s="629"/>
    </row>
    <row r="579" spans="1:17" ht="15.75" hidden="1" thickBot="1">
      <c r="A579" s="390" t="str">
        <f t="shared" ref="A579:B579" si="1504">A576</f>
        <v>PP</v>
      </c>
      <c r="B579" s="391" t="str">
        <f t="shared" si="1504"/>
        <v>film</v>
      </c>
      <c r="C579" s="391">
        <f t="shared" si="1469"/>
        <v>2</v>
      </c>
      <c r="D579" s="391" t="str">
        <f t="shared" ref="D579:E579" si="1505">D576</f>
        <v>0,1-1</v>
      </c>
      <c r="E579" s="391">
        <f t="shared" si="1505"/>
        <v>1</v>
      </c>
      <c r="F579" s="391" t="str">
        <f t="shared" ref="F579:G579" si="1506">F578</f>
        <v>marine water</v>
      </c>
      <c r="G579" s="401" t="str">
        <f t="shared" si="1506"/>
        <v>DE: PP film 0,1-1 mm (emission to marine water)</v>
      </c>
      <c r="H579" s="465">
        <v>0</v>
      </c>
      <c r="I579" s="397" t="s">
        <v>1034</v>
      </c>
      <c r="J579" s="654"/>
      <c r="K579" s="398" t="s">
        <v>596</v>
      </c>
      <c r="L579" s="538"/>
      <c r="M579" s="509">
        <f t="shared" si="1345"/>
        <v>0</v>
      </c>
      <c r="N579" s="647"/>
      <c r="O579" s="627"/>
      <c r="P579" s="629"/>
      <c r="Q579" s="629"/>
    </row>
    <row r="580" spans="1:17" ht="15.75" hidden="1" thickBot="1">
      <c r="A580" s="390" t="str">
        <f t="shared" ref="A580:B580" si="1507">A577</f>
        <v>PP</v>
      </c>
      <c r="B580" s="391" t="str">
        <f t="shared" si="1507"/>
        <v>film</v>
      </c>
      <c r="C580" s="391">
        <f t="shared" si="1469"/>
        <v>2</v>
      </c>
      <c r="D580" s="391" t="str">
        <f t="shared" ref="D580:E580" si="1508">D577</f>
        <v>0,1-1</v>
      </c>
      <c r="E580" s="391">
        <f t="shared" si="1508"/>
        <v>1</v>
      </c>
      <c r="F580" s="400" t="s">
        <v>1057</v>
      </c>
      <c r="G580" s="422" t="str">
        <f>CONCATENATE("DE: ",A580," ",B580," ",D580," mm (emission to ",F580,")")</f>
        <v>DE: PP film 0,1-1 mm (emission to air)</v>
      </c>
      <c r="H580" s="467">
        <v>0.94799999999999995</v>
      </c>
      <c r="I580" s="388" t="s">
        <v>1019</v>
      </c>
      <c r="J580" s="634">
        <v>0.22800000000000001</v>
      </c>
      <c r="K580" s="389">
        <v>0.29775984121096721</v>
      </c>
      <c r="L580" s="536"/>
      <c r="M580" s="509">
        <f t="shared" si="1345"/>
        <v>1000</v>
      </c>
      <c r="N580" s="645">
        <f t="shared" ref="N580" si="1509">IFERROR(H580*M580+H581*M581+H582*M582+H583*M583+H584*M584,"N.A.")</f>
        <v>952.16666666666663</v>
      </c>
      <c r="O580" s="625"/>
      <c r="P580" s="628">
        <f>IFERROR(IF(H580*M580+H581*M581+H582*M582+H583*M583+H584*M584&gt;100,100,H580*M580+H581*M581+H582*M582+H583*M583+H584*M584),"N.A.")</f>
        <v>100</v>
      </c>
      <c r="Q580" s="628">
        <f t="shared" si="1455"/>
        <v>500</v>
      </c>
    </row>
    <row r="581" spans="1:17" ht="15.75" hidden="1" thickBot="1">
      <c r="A581" s="390" t="str">
        <f t="shared" ref="A581:B581" si="1510">A578</f>
        <v>PP</v>
      </c>
      <c r="B581" s="391" t="str">
        <f t="shared" si="1510"/>
        <v>film</v>
      </c>
      <c r="C581" s="391">
        <f t="shared" si="1469"/>
        <v>2</v>
      </c>
      <c r="D581" s="391" t="str">
        <f t="shared" ref="D581:E581" si="1511">D578</f>
        <v>0,1-1</v>
      </c>
      <c r="E581" s="391">
        <f t="shared" si="1511"/>
        <v>1</v>
      </c>
      <c r="F581" s="391" t="str">
        <f t="shared" ref="F581:G581" si="1512">F580</f>
        <v>air</v>
      </c>
      <c r="G581" s="401" t="str">
        <f t="shared" si="1512"/>
        <v>DE: PP film 0,1-1 mm (emission to air)</v>
      </c>
      <c r="H581" s="465">
        <v>5.1999999999999998E-2</v>
      </c>
      <c r="I581" s="394" t="s">
        <v>1097</v>
      </c>
      <c r="J581" s="635"/>
      <c r="K581" s="389">
        <v>6.24</v>
      </c>
      <c r="L581" s="537"/>
      <c r="M581" s="509">
        <f t="shared" si="1345"/>
        <v>80.128205128205124</v>
      </c>
      <c r="N581" s="646"/>
      <c r="O581" s="626"/>
      <c r="P581" s="629"/>
      <c r="Q581" s="629"/>
    </row>
    <row r="582" spans="1:17" ht="15.75" hidden="1" thickBot="1">
      <c r="A582" s="390" t="str">
        <f t="shared" ref="A582:B582" si="1513">A579</f>
        <v>PP</v>
      </c>
      <c r="B582" s="391" t="str">
        <f t="shared" si="1513"/>
        <v>film</v>
      </c>
      <c r="C582" s="391">
        <f t="shared" si="1469"/>
        <v>2</v>
      </c>
      <c r="D582" s="391" t="str">
        <f t="shared" ref="D582:E582" si="1514">D579</f>
        <v>0,1-1</v>
      </c>
      <c r="E582" s="391">
        <f t="shared" si="1514"/>
        <v>1</v>
      </c>
      <c r="F582" s="391" t="str">
        <f t="shared" ref="F582:G582" si="1515">F581</f>
        <v>air</v>
      </c>
      <c r="G582" s="401" t="str">
        <f t="shared" si="1515"/>
        <v>DE: PP film 0,1-1 mm (emission to air)</v>
      </c>
      <c r="H582" s="465">
        <v>0</v>
      </c>
      <c r="I582" s="394" t="s">
        <v>1162</v>
      </c>
      <c r="J582" s="635"/>
      <c r="K582" s="389">
        <v>0.29775984121096721</v>
      </c>
      <c r="L582" s="537"/>
      <c r="M582" s="509">
        <f t="shared" ref="M582:M645" si="1516">IFERROR(IF(K582="--",0,IF(E582*1000/K582*(1-0.5)^(C582/2)&gt;1000,1000,E582*1000/K582*(1-0.5)^(C582/2))),1000)</f>
        <v>1000</v>
      </c>
      <c r="N582" s="646"/>
      <c r="O582" s="626"/>
      <c r="P582" s="629"/>
      <c r="Q582" s="629"/>
    </row>
    <row r="583" spans="1:17" ht="15.75" hidden="1" thickBot="1">
      <c r="A583" s="390" t="str">
        <f t="shared" ref="A583:B583" si="1517">A580</f>
        <v>PP</v>
      </c>
      <c r="B583" s="391" t="str">
        <f t="shared" si="1517"/>
        <v>film</v>
      </c>
      <c r="C583" s="391">
        <f t="shared" si="1469"/>
        <v>2</v>
      </c>
      <c r="D583" s="391" t="str">
        <f t="shared" ref="D583:E583" si="1518">D580</f>
        <v>0,1-1</v>
      </c>
      <c r="E583" s="391">
        <f t="shared" si="1518"/>
        <v>1</v>
      </c>
      <c r="F583" s="391" t="str">
        <f t="shared" ref="F583:G583" si="1519">F582</f>
        <v>air</v>
      </c>
      <c r="G583" s="401" t="str">
        <f t="shared" si="1519"/>
        <v>DE: PP film 0,1-1 mm (emission to air)</v>
      </c>
      <c r="H583" s="465">
        <v>0</v>
      </c>
      <c r="I583" s="394" t="s">
        <v>1163</v>
      </c>
      <c r="J583" s="635"/>
      <c r="K583" s="389">
        <v>0.29775984121096721</v>
      </c>
      <c r="L583" s="537"/>
      <c r="M583" s="509">
        <f t="shared" si="1516"/>
        <v>1000</v>
      </c>
      <c r="N583" s="646"/>
      <c r="O583" s="626"/>
      <c r="P583" s="629"/>
      <c r="Q583" s="629"/>
    </row>
    <row r="584" spans="1:17" ht="15.75" hidden="1" thickBot="1">
      <c r="A584" s="404" t="str">
        <f t="shared" ref="A584:B584" si="1520">A579</f>
        <v>PP</v>
      </c>
      <c r="B584" s="402" t="str">
        <f t="shared" si="1520"/>
        <v>film</v>
      </c>
      <c r="C584" s="391">
        <f t="shared" si="1469"/>
        <v>2</v>
      </c>
      <c r="D584" s="402" t="str">
        <f t="shared" ref="D584:E584" si="1521">D579</f>
        <v>0,1-1</v>
      </c>
      <c r="E584" s="402">
        <f t="shared" si="1521"/>
        <v>1</v>
      </c>
      <c r="F584" s="391" t="str">
        <f t="shared" ref="F584:G584" si="1522">F583</f>
        <v>air</v>
      </c>
      <c r="G584" s="401" t="str">
        <f t="shared" si="1522"/>
        <v>DE: PP film 0,1-1 mm (emission to air)</v>
      </c>
      <c r="H584" s="465">
        <v>0</v>
      </c>
      <c r="I584" s="394" t="s">
        <v>1034</v>
      </c>
      <c r="J584" s="636"/>
      <c r="K584" s="398" t="s">
        <v>596</v>
      </c>
      <c r="L584" s="538"/>
      <c r="M584" s="509">
        <f t="shared" si="1516"/>
        <v>0</v>
      </c>
      <c r="N584" s="647"/>
      <c r="O584" s="627"/>
      <c r="P584" s="629"/>
      <c r="Q584" s="629"/>
    </row>
    <row r="585" spans="1:17" ht="16.5" hidden="1" thickTop="1" thickBot="1">
      <c r="A585" s="405" t="s">
        <v>165</v>
      </c>
      <c r="B585" s="406" t="s">
        <v>996</v>
      </c>
      <c r="C585" s="407">
        <f>IF(OR(B585="Folie", B585="Strips", B585="Film",B585="Flakes",B585="Coupon"), 2,IF(OR(B585="Fibers",B585="Pellets"),4,IF(OR(B585="Particles",B585="Shreds",B585="Powder",B585="Fragments",B585="Granules"),6,"")))</f>
        <v>2</v>
      </c>
      <c r="D585" s="423" t="s">
        <v>1026</v>
      </c>
      <c r="E585" s="408">
        <v>10</v>
      </c>
      <c r="F585" s="424" t="s">
        <v>1019</v>
      </c>
      <c r="G585" s="425" t="str">
        <f>CONCATENATE("DE: ",A585," ",B585," ",D585," mm (emission to ",F585,")")</f>
        <v>DE: PP film 1-10 mm (emission to soil)</v>
      </c>
      <c r="H585" s="464">
        <v>0.97</v>
      </c>
      <c r="I585" s="427" t="s">
        <v>1019</v>
      </c>
      <c r="J585" s="632">
        <v>0.22800000000000001</v>
      </c>
      <c r="K585" s="428">
        <v>0.29775984121096721</v>
      </c>
      <c r="L585" s="539"/>
      <c r="M585" s="509">
        <f t="shared" si="1516"/>
        <v>1000</v>
      </c>
      <c r="N585" s="645">
        <f t="shared" ref="N585" si="1523">IFERROR(H585*M585+H586*M586+H587*M587+H588*M588+H589*M589,"N.A.")</f>
        <v>994.03846153846155</v>
      </c>
      <c r="O585" s="625"/>
      <c r="P585" s="628">
        <f>IFERROR(IF(H585*M585+H586*M586+H587*M587+H588*M588+H589*M589&gt;100,100,H585*M585+H586*M586+H587*M587+H588*M588+H589*M589),"N.A.")</f>
        <v>100</v>
      </c>
      <c r="Q585" s="628">
        <f t="shared" si="1455"/>
        <v>500</v>
      </c>
    </row>
    <row r="586" spans="1:17" ht="15.75" hidden="1" thickBot="1">
      <c r="A586" s="390" t="str">
        <f>A585</f>
        <v>PP</v>
      </c>
      <c r="B586" s="391" t="str">
        <f>B585</f>
        <v>film</v>
      </c>
      <c r="C586" s="391">
        <f t="shared" ref="C586:G604" si="1524">C585</f>
        <v>2</v>
      </c>
      <c r="D586" s="391" t="str">
        <f t="shared" si="1524"/>
        <v>1-10</v>
      </c>
      <c r="E586" s="391">
        <f t="shared" si="1524"/>
        <v>10</v>
      </c>
      <c r="F586" s="391" t="str">
        <f t="shared" si="1524"/>
        <v>soil</v>
      </c>
      <c r="G586" s="392" t="str">
        <f t="shared" si="1524"/>
        <v>DE: PP film 1-10 mm (emission to soil)</v>
      </c>
      <c r="H586" s="465">
        <v>0.03</v>
      </c>
      <c r="I586" s="394" t="s">
        <v>1097</v>
      </c>
      <c r="J586" s="632"/>
      <c r="K586" s="395">
        <v>6.24</v>
      </c>
      <c r="L586" s="537"/>
      <c r="M586" s="509">
        <f t="shared" si="1516"/>
        <v>801.28205128205127</v>
      </c>
      <c r="N586" s="646"/>
      <c r="O586" s="626"/>
      <c r="P586" s="629"/>
      <c r="Q586" s="629"/>
    </row>
    <row r="587" spans="1:17" ht="15.75" hidden="1" thickBot="1">
      <c r="A587" s="390" t="str">
        <f t="shared" ref="A587:A588" si="1525">A586</f>
        <v>PP</v>
      </c>
      <c r="B587" s="391" t="str">
        <f t="shared" ref="B587:B588" si="1526">B586</f>
        <v>film</v>
      </c>
      <c r="C587" s="391">
        <f t="shared" si="1524"/>
        <v>2</v>
      </c>
      <c r="D587" s="391" t="str">
        <f t="shared" si="1524"/>
        <v>1-10</v>
      </c>
      <c r="E587" s="391">
        <f t="shared" si="1524"/>
        <v>10</v>
      </c>
      <c r="F587" s="391" t="str">
        <f t="shared" si="1524"/>
        <v>soil</v>
      </c>
      <c r="G587" s="392" t="str">
        <f t="shared" si="1524"/>
        <v>DE: PP film 1-10 mm (emission to soil)</v>
      </c>
      <c r="H587" s="465">
        <v>0</v>
      </c>
      <c r="I587" s="394" t="s">
        <v>1162</v>
      </c>
      <c r="J587" s="632"/>
      <c r="K587" s="395">
        <v>0.29775984121096721</v>
      </c>
      <c r="L587" s="537"/>
      <c r="M587" s="509">
        <f t="shared" si="1516"/>
        <v>1000</v>
      </c>
      <c r="N587" s="646"/>
      <c r="O587" s="626"/>
      <c r="P587" s="629"/>
      <c r="Q587" s="629"/>
    </row>
    <row r="588" spans="1:17" ht="15.75" hidden="1" thickBot="1">
      <c r="A588" s="390" t="str">
        <f t="shared" si="1525"/>
        <v>PP</v>
      </c>
      <c r="B588" s="391" t="str">
        <f t="shared" si="1526"/>
        <v>film</v>
      </c>
      <c r="C588" s="391">
        <f t="shared" si="1524"/>
        <v>2</v>
      </c>
      <c r="D588" s="391" t="str">
        <f t="shared" si="1524"/>
        <v>1-10</v>
      </c>
      <c r="E588" s="391">
        <f t="shared" si="1524"/>
        <v>10</v>
      </c>
      <c r="F588" s="391" t="str">
        <f t="shared" si="1524"/>
        <v>soil</v>
      </c>
      <c r="G588" s="392" t="str">
        <f t="shared" si="1524"/>
        <v>DE: PP film 1-10 mm (emission to soil)</v>
      </c>
      <c r="H588" s="465">
        <v>0</v>
      </c>
      <c r="I588" s="394" t="s">
        <v>1163</v>
      </c>
      <c r="J588" s="632"/>
      <c r="K588" s="395">
        <v>0.29775984121096721</v>
      </c>
      <c r="L588" s="537"/>
      <c r="M588" s="509">
        <f t="shared" si="1516"/>
        <v>1000</v>
      </c>
      <c r="N588" s="646"/>
      <c r="O588" s="626"/>
      <c r="P588" s="629"/>
      <c r="Q588" s="629"/>
    </row>
    <row r="589" spans="1:17" ht="15.75" hidden="1" thickBot="1">
      <c r="A589" s="390" t="str">
        <f>A586</f>
        <v>PP</v>
      </c>
      <c r="B589" s="391" t="str">
        <f>B586</f>
        <v>film</v>
      </c>
      <c r="C589" s="391">
        <f t="shared" si="1524"/>
        <v>2</v>
      </c>
      <c r="D589" s="391" t="str">
        <f>D586</f>
        <v>1-10</v>
      </c>
      <c r="E589" s="391">
        <f>E586</f>
        <v>10</v>
      </c>
      <c r="F589" s="391" t="str">
        <f>F586</f>
        <v>soil</v>
      </c>
      <c r="G589" s="396" t="str">
        <f t="shared" ref="G589" si="1527">G588</f>
        <v>DE: PP film 1-10 mm (emission to soil)</v>
      </c>
      <c r="H589" s="465">
        <v>0</v>
      </c>
      <c r="I589" s="397" t="s">
        <v>1034</v>
      </c>
      <c r="J589" s="633"/>
      <c r="K589" s="398" t="s">
        <v>596</v>
      </c>
      <c r="L589" s="538"/>
      <c r="M589" s="509">
        <f t="shared" si="1516"/>
        <v>0</v>
      </c>
      <c r="N589" s="647"/>
      <c r="O589" s="627"/>
      <c r="P589" s="629"/>
      <c r="Q589" s="629"/>
    </row>
    <row r="590" spans="1:17" ht="15.75" hidden="1" thickBot="1">
      <c r="A590" s="390" t="str">
        <f t="shared" ref="A590:B590" si="1528">A587</f>
        <v>PP</v>
      </c>
      <c r="B590" s="391" t="str">
        <f t="shared" si="1528"/>
        <v>film</v>
      </c>
      <c r="C590" s="391">
        <f t="shared" si="1524"/>
        <v>2</v>
      </c>
      <c r="D590" s="399" t="str">
        <f t="shared" ref="D590:E590" si="1529">D587</f>
        <v>1-10</v>
      </c>
      <c r="E590" s="391">
        <f t="shared" si="1529"/>
        <v>10</v>
      </c>
      <c r="F590" s="400" t="s">
        <v>1147</v>
      </c>
      <c r="G590" s="386" t="str">
        <f>CONCATENATE("DE: ",A590," ",B590," ",D590," mm (emission to ",F590,")")</f>
        <v>DE: PP film 1-10 mm (emission to fresh water)</v>
      </c>
      <c r="H590" s="466">
        <v>0</v>
      </c>
      <c r="I590" s="388" t="s">
        <v>1019</v>
      </c>
      <c r="J590" s="634">
        <v>0.22800000000000001</v>
      </c>
      <c r="K590" s="389">
        <v>0.29775984121096721</v>
      </c>
      <c r="L590" s="536"/>
      <c r="M590" s="509">
        <f t="shared" si="1516"/>
        <v>1000</v>
      </c>
      <c r="N590" s="645">
        <f t="shared" ref="N590" si="1530">IFERROR(H590*M590+H591*M591+H592*M592+H593*M593+H594*M594,"N.A.")</f>
        <v>801.28205128205127</v>
      </c>
      <c r="O590" s="625"/>
      <c r="P590" s="628">
        <f t="shared" ref="P590:P650" si="1531">IFERROR(IF(H590*M590+H591*M591+H592*M592+H593*M593+H594*M594&gt;100,100,H590*M590+H591*M591+H592*M592+H593*M593+H594*M594),"N.A.")</f>
        <v>100</v>
      </c>
      <c r="Q590" s="628">
        <f t="shared" si="1455"/>
        <v>500</v>
      </c>
    </row>
    <row r="591" spans="1:17" ht="15.75" hidden="1" thickBot="1">
      <c r="A591" s="390" t="str">
        <f t="shared" ref="A591:B591" si="1532">A588</f>
        <v>PP</v>
      </c>
      <c r="B591" s="391" t="str">
        <f t="shared" si="1532"/>
        <v>film</v>
      </c>
      <c r="C591" s="391">
        <f t="shared" si="1524"/>
        <v>2</v>
      </c>
      <c r="D591" s="391" t="str">
        <f t="shared" ref="D591:E591" si="1533">D588</f>
        <v>1-10</v>
      </c>
      <c r="E591" s="391">
        <f t="shared" si="1533"/>
        <v>10</v>
      </c>
      <c r="F591" s="391" t="str">
        <f t="shared" ref="F591:G591" si="1534">F590</f>
        <v>fresh water</v>
      </c>
      <c r="G591" s="401" t="str">
        <f t="shared" si="1534"/>
        <v>DE: PP film 1-10 mm (emission to fresh water)</v>
      </c>
      <c r="H591" s="465">
        <v>1</v>
      </c>
      <c r="I591" s="394" t="s">
        <v>1097</v>
      </c>
      <c r="J591" s="635"/>
      <c r="K591" s="389">
        <v>6.24</v>
      </c>
      <c r="L591" s="536"/>
      <c r="M591" s="509">
        <f t="shared" si="1516"/>
        <v>801.28205128205127</v>
      </c>
      <c r="N591" s="646"/>
      <c r="O591" s="626"/>
      <c r="P591" s="629"/>
      <c r="Q591" s="629"/>
    </row>
    <row r="592" spans="1:17" ht="15.75" hidden="1" thickBot="1">
      <c r="A592" s="390" t="str">
        <f t="shared" ref="A592:B592" si="1535">A589</f>
        <v>PP</v>
      </c>
      <c r="B592" s="391" t="str">
        <f t="shared" si="1535"/>
        <v>film</v>
      </c>
      <c r="C592" s="391">
        <f t="shared" si="1524"/>
        <v>2</v>
      </c>
      <c r="D592" s="391" t="str">
        <f t="shared" ref="D592:E592" si="1536">D589</f>
        <v>1-10</v>
      </c>
      <c r="E592" s="391">
        <f t="shared" si="1536"/>
        <v>10</v>
      </c>
      <c r="F592" s="391" t="str">
        <f t="shared" ref="F592:G592" si="1537">F591</f>
        <v>fresh water</v>
      </c>
      <c r="G592" s="401" t="str">
        <f t="shared" si="1537"/>
        <v>DE: PP film 1-10 mm (emission to fresh water)</v>
      </c>
      <c r="H592" s="465">
        <v>0</v>
      </c>
      <c r="I592" s="394" t="s">
        <v>1162</v>
      </c>
      <c r="J592" s="635"/>
      <c r="K592" s="389">
        <v>0.29775984121096721</v>
      </c>
      <c r="L592" s="536"/>
      <c r="M592" s="509">
        <f t="shared" si="1516"/>
        <v>1000</v>
      </c>
      <c r="N592" s="646"/>
      <c r="O592" s="626"/>
      <c r="P592" s="629"/>
      <c r="Q592" s="629"/>
    </row>
    <row r="593" spans="1:17" ht="15.75" hidden="1" thickBot="1">
      <c r="A593" s="390" t="str">
        <f t="shared" ref="A593:B593" si="1538">A590</f>
        <v>PP</v>
      </c>
      <c r="B593" s="391" t="str">
        <f t="shared" si="1538"/>
        <v>film</v>
      </c>
      <c r="C593" s="391">
        <f t="shared" si="1524"/>
        <v>2</v>
      </c>
      <c r="D593" s="391" t="str">
        <f t="shared" ref="D593:E593" si="1539">D590</f>
        <v>1-10</v>
      </c>
      <c r="E593" s="391">
        <f t="shared" si="1539"/>
        <v>10</v>
      </c>
      <c r="F593" s="391" t="str">
        <f t="shared" ref="F593:G593" si="1540">F592</f>
        <v>fresh water</v>
      </c>
      <c r="G593" s="401" t="str">
        <f t="shared" si="1540"/>
        <v>DE: PP film 1-10 mm (emission to fresh water)</v>
      </c>
      <c r="H593" s="465">
        <v>0</v>
      </c>
      <c r="I593" s="394" t="s">
        <v>1163</v>
      </c>
      <c r="J593" s="635"/>
      <c r="K593" s="389">
        <v>0.29775984121096721</v>
      </c>
      <c r="L593" s="536"/>
      <c r="M593" s="509">
        <f t="shared" si="1516"/>
        <v>1000</v>
      </c>
      <c r="N593" s="646"/>
      <c r="O593" s="626"/>
      <c r="P593" s="629"/>
      <c r="Q593" s="629"/>
    </row>
    <row r="594" spans="1:17" ht="15.75" hidden="1" thickBot="1">
      <c r="A594" s="390" t="str">
        <f t="shared" ref="A594:B594" si="1541">A591</f>
        <v>PP</v>
      </c>
      <c r="B594" s="391" t="str">
        <f t="shared" si="1541"/>
        <v>film</v>
      </c>
      <c r="C594" s="391">
        <f t="shared" si="1524"/>
        <v>2</v>
      </c>
      <c r="D594" s="391" t="str">
        <f t="shared" ref="D594:E594" si="1542">D591</f>
        <v>1-10</v>
      </c>
      <c r="E594" s="391">
        <f t="shared" si="1542"/>
        <v>10</v>
      </c>
      <c r="F594" s="402" t="str">
        <f>F591</f>
        <v>fresh water</v>
      </c>
      <c r="G594" s="401" t="str">
        <f t="shared" ref="G594" si="1543">G593</f>
        <v>DE: PP film 1-10 mm (emission to fresh water)</v>
      </c>
      <c r="H594" s="465">
        <v>0</v>
      </c>
      <c r="I594" s="397" t="s">
        <v>1034</v>
      </c>
      <c r="J594" s="654"/>
      <c r="K594" s="398" t="s">
        <v>596</v>
      </c>
      <c r="L594" s="538"/>
      <c r="M594" s="509">
        <f t="shared" si="1516"/>
        <v>0</v>
      </c>
      <c r="N594" s="647"/>
      <c r="O594" s="627"/>
      <c r="P594" s="629"/>
      <c r="Q594" s="629"/>
    </row>
    <row r="595" spans="1:17" ht="15.75" hidden="1" thickBot="1">
      <c r="A595" s="390" t="str">
        <f t="shared" ref="A595:B595" si="1544">A592</f>
        <v>PP</v>
      </c>
      <c r="B595" s="391" t="str">
        <f t="shared" si="1544"/>
        <v>film</v>
      </c>
      <c r="C595" s="391">
        <f t="shared" si="1524"/>
        <v>2</v>
      </c>
      <c r="D595" s="391" t="str">
        <f t="shared" ref="D595:E595" si="1545">D592</f>
        <v>1-10</v>
      </c>
      <c r="E595" s="391">
        <f t="shared" si="1545"/>
        <v>10</v>
      </c>
      <c r="F595" s="385" t="s">
        <v>1097</v>
      </c>
      <c r="G595" s="422" t="str">
        <f>CONCATENATE("DE: ",A595," ",B595," ",D595," mm (emission to ",F595,")")</f>
        <v>DE: PP film 1-10 mm (emission to marine water)</v>
      </c>
      <c r="H595" s="467">
        <v>0</v>
      </c>
      <c r="I595" s="388" t="s">
        <v>1019</v>
      </c>
      <c r="J595" s="634">
        <v>0.22800000000000001</v>
      </c>
      <c r="K595" s="389">
        <v>0.29775984121096721</v>
      </c>
      <c r="L595" s="536"/>
      <c r="M595" s="509">
        <f t="shared" si="1516"/>
        <v>1000</v>
      </c>
      <c r="N595" s="645">
        <f t="shared" ref="N595" si="1546">IFERROR(H595*M595+H596*M596+H597*M597+H598*M598+H599*M599,"N.A.")</f>
        <v>801.28205128205127</v>
      </c>
      <c r="O595" s="625"/>
      <c r="P595" s="628">
        <f t="shared" si="1531"/>
        <v>100</v>
      </c>
      <c r="Q595" s="628">
        <f t="shared" si="1455"/>
        <v>500</v>
      </c>
    </row>
    <row r="596" spans="1:17" ht="15.75" hidden="1" thickBot="1">
      <c r="A596" s="390" t="str">
        <f t="shared" ref="A596:B596" si="1547">A593</f>
        <v>PP</v>
      </c>
      <c r="B596" s="391" t="str">
        <f t="shared" si="1547"/>
        <v>film</v>
      </c>
      <c r="C596" s="391">
        <f t="shared" si="1524"/>
        <v>2</v>
      </c>
      <c r="D596" s="391" t="str">
        <f t="shared" ref="D596:E596" si="1548">D593</f>
        <v>1-10</v>
      </c>
      <c r="E596" s="391">
        <f t="shared" si="1548"/>
        <v>10</v>
      </c>
      <c r="F596" s="391" t="str">
        <f t="shared" ref="F596:G596" si="1549">F595</f>
        <v>marine water</v>
      </c>
      <c r="G596" s="401" t="str">
        <f t="shared" si="1549"/>
        <v>DE: PP film 1-10 mm (emission to marine water)</v>
      </c>
      <c r="H596" s="465">
        <v>1</v>
      </c>
      <c r="I596" s="394" t="s">
        <v>1097</v>
      </c>
      <c r="J596" s="635"/>
      <c r="K596" s="389">
        <v>6.24</v>
      </c>
      <c r="L596" s="537"/>
      <c r="M596" s="509">
        <f t="shared" si="1516"/>
        <v>801.28205128205127</v>
      </c>
      <c r="N596" s="646"/>
      <c r="O596" s="626"/>
      <c r="P596" s="629"/>
      <c r="Q596" s="629"/>
    </row>
    <row r="597" spans="1:17" ht="15.75" hidden="1" thickBot="1">
      <c r="A597" s="390" t="str">
        <f t="shared" ref="A597:B597" si="1550">A594</f>
        <v>PP</v>
      </c>
      <c r="B597" s="391" t="str">
        <f t="shared" si="1550"/>
        <v>film</v>
      </c>
      <c r="C597" s="391">
        <f t="shared" si="1524"/>
        <v>2</v>
      </c>
      <c r="D597" s="391" t="str">
        <f t="shared" ref="D597:E597" si="1551">D594</f>
        <v>1-10</v>
      </c>
      <c r="E597" s="391">
        <f t="shared" si="1551"/>
        <v>10</v>
      </c>
      <c r="F597" s="391" t="str">
        <f t="shared" ref="F597:G597" si="1552">F596</f>
        <v>marine water</v>
      </c>
      <c r="G597" s="401" t="str">
        <f t="shared" si="1552"/>
        <v>DE: PP film 1-10 mm (emission to marine water)</v>
      </c>
      <c r="H597" s="465">
        <v>0</v>
      </c>
      <c r="I597" s="394" t="s">
        <v>1162</v>
      </c>
      <c r="J597" s="635"/>
      <c r="K597" s="389">
        <v>0.29775984121096721</v>
      </c>
      <c r="L597" s="537"/>
      <c r="M597" s="509">
        <f t="shared" si="1516"/>
        <v>1000</v>
      </c>
      <c r="N597" s="646"/>
      <c r="O597" s="626"/>
      <c r="P597" s="629"/>
      <c r="Q597" s="629"/>
    </row>
    <row r="598" spans="1:17" ht="15.75" hidden="1" thickBot="1">
      <c r="A598" s="390" t="str">
        <f t="shared" ref="A598:B598" si="1553">A595</f>
        <v>PP</v>
      </c>
      <c r="B598" s="391" t="str">
        <f t="shared" si="1553"/>
        <v>film</v>
      </c>
      <c r="C598" s="391">
        <f t="shared" si="1524"/>
        <v>2</v>
      </c>
      <c r="D598" s="391" t="str">
        <f t="shared" ref="D598:E598" si="1554">D595</f>
        <v>1-10</v>
      </c>
      <c r="E598" s="391">
        <f t="shared" si="1554"/>
        <v>10</v>
      </c>
      <c r="F598" s="391" t="str">
        <f t="shared" ref="F598:G598" si="1555">F597</f>
        <v>marine water</v>
      </c>
      <c r="G598" s="401" t="str">
        <f t="shared" si="1555"/>
        <v>DE: PP film 1-10 mm (emission to marine water)</v>
      </c>
      <c r="H598" s="465">
        <v>0</v>
      </c>
      <c r="I598" s="394" t="s">
        <v>1163</v>
      </c>
      <c r="J598" s="635"/>
      <c r="K598" s="389">
        <v>0.29775984121096721</v>
      </c>
      <c r="L598" s="537"/>
      <c r="M598" s="509">
        <f t="shared" si="1516"/>
        <v>1000</v>
      </c>
      <c r="N598" s="646"/>
      <c r="O598" s="626"/>
      <c r="P598" s="629"/>
      <c r="Q598" s="629"/>
    </row>
    <row r="599" spans="1:17" ht="15.75" hidden="1" thickBot="1">
      <c r="A599" s="390" t="str">
        <f t="shared" ref="A599:B599" si="1556">A596</f>
        <v>PP</v>
      </c>
      <c r="B599" s="391" t="str">
        <f t="shared" si="1556"/>
        <v>film</v>
      </c>
      <c r="C599" s="391">
        <f t="shared" si="1524"/>
        <v>2</v>
      </c>
      <c r="D599" s="391" t="str">
        <f t="shared" ref="D599:E599" si="1557">D596</f>
        <v>1-10</v>
      </c>
      <c r="E599" s="391">
        <f t="shared" si="1557"/>
        <v>10</v>
      </c>
      <c r="F599" s="391" t="str">
        <f t="shared" ref="F599:G599" si="1558">F598</f>
        <v>marine water</v>
      </c>
      <c r="G599" s="401" t="str">
        <f t="shared" si="1558"/>
        <v>DE: PP film 1-10 mm (emission to marine water)</v>
      </c>
      <c r="H599" s="465">
        <v>0</v>
      </c>
      <c r="I599" s="397" t="s">
        <v>1034</v>
      </c>
      <c r="J599" s="654"/>
      <c r="K599" s="398" t="s">
        <v>596</v>
      </c>
      <c r="L599" s="538"/>
      <c r="M599" s="509">
        <f t="shared" si="1516"/>
        <v>0</v>
      </c>
      <c r="N599" s="647"/>
      <c r="O599" s="627"/>
      <c r="P599" s="629"/>
      <c r="Q599" s="629"/>
    </row>
    <row r="600" spans="1:17" ht="15.75" hidden="1" thickBot="1">
      <c r="A600" s="390" t="str">
        <f t="shared" ref="A600:B600" si="1559">A597</f>
        <v>PP</v>
      </c>
      <c r="B600" s="391" t="str">
        <f t="shared" si="1559"/>
        <v>film</v>
      </c>
      <c r="C600" s="391">
        <f t="shared" si="1524"/>
        <v>2</v>
      </c>
      <c r="D600" s="391" t="str">
        <f t="shared" ref="D600:E600" si="1560">D597</f>
        <v>1-10</v>
      </c>
      <c r="E600" s="391">
        <f t="shared" si="1560"/>
        <v>10</v>
      </c>
      <c r="F600" s="400" t="s">
        <v>1057</v>
      </c>
      <c r="G600" s="422" t="str">
        <f>CONCATENATE("DE: ",A600," ",B600," ",D600," mm (emission to ",F600,")")</f>
        <v>DE: PP film 1-10 mm (emission to air)</v>
      </c>
      <c r="H600" s="467">
        <v>0.94799999999999995</v>
      </c>
      <c r="I600" s="388" t="s">
        <v>1019</v>
      </c>
      <c r="J600" s="634">
        <v>0.22800000000000001</v>
      </c>
      <c r="K600" s="389">
        <v>0.29775984121096721</v>
      </c>
      <c r="L600" s="536"/>
      <c r="M600" s="509">
        <f t="shared" si="1516"/>
        <v>1000</v>
      </c>
      <c r="N600" s="645">
        <f t="shared" ref="N600" si="1561">IFERROR(H600*M600+H601*M601+H602*M602+H603*M603+H604*M604,"N.A.")</f>
        <v>989.66666666666663</v>
      </c>
      <c r="O600" s="625"/>
      <c r="P600" s="628">
        <f t="shared" si="1531"/>
        <v>100</v>
      </c>
      <c r="Q600" s="628">
        <f t="shared" si="1455"/>
        <v>500</v>
      </c>
    </row>
    <row r="601" spans="1:17" ht="15.75" hidden="1" thickBot="1">
      <c r="A601" s="390" t="str">
        <f t="shared" ref="A601:B601" si="1562">A598</f>
        <v>PP</v>
      </c>
      <c r="B601" s="391" t="str">
        <f t="shared" si="1562"/>
        <v>film</v>
      </c>
      <c r="C601" s="391">
        <f t="shared" si="1524"/>
        <v>2</v>
      </c>
      <c r="D601" s="391" t="str">
        <f t="shared" ref="D601:E601" si="1563">D598</f>
        <v>1-10</v>
      </c>
      <c r="E601" s="391">
        <f t="shared" si="1563"/>
        <v>10</v>
      </c>
      <c r="F601" s="391" t="str">
        <f t="shared" ref="F601:G601" si="1564">F600</f>
        <v>air</v>
      </c>
      <c r="G601" s="401" t="str">
        <f t="shared" si="1564"/>
        <v>DE: PP film 1-10 mm (emission to air)</v>
      </c>
      <c r="H601" s="465">
        <v>5.1999999999999998E-2</v>
      </c>
      <c r="I601" s="394" t="s">
        <v>1097</v>
      </c>
      <c r="J601" s="635"/>
      <c r="K601" s="389">
        <v>6.24</v>
      </c>
      <c r="L601" s="537"/>
      <c r="M601" s="509">
        <f t="shared" si="1516"/>
        <v>801.28205128205127</v>
      </c>
      <c r="N601" s="646"/>
      <c r="O601" s="626"/>
      <c r="P601" s="629"/>
      <c r="Q601" s="629"/>
    </row>
    <row r="602" spans="1:17" ht="15.75" hidden="1" thickBot="1">
      <c r="A602" s="390" t="str">
        <f t="shared" ref="A602:B602" si="1565">A599</f>
        <v>PP</v>
      </c>
      <c r="B602" s="391" t="str">
        <f t="shared" si="1565"/>
        <v>film</v>
      </c>
      <c r="C602" s="391">
        <f t="shared" si="1524"/>
        <v>2</v>
      </c>
      <c r="D602" s="391" t="str">
        <f t="shared" ref="D602:E602" si="1566">D599</f>
        <v>1-10</v>
      </c>
      <c r="E602" s="391">
        <f t="shared" si="1566"/>
        <v>10</v>
      </c>
      <c r="F602" s="391" t="str">
        <f t="shared" ref="F602:G602" si="1567">F601</f>
        <v>air</v>
      </c>
      <c r="G602" s="401" t="str">
        <f t="shared" si="1567"/>
        <v>DE: PP film 1-10 mm (emission to air)</v>
      </c>
      <c r="H602" s="465">
        <v>0</v>
      </c>
      <c r="I602" s="394" t="s">
        <v>1162</v>
      </c>
      <c r="J602" s="635"/>
      <c r="K602" s="389">
        <v>0.29775984121096721</v>
      </c>
      <c r="L602" s="537"/>
      <c r="M602" s="509">
        <f t="shared" si="1516"/>
        <v>1000</v>
      </c>
      <c r="N602" s="646"/>
      <c r="O602" s="626"/>
      <c r="P602" s="629"/>
      <c r="Q602" s="629"/>
    </row>
    <row r="603" spans="1:17" ht="15.75" hidden="1" thickBot="1">
      <c r="A603" s="390" t="str">
        <f t="shared" ref="A603:B603" si="1568">A600</f>
        <v>PP</v>
      </c>
      <c r="B603" s="391" t="str">
        <f t="shared" si="1568"/>
        <v>film</v>
      </c>
      <c r="C603" s="391">
        <f t="shared" si="1524"/>
        <v>2</v>
      </c>
      <c r="D603" s="391" t="str">
        <f t="shared" ref="D603:E603" si="1569">D600</f>
        <v>1-10</v>
      </c>
      <c r="E603" s="391">
        <f t="shared" si="1569"/>
        <v>10</v>
      </c>
      <c r="F603" s="391" t="str">
        <f t="shared" ref="F603:G603" si="1570">F602</f>
        <v>air</v>
      </c>
      <c r="G603" s="401" t="str">
        <f t="shared" si="1570"/>
        <v>DE: PP film 1-10 mm (emission to air)</v>
      </c>
      <c r="H603" s="465">
        <v>0</v>
      </c>
      <c r="I603" s="394" t="s">
        <v>1163</v>
      </c>
      <c r="J603" s="635"/>
      <c r="K603" s="389">
        <v>0.29775984121096721</v>
      </c>
      <c r="L603" s="537"/>
      <c r="M603" s="509">
        <f t="shared" si="1516"/>
        <v>1000</v>
      </c>
      <c r="N603" s="646"/>
      <c r="O603" s="626"/>
      <c r="P603" s="629"/>
      <c r="Q603" s="629"/>
    </row>
    <row r="604" spans="1:17" ht="15.75" hidden="1" thickBot="1">
      <c r="A604" s="404" t="str">
        <f t="shared" ref="A604:B604" si="1571">A599</f>
        <v>PP</v>
      </c>
      <c r="B604" s="402" t="str">
        <f t="shared" si="1571"/>
        <v>film</v>
      </c>
      <c r="C604" s="391">
        <f t="shared" si="1524"/>
        <v>2</v>
      </c>
      <c r="D604" s="402" t="str">
        <f t="shared" ref="D604:E604" si="1572">D599</f>
        <v>1-10</v>
      </c>
      <c r="E604" s="402">
        <f t="shared" si="1572"/>
        <v>10</v>
      </c>
      <c r="F604" s="391" t="str">
        <f t="shared" ref="F604:G604" si="1573">F603</f>
        <v>air</v>
      </c>
      <c r="G604" s="401" t="str">
        <f t="shared" si="1573"/>
        <v>DE: PP film 1-10 mm (emission to air)</v>
      </c>
      <c r="H604" s="465">
        <v>0</v>
      </c>
      <c r="I604" s="394" t="s">
        <v>1034</v>
      </c>
      <c r="J604" s="636"/>
      <c r="K604" s="398" t="s">
        <v>596</v>
      </c>
      <c r="L604" s="538"/>
      <c r="M604" s="509">
        <f t="shared" si="1516"/>
        <v>0</v>
      </c>
      <c r="N604" s="647"/>
      <c r="O604" s="627"/>
      <c r="P604" s="629"/>
      <c r="Q604" s="629"/>
    </row>
    <row r="605" spans="1:17" ht="16.5" hidden="1" thickTop="1" thickBot="1">
      <c r="A605" s="405" t="s">
        <v>165</v>
      </c>
      <c r="B605" s="406" t="s">
        <v>1151</v>
      </c>
      <c r="C605" s="407">
        <v>4</v>
      </c>
      <c r="D605" s="423" t="s">
        <v>1018</v>
      </c>
      <c r="E605" s="408">
        <v>0.1</v>
      </c>
      <c r="F605" s="424" t="s">
        <v>1019</v>
      </c>
      <c r="G605" s="425" t="str">
        <f>CONCATENATE("DE: ",A605," ",B605," ",D605," mm (emission to ",F605,")")</f>
        <v>DE: PP fiber 0,01-0,1 mm (emission to soil)</v>
      </c>
      <c r="H605" s="464">
        <v>0.97</v>
      </c>
      <c r="I605" s="427" t="s">
        <v>1019</v>
      </c>
      <c r="J605" s="632">
        <v>0.22800000000000001</v>
      </c>
      <c r="K605" s="428">
        <v>0.29775984121096721</v>
      </c>
      <c r="L605" s="539"/>
      <c r="M605" s="509">
        <f t="shared" si="1516"/>
        <v>83.960281206246123</v>
      </c>
      <c r="N605" s="645">
        <f t="shared" ref="N605" si="1574">IFERROR(H605*M605+H606*M606+H607*M607+H608*M608+H609*M609,"N.A.")</f>
        <v>81.561665077751044</v>
      </c>
      <c r="O605" s="625"/>
      <c r="P605" s="628">
        <f t="shared" si="1531"/>
        <v>81.561665077751044</v>
      </c>
      <c r="Q605" s="628">
        <f t="shared" si="1455"/>
        <v>81.561665077751044</v>
      </c>
    </row>
    <row r="606" spans="1:17" ht="15.75" hidden="1" thickBot="1">
      <c r="A606" s="390" t="str">
        <f>A605</f>
        <v>PP</v>
      </c>
      <c r="B606" s="391" t="str">
        <f>B605</f>
        <v>fiber</v>
      </c>
      <c r="C606" s="391">
        <f t="shared" ref="C606:C624" si="1575">C605</f>
        <v>4</v>
      </c>
      <c r="D606" s="391" t="str">
        <f t="shared" ref="D606:D608" si="1576">D605</f>
        <v>0,01-0,1</v>
      </c>
      <c r="E606" s="391">
        <f t="shared" ref="E606:E608" si="1577">E605</f>
        <v>0.1</v>
      </c>
      <c r="F606" s="391" t="str">
        <f t="shared" ref="F606:F608" si="1578">F605</f>
        <v>soil</v>
      </c>
      <c r="G606" s="392" t="str">
        <f t="shared" ref="G606:G608" si="1579">G605</f>
        <v>DE: PP fiber 0,01-0,1 mm (emission to soil)</v>
      </c>
      <c r="H606" s="465">
        <v>0.03</v>
      </c>
      <c r="I606" s="394" t="s">
        <v>1097</v>
      </c>
      <c r="J606" s="632"/>
      <c r="K606" s="395">
        <v>6.24</v>
      </c>
      <c r="L606" s="537"/>
      <c r="M606" s="509">
        <f t="shared" si="1516"/>
        <v>4.0064102564102564</v>
      </c>
      <c r="N606" s="646"/>
      <c r="O606" s="626"/>
      <c r="P606" s="629"/>
      <c r="Q606" s="629"/>
    </row>
    <row r="607" spans="1:17" ht="15.75" hidden="1" thickBot="1">
      <c r="A607" s="390" t="str">
        <f t="shared" ref="A607:A608" si="1580">A606</f>
        <v>PP</v>
      </c>
      <c r="B607" s="391" t="str">
        <f t="shared" ref="B607:B608" si="1581">B606</f>
        <v>fiber</v>
      </c>
      <c r="C607" s="391">
        <f t="shared" si="1575"/>
        <v>4</v>
      </c>
      <c r="D607" s="391" t="str">
        <f t="shared" si="1576"/>
        <v>0,01-0,1</v>
      </c>
      <c r="E607" s="391">
        <f t="shared" si="1577"/>
        <v>0.1</v>
      </c>
      <c r="F607" s="391" t="str">
        <f t="shared" si="1578"/>
        <v>soil</v>
      </c>
      <c r="G607" s="392" t="str">
        <f t="shared" si="1579"/>
        <v>DE: PP fiber 0,01-0,1 mm (emission to soil)</v>
      </c>
      <c r="H607" s="465">
        <v>0</v>
      </c>
      <c r="I607" s="394" t="s">
        <v>1162</v>
      </c>
      <c r="J607" s="632"/>
      <c r="K607" s="395">
        <v>0.29775984121096721</v>
      </c>
      <c r="L607" s="537"/>
      <c r="M607" s="509">
        <f t="shared" si="1516"/>
        <v>83.960281206246123</v>
      </c>
      <c r="N607" s="646"/>
      <c r="O607" s="626"/>
      <c r="P607" s="629"/>
      <c r="Q607" s="629"/>
    </row>
    <row r="608" spans="1:17" ht="15.75" hidden="1" thickBot="1">
      <c r="A608" s="390" t="str">
        <f t="shared" si="1580"/>
        <v>PP</v>
      </c>
      <c r="B608" s="391" t="str">
        <f t="shared" si="1581"/>
        <v>fiber</v>
      </c>
      <c r="C608" s="391">
        <f t="shared" si="1575"/>
        <v>4</v>
      </c>
      <c r="D608" s="391" t="str">
        <f t="shared" si="1576"/>
        <v>0,01-0,1</v>
      </c>
      <c r="E608" s="391">
        <f t="shared" si="1577"/>
        <v>0.1</v>
      </c>
      <c r="F608" s="391" t="str">
        <f t="shared" si="1578"/>
        <v>soil</v>
      </c>
      <c r="G608" s="392" t="str">
        <f t="shared" si="1579"/>
        <v>DE: PP fiber 0,01-0,1 mm (emission to soil)</v>
      </c>
      <c r="H608" s="465">
        <v>0</v>
      </c>
      <c r="I608" s="394" t="s">
        <v>1163</v>
      </c>
      <c r="J608" s="632"/>
      <c r="K608" s="395">
        <v>0.29775984121096721</v>
      </c>
      <c r="L608" s="537"/>
      <c r="M608" s="509">
        <f t="shared" si="1516"/>
        <v>83.960281206246123</v>
      </c>
      <c r="N608" s="646"/>
      <c r="O608" s="626"/>
      <c r="P608" s="629"/>
      <c r="Q608" s="629"/>
    </row>
    <row r="609" spans="1:17" ht="15.75" hidden="1" thickBot="1">
      <c r="A609" s="390" t="str">
        <f>A606</f>
        <v>PP</v>
      </c>
      <c r="B609" s="391" t="str">
        <f>B606</f>
        <v>fiber</v>
      </c>
      <c r="C609" s="391">
        <f t="shared" si="1575"/>
        <v>4</v>
      </c>
      <c r="D609" s="391" t="str">
        <f>D606</f>
        <v>0,01-0,1</v>
      </c>
      <c r="E609" s="391">
        <f>E606</f>
        <v>0.1</v>
      </c>
      <c r="F609" s="391" t="str">
        <f>F606</f>
        <v>soil</v>
      </c>
      <c r="G609" s="396" t="str">
        <f t="shared" ref="G609" si="1582">G608</f>
        <v>DE: PP fiber 0,01-0,1 mm (emission to soil)</v>
      </c>
      <c r="H609" s="465">
        <v>0</v>
      </c>
      <c r="I609" s="397" t="s">
        <v>1034</v>
      </c>
      <c r="J609" s="633"/>
      <c r="K609" s="398" t="s">
        <v>596</v>
      </c>
      <c r="L609" s="538"/>
      <c r="M609" s="509">
        <f t="shared" si="1516"/>
        <v>0</v>
      </c>
      <c r="N609" s="647"/>
      <c r="O609" s="627"/>
      <c r="P609" s="629"/>
      <c r="Q609" s="629"/>
    </row>
    <row r="610" spans="1:17" ht="15.75" hidden="1" thickBot="1">
      <c r="A610" s="390" t="str">
        <f t="shared" ref="A610:B610" si="1583">A607</f>
        <v>PP</v>
      </c>
      <c r="B610" s="391" t="str">
        <f t="shared" si="1583"/>
        <v>fiber</v>
      </c>
      <c r="C610" s="391">
        <f t="shared" si="1575"/>
        <v>4</v>
      </c>
      <c r="D610" s="399" t="str">
        <f t="shared" ref="D610:E610" si="1584">D607</f>
        <v>0,01-0,1</v>
      </c>
      <c r="E610" s="391">
        <f t="shared" si="1584"/>
        <v>0.1</v>
      </c>
      <c r="F610" s="400" t="s">
        <v>1147</v>
      </c>
      <c r="G610" s="386" t="str">
        <f>CONCATENATE("DE: ",A610," ",B610," ",D610," mm (emission to ",F610,")")</f>
        <v>DE: PP fiber 0,01-0,1 mm (emission to fresh water)</v>
      </c>
      <c r="H610" s="466">
        <v>0</v>
      </c>
      <c r="I610" s="388" t="s">
        <v>1019</v>
      </c>
      <c r="J610" s="634">
        <v>0.22800000000000001</v>
      </c>
      <c r="K610" s="389">
        <v>0.29775984121096721</v>
      </c>
      <c r="L610" s="536"/>
      <c r="M610" s="509">
        <f t="shared" si="1516"/>
        <v>83.960281206246123</v>
      </c>
      <c r="N610" s="645">
        <f t="shared" ref="N610" si="1585">IFERROR(H610*M610+H611*M611+H612*M612+H613*M613+H614*M614,"N.A.")</f>
        <v>4.0064102564102564</v>
      </c>
      <c r="O610" s="625"/>
      <c r="P610" s="628">
        <f t="shared" si="1531"/>
        <v>4.0064102564102564</v>
      </c>
      <c r="Q610" s="628">
        <f t="shared" si="1455"/>
        <v>4.0064102564102564</v>
      </c>
    </row>
    <row r="611" spans="1:17" ht="15.75" hidden="1" thickBot="1">
      <c r="A611" s="390" t="str">
        <f t="shared" ref="A611:B611" si="1586">A608</f>
        <v>PP</v>
      </c>
      <c r="B611" s="391" t="str">
        <f t="shared" si="1586"/>
        <v>fiber</v>
      </c>
      <c r="C611" s="391">
        <f t="shared" si="1575"/>
        <v>4</v>
      </c>
      <c r="D611" s="391" t="str">
        <f t="shared" ref="D611:E611" si="1587">D608</f>
        <v>0,01-0,1</v>
      </c>
      <c r="E611" s="391">
        <f t="shared" si="1587"/>
        <v>0.1</v>
      </c>
      <c r="F611" s="391" t="str">
        <f t="shared" ref="F611:G611" si="1588">F610</f>
        <v>fresh water</v>
      </c>
      <c r="G611" s="401" t="str">
        <f t="shared" si="1588"/>
        <v>DE: PP fiber 0,01-0,1 mm (emission to fresh water)</v>
      </c>
      <c r="H611" s="465">
        <v>1</v>
      </c>
      <c r="I611" s="394" t="s">
        <v>1097</v>
      </c>
      <c r="J611" s="635"/>
      <c r="K611" s="389">
        <v>6.24</v>
      </c>
      <c r="L611" s="536"/>
      <c r="M611" s="509">
        <f t="shared" si="1516"/>
        <v>4.0064102564102564</v>
      </c>
      <c r="N611" s="646"/>
      <c r="O611" s="626"/>
      <c r="P611" s="629"/>
      <c r="Q611" s="629"/>
    </row>
    <row r="612" spans="1:17" ht="15.75" hidden="1" thickBot="1">
      <c r="A612" s="390" t="str">
        <f t="shared" ref="A612:B612" si="1589">A609</f>
        <v>PP</v>
      </c>
      <c r="B612" s="391" t="str">
        <f t="shared" si="1589"/>
        <v>fiber</v>
      </c>
      <c r="C612" s="391">
        <f t="shared" si="1575"/>
        <v>4</v>
      </c>
      <c r="D612" s="391" t="str">
        <f t="shared" ref="D612:E612" si="1590">D609</f>
        <v>0,01-0,1</v>
      </c>
      <c r="E612" s="391">
        <f t="shared" si="1590"/>
        <v>0.1</v>
      </c>
      <c r="F612" s="391" t="str">
        <f t="shared" ref="F612:G612" si="1591">F611</f>
        <v>fresh water</v>
      </c>
      <c r="G612" s="401" t="str">
        <f t="shared" si="1591"/>
        <v>DE: PP fiber 0,01-0,1 mm (emission to fresh water)</v>
      </c>
      <c r="H612" s="465">
        <v>0</v>
      </c>
      <c r="I612" s="394" t="s">
        <v>1162</v>
      </c>
      <c r="J612" s="635"/>
      <c r="K612" s="389">
        <v>0.29775984121096721</v>
      </c>
      <c r="L612" s="536"/>
      <c r="M612" s="509">
        <f t="shared" si="1516"/>
        <v>83.960281206246123</v>
      </c>
      <c r="N612" s="646"/>
      <c r="O612" s="626"/>
      <c r="P612" s="629"/>
      <c r="Q612" s="629"/>
    </row>
    <row r="613" spans="1:17" ht="15.75" hidden="1" thickBot="1">
      <c r="A613" s="390" t="str">
        <f t="shared" ref="A613:B613" si="1592">A610</f>
        <v>PP</v>
      </c>
      <c r="B613" s="391" t="str">
        <f t="shared" si="1592"/>
        <v>fiber</v>
      </c>
      <c r="C613" s="391">
        <f t="shared" si="1575"/>
        <v>4</v>
      </c>
      <c r="D613" s="391" t="str">
        <f t="shared" ref="D613:E613" si="1593">D610</f>
        <v>0,01-0,1</v>
      </c>
      <c r="E613" s="391">
        <f t="shared" si="1593"/>
        <v>0.1</v>
      </c>
      <c r="F613" s="391" t="str">
        <f t="shared" ref="F613:G613" si="1594">F612</f>
        <v>fresh water</v>
      </c>
      <c r="G613" s="401" t="str">
        <f t="shared" si="1594"/>
        <v>DE: PP fiber 0,01-0,1 mm (emission to fresh water)</v>
      </c>
      <c r="H613" s="465">
        <v>0</v>
      </c>
      <c r="I613" s="394" t="s">
        <v>1163</v>
      </c>
      <c r="J613" s="635"/>
      <c r="K613" s="389">
        <v>0.29775984121096721</v>
      </c>
      <c r="L613" s="536"/>
      <c r="M613" s="509">
        <f t="shared" si="1516"/>
        <v>83.960281206246123</v>
      </c>
      <c r="N613" s="646"/>
      <c r="O613" s="626"/>
      <c r="P613" s="629"/>
      <c r="Q613" s="629"/>
    </row>
    <row r="614" spans="1:17" ht="15.75" hidden="1" thickBot="1">
      <c r="A614" s="390" t="str">
        <f t="shared" ref="A614:B614" si="1595">A611</f>
        <v>PP</v>
      </c>
      <c r="B614" s="391" t="str">
        <f t="shared" si="1595"/>
        <v>fiber</v>
      </c>
      <c r="C614" s="391">
        <f t="shared" si="1575"/>
        <v>4</v>
      </c>
      <c r="D614" s="391" t="str">
        <f t="shared" ref="D614:E614" si="1596">D611</f>
        <v>0,01-0,1</v>
      </c>
      <c r="E614" s="391">
        <f t="shared" si="1596"/>
        <v>0.1</v>
      </c>
      <c r="F614" s="402" t="str">
        <f>F611</f>
        <v>fresh water</v>
      </c>
      <c r="G614" s="401" t="str">
        <f t="shared" ref="G614" si="1597">G613</f>
        <v>DE: PP fiber 0,01-0,1 mm (emission to fresh water)</v>
      </c>
      <c r="H614" s="465">
        <v>0</v>
      </c>
      <c r="I614" s="394" t="s">
        <v>1034</v>
      </c>
      <c r="J614" s="654"/>
      <c r="K614" s="398" t="s">
        <v>596</v>
      </c>
      <c r="L614" s="538"/>
      <c r="M614" s="509">
        <f t="shared" si="1516"/>
        <v>0</v>
      </c>
      <c r="N614" s="647"/>
      <c r="O614" s="627"/>
      <c r="P614" s="629"/>
      <c r="Q614" s="629"/>
    </row>
    <row r="615" spans="1:17" ht="15.75" hidden="1" thickBot="1">
      <c r="A615" s="390" t="str">
        <f t="shared" ref="A615:B615" si="1598">A612</f>
        <v>PP</v>
      </c>
      <c r="B615" s="391" t="str">
        <f t="shared" si="1598"/>
        <v>fiber</v>
      </c>
      <c r="C615" s="391">
        <f t="shared" si="1575"/>
        <v>4</v>
      </c>
      <c r="D615" s="391" t="str">
        <f t="shared" ref="D615:E615" si="1599">D612</f>
        <v>0,01-0,1</v>
      </c>
      <c r="E615" s="391">
        <f t="shared" si="1599"/>
        <v>0.1</v>
      </c>
      <c r="F615" s="385" t="s">
        <v>1097</v>
      </c>
      <c r="G615" s="422" t="str">
        <f>CONCATENATE("DE: ",A615," ",B615," ",D615," mm (emission to ",F615,")")</f>
        <v>DE: PP fiber 0,01-0,1 mm (emission to marine water)</v>
      </c>
      <c r="H615" s="467">
        <v>0</v>
      </c>
      <c r="I615" s="394" t="s">
        <v>1019</v>
      </c>
      <c r="J615" s="634">
        <v>0.22800000000000001</v>
      </c>
      <c r="K615" s="389">
        <v>0.29775984121096721</v>
      </c>
      <c r="L615" s="536"/>
      <c r="M615" s="509">
        <f t="shared" si="1516"/>
        <v>83.960281206246123</v>
      </c>
      <c r="N615" s="645">
        <f t="shared" ref="N615" si="1600">IFERROR(H615*M615+H616*M616+H617*M617+H618*M618+H619*M619,"N.A.")</f>
        <v>4.0064102564102564</v>
      </c>
      <c r="O615" s="625"/>
      <c r="P615" s="628">
        <f t="shared" si="1531"/>
        <v>4.0064102564102564</v>
      </c>
      <c r="Q615" s="628">
        <f t="shared" si="1455"/>
        <v>4.0064102564102564</v>
      </c>
    </row>
    <row r="616" spans="1:17" ht="15.75" hidden="1" thickBot="1">
      <c r="A616" s="390" t="str">
        <f t="shared" ref="A616:B616" si="1601">A613</f>
        <v>PP</v>
      </c>
      <c r="B616" s="391" t="str">
        <f t="shared" si="1601"/>
        <v>fiber</v>
      </c>
      <c r="C616" s="391">
        <f t="shared" si="1575"/>
        <v>4</v>
      </c>
      <c r="D616" s="391" t="str">
        <f t="shared" ref="D616:E616" si="1602">D613</f>
        <v>0,01-0,1</v>
      </c>
      <c r="E616" s="391">
        <f t="shared" si="1602"/>
        <v>0.1</v>
      </c>
      <c r="F616" s="391" t="str">
        <f t="shared" ref="F616:G616" si="1603">F615</f>
        <v>marine water</v>
      </c>
      <c r="G616" s="401" t="str">
        <f t="shared" si="1603"/>
        <v>DE: PP fiber 0,01-0,1 mm (emission to marine water)</v>
      </c>
      <c r="H616" s="465">
        <v>1</v>
      </c>
      <c r="I616" s="394" t="s">
        <v>1097</v>
      </c>
      <c r="J616" s="635"/>
      <c r="K616" s="389">
        <v>6.24</v>
      </c>
      <c r="L616" s="537"/>
      <c r="M616" s="509">
        <f t="shared" si="1516"/>
        <v>4.0064102564102564</v>
      </c>
      <c r="N616" s="646"/>
      <c r="O616" s="626"/>
      <c r="P616" s="629"/>
      <c r="Q616" s="629"/>
    </row>
    <row r="617" spans="1:17" ht="15.75" hidden="1" thickBot="1">
      <c r="A617" s="390" t="str">
        <f t="shared" ref="A617:B617" si="1604">A614</f>
        <v>PP</v>
      </c>
      <c r="B617" s="391" t="str">
        <f t="shared" si="1604"/>
        <v>fiber</v>
      </c>
      <c r="C617" s="391">
        <f t="shared" si="1575"/>
        <v>4</v>
      </c>
      <c r="D617" s="391" t="str">
        <f t="shared" ref="D617:E617" si="1605">D614</f>
        <v>0,01-0,1</v>
      </c>
      <c r="E617" s="391">
        <f t="shared" si="1605"/>
        <v>0.1</v>
      </c>
      <c r="F617" s="391" t="str">
        <f t="shared" ref="F617:G617" si="1606">F616</f>
        <v>marine water</v>
      </c>
      <c r="G617" s="401" t="str">
        <f t="shared" si="1606"/>
        <v>DE: PP fiber 0,01-0,1 mm (emission to marine water)</v>
      </c>
      <c r="H617" s="465">
        <v>0</v>
      </c>
      <c r="I617" s="394" t="s">
        <v>1162</v>
      </c>
      <c r="J617" s="635"/>
      <c r="K617" s="389">
        <v>0.29775984121096721</v>
      </c>
      <c r="L617" s="537"/>
      <c r="M617" s="509">
        <f t="shared" si="1516"/>
        <v>83.960281206246123</v>
      </c>
      <c r="N617" s="646"/>
      <c r="O617" s="626"/>
      <c r="P617" s="629"/>
      <c r="Q617" s="629"/>
    </row>
    <row r="618" spans="1:17" ht="15.75" hidden="1" thickBot="1">
      <c r="A618" s="390" t="str">
        <f t="shared" ref="A618:B618" si="1607">A615</f>
        <v>PP</v>
      </c>
      <c r="B618" s="391" t="str">
        <f t="shared" si="1607"/>
        <v>fiber</v>
      </c>
      <c r="C618" s="391">
        <f t="shared" si="1575"/>
        <v>4</v>
      </c>
      <c r="D618" s="391" t="str">
        <f t="shared" ref="D618:E618" si="1608">D615</f>
        <v>0,01-0,1</v>
      </c>
      <c r="E618" s="391">
        <f t="shared" si="1608"/>
        <v>0.1</v>
      </c>
      <c r="F618" s="391" t="str">
        <f t="shared" ref="F618:G618" si="1609">F617</f>
        <v>marine water</v>
      </c>
      <c r="G618" s="401" t="str">
        <f t="shared" si="1609"/>
        <v>DE: PP fiber 0,01-0,1 mm (emission to marine water)</v>
      </c>
      <c r="H618" s="465">
        <v>0</v>
      </c>
      <c r="I618" s="394" t="s">
        <v>1163</v>
      </c>
      <c r="J618" s="635"/>
      <c r="K618" s="389">
        <v>0.29775984121096721</v>
      </c>
      <c r="L618" s="537"/>
      <c r="M618" s="509">
        <f t="shared" si="1516"/>
        <v>83.960281206246123</v>
      </c>
      <c r="N618" s="646"/>
      <c r="O618" s="626"/>
      <c r="P618" s="629"/>
      <c r="Q618" s="629"/>
    </row>
    <row r="619" spans="1:17" ht="15.75" hidden="1" thickBot="1">
      <c r="A619" s="390" t="str">
        <f t="shared" ref="A619:B619" si="1610">A616</f>
        <v>PP</v>
      </c>
      <c r="B619" s="391" t="str">
        <f t="shared" si="1610"/>
        <v>fiber</v>
      </c>
      <c r="C619" s="391">
        <f t="shared" si="1575"/>
        <v>4</v>
      </c>
      <c r="D619" s="391" t="str">
        <f t="shared" ref="D619:E619" si="1611">D616</f>
        <v>0,01-0,1</v>
      </c>
      <c r="E619" s="391">
        <f t="shared" si="1611"/>
        <v>0.1</v>
      </c>
      <c r="F619" s="391" t="str">
        <f t="shared" ref="F619:G619" si="1612">F618</f>
        <v>marine water</v>
      </c>
      <c r="G619" s="401" t="str">
        <f t="shared" si="1612"/>
        <v>DE: PP fiber 0,01-0,1 mm (emission to marine water)</v>
      </c>
      <c r="H619" s="465">
        <v>0</v>
      </c>
      <c r="I619" s="394" t="s">
        <v>1034</v>
      </c>
      <c r="J619" s="654"/>
      <c r="K619" s="398" t="s">
        <v>596</v>
      </c>
      <c r="L619" s="538"/>
      <c r="M619" s="509">
        <f t="shared" si="1516"/>
        <v>0</v>
      </c>
      <c r="N619" s="647"/>
      <c r="O619" s="627"/>
      <c r="P619" s="629"/>
      <c r="Q619" s="629"/>
    </row>
    <row r="620" spans="1:17" ht="15.75" hidden="1" thickBot="1">
      <c r="A620" s="390" t="str">
        <f t="shared" ref="A620:B620" si="1613">A617</f>
        <v>PP</v>
      </c>
      <c r="B620" s="391" t="str">
        <f t="shared" si="1613"/>
        <v>fiber</v>
      </c>
      <c r="C620" s="391">
        <f t="shared" si="1575"/>
        <v>4</v>
      </c>
      <c r="D620" s="391" t="str">
        <f t="shared" ref="D620:E620" si="1614">D617</f>
        <v>0,01-0,1</v>
      </c>
      <c r="E620" s="391">
        <f t="shared" si="1614"/>
        <v>0.1</v>
      </c>
      <c r="F620" s="400" t="s">
        <v>1057</v>
      </c>
      <c r="G620" s="422" t="str">
        <f>CONCATENATE("DE: ",A620," ",B620," ",D620," mm (emission to ",F620,")")</f>
        <v>DE: PP fiber 0,01-0,1 mm (emission to air)</v>
      </c>
      <c r="H620" s="467">
        <v>0.94799999999999995</v>
      </c>
      <c r="I620" s="394" t="s">
        <v>1019</v>
      </c>
      <c r="J620" s="634">
        <v>0.22800000000000001</v>
      </c>
      <c r="K620" s="389">
        <v>0.29775984121096721</v>
      </c>
      <c r="L620" s="536"/>
      <c r="M620" s="509">
        <f t="shared" si="1516"/>
        <v>83.960281206246123</v>
      </c>
      <c r="N620" s="645">
        <f t="shared" ref="N620" si="1615">IFERROR(H620*M620+H621*M621+H622*M622+H623*M623+H624*M624,"N.A.")</f>
        <v>79.802679916854643</v>
      </c>
      <c r="O620" s="625"/>
      <c r="P620" s="628">
        <f t="shared" si="1531"/>
        <v>79.802679916854643</v>
      </c>
      <c r="Q620" s="628">
        <f t="shared" si="1455"/>
        <v>79.802679916854643</v>
      </c>
    </row>
    <row r="621" spans="1:17" ht="15.75" hidden="1" thickBot="1">
      <c r="A621" s="390" t="str">
        <f t="shared" ref="A621:B621" si="1616">A618</f>
        <v>PP</v>
      </c>
      <c r="B621" s="391" t="str">
        <f t="shared" si="1616"/>
        <v>fiber</v>
      </c>
      <c r="C621" s="391">
        <f t="shared" si="1575"/>
        <v>4</v>
      </c>
      <c r="D621" s="391" t="str">
        <f t="shared" ref="D621:E621" si="1617">D618</f>
        <v>0,01-0,1</v>
      </c>
      <c r="E621" s="391">
        <f t="shared" si="1617"/>
        <v>0.1</v>
      </c>
      <c r="F621" s="391" t="str">
        <f t="shared" ref="F621:G621" si="1618">F620</f>
        <v>air</v>
      </c>
      <c r="G621" s="401" t="str">
        <f t="shared" si="1618"/>
        <v>DE: PP fiber 0,01-0,1 mm (emission to air)</v>
      </c>
      <c r="H621" s="465">
        <v>5.1999999999999998E-2</v>
      </c>
      <c r="I621" s="394" t="s">
        <v>1097</v>
      </c>
      <c r="J621" s="635"/>
      <c r="K621" s="389">
        <v>6.24</v>
      </c>
      <c r="L621" s="537"/>
      <c r="M621" s="509">
        <f t="shared" si="1516"/>
        <v>4.0064102564102564</v>
      </c>
      <c r="N621" s="646"/>
      <c r="O621" s="626"/>
      <c r="P621" s="629"/>
      <c r="Q621" s="629"/>
    </row>
    <row r="622" spans="1:17" ht="15.75" hidden="1" thickBot="1">
      <c r="A622" s="390" t="str">
        <f t="shared" ref="A622:B622" si="1619">A619</f>
        <v>PP</v>
      </c>
      <c r="B622" s="391" t="str">
        <f t="shared" si="1619"/>
        <v>fiber</v>
      </c>
      <c r="C622" s="391">
        <f t="shared" si="1575"/>
        <v>4</v>
      </c>
      <c r="D622" s="391" t="str">
        <f t="shared" ref="D622:E622" si="1620">D619</f>
        <v>0,01-0,1</v>
      </c>
      <c r="E622" s="391">
        <f t="shared" si="1620"/>
        <v>0.1</v>
      </c>
      <c r="F622" s="391" t="str">
        <f t="shared" ref="F622:G622" si="1621">F621</f>
        <v>air</v>
      </c>
      <c r="G622" s="401" t="str">
        <f t="shared" si="1621"/>
        <v>DE: PP fiber 0,01-0,1 mm (emission to air)</v>
      </c>
      <c r="H622" s="465">
        <v>0</v>
      </c>
      <c r="I622" s="394" t="s">
        <v>1162</v>
      </c>
      <c r="J622" s="635"/>
      <c r="K622" s="389">
        <v>0.29775984121096721</v>
      </c>
      <c r="L622" s="537"/>
      <c r="M622" s="509">
        <f t="shared" si="1516"/>
        <v>83.960281206246123</v>
      </c>
      <c r="N622" s="646"/>
      <c r="O622" s="626"/>
      <c r="P622" s="629"/>
      <c r="Q622" s="629"/>
    </row>
    <row r="623" spans="1:17" ht="15.75" hidden="1" thickBot="1">
      <c r="A623" s="390" t="str">
        <f t="shared" ref="A623:B623" si="1622">A620</f>
        <v>PP</v>
      </c>
      <c r="B623" s="391" t="str">
        <f t="shared" si="1622"/>
        <v>fiber</v>
      </c>
      <c r="C623" s="391">
        <f t="shared" si="1575"/>
        <v>4</v>
      </c>
      <c r="D623" s="391" t="str">
        <f t="shared" ref="D623:E623" si="1623">D620</f>
        <v>0,01-0,1</v>
      </c>
      <c r="E623" s="391">
        <f t="shared" si="1623"/>
        <v>0.1</v>
      </c>
      <c r="F623" s="391" t="str">
        <f t="shared" ref="F623:G623" si="1624">F622</f>
        <v>air</v>
      </c>
      <c r="G623" s="401" t="str">
        <f t="shared" si="1624"/>
        <v>DE: PP fiber 0,01-0,1 mm (emission to air)</v>
      </c>
      <c r="H623" s="465">
        <v>0</v>
      </c>
      <c r="I623" s="394" t="s">
        <v>1163</v>
      </c>
      <c r="J623" s="635"/>
      <c r="K623" s="389">
        <v>0.29775984121096721</v>
      </c>
      <c r="L623" s="537"/>
      <c r="M623" s="509">
        <f t="shared" si="1516"/>
        <v>83.960281206246123</v>
      </c>
      <c r="N623" s="646"/>
      <c r="O623" s="626"/>
      <c r="P623" s="629"/>
      <c r="Q623" s="629"/>
    </row>
    <row r="624" spans="1:17" ht="15.75" hidden="1" thickBot="1">
      <c r="A624" s="404" t="str">
        <f t="shared" ref="A624:B624" si="1625">A619</f>
        <v>PP</v>
      </c>
      <c r="B624" s="402" t="str">
        <f t="shared" si="1625"/>
        <v>fiber</v>
      </c>
      <c r="C624" s="391">
        <f t="shared" si="1575"/>
        <v>4</v>
      </c>
      <c r="D624" s="402" t="str">
        <f t="shared" ref="D624:E624" si="1626">D619</f>
        <v>0,01-0,1</v>
      </c>
      <c r="E624" s="402">
        <f t="shared" si="1626"/>
        <v>0.1</v>
      </c>
      <c r="F624" s="391" t="str">
        <f t="shared" ref="F624:G624" si="1627">F623</f>
        <v>air</v>
      </c>
      <c r="G624" s="401" t="str">
        <f t="shared" si="1627"/>
        <v>DE: PP fiber 0,01-0,1 mm (emission to air)</v>
      </c>
      <c r="H624" s="465">
        <v>0</v>
      </c>
      <c r="I624" s="394" t="s">
        <v>1034</v>
      </c>
      <c r="J624" s="636"/>
      <c r="K624" s="398" t="s">
        <v>596</v>
      </c>
      <c r="L624" s="538"/>
      <c r="M624" s="509">
        <f t="shared" si="1516"/>
        <v>0</v>
      </c>
      <c r="N624" s="647"/>
      <c r="O624" s="627"/>
      <c r="P624" s="629"/>
      <c r="Q624" s="629"/>
    </row>
    <row r="625" spans="1:17" ht="16.5" hidden="1" thickTop="1" thickBot="1">
      <c r="A625" s="405" t="s">
        <v>165</v>
      </c>
      <c r="B625" s="406" t="s">
        <v>1151</v>
      </c>
      <c r="C625" s="407">
        <v>4</v>
      </c>
      <c r="D625" s="423" t="s">
        <v>1028</v>
      </c>
      <c r="E625" s="408">
        <v>1</v>
      </c>
      <c r="F625" s="424" t="s">
        <v>1019</v>
      </c>
      <c r="G625" s="425" t="str">
        <f>CONCATENATE("DE: ",A625," ",B625," ",D625," mm (emission to ",F625,")")</f>
        <v>DE: PP fiber 0,1-1 mm (emission to soil)</v>
      </c>
      <c r="H625" s="464">
        <v>0.97</v>
      </c>
      <c r="I625" s="427" t="s">
        <v>1019</v>
      </c>
      <c r="J625" s="632">
        <v>0.22800000000000001</v>
      </c>
      <c r="K625" s="428">
        <v>0.29775984121096721</v>
      </c>
      <c r="L625" s="539"/>
      <c r="M625" s="509">
        <f t="shared" si="1516"/>
        <v>839.60281206246123</v>
      </c>
      <c r="N625" s="645">
        <f t="shared" ref="N625" si="1628">IFERROR(H625*M625+H626*M626+H627*M627+H628*M628+H629*M629,"N.A.")</f>
        <v>815.61665077751047</v>
      </c>
      <c r="O625" s="625"/>
      <c r="P625" s="628">
        <f t="shared" si="1531"/>
        <v>100</v>
      </c>
      <c r="Q625" s="628">
        <f t="shared" ref="Q625:Q685" si="1629">IFERROR(IF(H625*M625+H626*M626+H627*M627+H628*M628+H629*M629&gt;500,500,H625*M625+H626*M626+H627*M627+H628*M628+H629*M629),"N.A.")</f>
        <v>500</v>
      </c>
    </row>
    <row r="626" spans="1:17" ht="15.75" hidden="1" thickBot="1">
      <c r="A626" s="390" t="str">
        <f>A625</f>
        <v>PP</v>
      </c>
      <c r="B626" s="391" t="str">
        <f>B625</f>
        <v>fiber</v>
      </c>
      <c r="C626" s="391">
        <f t="shared" ref="C626:G644" si="1630">C625</f>
        <v>4</v>
      </c>
      <c r="D626" s="391" t="str">
        <f t="shared" si="1630"/>
        <v>0,1-1</v>
      </c>
      <c r="E626" s="391">
        <f t="shared" si="1630"/>
        <v>1</v>
      </c>
      <c r="F626" s="391" t="str">
        <f t="shared" si="1630"/>
        <v>soil</v>
      </c>
      <c r="G626" s="392" t="str">
        <f t="shared" si="1630"/>
        <v>DE: PP fiber 0,1-1 mm (emission to soil)</v>
      </c>
      <c r="H626" s="465">
        <v>0.03</v>
      </c>
      <c r="I626" s="394" t="s">
        <v>1097</v>
      </c>
      <c r="J626" s="632"/>
      <c r="K626" s="395">
        <v>6.24</v>
      </c>
      <c r="L626" s="537"/>
      <c r="M626" s="509">
        <f t="shared" si="1516"/>
        <v>40.064102564102562</v>
      </c>
      <c r="N626" s="646"/>
      <c r="O626" s="626"/>
      <c r="P626" s="629"/>
      <c r="Q626" s="629"/>
    </row>
    <row r="627" spans="1:17" ht="15.75" hidden="1" thickBot="1">
      <c r="A627" s="390" t="str">
        <f t="shared" ref="A627:A628" si="1631">A626</f>
        <v>PP</v>
      </c>
      <c r="B627" s="391" t="str">
        <f t="shared" ref="B627:B628" si="1632">B626</f>
        <v>fiber</v>
      </c>
      <c r="C627" s="391">
        <f t="shared" si="1630"/>
        <v>4</v>
      </c>
      <c r="D627" s="391" t="str">
        <f t="shared" si="1630"/>
        <v>0,1-1</v>
      </c>
      <c r="E627" s="391">
        <f t="shared" si="1630"/>
        <v>1</v>
      </c>
      <c r="F627" s="391" t="str">
        <f t="shared" si="1630"/>
        <v>soil</v>
      </c>
      <c r="G627" s="392" t="str">
        <f t="shared" si="1630"/>
        <v>DE: PP fiber 0,1-1 mm (emission to soil)</v>
      </c>
      <c r="H627" s="465">
        <v>0</v>
      </c>
      <c r="I627" s="394" t="s">
        <v>1162</v>
      </c>
      <c r="J627" s="632"/>
      <c r="K627" s="395">
        <v>0.29775984121096721</v>
      </c>
      <c r="L627" s="537"/>
      <c r="M627" s="509">
        <f t="shared" si="1516"/>
        <v>839.60281206246123</v>
      </c>
      <c r="N627" s="646"/>
      <c r="O627" s="626"/>
      <c r="P627" s="629"/>
      <c r="Q627" s="629"/>
    </row>
    <row r="628" spans="1:17" ht="15.75" hidden="1" thickBot="1">
      <c r="A628" s="390" t="str">
        <f t="shared" si="1631"/>
        <v>PP</v>
      </c>
      <c r="B628" s="391" t="str">
        <f t="shared" si="1632"/>
        <v>fiber</v>
      </c>
      <c r="C628" s="391">
        <f t="shared" si="1630"/>
        <v>4</v>
      </c>
      <c r="D628" s="391" t="str">
        <f t="shared" si="1630"/>
        <v>0,1-1</v>
      </c>
      <c r="E628" s="391">
        <f t="shared" si="1630"/>
        <v>1</v>
      </c>
      <c r="F628" s="391" t="str">
        <f t="shared" si="1630"/>
        <v>soil</v>
      </c>
      <c r="G628" s="392" t="str">
        <f t="shared" si="1630"/>
        <v>DE: PP fiber 0,1-1 mm (emission to soil)</v>
      </c>
      <c r="H628" s="465">
        <v>0</v>
      </c>
      <c r="I628" s="394" t="s">
        <v>1163</v>
      </c>
      <c r="J628" s="632"/>
      <c r="K628" s="395">
        <v>0.29775984121096721</v>
      </c>
      <c r="L628" s="537"/>
      <c r="M628" s="509">
        <f t="shared" si="1516"/>
        <v>839.60281206246123</v>
      </c>
      <c r="N628" s="646"/>
      <c r="O628" s="626"/>
      <c r="P628" s="629"/>
      <c r="Q628" s="629"/>
    </row>
    <row r="629" spans="1:17" ht="15.75" hidden="1" thickBot="1">
      <c r="A629" s="390" t="str">
        <f>A626</f>
        <v>PP</v>
      </c>
      <c r="B629" s="391" t="str">
        <f>B626</f>
        <v>fiber</v>
      </c>
      <c r="C629" s="391">
        <f t="shared" si="1630"/>
        <v>4</v>
      </c>
      <c r="D629" s="391" t="str">
        <f>D626</f>
        <v>0,1-1</v>
      </c>
      <c r="E629" s="391">
        <f>E626</f>
        <v>1</v>
      </c>
      <c r="F629" s="391" t="str">
        <f>F626</f>
        <v>soil</v>
      </c>
      <c r="G629" s="396" t="str">
        <f t="shared" ref="G629" si="1633">G628</f>
        <v>DE: PP fiber 0,1-1 mm (emission to soil)</v>
      </c>
      <c r="H629" s="465">
        <v>0</v>
      </c>
      <c r="I629" s="397" t="s">
        <v>1034</v>
      </c>
      <c r="J629" s="633"/>
      <c r="K629" s="398" t="s">
        <v>596</v>
      </c>
      <c r="L629" s="538"/>
      <c r="M629" s="509">
        <f t="shared" si="1516"/>
        <v>0</v>
      </c>
      <c r="N629" s="647"/>
      <c r="O629" s="627"/>
      <c r="P629" s="629"/>
      <c r="Q629" s="629"/>
    </row>
    <row r="630" spans="1:17" ht="15.75" hidden="1" thickBot="1">
      <c r="A630" s="390" t="str">
        <f t="shared" ref="A630:B630" si="1634">A627</f>
        <v>PP</v>
      </c>
      <c r="B630" s="391" t="str">
        <f t="shared" si="1634"/>
        <v>fiber</v>
      </c>
      <c r="C630" s="391">
        <f t="shared" si="1630"/>
        <v>4</v>
      </c>
      <c r="D630" s="399" t="str">
        <f t="shared" ref="D630:E630" si="1635">D627</f>
        <v>0,1-1</v>
      </c>
      <c r="E630" s="391">
        <f t="shared" si="1635"/>
        <v>1</v>
      </c>
      <c r="F630" s="400" t="s">
        <v>1147</v>
      </c>
      <c r="G630" s="386" t="str">
        <f>CONCATENATE("DE: ",A630," ",B630," ",D630," mm (emission to ",F630,")")</f>
        <v>DE: PP fiber 0,1-1 mm (emission to fresh water)</v>
      </c>
      <c r="H630" s="466">
        <v>0</v>
      </c>
      <c r="I630" s="388" t="s">
        <v>1019</v>
      </c>
      <c r="J630" s="634">
        <v>0.22800000000000001</v>
      </c>
      <c r="K630" s="389">
        <v>0.29775984121096721</v>
      </c>
      <c r="L630" s="536"/>
      <c r="M630" s="509">
        <f t="shared" si="1516"/>
        <v>839.60281206246123</v>
      </c>
      <c r="N630" s="645">
        <f t="shared" ref="N630" si="1636">IFERROR(H630*M630+H631*M631+H632*M632+H633*M633+H634*M634,"N.A.")</f>
        <v>40.064102564102562</v>
      </c>
      <c r="O630" s="625"/>
      <c r="P630" s="628">
        <f t="shared" si="1531"/>
        <v>40.064102564102562</v>
      </c>
      <c r="Q630" s="628">
        <f t="shared" si="1629"/>
        <v>40.064102564102562</v>
      </c>
    </row>
    <row r="631" spans="1:17" ht="15.75" hidden="1" thickBot="1">
      <c r="A631" s="390" t="str">
        <f t="shared" ref="A631:B631" si="1637">A628</f>
        <v>PP</v>
      </c>
      <c r="B631" s="391" t="str">
        <f t="shared" si="1637"/>
        <v>fiber</v>
      </c>
      <c r="C631" s="391">
        <f t="shared" si="1630"/>
        <v>4</v>
      </c>
      <c r="D631" s="391" t="str">
        <f t="shared" ref="D631:E631" si="1638">D628</f>
        <v>0,1-1</v>
      </c>
      <c r="E631" s="391">
        <f t="shared" si="1638"/>
        <v>1</v>
      </c>
      <c r="F631" s="391" t="str">
        <f t="shared" ref="F631:G631" si="1639">F630</f>
        <v>fresh water</v>
      </c>
      <c r="G631" s="401" t="str">
        <f t="shared" si="1639"/>
        <v>DE: PP fiber 0,1-1 mm (emission to fresh water)</v>
      </c>
      <c r="H631" s="465">
        <v>1</v>
      </c>
      <c r="I631" s="394" t="s">
        <v>1097</v>
      </c>
      <c r="J631" s="635"/>
      <c r="K631" s="389">
        <v>6.24</v>
      </c>
      <c r="L631" s="536"/>
      <c r="M631" s="509">
        <f t="shared" si="1516"/>
        <v>40.064102564102562</v>
      </c>
      <c r="N631" s="646"/>
      <c r="O631" s="626"/>
      <c r="P631" s="629"/>
      <c r="Q631" s="629"/>
    </row>
    <row r="632" spans="1:17" ht="15.75" hidden="1" thickBot="1">
      <c r="A632" s="390" t="str">
        <f t="shared" ref="A632:B632" si="1640">A629</f>
        <v>PP</v>
      </c>
      <c r="B632" s="391" t="str">
        <f t="shared" si="1640"/>
        <v>fiber</v>
      </c>
      <c r="C632" s="391">
        <f t="shared" si="1630"/>
        <v>4</v>
      </c>
      <c r="D632" s="391" t="str">
        <f t="shared" ref="D632:E632" si="1641">D629</f>
        <v>0,1-1</v>
      </c>
      <c r="E632" s="391">
        <f t="shared" si="1641"/>
        <v>1</v>
      </c>
      <c r="F632" s="391" t="str">
        <f t="shared" ref="F632:G632" si="1642">F631</f>
        <v>fresh water</v>
      </c>
      <c r="G632" s="401" t="str">
        <f t="shared" si="1642"/>
        <v>DE: PP fiber 0,1-1 mm (emission to fresh water)</v>
      </c>
      <c r="H632" s="465">
        <v>0</v>
      </c>
      <c r="I632" s="394" t="s">
        <v>1162</v>
      </c>
      <c r="J632" s="635"/>
      <c r="K632" s="389">
        <v>0.29775984121096721</v>
      </c>
      <c r="L632" s="536"/>
      <c r="M632" s="509">
        <f t="shared" si="1516"/>
        <v>839.60281206246123</v>
      </c>
      <c r="N632" s="646"/>
      <c r="O632" s="626"/>
      <c r="P632" s="629"/>
      <c r="Q632" s="629"/>
    </row>
    <row r="633" spans="1:17" ht="15.75" hidden="1" thickBot="1">
      <c r="A633" s="390" t="str">
        <f t="shared" ref="A633:B633" si="1643">A630</f>
        <v>PP</v>
      </c>
      <c r="B633" s="391" t="str">
        <f t="shared" si="1643"/>
        <v>fiber</v>
      </c>
      <c r="C633" s="391">
        <f t="shared" si="1630"/>
        <v>4</v>
      </c>
      <c r="D633" s="391" t="str">
        <f t="shared" ref="D633:E633" si="1644">D630</f>
        <v>0,1-1</v>
      </c>
      <c r="E633" s="391">
        <f t="shared" si="1644"/>
        <v>1</v>
      </c>
      <c r="F633" s="391" t="str">
        <f t="shared" ref="F633:G633" si="1645">F632</f>
        <v>fresh water</v>
      </c>
      <c r="G633" s="401" t="str">
        <f t="shared" si="1645"/>
        <v>DE: PP fiber 0,1-1 mm (emission to fresh water)</v>
      </c>
      <c r="H633" s="465">
        <v>0</v>
      </c>
      <c r="I633" s="394" t="s">
        <v>1163</v>
      </c>
      <c r="J633" s="635"/>
      <c r="K633" s="389">
        <v>0.29775984121096721</v>
      </c>
      <c r="L633" s="536"/>
      <c r="M633" s="509">
        <f t="shared" si="1516"/>
        <v>839.60281206246123</v>
      </c>
      <c r="N633" s="646"/>
      <c r="O633" s="626"/>
      <c r="P633" s="629"/>
      <c r="Q633" s="629"/>
    </row>
    <row r="634" spans="1:17" ht="15.75" hidden="1" thickBot="1">
      <c r="A634" s="390" t="str">
        <f t="shared" ref="A634:B634" si="1646">A631</f>
        <v>PP</v>
      </c>
      <c r="B634" s="391" t="str">
        <f t="shared" si="1646"/>
        <v>fiber</v>
      </c>
      <c r="C634" s="391">
        <f t="shared" si="1630"/>
        <v>4</v>
      </c>
      <c r="D634" s="391" t="str">
        <f t="shared" ref="D634:E634" si="1647">D631</f>
        <v>0,1-1</v>
      </c>
      <c r="E634" s="391">
        <f t="shared" si="1647"/>
        <v>1</v>
      </c>
      <c r="F634" s="402" t="str">
        <f>F631</f>
        <v>fresh water</v>
      </c>
      <c r="G634" s="401" t="str">
        <f t="shared" ref="G634" si="1648">G633</f>
        <v>DE: PP fiber 0,1-1 mm (emission to fresh water)</v>
      </c>
      <c r="H634" s="465">
        <v>0</v>
      </c>
      <c r="I634" s="394" t="s">
        <v>1034</v>
      </c>
      <c r="J634" s="654"/>
      <c r="K634" s="398" t="s">
        <v>596</v>
      </c>
      <c r="L634" s="538"/>
      <c r="M634" s="509">
        <f t="shared" si="1516"/>
        <v>0</v>
      </c>
      <c r="N634" s="647"/>
      <c r="O634" s="627"/>
      <c r="P634" s="629"/>
      <c r="Q634" s="629"/>
    </row>
    <row r="635" spans="1:17" ht="15.75" hidden="1" thickBot="1">
      <c r="A635" s="390" t="str">
        <f t="shared" ref="A635:B635" si="1649">A632</f>
        <v>PP</v>
      </c>
      <c r="B635" s="391" t="str">
        <f t="shared" si="1649"/>
        <v>fiber</v>
      </c>
      <c r="C635" s="391">
        <f t="shared" si="1630"/>
        <v>4</v>
      </c>
      <c r="D635" s="391" t="str">
        <f t="shared" ref="D635:E635" si="1650">D632</f>
        <v>0,1-1</v>
      </c>
      <c r="E635" s="391">
        <f t="shared" si="1650"/>
        <v>1</v>
      </c>
      <c r="F635" s="385" t="s">
        <v>1097</v>
      </c>
      <c r="G635" s="422" t="str">
        <f>CONCATENATE("DE: ",A635," ",B635," ",D635," mm (emission to ",F635,")")</f>
        <v>DE: PP fiber 0,1-1 mm (emission to marine water)</v>
      </c>
      <c r="H635" s="467">
        <v>0</v>
      </c>
      <c r="I635" s="394" t="s">
        <v>1019</v>
      </c>
      <c r="J635" s="634">
        <v>0.22800000000000001</v>
      </c>
      <c r="K635" s="389">
        <v>0.29775984121096721</v>
      </c>
      <c r="L635" s="536"/>
      <c r="M635" s="509">
        <f t="shared" si="1516"/>
        <v>839.60281206246123</v>
      </c>
      <c r="N635" s="645">
        <f t="shared" ref="N635" si="1651">IFERROR(H635*M635+H636*M636+H637*M637+H638*M638+H639*M639,"N.A.")</f>
        <v>40.064102564102562</v>
      </c>
      <c r="O635" s="625"/>
      <c r="P635" s="628">
        <f t="shared" si="1531"/>
        <v>40.064102564102562</v>
      </c>
      <c r="Q635" s="628">
        <f t="shared" si="1629"/>
        <v>40.064102564102562</v>
      </c>
    </row>
    <row r="636" spans="1:17" ht="15.75" hidden="1" thickBot="1">
      <c r="A636" s="390" t="str">
        <f t="shared" ref="A636:B636" si="1652">A633</f>
        <v>PP</v>
      </c>
      <c r="B636" s="391" t="str">
        <f t="shared" si="1652"/>
        <v>fiber</v>
      </c>
      <c r="C636" s="391">
        <f t="shared" si="1630"/>
        <v>4</v>
      </c>
      <c r="D636" s="391" t="str">
        <f t="shared" ref="D636:E636" si="1653">D633</f>
        <v>0,1-1</v>
      </c>
      <c r="E636" s="391">
        <f t="shared" si="1653"/>
        <v>1</v>
      </c>
      <c r="F636" s="391" t="str">
        <f t="shared" ref="F636:G636" si="1654">F635</f>
        <v>marine water</v>
      </c>
      <c r="G636" s="401" t="str">
        <f t="shared" si="1654"/>
        <v>DE: PP fiber 0,1-1 mm (emission to marine water)</v>
      </c>
      <c r="H636" s="465">
        <v>1</v>
      </c>
      <c r="I636" s="394" t="s">
        <v>1097</v>
      </c>
      <c r="J636" s="635"/>
      <c r="K636" s="389">
        <v>6.24</v>
      </c>
      <c r="L636" s="537"/>
      <c r="M636" s="509">
        <f t="shared" si="1516"/>
        <v>40.064102564102562</v>
      </c>
      <c r="N636" s="646"/>
      <c r="O636" s="626"/>
      <c r="P636" s="629"/>
      <c r="Q636" s="629"/>
    </row>
    <row r="637" spans="1:17" ht="15.75" hidden="1" thickBot="1">
      <c r="A637" s="390" t="str">
        <f t="shared" ref="A637:B637" si="1655">A634</f>
        <v>PP</v>
      </c>
      <c r="B637" s="391" t="str">
        <f t="shared" si="1655"/>
        <v>fiber</v>
      </c>
      <c r="C637" s="391">
        <f t="shared" si="1630"/>
        <v>4</v>
      </c>
      <c r="D637" s="391" t="str">
        <f t="shared" ref="D637:E637" si="1656">D634</f>
        <v>0,1-1</v>
      </c>
      <c r="E637" s="391">
        <f t="shared" si="1656"/>
        <v>1</v>
      </c>
      <c r="F637" s="391" t="str">
        <f t="shared" ref="F637:G637" si="1657">F636</f>
        <v>marine water</v>
      </c>
      <c r="G637" s="401" t="str">
        <f t="shared" si="1657"/>
        <v>DE: PP fiber 0,1-1 mm (emission to marine water)</v>
      </c>
      <c r="H637" s="465">
        <v>0</v>
      </c>
      <c r="I637" s="394" t="s">
        <v>1162</v>
      </c>
      <c r="J637" s="635"/>
      <c r="K637" s="389">
        <v>0.29775984121096721</v>
      </c>
      <c r="L637" s="537"/>
      <c r="M637" s="509">
        <f t="shared" si="1516"/>
        <v>839.60281206246123</v>
      </c>
      <c r="N637" s="646"/>
      <c r="O637" s="626"/>
      <c r="P637" s="629"/>
      <c r="Q637" s="629"/>
    </row>
    <row r="638" spans="1:17" ht="15.75" hidden="1" thickBot="1">
      <c r="A638" s="390" t="str">
        <f t="shared" ref="A638:B638" si="1658">A635</f>
        <v>PP</v>
      </c>
      <c r="B638" s="391" t="str">
        <f t="shared" si="1658"/>
        <v>fiber</v>
      </c>
      <c r="C638" s="391">
        <f t="shared" si="1630"/>
        <v>4</v>
      </c>
      <c r="D638" s="391" t="str">
        <f t="shared" ref="D638:E638" si="1659">D635</f>
        <v>0,1-1</v>
      </c>
      <c r="E638" s="391">
        <f t="shared" si="1659"/>
        <v>1</v>
      </c>
      <c r="F638" s="391" t="str">
        <f t="shared" ref="F638:G638" si="1660">F637</f>
        <v>marine water</v>
      </c>
      <c r="G638" s="401" t="str">
        <f t="shared" si="1660"/>
        <v>DE: PP fiber 0,1-1 mm (emission to marine water)</v>
      </c>
      <c r="H638" s="465">
        <v>0</v>
      </c>
      <c r="I638" s="394" t="s">
        <v>1163</v>
      </c>
      <c r="J638" s="635"/>
      <c r="K638" s="389">
        <v>0.29775984121096721</v>
      </c>
      <c r="L638" s="537"/>
      <c r="M638" s="509">
        <f t="shared" si="1516"/>
        <v>839.60281206246123</v>
      </c>
      <c r="N638" s="646"/>
      <c r="O638" s="626"/>
      <c r="P638" s="629"/>
      <c r="Q638" s="629"/>
    </row>
    <row r="639" spans="1:17" ht="15.75" hidden="1" thickBot="1">
      <c r="A639" s="390" t="str">
        <f t="shared" ref="A639:B639" si="1661">A636</f>
        <v>PP</v>
      </c>
      <c r="B639" s="391" t="str">
        <f t="shared" si="1661"/>
        <v>fiber</v>
      </c>
      <c r="C639" s="391">
        <f t="shared" si="1630"/>
        <v>4</v>
      </c>
      <c r="D639" s="391" t="str">
        <f t="shared" ref="D639:E639" si="1662">D636</f>
        <v>0,1-1</v>
      </c>
      <c r="E639" s="391">
        <f t="shared" si="1662"/>
        <v>1</v>
      </c>
      <c r="F639" s="391" t="str">
        <f t="shared" ref="F639:G639" si="1663">F638</f>
        <v>marine water</v>
      </c>
      <c r="G639" s="401" t="str">
        <f t="shared" si="1663"/>
        <v>DE: PP fiber 0,1-1 mm (emission to marine water)</v>
      </c>
      <c r="H639" s="465">
        <v>0</v>
      </c>
      <c r="I639" s="394" t="s">
        <v>1034</v>
      </c>
      <c r="J639" s="654"/>
      <c r="K639" s="398" t="s">
        <v>596</v>
      </c>
      <c r="L639" s="538"/>
      <c r="M639" s="509">
        <f t="shared" si="1516"/>
        <v>0</v>
      </c>
      <c r="N639" s="647"/>
      <c r="O639" s="627"/>
      <c r="P639" s="629"/>
      <c r="Q639" s="629"/>
    </row>
    <row r="640" spans="1:17" ht="15.75" hidden="1" thickBot="1">
      <c r="A640" s="390" t="str">
        <f t="shared" ref="A640:B640" si="1664">A637</f>
        <v>PP</v>
      </c>
      <c r="B640" s="391" t="str">
        <f t="shared" si="1664"/>
        <v>fiber</v>
      </c>
      <c r="C640" s="391">
        <f t="shared" si="1630"/>
        <v>4</v>
      </c>
      <c r="D640" s="391" t="str">
        <f t="shared" ref="D640:E640" si="1665">D637</f>
        <v>0,1-1</v>
      </c>
      <c r="E640" s="391">
        <f t="shared" si="1665"/>
        <v>1</v>
      </c>
      <c r="F640" s="400" t="s">
        <v>1057</v>
      </c>
      <c r="G640" s="422" t="str">
        <f>CONCATENATE("DE: ",A640," ",B640," ",D640," mm (emission to ",F640,")")</f>
        <v>DE: PP fiber 0,1-1 mm (emission to air)</v>
      </c>
      <c r="H640" s="467">
        <v>0.94799999999999995</v>
      </c>
      <c r="I640" s="394" t="s">
        <v>1019</v>
      </c>
      <c r="J640" s="634">
        <v>0.22800000000000001</v>
      </c>
      <c r="K640" s="389">
        <v>0.29775984121096721</v>
      </c>
      <c r="L640" s="536"/>
      <c r="M640" s="509">
        <f t="shared" si="1516"/>
        <v>839.60281206246123</v>
      </c>
      <c r="N640" s="645">
        <f t="shared" ref="N640" si="1666">IFERROR(H640*M640+H641*M641+H642*M642+H643*M643+H644*M644,"N.A.")</f>
        <v>798.02679916854652</v>
      </c>
      <c r="O640" s="625"/>
      <c r="P640" s="628">
        <f t="shared" si="1531"/>
        <v>100</v>
      </c>
      <c r="Q640" s="628">
        <f t="shared" si="1629"/>
        <v>500</v>
      </c>
    </row>
    <row r="641" spans="1:17" ht="15.75" hidden="1" thickBot="1">
      <c r="A641" s="390" t="str">
        <f t="shared" ref="A641:B641" si="1667">A638</f>
        <v>PP</v>
      </c>
      <c r="B641" s="391" t="str">
        <f t="shared" si="1667"/>
        <v>fiber</v>
      </c>
      <c r="C641" s="391">
        <f t="shared" si="1630"/>
        <v>4</v>
      </c>
      <c r="D641" s="391" t="str">
        <f t="shared" ref="D641:E641" si="1668">D638</f>
        <v>0,1-1</v>
      </c>
      <c r="E641" s="391">
        <f t="shared" si="1668"/>
        <v>1</v>
      </c>
      <c r="F641" s="391" t="str">
        <f t="shared" ref="F641:G641" si="1669">F640</f>
        <v>air</v>
      </c>
      <c r="G641" s="401" t="str">
        <f t="shared" si="1669"/>
        <v>DE: PP fiber 0,1-1 mm (emission to air)</v>
      </c>
      <c r="H641" s="465">
        <v>5.1999999999999998E-2</v>
      </c>
      <c r="I641" s="394" t="s">
        <v>1097</v>
      </c>
      <c r="J641" s="635"/>
      <c r="K641" s="389">
        <v>6.24</v>
      </c>
      <c r="L641" s="537"/>
      <c r="M641" s="509">
        <f t="shared" si="1516"/>
        <v>40.064102564102562</v>
      </c>
      <c r="N641" s="646"/>
      <c r="O641" s="626"/>
      <c r="P641" s="629"/>
      <c r="Q641" s="629"/>
    </row>
    <row r="642" spans="1:17" ht="15.75" hidden="1" thickBot="1">
      <c r="A642" s="390" t="str">
        <f t="shared" ref="A642:B642" si="1670">A639</f>
        <v>PP</v>
      </c>
      <c r="B642" s="391" t="str">
        <f t="shared" si="1670"/>
        <v>fiber</v>
      </c>
      <c r="C642" s="391">
        <f t="shared" si="1630"/>
        <v>4</v>
      </c>
      <c r="D642" s="391" t="str">
        <f t="shared" ref="D642:E642" si="1671">D639</f>
        <v>0,1-1</v>
      </c>
      <c r="E642" s="391">
        <f t="shared" si="1671"/>
        <v>1</v>
      </c>
      <c r="F642" s="391" t="str">
        <f t="shared" ref="F642:G642" si="1672">F641</f>
        <v>air</v>
      </c>
      <c r="G642" s="401" t="str">
        <f t="shared" si="1672"/>
        <v>DE: PP fiber 0,1-1 mm (emission to air)</v>
      </c>
      <c r="H642" s="465">
        <v>0</v>
      </c>
      <c r="I642" s="394" t="s">
        <v>1162</v>
      </c>
      <c r="J642" s="635"/>
      <c r="K642" s="389">
        <v>0.29775984121096721</v>
      </c>
      <c r="L642" s="537"/>
      <c r="M642" s="509">
        <f t="shared" si="1516"/>
        <v>839.60281206246123</v>
      </c>
      <c r="N642" s="646"/>
      <c r="O642" s="626"/>
      <c r="P642" s="629"/>
      <c r="Q642" s="629"/>
    </row>
    <row r="643" spans="1:17" ht="15.75" hidden="1" thickBot="1">
      <c r="A643" s="390" t="str">
        <f t="shared" ref="A643:B643" si="1673">A640</f>
        <v>PP</v>
      </c>
      <c r="B643" s="391" t="str">
        <f t="shared" si="1673"/>
        <v>fiber</v>
      </c>
      <c r="C643" s="391">
        <f t="shared" si="1630"/>
        <v>4</v>
      </c>
      <c r="D643" s="391" t="str">
        <f t="shared" ref="D643:E643" si="1674">D640</f>
        <v>0,1-1</v>
      </c>
      <c r="E643" s="391">
        <f t="shared" si="1674"/>
        <v>1</v>
      </c>
      <c r="F643" s="391" t="str">
        <f t="shared" ref="F643:G643" si="1675">F642</f>
        <v>air</v>
      </c>
      <c r="G643" s="401" t="str">
        <f t="shared" si="1675"/>
        <v>DE: PP fiber 0,1-1 mm (emission to air)</v>
      </c>
      <c r="H643" s="465">
        <v>0</v>
      </c>
      <c r="I643" s="394" t="s">
        <v>1163</v>
      </c>
      <c r="J643" s="635"/>
      <c r="K643" s="389">
        <v>0.29775984121096721</v>
      </c>
      <c r="L643" s="537"/>
      <c r="M643" s="509">
        <f t="shared" si="1516"/>
        <v>839.60281206246123</v>
      </c>
      <c r="N643" s="646"/>
      <c r="O643" s="626"/>
      <c r="P643" s="629"/>
      <c r="Q643" s="629"/>
    </row>
    <row r="644" spans="1:17" ht="15.75" hidden="1" thickBot="1">
      <c r="A644" s="404" t="str">
        <f t="shared" ref="A644:B644" si="1676">A639</f>
        <v>PP</v>
      </c>
      <c r="B644" s="402" t="str">
        <f t="shared" si="1676"/>
        <v>fiber</v>
      </c>
      <c r="C644" s="391">
        <f t="shared" si="1630"/>
        <v>4</v>
      </c>
      <c r="D644" s="402" t="str">
        <f t="shared" ref="D644:E644" si="1677">D639</f>
        <v>0,1-1</v>
      </c>
      <c r="E644" s="402">
        <f t="shared" si="1677"/>
        <v>1</v>
      </c>
      <c r="F644" s="391" t="str">
        <f t="shared" ref="F644:G644" si="1678">F643</f>
        <v>air</v>
      </c>
      <c r="G644" s="401" t="str">
        <f t="shared" si="1678"/>
        <v>DE: PP fiber 0,1-1 mm (emission to air)</v>
      </c>
      <c r="H644" s="465">
        <v>0</v>
      </c>
      <c r="I644" s="394" t="s">
        <v>1034</v>
      </c>
      <c r="J644" s="636"/>
      <c r="K644" s="398" t="s">
        <v>596</v>
      </c>
      <c r="L644" s="538"/>
      <c r="M644" s="509">
        <f t="shared" si="1516"/>
        <v>0</v>
      </c>
      <c r="N644" s="647"/>
      <c r="O644" s="627"/>
      <c r="P644" s="629"/>
      <c r="Q644" s="629"/>
    </row>
    <row r="645" spans="1:17" ht="16.5" hidden="1" thickTop="1" thickBot="1">
      <c r="A645" s="405" t="s">
        <v>165</v>
      </c>
      <c r="B645" s="406" t="s">
        <v>1151</v>
      </c>
      <c r="C645" s="407">
        <v>4</v>
      </c>
      <c r="D645" s="423" t="s">
        <v>1026</v>
      </c>
      <c r="E645" s="408">
        <v>10</v>
      </c>
      <c r="F645" s="424" t="s">
        <v>1019</v>
      </c>
      <c r="G645" s="425" t="str">
        <f>CONCATENATE("DE: ",A645," ",B645," ",D645," mm (emission to ",F645,")")</f>
        <v>DE: PP fiber 1-10 mm (emission to soil)</v>
      </c>
      <c r="H645" s="464">
        <v>0.97</v>
      </c>
      <c r="I645" s="427" t="s">
        <v>1019</v>
      </c>
      <c r="J645" s="632">
        <v>0.22800000000000001</v>
      </c>
      <c r="K645" s="428">
        <v>0.29775984121096721</v>
      </c>
      <c r="L645" s="539"/>
      <c r="M645" s="509">
        <f t="shared" si="1516"/>
        <v>1000</v>
      </c>
      <c r="N645" s="645">
        <f t="shared" ref="N645" si="1679">IFERROR(H645*M645+H646*M646+H647*M647+H648*M648+H649*M649,"N.A.")</f>
        <v>982.01923076923072</v>
      </c>
      <c r="O645" s="625"/>
      <c r="P645" s="628">
        <f t="shared" si="1531"/>
        <v>100</v>
      </c>
      <c r="Q645" s="628">
        <f t="shared" si="1629"/>
        <v>500</v>
      </c>
    </row>
    <row r="646" spans="1:17" ht="15.75" hidden="1" thickBot="1">
      <c r="A646" s="390" t="str">
        <f>A645</f>
        <v>PP</v>
      </c>
      <c r="B646" s="391" t="str">
        <f>B645</f>
        <v>fiber</v>
      </c>
      <c r="C646" s="391">
        <f t="shared" ref="C646:G664" si="1680">C645</f>
        <v>4</v>
      </c>
      <c r="D646" s="391" t="str">
        <f t="shared" si="1680"/>
        <v>1-10</v>
      </c>
      <c r="E646" s="391">
        <f t="shared" si="1680"/>
        <v>10</v>
      </c>
      <c r="F646" s="391" t="str">
        <f t="shared" si="1680"/>
        <v>soil</v>
      </c>
      <c r="G646" s="392" t="str">
        <f t="shared" si="1680"/>
        <v>DE: PP fiber 1-10 mm (emission to soil)</v>
      </c>
      <c r="H646" s="465">
        <v>0.03</v>
      </c>
      <c r="I646" s="394" t="s">
        <v>1097</v>
      </c>
      <c r="J646" s="632"/>
      <c r="K646" s="395">
        <v>6.24</v>
      </c>
      <c r="L646" s="537"/>
      <c r="M646" s="509">
        <f t="shared" ref="M646:M709" si="1681">IFERROR(IF(K646="--",0,IF(E646*1000/K646*(1-0.5)^(C646/2)&gt;1000,1000,E646*1000/K646*(1-0.5)^(C646/2))),1000)</f>
        <v>400.64102564102564</v>
      </c>
      <c r="N646" s="646"/>
      <c r="O646" s="626"/>
      <c r="P646" s="629"/>
      <c r="Q646" s="629"/>
    </row>
    <row r="647" spans="1:17" ht="15.75" hidden="1" thickBot="1">
      <c r="A647" s="390" t="str">
        <f t="shared" ref="A647:A648" si="1682">A646</f>
        <v>PP</v>
      </c>
      <c r="B647" s="391" t="str">
        <f t="shared" ref="B647:B648" si="1683">B646</f>
        <v>fiber</v>
      </c>
      <c r="C647" s="391">
        <f t="shared" si="1680"/>
        <v>4</v>
      </c>
      <c r="D647" s="391" t="str">
        <f t="shared" si="1680"/>
        <v>1-10</v>
      </c>
      <c r="E647" s="391">
        <f t="shared" si="1680"/>
        <v>10</v>
      </c>
      <c r="F647" s="391" t="str">
        <f t="shared" si="1680"/>
        <v>soil</v>
      </c>
      <c r="G647" s="392" t="str">
        <f t="shared" si="1680"/>
        <v>DE: PP fiber 1-10 mm (emission to soil)</v>
      </c>
      <c r="H647" s="465">
        <v>0</v>
      </c>
      <c r="I647" s="394" t="s">
        <v>1162</v>
      </c>
      <c r="J647" s="632"/>
      <c r="K647" s="395">
        <v>0.29775984121096721</v>
      </c>
      <c r="L647" s="537"/>
      <c r="M647" s="509">
        <f t="shared" si="1681"/>
        <v>1000</v>
      </c>
      <c r="N647" s="646"/>
      <c r="O647" s="626"/>
      <c r="P647" s="629"/>
      <c r="Q647" s="629"/>
    </row>
    <row r="648" spans="1:17" ht="15.75" hidden="1" thickBot="1">
      <c r="A648" s="390" t="str">
        <f t="shared" si="1682"/>
        <v>PP</v>
      </c>
      <c r="B648" s="391" t="str">
        <f t="shared" si="1683"/>
        <v>fiber</v>
      </c>
      <c r="C648" s="391">
        <f t="shared" si="1680"/>
        <v>4</v>
      </c>
      <c r="D648" s="391" t="str">
        <f t="shared" si="1680"/>
        <v>1-10</v>
      </c>
      <c r="E648" s="391">
        <f t="shared" si="1680"/>
        <v>10</v>
      </c>
      <c r="F648" s="391" t="str">
        <f t="shared" si="1680"/>
        <v>soil</v>
      </c>
      <c r="G648" s="392" t="str">
        <f t="shared" si="1680"/>
        <v>DE: PP fiber 1-10 mm (emission to soil)</v>
      </c>
      <c r="H648" s="465">
        <v>0</v>
      </c>
      <c r="I648" s="394" t="s">
        <v>1163</v>
      </c>
      <c r="J648" s="632"/>
      <c r="K648" s="395">
        <v>0.29775984121096721</v>
      </c>
      <c r="L648" s="537"/>
      <c r="M648" s="509">
        <f t="shared" si="1681"/>
        <v>1000</v>
      </c>
      <c r="N648" s="646"/>
      <c r="O648" s="626"/>
      <c r="P648" s="629"/>
      <c r="Q648" s="629"/>
    </row>
    <row r="649" spans="1:17" ht="15.75" hidden="1" thickBot="1">
      <c r="A649" s="390" t="str">
        <f>A646</f>
        <v>PP</v>
      </c>
      <c r="B649" s="391" t="str">
        <f>B646</f>
        <v>fiber</v>
      </c>
      <c r="C649" s="391">
        <f t="shared" si="1680"/>
        <v>4</v>
      </c>
      <c r="D649" s="391" t="str">
        <f>D646</f>
        <v>1-10</v>
      </c>
      <c r="E649" s="391">
        <f>E646</f>
        <v>10</v>
      </c>
      <c r="F649" s="391" t="str">
        <f>F646</f>
        <v>soil</v>
      </c>
      <c r="G649" s="396" t="str">
        <f t="shared" ref="G649" si="1684">G648</f>
        <v>DE: PP fiber 1-10 mm (emission to soil)</v>
      </c>
      <c r="H649" s="465">
        <v>0</v>
      </c>
      <c r="I649" s="397" t="s">
        <v>1034</v>
      </c>
      <c r="J649" s="633"/>
      <c r="K649" s="398" t="s">
        <v>596</v>
      </c>
      <c r="L649" s="538"/>
      <c r="M649" s="509">
        <f t="shared" si="1681"/>
        <v>0</v>
      </c>
      <c r="N649" s="647"/>
      <c r="O649" s="627"/>
      <c r="P649" s="629"/>
      <c r="Q649" s="629"/>
    </row>
    <row r="650" spans="1:17" ht="15.75" hidden="1" thickBot="1">
      <c r="A650" s="390" t="str">
        <f t="shared" ref="A650:B650" si="1685">A647</f>
        <v>PP</v>
      </c>
      <c r="B650" s="391" t="str">
        <f t="shared" si="1685"/>
        <v>fiber</v>
      </c>
      <c r="C650" s="391">
        <f t="shared" si="1680"/>
        <v>4</v>
      </c>
      <c r="D650" s="399" t="str">
        <f t="shared" ref="D650:E650" si="1686">D647</f>
        <v>1-10</v>
      </c>
      <c r="E650" s="391">
        <f t="shared" si="1686"/>
        <v>10</v>
      </c>
      <c r="F650" s="400" t="s">
        <v>1147</v>
      </c>
      <c r="G650" s="386" t="str">
        <f>CONCATENATE("DE: ",A650," ",B650," ",D650," mm (emission to ",F650,")")</f>
        <v>DE: PP fiber 1-10 mm (emission to fresh water)</v>
      </c>
      <c r="H650" s="466">
        <v>0</v>
      </c>
      <c r="I650" s="388" t="s">
        <v>1019</v>
      </c>
      <c r="J650" s="634">
        <v>0.22800000000000001</v>
      </c>
      <c r="K650" s="389">
        <v>0.29775984121096721</v>
      </c>
      <c r="L650" s="536"/>
      <c r="M650" s="509">
        <f t="shared" si="1681"/>
        <v>1000</v>
      </c>
      <c r="N650" s="645">
        <f t="shared" ref="N650" si="1687">IFERROR(H650*M650+H651*M651+H652*M652+H653*M653+H654*M654,"N.A.")</f>
        <v>400.64102564102564</v>
      </c>
      <c r="O650" s="625"/>
      <c r="P650" s="628">
        <f t="shared" si="1531"/>
        <v>100</v>
      </c>
      <c r="Q650" s="628">
        <f t="shared" si="1629"/>
        <v>400.64102564102564</v>
      </c>
    </row>
    <row r="651" spans="1:17" ht="15.75" hidden="1" thickBot="1">
      <c r="A651" s="390" t="str">
        <f t="shared" ref="A651:B651" si="1688">A648</f>
        <v>PP</v>
      </c>
      <c r="B651" s="391" t="str">
        <f t="shared" si="1688"/>
        <v>fiber</v>
      </c>
      <c r="C651" s="391">
        <f t="shared" si="1680"/>
        <v>4</v>
      </c>
      <c r="D651" s="391" t="str">
        <f t="shared" ref="D651:E651" si="1689">D648</f>
        <v>1-10</v>
      </c>
      <c r="E651" s="391">
        <f t="shared" si="1689"/>
        <v>10</v>
      </c>
      <c r="F651" s="391" t="str">
        <f t="shared" ref="F651:G651" si="1690">F650</f>
        <v>fresh water</v>
      </c>
      <c r="G651" s="401" t="str">
        <f t="shared" si="1690"/>
        <v>DE: PP fiber 1-10 mm (emission to fresh water)</v>
      </c>
      <c r="H651" s="465">
        <v>1</v>
      </c>
      <c r="I651" s="394" t="s">
        <v>1097</v>
      </c>
      <c r="J651" s="635"/>
      <c r="K651" s="389">
        <v>6.24</v>
      </c>
      <c r="L651" s="536"/>
      <c r="M651" s="509">
        <f t="shared" si="1681"/>
        <v>400.64102564102564</v>
      </c>
      <c r="N651" s="646"/>
      <c r="O651" s="626"/>
      <c r="P651" s="629"/>
      <c r="Q651" s="629"/>
    </row>
    <row r="652" spans="1:17" ht="15.75" hidden="1" thickBot="1">
      <c r="A652" s="390" t="str">
        <f t="shared" ref="A652:B652" si="1691">A649</f>
        <v>PP</v>
      </c>
      <c r="B652" s="391" t="str">
        <f t="shared" si="1691"/>
        <v>fiber</v>
      </c>
      <c r="C652" s="391">
        <f t="shared" si="1680"/>
        <v>4</v>
      </c>
      <c r="D652" s="391" t="str">
        <f t="shared" ref="D652:E652" si="1692">D649</f>
        <v>1-10</v>
      </c>
      <c r="E652" s="391">
        <f t="shared" si="1692"/>
        <v>10</v>
      </c>
      <c r="F652" s="391" t="str">
        <f t="shared" ref="F652:G652" si="1693">F651</f>
        <v>fresh water</v>
      </c>
      <c r="G652" s="401" t="str">
        <f t="shared" si="1693"/>
        <v>DE: PP fiber 1-10 mm (emission to fresh water)</v>
      </c>
      <c r="H652" s="465">
        <v>0</v>
      </c>
      <c r="I652" s="394" t="s">
        <v>1162</v>
      </c>
      <c r="J652" s="635"/>
      <c r="K652" s="389">
        <v>0.29775984121096721</v>
      </c>
      <c r="L652" s="536"/>
      <c r="M652" s="509">
        <f t="shared" si="1681"/>
        <v>1000</v>
      </c>
      <c r="N652" s="646"/>
      <c r="O652" s="626"/>
      <c r="P652" s="629"/>
      <c r="Q652" s="629"/>
    </row>
    <row r="653" spans="1:17" ht="15.75" hidden="1" thickBot="1">
      <c r="A653" s="390" t="str">
        <f t="shared" ref="A653:B653" si="1694">A650</f>
        <v>PP</v>
      </c>
      <c r="B653" s="391" t="str">
        <f t="shared" si="1694"/>
        <v>fiber</v>
      </c>
      <c r="C653" s="391">
        <f t="shared" si="1680"/>
        <v>4</v>
      </c>
      <c r="D653" s="391" t="str">
        <f t="shared" ref="D653:E653" si="1695">D650</f>
        <v>1-10</v>
      </c>
      <c r="E653" s="391">
        <f t="shared" si="1695"/>
        <v>10</v>
      </c>
      <c r="F653" s="391" t="str">
        <f t="shared" ref="F653:G653" si="1696">F652</f>
        <v>fresh water</v>
      </c>
      <c r="G653" s="401" t="str">
        <f t="shared" si="1696"/>
        <v>DE: PP fiber 1-10 mm (emission to fresh water)</v>
      </c>
      <c r="H653" s="465">
        <v>0</v>
      </c>
      <c r="I653" s="394" t="s">
        <v>1163</v>
      </c>
      <c r="J653" s="635"/>
      <c r="K653" s="389">
        <v>0.29775984121096721</v>
      </c>
      <c r="L653" s="536"/>
      <c r="M653" s="509">
        <f t="shared" si="1681"/>
        <v>1000</v>
      </c>
      <c r="N653" s="646"/>
      <c r="O653" s="626"/>
      <c r="P653" s="629"/>
      <c r="Q653" s="629"/>
    </row>
    <row r="654" spans="1:17" ht="15.75" hidden="1" thickBot="1">
      <c r="A654" s="390" t="str">
        <f t="shared" ref="A654:B654" si="1697">A651</f>
        <v>PP</v>
      </c>
      <c r="B654" s="391" t="str">
        <f t="shared" si="1697"/>
        <v>fiber</v>
      </c>
      <c r="C654" s="391">
        <f t="shared" si="1680"/>
        <v>4</v>
      </c>
      <c r="D654" s="391" t="str">
        <f t="shared" ref="D654:E654" si="1698">D651</f>
        <v>1-10</v>
      </c>
      <c r="E654" s="391">
        <f t="shared" si="1698"/>
        <v>10</v>
      </c>
      <c r="F654" s="402" t="str">
        <f>F651</f>
        <v>fresh water</v>
      </c>
      <c r="G654" s="401" t="str">
        <f t="shared" ref="G654" si="1699">G653</f>
        <v>DE: PP fiber 1-10 mm (emission to fresh water)</v>
      </c>
      <c r="H654" s="465">
        <v>0</v>
      </c>
      <c r="I654" s="394" t="s">
        <v>1034</v>
      </c>
      <c r="J654" s="654"/>
      <c r="K654" s="398" t="s">
        <v>596</v>
      </c>
      <c r="L654" s="538"/>
      <c r="M654" s="509">
        <f t="shared" si="1681"/>
        <v>0</v>
      </c>
      <c r="N654" s="647"/>
      <c r="O654" s="627"/>
      <c r="P654" s="629"/>
      <c r="Q654" s="629"/>
    </row>
    <row r="655" spans="1:17" ht="15.75" hidden="1" thickBot="1">
      <c r="A655" s="390" t="str">
        <f t="shared" ref="A655:B655" si="1700">A652</f>
        <v>PP</v>
      </c>
      <c r="B655" s="391" t="str">
        <f t="shared" si="1700"/>
        <v>fiber</v>
      </c>
      <c r="C655" s="391">
        <f t="shared" si="1680"/>
        <v>4</v>
      </c>
      <c r="D655" s="391" t="str">
        <f t="shared" ref="D655:E655" si="1701">D652</f>
        <v>1-10</v>
      </c>
      <c r="E655" s="391">
        <f t="shared" si="1701"/>
        <v>10</v>
      </c>
      <c r="F655" s="385" t="s">
        <v>1097</v>
      </c>
      <c r="G655" s="422" t="str">
        <f>CONCATENATE("DE: ",A655," ",B655," ",D655," mm (emission to ",F655,")")</f>
        <v>DE: PP fiber 1-10 mm (emission to marine water)</v>
      </c>
      <c r="H655" s="467">
        <v>0</v>
      </c>
      <c r="I655" s="394" t="s">
        <v>1019</v>
      </c>
      <c r="J655" s="634">
        <v>0.22800000000000001</v>
      </c>
      <c r="K655" s="389">
        <v>0.29775984121096721</v>
      </c>
      <c r="L655" s="536"/>
      <c r="M655" s="509">
        <f t="shared" si="1681"/>
        <v>1000</v>
      </c>
      <c r="N655" s="645">
        <f t="shared" ref="N655" si="1702">IFERROR(H655*M655+H656*M656+H657*M657+H658*M658+H659*M659,"N.A.")</f>
        <v>400.64102564102564</v>
      </c>
      <c r="O655" s="625"/>
      <c r="P655" s="628">
        <f t="shared" ref="P655:P715" si="1703">IFERROR(IF(H655*M655+H656*M656+H657*M657+H658*M658+H659*M659&gt;100,100,H655*M655+H656*M656+H657*M657+H658*M658+H659*M659),"N.A.")</f>
        <v>100</v>
      </c>
      <c r="Q655" s="628">
        <f t="shared" si="1629"/>
        <v>400.64102564102564</v>
      </c>
    </row>
    <row r="656" spans="1:17" ht="15.75" hidden="1" thickBot="1">
      <c r="A656" s="390" t="str">
        <f t="shared" ref="A656:B656" si="1704">A653</f>
        <v>PP</v>
      </c>
      <c r="B656" s="391" t="str">
        <f t="shared" si="1704"/>
        <v>fiber</v>
      </c>
      <c r="C656" s="391">
        <f t="shared" si="1680"/>
        <v>4</v>
      </c>
      <c r="D656" s="391" t="str">
        <f t="shared" ref="D656:E656" si="1705">D653</f>
        <v>1-10</v>
      </c>
      <c r="E656" s="391">
        <f t="shared" si="1705"/>
        <v>10</v>
      </c>
      <c r="F656" s="391" t="str">
        <f t="shared" ref="F656:G656" si="1706">F655</f>
        <v>marine water</v>
      </c>
      <c r="G656" s="401" t="str">
        <f t="shared" si="1706"/>
        <v>DE: PP fiber 1-10 mm (emission to marine water)</v>
      </c>
      <c r="H656" s="465">
        <v>1</v>
      </c>
      <c r="I656" s="394" t="s">
        <v>1097</v>
      </c>
      <c r="J656" s="635"/>
      <c r="K656" s="389">
        <v>6.24</v>
      </c>
      <c r="L656" s="537"/>
      <c r="M656" s="509">
        <f t="shared" si="1681"/>
        <v>400.64102564102564</v>
      </c>
      <c r="N656" s="646"/>
      <c r="O656" s="626"/>
      <c r="P656" s="629"/>
      <c r="Q656" s="629"/>
    </row>
    <row r="657" spans="1:17" ht="15.75" hidden="1" thickBot="1">
      <c r="A657" s="390" t="str">
        <f t="shared" ref="A657:B657" si="1707">A654</f>
        <v>PP</v>
      </c>
      <c r="B657" s="391" t="str">
        <f t="shared" si="1707"/>
        <v>fiber</v>
      </c>
      <c r="C657" s="391">
        <f t="shared" si="1680"/>
        <v>4</v>
      </c>
      <c r="D657" s="391" t="str">
        <f t="shared" ref="D657:E657" si="1708">D654</f>
        <v>1-10</v>
      </c>
      <c r="E657" s="391">
        <f t="shared" si="1708"/>
        <v>10</v>
      </c>
      <c r="F657" s="391" t="str">
        <f t="shared" ref="F657:G657" si="1709">F656</f>
        <v>marine water</v>
      </c>
      <c r="G657" s="401" t="str">
        <f t="shared" si="1709"/>
        <v>DE: PP fiber 1-10 mm (emission to marine water)</v>
      </c>
      <c r="H657" s="465">
        <v>0</v>
      </c>
      <c r="I657" s="394" t="s">
        <v>1162</v>
      </c>
      <c r="J657" s="635"/>
      <c r="K657" s="389">
        <v>0.29775984121096721</v>
      </c>
      <c r="L657" s="537"/>
      <c r="M657" s="509">
        <f t="shared" si="1681"/>
        <v>1000</v>
      </c>
      <c r="N657" s="646"/>
      <c r="O657" s="626"/>
      <c r="P657" s="629"/>
      <c r="Q657" s="629"/>
    </row>
    <row r="658" spans="1:17" ht="15.75" hidden="1" thickBot="1">
      <c r="A658" s="390" t="str">
        <f t="shared" ref="A658:B658" si="1710">A655</f>
        <v>PP</v>
      </c>
      <c r="B658" s="391" t="str">
        <f t="shared" si="1710"/>
        <v>fiber</v>
      </c>
      <c r="C658" s="391">
        <f t="shared" si="1680"/>
        <v>4</v>
      </c>
      <c r="D658" s="391" t="str">
        <f t="shared" ref="D658:E658" si="1711">D655</f>
        <v>1-10</v>
      </c>
      <c r="E658" s="391">
        <f t="shared" si="1711"/>
        <v>10</v>
      </c>
      <c r="F658" s="391" t="str">
        <f t="shared" ref="F658:G658" si="1712">F657</f>
        <v>marine water</v>
      </c>
      <c r="G658" s="401" t="str">
        <f t="shared" si="1712"/>
        <v>DE: PP fiber 1-10 mm (emission to marine water)</v>
      </c>
      <c r="H658" s="465">
        <v>0</v>
      </c>
      <c r="I658" s="394" t="s">
        <v>1163</v>
      </c>
      <c r="J658" s="635"/>
      <c r="K658" s="389">
        <v>0.29775984121096721</v>
      </c>
      <c r="L658" s="537"/>
      <c r="M658" s="509">
        <f t="shared" si="1681"/>
        <v>1000</v>
      </c>
      <c r="N658" s="646"/>
      <c r="O658" s="626"/>
      <c r="P658" s="629"/>
      <c r="Q658" s="629"/>
    </row>
    <row r="659" spans="1:17" ht="15.75" hidden="1" thickBot="1">
      <c r="A659" s="390" t="str">
        <f t="shared" ref="A659:B659" si="1713">A656</f>
        <v>PP</v>
      </c>
      <c r="B659" s="391" t="str">
        <f t="shared" si="1713"/>
        <v>fiber</v>
      </c>
      <c r="C659" s="391">
        <f t="shared" si="1680"/>
        <v>4</v>
      </c>
      <c r="D659" s="391" t="str">
        <f t="shared" ref="D659:E659" si="1714">D656</f>
        <v>1-10</v>
      </c>
      <c r="E659" s="391">
        <f t="shared" si="1714"/>
        <v>10</v>
      </c>
      <c r="F659" s="391" t="str">
        <f t="shared" ref="F659:G659" si="1715">F658</f>
        <v>marine water</v>
      </c>
      <c r="G659" s="401" t="str">
        <f t="shared" si="1715"/>
        <v>DE: PP fiber 1-10 mm (emission to marine water)</v>
      </c>
      <c r="H659" s="465">
        <v>0</v>
      </c>
      <c r="I659" s="394" t="s">
        <v>1034</v>
      </c>
      <c r="J659" s="654"/>
      <c r="K659" s="398" t="s">
        <v>596</v>
      </c>
      <c r="L659" s="538"/>
      <c r="M659" s="509">
        <f t="shared" si="1681"/>
        <v>0</v>
      </c>
      <c r="N659" s="647"/>
      <c r="O659" s="627"/>
      <c r="P659" s="629"/>
      <c r="Q659" s="629"/>
    </row>
    <row r="660" spans="1:17" ht="15.75" hidden="1" thickBot="1">
      <c r="A660" s="390" t="str">
        <f t="shared" ref="A660:B660" si="1716">A657</f>
        <v>PP</v>
      </c>
      <c r="B660" s="391" t="str">
        <f t="shared" si="1716"/>
        <v>fiber</v>
      </c>
      <c r="C660" s="391">
        <f t="shared" si="1680"/>
        <v>4</v>
      </c>
      <c r="D660" s="391" t="str">
        <f t="shared" ref="D660:E660" si="1717">D657</f>
        <v>1-10</v>
      </c>
      <c r="E660" s="391">
        <f t="shared" si="1717"/>
        <v>10</v>
      </c>
      <c r="F660" s="400" t="s">
        <v>1057</v>
      </c>
      <c r="G660" s="422" t="str">
        <f>CONCATENATE("DE: ",A660," ",B660," ",D660," mm (emission to ",F660,")")</f>
        <v>DE: PP fiber 1-10 mm (emission to air)</v>
      </c>
      <c r="H660" s="467">
        <v>0.94799999999999995</v>
      </c>
      <c r="I660" s="394" t="s">
        <v>1019</v>
      </c>
      <c r="J660" s="634">
        <v>0.22800000000000001</v>
      </c>
      <c r="K660" s="389">
        <v>0.29775984121096721</v>
      </c>
      <c r="L660" s="536"/>
      <c r="M660" s="509">
        <f t="shared" si="1681"/>
        <v>1000</v>
      </c>
      <c r="N660" s="645">
        <f t="shared" ref="N660" si="1718">IFERROR(H660*M660+H661*M661+H662*M662+H663*M663+H664*M664,"N.A.")</f>
        <v>968.83333333333337</v>
      </c>
      <c r="O660" s="625"/>
      <c r="P660" s="628">
        <f t="shared" si="1703"/>
        <v>100</v>
      </c>
      <c r="Q660" s="628">
        <f t="shared" si="1629"/>
        <v>500</v>
      </c>
    </row>
    <row r="661" spans="1:17" ht="15.75" hidden="1" thickBot="1">
      <c r="A661" s="390" t="str">
        <f t="shared" ref="A661:B661" si="1719">A658</f>
        <v>PP</v>
      </c>
      <c r="B661" s="391" t="str">
        <f t="shared" si="1719"/>
        <v>fiber</v>
      </c>
      <c r="C661" s="391">
        <f t="shared" si="1680"/>
        <v>4</v>
      </c>
      <c r="D661" s="391" t="str">
        <f t="shared" ref="D661:E661" si="1720">D658</f>
        <v>1-10</v>
      </c>
      <c r="E661" s="391">
        <f t="shared" si="1720"/>
        <v>10</v>
      </c>
      <c r="F661" s="391" t="str">
        <f t="shared" ref="F661:G661" si="1721">F660</f>
        <v>air</v>
      </c>
      <c r="G661" s="401" t="str">
        <f t="shared" si="1721"/>
        <v>DE: PP fiber 1-10 mm (emission to air)</v>
      </c>
      <c r="H661" s="465">
        <v>5.1999999999999998E-2</v>
      </c>
      <c r="I661" s="394" t="s">
        <v>1097</v>
      </c>
      <c r="J661" s="635"/>
      <c r="K661" s="389">
        <v>6.24</v>
      </c>
      <c r="L661" s="537"/>
      <c r="M661" s="509">
        <f t="shared" si="1681"/>
        <v>400.64102564102564</v>
      </c>
      <c r="N661" s="646"/>
      <c r="O661" s="626"/>
      <c r="P661" s="629"/>
      <c r="Q661" s="629"/>
    </row>
    <row r="662" spans="1:17" ht="15.75" hidden="1" thickBot="1">
      <c r="A662" s="390" t="str">
        <f t="shared" ref="A662:B662" si="1722">A659</f>
        <v>PP</v>
      </c>
      <c r="B662" s="391" t="str">
        <f t="shared" si="1722"/>
        <v>fiber</v>
      </c>
      <c r="C662" s="391">
        <f t="shared" si="1680"/>
        <v>4</v>
      </c>
      <c r="D662" s="391" t="str">
        <f t="shared" ref="D662:E662" si="1723">D659</f>
        <v>1-10</v>
      </c>
      <c r="E662" s="391">
        <f t="shared" si="1723"/>
        <v>10</v>
      </c>
      <c r="F662" s="391" t="str">
        <f t="shared" ref="F662:G662" si="1724">F661</f>
        <v>air</v>
      </c>
      <c r="G662" s="401" t="str">
        <f t="shared" si="1724"/>
        <v>DE: PP fiber 1-10 mm (emission to air)</v>
      </c>
      <c r="H662" s="465">
        <v>0</v>
      </c>
      <c r="I662" s="394" t="s">
        <v>1162</v>
      </c>
      <c r="J662" s="635"/>
      <c r="K662" s="389">
        <v>0.29775984121096721</v>
      </c>
      <c r="L662" s="537"/>
      <c r="M662" s="509">
        <f t="shared" si="1681"/>
        <v>1000</v>
      </c>
      <c r="N662" s="646"/>
      <c r="O662" s="626"/>
      <c r="P662" s="629"/>
      <c r="Q662" s="629"/>
    </row>
    <row r="663" spans="1:17" ht="15.75" hidden="1" thickBot="1">
      <c r="A663" s="390" t="str">
        <f t="shared" ref="A663:B663" si="1725">A660</f>
        <v>PP</v>
      </c>
      <c r="B663" s="391" t="str">
        <f t="shared" si="1725"/>
        <v>fiber</v>
      </c>
      <c r="C663" s="391">
        <f t="shared" si="1680"/>
        <v>4</v>
      </c>
      <c r="D663" s="391" t="str">
        <f t="shared" ref="D663:E663" si="1726">D660</f>
        <v>1-10</v>
      </c>
      <c r="E663" s="391">
        <f t="shared" si="1726"/>
        <v>10</v>
      </c>
      <c r="F663" s="391" t="str">
        <f t="shared" ref="F663:G663" si="1727">F662</f>
        <v>air</v>
      </c>
      <c r="G663" s="401" t="str">
        <f t="shared" si="1727"/>
        <v>DE: PP fiber 1-10 mm (emission to air)</v>
      </c>
      <c r="H663" s="465">
        <v>0</v>
      </c>
      <c r="I663" s="394" t="s">
        <v>1163</v>
      </c>
      <c r="J663" s="635"/>
      <c r="K663" s="389">
        <v>0.29775984121096721</v>
      </c>
      <c r="L663" s="537"/>
      <c r="M663" s="509">
        <f t="shared" si="1681"/>
        <v>1000</v>
      </c>
      <c r="N663" s="646"/>
      <c r="O663" s="626"/>
      <c r="P663" s="629"/>
      <c r="Q663" s="629"/>
    </row>
    <row r="664" spans="1:17" ht="15.75" hidden="1" thickBot="1">
      <c r="A664" s="404" t="str">
        <f t="shared" ref="A664:B664" si="1728">A659</f>
        <v>PP</v>
      </c>
      <c r="B664" s="402" t="str">
        <f t="shared" si="1728"/>
        <v>fiber</v>
      </c>
      <c r="C664" s="391">
        <f t="shared" si="1680"/>
        <v>4</v>
      </c>
      <c r="D664" s="402" t="str">
        <f t="shared" ref="D664:E664" si="1729">D659</f>
        <v>1-10</v>
      </c>
      <c r="E664" s="402">
        <f t="shared" si="1729"/>
        <v>10</v>
      </c>
      <c r="F664" s="391" t="str">
        <f t="shared" ref="F664:G664" si="1730">F663</f>
        <v>air</v>
      </c>
      <c r="G664" s="401" t="str">
        <f t="shared" si="1730"/>
        <v>DE: PP fiber 1-10 mm (emission to air)</v>
      </c>
      <c r="H664" s="465">
        <v>0</v>
      </c>
      <c r="I664" s="394" t="s">
        <v>1034</v>
      </c>
      <c r="J664" s="636"/>
      <c r="K664" s="398" t="s">
        <v>596</v>
      </c>
      <c r="L664" s="538"/>
      <c r="M664" s="509">
        <f t="shared" si="1681"/>
        <v>0</v>
      </c>
      <c r="N664" s="647"/>
      <c r="O664" s="627"/>
      <c r="P664" s="629"/>
      <c r="Q664" s="629"/>
    </row>
    <row r="665" spans="1:17" ht="16.5" hidden="1" thickTop="1" thickBot="1">
      <c r="A665" s="405" t="s">
        <v>165</v>
      </c>
      <c r="B665" s="406" t="s">
        <v>1152</v>
      </c>
      <c r="C665" s="407">
        <v>6</v>
      </c>
      <c r="D665" s="423" t="s">
        <v>1018</v>
      </c>
      <c r="E665" s="408">
        <v>0.1</v>
      </c>
      <c r="F665" s="424" t="s">
        <v>1019</v>
      </c>
      <c r="G665" s="425" t="str">
        <f>CONCATENATE("DE: ",A665," ",B665," ",D665," mm (emission to ",F665,")")</f>
        <v>DE: PP particle 0,01-0,1 mm (emission to soil)</v>
      </c>
      <c r="H665" s="464">
        <v>0.97</v>
      </c>
      <c r="I665" s="427" t="s">
        <v>1019</v>
      </c>
      <c r="J665" s="632">
        <v>0.22800000000000001</v>
      </c>
      <c r="K665" s="428">
        <v>0.29775984121096721</v>
      </c>
      <c r="L665" s="539"/>
      <c r="M665" s="509">
        <f t="shared" si="1681"/>
        <v>41.980140603123061</v>
      </c>
      <c r="N665" s="645">
        <f t="shared" ref="N665" si="1731">IFERROR(H665*M665+H666*M666+H667*M667+H668*M668+H669*M669,"N.A.")</f>
        <v>40.780832538875522</v>
      </c>
      <c r="O665" s="625"/>
      <c r="P665" s="628">
        <f t="shared" si="1703"/>
        <v>40.780832538875522</v>
      </c>
      <c r="Q665" s="628">
        <f t="shared" si="1629"/>
        <v>40.780832538875522</v>
      </c>
    </row>
    <row r="666" spans="1:17" ht="15.75" hidden="1" thickBot="1">
      <c r="A666" s="390" t="str">
        <f>A665</f>
        <v>PP</v>
      </c>
      <c r="B666" s="391" t="str">
        <f>B665</f>
        <v>particle</v>
      </c>
      <c r="C666" s="391">
        <f t="shared" ref="C666:G684" si="1732">C665</f>
        <v>6</v>
      </c>
      <c r="D666" s="391" t="str">
        <f t="shared" si="1732"/>
        <v>0,01-0,1</v>
      </c>
      <c r="E666" s="391">
        <f t="shared" si="1732"/>
        <v>0.1</v>
      </c>
      <c r="F666" s="391" t="str">
        <f t="shared" si="1732"/>
        <v>soil</v>
      </c>
      <c r="G666" s="392" t="str">
        <f t="shared" si="1732"/>
        <v>DE: PP particle 0,01-0,1 mm (emission to soil)</v>
      </c>
      <c r="H666" s="465">
        <v>0.03</v>
      </c>
      <c r="I666" s="394" t="s">
        <v>1097</v>
      </c>
      <c r="J666" s="632"/>
      <c r="K666" s="395">
        <v>6.24</v>
      </c>
      <c r="L666" s="537"/>
      <c r="M666" s="509">
        <f t="shared" si="1681"/>
        <v>2.0032051282051282</v>
      </c>
      <c r="N666" s="646"/>
      <c r="O666" s="626"/>
      <c r="P666" s="629"/>
      <c r="Q666" s="629"/>
    </row>
    <row r="667" spans="1:17" ht="15.75" hidden="1" thickBot="1">
      <c r="A667" s="390" t="str">
        <f t="shared" ref="A667:A668" si="1733">A666</f>
        <v>PP</v>
      </c>
      <c r="B667" s="391" t="str">
        <f t="shared" ref="B667:B668" si="1734">B666</f>
        <v>particle</v>
      </c>
      <c r="C667" s="391">
        <f t="shared" si="1732"/>
        <v>6</v>
      </c>
      <c r="D667" s="391" t="str">
        <f t="shared" si="1732"/>
        <v>0,01-0,1</v>
      </c>
      <c r="E667" s="391">
        <f t="shared" si="1732"/>
        <v>0.1</v>
      </c>
      <c r="F667" s="391" t="str">
        <f t="shared" si="1732"/>
        <v>soil</v>
      </c>
      <c r="G667" s="392" t="str">
        <f t="shared" si="1732"/>
        <v>DE: PP particle 0,01-0,1 mm (emission to soil)</v>
      </c>
      <c r="H667" s="465">
        <v>0</v>
      </c>
      <c r="I667" s="394" t="s">
        <v>1162</v>
      </c>
      <c r="J667" s="632"/>
      <c r="K667" s="395">
        <v>0.29775984121096721</v>
      </c>
      <c r="L667" s="537"/>
      <c r="M667" s="509">
        <f t="shared" si="1681"/>
        <v>41.980140603123061</v>
      </c>
      <c r="N667" s="646"/>
      <c r="O667" s="626"/>
      <c r="P667" s="629"/>
      <c r="Q667" s="629"/>
    </row>
    <row r="668" spans="1:17" ht="15.75" hidden="1" thickBot="1">
      <c r="A668" s="390" t="str">
        <f t="shared" si="1733"/>
        <v>PP</v>
      </c>
      <c r="B668" s="391" t="str">
        <f t="shared" si="1734"/>
        <v>particle</v>
      </c>
      <c r="C668" s="391">
        <f t="shared" si="1732"/>
        <v>6</v>
      </c>
      <c r="D668" s="391" t="str">
        <f t="shared" si="1732"/>
        <v>0,01-0,1</v>
      </c>
      <c r="E668" s="391">
        <f t="shared" si="1732"/>
        <v>0.1</v>
      </c>
      <c r="F668" s="391" t="str">
        <f t="shared" si="1732"/>
        <v>soil</v>
      </c>
      <c r="G668" s="392" t="str">
        <f t="shared" si="1732"/>
        <v>DE: PP particle 0,01-0,1 mm (emission to soil)</v>
      </c>
      <c r="H668" s="465">
        <v>0</v>
      </c>
      <c r="I668" s="394" t="s">
        <v>1163</v>
      </c>
      <c r="J668" s="632"/>
      <c r="K668" s="395">
        <v>0.29775984121096721</v>
      </c>
      <c r="L668" s="537"/>
      <c r="M668" s="509">
        <f t="shared" si="1681"/>
        <v>41.980140603123061</v>
      </c>
      <c r="N668" s="646"/>
      <c r="O668" s="626"/>
      <c r="P668" s="629"/>
      <c r="Q668" s="629"/>
    </row>
    <row r="669" spans="1:17" ht="15.75" hidden="1" thickBot="1">
      <c r="A669" s="390" t="str">
        <f>A666</f>
        <v>PP</v>
      </c>
      <c r="B669" s="391" t="str">
        <f>B666</f>
        <v>particle</v>
      </c>
      <c r="C669" s="391">
        <f t="shared" si="1732"/>
        <v>6</v>
      </c>
      <c r="D669" s="391" t="str">
        <f>D666</f>
        <v>0,01-0,1</v>
      </c>
      <c r="E669" s="391">
        <f>E666</f>
        <v>0.1</v>
      </c>
      <c r="F669" s="391" t="str">
        <f>F666</f>
        <v>soil</v>
      </c>
      <c r="G669" s="396" t="str">
        <f t="shared" ref="G669" si="1735">G668</f>
        <v>DE: PP particle 0,01-0,1 mm (emission to soil)</v>
      </c>
      <c r="H669" s="465">
        <v>0</v>
      </c>
      <c r="I669" s="397" t="s">
        <v>1034</v>
      </c>
      <c r="J669" s="633"/>
      <c r="K669" s="398" t="s">
        <v>596</v>
      </c>
      <c r="L669" s="538"/>
      <c r="M669" s="509">
        <f t="shared" si="1681"/>
        <v>0</v>
      </c>
      <c r="N669" s="647"/>
      <c r="O669" s="627"/>
      <c r="P669" s="629"/>
      <c r="Q669" s="629"/>
    </row>
    <row r="670" spans="1:17" ht="15.75" hidden="1" thickBot="1">
      <c r="A670" s="390" t="str">
        <f t="shared" ref="A670:B670" si="1736">A667</f>
        <v>PP</v>
      </c>
      <c r="B670" s="391" t="str">
        <f t="shared" si="1736"/>
        <v>particle</v>
      </c>
      <c r="C670" s="391">
        <f t="shared" si="1732"/>
        <v>6</v>
      </c>
      <c r="D670" s="399" t="str">
        <f t="shared" ref="D670:E670" si="1737">D667</f>
        <v>0,01-0,1</v>
      </c>
      <c r="E670" s="391">
        <f t="shared" si="1737"/>
        <v>0.1</v>
      </c>
      <c r="F670" s="430" t="s">
        <v>1147</v>
      </c>
      <c r="G670" s="431" t="str">
        <f>CONCATENATE("DE: ",A670," ",B670," ",D670," mm (emission to ",F670,")")</f>
        <v>DE: PP particle 0,01-0,1 mm (emission to fresh water)</v>
      </c>
      <c r="H670" s="468">
        <v>0</v>
      </c>
      <c r="I670" s="433" t="s">
        <v>1019</v>
      </c>
      <c r="J670" s="634">
        <v>0.22800000000000001</v>
      </c>
      <c r="K670" s="434">
        <v>0.29775984121096721</v>
      </c>
      <c r="L670" s="536"/>
      <c r="M670" s="509">
        <f t="shared" si="1681"/>
        <v>41.980140603123061</v>
      </c>
      <c r="N670" s="645">
        <f t="shared" ref="N670" si="1738">IFERROR(H670*M670+H671*M671+H672*M672+H673*M673+H674*M674,"N.A.")</f>
        <v>2.0032051282051282</v>
      </c>
      <c r="O670" s="625"/>
      <c r="P670" s="628">
        <f t="shared" si="1703"/>
        <v>2.0032051282051282</v>
      </c>
      <c r="Q670" s="628">
        <f t="shared" si="1629"/>
        <v>2.0032051282051282</v>
      </c>
    </row>
    <row r="671" spans="1:17" ht="15.75" hidden="1" thickBot="1">
      <c r="A671" s="390" t="str">
        <f t="shared" ref="A671:B671" si="1739">A668</f>
        <v>PP</v>
      </c>
      <c r="B671" s="391" t="str">
        <f t="shared" si="1739"/>
        <v>particle</v>
      </c>
      <c r="C671" s="391">
        <f t="shared" si="1732"/>
        <v>6</v>
      </c>
      <c r="D671" s="391" t="str">
        <f t="shared" ref="D671:E671" si="1740">D668</f>
        <v>0,01-0,1</v>
      </c>
      <c r="E671" s="391">
        <f t="shared" si="1740"/>
        <v>0.1</v>
      </c>
      <c r="F671" s="414" t="str">
        <f t="shared" ref="F671:G671" si="1741">F670</f>
        <v>fresh water</v>
      </c>
      <c r="G671" s="435" t="str">
        <f t="shared" si="1741"/>
        <v>DE: PP particle 0,01-0,1 mm (emission to fresh water)</v>
      </c>
      <c r="H671" s="469">
        <v>1</v>
      </c>
      <c r="I671" s="417" t="s">
        <v>1097</v>
      </c>
      <c r="J671" s="635"/>
      <c r="K671" s="434">
        <v>6.24</v>
      </c>
      <c r="L671" s="536"/>
      <c r="M671" s="509">
        <f t="shared" si="1681"/>
        <v>2.0032051282051282</v>
      </c>
      <c r="N671" s="646"/>
      <c r="O671" s="626"/>
      <c r="P671" s="629"/>
      <c r="Q671" s="629"/>
    </row>
    <row r="672" spans="1:17" ht="15.75" hidden="1" thickBot="1">
      <c r="A672" s="390" t="str">
        <f t="shared" ref="A672:B672" si="1742">A669</f>
        <v>PP</v>
      </c>
      <c r="B672" s="391" t="str">
        <f t="shared" si="1742"/>
        <v>particle</v>
      </c>
      <c r="C672" s="391">
        <f t="shared" si="1732"/>
        <v>6</v>
      </c>
      <c r="D672" s="391" t="str">
        <f t="shared" ref="D672:E672" si="1743">D669</f>
        <v>0,01-0,1</v>
      </c>
      <c r="E672" s="391">
        <f t="shared" si="1743"/>
        <v>0.1</v>
      </c>
      <c r="F672" s="414" t="str">
        <f t="shared" ref="F672:G672" si="1744">F671</f>
        <v>fresh water</v>
      </c>
      <c r="G672" s="435" t="str">
        <f t="shared" si="1744"/>
        <v>DE: PP particle 0,01-0,1 mm (emission to fresh water)</v>
      </c>
      <c r="H672" s="469">
        <v>0</v>
      </c>
      <c r="I672" s="417" t="s">
        <v>1162</v>
      </c>
      <c r="J672" s="635"/>
      <c r="K672" s="434">
        <v>0.29775984121096721</v>
      </c>
      <c r="L672" s="536"/>
      <c r="M672" s="509">
        <f t="shared" si="1681"/>
        <v>41.980140603123061</v>
      </c>
      <c r="N672" s="646"/>
      <c r="O672" s="626"/>
      <c r="P672" s="629"/>
      <c r="Q672" s="629"/>
    </row>
    <row r="673" spans="1:17" ht="15.75" hidden="1" thickBot="1">
      <c r="A673" s="390" t="str">
        <f t="shared" ref="A673:B673" si="1745">A670</f>
        <v>PP</v>
      </c>
      <c r="B673" s="391" t="str">
        <f t="shared" si="1745"/>
        <v>particle</v>
      </c>
      <c r="C673" s="391">
        <f t="shared" si="1732"/>
        <v>6</v>
      </c>
      <c r="D673" s="391" t="str">
        <f t="shared" ref="D673:E673" si="1746">D670</f>
        <v>0,01-0,1</v>
      </c>
      <c r="E673" s="391">
        <f t="shared" si="1746"/>
        <v>0.1</v>
      </c>
      <c r="F673" s="414" t="str">
        <f t="shared" ref="F673:G673" si="1747">F672</f>
        <v>fresh water</v>
      </c>
      <c r="G673" s="435" t="str">
        <f t="shared" si="1747"/>
        <v>DE: PP particle 0,01-0,1 mm (emission to fresh water)</v>
      </c>
      <c r="H673" s="469">
        <v>0</v>
      </c>
      <c r="I673" s="417" t="s">
        <v>1163</v>
      </c>
      <c r="J673" s="635"/>
      <c r="K673" s="434">
        <v>0.29775984121096721</v>
      </c>
      <c r="L673" s="536"/>
      <c r="M673" s="509">
        <f t="shared" si="1681"/>
        <v>41.980140603123061</v>
      </c>
      <c r="N673" s="646"/>
      <c r="O673" s="626"/>
      <c r="P673" s="629"/>
      <c r="Q673" s="629"/>
    </row>
    <row r="674" spans="1:17" ht="15.75" hidden="1" thickBot="1">
      <c r="A674" s="390" t="str">
        <f t="shared" ref="A674:B674" si="1748">A671</f>
        <v>PP</v>
      </c>
      <c r="B674" s="391" t="str">
        <f t="shared" si="1748"/>
        <v>particle</v>
      </c>
      <c r="C674" s="391">
        <f t="shared" si="1732"/>
        <v>6</v>
      </c>
      <c r="D674" s="391" t="str">
        <f t="shared" ref="D674:E674" si="1749">D671</f>
        <v>0,01-0,1</v>
      </c>
      <c r="E674" s="391">
        <f t="shared" si="1749"/>
        <v>0.1</v>
      </c>
      <c r="F674" s="436" t="str">
        <f>F671</f>
        <v>fresh water</v>
      </c>
      <c r="G674" s="435" t="str">
        <f t="shared" ref="G674" si="1750">G673</f>
        <v>DE: PP particle 0,01-0,1 mm (emission to fresh water)</v>
      </c>
      <c r="H674" s="469">
        <v>0</v>
      </c>
      <c r="I674" s="417" t="s">
        <v>1034</v>
      </c>
      <c r="J674" s="654"/>
      <c r="K674" s="421" t="s">
        <v>596</v>
      </c>
      <c r="L674" s="538"/>
      <c r="M674" s="509">
        <f t="shared" si="1681"/>
        <v>0</v>
      </c>
      <c r="N674" s="647"/>
      <c r="O674" s="627"/>
      <c r="P674" s="629"/>
      <c r="Q674" s="629"/>
    </row>
    <row r="675" spans="1:17" ht="15.75" hidden="1" thickBot="1">
      <c r="A675" s="390" t="str">
        <f t="shared" ref="A675:B675" si="1751">A672</f>
        <v>PP</v>
      </c>
      <c r="B675" s="391" t="str">
        <f t="shared" si="1751"/>
        <v>particle</v>
      </c>
      <c r="C675" s="391">
        <f t="shared" si="1732"/>
        <v>6</v>
      </c>
      <c r="D675" s="391" t="str">
        <f t="shared" ref="D675:E675" si="1752">D672</f>
        <v>0,01-0,1</v>
      </c>
      <c r="E675" s="391">
        <f t="shared" si="1752"/>
        <v>0.1</v>
      </c>
      <c r="F675" s="385" t="s">
        <v>1097</v>
      </c>
      <c r="G675" s="422" t="str">
        <f>CONCATENATE("DE: ",A675," ",B675," ",D675," mm (emission to ",F675,")")</f>
        <v>DE: PP particle 0,01-0,1 mm (emission to marine water)</v>
      </c>
      <c r="H675" s="467">
        <v>0</v>
      </c>
      <c r="I675" s="394" t="s">
        <v>1019</v>
      </c>
      <c r="J675" s="634">
        <v>0.22800000000000001</v>
      </c>
      <c r="K675" s="389">
        <v>0.29775984121096721</v>
      </c>
      <c r="L675" s="536"/>
      <c r="M675" s="509">
        <f t="shared" si="1681"/>
        <v>41.980140603123061</v>
      </c>
      <c r="N675" s="645">
        <f t="shared" ref="N675" si="1753">IFERROR(H675*M675+H676*M676+H677*M677+H678*M678+H679*M679,"N.A.")</f>
        <v>2.0032051282051282</v>
      </c>
      <c r="O675" s="625"/>
      <c r="P675" s="628">
        <f t="shared" si="1703"/>
        <v>2.0032051282051282</v>
      </c>
      <c r="Q675" s="628">
        <f t="shared" si="1629"/>
        <v>2.0032051282051282</v>
      </c>
    </row>
    <row r="676" spans="1:17" ht="15.75" hidden="1" thickBot="1">
      <c r="A676" s="390" t="str">
        <f t="shared" ref="A676:B676" si="1754">A673</f>
        <v>PP</v>
      </c>
      <c r="B676" s="391" t="str">
        <f t="shared" si="1754"/>
        <v>particle</v>
      </c>
      <c r="C676" s="391">
        <f t="shared" si="1732"/>
        <v>6</v>
      </c>
      <c r="D676" s="391" t="str">
        <f t="shared" ref="D676:E676" si="1755">D673</f>
        <v>0,01-0,1</v>
      </c>
      <c r="E676" s="391">
        <f t="shared" si="1755"/>
        <v>0.1</v>
      </c>
      <c r="F676" s="391" t="str">
        <f t="shared" ref="F676:G676" si="1756">F675</f>
        <v>marine water</v>
      </c>
      <c r="G676" s="401" t="str">
        <f t="shared" si="1756"/>
        <v>DE: PP particle 0,01-0,1 mm (emission to marine water)</v>
      </c>
      <c r="H676" s="465">
        <v>1</v>
      </c>
      <c r="I676" s="394" t="s">
        <v>1097</v>
      </c>
      <c r="J676" s="635"/>
      <c r="K676" s="389">
        <v>6.24</v>
      </c>
      <c r="L676" s="537"/>
      <c r="M676" s="509">
        <f t="shared" si="1681"/>
        <v>2.0032051282051282</v>
      </c>
      <c r="N676" s="646"/>
      <c r="O676" s="626"/>
      <c r="P676" s="629"/>
      <c r="Q676" s="629"/>
    </row>
    <row r="677" spans="1:17" ht="15.75" hidden="1" thickBot="1">
      <c r="A677" s="390" t="str">
        <f t="shared" ref="A677:B677" si="1757">A674</f>
        <v>PP</v>
      </c>
      <c r="B677" s="391" t="str">
        <f t="shared" si="1757"/>
        <v>particle</v>
      </c>
      <c r="C677" s="391">
        <f t="shared" si="1732"/>
        <v>6</v>
      </c>
      <c r="D677" s="391" t="str">
        <f t="shared" ref="D677:E677" si="1758">D674</f>
        <v>0,01-0,1</v>
      </c>
      <c r="E677" s="391">
        <f t="shared" si="1758"/>
        <v>0.1</v>
      </c>
      <c r="F677" s="391" t="str">
        <f t="shared" ref="F677:G677" si="1759">F676</f>
        <v>marine water</v>
      </c>
      <c r="G677" s="401" t="str">
        <f t="shared" si="1759"/>
        <v>DE: PP particle 0,01-0,1 mm (emission to marine water)</v>
      </c>
      <c r="H677" s="465">
        <v>0</v>
      </c>
      <c r="I677" s="394" t="s">
        <v>1162</v>
      </c>
      <c r="J677" s="635"/>
      <c r="K677" s="389">
        <v>0.29775984121096721</v>
      </c>
      <c r="L677" s="537"/>
      <c r="M677" s="509">
        <f t="shared" si="1681"/>
        <v>41.980140603123061</v>
      </c>
      <c r="N677" s="646"/>
      <c r="O677" s="626"/>
      <c r="P677" s="629"/>
      <c r="Q677" s="629"/>
    </row>
    <row r="678" spans="1:17" ht="15.75" hidden="1" thickBot="1">
      <c r="A678" s="390" t="str">
        <f t="shared" ref="A678:B678" si="1760">A675</f>
        <v>PP</v>
      </c>
      <c r="B678" s="391" t="str">
        <f t="shared" si="1760"/>
        <v>particle</v>
      </c>
      <c r="C678" s="391">
        <f t="shared" si="1732"/>
        <v>6</v>
      </c>
      <c r="D678" s="391" t="str">
        <f t="shared" ref="D678:E678" si="1761">D675</f>
        <v>0,01-0,1</v>
      </c>
      <c r="E678" s="391">
        <f t="shared" si="1761"/>
        <v>0.1</v>
      </c>
      <c r="F678" s="391" t="str">
        <f t="shared" ref="F678:G678" si="1762">F677</f>
        <v>marine water</v>
      </c>
      <c r="G678" s="401" t="str">
        <f t="shared" si="1762"/>
        <v>DE: PP particle 0,01-0,1 mm (emission to marine water)</v>
      </c>
      <c r="H678" s="465">
        <v>0</v>
      </c>
      <c r="I678" s="394" t="s">
        <v>1163</v>
      </c>
      <c r="J678" s="635"/>
      <c r="K678" s="389">
        <v>0.29775984121096721</v>
      </c>
      <c r="L678" s="537"/>
      <c r="M678" s="509">
        <f t="shared" si="1681"/>
        <v>41.980140603123061</v>
      </c>
      <c r="N678" s="646"/>
      <c r="O678" s="626"/>
      <c r="P678" s="629"/>
      <c r="Q678" s="629"/>
    </row>
    <row r="679" spans="1:17" ht="15.75" hidden="1" thickBot="1">
      <c r="A679" s="390" t="str">
        <f t="shared" ref="A679:B679" si="1763">A676</f>
        <v>PP</v>
      </c>
      <c r="B679" s="391" t="str">
        <f t="shared" si="1763"/>
        <v>particle</v>
      </c>
      <c r="C679" s="391">
        <f t="shared" si="1732"/>
        <v>6</v>
      </c>
      <c r="D679" s="391" t="str">
        <f t="shared" ref="D679:E679" si="1764">D676</f>
        <v>0,01-0,1</v>
      </c>
      <c r="E679" s="391">
        <f t="shared" si="1764"/>
        <v>0.1</v>
      </c>
      <c r="F679" s="391" t="str">
        <f t="shared" ref="F679:G679" si="1765">F678</f>
        <v>marine water</v>
      </c>
      <c r="G679" s="401" t="str">
        <f t="shared" si="1765"/>
        <v>DE: PP particle 0,01-0,1 mm (emission to marine water)</v>
      </c>
      <c r="H679" s="465">
        <v>0</v>
      </c>
      <c r="I679" s="394" t="s">
        <v>1034</v>
      </c>
      <c r="J679" s="654"/>
      <c r="K679" s="398" t="s">
        <v>596</v>
      </c>
      <c r="L679" s="538"/>
      <c r="M679" s="509">
        <f t="shared" si="1681"/>
        <v>0</v>
      </c>
      <c r="N679" s="647"/>
      <c r="O679" s="627"/>
      <c r="P679" s="629"/>
      <c r="Q679" s="629"/>
    </row>
    <row r="680" spans="1:17" ht="15.75" hidden="1" thickBot="1">
      <c r="A680" s="390" t="str">
        <f t="shared" ref="A680:B680" si="1766">A677</f>
        <v>PP</v>
      </c>
      <c r="B680" s="391" t="str">
        <f t="shared" si="1766"/>
        <v>particle</v>
      </c>
      <c r="C680" s="391">
        <f t="shared" si="1732"/>
        <v>6</v>
      </c>
      <c r="D680" s="391" t="str">
        <f t="shared" ref="D680:E680" si="1767">D677</f>
        <v>0,01-0,1</v>
      </c>
      <c r="E680" s="391">
        <f t="shared" si="1767"/>
        <v>0.1</v>
      </c>
      <c r="F680" s="400" t="s">
        <v>1057</v>
      </c>
      <c r="G680" s="422" t="str">
        <f>CONCATENATE("DE: ",A680," ",B680," ",D680," mm (emission to ",F680,")")</f>
        <v>DE: PP particle 0,01-0,1 mm (emission to air)</v>
      </c>
      <c r="H680" s="467">
        <v>0.94799999999999995</v>
      </c>
      <c r="I680" s="394" t="s">
        <v>1019</v>
      </c>
      <c r="J680" s="634">
        <v>0.22800000000000001</v>
      </c>
      <c r="K680" s="389">
        <v>0.29775984121096721</v>
      </c>
      <c r="L680" s="536"/>
      <c r="M680" s="509">
        <f t="shared" si="1681"/>
        <v>41.980140603123061</v>
      </c>
      <c r="N680" s="645">
        <f t="shared" ref="N680" si="1768">IFERROR(H680*M680+H681*M681+H682*M682+H683*M683+H684*M684,"N.A.")</f>
        <v>39.901339958427322</v>
      </c>
      <c r="O680" s="625"/>
      <c r="P680" s="628">
        <f t="shared" si="1703"/>
        <v>39.901339958427322</v>
      </c>
      <c r="Q680" s="628">
        <f t="shared" si="1629"/>
        <v>39.901339958427322</v>
      </c>
    </row>
    <row r="681" spans="1:17" ht="15.75" hidden="1" thickBot="1">
      <c r="A681" s="390" t="str">
        <f t="shared" ref="A681:B681" si="1769">A678</f>
        <v>PP</v>
      </c>
      <c r="B681" s="391" t="str">
        <f t="shared" si="1769"/>
        <v>particle</v>
      </c>
      <c r="C681" s="391">
        <f t="shared" si="1732"/>
        <v>6</v>
      </c>
      <c r="D681" s="391" t="str">
        <f t="shared" ref="D681:E681" si="1770">D678</f>
        <v>0,01-0,1</v>
      </c>
      <c r="E681" s="391">
        <f t="shared" si="1770"/>
        <v>0.1</v>
      </c>
      <c r="F681" s="391" t="str">
        <f t="shared" ref="F681:G681" si="1771">F680</f>
        <v>air</v>
      </c>
      <c r="G681" s="401" t="str">
        <f t="shared" si="1771"/>
        <v>DE: PP particle 0,01-0,1 mm (emission to air)</v>
      </c>
      <c r="H681" s="465">
        <v>5.1999999999999998E-2</v>
      </c>
      <c r="I681" s="394" t="s">
        <v>1097</v>
      </c>
      <c r="J681" s="635"/>
      <c r="K681" s="389">
        <v>6.24</v>
      </c>
      <c r="L681" s="537"/>
      <c r="M681" s="509">
        <f t="shared" si="1681"/>
        <v>2.0032051282051282</v>
      </c>
      <c r="N681" s="646"/>
      <c r="O681" s="626"/>
      <c r="P681" s="629"/>
      <c r="Q681" s="629"/>
    </row>
    <row r="682" spans="1:17" ht="15.75" hidden="1" thickBot="1">
      <c r="A682" s="390" t="str">
        <f t="shared" ref="A682:B682" si="1772">A679</f>
        <v>PP</v>
      </c>
      <c r="B682" s="391" t="str">
        <f t="shared" si="1772"/>
        <v>particle</v>
      </c>
      <c r="C682" s="391">
        <f t="shared" si="1732"/>
        <v>6</v>
      </c>
      <c r="D682" s="391" t="str">
        <f t="shared" ref="D682:E682" si="1773">D679</f>
        <v>0,01-0,1</v>
      </c>
      <c r="E682" s="391">
        <f t="shared" si="1773"/>
        <v>0.1</v>
      </c>
      <c r="F682" s="391" t="str">
        <f t="shared" ref="F682:G682" si="1774">F681</f>
        <v>air</v>
      </c>
      <c r="G682" s="401" t="str">
        <f t="shared" si="1774"/>
        <v>DE: PP particle 0,01-0,1 mm (emission to air)</v>
      </c>
      <c r="H682" s="465">
        <v>0</v>
      </c>
      <c r="I682" s="394" t="s">
        <v>1162</v>
      </c>
      <c r="J682" s="635"/>
      <c r="K682" s="389">
        <v>0.29775984121096721</v>
      </c>
      <c r="L682" s="537"/>
      <c r="M682" s="509">
        <f t="shared" si="1681"/>
        <v>41.980140603123061</v>
      </c>
      <c r="N682" s="646"/>
      <c r="O682" s="626"/>
      <c r="P682" s="629"/>
      <c r="Q682" s="629"/>
    </row>
    <row r="683" spans="1:17" ht="15.75" hidden="1" thickBot="1">
      <c r="A683" s="390" t="str">
        <f t="shared" ref="A683:B683" si="1775">A680</f>
        <v>PP</v>
      </c>
      <c r="B683" s="391" t="str">
        <f t="shared" si="1775"/>
        <v>particle</v>
      </c>
      <c r="C683" s="391">
        <f t="shared" si="1732"/>
        <v>6</v>
      </c>
      <c r="D683" s="391" t="str">
        <f t="shared" ref="D683:E683" si="1776">D680</f>
        <v>0,01-0,1</v>
      </c>
      <c r="E683" s="391">
        <f t="shared" si="1776"/>
        <v>0.1</v>
      </c>
      <c r="F683" s="391" t="str">
        <f t="shared" ref="F683:G683" si="1777">F682</f>
        <v>air</v>
      </c>
      <c r="G683" s="401" t="str">
        <f t="shared" si="1777"/>
        <v>DE: PP particle 0,01-0,1 mm (emission to air)</v>
      </c>
      <c r="H683" s="465">
        <v>0</v>
      </c>
      <c r="I683" s="394" t="s">
        <v>1163</v>
      </c>
      <c r="J683" s="635"/>
      <c r="K683" s="389">
        <v>0.29775984121096721</v>
      </c>
      <c r="L683" s="537"/>
      <c r="M683" s="509">
        <f t="shared" si="1681"/>
        <v>41.980140603123061</v>
      </c>
      <c r="N683" s="646"/>
      <c r="O683" s="626"/>
      <c r="P683" s="629"/>
      <c r="Q683" s="629"/>
    </row>
    <row r="684" spans="1:17" ht="15.75" hidden="1" thickBot="1">
      <c r="A684" s="404" t="str">
        <f t="shared" ref="A684:B684" si="1778">A679</f>
        <v>PP</v>
      </c>
      <c r="B684" s="402" t="str">
        <f t="shared" si="1778"/>
        <v>particle</v>
      </c>
      <c r="C684" s="391">
        <f t="shared" si="1732"/>
        <v>6</v>
      </c>
      <c r="D684" s="402" t="str">
        <f t="shared" ref="D684:E684" si="1779">D679</f>
        <v>0,01-0,1</v>
      </c>
      <c r="E684" s="402">
        <f t="shared" si="1779"/>
        <v>0.1</v>
      </c>
      <c r="F684" s="391" t="str">
        <f t="shared" ref="F684:G684" si="1780">F683</f>
        <v>air</v>
      </c>
      <c r="G684" s="401" t="str">
        <f t="shared" si="1780"/>
        <v>DE: PP particle 0,01-0,1 mm (emission to air)</v>
      </c>
      <c r="H684" s="465">
        <v>0</v>
      </c>
      <c r="I684" s="394" t="s">
        <v>1034</v>
      </c>
      <c r="J684" s="636"/>
      <c r="K684" s="398" t="s">
        <v>596</v>
      </c>
      <c r="L684" s="538"/>
      <c r="M684" s="509">
        <f t="shared" si="1681"/>
        <v>0</v>
      </c>
      <c r="N684" s="647"/>
      <c r="O684" s="627"/>
      <c r="P684" s="629"/>
      <c r="Q684" s="629"/>
    </row>
    <row r="685" spans="1:17" ht="16.5" hidden="1" thickTop="1" thickBot="1">
      <c r="A685" s="405" t="s">
        <v>165</v>
      </c>
      <c r="B685" s="406" t="s">
        <v>1152</v>
      </c>
      <c r="C685" s="407">
        <v>6</v>
      </c>
      <c r="D685" s="423" t="s">
        <v>1028</v>
      </c>
      <c r="E685" s="408">
        <v>1</v>
      </c>
      <c r="F685" s="424" t="s">
        <v>1019</v>
      </c>
      <c r="G685" s="425" t="str">
        <f>CONCATENATE("DE: ",A685," ",B685," ",D685," mm (emission to ",F685,")")</f>
        <v>DE: PP particle 0,1-1 mm (emission to soil)</v>
      </c>
      <c r="H685" s="464">
        <v>0.97</v>
      </c>
      <c r="I685" s="427" t="s">
        <v>1019</v>
      </c>
      <c r="J685" s="632">
        <v>0.22800000000000001</v>
      </c>
      <c r="K685" s="428">
        <v>0.29775984121096721</v>
      </c>
      <c r="L685" s="539"/>
      <c r="M685" s="509">
        <f t="shared" si="1681"/>
        <v>419.80140603123061</v>
      </c>
      <c r="N685" s="645">
        <f t="shared" ref="N685" si="1781">IFERROR(H685*M685+H686*M686+H687*M687+H688*M688+H689*M689,"N.A.")</f>
        <v>407.80832538875524</v>
      </c>
      <c r="O685" s="625"/>
      <c r="P685" s="628">
        <f t="shared" si="1703"/>
        <v>100</v>
      </c>
      <c r="Q685" s="628">
        <f t="shared" si="1629"/>
        <v>407.80832538875524</v>
      </c>
    </row>
    <row r="686" spans="1:17" ht="15.75" hidden="1" thickBot="1">
      <c r="A686" s="390" t="str">
        <f>A685</f>
        <v>PP</v>
      </c>
      <c r="B686" s="391" t="str">
        <f>B685</f>
        <v>particle</v>
      </c>
      <c r="C686" s="391">
        <f t="shared" ref="C686:G704" si="1782">C685</f>
        <v>6</v>
      </c>
      <c r="D686" s="391" t="str">
        <f t="shared" si="1782"/>
        <v>0,1-1</v>
      </c>
      <c r="E686" s="391">
        <f t="shared" si="1782"/>
        <v>1</v>
      </c>
      <c r="F686" s="391" t="str">
        <f t="shared" si="1782"/>
        <v>soil</v>
      </c>
      <c r="G686" s="392" t="str">
        <f t="shared" si="1782"/>
        <v>DE: PP particle 0,1-1 mm (emission to soil)</v>
      </c>
      <c r="H686" s="465">
        <v>0.03</v>
      </c>
      <c r="I686" s="394" t="s">
        <v>1097</v>
      </c>
      <c r="J686" s="632"/>
      <c r="K686" s="395">
        <v>6.24</v>
      </c>
      <c r="L686" s="537"/>
      <c r="M686" s="509">
        <f t="shared" si="1681"/>
        <v>20.032051282051281</v>
      </c>
      <c r="N686" s="646"/>
      <c r="O686" s="626"/>
      <c r="P686" s="629"/>
      <c r="Q686" s="629"/>
    </row>
    <row r="687" spans="1:17" ht="15.75" hidden="1" thickBot="1">
      <c r="A687" s="390" t="str">
        <f t="shared" ref="A687:A688" si="1783">A686</f>
        <v>PP</v>
      </c>
      <c r="B687" s="391" t="str">
        <f t="shared" ref="B687:B688" si="1784">B686</f>
        <v>particle</v>
      </c>
      <c r="C687" s="391">
        <f t="shared" si="1782"/>
        <v>6</v>
      </c>
      <c r="D687" s="391" t="str">
        <f t="shared" si="1782"/>
        <v>0,1-1</v>
      </c>
      <c r="E687" s="391">
        <f t="shared" si="1782"/>
        <v>1</v>
      </c>
      <c r="F687" s="391" t="str">
        <f t="shared" si="1782"/>
        <v>soil</v>
      </c>
      <c r="G687" s="392" t="str">
        <f t="shared" si="1782"/>
        <v>DE: PP particle 0,1-1 mm (emission to soil)</v>
      </c>
      <c r="H687" s="465">
        <v>0</v>
      </c>
      <c r="I687" s="394" t="s">
        <v>1162</v>
      </c>
      <c r="J687" s="632"/>
      <c r="K687" s="395">
        <v>0.29775984121096721</v>
      </c>
      <c r="L687" s="537"/>
      <c r="M687" s="509">
        <f t="shared" si="1681"/>
        <v>419.80140603123061</v>
      </c>
      <c r="N687" s="646"/>
      <c r="O687" s="626"/>
      <c r="P687" s="629"/>
      <c r="Q687" s="629"/>
    </row>
    <row r="688" spans="1:17" ht="15.75" hidden="1" thickBot="1">
      <c r="A688" s="390" t="str">
        <f t="shared" si="1783"/>
        <v>PP</v>
      </c>
      <c r="B688" s="391" t="str">
        <f t="shared" si="1784"/>
        <v>particle</v>
      </c>
      <c r="C688" s="391">
        <f t="shared" si="1782"/>
        <v>6</v>
      </c>
      <c r="D688" s="391" t="str">
        <f t="shared" si="1782"/>
        <v>0,1-1</v>
      </c>
      <c r="E688" s="391">
        <f t="shared" si="1782"/>
        <v>1</v>
      </c>
      <c r="F688" s="391" t="str">
        <f t="shared" si="1782"/>
        <v>soil</v>
      </c>
      <c r="G688" s="392" t="str">
        <f t="shared" si="1782"/>
        <v>DE: PP particle 0,1-1 mm (emission to soil)</v>
      </c>
      <c r="H688" s="465">
        <v>0</v>
      </c>
      <c r="I688" s="394" t="s">
        <v>1163</v>
      </c>
      <c r="J688" s="632"/>
      <c r="K688" s="395">
        <v>0.29775984121096721</v>
      </c>
      <c r="L688" s="537"/>
      <c r="M688" s="509">
        <f t="shared" si="1681"/>
        <v>419.80140603123061</v>
      </c>
      <c r="N688" s="646"/>
      <c r="O688" s="626"/>
      <c r="P688" s="629"/>
      <c r="Q688" s="629"/>
    </row>
    <row r="689" spans="1:17" ht="15.75" hidden="1" thickBot="1">
      <c r="A689" s="390" t="str">
        <f>A686</f>
        <v>PP</v>
      </c>
      <c r="B689" s="391" t="str">
        <f>B686</f>
        <v>particle</v>
      </c>
      <c r="C689" s="391">
        <f t="shared" si="1782"/>
        <v>6</v>
      </c>
      <c r="D689" s="391" t="str">
        <f>D686</f>
        <v>0,1-1</v>
      </c>
      <c r="E689" s="391">
        <f>E686</f>
        <v>1</v>
      </c>
      <c r="F689" s="391" t="str">
        <f>F686</f>
        <v>soil</v>
      </c>
      <c r="G689" s="396" t="str">
        <f t="shared" ref="G689" si="1785">G688</f>
        <v>DE: PP particle 0,1-1 mm (emission to soil)</v>
      </c>
      <c r="H689" s="465">
        <v>0</v>
      </c>
      <c r="I689" s="397" t="s">
        <v>1034</v>
      </c>
      <c r="J689" s="633"/>
      <c r="K689" s="398" t="s">
        <v>596</v>
      </c>
      <c r="L689" s="538"/>
      <c r="M689" s="509">
        <f t="shared" si="1681"/>
        <v>0</v>
      </c>
      <c r="N689" s="647"/>
      <c r="O689" s="627"/>
      <c r="P689" s="629"/>
      <c r="Q689" s="629"/>
    </row>
    <row r="690" spans="1:17" ht="15.75" hidden="1" thickBot="1">
      <c r="A690" s="390" t="str">
        <f t="shared" ref="A690:B690" si="1786">A687</f>
        <v>PP</v>
      </c>
      <c r="B690" s="391" t="str">
        <f t="shared" si="1786"/>
        <v>particle</v>
      </c>
      <c r="C690" s="391">
        <f t="shared" si="1782"/>
        <v>6</v>
      </c>
      <c r="D690" s="399" t="str">
        <f t="shared" ref="D690:E690" si="1787">D687</f>
        <v>0,1-1</v>
      </c>
      <c r="E690" s="391">
        <f t="shared" si="1787"/>
        <v>1</v>
      </c>
      <c r="F690" s="400" t="s">
        <v>1147</v>
      </c>
      <c r="G690" s="386" t="str">
        <f>CONCATENATE("DE: ",A690," ",B690," ",D690," mm (emission to ",F690,")")</f>
        <v>DE: PP particle 0,1-1 mm (emission to fresh water)</v>
      </c>
      <c r="H690" s="466">
        <v>0</v>
      </c>
      <c r="I690" s="388" t="s">
        <v>1019</v>
      </c>
      <c r="J690" s="634">
        <v>0.22800000000000001</v>
      </c>
      <c r="K690" s="389">
        <v>0.29775984121096721</v>
      </c>
      <c r="L690" s="536"/>
      <c r="M690" s="509">
        <f t="shared" si="1681"/>
        <v>419.80140603123061</v>
      </c>
      <c r="N690" s="645">
        <f t="shared" ref="N690" si="1788">IFERROR(H690*M690+H691*M691+H692*M692+H693*M693+H694*M694,"N.A.")</f>
        <v>20.032051282051281</v>
      </c>
      <c r="O690" s="625"/>
      <c r="P690" s="628">
        <f t="shared" si="1703"/>
        <v>20.032051282051281</v>
      </c>
      <c r="Q690" s="628">
        <f t="shared" ref="Q690:Q750" si="1789">IFERROR(IF(H690*M690+H691*M691+H692*M692+H693*M693+H694*M694&gt;500,500,H690*M690+H691*M691+H692*M692+H693*M693+H694*M694),"N.A.")</f>
        <v>20.032051282051281</v>
      </c>
    </row>
    <row r="691" spans="1:17" ht="15.75" hidden="1" thickBot="1">
      <c r="A691" s="390" t="str">
        <f t="shared" ref="A691:B691" si="1790">A688</f>
        <v>PP</v>
      </c>
      <c r="B691" s="391" t="str">
        <f t="shared" si="1790"/>
        <v>particle</v>
      </c>
      <c r="C691" s="391">
        <f t="shared" si="1782"/>
        <v>6</v>
      </c>
      <c r="D691" s="391" t="str">
        <f t="shared" ref="D691:E691" si="1791">D688</f>
        <v>0,1-1</v>
      </c>
      <c r="E691" s="391">
        <f t="shared" si="1791"/>
        <v>1</v>
      </c>
      <c r="F691" s="391" t="str">
        <f t="shared" ref="F691:G691" si="1792">F690</f>
        <v>fresh water</v>
      </c>
      <c r="G691" s="401" t="str">
        <f t="shared" si="1792"/>
        <v>DE: PP particle 0,1-1 mm (emission to fresh water)</v>
      </c>
      <c r="H691" s="465">
        <v>1</v>
      </c>
      <c r="I691" s="394" t="s">
        <v>1097</v>
      </c>
      <c r="J691" s="635"/>
      <c r="K691" s="389">
        <v>6.24</v>
      </c>
      <c r="L691" s="536"/>
      <c r="M691" s="509">
        <f t="shared" si="1681"/>
        <v>20.032051282051281</v>
      </c>
      <c r="N691" s="646"/>
      <c r="O691" s="626"/>
      <c r="P691" s="629"/>
      <c r="Q691" s="629"/>
    </row>
    <row r="692" spans="1:17" ht="15.75" hidden="1" thickBot="1">
      <c r="A692" s="390" t="str">
        <f t="shared" ref="A692:B692" si="1793">A689</f>
        <v>PP</v>
      </c>
      <c r="B692" s="391" t="str">
        <f t="shared" si="1793"/>
        <v>particle</v>
      </c>
      <c r="C692" s="391">
        <f t="shared" si="1782"/>
        <v>6</v>
      </c>
      <c r="D692" s="391" t="str">
        <f t="shared" ref="D692:E692" si="1794">D689</f>
        <v>0,1-1</v>
      </c>
      <c r="E692" s="391">
        <f t="shared" si="1794"/>
        <v>1</v>
      </c>
      <c r="F692" s="391" t="str">
        <f t="shared" ref="F692:G692" si="1795">F691</f>
        <v>fresh water</v>
      </c>
      <c r="G692" s="401" t="str">
        <f t="shared" si="1795"/>
        <v>DE: PP particle 0,1-1 mm (emission to fresh water)</v>
      </c>
      <c r="H692" s="465">
        <v>0</v>
      </c>
      <c r="I692" s="394" t="s">
        <v>1162</v>
      </c>
      <c r="J692" s="635"/>
      <c r="K692" s="389">
        <v>0.29775984121096721</v>
      </c>
      <c r="L692" s="536"/>
      <c r="M692" s="509">
        <f t="shared" si="1681"/>
        <v>419.80140603123061</v>
      </c>
      <c r="N692" s="646"/>
      <c r="O692" s="626"/>
      <c r="P692" s="629"/>
      <c r="Q692" s="629"/>
    </row>
    <row r="693" spans="1:17" ht="15.75" hidden="1" thickBot="1">
      <c r="A693" s="390" t="str">
        <f t="shared" ref="A693:B693" si="1796">A690</f>
        <v>PP</v>
      </c>
      <c r="B693" s="391" t="str">
        <f t="shared" si="1796"/>
        <v>particle</v>
      </c>
      <c r="C693" s="391">
        <f t="shared" si="1782"/>
        <v>6</v>
      </c>
      <c r="D693" s="391" t="str">
        <f t="shared" ref="D693:E693" si="1797">D690</f>
        <v>0,1-1</v>
      </c>
      <c r="E693" s="391">
        <f t="shared" si="1797"/>
        <v>1</v>
      </c>
      <c r="F693" s="391" t="str">
        <f t="shared" ref="F693:G693" si="1798">F692</f>
        <v>fresh water</v>
      </c>
      <c r="G693" s="401" t="str">
        <f t="shared" si="1798"/>
        <v>DE: PP particle 0,1-1 mm (emission to fresh water)</v>
      </c>
      <c r="H693" s="465">
        <v>0</v>
      </c>
      <c r="I693" s="394" t="s">
        <v>1163</v>
      </c>
      <c r="J693" s="635"/>
      <c r="K693" s="389">
        <v>0.29775984121096721</v>
      </c>
      <c r="L693" s="536"/>
      <c r="M693" s="509">
        <f t="shared" si="1681"/>
        <v>419.80140603123061</v>
      </c>
      <c r="N693" s="646"/>
      <c r="O693" s="626"/>
      <c r="P693" s="629"/>
      <c r="Q693" s="629"/>
    </row>
    <row r="694" spans="1:17" ht="15.75" hidden="1" thickBot="1">
      <c r="A694" s="390" t="str">
        <f t="shared" ref="A694:B694" si="1799">A691</f>
        <v>PP</v>
      </c>
      <c r="B694" s="391" t="str">
        <f t="shared" si="1799"/>
        <v>particle</v>
      </c>
      <c r="C694" s="391">
        <f t="shared" si="1782"/>
        <v>6</v>
      </c>
      <c r="D694" s="391" t="str">
        <f t="shared" ref="D694:E694" si="1800">D691</f>
        <v>0,1-1</v>
      </c>
      <c r="E694" s="391">
        <f t="shared" si="1800"/>
        <v>1</v>
      </c>
      <c r="F694" s="402" t="str">
        <f>F691</f>
        <v>fresh water</v>
      </c>
      <c r="G694" s="401" t="str">
        <f t="shared" ref="G694" si="1801">G693</f>
        <v>DE: PP particle 0,1-1 mm (emission to fresh water)</v>
      </c>
      <c r="H694" s="465">
        <v>0</v>
      </c>
      <c r="I694" s="394" t="s">
        <v>1034</v>
      </c>
      <c r="J694" s="654"/>
      <c r="K694" s="398" t="s">
        <v>596</v>
      </c>
      <c r="L694" s="538"/>
      <c r="M694" s="509">
        <f t="shared" si="1681"/>
        <v>0</v>
      </c>
      <c r="N694" s="647"/>
      <c r="O694" s="627"/>
      <c r="P694" s="629"/>
      <c r="Q694" s="629"/>
    </row>
    <row r="695" spans="1:17" ht="15.75" hidden="1" thickBot="1">
      <c r="A695" s="390" t="str">
        <f t="shared" ref="A695:B695" si="1802">A692</f>
        <v>PP</v>
      </c>
      <c r="B695" s="391" t="str">
        <f t="shared" si="1802"/>
        <v>particle</v>
      </c>
      <c r="C695" s="391">
        <f t="shared" si="1782"/>
        <v>6</v>
      </c>
      <c r="D695" s="391" t="str">
        <f t="shared" ref="D695:E695" si="1803">D692</f>
        <v>0,1-1</v>
      </c>
      <c r="E695" s="391">
        <f t="shared" si="1803"/>
        <v>1</v>
      </c>
      <c r="F695" s="385" t="s">
        <v>1097</v>
      </c>
      <c r="G695" s="422" t="str">
        <f>CONCATENATE("DE: ",A695," ",B695," ",D695," mm (emission to ",F695,")")</f>
        <v>DE: PP particle 0,1-1 mm (emission to marine water)</v>
      </c>
      <c r="H695" s="467">
        <v>0</v>
      </c>
      <c r="I695" s="394" t="s">
        <v>1019</v>
      </c>
      <c r="J695" s="634">
        <v>0.22800000000000001</v>
      </c>
      <c r="K695" s="389">
        <v>0.29775984121096721</v>
      </c>
      <c r="L695" s="536"/>
      <c r="M695" s="509">
        <f t="shared" si="1681"/>
        <v>419.80140603123061</v>
      </c>
      <c r="N695" s="645">
        <f t="shared" ref="N695" si="1804">IFERROR(H695*M695+H696*M696+H697*M697+H698*M698+H699*M699,"N.A.")</f>
        <v>20.032051282051281</v>
      </c>
      <c r="O695" s="625"/>
      <c r="P695" s="628">
        <f t="shared" si="1703"/>
        <v>20.032051282051281</v>
      </c>
      <c r="Q695" s="628">
        <f t="shared" si="1789"/>
        <v>20.032051282051281</v>
      </c>
    </row>
    <row r="696" spans="1:17" ht="15.75" hidden="1" thickBot="1">
      <c r="A696" s="390" t="str">
        <f t="shared" ref="A696:B696" si="1805">A693</f>
        <v>PP</v>
      </c>
      <c r="B696" s="391" t="str">
        <f t="shared" si="1805"/>
        <v>particle</v>
      </c>
      <c r="C696" s="391">
        <f t="shared" si="1782"/>
        <v>6</v>
      </c>
      <c r="D696" s="391" t="str">
        <f t="shared" ref="D696:E696" si="1806">D693</f>
        <v>0,1-1</v>
      </c>
      <c r="E696" s="391">
        <f t="shared" si="1806"/>
        <v>1</v>
      </c>
      <c r="F696" s="391" t="str">
        <f t="shared" ref="F696:G696" si="1807">F695</f>
        <v>marine water</v>
      </c>
      <c r="G696" s="401" t="str">
        <f t="shared" si="1807"/>
        <v>DE: PP particle 0,1-1 mm (emission to marine water)</v>
      </c>
      <c r="H696" s="465">
        <v>1</v>
      </c>
      <c r="I696" s="394" t="s">
        <v>1097</v>
      </c>
      <c r="J696" s="635"/>
      <c r="K696" s="389">
        <v>6.24</v>
      </c>
      <c r="L696" s="537"/>
      <c r="M696" s="509">
        <f t="shared" si="1681"/>
        <v>20.032051282051281</v>
      </c>
      <c r="N696" s="646"/>
      <c r="O696" s="626"/>
      <c r="P696" s="629"/>
      <c r="Q696" s="629"/>
    </row>
    <row r="697" spans="1:17" ht="15.75" hidden="1" thickBot="1">
      <c r="A697" s="390" t="str">
        <f t="shared" ref="A697:B697" si="1808">A694</f>
        <v>PP</v>
      </c>
      <c r="B697" s="391" t="str">
        <f t="shared" si="1808"/>
        <v>particle</v>
      </c>
      <c r="C697" s="391">
        <f t="shared" si="1782"/>
        <v>6</v>
      </c>
      <c r="D697" s="391" t="str">
        <f t="shared" ref="D697:E697" si="1809">D694</f>
        <v>0,1-1</v>
      </c>
      <c r="E697" s="391">
        <f t="shared" si="1809"/>
        <v>1</v>
      </c>
      <c r="F697" s="391" t="str">
        <f t="shared" ref="F697:G697" si="1810">F696</f>
        <v>marine water</v>
      </c>
      <c r="G697" s="401" t="str">
        <f t="shared" si="1810"/>
        <v>DE: PP particle 0,1-1 mm (emission to marine water)</v>
      </c>
      <c r="H697" s="465">
        <v>0</v>
      </c>
      <c r="I697" s="394" t="s">
        <v>1162</v>
      </c>
      <c r="J697" s="635"/>
      <c r="K697" s="389">
        <v>0.29775984121096721</v>
      </c>
      <c r="L697" s="537"/>
      <c r="M697" s="509">
        <f t="shared" si="1681"/>
        <v>419.80140603123061</v>
      </c>
      <c r="N697" s="646"/>
      <c r="O697" s="626"/>
      <c r="P697" s="629"/>
      <c r="Q697" s="629"/>
    </row>
    <row r="698" spans="1:17" ht="15.75" hidden="1" thickBot="1">
      <c r="A698" s="390" t="str">
        <f t="shared" ref="A698:B698" si="1811">A695</f>
        <v>PP</v>
      </c>
      <c r="B698" s="391" t="str">
        <f t="shared" si="1811"/>
        <v>particle</v>
      </c>
      <c r="C698" s="391">
        <f t="shared" si="1782"/>
        <v>6</v>
      </c>
      <c r="D698" s="391" t="str">
        <f t="shared" ref="D698:E698" si="1812">D695</f>
        <v>0,1-1</v>
      </c>
      <c r="E698" s="391">
        <f t="shared" si="1812"/>
        <v>1</v>
      </c>
      <c r="F698" s="391" t="str">
        <f t="shared" ref="F698:G698" si="1813">F697</f>
        <v>marine water</v>
      </c>
      <c r="G698" s="401" t="str">
        <f t="shared" si="1813"/>
        <v>DE: PP particle 0,1-1 mm (emission to marine water)</v>
      </c>
      <c r="H698" s="465">
        <v>0</v>
      </c>
      <c r="I698" s="394" t="s">
        <v>1163</v>
      </c>
      <c r="J698" s="635"/>
      <c r="K698" s="389">
        <v>0.29775984121096721</v>
      </c>
      <c r="L698" s="537"/>
      <c r="M698" s="509">
        <f t="shared" si="1681"/>
        <v>419.80140603123061</v>
      </c>
      <c r="N698" s="646"/>
      <c r="O698" s="626"/>
      <c r="P698" s="629"/>
      <c r="Q698" s="629"/>
    </row>
    <row r="699" spans="1:17" ht="15.75" hidden="1" thickBot="1">
      <c r="A699" s="390" t="str">
        <f t="shared" ref="A699:B699" si="1814">A696</f>
        <v>PP</v>
      </c>
      <c r="B699" s="391" t="str">
        <f t="shared" si="1814"/>
        <v>particle</v>
      </c>
      <c r="C699" s="391">
        <f t="shared" si="1782"/>
        <v>6</v>
      </c>
      <c r="D699" s="391" t="str">
        <f t="shared" ref="D699:E699" si="1815">D696</f>
        <v>0,1-1</v>
      </c>
      <c r="E699" s="391">
        <f t="shared" si="1815"/>
        <v>1</v>
      </c>
      <c r="F699" s="391" t="str">
        <f t="shared" ref="F699:G699" si="1816">F698</f>
        <v>marine water</v>
      </c>
      <c r="G699" s="401" t="str">
        <f t="shared" si="1816"/>
        <v>DE: PP particle 0,1-1 mm (emission to marine water)</v>
      </c>
      <c r="H699" s="465">
        <v>0</v>
      </c>
      <c r="I699" s="394" t="s">
        <v>1034</v>
      </c>
      <c r="J699" s="654"/>
      <c r="K699" s="398" t="s">
        <v>596</v>
      </c>
      <c r="L699" s="538"/>
      <c r="M699" s="509">
        <f t="shared" si="1681"/>
        <v>0</v>
      </c>
      <c r="N699" s="647"/>
      <c r="O699" s="627"/>
      <c r="P699" s="629"/>
      <c r="Q699" s="629"/>
    </row>
    <row r="700" spans="1:17" ht="15.75" hidden="1" thickBot="1">
      <c r="A700" s="390" t="str">
        <f t="shared" ref="A700:B700" si="1817">A697</f>
        <v>PP</v>
      </c>
      <c r="B700" s="391" t="str">
        <f t="shared" si="1817"/>
        <v>particle</v>
      </c>
      <c r="C700" s="391">
        <f t="shared" si="1782"/>
        <v>6</v>
      </c>
      <c r="D700" s="391" t="str">
        <f t="shared" ref="D700:E700" si="1818">D697</f>
        <v>0,1-1</v>
      </c>
      <c r="E700" s="391">
        <f t="shared" si="1818"/>
        <v>1</v>
      </c>
      <c r="F700" s="400" t="s">
        <v>1057</v>
      </c>
      <c r="G700" s="422" t="str">
        <f>CONCATENATE("DE: ",A700," ",B700," ",D700," mm (emission to ",F700,")")</f>
        <v>DE: PP particle 0,1-1 mm (emission to air)</v>
      </c>
      <c r="H700" s="467">
        <v>0.94799999999999995</v>
      </c>
      <c r="I700" s="394" t="s">
        <v>1019</v>
      </c>
      <c r="J700" s="634">
        <v>0.22800000000000001</v>
      </c>
      <c r="K700" s="389">
        <v>0.29775984121096721</v>
      </c>
      <c r="L700" s="536"/>
      <c r="M700" s="509">
        <f t="shared" si="1681"/>
        <v>419.80140603123061</v>
      </c>
      <c r="N700" s="645">
        <f t="shared" ref="N700" si="1819">IFERROR(H700*M700+H701*M701+H702*M702+H703*M703+H704*M704,"N.A.")</f>
        <v>399.01339958427326</v>
      </c>
      <c r="O700" s="625"/>
      <c r="P700" s="628">
        <f t="shared" si="1703"/>
        <v>100</v>
      </c>
      <c r="Q700" s="628">
        <f t="shared" si="1789"/>
        <v>399.01339958427326</v>
      </c>
    </row>
    <row r="701" spans="1:17" ht="15.75" hidden="1" thickBot="1">
      <c r="A701" s="390" t="str">
        <f t="shared" ref="A701:B701" si="1820">A698</f>
        <v>PP</v>
      </c>
      <c r="B701" s="391" t="str">
        <f t="shared" si="1820"/>
        <v>particle</v>
      </c>
      <c r="C701" s="391">
        <f t="shared" si="1782"/>
        <v>6</v>
      </c>
      <c r="D701" s="391" t="str">
        <f t="shared" ref="D701:E701" si="1821">D698</f>
        <v>0,1-1</v>
      </c>
      <c r="E701" s="391">
        <f t="shared" si="1821"/>
        <v>1</v>
      </c>
      <c r="F701" s="391" t="str">
        <f t="shared" ref="F701:G701" si="1822">F700</f>
        <v>air</v>
      </c>
      <c r="G701" s="401" t="str">
        <f t="shared" si="1822"/>
        <v>DE: PP particle 0,1-1 mm (emission to air)</v>
      </c>
      <c r="H701" s="465">
        <v>5.1999999999999998E-2</v>
      </c>
      <c r="I701" s="394" t="s">
        <v>1097</v>
      </c>
      <c r="J701" s="635"/>
      <c r="K701" s="389">
        <v>6.24</v>
      </c>
      <c r="L701" s="537"/>
      <c r="M701" s="509">
        <f t="shared" si="1681"/>
        <v>20.032051282051281</v>
      </c>
      <c r="N701" s="646"/>
      <c r="O701" s="626"/>
      <c r="P701" s="629"/>
      <c r="Q701" s="629"/>
    </row>
    <row r="702" spans="1:17" ht="15.75" hidden="1" thickBot="1">
      <c r="A702" s="390" t="str">
        <f t="shared" ref="A702:B702" si="1823">A699</f>
        <v>PP</v>
      </c>
      <c r="B702" s="391" t="str">
        <f t="shared" si="1823"/>
        <v>particle</v>
      </c>
      <c r="C702" s="391">
        <f t="shared" si="1782"/>
        <v>6</v>
      </c>
      <c r="D702" s="391" t="str">
        <f t="shared" ref="D702:E702" si="1824">D699</f>
        <v>0,1-1</v>
      </c>
      <c r="E702" s="391">
        <f t="shared" si="1824"/>
        <v>1</v>
      </c>
      <c r="F702" s="391" t="str">
        <f t="shared" ref="F702:G702" si="1825">F701</f>
        <v>air</v>
      </c>
      <c r="G702" s="401" t="str">
        <f t="shared" si="1825"/>
        <v>DE: PP particle 0,1-1 mm (emission to air)</v>
      </c>
      <c r="H702" s="465">
        <v>0</v>
      </c>
      <c r="I702" s="394" t="s">
        <v>1162</v>
      </c>
      <c r="J702" s="635"/>
      <c r="K702" s="389">
        <v>0.29775984121096721</v>
      </c>
      <c r="L702" s="537"/>
      <c r="M702" s="509">
        <f t="shared" si="1681"/>
        <v>419.80140603123061</v>
      </c>
      <c r="N702" s="646"/>
      <c r="O702" s="626"/>
      <c r="P702" s="629"/>
      <c r="Q702" s="629"/>
    </row>
    <row r="703" spans="1:17" ht="15.75" hidden="1" thickBot="1">
      <c r="A703" s="390" t="str">
        <f t="shared" ref="A703:B703" si="1826">A700</f>
        <v>PP</v>
      </c>
      <c r="B703" s="391" t="str">
        <f t="shared" si="1826"/>
        <v>particle</v>
      </c>
      <c r="C703" s="391">
        <f t="shared" si="1782"/>
        <v>6</v>
      </c>
      <c r="D703" s="391" t="str">
        <f t="shared" ref="D703:E703" si="1827">D700</f>
        <v>0,1-1</v>
      </c>
      <c r="E703" s="391">
        <f t="shared" si="1827"/>
        <v>1</v>
      </c>
      <c r="F703" s="391" t="str">
        <f t="shared" ref="F703:G703" si="1828">F702</f>
        <v>air</v>
      </c>
      <c r="G703" s="401" t="str">
        <f t="shared" si="1828"/>
        <v>DE: PP particle 0,1-1 mm (emission to air)</v>
      </c>
      <c r="H703" s="465">
        <v>0</v>
      </c>
      <c r="I703" s="394" t="s">
        <v>1163</v>
      </c>
      <c r="J703" s="635"/>
      <c r="K703" s="389">
        <v>0.29775984121096721</v>
      </c>
      <c r="L703" s="537"/>
      <c r="M703" s="509">
        <f t="shared" si="1681"/>
        <v>419.80140603123061</v>
      </c>
      <c r="N703" s="646"/>
      <c r="O703" s="626"/>
      <c r="P703" s="629"/>
      <c r="Q703" s="629"/>
    </row>
    <row r="704" spans="1:17" ht="15.75" hidden="1" thickBot="1">
      <c r="A704" s="404" t="str">
        <f t="shared" ref="A704:B704" si="1829">A699</f>
        <v>PP</v>
      </c>
      <c r="B704" s="402" t="str">
        <f t="shared" si="1829"/>
        <v>particle</v>
      </c>
      <c r="C704" s="391">
        <f t="shared" si="1782"/>
        <v>6</v>
      </c>
      <c r="D704" s="402" t="str">
        <f t="shared" ref="D704:E704" si="1830">D699</f>
        <v>0,1-1</v>
      </c>
      <c r="E704" s="402">
        <f t="shared" si="1830"/>
        <v>1</v>
      </c>
      <c r="F704" s="391" t="str">
        <f t="shared" ref="F704:G704" si="1831">F703</f>
        <v>air</v>
      </c>
      <c r="G704" s="401" t="str">
        <f t="shared" si="1831"/>
        <v>DE: PP particle 0,1-1 mm (emission to air)</v>
      </c>
      <c r="H704" s="465">
        <v>0</v>
      </c>
      <c r="I704" s="394" t="s">
        <v>1034</v>
      </c>
      <c r="J704" s="636"/>
      <c r="K704" s="398" t="s">
        <v>596</v>
      </c>
      <c r="L704" s="538"/>
      <c r="M704" s="509">
        <f t="shared" si="1681"/>
        <v>0</v>
      </c>
      <c r="N704" s="647"/>
      <c r="O704" s="627"/>
      <c r="P704" s="629"/>
      <c r="Q704" s="629"/>
    </row>
    <row r="705" spans="1:17" ht="16.5" hidden="1" thickTop="1" thickBot="1">
      <c r="A705" s="405" t="s">
        <v>165</v>
      </c>
      <c r="B705" s="406" t="s">
        <v>1152</v>
      </c>
      <c r="C705" s="407">
        <v>6</v>
      </c>
      <c r="D705" s="423" t="s">
        <v>1026</v>
      </c>
      <c r="E705" s="408">
        <v>10</v>
      </c>
      <c r="F705" s="424" t="s">
        <v>1019</v>
      </c>
      <c r="G705" s="425" t="str">
        <f>CONCATENATE("DE: ",A705," ",B705," ",D705," mm (emission to ",F705,")")</f>
        <v>DE: PP particle 1-10 mm (emission to soil)</v>
      </c>
      <c r="H705" s="464">
        <v>0.97</v>
      </c>
      <c r="I705" s="427" t="s">
        <v>1019</v>
      </c>
      <c r="J705" s="632">
        <v>0.22800000000000001</v>
      </c>
      <c r="K705" s="428">
        <v>0.29775984121096721</v>
      </c>
      <c r="L705" s="539"/>
      <c r="M705" s="509">
        <f t="shared" si="1681"/>
        <v>1000</v>
      </c>
      <c r="N705" s="645">
        <f t="shared" ref="N705" si="1832">IFERROR(H705*M705+H706*M706+H707*M707+H708*M708+H709*M709,"N.A.")</f>
        <v>976.00961538461536</v>
      </c>
      <c r="O705" s="625"/>
      <c r="P705" s="628">
        <f t="shared" si="1703"/>
        <v>100</v>
      </c>
      <c r="Q705" s="628">
        <f t="shared" si="1789"/>
        <v>500</v>
      </c>
    </row>
    <row r="706" spans="1:17" ht="15.75" hidden="1" thickBot="1">
      <c r="A706" s="390" t="str">
        <f>A705</f>
        <v>PP</v>
      </c>
      <c r="B706" s="391" t="str">
        <f>B705</f>
        <v>particle</v>
      </c>
      <c r="C706" s="391">
        <f t="shared" ref="C706:G724" si="1833">C705</f>
        <v>6</v>
      </c>
      <c r="D706" s="391" t="str">
        <f t="shared" si="1833"/>
        <v>1-10</v>
      </c>
      <c r="E706" s="391">
        <f t="shared" si="1833"/>
        <v>10</v>
      </c>
      <c r="F706" s="391" t="str">
        <f t="shared" si="1833"/>
        <v>soil</v>
      </c>
      <c r="G706" s="392" t="str">
        <f t="shared" si="1833"/>
        <v>DE: PP particle 1-10 mm (emission to soil)</v>
      </c>
      <c r="H706" s="465">
        <v>0.03</v>
      </c>
      <c r="I706" s="394" t="s">
        <v>1097</v>
      </c>
      <c r="J706" s="632"/>
      <c r="K706" s="395">
        <v>6.24</v>
      </c>
      <c r="L706" s="537"/>
      <c r="M706" s="509">
        <f t="shared" si="1681"/>
        <v>200.32051282051282</v>
      </c>
      <c r="N706" s="646"/>
      <c r="O706" s="626"/>
      <c r="P706" s="629"/>
      <c r="Q706" s="629"/>
    </row>
    <row r="707" spans="1:17" ht="15.75" hidden="1" thickBot="1">
      <c r="A707" s="390" t="str">
        <f t="shared" ref="A707:A708" si="1834">A706</f>
        <v>PP</v>
      </c>
      <c r="B707" s="391" t="str">
        <f t="shared" ref="B707:B708" si="1835">B706</f>
        <v>particle</v>
      </c>
      <c r="C707" s="391">
        <f t="shared" si="1833"/>
        <v>6</v>
      </c>
      <c r="D707" s="391" t="str">
        <f t="shared" si="1833"/>
        <v>1-10</v>
      </c>
      <c r="E707" s="391">
        <f t="shared" si="1833"/>
        <v>10</v>
      </c>
      <c r="F707" s="391" t="str">
        <f t="shared" si="1833"/>
        <v>soil</v>
      </c>
      <c r="G707" s="392" t="str">
        <f t="shared" si="1833"/>
        <v>DE: PP particle 1-10 mm (emission to soil)</v>
      </c>
      <c r="H707" s="465">
        <v>0</v>
      </c>
      <c r="I707" s="394" t="s">
        <v>1162</v>
      </c>
      <c r="J707" s="632"/>
      <c r="K707" s="395">
        <v>0.29775984121096721</v>
      </c>
      <c r="L707" s="537"/>
      <c r="M707" s="509">
        <f t="shared" si="1681"/>
        <v>1000</v>
      </c>
      <c r="N707" s="646"/>
      <c r="O707" s="626"/>
      <c r="P707" s="629"/>
      <c r="Q707" s="629"/>
    </row>
    <row r="708" spans="1:17" ht="15.75" hidden="1" thickBot="1">
      <c r="A708" s="390" t="str">
        <f t="shared" si="1834"/>
        <v>PP</v>
      </c>
      <c r="B708" s="391" t="str">
        <f t="shared" si="1835"/>
        <v>particle</v>
      </c>
      <c r="C708" s="391">
        <f t="shared" si="1833"/>
        <v>6</v>
      </c>
      <c r="D708" s="391" t="str">
        <f t="shared" si="1833"/>
        <v>1-10</v>
      </c>
      <c r="E708" s="391">
        <f t="shared" si="1833"/>
        <v>10</v>
      </c>
      <c r="F708" s="391" t="str">
        <f t="shared" si="1833"/>
        <v>soil</v>
      </c>
      <c r="G708" s="392" t="str">
        <f t="shared" si="1833"/>
        <v>DE: PP particle 1-10 mm (emission to soil)</v>
      </c>
      <c r="H708" s="465">
        <v>0</v>
      </c>
      <c r="I708" s="394" t="s">
        <v>1163</v>
      </c>
      <c r="J708" s="632"/>
      <c r="K708" s="395">
        <v>0.29775984121096721</v>
      </c>
      <c r="L708" s="537"/>
      <c r="M708" s="509">
        <f t="shared" si="1681"/>
        <v>1000</v>
      </c>
      <c r="N708" s="646"/>
      <c r="O708" s="626"/>
      <c r="P708" s="629"/>
      <c r="Q708" s="629"/>
    </row>
    <row r="709" spans="1:17" ht="15.75" hidden="1" thickBot="1">
      <c r="A709" s="390" t="str">
        <f>A706</f>
        <v>PP</v>
      </c>
      <c r="B709" s="391" t="str">
        <f>B706</f>
        <v>particle</v>
      </c>
      <c r="C709" s="391">
        <f t="shared" si="1833"/>
        <v>6</v>
      </c>
      <c r="D709" s="391" t="str">
        <f>D706</f>
        <v>1-10</v>
      </c>
      <c r="E709" s="391">
        <f>E706</f>
        <v>10</v>
      </c>
      <c r="F709" s="391" t="str">
        <f>F706</f>
        <v>soil</v>
      </c>
      <c r="G709" s="396" t="str">
        <f t="shared" ref="G709" si="1836">G708</f>
        <v>DE: PP particle 1-10 mm (emission to soil)</v>
      </c>
      <c r="H709" s="465">
        <v>0</v>
      </c>
      <c r="I709" s="397" t="s">
        <v>1034</v>
      </c>
      <c r="J709" s="633"/>
      <c r="K709" s="398" t="s">
        <v>596</v>
      </c>
      <c r="L709" s="538"/>
      <c r="M709" s="509">
        <f t="shared" si="1681"/>
        <v>0</v>
      </c>
      <c r="N709" s="647"/>
      <c r="O709" s="627"/>
      <c r="P709" s="629"/>
      <c r="Q709" s="629"/>
    </row>
    <row r="710" spans="1:17" ht="15.75" hidden="1" thickBot="1">
      <c r="A710" s="390" t="str">
        <f t="shared" ref="A710:B710" si="1837">A707</f>
        <v>PP</v>
      </c>
      <c r="B710" s="391" t="str">
        <f t="shared" si="1837"/>
        <v>particle</v>
      </c>
      <c r="C710" s="391">
        <f t="shared" si="1833"/>
        <v>6</v>
      </c>
      <c r="D710" s="399" t="str">
        <f t="shared" ref="D710:E710" si="1838">D707</f>
        <v>1-10</v>
      </c>
      <c r="E710" s="391">
        <f t="shared" si="1838"/>
        <v>10</v>
      </c>
      <c r="F710" s="400" t="s">
        <v>1147</v>
      </c>
      <c r="G710" s="386" t="str">
        <f>CONCATENATE("DE: ",A710," ",B710," ",D710," mm (emission to ",F710,")")</f>
        <v>DE: PP particle 1-10 mm (emission to fresh water)</v>
      </c>
      <c r="H710" s="466">
        <v>0</v>
      </c>
      <c r="I710" s="388" t="s">
        <v>1019</v>
      </c>
      <c r="J710" s="634">
        <v>0.22800000000000001</v>
      </c>
      <c r="K710" s="389">
        <v>0.29775984121096721</v>
      </c>
      <c r="L710" s="536"/>
      <c r="M710" s="509">
        <f t="shared" ref="M710:M773" si="1839">IFERROR(IF(K710="--",0,IF(E710*1000/K710*(1-0.5)^(C710/2)&gt;1000,1000,E710*1000/K710*(1-0.5)^(C710/2))),1000)</f>
        <v>1000</v>
      </c>
      <c r="N710" s="645">
        <f t="shared" ref="N710" si="1840">IFERROR(H710*M710+H711*M711+H712*M712+H713*M713+H714*M714,"N.A.")</f>
        <v>200.32051282051282</v>
      </c>
      <c r="O710" s="625"/>
      <c r="P710" s="628">
        <f t="shared" si="1703"/>
        <v>100</v>
      </c>
      <c r="Q710" s="628">
        <f t="shared" si="1789"/>
        <v>200.32051282051282</v>
      </c>
    </row>
    <row r="711" spans="1:17" ht="15.75" hidden="1" thickBot="1">
      <c r="A711" s="390" t="str">
        <f t="shared" ref="A711:B711" si="1841">A708</f>
        <v>PP</v>
      </c>
      <c r="B711" s="391" t="str">
        <f t="shared" si="1841"/>
        <v>particle</v>
      </c>
      <c r="C711" s="391">
        <f t="shared" si="1833"/>
        <v>6</v>
      </c>
      <c r="D711" s="391" t="str">
        <f t="shared" ref="D711:E711" si="1842">D708</f>
        <v>1-10</v>
      </c>
      <c r="E711" s="391">
        <f t="shared" si="1842"/>
        <v>10</v>
      </c>
      <c r="F711" s="391" t="str">
        <f t="shared" ref="F711:G711" si="1843">F710</f>
        <v>fresh water</v>
      </c>
      <c r="G711" s="401" t="str">
        <f t="shared" si="1843"/>
        <v>DE: PP particle 1-10 mm (emission to fresh water)</v>
      </c>
      <c r="H711" s="465">
        <v>1</v>
      </c>
      <c r="I711" s="394" t="s">
        <v>1097</v>
      </c>
      <c r="J711" s="635"/>
      <c r="K711" s="389">
        <v>6.24</v>
      </c>
      <c r="L711" s="536"/>
      <c r="M711" s="509">
        <f t="shared" si="1839"/>
        <v>200.32051282051282</v>
      </c>
      <c r="N711" s="646"/>
      <c r="O711" s="626"/>
      <c r="P711" s="629"/>
      <c r="Q711" s="629"/>
    </row>
    <row r="712" spans="1:17" ht="15.75" hidden="1" thickBot="1">
      <c r="A712" s="390" t="str">
        <f t="shared" ref="A712:B712" si="1844">A709</f>
        <v>PP</v>
      </c>
      <c r="B712" s="391" t="str">
        <f t="shared" si="1844"/>
        <v>particle</v>
      </c>
      <c r="C712" s="391">
        <f t="shared" si="1833"/>
        <v>6</v>
      </c>
      <c r="D712" s="391" t="str">
        <f t="shared" ref="D712:E712" si="1845">D709</f>
        <v>1-10</v>
      </c>
      <c r="E712" s="391">
        <f t="shared" si="1845"/>
        <v>10</v>
      </c>
      <c r="F712" s="391" t="str">
        <f t="shared" ref="F712:G712" si="1846">F711</f>
        <v>fresh water</v>
      </c>
      <c r="G712" s="401" t="str">
        <f t="shared" si="1846"/>
        <v>DE: PP particle 1-10 mm (emission to fresh water)</v>
      </c>
      <c r="H712" s="465">
        <v>0</v>
      </c>
      <c r="I712" s="394" t="s">
        <v>1162</v>
      </c>
      <c r="J712" s="635"/>
      <c r="K712" s="389">
        <v>0.29775984121096721</v>
      </c>
      <c r="L712" s="536"/>
      <c r="M712" s="509">
        <f t="shared" si="1839"/>
        <v>1000</v>
      </c>
      <c r="N712" s="646"/>
      <c r="O712" s="626"/>
      <c r="P712" s="629"/>
      <c r="Q712" s="629"/>
    </row>
    <row r="713" spans="1:17" ht="15.75" hidden="1" thickBot="1">
      <c r="A713" s="390" t="str">
        <f t="shared" ref="A713:B713" si="1847">A710</f>
        <v>PP</v>
      </c>
      <c r="B713" s="391" t="str">
        <f t="shared" si="1847"/>
        <v>particle</v>
      </c>
      <c r="C713" s="391">
        <f t="shared" si="1833"/>
        <v>6</v>
      </c>
      <c r="D713" s="391" t="str">
        <f t="shared" ref="D713:E713" si="1848">D710</f>
        <v>1-10</v>
      </c>
      <c r="E713" s="391">
        <f t="shared" si="1848"/>
        <v>10</v>
      </c>
      <c r="F713" s="391" t="str">
        <f t="shared" ref="F713:G713" si="1849">F712</f>
        <v>fresh water</v>
      </c>
      <c r="G713" s="401" t="str">
        <f t="shared" si="1849"/>
        <v>DE: PP particle 1-10 mm (emission to fresh water)</v>
      </c>
      <c r="H713" s="465">
        <v>0</v>
      </c>
      <c r="I713" s="394" t="s">
        <v>1163</v>
      </c>
      <c r="J713" s="635"/>
      <c r="K713" s="389">
        <v>0.29775984121096721</v>
      </c>
      <c r="L713" s="536"/>
      <c r="M713" s="509">
        <f t="shared" si="1839"/>
        <v>1000</v>
      </c>
      <c r="N713" s="646"/>
      <c r="O713" s="626"/>
      <c r="P713" s="629"/>
      <c r="Q713" s="629"/>
    </row>
    <row r="714" spans="1:17" ht="15.75" hidden="1" thickBot="1">
      <c r="A714" s="390" t="str">
        <f t="shared" ref="A714:B714" si="1850">A711</f>
        <v>PP</v>
      </c>
      <c r="B714" s="391" t="str">
        <f t="shared" si="1850"/>
        <v>particle</v>
      </c>
      <c r="C714" s="391">
        <f t="shared" si="1833"/>
        <v>6</v>
      </c>
      <c r="D714" s="391" t="str">
        <f t="shared" ref="D714:E714" si="1851">D711</f>
        <v>1-10</v>
      </c>
      <c r="E714" s="391">
        <f t="shared" si="1851"/>
        <v>10</v>
      </c>
      <c r="F714" s="402" t="str">
        <f>F711</f>
        <v>fresh water</v>
      </c>
      <c r="G714" s="401" t="str">
        <f t="shared" ref="G714" si="1852">G713</f>
        <v>DE: PP particle 1-10 mm (emission to fresh water)</v>
      </c>
      <c r="H714" s="465">
        <v>0</v>
      </c>
      <c r="I714" s="394" t="s">
        <v>1034</v>
      </c>
      <c r="J714" s="654"/>
      <c r="K714" s="398" t="s">
        <v>596</v>
      </c>
      <c r="L714" s="538"/>
      <c r="M714" s="509">
        <f t="shared" si="1839"/>
        <v>0</v>
      </c>
      <c r="N714" s="647"/>
      <c r="O714" s="627"/>
      <c r="P714" s="629"/>
      <c r="Q714" s="629"/>
    </row>
    <row r="715" spans="1:17" ht="15.75" hidden="1" thickBot="1">
      <c r="A715" s="390" t="str">
        <f t="shared" ref="A715:B715" si="1853">A712</f>
        <v>PP</v>
      </c>
      <c r="B715" s="391" t="str">
        <f t="shared" si="1853"/>
        <v>particle</v>
      </c>
      <c r="C715" s="391">
        <f t="shared" si="1833"/>
        <v>6</v>
      </c>
      <c r="D715" s="391" t="str">
        <f t="shared" ref="D715:E715" si="1854">D712</f>
        <v>1-10</v>
      </c>
      <c r="E715" s="391">
        <f t="shared" si="1854"/>
        <v>10</v>
      </c>
      <c r="F715" s="385" t="s">
        <v>1097</v>
      </c>
      <c r="G715" s="422" t="str">
        <f>CONCATENATE("DE: ",A715," ",B715," ",D715," mm (emission to ",F715,")")</f>
        <v>DE: PP particle 1-10 mm (emission to marine water)</v>
      </c>
      <c r="H715" s="467">
        <v>0</v>
      </c>
      <c r="I715" s="394" t="s">
        <v>1019</v>
      </c>
      <c r="J715" s="634">
        <v>0.22800000000000001</v>
      </c>
      <c r="K715" s="389">
        <v>0.29775984121096721</v>
      </c>
      <c r="L715" s="536"/>
      <c r="M715" s="509">
        <f t="shared" si="1839"/>
        <v>1000</v>
      </c>
      <c r="N715" s="645">
        <f t="shared" ref="N715" si="1855">IFERROR(H715*M715+H716*M716+H717*M717+H718*M718+H719*M719,"N.A.")</f>
        <v>200.32051282051282</v>
      </c>
      <c r="O715" s="625"/>
      <c r="P715" s="628">
        <f t="shared" si="1703"/>
        <v>100</v>
      </c>
      <c r="Q715" s="628">
        <f t="shared" si="1789"/>
        <v>200.32051282051282</v>
      </c>
    </row>
    <row r="716" spans="1:17" ht="15.75" hidden="1" thickBot="1">
      <c r="A716" s="390" t="str">
        <f t="shared" ref="A716:B716" si="1856">A713</f>
        <v>PP</v>
      </c>
      <c r="B716" s="391" t="str">
        <f t="shared" si="1856"/>
        <v>particle</v>
      </c>
      <c r="C716" s="391">
        <f t="shared" si="1833"/>
        <v>6</v>
      </c>
      <c r="D716" s="391" t="str">
        <f t="shared" ref="D716:E716" si="1857">D713</f>
        <v>1-10</v>
      </c>
      <c r="E716" s="391">
        <f t="shared" si="1857"/>
        <v>10</v>
      </c>
      <c r="F716" s="391" t="str">
        <f t="shared" ref="F716:G716" si="1858">F715</f>
        <v>marine water</v>
      </c>
      <c r="G716" s="401" t="str">
        <f t="shared" si="1858"/>
        <v>DE: PP particle 1-10 mm (emission to marine water)</v>
      </c>
      <c r="H716" s="465">
        <v>1</v>
      </c>
      <c r="I716" s="394" t="s">
        <v>1097</v>
      </c>
      <c r="J716" s="635"/>
      <c r="K716" s="389">
        <v>6.24</v>
      </c>
      <c r="L716" s="537"/>
      <c r="M716" s="509">
        <f t="shared" si="1839"/>
        <v>200.32051282051282</v>
      </c>
      <c r="N716" s="646"/>
      <c r="O716" s="626"/>
      <c r="P716" s="629"/>
      <c r="Q716" s="629"/>
    </row>
    <row r="717" spans="1:17" ht="15.75" hidden="1" thickBot="1">
      <c r="A717" s="390" t="str">
        <f t="shared" ref="A717:B717" si="1859">A714</f>
        <v>PP</v>
      </c>
      <c r="B717" s="391" t="str">
        <f t="shared" si="1859"/>
        <v>particle</v>
      </c>
      <c r="C717" s="391">
        <f t="shared" si="1833"/>
        <v>6</v>
      </c>
      <c r="D717" s="391" t="str">
        <f t="shared" ref="D717:E717" si="1860">D714</f>
        <v>1-10</v>
      </c>
      <c r="E717" s="391">
        <f t="shared" si="1860"/>
        <v>10</v>
      </c>
      <c r="F717" s="391" t="str">
        <f t="shared" ref="F717:G717" si="1861">F716</f>
        <v>marine water</v>
      </c>
      <c r="G717" s="401" t="str">
        <f t="shared" si="1861"/>
        <v>DE: PP particle 1-10 mm (emission to marine water)</v>
      </c>
      <c r="H717" s="465">
        <v>0</v>
      </c>
      <c r="I717" s="394" t="s">
        <v>1162</v>
      </c>
      <c r="J717" s="635"/>
      <c r="K717" s="389">
        <v>0.29775984121096721</v>
      </c>
      <c r="L717" s="537"/>
      <c r="M717" s="509">
        <f t="shared" si="1839"/>
        <v>1000</v>
      </c>
      <c r="N717" s="646"/>
      <c r="O717" s="626"/>
      <c r="P717" s="629"/>
      <c r="Q717" s="629"/>
    </row>
    <row r="718" spans="1:17" ht="15.75" hidden="1" thickBot="1">
      <c r="A718" s="390" t="str">
        <f t="shared" ref="A718:B718" si="1862">A715</f>
        <v>PP</v>
      </c>
      <c r="B718" s="391" t="str">
        <f t="shared" si="1862"/>
        <v>particle</v>
      </c>
      <c r="C718" s="391">
        <f t="shared" si="1833"/>
        <v>6</v>
      </c>
      <c r="D718" s="391" t="str">
        <f t="shared" ref="D718:E718" si="1863">D715</f>
        <v>1-10</v>
      </c>
      <c r="E718" s="391">
        <f t="shared" si="1863"/>
        <v>10</v>
      </c>
      <c r="F718" s="391" t="str">
        <f t="shared" ref="F718:G718" si="1864">F717</f>
        <v>marine water</v>
      </c>
      <c r="G718" s="401" t="str">
        <f t="shared" si="1864"/>
        <v>DE: PP particle 1-10 mm (emission to marine water)</v>
      </c>
      <c r="H718" s="465">
        <v>0</v>
      </c>
      <c r="I718" s="394" t="s">
        <v>1163</v>
      </c>
      <c r="J718" s="635"/>
      <c r="K718" s="389">
        <v>0.29775984121096721</v>
      </c>
      <c r="L718" s="537"/>
      <c r="M718" s="509">
        <f t="shared" si="1839"/>
        <v>1000</v>
      </c>
      <c r="N718" s="646"/>
      <c r="O718" s="626"/>
      <c r="P718" s="629"/>
      <c r="Q718" s="629"/>
    </row>
    <row r="719" spans="1:17" ht="15.75" hidden="1" thickBot="1">
      <c r="A719" s="390" t="str">
        <f t="shared" ref="A719:B719" si="1865">A716</f>
        <v>PP</v>
      </c>
      <c r="B719" s="391" t="str">
        <f t="shared" si="1865"/>
        <v>particle</v>
      </c>
      <c r="C719" s="391">
        <f t="shared" si="1833"/>
        <v>6</v>
      </c>
      <c r="D719" s="391" t="str">
        <f t="shared" ref="D719:E719" si="1866">D716</f>
        <v>1-10</v>
      </c>
      <c r="E719" s="391">
        <f t="shared" si="1866"/>
        <v>10</v>
      </c>
      <c r="F719" s="391" t="str">
        <f t="shared" ref="F719:G719" si="1867">F718</f>
        <v>marine water</v>
      </c>
      <c r="G719" s="401" t="str">
        <f t="shared" si="1867"/>
        <v>DE: PP particle 1-10 mm (emission to marine water)</v>
      </c>
      <c r="H719" s="465">
        <v>0</v>
      </c>
      <c r="I719" s="394" t="s">
        <v>1034</v>
      </c>
      <c r="J719" s="654"/>
      <c r="K719" s="398" t="s">
        <v>596</v>
      </c>
      <c r="L719" s="538"/>
      <c r="M719" s="509">
        <f t="shared" si="1839"/>
        <v>0</v>
      </c>
      <c r="N719" s="647"/>
      <c r="O719" s="627"/>
      <c r="P719" s="629"/>
      <c r="Q719" s="629"/>
    </row>
    <row r="720" spans="1:17" ht="15.75" hidden="1" thickBot="1">
      <c r="A720" s="390" t="str">
        <f t="shared" ref="A720:B720" si="1868">A717</f>
        <v>PP</v>
      </c>
      <c r="B720" s="391" t="str">
        <f t="shared" si="1868"/>
        <v>particle</v>
      </c>
      <c r="C720" s="391">
        <f t="shared" si="1833"/>
        <v>6</v>
      </c>
      <c r="D720" s="391" t="str">
        <f t="shared" ref="D720:E720" si="1869">D717</f>
        <v>1-10</v>
      </c>
      <c r="E720" s="391">
        <f t="shared" si="1869"/>
        <v>10</v>
      </c>
      <c r="F720" s="400" t="s">
        <v>1057</v>
      </c>
      <c r="G720" s="422" t="str">
        <f>CONCATENATE("DE: ",A720," ",B720," ",D720," mm (emission to ",F720,")")</f>
        <v>DE: PP particle 1-10 mm (emission to air)</v>
      </c>
      <c r="H720" s="467">
        <v>0.94799999999999995</v>
      </c>
      <c r="I720" s="394" t="s">
        <v>1019</v>
      </c>
      <c r="J720" s="634">
        <v>0.22800000000000001</v>
      </c>
      <c r="K720" s="389">
        <v>0.29775984121096721</v>
      </c>
      <c r="L720" s="536"/>
      <c r="M720" s="509">
        <f t="shared" si="1839"/>
        <v>1000</v>
      </c>
      <c r="N720" s="645">
        <f t="shared" ref="N720" si="1870">IFERROR(H720*M720+H721*M721+H722*M722+H723*M723+H724*M724,"N.A.")</f>
        <v>958.41666666666663</v>
      </c>
      <c r="O720" s="625"/>
      <c r="P720" s="628">
        <f t="shared" ref="P720:P780" si="1871">IFERROR(IF(H720*M720+H721*M721+H722*M722+H723*M723+H724*M724&gt;100,100,H720*M720+H721*M721+H722*M722+H723*M723+H724*M724),"N.A.")</f>
        <v>100</v>
      </c>
      <c r="Q720" s="628">
        <f t="shared" si="1789"/>
        <v>500</v>
      </c>
    </row>
    <row r="721" spans="1:17" ht="15.75" hidden="1" thickBot="1">
      <c r="A721" s="390" t="str">
        <f t="shared" ref="A721:B721" si="1872">A718</f>
        <v>PP</v>
      </c>
      <c r="B721" s="391" t="str">
        <f t="shared" si="1872"/>
        <v>particle</v>
      </c>
      <c r="C721" s="391">
        <f t="shared" si="1833"/>
        <v>6</v>
      </c>
      <c r="D721" s="391" t="str">
        <f t="shared" ref="D721:E721" si="1873">D718</f>
        <v>1-10</v>
      </c>
      <c r="E721" s="391">
        <f t="shared" si="1873"/>
        <v>10</v>
      </c>
      <c r="F721" s="391" t="str">
        <f t="shared" ref="F721:G721" si="1874">F720</f>
        <v>air</v>
      </c>
      <c r="G721" s="401" t="str">
        <f t="shared" si="1874"/>
        <v>DE: PP particle 1-10 mm (emission to air)</v>
      </c>
      <c r="H721" s="465">
        <v>5.1999999999999998E-2</v>
      </c>
      <c r="I721" s="394" t="s">
        <v>1097</v>
      </c>
      <c r="J721" s="635"/>
      <c r="K721" s="389">
        <v>6.24</v>
      </c>
      <c r="L721" s="537"/>
      <c r="M721" s="509">
        <f t="shared" si="1839"/>
        <v>200.32051282051282</v>
      </c>
      <c r="N721" s="646"/>
      <c r="O721" s="626"/>
      <c r="P721" s="629"/>
      <c r="Q721" s="629"/>
    </row>
    <row r="722" spans="1:17" ht="15.75" hidden="1" thickBot="1">
      <c r="A722" s="390" t="str">
        <f t="shared" ref="A722:B722" si="1875">A719</f>
        <v>PP</v>
      </c>
      <c r="B722" s="391" t="str">
        <f t="shared" si="1875"/>
        <v>particle</v>
      </c>
      <c r="C722" s="391">
        <f t="shared" si="1833"/>
        <v>6</v>
      </c>
      <c r="D722" s="391" t="str">
        <f t="shared" ref="D722:E722" si="1876">D719</f>
        <v>1-10</v>
      </c>
      <c r="E722" s="391">
        <f t="shared" si="1876"/>
        <v>10</v>
      </c>
      <c r="F722" s="391" t="str">
        <f t="shared" ref="F722:G722" si="1877">F721</f>
        <v>air</v>
      </c>
      <c r="G722" s="401" t="str">
        <f t="shared" si="1877"/>
        <v>DE: PP particle 1-10 mm (emission to air)</v>
      </c>
      <c r="H722" s="465">
        <v>0</v>
      </c>
      <c r="I722" s="394" t="s">
        <v>1162</v>
      </c>
      <c r="J722" s="635"/>
      <c r="K722" s="389">
        <v>0.29775984121096721</v>
      </c>
      <c r="L722" s="537"/>
      <c r="M722" s="509">
        <f t="shared" si="1839"/>
        <v>1000</v>
      </c>
      <c r="N722" s="646"/>
      <c r="O722" s="626"/>
      <c r="P722" s="629"/>
      <c r="Q722" s="629"/>
    </row>
    <row r="723" spans="1:17" ht="15.75" hidden="1" thickBot="1">
      <c r="A723" s="390" t="str">
        <f t="shared" ref="A723:B723" si="1878">A720</f>
        <v>PP</v>
      </c>
      <c r="B723" s="391" t="str">
        <f t="shared" si="1878"/>
        <v>particle</v>
      </c>
      <c r="C723" s="391">
        <f t="shared" si="1833"/>
        <v>6</v>
      </c>
      <c r="D723" s="391" t="str">
        <f t="shared" ref="D723:E723" si="1879">D720</f>
        <v>1-10</v>
      </c>
      <c r="E723" s="391">
        <f t="shared" si="1879"/>
        <v>10</v>
      </c>
      <c r="F723" s="391" t="str">
        <f t="shared" ref="F723:G723" si="1880">F722</f>
        <v>air</v>
      </c>
      <c r="G723" s="401" t="str">
        <f t="shared" si="1880"/>
        <v>DE: PP particle 1-10 mm (emission to air)</v>
      </c>
      <c r="H723" s="465">
        <v>0</v>
      </c>
      <c r="I723" s="394" t="s">
        <v>1163</v>
      </c>
      <c r="J723" s="635"/>
      <c r="K723" s="389">
        <v>0.29775984121096721</v>
      </c>
      <c r="L723" s="537"/>
      <c r="M723" s="509">
        <f t="shared" si="1839"/>
        <v>1000</v>
      </c>
      <c r="N723" s="646"/>
      <c r="O723" s="626"/>
      <c r="P723" s="629"/>
      <c r="Q723" s="629"/>
    </row>
    <row r="724" spans="1:17" ht="15.75" hidden="1" thickBot="1">
      <c r="A724" s="404" t="str">
        <f t="shared" ref="A724:B724" si="1881">A719</f>
        <v>PP</v>
      </c>
      <c r="B724" s="402" t="str">
        <f t="shared" si="1881"/>
        <v>particle</v>
      </c>
      <c r="C724" s="391">
        <f t="shared" si="1833"/>
        <v>6</v>
      </c>
      <c r="D724" s="402" t="str">
        <f t="shared" ref="D724:E724" si="1882">D719</f>
        <v>1-10</v>
      </c>
      <c r="E724" s="402">
        <f t="shared" si="1882"/>
        <v>10</v>
      </c>
      <c r="F724" s="391" t="str">
        <f t="shared" ref="F724:G724" si="1883">F723</f>
        <v>air</v>
      </c>
      <c r="G724" s="401" t="str">
        <f t="shared" si="1883"/>
        <v>DE: PP particle 1-10 mm (emission to air)</v>
      </c>
      <c r="H724" s="465">
        <v>0</v>
      </c>
      <c r="I724" s="394" t="s">
        <v>1034</v>
      </c>
      <c r="J724" s="636"/>
      <c r="K724" s="398" t="s">
        <v>596</v>
      </c>
      <c r="L724" s="538"/>
      <c r="M724" s="509">
        <f t="shared" si="1839"/>
        <v>0</v>
      </c>
      <c r="N724" s="647"/>
      <c r="O724" s="627"/>
      <c r="P724" s="629"/>
      <c r="Q724" s="629"/>
    </row>
    <row r="725" spans="1:17" ht="16.5" hidden="1" thickTop="1" thickBot="1">
      <c r="A725" s="442" t="s">
        <v>78</v>
      </c>
      <c r="B725" s="443" t="s">
        <v>996</v>
      </c>
      <c r="C725" s="444">
        <f>IF(OR(B725="Folie", B725="Strips", B725="Film",B725="Flakes",B725="Coupon"), 2,IF(OR(B725="Fibers",B725="Pellets"),4,IF(OR(B725="Particles",B725="Shreds",B725="Powder",B725="Fragments",B725="Granules"),6,"")))</f>
        <v>2</v>
      </c>
      <c r="D725" s="444" t="s">
        <v>1018</v>
      </c>
      <c r="E725" s="445">
        <v>0.1</v>
      </c>
      <c r="F725" s="446" t="s">
        <v>1019</v>
      </c>
      <c r="G725" s="447" t="str">
        <f>CONCATENATE("DE: ",A725," ",B725," ",D725," mm (emission to ",F725,")")</f>
        <v>DE: PET film 0,01-0,1 mm (emission to soil)</v>
      </c>
      <c r="H725" s="464">
        <v>0.97</v>
      </c>
      <c r="I725" s="448" t="s">
        <v>1153</v>
      </c>
      <c r="J725" s="632">
        <v>0.22800000000000001</v>
      </c>
      <c r="K725" s="449">
        <v>1.04</v>
      </c>
      <c r="L725" s="541"/>
      <c r="M725" s="509">
        <f t="shared" si="1839"/>
        <v>48.076923076923073</v>
      </c>
      <c r="N725" s="645">
        <f t="shared" ref="N725" si="1884">IFERROR(H725*M725+H726*M726+H727*M727+H728*M728+H729*M729,"N.A.")</f>
        <v>48.794615384615376</v>
      </c>
      <c r="O725" s="625"/>
      <c r="P725" s="628">
        <f t="shared" si="1871"/>
        <v>48.794615384615376</v>
      </c>
      <c r="Q725" s="628">
        <f t="shared" si="1789"/>
        <v>48.794615384615376</v>
      </c>
    </row>
    <row r="726" spans="1:17" ht="15.75" hidden="1" thickBot="1">
      <c r="A726" s="390" t="str">
        <f>A725</f>
        <v>PET</v>
      </c>
      <c r="B726" s="391" t="str">
        <f>B725</f>
        <v>film</v>
      </c>
      <c r="C726" s="391">
        <f t="shared" ref="C726:C744" si="1885">C725</f>
        <v>2</v>
      </c>
      <c r="D726" s="391" t="str">
        <f t="shared" ref="D726:D728" si="1886">D725</f>
        <v>0,01-0,1</v>
      </c>
      <c r="E726" s="391">
        <f t="shared" ref="E726:E728" si="1887">E725</f>
        <v>0.1</v>
      </c>
      <c r="F726" s="391" t="str">
        <f t="shared" ref="F726:F728" si="1888">F725</f>
        <v>soil</v>
      </c>
      <c r="G726" s="392" t="str">
        <f t="shared" ref="G726:G728" si="1889">G725</f>
        <v>DE: PET film 0,01-0,1 mm (emission to soil)</v>
      </c>
      <c r="H726" s="465">
        <v>0</v>
      </c>
      <c r="I726" s="394" t="s">
        <v>1097</v>
      </c>
      <c r="J726" s="632"/>
      <c r="K726" s="395">
        <v>0.6944444444444452</v>
      </c>
      <c r="L726" s="537"/>
      <c r="M726" s="509">
        <f t="shared" si="1839"/>
        <v>71.999999999999929</v>
      </c>
      <c r="N726" s="646"/>
      <c r="O726" s="626"/>
      <c r="P726" s="629"/>
      <c r="Q726" s="629"/>
    </row>
    <row r="727" spans="1:17" ht="15.75" hidden="1" thickBot="1">
      <c r="A727" s="390" t="str">
        <f t="shared" ref="A727:A728" si="1890">A726</f>
        <v>PET</v>
      </c>
      <c r="B727" s="391" t="str">
        <f t="shared" ref="B727:B728" si="1891">B726</f>
        <v>film</v>
      </c>
      <c r="C727" s="391">
        <f t="shared" si="1885"/>
        <v>2</v>
      </c>
      <c r="D727" s="391" t="str">
        <f t="shared" si="1886"/>
        <v>0,01-0,1</v>
      </c>
      <c r="E727" s="391">
        <f t="shared" si="1887"/>
        <v>0.1</v>
      </c>
      <c r="F727" s="391" t="str">
        <f t="shared" si="1888"/>
        <v>soil</v>
      </c>
      <c r="G727" s="392" t="str">
        <f t="shared" si="1889"/>
        <v>DE: PET film 0,01-0,1 mm (emission to soil)</v>
      </c>
      <c r="H727" s="465">
        <v>2.7E-2</v>
      </c>
      <c r="I727" s="394" t="s">
        <v>1162</v>
      </c>
      <c r="J727" s="632"/>
      <c r="K727" s="395">
        <v>0.6944444444444452</v>
      </c>
      <c r="L727" s="537"/>
      <c r="M727" s="509">
        <f t="shared" si="1839"/>
        <v>71.999999999999929</v>
      </c>
      <c r="N727" s="646"/>
      <c r="O727" s="626"/>
      <c r="P727" s="629"/>
      <c r="Q727" s="629"/>
    </row>
    <row r="728" spans="1:17" ht="15.75" hidden="1" thickBot="1">
      <c r="A728" s="390" t="str">
        <f t="shared" si="1890"/>
        <v>PET</v>
      </c>
      <c r="B728" s="391" t="str">
        <f t="shared" si="1891"/>
        <v>film</v>
      </c>
      <c r="C728" s="391">
        <f t="shared" si="1885"/>
        <v>2</v>
      </c>
      <c r="D728" s="391" t="str">
        <f t="shared" si="1886"/>
        <v>0,01-0,1</v>
      </c>
      <c r="E728" s="391">
        <f t="shared" si="1887"/>
        <v>0.1</v>
      </c>
      <c r="F728" s="391" t="str">
        <f t="shared" si="1888"/>
        <v>soil</v>
      </c>
      <c r="G728" s="392" t="str">
        <f t="shared" si="1889"/>
        <v>DE: PET film 0,01-0,1 mm (emission to soil)</v>
      </c>
      <c r="H728" s="465">
        <v>3.0000000000000001E-3</v>
      </c>
      <c r="I728" s="394" t="s">
        <v>1163</v>
      </c>
      <c r="J728" s="632"/>
      <c r="K728" s="395">
        <v>0.6944444444444452</v>
      </c>
      <c r="L728" s="537"/>
      <c r="M728" s="509">
        <f t="shared" si="1839"/>
        <v>71.999999999999929</v>
      </c>
      <c r="N728" s="646"/>
      <c r="O728" s="626"/>
      <c r="P728" s="629"/>
      <c r="Q728" s="629"/>
    </row>
    <row r="729" spans="1:17" ht="15.75" hidden="1" thickBot="1">
      <c r="A729" s="390" t="str">
        <f>A726</f>
        <v>PET</v>
      </c>
      <c r="B729" s="391" t="str">
        <f>B726</f>
        <v>film</v>
      </c>
      <c r="C729" s="391">
        <f t="shared" si="1885"/>
        <v>2</v>
      </c>
      <c r="D729" s="391" t="str">
        <f>D726</f>
        <v>0,01-0,1</v>
      </c>
      <c r="E729" s="391">
        <f>E726</f>
        <v>0.1</v>
      </c>
      <c r="F729" s="391" t="str">
        <f>F726</f>
        <v>soil</v>
      </c>
      <c r="G729" s="396" t="str">
        <f t="shared" ref="G729" si="1892">G728</f>
        <v>DE: PET film 0,01-0,1 mm (emission to soil)</v>
      </c>
      <c r="H729" s="465">
        <v>0</v>
      </c>
      <c r="I729" s="397" t="s">
        <v>1034</v>
      </c>
      <c r="J729" s="633"/>
      <c r="K729" s="398" t="s">
        <v>596</v>
      </c>
      <c r="L729" s="538"/>
      <c r="M729" s="509">
        <f t="shared" si="1839"/>
        <v>0</v>
      </c>
      <c r="N729" s="647"/>
      <c r="O729" s="627"/>
      <c r="P729" s="629"/>
      <c r="Q729" s="629"/>
    </row>
    <row r="730" spans="1:17" ht="15.75" hidden="1" thickBot="1">
      <c r="A730" s="390" t="str">
        <f t="shared" ref="A730:B730" si="1893">A727</f>
        <v>PET</v>
      </c>
      <c r="B730" s="391" t="str">
        <f t="shared" si="1893"/>
        <v>film</v>
      </c>
      <c r="C730" s="391">
        <f t="shared" si="1885"/>
        <v>2</v>
      </c>
      <c r="D730" s="399" t="str">
        <f t="shared" ref="D730:E730" si="1894">D727</f>
        <v>0,01-0,1</v>
      </c>
      <c r="E730" s="391">
        <f t="shared" si="1894"/>
        <v>0.1</v>
      </c>
      <c r="F730" s="400" t="s">
        <v>1147</v>
      </c>
      <c r="G730" s="386" t="str">
        <f>CONCATENATE("DE: ",A730," ",B730," ",D730," mm (emission to ",F730,")")</f>
        <v>DE: PET film 0,01-0,1 mm (emission to fresh water)</v>
      </c>
      <c r="H730" s="466">
        <v>0</v>
      </c>
      <c r="I730" s="388" t="s">
        <v>1153</v>
      </c>
      <c r="J730" s="634">
        <v>0.22800000000000001</v>
      </c>
      <c r="K730" s="389">
        <v>1.04</v>
      </c>
      <c r="L730" s="536"/>
      <c r="M730" s="509">
        <f t="shared" si="1839"/>
        <v>48.076923076923073</v>
      </c>
      <c r="N730" s="645">
        <f t="shared" ref="N730" si="1895">IFERROR(H730*M730+H731*M731+H732*M732+H733*M733+H734*M734,"N.A.")</f>
        <v>71.999999999999929</v>
      </c>
      <c r="O730" s="625"/>
      <c r="P730" s="628">
        <f t="shared" si="1871"/>
        <v>71.999999999999929</v>
      </c>
      <c r="Q730" s="628">
        <f t="shared" si="1789"/>
        <v>71.999999999999929</v>
      </c>
    </row>
    <row r="731" spans="1:17" ht="15.75" hidden="1" thickBot="1">
      <c r="A731" s="390" t="str">
        <f t="shared" ref="A731:B731" si="1896">A728</f>
        <v>PET</v>
      </c>
      <c r="B731" s="391" t="str">
        <f t="shared" si="1896"/>
        <v>film</v>
      </c>
      <c r="C731" s="391">
        <f t="shared" si="1885"/>
        <v>2</v>
      </c>
      <c r="D731" s="391" t="str">
        <f t="shared" ref="D731:E731" si="1897">D728</f>
        <v>0,01-0,1</v>
      </c>
      <c r="E731" s="391">
        <f t="shared" si="1897"/>
        <v>0.1</v>
      </c>
      <c r="F731" s="391" t="str">
        <f t="shared" ref="F731:G731" si="1898">F730</f>
        <v>fresh water</v>
      </c>
      <c r="G731" s="401" t="str">
        <f t="shared" si="1898"/>
        <v>DE: PET film 0,01-0,1 mm (emission to fresh water)</v>
      </c>
      <c r="H731" s="465">
        <v>0</v>
      </c>
      <c r="I731" s="394" t="s">
        <v>1097</v>
      </c>
      <c r="J731" s="635"/>
      <c r="K731" s="389">
        <v>0.6944444444444452</v>
      </c>
      <c r="L731" s="536"/>
      <c r="M731" s="509">
        <f t="shared" si="1839"/>
        <v>71.999999999999929</v>
      </c>
      <c r="N731" s="646"/>
      <c r="O731" s="626"/>
      <c r="P731" s="629"/>
      <c r="Q731" s="629"/>
    </row>
    <row r="732" spans="1:17" ht="15.75" hidden="1" thickBot="1">
      <c r="A732" s="390" t="str">
        <f t="shared" ref="A732:B732" si="1899">A729</f>
        <v>PET</v>
      </c>
      <c r="B732" s="391" t="str">
        <f t="shared" si="1899"/>
        <v>film</v>
      </c>
      <c r="C732" s="391">
        <f t="shared" si="1885"/>
        <v>2</v>
      </c>
      <c r="D732" s="391" t="str">
        <f t="shared" ref="D732:E732" si="1900">D729</f>
        <v>0,01-0,1</v>
      </c>
      <c r="E732" s="391">
        <f t="shared" si="1900"/>
        <v>0.1</v>
      </c>
      <c r="F732" s="391" t="str">
        <f t="shared" ref="F732:G732" si="1901">F731</f>
        <v>fresh water</v>
      </c>
      <c r="G732" s="401" t="str">
        <f t="shared" si="1901"/>
        <v>DE: PET film 0,01-0,1 mm (emission to fresh water)</v>
      </c>
      <c r="H732" s="465">
        <v>0.89</v>
      </c>
      <c r="I732" s="394" t="s">
        <v>1162</v>
      </c>
      <c r="J732" s="635"/>
      <c r="K732" s="389">
        <v>0.6944444444444452</v>
      </c>
      <c r="L732" s="536"/>
      <c r="M732" s="509">
        <f t="shared" si="1839"/>
        <v>71.999999999999929</v>
      </c>
      <c r="N732" s="646"/>
      <c r="O732" s="626"/>
      <c r="P732" s="629"/>
      <c r="Q732" s="629"/>
    </row>
    <row r="733" spans="1:17" ht="15.75" hidden="1" thickBot="1">
      <c r="A733" s="390" t="str">
        <f t="shared" ref="A733:B733" si="1902">A730</f>
        <v>PET</v>
      </c>
      <c r="B733" s="391" t="str">
        <f t="shared" si="1902"/>
        <v>film</v>
      </c>
      <c r="C733" s="391">
        <f t="shared" si="1885"/>
        <v>2</v>
      </c>
      <c r="D733" s="391" t="str">
        <f t="shared" ref="D733:E733" si="1903">D730</f>
        <v>0,01-0,1</v>
      </c>
      <c r="E733" s="391">
        <f t="shared" si="1903"/>
        <v>0.1</v>
      </c>
      <c r="F733" s="391" t="str">
        <f t="shared" ref="F733:G733" si="1904">F732</f>
        <v>fresh water</v>
      </c>
      <c r="G733" s="401" t="str">
        <f t="shared" si="1904"/>
        <v>DE: PET film 0,01-0,1 mm (emission to fresh water)</v>
      </c>
      <c r="H733" s="465">
        <v>0.11</v>
      </c>
      <c r="I733" s="394" t="s">
        <v>1163</v>
      </c>
      <c r="J733" s="635"/>
      <c r="K733" s="389">
        <v>0.6944444444444452</v>
      </c>
      <c r="L733" s="536"/>
      <c r="M733" s="509">
        <f t="shared" si="1839"/>
        <v>71.999999999999929</v>
      </c>
      <c r="N733" s="646"/>
      <c r="O733" s="626"/>
      <c r="P733" s="629"/>
      <c r="Q733" s="629"/>
    </row>
    <row r="734" spans="1:17" ht="15.75" hidden="1" thickBot="1">
      <c r="A734" s="390" t="str">
        <f t="shared" ref="A734:B734" si="1905">A731</f>
        <v>PET</v>
      </c>
      <c r="B734" s="391" t="str">
        <f t="shared" si="1905"/>
        <v>film</v>
      </c>
      <c r="C734" s="391">
        <f t="shared" si="1885"/>
        <v>2</v>
      </c>
      <c r="D734" s="391" t="str">
        <f t="shared" ref="D734:E734" si="1906">D731</f>
        <v>0,01-0,1</v>
      </c>
      <c r="E734" s="391">
        <f t="shared" si="1906"/>
        <v>0.1</v>
      </c>
      <c r="F734" s="402" t="str">
        <f>F731</f>
        <v>fresh water</v>
      </c>
      <c r="G734" s="401" t="str">
        <f t="shared" ref="G734" si="1907">G733</f>
        <v>DE: PET film 0,01-0,1 mm (emission to fresh water)</v>
      </c>
      <c r="H734" s="465">
        <v>0</v>
      </c>
      <c r="I734" s="394" t="s">
        <v>1034</v>
      </c>
      <c r="J734" s="654"/>
      <c r="K734" s="398" t="s">
        <v>596</v>
      </c>
      <c r="L734" s="538"/>
      <c r="M734" s="509">
        <f t="shared" si="1839"/>
        <v>0</v>
      </c>
      <c r="N734" s="647"/>
      <c r="O734" s="627"/>
      <c r="P734" s="629"/>
      <c r="Q734" s="629"/>
    </row>
    <row r="735" spans="1:17" ht="15.75" hidden="1" thickBot="1">
      <c r="A735" s="390" t="str">
        <f t="shared" ref="A735:B735" si="1908">A732</f>
        <v>PET</v>
      </c>
      <c r="B735" s="391" t="str">
        <f t="shared" si="1908"/>
        <v>film</v>
      </c>
      <c r="C735" s="391">
        <f t="shared" si="1885"/>
        <v>2</v>
      </c>
      <c r="D735" s="391" t="str">
        <f t="shared" ref="D735:E735" si="1909">D732</f>
        <v>0,01-0,1</v>
      </c>
      <c r="E735" s="391">
        <f t="shared" si="1909"/>
        <v>0.1</v>
      </c>
      <c r="F735" s="385" t="s">
        <v>1097</v>
      </c>
      <c r="G735" s="422" t="str">
        <f>CONCATENATE("DE: ",A735," ",B735," ",D735," mm (emission to ",F735,")")</f>
        <v>DE: PET film 0,01-0,1 mm (emission to marine water)</v>
      </c>
      <c r="H735" s="467">
        <v>0</v>
      </c>
      <c r="I735" s="388" t="s">
        <v>1153</v>
      </c>
      <c r="J735" s="634">
        <v>0.22800000000000001</v>
      </c>
      <c r="K735" s="389">
        <v>1.04</v>
      </c>
      <c r="L735" s="536"/>
      <c r="M735" s="509">
        <f t="shared" si="1839"/>
        <v>48.076923076923073</v>
      </c>
      <c r="N735" s="645">
        <f t="shared" ref="N735" si="1910">IFERROR(H735*M735+H736*M736+H737*M737+H738*M738+H739*M739,"N.A.")</f>
        <v>71.999999999999929</v>
      </c>
      <c r="O735" s="625"/>
      <c r="P735" s="628">
        <f t="shared" si="1871"/>
        <v>71.999999999999929</v>
      </c>
      <c r="Q735" s="628">
        <f t="shared" si="1789"/>
        <v>71.999999999999929</v>
      </c>
    </row>
    <row r="736" spans="1:17" ht="15.75" hidden="1" thickBot="1">
      <c r="A736" s="390" t="str">
        <f t="shared" ref="A736:B736" si="1911">A733</f>
        <v>PET</v>
      </c>
      <c r="B736" s="391" t="str">
        <f t="shared" si="1911"/>
        <v>film</v>
      </c>
      <c r="C736" s="391">
        <f t="shared" si="1885"/>
        <v>2</v>
      </c>
      <c r="D736" s="391" t="str">
        <f t="shared" ref="D736:E736" si="1912">D733</f>
        <v>0,01-0,1</v>
      </c>
      <c r="E736" s="391">
        <f t="shared" si="1912"/>
        <v>0.1</v>
      </c>
      <c r="F736" s="391" t="str">
        <f t="shared" ref="F736:G736" si="1913">F735</f>
        <v>marine water</v>
      </c>
      <c r="G736" s="401" t="str">
        <f t="shared" si="1913"/>
        <v>DE: PET film 0,01-0,1 mm (emission to marine water)</v>
      </c>
      <c r="H736" s="465">
        <v>0</v>
      </c>
      <c r="I736" s="394" t="s">
        <v>1097</v>
      </c>
      <c r="J736" s="635"/>
      <c r="K736" s="389">
        <v>0.6944444444444452</v>
      </c>
      <c r="L736" s="537"/>
      <c r="M736" s="509">
        <f t="shared" si="1839"/>
        <v>71.999999999999929</v>
      </c>
      <c r="N736" s="646"/>
      <c r="O736" s="626"/>
      <c r="P736" s="629"/>
      <c r="Q736" s="629"/>
    </row>
    <row r="737" spans="1:17" ht="15.75" hidden="1" thickBot="1">
      <c r="A737" s="390" t="str">
        <f t="shared" ref="A737:B737" si="1914">A734</f>
        <v>PET</v>
      </c>
      <c r="B737" s="391" t="str">
        <f t="shared" si="1914"/>
        <v>film</v>
      </c>
      <c r="C737" s="391">
        <f t="shared" si="1885"/>
        <v>2</v>
      </c>
      <c r="D737" s="391" t="str">
        <f t="shared" ref="D737:E737" si="1915">D734</f>
        <v>0,01-0,1</v>
      </c>
      <c r="E737" s="391">
        <f t="shared" si="1915"/>
        <v>0.1</v>
      </c>
      <c r="F737" s="391" t="str">
        <f t="shared" ref="F737:G737" si="1916">F736</f>
        <v>marine water</v>
      </c>
      <c r="G737" s="401" t="str">
        <f t="shared" si="1916"/>
        <v>DE: PET film 0,01-0,1 mm (emission to marine water)</v>
      </c>
      <c r="H737" s="465">
        <v>0</v>
      </c>
      <c r="I737" s="394" t="s">
        <v>1162</v>
      </c>
      <c r="J737" s="635"/>
      <c r="K737" s="389">
        <v>0.6944444444444452</v>
      </c>
      <c r="L737" s="537"/>
      <c r="M737" s="509">
        <f t="shared" si="1839"/>
        <v>71.999999999999929</v>
      </c>
      <c r="N737" s="646"/>
      <c r="O737" s="626"/>
      <c r="P737" s="629"/>
      <c r="Q737" s="629"/>
    </row>
    <row r="738" spans="1:17" ht="15.75" hidden="1" thickBot="1">
      <c r="A738" s="390" t="str">
        <f t="shared" ref="A738:B738" si="1917">A735</f>
        <v>PET</v>
      </c>
      <c r="B738" s="391" t="str">
        <f t="shared" si="1917"/>
        <v>film</v>
      </c>
      <c r="C738" s="391">
        <f t="shared" si="1885"/>
        <v>2</v>
      </c>
      <c r="D738" s="391" t="str">
        <f t="shared" ref="D738:E738" si="1918">D735</f>
        <v>0,01-0,1</v>
      </c>
      <c r="E738" s="391">
        <f t="shared" si="1918"/>
        <v>0.1</v>
      </c>
      <c r="F738" s="391" t="str">
        <f t="shared" ref="F738:G738" si="1919">F737</f>
        <v>marine water</v>
      </c>
      <c r="G738" s="401" t="str">
        <f t="shared" si="1919"/>
        <v>DE: PET film 0,01-0,1 mm (emission to marine water)</v>
      </c>
      <c r="H738" s="465">
        <v>1</v>
      </c>
      <c r="I738" s="394" t="s">
        <v>1163</v>
      </c>
      <c r="J738" s="635"/>
      <c r="K738" s="389">
        <v>0.6944444444444452</v>
      </c>
      <c r="L738" s="537"/>
      <c r="M738" s="509">
        <f t="shared" si="1839"/>
        <v>71.999999999999929</v>
      </c>
      <c r="N738" s="646"/>
      <c r="O738" s="626"/>
      <c r="P738" s="629"/>
      <c r="Q738" s="629"/>
    </row>
    <row r="739" spans="1:17" ht="15.75" hidden="1" thickBot="1">
      <c r="A739" s="390" t="str">
        <f t="shared" ref="A739:B739" si="1920">A736</f>
        <v>PET</v>
      </c>
      <c r="B739" s="391" t="str">
        <f t="shared" si="1920"/>
        <v>film</v>
      </c>
      <c r="C739" s="391">
        <f t="shared" si="1885"/>
        <v>2</v>
      </c>
      <c r="D739" s="391" t="str">
        <f t="shared" ref="D739:E739" si="1921">D736</f>
        <v>0,01-0,1</v>
      </c>
      <c r="E739" s="391">
        <f t="shared" si="1921"/>
        <v>0.1</v>
      </c>
      <c r="F739" s="391" t="str">
        <f t="shared" ref="F739:G739" si="1922">F738</f>
        <v>marine water</v>
      </c>
      <c r="G739" s="401" t="str">
        <f t="shared" si="1922"/>
        <v>DE: PET film 0,01-0,1 mm (emission to marine water)</v>
      </c>
      <c r="H739" s="465">
        <v>0</v>
      </c>
      <c r="I739" s="394" t="s">
        <v>1034</v>
      </c>
      <c r="J739" s="654"/>
      <c r="K739" s="398" t="s">
        <v>596</v>
      </c>
      <c r="L739" s="538"/>
      <c r="M739" s="509">
        <f t="shared" si="1839"/>
        <v>0</v>
      </c>
      <c r="N739" s="647"/>
      <c r="O739" s="627"/>
      <c r="P739" s="629"/>
      <c r="Q739" s="629"/>
    </row>
    <row r="740" spans="1:17" ht="15.75" hidden="1" thickBot="1">
      <c r="A740" s="390" t="str">
        <f t="shared" ref="A740:B740" si="1923">A737</f>
        <v>PET</v>
      </c>
      <c r="B740" s="391" t="str">
        <f t="shared" si="1923"/>
        <v>film</v>
      </c>
      <c r="C740" s="391">
        <f t="shared" si="1885"/>
        <v>2</v>
      </c>
      <c r="D740" s="391" t="str">
        <f t="shared" ref="D740:E740" si="1924">D737</f>
        <v>0,01-0,1</v>
      </c>
      <c r="E740" s="391">
        <f t="shared" si="1924"/>
        <v>0.1</v>
      </c>
      <c r="F740" s="400" t="s">
        <v>1057</v>
      </c>
      <c r="G740" s="422" t="str">
        <f>CONCATENATE("DE: ",A740," ",B740," ",D740," mm (emission to ",F740,")")</f>
        <v>DE: PET film 0,01-0,1 mm (emission to air)</v>
      </c>
      <c r="H740" s="467">
        <v>0.94799999999999995</v>
      </c>
      <c r="I740" s="388" t="s">
        <v>1153</v>
      </c>
      <c r="J740" s="634">
        <v>0.22800000000000001</v>
      </c>
      <c r="K740" s="389">
        <v>1.04</v>
      </c>
      <c r="L740" s="536"/>
      <c r="M740" s="509">
        <f t="shared" si="1839"/>
        <v>48.076923076923073</v>
      </c>
      <c r="N740" s="645">
        <f t="shared" ref="N740" si="1925">IFERROR(H740*M740+H741*M741+H742*M742+H743*M743+H744*M744,"N.A.")</f>
        <v>49.320923076923066</v>
      </c>
      <c r="O740" s="625"/>
      <c r="P740" s="628">
        <f t="shared" si="1871"/>
        <v>49.320923076923066</v>
      </c>
      <c r="Q740" s="628">
        <f t="shared" si="1789"/>
        <v>49.320923076923066</v>
      </c>
    </row>
    <row r="741" spans="1:17" ht="15.75" hidden="1" thickBot="1">
      <c r="A741" s="390" t="str">
        <f t="shared" ref="A741:B741" si="1926">A738</f>
        <v>PET</v>
      </c>
      <c r="B741" s="391" t="str">
        <f t="shared" si="1926"/>
        <v>film</v>
      </c>
      <c r="C741" s="391">
        <f t="shared" si="1885"/>
        <v>2</v>
      </c>
      <c r="D741" s="391" t="str">
        <f t="shared" ref="D741:E741" si="1927">D738</f>
        <v>0,01-0,1</v>
      </c>
      <c r="E741" s="391">
        <f t="shared" si="1927"/>
        <v>0.1</v>
      </c>
      <c r="F741" s="391" t="str">
        <f t="shared" ref="F741:G741" si="1928">F740</f>
        <v>air</v>
      </c>
      <c r="G741" s="401" t="str">
        <f t="shared" si="1928"/>
        <v>DE: PET film 0,01-0,1 mm (emission to air)</v>
      </c>
      <c r="H741" s="465">
        <v>0</v>
      </c>
      <c r="I741" s="394" t="s">
        <v>1097</v>
      </c>
      <c r="J741" s="635"/>
      <c r="K741" s="389">
        <v>0.6944444444444452</v>
      </c>
      <c r="L741" s="537"/>
      <c r="M741" s="509">
        <f t="shared" si="1839"/>
        <v>71.999999999999929</v>
      </c>
      <c r="N741" s="646"/>
      <c r="O741" s="626"/>
      <c r="P741" s="629"/>
      <c r="Q741" s="629"/>
    </row>
    <row r="742" spans="1:17" ht="15.75" hidden="1" thickBot="1">
      <c r="A742" s="390" t="str">
        <f t="shared" ref="A742:B742" si="1929">A739</f>
        <v>PET</v>
      </c>
      <c r="B742" s="391" t="str">
        <f t="shared" si="1929"/>
        <v>film</v>
      </c>
      <c r="C742" s="391">
        <f t="shared" si="1885"/>
        <v>2</v>
      </c>
      <c r="D742" s="391" t="str">
        <f t="shared" ref="D742:E742" si="1930">D739</f>
        <v>0,01-0,1</v>
      </c>
      <c r="E742" s="391">
        <f t="shared" si="1930"/>
        <v>0.1</v>
      </c>
      <c r="F742" s="391" t="str">
        <f t="shared" ref="F742:G742" si="1931">F741</f>
        <v>air</v>
      </c>
      <c r="G742" s="401" t="str">
        <f t="shared" si="1931"/>
        <v>DE: PET film 0,01-0,1 mm (emission to air)</v>
      </c>
      <c r="H742" s="465">
        <v>4.7E-2</v>
      </c>
      <c r="I742" s="394" t="s">
        <v>1162</v>
      </c>
      <c r="J742" s="635"/>
      <c r="K742" s="389">
        <v>0.6944444444444452</v>
      </c>
      <c r="L742" s="537"/>
      <c r="M742" s="509">
        <f t="shared" si="1839"/>
        <v>71.999999999999929</v>
      </c>
      <c r="N742" s="646"/>
      <c r="O742" s="626"/>
      <c r="P742" s="629"/>
      <c r="Q742" s="629"/>
    </row>
    <row r="743" spans="1:17" ht="15.75" hidden="1" thickBot="1">
      <c r="A743" s="390" t="str">
        <f t="shared" ref="A743:B743" si="1932">A740</f>
        <v>PET</v>
      </c>
      <c r="B743" s="391" t="str">
        <f t="shared" si="1932"/>
        <v>film</v>
      </c>
      <c r="C743" s="391">
        <f t="shared" si="1885"/>
        <v>2</v>
      </c>
      <c r="D743" s="391" t="str">
        <f t="shared" ref="D743:E743" si="1933">D740</f>
        <v>0,01-0,1</v>
      </c>
      <c r="E743" s="391">
        <f t="shared" si="1933"/>
        <v>0.1</v>
      </c>
      <c r="F743" s="391" t="str">
        <f t="shared" ref="F743:G743" si="1934">F742</f>
        <v>air</v>
      </c>
      <c r="G743" s="401" t="str">
        <f t="shared" si="1934"/>
        <v>DE: PET film 0,01-0,1 mm (emission to air)</v>
      </c>
      <c r="H743" s="465">
        <v>5.0000000000000001E-3</v>
      </c>
      <c r="I743" s="394" t="s">
        <v>1163</v>
      </c>
      <c r="J743" s="635"/>
      <c r="K743" s="389">
        <v>0.6944444444444452</v>
      </c>
      <c r="L743" s="537"/>
      <c r="M743" s="509">
        <f t="shared" si="1839"/>
        <v>71.999999999999929</v>
      </c>
      <c r="N743" s="646"/>
      <c r="O743" s="626"/>
      <c r="P743" s="629"/>
      <c r="Q743" s="629"/>
    </row>
    <row r="744" spans="1:17" ht="15.75" hidden="1" thickBot="1">
      <c r="A744" s="404" t="str">
        <f t="shared" ref="A744:B744" si="1935">A739</f>
        <v>PET</v>
      </c>
      <c r="B744" s="402" t="str">
        <f t="shared" si="1935"/>
        <v>film</v>
      </c>
      <c r="C744" s="391">
        <f t="shared" si="1885"/>
        <v>2</v>
      </c>
      <c r="D744" s="402" t="str">
        <f t="shared" ref="D744:E744" si="1936">D739</f>
        <v>0,01-0,1</v>
      </c>
      <c r="E744" s="402">
        <f t="shared" si="1936"/>
        <v>0.1</v>
      </c>
      <c r="F744" s="391" t="str">
        <f t="shared" ref="F744:G744" si="1937">F743</f>
        <v>air</v>
      </c>
      <c r="G744" s="401" t="str">
        <f t="shared" si="1937"/>
        <v>DE: PET film 0,01-0,1 mm (emission to air)</v>
      </c>
      <c r="H744" s="465">
        <v>0</v>
      </c>
      <c r="I744" s="394" t="s">
        <v>1034</v>
      </c>
      <c r="J744" s="636"/>
      <c r="K744" s="398" t="s">
        <v>596</v>
      </c>
      <c r="L744" s="538"/>
      <c r="M744" s="509">
        <f t="shared" si="1839"/>
        <v>0</v>
      </c>
      <c r="N744" s="647"/>
      <c r="O744" s="627"/>
      <c r="P744" s="629"/>
      <c r="Q744" s="629"/>
    </row>
    <row r="745" spans="1:17" ht="16.5" hidden="1" thickTop="1" thickBot="1">
      <c r="A745" s="405" t="s">
        <v>78</v>
      </c>
      <c r="B745" s="406" t="s">
        <v>996</v>
      </c>
      <c r="C745" s="407">
        <f>IF(OR(B745="Folie", B745="Strips", B745="Film",B745="Flakes",B745="Coupon"), 2,IF(OR(B745="Fibers",B745="Pellets"),4,IF(OR(B745="Particles",B745="Shreds",B745="Powder",B745="Fragments",B745="Granules"),6,"")))</f>
        <v>2</v>
      </c>
      <c r="D745" s="423" t="s">
        <v>1028</v>
      </c>
      <c r="E745" s="408">
        <v>1</v>
      </c>
      <c r="F745" s="424" t="s">
        <v>1019</v>
      </c>
      <c r="G745" s="425" t="str">
        <f>CONCATENATE("DE: ",A745," ",B745," ",D745," mm (emission to ",F745,")")</f>
        <v>DE: PET film 0,1-1 mm (emission to soil)</v>
      </c>
      <c r="H745" s="464">
        <v>0.97</v>
      </c>
      <c r="I745" s="427" t="s">
        <v>1153</v>
      </c>
      <c r="J745" s="632">
        <v>0.22800000000000001</v>
      </c>
      <c r="K745" s="428">
        <v>1.04</v>
      </c>
      <c r="L745" s="539"/>
      <c r="M745" s="509">
        <f t="shared" si="1839"/>
        <v>480.76923076923077</v>
      </c>
      <c r="N745" s="645">
        <f t="shared" ref="N745" si="1938">IFERROR(H745*M745+H746*M746+H747*M747+H748*M748+H749*M749,"N.A.")</f>
        <v>487.94615384615383</v>
      </c>
      <c r="O745" s="625"/>
      <c r="P745" s="628">
        <f t="shared" si="1871"/>
        <v>100</v>
      </c>
      <c r="Q745" s="628">
        <f t="shared" si="1789"/>
        <v>487.94615384615383</v>
      </c>
    </row>
    <row r="746" spans="1:17" ht="15.75" hidden="1" thickBot="1">
      <c r="A746" s="390" t="str">
        <f>A745</f>
        <v>PET</v>
      </c>
      <c r="B746" s="391" t="str">
        <f>B745</f>
        <v>film</v>
      </c>
      <c r="C746" s="391">
        <f t="shared" ref="C746:C764" si="1939">C745</f>
        <v>2</v>
      </c>
      <c r="D746" s="391" t="str">
        <f t="shared" ref="D746:D748" si="1940">D745</f>
        <v>0,1-1</v>
      </c>
      <c r="E746" s="391">
        <f t="shared" ref="E746:E748" si="1941">E745</f>
        <v>1</v>
      </c>
      <c r="F746" s="391" t="str">
        <f t="shared" ref="F746:F748" si="1942">F745</f>
        <v>soil</v>
      </c>
      <c r="G746" s="392" t="str">
        <f t="shared" ref="G746:G748" si="1943">G745</f>
        <v>DE: PET film 0,1-1 mm (emission to soil)</v>
      </c>
      <c r="H746" s="465">
        <v>0</v>
      </c>
      <c r="I746" s="394" t="s">
        <v>1097</v>
      </c>
      <c r="J746" s="632"/>
      <c r="K746" s="395">
        <v>0.6944444444444452</v>
      </c>
      <c r="L746" s="537"/>
      <c r="M746" s="509">
        <f t="shared" si="1839"/>
        <v>719.9999999999992</v>
      </c>
      <c r="N746" s="646"/>
      <c r="O746" s="626"/>
      <c r="P746" s="629"/>
      <c r="Q746" s="629"/>
    </row>
    <row r="747" spans="1:17" ht="15.75" hidden="1" thickBot="1">
      <c r="A747" s="390" t="str">
        <f t="shared" ref="A747:A748" si="1944">A746</f>
        <v>PET</v>
      </c>
      <c r="B747" s="391" t="str">
        <f t="shared" ref="B747:B748" si="1945">B746</f>
        <v>film</v>
      </c>
      <c r="C747" s="391">
        <f t="shared" si="1939"/>
        <v>2</v>
      </c>
      <c r="D747" s="391" t="str">
        <f t="shared" si="1940"/>
        <v>0,1-1</v>
      </c>
      <c r="E747" s="391">
        <f t="shared" si="1941"/>
        <v>1</v>
      </c>
      <c r="F747" s="391" t="str">
        <f t="shared" si="1942"/>
        <v>soil</v>
      </c>
      <c r="G747" s="392" t="str">
        <f t="shared" si="1943"/>
        <v>DE: PET film 0,1-1 mm (emission to soil)</v>
      </c>
      <c r="H747" s="465">
        <v>2.7E-2</v>
      </c>
      <c r="I747" s="394" t="s">
        <v>1162</v>
      </c>
      <c r="J747" s="632"/>
      <c r="K747" s="395">
        <v>0.6944444444444452</v>
      </c>
      <c r="L747" s="537"/>
      <c r="M747" s="509">
        <f t="shared" si="1839"/>
        <v>719.9999999999992</v>
      </c>
      <c r="N747" s="646"/>
      <c r="O747" s="626"/>
      <c r="P747" s="629"/>
      <c r="Q747" s="629"/>
    </row>
    <row r="748" spans="1:17" ht="15.75" hidden="1" thickBot="1">
      <c r="A748" s="390" t="str">
        <f t="shared" si="1944"/>
        <v>PET</v>
      </c>
      <c r="B748" s="391" t="str">
        <f t="shared" si="1945"/>
        <v>film</v>
      </c>
      <c r="C748" s="391">
        <f t="shared" si="1939"/>
        <v>2</v>
      </c>
      <c r="D748" s="391" t="str">
        <f t="shared" si="1940"/>
        <v>0,1-1</v>
      </c>
      <c r="E748" s="391">
        <f t="shared" si="1941"/>
        <v>1</v>
      </c>
      <c r="F748" s="391" t="str">
        <f t="shared" si="1942"/>
        <v>soil</v>
      </c>
      <c r="G748" s="392" t="str">
        <f t="shared" si="1943"/>
        <v>DE: PET film 0,1-1 mm (emission to soil)</v>
      </c>
      <c r="H748" s="465">
        <v>3.0000000000000001E-3</v>
      </c>
      <c r="I748" s="394" t="s">
        <v>1163</v>
      </c>
      <c r="J748" s="632"/>
      <c r="K748" s="395">
        <v>0.6944444444444452</v>
      </c>
      <c r="L748" s="537"/>
      <c r="M748" s="509">
        <f t="shared" si="1839"/>
        <v>719.9999999999992</v>
      </c>
      <c r="N748" s="646"/>
      <c r="O748" s="626"/>
      <c r="P748" s="629"/>
      <c r="Q748" s="629"/>
    </row>
    <row r="749" spans="1:17" ht="15.75" hidden="1" thickBot="1">
      <c r="A749" s="390" t="str">
        <f>A746</f>
        <v>PET</v>
      </c>
      <c r="B749" s="391" t="str">
        <f>B746</f>
        <v>film</v>
      </c>
      <c r="C749" s="391">
        <f t="shared" si="1939"/>
        <v>2</v>
      </c>
      <c r="D749" s="391" t="str">
        <f>D746</f>
        <v>0,1-1</v>
      </c>
      <c r="E749" s="391">
        <f>E746</f>
        <v>1</v>
      </c>
      <c r="F749" s="391" t="str">
        <f>F746</f>
        <v>soil</v>
      </c>
      <c r="G749" s="396" t="str">
        <f t="shared" ref="G749" si="1946">G748</f>
        <v>DE: PET film 0,1-1 mm (emission to soil)</v>
      </c>
      <c r="H749" s="465">
        <v>0</v>
      </c>
      <c r="I749" s="397" t="s">
        <v>1034</v>
      </c>
      <c r="J749" s="633"/>
      <c r="K749" s="398" t="s">
        <v>596</v>
      </c>
      <c r="L749" s="538"/>
      <c r="M749" s="509">
        <f t="shared" si="1839"/>
        <v>0</v>
      </c>
      <c r="N749" s="647"/>
      <c r="O749" s="627"/>
      <c r="P749" s="629"/>
      <c r="Q749" s="629"/>
    </row>
    <row r="750" spans="1:17" ht="15.75" hidden="1" thickBot="1">
      <c r="A750" s="390" t="str">
        <f t="shared" ref="A750:B750" si="1947">A747</f>
        <v>PET</v>
      </c>
      <c r="B750" s="391" t="str">
        <f t="shared" si="1947"/>
        <v>film</v>
      </c>
      <c r="C750" s="391">
        <f t="shared" si="1939"/>
        <v>2</v>
      </c>
      <c r="D750" s="399" t="str">
        <f t="shared" ref="D750:E750" si="1948">D747</f>
        <v>0,1-1</v>
      </c>
      <c r="E750" s="391">
        <f t="shared" si="1948"/>
        <v>1</v>
      </c>
      <c r="F750" s="430" t="s">
        <v>1147</v>
      </c>
      <c r="G750" s="431" t="str">
        <f>CONCATENATE("DE: ",A750," ",B750," ",D750," mm (emission to ",F750,")")</f>
        <v>DE: PET film 0,1-1 mm (emission to fresh water)</v>
      </c>
      <c r="H750" s="468">
        <v>0</v>
      </c>
      <c r="I750" s="433" t="s">
        <v>1153</v>
      </c>
      <c r="J750" s="634">
        <v>0.22800000000000001</v>
      </c>
      <c r="K750" s="434">
        <v>1.04</v>
      </c>
      <c r="L750" s="536"/>
      <c r="M750" s="509">
        <f t="shared" si="1839"/>
        <v>480.76923076923077</v>
      </c>
      <c r="N750" s="645">
        <f t="shared" ref="N750" si="1949">IFERROR(H750*M750+H751*M751+H752*M752+H753*M753+H754*M754,"N.A.")</f>
        <v>719.9999999999992</v>
      </c>
      <c r="O750" s="625"/>
      <c r="P750" s="628">
        <f t="shared" si="1871"/>
        <v>100</v>
      </c>
      <c r="Q750" s="628">
        <f t="shared" si="1789"/>
        <v>500</v>
      </c>
    </row>
    <row r="751" spans="1:17" ht="15.75" hidden="1" thickBot="1">
      <c r="A751" s="390" t="str">
        <f t="shared" ref="A751:B751" si="1950">A748</f>
        <v>PET</v>
      </c>
      <c r="B751" s="391" t="str">
        <f t="shared" si="1950"/>
        <v>film</v>
      </c>
      <c r="C751" s="391">
        <f t="shared" si="1939"/>
        <v>2</v>
      </c>
      <c r="D751" s="391" t="str">
        <f t="shared" ref="D751:E751" si="1951">D748</f>
        <v>0,1-1</v>
      </c>
      <c r="E751" s="391">
        <f t="shared" si="1951"/>
        <v>1</v>
      </c>
      <c r="F751" s="414" t="str">
        <f t="shared" ref="F751:G751" si="1952">F750</f>
        <v>fresh water</v>
      </c>
      <c r="G751" s="435" t="str">
        <f t="shared" si="1952"/>
        <v>DE: PET film 0,1-1 mm (emission to fresh water)</v>
      </c>
      <c r="H751" s="469">
        <v>0</v>
      </c>
      <c r="I751" s="417" t="s">
        <v>1097</v>
      </c>
      <c r="J751" s="635"/>
      <c r="K751" s="434">
        <v>0.6944444444444452</v>
      </c>
      <c r="L751" s="536"/>
      <c r="M751" s="509">
        <f t="shared" si="1839"/>
        <v>719.9999999999992</v>
      </c>
      <c r="N751" s="646"/>
      <c r="O751" s="626"/>
      <c r="P751" s="629"/>
      <c r="Q751" s="629"/>
    </row>
    <row r="752" spans="1:17" ht="15.75" hidden="1" thickBot="1">
      <c r="A752" s="390" t="str">
        <f t="shared" ref="A752:B752" si="1953">A749</f>
        <v>PET</v>
      </c>
      <c r="B752" s="391" t="str">
        <f t="shared" si="1953"/>
        <v>film</v>
      </c>
      <c r="C752" s="391">
        <f t="shared" si="1939"/>
        <v>2</v>
      </c>
      <c r="D752" s="391" t="str">
        <f t="shared" ref="D752:E752" si="1954">D749</f>
        <v>0,1-1</v>
      </c>
      <c r="E752" s="391">
        <f t="shared" si="1954"/>
        <v>1</v>
      </c>
      <c r="F752" s="414" t="str">
        <f t="shared" ref="F752:G752" si="1955">F751</f>
        <v>fresh water</v>
      </c>
      <c r="G752" s="435" t="str">
        <f t="shared" si="1955"/>
        <v>DE: PET film 0,1-1 mm (emission to fresh water)</v>
      </c>
      <c r="H752" s="469">
        <v>0.89</v>
      </c>
      <c r="I752" s="417" t="s">
        <v>1162</v>
      </c>
      <c r="J752" s="635"/>
      <c r="K752" s="434">
        <v>0.6944444444444452</v>
      </c>
      <c r="L752" s="536"/>
      <c r="M752" s="509">
        <f t="shared" si="1839"/>
        <v>719.9999999999992</v>
      </c>
      <c r="N752" s="646"/>
      <c r="O752" s="626"/>
      <c r="P752" s="629"/>
      <c r="Q752" s="629"/>
    </row>
    <row r="753" spans="1:17" ht="15.75" hidden="1" thickBot="1">
      <c r="A753" s="390" t="str">
        <f t="shared" ref="A753:B753" si="1956">A750</f>
        <v>PET</v>
      </c>
      <c r="B753" s="391" t="str">
        <f t="shared" si="1956"/>
        <v>film</v>
      </c>
      <c r="C753" s="391">
        <f t="shared" si="1939"/>
        <v>2</v>
      </c>
      <c r="D753" s="391" t="str">
        <f t="shared" ref="D753:E753" si="1957">D750</f>
        <v>0,1-1</v>
      </c>
      <c r="E753" s="391">
        <f t="shared" si="1957"/>
        <v>1</v>
      </c>
      <c r="F753" s="414" t="str">
        <f t="shared" ref="F753:G753" si="1958">F752</f>
        <v>fresh water</v>
      </c>
      <c r="G753" s="435" t="str">
        <f t="shared" si="1958"/>
        <v>DE: PET film 0,1-1 mm (emission to fresh water)</v>
      </c>
      <c r="H753" s="469">
        <v>0.11</v>
      </c>
      <c r="I753" s="417" t="s">
        <v>1163</v>
      </c>
      <c r="J753" s="635"/>
      <c r="K753" s="434">
        <v>0.6944444444444452</v>
      </c>
      <c r="L753" s="536"/>
      <c r="M753" s="509">
        <f t="shared" si="1839"/>
        <v>719.9999999999992</v>
      </c>
      <c r="N753" s="646"/>
      <c r="O753" s="626"/>
      <c r="P753" s="629"/>
      <c r="Q753" s="629"/>
    </row>
    <row r="754" spans="1:17" ht="15.75" hidden="1" thickBot="1">
      <c r="A754" s="390" t="str">
        <f t="shared" ref="A754:B754" si="1959">A751</f>
        <v>PET</v>
      </c>
      <c r="B754" s="391" t="str">
        <f t="shared" si="1959"/>
        <v>film</v>
      </c>
      <c r="C754" s="391">
        <f t="shared" si="1939"/>
        <v>2</v>
      </c>
      <c r="D754" s="391" t="str">
        <f t="shared" ref="D754:E754" si="1960">D751</f>
        <v>0,1-1</v>
      </c>
      <c r="E754" s="391">
        <f t="shared" si="1960"/>
        <v>1</v>
      </c>
      <c r="F754" s="436" t="str">
        <f>F751</f>
        <v>fresh water</v>
      </c>
      <c r="G754" s="435" t="str">
        <f t="shared" ref="G754" si="1961">G753</f>
        <v>DE: PET film 0,1-1 mm (emission to fresh water)</v>
      </c>
      <c r="H754" s="469">
        <v>0</v>
      </c>
      <c r="I754" s="417" t="s">
        <v>1034</v>
      </c>
      <c r="J754" s="654"/>
      <c r="K754" s="421" t="s">
        <v>596</v>
      </c>
      <c r="L754" s="538"/>
      <c r="M754" s="509">
        <f t="shared" si="1839"/>
        <v>0</v>
      </c>
      <c r="N754" s="647"/>
      <c r="O754" s="627"/>
      <c r="P754" s="629"/>
      <c r="Q754" s="629"/>
    </row>
    <row r="755" spans="1:17" ht="15.75" hidden="1" thickBot="1">
      <c r="A755" s="390" t="str">
        <f t="shared" ref="A755:B755" si="1962">A752</f>
        <v>PET</v>
      </c>
      <c r="B755" s="391" t="str">
        <f t="shared" si="1962"/>
        <v>film</v>
      </c>
      <c r="C755" s="391">
        <f t="shared" si="1939"/>
        <v>2</v>
      </c>
      <c r="D755" s="391" t="str">
        <f t="shared" ref="D755:E755" si="1963">D752</f>
        <v>0,1-1</v>
      </c>
      <c r="E755" s="391">
        <f t="shared" si="1963"/>
        <v>1</v>
      </c>
      <c r="F755" s="385" t="s">
        <v>1097</v>
      </c>
      <c r="G755" s="422" t="str">
        <f>CONCATENATE("DE: ",A755," ",B755," ",D755," mm (emission to ",F755,")")</f>
        <v>DE: PET film 0,1-1 mm (emission to marine water)</v>
      </c>
      <c r="H755" s="467">
        <v>0</v>
      </c>
      <c r="I755" s="388" t="s">
        <v>1153</v>
      </c>
      <c r="J755" s="634">
        <v>0.22800000000000001</v>
      </c>
      <c r="K755" s="389">
        <v>1.04</v>
      </c>
      <c r="L755" s="536"/>
      <c r="M755" s="509">
        <f t="shared" si="1839"/>
        <v>480.76923076923077</v>
      </c>
      <c r="N755" s="645">
        <f t="shared" ref="N755" si="1964">IFERROR(H755*M755+H756*M756+H757*M757+H758*M758+H759*M759,"N.A.")</f>
        <v>719.9999999999992</v>
      </c>
      <c r="O755" s="625"/>
      <c r="P755" s="628">
        <f t="shared" si="1871"/>
        <v>100</v>
      </c>
      <c r="Q755" s="628">
        <f t="shared" ref="Q755:Q815" si="1965">IFERROR(IF(H755*M755+H756*M756+H757*M757+H758*M758+H759*M759&gt;500,500,H755*M755+H756*M756+H757*M757+H758*M758+H759*M759),"N.A.")</f>
        <v>500</v>
      </c>
    </row>
    <row r="756" spans="1:17" ht="15.75" hidden="1" thickBot="1">
      <c r="A756" s="390" t="str">
        <f t="shared" ref="A756:B756" si="1966">A753</f>
        <v>PET</v>
      </c>
      <c r="B756" s="391" t="str">
        <f t="shared" si="1966"/>
        <v>film</v>
      </c>
      <c r="C756" s="391">
        <f t="shared" si="1939"/>
        <v>2</v>
      </c>
      <c r="D756" s="391" t="str">
        <f t="shared" ref="D756:E756" si="1967">D753</f>
        <v>0,1-1</v>
      </c>
      <c r="E756" s="391">
        <f t="shared" si="1967"/>
        <v>1</v>
      </c>
      <c r="F756" s="391" t="str">
        <f t="shared" ref="F756:G756" si="1968">F755</f>
        <v>marine water</v>
      </c>
      <c r="G756" s="401" t="str">
        <f t="shared" si="1968"/>
        <v>DE: PET film 0,1-1 mm (emission to marine water)</v>
      </c>
      <c r="H756" s="465">
        <v>0</v>
      </c>
      <c r="I756" s="394" t="s">
        <v>1097</v>
      </c>
      <c r="J756" s="635"/>
      <c r="K756" s="389">
        <v>0.6944444444444452</v>
      </c>
      <c r="L756" s="537"/>
      <c r="M756" s="509">
        <f t="shared" si="1839"/>
        <v>719.9999999999992</v>
      </c>
      <c r="N756" s="646"/>
      <c r="O756" s="626"/>
      <c r="P756" s="629"/>
      <c r="Q756" s="629"/>
    </row>
    <row r="757" spans="1:17" ht="15.75" hidden="1" thickBot="1">
      <c r="A757" s="390" t="str">
        <f t="shared" ref="A757:B757" si="1969">A754</f>
        <v>PET</v>
      </c>
      <c r="B757" s="391" t="str">
        <f t="shared" si="1969"/>
        <v>film</v>
      </c>
      <c r="C757" s="391">
        <f t="shared" si="1939"/>
        <v>2</v>
      </c>
      <c r="D757" s="391" t="str">
        <f t="shared" ref="D757:E757" si="1970">D754</f>
        <v>0,1-1</v>
      </c>
      <c r="E757" s="391">
        <f t="shared" si="1970"/>
        <v>1</v>
      </c>
      <c r="F757" s="391" t="str">
        <f t="shared" ref="F757:G757" si="1971">F756</f>
        <v>marine water</v>
      </c>
      <c r="G757" s="401" t="str">
        <f t="shared" si="1971"/>
        <v>DE: PET film 0,1-1 mm (emission to marine water)</v>
      </c>
      <c r="H757" s="465">
        <v>0</v>
      </c>
      <c r="I757" s="394" t="s">
        <v>1162</v>
      </c>
      <c r="J757" s="635"/>
      <c r="K757" s="389">
        <v>0.6944444444444452</v>
      </c>
      <c r="L757" s="537"/>
      <c r="M757" s="509">
        <f t="shared" si="1839"/>
        <v>719.9999999999992</v>
      </c>
      <c r="N757" s="646"/>
      <c r="O757" s="626"/>
      <c r="P757" s="629"/>
      <c r="Q757" s="629"/>
    </row>
    <row r="758" spans="1:17" ht="15.75" hidden="1" thickBot="1">
      <c r="A758" s="390" t="str">
        <f t="shared" ref="A758:B758" si="1972">A755</f>
        <v>PET</v>
      </c>
      <c r="B758" s="391" t="str">
        <f t="shared" si="1972"/>
        <v>film</v>
      </c>
      <c r="C758" s="391">
        <f t="shared" si="1939"/>
        <v>2</v>
      </c>
      <c r="D758" s="391" t="str">
        <f t="shared" ref="D758:E758" si="1973">D755</f>
        <v>0,1-1</v>
      </c>
      <c r="E758" s="391">
        <f t="shared" si="1973"/>
        <v>1</v>
      </c>
      <c r="F758" s="391" t="str">
        <f t="shared" ref="F758:G758" si="1974">F757</f>
        <v>marine water</v>
      </c>
      <c r="G758" s="401" t="str">
        <f t="shared" si="1974"/>
        <v>DE: PET film 0,1-1 mm (emission to marine water)</v>
      </c>
      <c r="H758" s="465">
        <v>1</v>
      </c>
      <c r="I758" s="394" t="s">
        <v>1163</v>
      </c>
      <c r="J758" s="635"/>
      <c r="K758" s="389">
        <v>0.6944444444444452</v>
      </c>
      <c r="L758" s="537"/>
      <c r="M758" s="509">
        <f t="shared" si="1839"/>
        <v>719.9999999999992</v>
      </c>
      <c r="N758" s="646"/>
      <c r="O758" s="626"/>
      <c r="P758" s="629"/>
      <c r="Q758" s="629"/>
    </row>
    <row r="759" spans="1:17" ht="15.75" hidden="1" thickBot="1">
      <c r="A759" s="390" t="str">
        <f t="shared" ref="A759:B759" si="1975">A756</f>
        <v>PET</v>
      </c>
      <c r="B759" s="391" t="str">
        <f t="shared" si="1975"/>
        <v>film</v>
      </c>
      <c r="C759" s="391">
        <f t="shared" si="1939"/>
        <v>2</v>
      </c>
      <c r="D759" s="391" t="str">
        <f t="shared" ref="D759:E759" si="1976">D756</f>
        <v>0,1-1</v>
      </c>
      <c r="E759" s="391">
        <f t="shared" si="1976"/>
        <v>1</v>
      </c>
      <c r="F759" s="391" t="str">
        <f t="shared" ref="F759:G759" si="1977">F758</f>
        <v>marine water</v>
      </c>
      <c r="G759" s="401" t="str">
        <f t="shared" si="1977"/>
        <v>DE: PET film 0,1-1 mm (emission to marine water)</v>
      </c>
      <c r="H759" s="465">
        <v>0</v>
      </c>
      <c r="I759" s="394" t="s">
        <v>1034</v>
      </c>
      <c r="J759" s="654"/>
      <c r="K759" s="398" t="s">
        <v>596</v>
      </c>
      <c r="L759" s="538"/>
      <c r="M759" s="509">
        <f t="shared" si="1839"/>
        <v>0</v>
      </c>
      <c r="N759" s="647"/>
      <c r="O759" s="627"/>
      <c r="P759" s="629"/>
      <c r="Q759" s="629"/>
    </row>
    <row r="760" spans="1:17" ht="15.75" hidden="1" thickBot="1">
      <c r="A760" s="390" t="str">
        <f t="shared" ref="A760:B760" si="1978">A757</f>
        <v>PET</v>
      </c>
      <c r="B760" s="391" t="str">
        <f t="shared" si="1978"/>
        <v>film</v>
      </c>
      <c r="C760" s="391">
        <f t="shared" si="1939"/>
        <v>2</v>
      </c>
      <c r="D760" s="391" t="str">
        <f t="shared" ref="D760:E760" si="1979">D757</f>
        <v>0,1-1</v>
      </c>
      <c r="E760" s="391">
        <f t="shared" si="1979"/>
        <v>1</v>
      </c>
      <c r="F760" s="400" t="s">
        <v>1057</v>
      </c>
      <c r="G760" s="422" t="str">
        <f>CONCATENATE("DE: ",A760," ",B760," ",D760," mm (emission to ",F760,")")</f>
        <v>DE: PET film 0,1-1 mm (emission to air)</v>
      </c>
      <c r="H760" s="467">
        <v>0.94799999999999995</v>
      </c>
      <c r="I760" s="388" t="s">
        <v>1153</v>
      </c>
      <c r="J760" s="634">
        <v>0.22800000000000001</v>
      </c>
      <c r="K760" s="389">
        <v>1.04</v>
      </c>
      <c r="L760" s="536"/>
      <c r="M760" s="509">
        <f t="shared" si="1839"/>
        <v>480.76923076923077</v>
      </c>
      <c r="N760" s="645">
        <f t="shared" ref="N760" si="1980">IFERROR(H760*M760+H761*M761+H762*M762+H763*M763+H764*M764,"N.A.")</f>
        <v>493.20923076923077</v>
      </c>
      <c r="O760" s="625"/>
      <c r="P760" s="628">
        <f t="shared" si="1871"/>
        <v>100</v>
      </c>
      <c r="Q760" s="628">
        <f t="shared" si="1965"/>
        <v>493.20923076923077</v>
      </c>
    </row>
    <row r="761" spans="1:17" ht="15.75" hidden="1" thickBot="1">
      <c r="A761" s="390" t="str">
        <f t="shared" ref="A761:B761" si="1981">A758</f>
        <v>PET</v>
      </c>
      <c r="B761" s="391" t="str">
        <f t="shared" si="1981"/>
        <v>film</v>
      </c>
      <c r="C761" s="391">
        <f t="shared" si="1939"/>
        <v>2</v>
      </c>
      <c r="D761" s="391" t="str">
        <f t="shared" ref="D761:E761" si="1982">D758</f>
        <v>0,1-1</v>
      </c>
      <c r="E761" s="391">
        <f t="shared" si="1982"/>
        <v>1</v>
      </c>
      <c r="F761" s="391" t="str">
        <f t="shared" ref="F761:G761" si="1983">F760</f>
        <v>air</v>
      </c>
      <c r="G761" s="401" t="str">
        <f t="shared" si="1983"/>
        <v>DE: PET film 0,1-1 mm (emission to air)</v>
      </c>
      <c r="H761" s="465">
        <v>0</v>
      </c>
      <c r="I761" s="394" t="s">
        <v>1097</v>
      </c>
      <c r="J761" s="635"/>
      <c r="K761" s="389">
        <v>0.6944444444444452</v>
      </c>
      <c r="L761" s="537"/>
      <c r="M761" s="509">
        <f t="shared" si="1839"/>
        <v>719.9999999999992</v>
      </c>
      <c r="N761" s="646"/>
      <c r="O761" s="626"/>
      <c r="P761" s="629"/>
      <c r="Q761" s="629"/>
    </row>
    <row r="762" spans="1:17" ht="15.75" hidden="1" thickBot="1">
      <c r="A762" s="390" t="str">
        <f t="shared" ref="A762:B762" si="1984">A759</f>
        <v>PET</v>
      </c>
      <c r="B762" s="391" t="str">
        <f t="shared" si="1984"/>
        <v>film</v>
      </c>
      <c r="C762" s="391">
        <f t="shared" si="1939"/>
        <v>2</v>
      </c>
      <c r="D762" s="391" t="str">
        <f t="shared" ref="D762:E762" si="1985">D759</f>
        <v>0,1-1</v>
      </c>
      <c r="E762" s="391">
        <f t="shared" si="1985"/>
        <v>1</v>
      </c>
      <c r="F762" s="391" t="str">
        <f t="shared" ref="F762:G762" si="1986">F761</f>
        <v>air</v>
      </c>
      <c r="G762" s="401" t="str">
        <f t="shared" si="1986"/>
        <v>DE: PET film 0,1-1 mm (emission to air)</v>
      </c>
      <c r="H762" s="465">
        <v>4.7E-2</v>
      </c>
      <c r="I762" s="394" t="s">
        <v>1162</v>
      </c>
      <c r="J762" s="635"/>
      <c r="K762" s="389">
        <v>0.6944444444444452</v>
      </c>
      <c r="L762" s="537"/>
      <c r="M762" s="509">
        <f t="shared" si="1839"/>
        <v>719.9999999999992</v>
      </c>
      <c r="N762" s="646"/>
      <c r="O762" s="626"/>
      <c r="P762" s="629"/>
      <c r="Q762" s="629"/>
    </row>
    <row r="763" spans="1:17" ht="15.75" hidden="1" thickBot="1">
      <c r="A763" s="390" t="str">
        <f t="shared" ref="A763:B763" si="1987">A760</f>
        <v>PET</v>
      </c>
      <c r="B763" s="391" t="str">
        <f t="shared" si="1987"/>
        <v>film</v>
      </c>
      <c r="C763" s="391">
        <f t="shared" si="1939"/>
        <v>2</v>
      </c>
      <c r="D763" s="391" t="str">
        <f t="shared" ref="D763:E763" si="1988">D760</f>
        <v>0,1-1</v>
      </c>
      <c r="E763" s="391">
        <f t="shared" si="1988"/>
        <v>1</v>
      </c>
      <c r="F763" s="391" t="str">
        <f t="shared" ref="F763:G763" si="1989">F762</f>
        <v>air</v>
      </c>
      <c r="G763" s="401" t="str">
        <f t="shared" si="1989"/>
        <v>DE: PET film 0,1-1 mm (emission to air)</v>
      </c>
      <c r="H763" s="465">
        <v>5.0000000000000001E-3</v>
      </c>
      <c r="I763" s="394" t="s">
        <v>1163</v>
      </c>
      <c r="J763" s="635"/>
      <c r="K763" s="389">
        <v>0.6944444444444452</v>
      </c>
      <c r="L763" s="537"/>
      <c r="M763" s="509">
        <f t="shared" si="1839"/>
        <v>719.9999999999992</v>
      </c>
      <c r="N763" s="646"/>
      <c r="O763" s="626"/>
      <c r="P763" s="629"/>
      <c r="Q763" s="629"/>
    </row>
    <row r="764" spans="1:17" ht="15.75" hidden="1" thickBot="1">
      <c r="A764" s="404" t="str">
        <f t="shared" ref="A764:B764" si="1990">A759</f>
        <v>PET</v>
      </c>
      <c r="B764" s="402" t="str">
        <f t="shared" si="1990"/>
        <v>film</v>
      </c>
      <c r="C764" s="391">
        <f t="shared" si="1939"/>
        <v>2</v>
      </c>
      <c r="D764" s="402" t="str">
        <f t="shared" ref="D764:E764" si="1991">D759</f>
        <v>0,1-1</v>
      </c>
      <c r="E764" s="402">
        <f t="shared" si="1991"/>
        <v>1</v>
      </c>
      <c r="F764" s="391" t="str">
        <f t="shared" ref="F764:G764" si="1992">F763</f>
        <v>air</v>
      </c>
      <c r="G764" s="401" t="str">
        <f t="shared" si="1992"/>
        <v>DE: PET film 0,1-1 mm (emission to air)</v>
      </c>
      <c r="H764" s="465">
        <v>0</v>
      </c>
      <c r="I764" s="394" t="s">
        <v>1034</v>
      </c>
      <c r="J764" s="636"/>
      <c r="K764" s="398" t="s">
        <v>596</v>
      </c>
      <c r="L764" s="538"/>
      <c r="M764" s="509">
        <f t="shared" si="1839"/>
        <v>0</v>
      </c>
      <c r="N764" s="647"/>
      <c r="O764" s="627"/>
      <c r="P764" s="629"/>
      <c r="Q764" s="629"/>
    </row>
    <row r="765" spans="1:17" ht="16.5" hidden="1" thickTop="1" thickBot="1">
      <c r="A765" s="405" t="s">
        <v>78</v>
      </c>
      <c r="B765" s="406" t="s">
        <v>996</v>
      </c>
      <c r="C765" s="407">
        <f>IF(OR(B765="Folie", B765="Strips", B765="Film",B765="Flakes",B765="Coupon"), 2,IF(OR(B765="Fibers",B765="Pellets"),4,IF(OR(B765="Particles",B765="Shreds",B765="Powder",B765="Fragments",B765="Granules"),6,"")))</f>
        <v>2</v>
      </c>
      <c r="D765" s="423" t="s">
        <v>1026</v>
      </c>
      <c r="E765" s="408">
        <v>10</v>
      </c>
      <c r="F765" s="424" t="s">
        <v>1019</v>
      </c>
      <c r="G765" s="425" t="str">
        <f>CONCATENATE("DE: ",A765," ",B765," ",D765," mm (emission to ",F765,")")</f>
        <v>DE: PET film 1-10 mm (emission to soil)</v>
      </c>
      <c r="H765" s="464">
        <v>0.97</v>
      </c>
      <c r="I765" s="427" t="s">
        <v>1153</v>
      </c>
      <c r="J765" s="632">
        <v>0.22800000000000001</v>
      </c>
      <c r="K765" s="428">
        <v>1.04</v>
      </c>
      <c r="L765" s="539"/>
      <c r="M765" s="509">
        <f t="shared" si="1839"/>
        <v>1000</v>
      </c>
      <c r="N765" s="645">
        <f t="shared" ref="N765" si="1993">IFERROR(H765*M765+H766*M766+H767*M767+H768*M768+H769*M769,"N.A.")</f>
        <v>1000</v>
      </c>
      <c r="O765" s="625"/>
      <c r="P765" s="628">
        <f t="shared" si="1871"/>
        <v>100</v>
      </c>
      <c r="Q765" s="628">
        <f t="shared" si="1965"/>
        <v>500</v>
      </c>
    </row>
    <row r="766" spans="1:17" ht="15.75" hidden="1" thickBot="1">
      <c r="A766" s="390" t="str">
        <f>A765</f>
        <v>PET</v>
      </c>
      <c r="B766" s="391" t="str">
        <f>B765</f>
        <v>film</v>
      </c>
      <c r="C766" s="391">
        <f t="shared" ref="C766:C784" si="1994">C765</f>
        <v>2</v>
      </c>
      <c r="D766" s="391" t="str">
        <f t="shared" ref="D766:D768" si="1995">D765</f>
        <v>1-10</v>
      </c>
      <c r="E766" s="391">
        <f t="shared" ref="E766:E768" si="1996">E765</f>
        <v>10</v>
      </c>
      <c r="F766" s="391" t="str">
        <f t="shared" ref="F766:F768" si="1997">F765</f>
        <v>soil</v>
      </c>
      <c r="G766" s="392" t="str">
        <f t="shared" ref="G766:G768" si="1998">G765</f>
        <v>DE: PET film 1-10 mm (emission to soil)</v>
      </c>
      <c r="H766" s="465">
        <v>0</v>
      </c>
      <c r="I766" s="394" t="s">
        <v>1097</v>
      </c>
      <c r="J766" s="632"/>
      <c r="K766" s="395">
        <v>0.6944444444444452</v>
      </c>
      <c r="L766" s="537"/>
      <c r="M766" s="509">
        <f t="shared" si="1839"/>
        <v>1000</v>
      </c>
      <c r="N766" s="646"/>
      <c r="O766" s="626"/>
      <c r="P766" s="629"/>
      <c r="Q766" s="629"/>
    </row>
    <row r="767" spans="1:17" ht="15.75" hidden="1" thickBot="1">
      <c r="A767" s="390" t="str">
        <f t="shared" ref="A767:A768" si="1999">A766</f>
        <v>PET</v>
      </c>
      <c r="B767" s="391" t="str">
        <f t="shared" ref="B767:B768" si="2000">B766</f>
        <v>film</v>
      </c>
      <c r="C767" s="391">
        <f t="shared" si="1994"/>
        <v>2</v>
      </c>
      <c r="D767" s="391" t="str">
        <f t="shared" si="1995"/>
        <v>1-10</v>
      </c>
      <c r="E767" s="391">
        <f t="shared" si="1996"/>
        <v>10</v>
      </c>
      <c r="F767" s="391" t="str">
        <f t="shared" si="1997"/>
        <v>soil</v>
      </c>
      <c r="G767" s="392" t="str">
        <f t="shared" si="1998"/>
        <v>DE: PET film 1-10 mm (emission to soil)</v>
      </c>
      <c r="H767" s="465">
        <v>2.7E-2</v>
      </c>
      <c r="I767" s="394" t="s">
        <v>1162</v>
      </c>
      <c r="J767" s="632"/>
      <c r="K767" s="395">
        <v>0.6944444444444452</v>
      </c>
      <c r="L767" s="537"/>
      <c r="M767" s="509">
        <f t="shared" si="1839"/>
        <v>1000</v>
      </c>
      <c r="N767" s="646"/>
      <c r="O767" s="626"/>
      <c r="P767" s="629"/>
      <c r="Q767" s="629"/>
    </row>
    <row r="768" spans="1:17" ht="15.75" hidden="1" thickBot="1">
      <c r="A768" s="390" t="str">
        <f t="shared" si="1999"/>
        <v>PET</v>
      </c>
      <c r="B768" s="391" t="str">
        <f t="shared" si="2000"/>
        <v>film</v>
      </c>
      <c r="C768" s="391">
        <f t="shared" si="1994"/>
        <v>2</v>
      </c>
      <c r="D768" s="391" t="str">
        <f t="shared" si="1995"/>
        <v>1-10</v>
      </c>
      <c r="E768" s="391">
        <f t="shared" si="1996"/>
        <v>10</v>
      </c>
      <c r="F768" s="391" t="str">
        <f t="shared" si="1997"/>
        <v>soil</v>
      </c>
      <c r="G768" s="392" t="str">
        <f t="shared" si="1998"/>
        <v>DE: PET film 1-10 mm (emission to soil)</v>
      </c>
      <c r="H768" s="465">
        <v>3.0000000000000001E-3</v>
      </c>
      <c r="I768" s="394" t="s">
        <v>1163</v>
      </c>
      <c r="J768" s="632"/>
      <c r="K768" s="395">
        <v>0.6944444444444452</v>
      </c>
      <c r="L768" s="537"/>
      <c r="M768" s="509">
        <f t="shared" si="1839"/>
        <v>1000</v>
      </c>
      <c r="N768" s="646"/>
      <c r="O768" s="626"/>
      <c r="P768" s="629"/>
      <c r="Q768" s="629"/>
    </row>
    <row r="769" spans="1:17" ht="15.75" hidden="1" thickBot="1">
      <c r="A769" s="390" t="str">
        <f>A766</f>
        <v>PET</v>
      </c>
      <c r="B769" s="391" t="str">
        <f>B766</f>
        <v>film</v>
      </c>
      <c r="C769" s="391">
        <f t="shared" si="1994"/>
        <v>2</v>
      </c>
      <c r="D769" s="391" t="str">
        <f>D766</f>
        <v>1-10</v>
      </c>
      <c r="E769" s="391">
        <f>E766</f>
        <v>10</v>
      </c>
      <c r="F769" s="391" t="str">
        <f>F766</f>
        <v>soil</v>
      </c>
      <c r="G769" s="396" t="str">
        <f t="shared" ref="G769" si="2001">G768</f>
        <v>DE: PET film 1-10 mm (emission to soil)</v>
      </c>
      <c r="H769" s="465">
        <v>0</v>
      </c>
      <c r="I769" s="397" t="s">
        <v>1034</v>
      </c>
      <c r="J769" s="633"/>
      <c r="K769" s="398" t="s">
        <v>596</v>
      </c>
      <c r="L769" s="538"/>
      <c r="M769" s="509">
        <f t="shared" si="1839"/>
        <v>0</v>
      </c>
      <c r="N769" s="647"/>
      <c r="O769" s="627"/>
      <c r="P769" s="629"/>
      <c r="Q769" s="629"/>
    </row>
    <row r="770" spans="1:17" ht="15.75" hidden="1" thickBot="1">
      <c r="A770" s="390" t="str">
        <f t="shared" ref="A770:B770" si="2002">A767</f>
        <v>PET</v>
      </c>
      <c r="B770" s="391" t="str">
        <f t="shared" si="2002"/>
        <v>film</v>
      </c>
      <c r="C770" s="391">
        <f t="shared" si="1994"/>
        <v>2</v>
      </c>
      <c r="D770" s="399" t="str">
        <f t="shared" ref="D770:E770" si="2003">D767</f>
        <v>1-10</v>
      </c>
      <c r="E770" s="391">
        <f t="shared" si="2003"/>
        <v>10</v>
      </c>
      <c r="F770" s="400" t="s">
        <v>1147</v>
      </c>
      <c r="G770" s="386" t="str">
        <f>CONCATENATE("DE: ",A770," ",B770," ",D770," mm (emission to ",F770,")")</f>
        <v>DE: PET film 1-10 mm (emission to fresh water)</v>
      </c>
      <c r="H770" s="466">
        <v>0</v>
      </c>
      <c r="I770" s="388" t="s">
        <v>1153</v>
      </c>
      <c r="J770" s="634">
        <v>0.22800000000000001</v>
      </c>
      <c r="K770" s="389">
        <v>1.04</v>
      </c>
      <c r="L770" s="536"/>
      <c r="M770" s="509">
        <f t="shared" si="1839"/>
        <v>1000</v>
      </c>
      <c r="N770" s="645">
        <f t="shared" ref="N770" si="2004">IFERROR(H770*M770+H771*M771+H772*M772+H773*M773+H774*M774,"N.A.")</f>
        <v>1000</v>
      </c>
      <c r="O770" s="625"/>
      <c r="P770" s="628">
        <f t="shared" si="1871"/>
        <v>100</v>
      </c>
      <c r="Q770" s="628">
        <f t="shared" si="1965"/>
        <v>500</v>
      </c>
    </row>
    <row r="771" spans="1:17" ht="15.75" hidden="1" thickBot="1">
      <c r="A771" s="390" t="str">
        <f t="shared" ref="A771:B771" si="2005">A768</f>
        <v>PET</v>
      </c>
      <c r="B771" s="391" t="str">
        <f t="shared" si="2005"/>
        <v>film</v>
      </c>
      <c r="C771" s="391">
        <f t="shared" si="1994"/>
        <v>2</v>
      </c>
      <c r="D771" s="391" t="str">
        <f t="shared" ref="D771:E771" si="2006">D768</f>
        <v>1-10</v>
      </c>
      <c r="E771" s="391">
        <f t="shared" si="2006"/>
        <v>10</v>
      </c>
      <c r="F771" s="391" t="str">
        <f t="shared" ref="F771:G771" si="2007">F770</f>
        <v>fresh water</v>
      </c>
      <c r="G771" s="401" t="str">
        <f t="shared" si="2007"/>
        <v>DE: PET film 1-10 mm (emission to fresh water)</v>
      </c>
      <c r="H771" s="465">
        <v>0</v>
      </c>
      <c r="I771" s="394" t="s">
        <v>1097</v>
      </c>
      <c r="J771" s="635"/>
      <c r="K771" s="389">
        <v>0.6944444444444452</v>
      </c>
      <c r="L771" s="536"/>
      <c r="M771" s="509">
        <f t="shared" si="1839"/>
        <v>1000</v>
      </c>
      <c r="N771" s="646"/>
      <c r="O771" s="626"/>
      <c r="P771" s="629"/>
      <c r="Q771" s="629"/>
    </row>
    <row r="772" spans="1:17" ht="15.75" hidden="1" thickBot="1">
      <c r="A772" s="390" t="str">
        <f t="shared" ref="A772:B772" si="2008">A769</f>
        <v>PET</v>
      </c>
      <c r="B772" s="391" t="str">
        <f t="shared" si="2008"/>
        <v>film</v>
      </c>
      <c r="C772" s="391">
        <f t="shared" si="1994"/>
        <v>2</v>
      </c>
      <c r="D772" s="391" t="str">
        <f t="shared" ref="D772:E772" si="2009">D769</f>
        <v>1-10</v>
      </c>
      <c r="E772" s="391">
        <f t="shared" si="2009"/>
        <v>10</v>
      </c>
      <c r="F772" s="391" t="str">
        <f t="shared" ref="F772:G772" si="2010">F771</f>
        <v>fresh water</v>
      </c>
      <c r="G772" s="401" t="str">
        <f t="shared" si="2010"/>
        <v>DE: PET film 1-10 mm (emission to fresh water)</v>
      </c>
      <c r="H772" s="465">
        <v>0.89</v>
      </c>
      <c r="I772" s="394" t="s">
        <v>1162</v>
      </c>
      <c r="J772" s="635"/>
      <c r="K772" s="389">
        <v>0.6944444444444452</v>
      </c>
      <c r="L772" s="536"/>
      <c r="M772" s="509">
        <f t="shared" si="1839"/>
        <v>1000</v>
      </c>
      <c r="N772" s="646"/>
      <c r="O772" s="626"/>
      <c r="P772" s="629"/>
      <c r="Q772" s="629"/>
    </row>
    <row r="773" spans="1:17" ht="15.75" hidden="1" thickBot="1">
      <c r="A773" s="390" t="str">
        <f t="shared" ref="A773:B773" si="2011">A770</f>
        <v>PET</v>
      </c>
      <c r="B773" s="391" t="str">
        <f t="shared" si="2011"/>
        <v>film</v>
      </c>
      <c r="C773" s="391">
        <f t="shared" si="1994"/>
        <v>2</v>
      </c>
      <c r="D773" s="391" t="str">
        <f t="shared" ref="D773:E773" si="2012">D770</f>
        <v>1-10</v>
      </c>
      <c r="E773" s="391">
        <f t="shared" si="2012"/>
        <v>10</v>
      </c>
      <c r="F773" s="391" t="str">
        <f t="shared" ref="F773:G773" si="2013">F772</f>
        <v>fresh water</v>
      </c>
      <c r="G773" s="401" t="str">
        <f t="shared" si="2013"/>
        <v>DE: PET film 1-10 mm (emission to fresh water)</v>
      </c>
      <c r="H773" s="465">
        <v>0.11</v>
      </c>
      <c r="I773" s="394" t="s">
        <v>1163</v>
      </c>
      <c r="J773" s="635"/>
      <c r="K773" s="389">
        <v>0.6944444444444452</v>
      </c>
      <c r="L773" s="536"/>
      <c r="M773" s="509">
        <f t="shared" si="1839"/>
        <v>1000</v>
      </c>
      <c r="N773" s="646"/>
      <c r="O773" s="626"/>
      <c r="P773" s="629"/>
      <c r="Q773" s="629"/>
    </row>
    <row r="774" spans="1:17" ht="15.75" hidden="1" thickBot="1">
      <c r="A774" s="390" t="str">
        <f t="shared" ref="A774:B774" si="2014">A771</f>
        <v>PET</v>
      </c>
      <c r="B774" s="391" t="str">
        <f t="shared" si="2014"/>
        <v>film</v>
      </c>
      <c r="C774" s="391">
        <f t="shared" si="1994"/>
        <v>2</v>
      </c>
      <c r="D774" s="391" t="str">
        <f t="shared" ref="D774:E774" si="2015">D771</f>
        <v>1-10</v>
      </c>
      <c r="E774" s="391">
        <f t="shared" si="2015"/>
        <v>10</v>
      </c>
      <c r="F774" s="402" t="str">
        <f>F771</f>
        <v>fresh water</v>
      </c>
      <c r="G774" s="401" t="str">
        <f t="shared" ref="G774" si="2016">G773</f>
        <v>DE: PET film 1-10 mm (emission to fresh water)</v>
      </c>
      <c r="H774" s="465">
        <v>0</v>
      </c>
      <c r="I774" s="394" t="s">
        <v>1034</v>
      </c>
      <c r="J774" s="654"/>
      <c r="K774" s="398" t="s">
        <v>596</v>
      </c>
      <c r="L774" s="538"/>
      <c r="M774" s="509">
        <f t="shared" ref="M774:M837" si="2017">IFERROR(IF(K774="--",0,IF(E774*1000/K774*(1-0.5)^(C774/2)&gt;1000,1000,E774*1000/K774*(1-0.5)^(C774/2))),1000)</f>
        <v>0</v>
      </c>
      <c r="N774" s="647"/>
      <c r="O774" s="627"/>
      <c r="P774" s="629"/>
      <c r="Q774" s="629"/>
    </row>
    <row r="775" spans="1:17" ht="15.75" hidden="1" thickBot="1">
      <c r="A775" s="390" t="str">
        <f t="shared" ref="A775:B775" si="2018">A772</f>
        <v>PET</v>
      </c>
      <c r="B775" s="391" t="str">
        <f t="shared" si="2018"/>
        <v>film</v>
      </c>
      <c r="C775" s="391">
        <f t="shared" si="1994"/>
        <v>2</v>
      </c>
      <c r="D775" s="391" t="str">
        <f t="shared" ref="D775:E775" si="2019">D772</f>
        <v>1-10</v>
      </c>
      <c r="E775" s="391">
        <f t="shared" si="2019"/>
        <v>10</v>
      </c>
      <c r="F775" s="385" t="s">
        <v>1097</v>
      </c>
      <c r="G775" s="422" t="str">
        <f>CONCATENATE("DE: ",A775," ",B775," ",D775," mm (emission to ",F775,")")</f>
        <v>DE: PET film 1-10 mm (emission to marine water)</v>
      </c>
      <c r="H775" s="467">
        <v>0</v>
      </c>
      <c r="I775" s="388" t="s">
        <v>1153</v>
      </c>
      <c r="J775" s="634">
        <v>0.22800000000000001</v>
      </c>
      <c r="K775" s="389">
        <v>1.04</v>
      </c>
      <c r="L775" s="536"/>
      <c r="M775" s="509">
        <f t="shared" si="2017"/>
        <v>1000</v>
      </c>
      <c r="N775" s="645">
        <f t="shared" ref="N775" si="2020">IFERROR(H775*M775+H776*M776+H777*M777+H778*M778+H779*M779,"N.A.")</f>
        <v>1000</v>
      </c>
      <c r="O775" s="625"/>
      <c r="P775" s="628">
        <f t="shared" si="1871"/>
        <v>100</v>
      </c>
      <c r="Q775" s="628">
        <f t="shared" si="1965"/>
        <v>500</v>
      </c>
    </row>
    <row r="776" spans="1:17" ht="15.75" hidden="1" thickBot="1">
      <c r="A776" s="390" t="str">
        <f t="shared" ref="A776:B776" si="2021">A773</f>
        <v>PET</v>
      </c>
      <c r="B776" s="391" t="str">
        <f t="shared" si="2021"/>
        <v>film</v>
      </c>
      <c r="C776" s="391">
        <f t="shared" si="1994"/>
        <v>2</v>
      </c>
      <c r="D776" s="391" t="str">
        <f t="shared" ref="D776:E776" si="2022">D773</f>
        <v>1-10</v>
      </c>
      <c r="E776" s="391">
        <f t="shared" si="2022"/>
        <v>10</v>
      </c>
      <c r="F776" s="391" t="str">
        <f t="shared" ref="F776:G776" si="2023">F775</f>
        <v>marine water</v>
      </c>
      <c r="G776" s="401" t="str">
        <f t="shared" si="2023"/>
        <v>DE: PET film 1-10 mm (emission to marine water)</v>
      </c>
      <c r="H776" s="465">
        <v>0</v>
      </c>
      <c r="I776" s="394" t="s">
        <v>1097</v>
      </c>
      <c r="J776" s="635"/>
      <c r="K776" s="389">
        <v>0.6944444444444452</v>
      </c>
      <c r="L776" s="537"/>
      <c r="M776" s="509">
        <f t="shared" si="2017"/>
        <v>1000</v>
      </c>
      <c r="N776" s="646"/>
      <c r="O776" s="626"/>
      <c r="P776" s="629"/>
      <c r="Q776" s="629"/>
    </row>
    <row r="777" spans="1:17" ht="15.75" hidden="1" thickBot="1">
      <c r="A777" s="390" t="str">
        <f t="shared" ref="A777:B777" si="2024">A774</f>
        <v>PET</v>
      </c>
      <c r="B777" s="391" t="str">
        <f t="shared" si="2024"/>
        <v>film</v>
      </c>
      <c r="C777" s="391">
        <f t="shared" si="1994"/>
        <v>2</v>
      </c>
      <c r="D777" s="391" t="str">
        <f t="shared" ref="D777:E777" si="2025">D774</f>
        <v>1-10</v>
      </c>
      <c r="E777" s="391">
        <f t="shared" si="2025"/>
        <v>10</v>
      </c>
      <c r="F777" s="391" t="str">
        <f t="shared" ref="F777:G777" si="2026">F776</f>
        <v>marine water</v>
      </c>
      <c r="G777" s="401" t="str">
        <f t="shared" si="2026"/>
        <v>DE: PET film 1-10 mm (emission to marine water)</v>
      </c>
      <c r="H777" s="465">
        <v>0</v>
      </c>
      <c r="I777" s="394" t="s">
        <v>1162</v>
      </c>
      <c r="J777" s="635"/>
      <c r="K777" s="389">
        <v>0.6944444444444452</v>
      </c>
      <c r="L777" s="537"/>
      <c r="M777" s="509">
        <f t="shared" si="2017"/>
        <v>1000</v>
      </c>
      <c r="N777" s="646"/>
      <c r="O777" s="626"/>
      <c r="P777" s="629"/>
      <c r="Q777" s="629"/>
    </row>
    <row r="778" spans="1:17" ht="15.75" hidden="1" thickBot="1">
      <c r="A778" s="390" t="str">
        <f t="shared" ref="A778:B778" si="2027">A775</f>
        <v>PET</v>
      </c>
      <c r="B778" s="391" t="str">
        <f t="shared" si="2027"/>
        <v>film</v>
      </c>
      <c r="C778" s="391">
        <f t="shared" si="1994"/>
        <v>2</v>
      </c>
      <c r="D778" s="391" t="str">
        <f t="shared" ref="D778:E778" si="2028">D775</f>
        <v>1-10</v>
      </c>
      <c r="E778" s="391">
        <f t="shared" si="2028"/>
        <v>10</v>
      </c>
      <c r="F778" s="391" t="str">
        <f t="shared" ref="F778:G778" si="2029">F777</f>
        <v>marine water</v>
      </c>
      <c r="G778" s="401" t="str">
        <f t="shared" si="2029"/>
        <v>DE: PET film 1-10 mm (emission to marine water)</v>
      </c>
      <c r="H778" s="465">
        <v>1</v>
      </c>
      <c r="I778" s="394" t="s">
        <v>1163</v>
      </c>
      <c r="J778" s="635"/>
      <c r="K778" s="389">
        <v>0.6944444444444452</v>
      </c>
      <c r="L778" s="537"/>
      <c r="M778" s="509">
        <f t="shared" si="2017"/>
        <v>1000</v>
      </c>
      <c r="N778" s="646"/>
      <c r="O778" s="626"/>
      <c r="P778" s="629"/>
      <c r="Q778" s="629"/>
    </row>
    <row r="779" spans="1:17" ht="15.75" hidden="1" thickBot="1">
      <c r="A779" s="390" t="str">
        <f t="shared" ref="A779:B779" si="2030">A776</f>
        <v>PET</v>
      </c>
      <c r="B779" s="391" t="str">
        <f t="shared" si="2030"/>
        <v>film</v>
      </c>
      <c r="C779" s="391">
        <f t="shared" si="1994"/>
        <v>2</v>
      </c>
      <c r="D779" s="391" t="str">
        <f t="shared" ref="D779:E779" si="2031">D776</f>
        <v>1-10</v>
      </c>
      <c r="E779" s="391">
        <f t="shared" si="2031"/>
        <v>10</v>
      </c>
      <c r="F779" s="391" t="str">
        <f t="shared" ref="F779:G779" si="2032">F778</f>
        <v>marine water</v>
      </c>
      <c r="G779" s="401" t="str">
        <f t="shared" si="2032"/>
        <v>DE: PET film 1-10 mm (emission to marine water)</v>
      </c>
      <c r="H779" s="465">
        <v>0</v>
      </c>
      <c r="I779" s="394" t="s">
        <v>1034</v>
      </c>
      <c r="J779" s="654"/>
      <c r="K779" s="398" t="s">
        <v>596</v>
      </c>
      <c r="L779" s="538"/>
      <c r="M779" s="509">
        <f t="shared" si="2017"/>
        <v>0</v>
      </c>
      <c r="N779" s="647"/>
      <c r="O779" s="627"/>
      <c r="P779" s="629"/>
      <c r="Q779" s="629"/>
    </row>
    <row r="780" spans="1:17" ht="15.75" hidden="1" thickBot="1">
      <c r="A780" s="390" t="str">
        <f t="shared" ref="A780:B780" si="2033">A777</f>
        <v>PET</v>
      </c>
      <c r="B780" s="391" t="str">
        <f t="shared" si="2033"/>
        <v>film</v>
      </c>
      <c r="C780" s="391">
        <f t="shared" si="1994"/>
        <v>2</v>
      </c>
      <c r="D780" s="391" t="str">
        <f t="shared" ref="D780:E780" si="2034">D777</f>
        <v>1-10</v>
      </c>
      <c r="E780" s="391">
        <f t="shared" si="2034"/>
        <v>10</v>
      </c>
      <c r="F780" s="400" t="s">
        <v>1057</v>
      </c>
      <c r="G780" s="422" t="str">
        <f>CONCATENATE("DE: ",A780," ",B780," ",D780," mm (emission to ",F780,")")</f>
        <v>DE: PET film 1-10 mm (emission to air)</v>
      </c>
      <c r="H780" s="467">
        <v>0.94799999999999995</v>
      </c>
      <c r="I780" s="388" t="s">
        <v>1153</v>
      </c>
      <c r="J780" s="634">
        <v>0.22800000000000001</v>
      </c>
      <c r="K780" s="389">
        <v>1.04</v>
      </c>
      <c r="L780" s="536"/>
      <c r="M780" s="509">
        <f t="shared" si="2017"/>
        <v>1000</v>
      </c>
      <c r="N780" s="645">
        <f t="shared" ref="N780" si="2035">IFERROR(H780*M780+H781*M781+H782*M782+H783*M783+H784*M784,"N.A.")</f>
        <v>1000</v>
      </c>
      <c r="O780" s="625"/>
      <c r="P780" s="628">
        <f t="shared" si="1871"/>
        <v>100</v>
      </c>
      <c r="Q780" s="628">
        <f t="shared" si="1965"/>
        <v>500</v>
      </c>
    </row>
    <row r="781" spans="1:17" ht="15.75" hidden="1" thickBot="1">
      <c r="A781" s="390" t="str">
        <f t="shared" ref="A781:B781" si="2036">A778</f>
        <v>PET</v>
      </c>
      <c r="B781" s="391" t="str">
        <f t="shared" si="2036"/>
        <v>film</v>
      </c>
      <c r="C781" s="391">
        <f t="shared" si="1994"/>
        <v>2</v>
      </c>
      <c r="D781" s="391" t="str">
        <f t="shared" ref="D781:E781" si="2037">D778</f>
        <v>1-10</v>
      </c>
      <c r="E781" s="391">
        <f t="shared" si="2037"/>
        <v>10</v>
      </c>
      <c r="F781" s="391" t="str">
        <f t="shared" ref="F781:G781" si="2038">F780</f>
        <v>air</v>
      </c>
      <c r="G781" s="401" t="str">
        <f t="shared" si="2038"/>
        <v>DE: PET film 1-10 mm (emission to air)</v>
      </c>
      <c r="H781" s="465">
        <v>0</v>
      </c>
      <c r="I781" s="394" t="s">
        <v>1097</v>
      </c>
      <c r="J781" s="635"/>
      <c r="K781" s="389">
        <v>0.6944444444444452</v>
      </c>
      <c r="L781" s="537"/>
      <c r="M781" s="509">
        <f t="shared" si="2017"/>
        <v>1000</v>
      </c>
      <c r="N781" s="646"/>
      <c r="O781" s="626"/>
      <c r="P781" s="629"/>
      <c r="Q781" s="629"/>
    </row>
    <row r="782" spans="1:17" ht="15.75" hidden="1" thickBot="1">
      <c r="A782" s="390" t="str">
        <f t="shared" ref="A782:B782" si="2039">A779</f>
        <v>PET</v>
      </c>
      <c r="B782" s="391" t="str">
        <f t="shared" si="2039"/>
        <v>film</v>
      </c>
      <c r="C782" s="391">
        <f t="shared" si="1994"/>
        <v>2</v>
      </c>
      <c r="D782" s="391" t="str">
        <f t="shared" ref="D782:E782" si="2040">D779</f>
        <v>1-10</v>
      </c>
      <c r="E782" s="391">
        <f t="shared" si="2040"/>
        <v>10</v>
      </c>
      <c r="F782" s="391" t="str">
        <f t="shared" ref="F782:G782" si="2041">F781</f>
        <v>air</v>
      </c>
      <c r="G782" s="401" t="str">
        <f t="shared" si="2041"/>
        <v>DE: PET film 1-10 mm (emission to air)</v>
      </c>
      <c r="H782" s="465">
        <v>4.7E-2</v>
      </c>
      <c r="I782" s="394" t="s">
        <v>1162</v>
      </c>
      <c r="J782" s="635"/>
      <c r="K782" s="389">
        <v>0.6944444444444452</v>
      </c>
      <c r="L782" s="537"/>
      <c r="M782" s="509">
        <f t="shared" si="2017"/>
        <v>1000</v>
      </c>
      <c r="N782" s="646"/>
      <c r="O782" s="626"/>
      <c r="P782" s="629"/>
      <c r="Q782" s="629"/>
    </row>
    <row r="783" spans="1:17" ht="15.75" hidden="1" thickBot="1">
      <c r="A783" s="390" t="str">
        <f t="shared" ref="A783:B783" si="2042">A780</f>
        <v>PET</v>
      </c>
      <c r="B783" s="391" t="str">
        <f t="shared" si="2042"/>
        <v>film</v>
      </c>
      <c r="C783" s="391">
        <f t="shared" si="1994"/>
        <v>2</v>
      </c>
      <c r="D783" s="391" t="str">
        <f t="shared" ref="D783:E783" si="2043">D780</f>
        <v>1-10</v>
      </c>
      <c r="E783" s="391">
        <f t="shared" si="2043"/>
        <v>10</v>
      </c>
      <c r="F783" s="391" t="str">
        <f t="shared" ref="F783:G783" si="2044">F782</f>
        <v>air</v>
      </c>
      <c r="G783" s="401" t="str">
        <f t="shared" si="2044"/>
        <v>DE: PET film 1-10 mm (emission to air)</v>
      </c>
      <c r="H783" s="465">
        <v>5.0000000000000001E-3</v>
      </c>
      <c r="I783" s="394" t="s">
        <v>1163</v>
      </c>
      <c r="J783" s="635"/>
      <c r="K783" s="389">
        <v>0.6944444444444452</v>
      </c>
      <c r="L783" s="537"/>
      <c r="M783" s="509">
        <f t="shared" si="2017"/>
        <v>1000</v>
      </c>
      <c r="N783" s="646"/>
      <c r="O783" s="626"/>
      <c r="P783" s="629"/>
      <c r="Q783" s="629"/>
    </row>
    <row r="784" spans="1:17" ht="15.75" hidden="1" thickBot="1">
      <c r="A784" s="404" t="str">
        <f t="shared" ref="A784:B784" si="2045">A779</f>
        <v>PET</v>
      </c>
      <c r="B784" s="402" t="str">
        <f t="shared" si="2045"/>
        <v>film</v>
      </c>
      <c r="C784" s="391">
        <f t="shared" si="1994"/>
        <v>2</v>
      </c>
      <c r="D784" s="402" t="str">
        <f t="shared" ref="D784:E784" si="2046">D779</f>
        <v>1-10</v>
      </c>
      <c r="E784" s="402">
        <f t="shared" si="2046"/>
        <v>10</v>
      </c>
      <c r="F784" s="391" t="str">
        <f t="shared" ref="F784:G784" si="2047">F783</f>
        <v>air</v>
      </c>
      <c r="G784" s="401" t="str">
        <f t="shared" si="2047"/>
        <v>DE: PET film 1-10 mm (emission to air)</v>
      </c>
      <c r="H784" s="465">
        <v>0</v>
      </c>
      <c r="I784" s="394" t="s">
        <v>1034</v>
      </c>
      <c r="J784" s="636"/>
      <c r="K784" s="398" t="s">
        <v>596</v>
      </c>
      <c r="L784" s="538"/>
      <c r="M784" s="509">
        <f t="shared" si="2017"/>
        <v>0</v>
      </c>
      <c r="N784" s="647"/>
      <c r="O784" s="627"/>
      <c r="P784" s="629"/>
      <c r="Q784" s="629"/>
    </row>
    <row r="785" spans="1:17" ht="16.5" hidden="1" thickTop="1" thickBot="1">
      <c r="A785" s="405" t="s">
        <v>78</v>
      </c>
      <c r="B785" s="406" t="s">
        <v>1151</v>
      </c>
      <c r="C785" s="407">
        <v>4</v>
      </c>
      <c r="D785" s="423" t="s">
        <v>1018</v>
      </c>
      <c r="E785" s="408">
        <v>0.1</v>
      </c>
      <c r="F785" s="424" t="s">
        <v>1019</v>
      </c>
      <c r="G785" s="425" t="str">
        <f>CONCATENATE("DE: ",A785," ",B785," ",D785," mm (emission to ",F785,")")</f>
        <v>DE: PET fiber 0,01-0,1 mm (emission to soil)</v>
      </c>
      <c r="H785" s="464">
        <v>0.97</v>
      </c>
      <c r="I785" s="427" t="s">
        <v>1153</v>
      </c>
      <c r="J785" s="632">
        <v>0.22800000000000001</v>
      </c>
      <c r="K785" s="428">
        <v>1.04</v>
      </c>
      <c r="L785" s="539"/>
      <c r="M785" s="509">
        <f t="shared" si="2017"/>
        <v>24.038461538461537</v>
      </c>
      <c r="N785" s="645">
        <f t="shared" ref="N785" si="2048">IFERROR(H785*M785+H786*M786+H787*M787+H788*M788+H789*M789,"N.A.")</f>
        <v>24.397307692307688</v>
      </c>
      <c r="O785" s="625"/>
      <c r="P785" s="628">
        <f t="shared" ref="P785:P845" si="2049">IFERROR(IF(H785*M785+H786*M786+H787*M787+H788*M788+H789*M789&gt;100,100,H785*M785+H786*M786+H787*M787+H788*M788+H789*M789),"N.A.")</f>
        <v>24.397307692307688</v>
      </c>
      <c r="Q785" s="628">
        <f t="shared" si="1965"/>
        <v>24.397307692307688</v>
      </c>
    </row>
    <row r="786" spans="1:17" ht="15.75" hidden="1" thickBot="1">
      <c r="A786" s="390" t="str">
        <f>A785</f>
        <v>PET</v>
      </c>
      <c r="B786" s="391" t="str">
        <f>B785</f>
        <v>fiber</v>
      </c>
      <c r="C786" s="391">
        <f t="shared" ref="C786:C804" si="2050">C785</f>
        <v>4</v>
      </c>
      <c r="D786" s="391" t="str">
        <f t="shared" ref="D786:D788" si="2051">D785</f>
        <v>0,01-0,1</v>
      </c>
      <c r="E786" s="391">
        <f t="shared" ref="E786:E788" si="2052">E785</f>
        <v>0.1</v>
      </c>
      <c r="F786" s="391" t="str">
        <f t="shared" ref="F786:F788" si="2053">F785</f>
        <v>soil</v>
      </c>
      <c r="G786" s="392" t="str">
        <f t="shared" ref="G786:G788" si="2054">G785</f>
        <v>DE: PET fiber 0,01-0,1 mm (emission to soil)</v>
      </c>
      <c r="H786" s="465">
        <v>0</v>
      </c>
      <c r="I786" s="394" t="s">
        <v>1097</v>
      </c>
      <c r="J786" s="632"/>
      <c r="K786" s="395">
        <v>0.6944444444444452</v>
      </c>
      <c r="L786" s="537"/>
      <c r="M786" s="509">
        <f t="shared" si="2017"/>
        <v>35.999999999999964</v>
      </c>
      <c r="N786" s="646"/>
      <c r="O786" s="626"/>
      <c r="P786" s="629"/>
      <c r="Q786" s="629"/>
    </row>
    <row r="787" spans="1:17" ht="15.75" hidden="1" thickBot="1">
      <c r="A787" s="390" t="str">
        <f t="shared" ref="A787:A788" si="2055">A786</f>
        <v>PET</v>
      </c>
      <c r="B787" s="391" t="str">
        <f t="shared" ref="B787:B788" si="2056">B786</f>
        <v>fiber</v>
      </c>
      <c r="C787" s="391">
        <f t="shared" si="2050"/>
        <v>4</v>
      </c>
      <c r="D787" s="391" t="str">
        <f t="shared" si="2051"/>
        <v>0,01-0,1</v>
      </c>
      <c r="E787" s="391">
        <f t="shared" si="2052"/>
        <v>0.1</v>
      </c>
      <c r="F787" s="391" t="str">
        <f t="shared" si="2053"/>
        <v>soil</v>
      </c>
      <c r="G787" s="392" t="str">
        <f t="shared" si="2054"/>
        <v>DE: PET fiber 0,01-0,1 mm (emission to soil)</v>
      </c>
      <c r="H787" s="465">
        <v>2.7E-2</v>
      </c>
      <c r="I787" s="394" t="s">
        <v>1162</v>
      </c>
      <c r="J787" s="632"/>
      <c r="K787" s="395">
        <v>0.6944444444444452</v>
      </c>
      <c r="L787" s="537"/>
      <c r="M787" s="509">
        <f t="shared" si="2017"/>
        <v>35.999999999999964</v>
      </c>
      <c r="N787" s="646"/>
      <c r="O787" s="626"/>
      <c r="P787" s="629"/>
      <c r="Q787" s="629"/>
    </row>
    <row r="788" spans="1:17" ht="15.75" hidden="1" thickBot="1">
      <c r="A788" s="390" t="str">
        <f t="shared" si="2055"/>
        <v>PET</v>
      </c>
      <c r="B788" s="391" t="str">
        <f t="shared" si="2056"/>
        <v>fiber</v>
      </c>
      <c r="C788" s="391">
        <f t="shared" si="2050"/>
        <v>4</v>
      </c>
      <c r="D788" s="391" t="str">
        <f t="shared" si="2051"/>
        <v>0,01-0,1</v>
      </c>
      <c r="E788" s="391">
        <f t="shared" si="2052"/>
        <v>0.1</v>
      </c>
      <c r="F788" s="391" t="str">
        <f t="shared" si="2053"/>
        <v>soil</v>
      </c>
      <c r="G788" s="392" t="str">
        <f t="shared" si="2054"/>
        <v>DE: PET fiber 0,01-0,1 mm (emission to soil)</v>
      </c>
      <c r="H788" s="465">
        <v>3.0000000000000001E-3</v>
      </c>
      <c r="I788" s="394" t="s">
        <v>1163</v>
      </c>
      <c r="J788" s="632"/>
      <c r="K788" s="395">
        <v>0.6944444444444452</v>
      </c>
      <c r="L788" s="537"/>
      <c r="M788" s="509">
        <f t="shared" si="2017"/>
        <v>35.999999999999964</v>
      </c>
      <c r="N788" s="646"/>
      <c r="O788" s="626"/>
      <c r="P788" s="629"/>
      <c r="Q788" s="629"/>
    </row>
    <row r="789" spans="1:17" ht="15.75" hidden="1" thickBot="1">
      <c r="A789" s="390" t="str">
        <f>A786</f>
        <v>PET</v>
      </c>
      <c r="B789" s="391" t="str">
        <f>B786</f>
        <v>fiber</v>
      </c>
      <c r="C789" s="391">
        <f t="shared" si="2050"/>
        <v>4</v>
      </c>
      <c r="D789" s="391" t="str">
        <f>D786</f>
        <v>0,01-0,1</v>
      </c>
      <c r="E789" s="391">
        <f>E786</f>
        <v>0.1</v>
      </c>
      <c r="F789" s="391" t="str">
        <f>F786</f>
        <v>soil</v>
      </c>
      <c r="G789" s="396" t="str">
        <f t="shared" ref="G789" si="2057">G788</f>
        <v>DE: PET fiber 0,01-0,1 mm (emission to soil)</v>
      </c>
      <c r="H789" s="465">
        <v>0</v>
      </c>
      <c r="I789" s="397" t="s">
        <v>1034</v>
      </c>
      <c r="J789" s="633"/>
      <c r="K789" s="398" t="s">
        <v>596</v>
      </c>
      <c r="L789" s="538"/>
      <c r="M789" s="509">
        <f t="shared" si="2017"/>
        <v>0</v>
      </c>
      <c r="N789" s="647"/>
      <c r="O789" s="627"/>
      <c r="P789" s="629"/>
      <c r="Q789" s="629"/>
    </row>
    <row r="790" spans="1:17" ht="15.75" hidden="1" thickBot="1">
      <c r="A790" s="390" t="str">
        <f t="shared" ref="A790:B790" si="2058">A787</f>
        <v>PET</v>
      </c>
      <c r="B790" s="391" t="str">
        <f t="shared" si="2058"/>
        <v>fiber</v>
      </c>
      <c r="C790" s="391">
        <f t="shared" si="2050"/>
        <v>4</v>
      </c>
      <c r="D790" s="399" t="str">
        <f t="shared" ref="D790:E790" si="2059">D787</f>
        <v>0,01-0,1</v>
      </c>
      <c r="E790" s="391">
        <f t="shared" si="2059"/>
        <v>0.1</v>
      </c>
      <c r="F790" s="400" t="s">
        <v>1147</v>
      </c>
      <c r="G790" s="386" t="str">
        <f>CONCATENATE("DE: ",A790," ",B790," ",D790," mm (emission to ",F790,")")</f>
        <v>DE: PET fiber 0,01-0,1 mm (emission to fresh water)</v>
      </c>
      <c r="H790" s="466">
        <v>0</v>
      </c>
      <c r="I790" s="388" t="s">
        <v>1153</v>
      </c>
      <c r="J790" s="634">
        <v>0.22800000000000001</v>
      </c>
      <c r="K790" s="389">
        <v>1.04</v>
      </c>
      <c r="L790" s="536"/>
      <c r="M790" s="509">
        <f t="shared" si="2017"/>
        <v>24.038461538461537</v>
      </c>
      <c r="N790" s="645">
        <f t="shared" ref="N790" si="2060">IFERROR(H790*M790+H791*M791+H792*M792+H793*M793+H794*M794,"N.A.")</f>
        <v>35.999999999999964</v>
      </c>
      <c r="O790" s="625"/>
      <c r="P790" s="628">
        <f t="shared" si="2049"/>
        <v>35.999999999999964</v>
      </c>
      <c r="Q790" s="628">
        <f t="shared" si="1965"/>
        <v>35.999999999999964</v>
      </c>
    </row>
    <row r="791" spans="1:17" ht="15.75" hidden="1" thickBot="1">
      <c r="A791" s="390" t="str">
        <f t="shared" ref="A791:B791" si="2061">A788</f>
        <v>PET</v>
      </c>
      <c r="B791" s="391" t="str">
        <f t="shared" si="2061"/>
        <v>fiber</v>
      </c>
      <c r="C791" s="391">
        <f t="shared" si="2050"/>
        <v>4</v>
      </c>
      <c r="D791" s="391" t="str">
        <f t="shared" ref="D791:E791" si="2062">D788</f>
        <v>0,01-0,1</v>
      </c>
      <c r="E791" s="391">
        <f t="shared" si="2062"/>
        <v>0.1</v>
      </c>
      <c r="F791" s="391" t="str">
        <f t="shared" ref="F791:G791" si="2063">F790</f>
        <v>fresh water</v>
      </c>
      <c r="G791" s="401" t="str">
        <f t="shared" si="2063"/>
        <v>DE: PET fiber 0,01-0,1 mm (emission to fresh water)</v>
      </c>
      <c r="H791" s="465">
        <v>0</v>
      </c>
      <c r="I791" s="394" t="s">
        <v>1097</v>
      </c>
      <c r="J791" s="635"/>
      <c r="K791" s="389">
        <v>0.6944444444444452</v>
      </c>
      <c r="L791" s="536"/>
      <c r="M791" s="509">
        <f t="shared" si="2017"/>
        <v>35.999999999999964</v>
      </c>
      <c r="N791" s="646"/>
      <c r="O791" s="626"/>
      <c r="P791" s="629"/>
      <c r="Q791" s="629"/>
    </row>
    <row r="792" spans="1:17" ht="15.75" hidden="1" thickBot="1">
      <c r="A792" s="390" t="str">
        <f t="shared" ref="A792:B792" si="2064">A789</f>
        <v>PET</v>
      </c>
      <c r="B792" s="391" t="str">
        <f t="shared" si="2064"/>
        <v>fiber</v>
      </c>
      <c r="C792" s="391">
        <f t="shared" si="2050"/>
        <v>4</v>
      </c>
      <c r="D792" s="391" t="str">
        <f t="shared" ref="D792:E792" si="2065">D789</f>
        <v>0,01-0,1</v>
      </c>
      <c r="E792" s="391">
        <f t="shared" si="2065"/>
        <v>0.1</v>
      </c>
      <c r="F792" s="391" t="str">
        <f t="shared" ref="F792:G792" si="2066">F791</f>
        <v>fresh water</v>
      </c>
      <c r="G792" s="401" t="str">
        <f t="shared" si="2066"/>
        <v>DE: PET fiber 0,01-0,1 mm (emission to fresh water)</v>
      </c>
      <c r="H792" s="465">
        <v>0.89</v>
      </c>
      <c r="I792" s="394" t="s">
        <v>1162</v>
      </c>
      <c r="J792" s="635"/>
      <c r="K792" s="389">
        <v>0.6944444444444452</v>
      </c>
      <c r="L792" s="536"/>
      <c r="M792" s="509">
        <f t="shared" si="2017"/>
        <v>35.999999999999964</v>
      </c>
      <c r="N792" s="646"/>
      <c r="O792" s="626"/>
      <c r="P792" s="629"/>
      <c r="Q792" s="629"/>
    </row>
    <row r="793" spans="1:17" ht="15.75" hidden="1" thickBot="1">
      <c r="A793" s="390" t="str">
        <f t="shared" ref="A793:B793" si="2067">A790</f>
        <v>PET</v>
      </c>
      <c r="B793" s="391" t="str">
        <f t="shared" si="2067"/>
        <v>fiber</v>
      </c>
      <c r="C793" s="391">
        <f t="shared" si="2050"/>
        <v>4</v>
      </c>
      <c r="D793" s="391" t="str">
        <f t="shared" ref="D793:E793" si="2068">D790</f>
        <v>0,01-0,1</v>
      </c>
      <c r="E793" s="391">
        <f t="shared" si="2068"/>
        <v>0.1</v>
      </c>
      <c r="F793" s="391" t="str">
        <f t="shared" ref="F793:G793" si="2069">F792</f>
        <v>fresh water</v>
      </c>
      <c r="G793" s="401" t="str">
        <f t="shared" si="2069"/>
        <v>DE: PET fiber 0,01-0,1 mm (emission to fresh water)</v>
      </c>
      <c r="H793" s="465">
        <v>0.11</v>
      </c>
      <c r="I793" s="394" t="s">
        <v>1163</v>
      </c>
      <c r="J793" s="635"/>
      <c r="K793" s="389">
        <v>0.6944444444444452</v>
      </c>
      <c r="L793" s="536"/>
      <c r="M793" s="509">
        <f t="shared" si="2017"/>
        <v>35.999999999999964</v>
      </c>
      <c r="N793" s="646"/>
      <c r="O793" s="626"/>
      <c r="P793" s="629"/>
      <c r="Q793" s="629"/>
    </row>
    <row r="794" spans="1:17" ht="15.75" hidden="1" thickBot="1">
      <c r="A794" s="390" t="str">
        <f t="shared" ref="A794:B794" si="2070">A791</f>
        <v>PET</v>
      </c>
      <c r="B794" s="391" t="str">
        <f t="shared" si="2070"/>
        <v>fiber</v>
      </c>
      <c r="C794" s="391">
        <f t="shared" si="2050"/>
        <v>4</v>
      </c>
      <c r="D794" s="391" t="str">
        <f t="shared" ref="D794:E794" si="2071">D791</f>
        <v>0,01-0,1</v>
      </c>
      <c r="E794" s="391">
        <f t="shared" si="2071"/>
        <v>0.1</v>
      </c>
      <c r="F794" s="402" t="str">
        <f>F791</f>
        <v>fresh water</v>
      </c>
      <c r="G794" s="401" t="str">
        <f t="shared" ref="G794" si="2072">G793</f>
        <v>DE: PET fiber 0,01-0,1 mm (emission to fresh water)</v>
      </c>
      <c r="H794" s="465">
        <v>0</v>
      </c>
      <c r="I794" s="394" t="s">
        <v>1034</v>
      </c>
      <c r="J794" s="654"/>
      <c r="K794" s="398" t="s">
        <v>596</v>
      </c>
      <c r="L794" s="538"/>
      <c r="M794" s="509">
        <f t="shared" si="2017"/>
        <v>0</v>
      </c>
      <c r="N794" s="647"/>
      <c r="O794" s="627"/>
      <c r="P794" s="629"/>
      <c r="Q794" s="629"/>
    </row>
    <row r="795" spans="1:17" ht="15.75" hidden="1" thickBot="1">
      <c r="A795" s="390" t="str">
        <f t="shared" ref="A795:B795" si="2073">A792</f>
        <v>PET</v>
      </c>
      <c r="B795" s="391" t="str">
        <f t="shared" si="2073"/>
        <v>fiber</v>
      </c>
      <c r="C795" s="391">
        <f t="shared" si="2050"/>
        <v>4</v>
      </c>
      <c r="D795" s="391" t="str">
        <f t="shared" ref="D795:E795" si="2074">D792</f>
        <v>0,01-0,1</v>
      </c>
      <c r="E795" s="391">
        <f t="shared" si="2074"/>
        <v>0.1</v>
      </c>
      <c r="F795" s="385" t="s">
        <v>1097</v>
      </c>
      <c r="G795" s="422" t="str">
        <f>CONCATENATE("DE: ",A795," ",B795," ",D795," mm (emission to ",F795,")")</f>
        <v>DE: PET fiber 0,01-0,1 mm (emission to marine water)</v>
      </c>
      <c r="H795" s="467">
        <v>0</v>
      </c>
      <c r="I795" s="388" t="s">
        <v>1153</v>
      </c>
      <c r="J795" s="634">
        <v>0.22800000000000001</v>
      </c>
      <c r="K795" s="389">
        <v>1.04</v>
      </c>
      <c r="L795" s="536"/>
      <c r="M795" s="509">
        <f t="shared" si="2017"/>
        <v>24.038461538461537</v>
      </c>
      <c r="N795" s="645">
        <f t="shared" ref="N795" si="2075">IFERROR(H795*M795+H796*M796+H797*M797+H798*M798+H799*M799,"N.A.")</f>
        <v>35.999999999999964</v>
      </c>
      <c r="O795" s="625"/>
      <c r="P795" s="628">
        <f t="shared" si="2049"/>
        <v>35.999999999999964</v>
      </c>
      <c r="Q795" s="628">
        <f t="shared" si="1965"/>
        <v>35.999999999999964</v>
      </c>
    </row>
    <row r="796" spans="1:17" ht="15.75" hidden="1" thickBot="1">
      <c r="A796" s="390" t="str">
        <f t="shared" ref="A796:B796" si="2076">A793</f>
        <v>PET</v>
      </c>
      <c r="B796" s="391" t="str">
        <f t="shared" si="2076"/>
        <v>fiber</v>
      </c>
      <c r="C796" s="391">
        <f t="shared" si="2050"/>
        <v>4</v>
      </c>
      <c r="D796" s="391" t="str">
        <f t="shared" ref="D796:E796" si="2077">D793</f>
        <v>0,01-0,1</v>
      </c>
      <c r="E796" s="391">
        <f t="shared" si="2077"/>
        <v>0.1</v>
      </c>
      <c r="F796" s="391" t="str">
        <f t="shared" ref="F796:G796" si="2078">F795</f>
        <v>marine water</v>
      </c>
      <c r="G796" s="401" t="str">
        <f t="shared" si="2078"/>
        <v>DE: PET fiber 0,01-0,1 mm (emission to marine water)</v>
      </c>
      <c r="H796" s="465">
        <v>0</v>
      </c>
      <c r="I796" s="394" t="s">
        <v>1097</v>
      </c>
      <c r="J796" s="635"/>
      <c r="K796" s="389">
        <v>0.6944444444444452</v>
      </c>
      <c r="L796" s="537"/>
      <c r="M796" s="509">
        <f t="shared" si="2017"/>
        <v>35.999999999999964</v>
      </c>
      <c r="N796" s="646"/>
      <c r="O796" s="626"/>
      <c r="P796" s="629"/>
      <c r="Q796" s="629"/>
    </row>
    <row r="797" spans="1:17" ht="15.75" hidden="1" thickBot="1">
      <c r="A797" s="390" t="str">
        <f t="shared" ref="A797:B797" si="2079">A794</f>
        <v>PET</v>
      </c>
      <c r="B797" s="391" t="str">
        <f t="shared" si="2079"/>
        <v>fiber</v>
      </c>
      <c r="C797" s="391">
        <f t="shared" si="2050"/>
        <v>4</v>
      </c>
      <c r="D797" s="391" t="str">
        <f t="shared" ref="D797:E797" si="2080">D794</f>
        <v>0,01-0,1</v>
      </c>
      <c r="E797" s="391">
        <f t="shared" si="2080"/>
        <v>0.1</v>
      </c>
      <c r="F797" s="391" t="str">
        <f t="shared" ref="F797:G797" si="2081">F796</f>
        <v>marine water</v>
      </c>
      <c r="G797" s="401" t="str">
        <f t="shared" si="2081"/>
        <v>DE: PET fiber 0,01-0,1 mm (emission to marine water)</v>
      </c>
      <c r="H797" s="465">
        <v>0</v>
      </c>
      <c r="I797" s="394" t="s">
        <v>1162</v>
      </c>
      <c r="J797" s="635"/>
      <c r="K797" s="389">
        <v>0.6944444444444452</v>
      </c>
      <c r="L797" s="537"/>
      <c r="M797" s="509">
        <f t="shared" si="2017"/>
        <v>35.999999999999964</v>
      </c>
      <c r="N797" s="646"/>
      <c r="O797" s="626"/>
      <c r="P797" s="629"/>
      <c r="Q797" s="629"/>
    </row>
    <row r="798" spans="1:17" ht="15.75" hidden="1" thickBot="1">
      <c r="A798" s="390" t="str">
        <f t="shared" ref="A798:B798" si="2082">A795</f>
        <v>PET</v>
      </c>
      <c r="B798" s="391" t="str">
        <f t="shared" si="2082"/>
        <v>fiber</v>
      </c>
      <c r="C798" s="391">
        <f t="shared" si="2050"/>
        <v>4</v>
      </c>
      <c r="D798" s="391" t="str">
        <f t="shared" ref="D798:E798" si="2083">D795</f>
        <v>0,01-0,1</v>
      </c>
      <c r="E798" s="391">
        <f t="shared" si="2083"/>
        <v>0.1</v>
      </c>
      <c r="F798" s="391" t="str">
        <f t="shared" ref="F798:G798" si="2084">F797</f>
        <v>marine water</v>
      </c>
      <c r="G798" s="401" t="str">
        <f t="shared" si="2084"/>
        <v>DE: PET fiber 0,01-0,1 mm (emission to marine water)</v>
      </c>
      <c r="H798" s="465">
        <v>1</v>
      </c>
      <c r="I798" s="394" t="s">
        <v>1163</v>
      </c>
      <c r="J798" s="635"/>
      <c r="K798" s="389">
        <v>0.6944444444444452</v>
      </c>
      <c r="L798" s="537"/>
      <c r="M798" s="509">
        <f t="shared" si="2017"/>
        <v>35.999999999999964</v>
      </c>
      <c r="N798" s="646"/>
      <c r="O798" s="626"/>
      <c r="P798" s="629"/>
      <c r="Q798" s="629"/>
    </row>
    <row r="799" spans="1:17" ht="15.75" hidden="1" thickBot="1">
      <c r="A799" s="390" t="str">
        <f t="shared" ref="A799:B799" si="2085">A796</f>
        <v>PET</v>
      </c>
      <c r="B799" s="391" t="str">
        <f t="shared" si="2085"/>
        <v>fiber</v>
      </c>
      <c r="C799" s="391">
        <f t="shared" si="2050"/>
        <v>4</v>
      </c>
      <c r="D799" s="391" t="str">
        <f t="shared" ref="D799:E799" si="2086">D796</f>
        <v>0,01-0,1</v>
      </c>
      <c r="E799" s="391">
        <f t="shared" si="2086"/>
        <v>0.1</v>
      </c>
      <c r="F799" s="391" t="str">
        <f t="shared" ref="F799:G799" si="2087">F798</f>
        <v>marine water</v>
      </c>
      <c r="G799" s="401" t="str">
        <f t="shared" si="2087"/>
        <v>DE: PET fiber 0,01-0,1 mm (emission to marine water)</v>
      </c>
      <c r="H799" s="465">
        <v>0</v>
      </c>
      <c r="I799" s="394" t="s">
        <v>1034</v>
      </c>
      <c r="J799" s="654"/>
      <c r="K799" s="398" t="s">
        <v>596</v>
      </c>
      <c r="L799" s="538"/>
      <c r="M799" s="509">
        <f t="shared" si="2017"/>
        <v>0</v>
      </c>
      <c r="N799" s="647"/>
      <c r="O799" s="627"/>
      <c r="P799" s="629"/>
      <c r="Q799" s="629"/>
    </row>
    <row r="800" spans="1:17" ht="15.75" hidden="1" thickBot="1">
      <c r="A800" s="390" t="str">
        <f t="shared" ref="A800:B800" si="2088">A797</f>
        <v>PET</v>
      </c>
      <c r="B800" s="391" t="str">
        <f t="shared" si="2088"/>
        <v>fiber</v>
      </c>
      <c r="C800" s="391">
        <f t="shared" si="2050"/>
        <v>4</v>
      </c>
      <c r="D800" s="391" t="str">
        <f t="shared" ref="D800:E800" si="2089">D797</f>
        <v>0,01-0,1</v>
      </c>
      <c r="E800" s="391">
        <f t="shared" si="2089"/>
        <v>0.1</v>
      </c>
      <c r="F800" s="400" t="s">
        <v>1057</v>
      </c>
      <c r="G800" s="422" t="str">
        <f>CONCATENATE("DE: ",A800," ",B800," ",D800," mm (emission to ",F800,")")</f>
        <v>DE: PET fiber 0,01-0,1 mm (emission to air)</v>
      </c>
      <c r="H800" s="467">
        <v>0.94799999999999995</v>
      </c>
      <c r="I800" s="388" t="s">
        <v>1153</v>
      </c>
      <c r="J800" s="634">
        <v>0.22800000000000001</v>
      </c>
      <c r="K800" s="389">
        <v>1.04</v>
      </c>
      <c r="L800" s="536"/>
      <c r="M800" s="509">
        <f t="shared" si="2017"/>
        <v>24.038461538461537</v>
      </c>
      <c r="N800" s="645">
        <f t="shared" ref="N800" si="2090">IFERROR(H800*M800+H801*M801+H802*M802+H803*M803+H804*M804,"N.A.")</f>
        <v>24.660461538461533</v>
      </c>
      <c r="O800" s="625"/>
      <c r="P800" s="628">
        <f t="shared" si="2049"/>
        <v>24.660461538461533</v>
      </c>
      <c r="Q800" s="628">
        <f t="shared" si="1965"/>
        <v>24.660461538461533</v>
      </c>
    </row>
    <row r="801" spans="1:17" ht="15.75" hidden="1" thickBot="1">
      <c r="A801" s="390" t="str">
        <f t="shared" ref="A801:B801" si="2091">A798</f>
        <v>PET</v>
      </c>
      <c r="B801" s="391" t="str">
        <f t="shared" si="2091"/>
        <v>fiber</v>
      </c>
      <c r="C801" s="391">
        <f t="shared" si="2050"/>
        <v>4</v>
      </c>
      <c r="D801" s="391" t="str">
        <f t="shared" ref="D801:E801" si="2092">D798</f>
        <v>0,01-0,1</v>
      </c>
      <c r="E801" s="391">
        <f t="shared" si="2092"/>
        <v>0.1</v>
      </c>
      <c r="F801" s="391" t="str">
        <f t="shared" ref="F801:G801" si="2093">F800</f>
        <v>air</v>
      </c>
      <c r="G801" s="401" t="str">
        <f t="shared" si="2093"/>
        <v>DE: PET fiber 0,01-0,1 mm (emission to air)</v>
      </c>
      <c r="H801" s="465">
        <v>0</v>
      </c>
      <c r="I801" s="394" t="s">
        <v>1097</v>
      </c>
      <c r="J801" s="635"/>
      <c r="K801" s="389">
        <v>0.6944444444444452</v>
      </c>
      <c r="L801" s="537"/>
      <c r="M801" s="509">
        <f t="shared" si="2017"/>
        <v>35.999999999999964</v>
      </c>
      <c r="N801" s="646"/>
      <c r="O801" s="626"/>
      <c r="P801" s="629"/>
      <c r="Q801" s="629"/>
    </row>
    <row r="802" spans="1:17" ht="15.75" hidden="1" thickBot="1">
      <c r="A802" s="390" t="str">
        <f t="shared" ref="A802:B802" si="2094">A799</f>
        <v>PET</v>
      </c>
      <c r="B802" s="391" t="str">
        <f t="shared" si="2094"/>
        <v>fiber</v>
      </c>
      <c r="C802" s="391">
        <f t="shared" si="2050"/>
        <v>4</v>
      </c>
      <c r="D802" s="391" t="str">
        <f t="shared" ref="D802:E802" si="2095">D799</f>
        <v>0,01-0,1</v>
      </c>
      <c r="E802" s="391">
        <f t="shared" si="2095"/>
        <v>0.1</v>
      </c>
      <c r="F802" s="391" t="str">
        <f t="shared" ref="F802:G802" si="2096">F801</f>
        <v>air</v>
      </c>
      <c r="G802" s="401" t="str">
        <f t="shared" si="2096"/>
        <v>DE: PET fiber 0,01-0,1 mm (emission to air)</v>
      </c>
      <c r="H802" s="465">
        <v>4.7E-2</v>
      </c>
      <c r="I802" s="394" t="s">
        <v>1162</v>
      </c>
      <c r="J802" s="635"/>
      <c r="K802" s="389">
        <v>0.6944444444444452</v>
      </c>
      <c r="L802" s="537"/>
      <c r="M802" s="509">
        <f t="shared" si="2017"/>
        <v>35.999999999999964</v>
      </c>
      <c r="N802" s="646"/>
      <c r="O802" s="626"/>
      <c r="P802" s="629"/>
      <c r="Q802" s="629"/>
    </row>
    <row r="803" spans="1:17" ht="15.75" hidden="1" thickBot="1">
      <c r="A803" s="390" t="str">
        <f t="shared" ref="A803:B803" si="2097">A800</f>
        <v>PET</v>
      </c>
      <c r="B803" s="391" t="str">
        <f t="shared" si="2097"/>
        <v>fiber</v>
      </c>
      <c r="C803" s="391">
        <f t="shared" si="2050"/>
        <v>4</v>
      </c>
      <c r="D803" s="391" t="str">
        <f t="shared" ref="D803:E803" si="2098">D800</f>
        <v>0,01-0,1</v>
      </c>
      <c r="E803" s="391">
        <f t="shared" si="2098"/>
        <v>0.1</v>
      </c>
      <c r="F803" s="391" t="str">
        <f t="shared" ref="F803:G803" si="2099">F802</f>
        <v>air</v>
      </c>
      <c r="G803" s="401" t="str">
        <f t="shared" si="2099"/>
        <v>DE: PET fiber 0,01-0,1 mm (emission to air)</v>
      </c>
      <c r="H803" s="465">
        <v>5.0000000000000001E-3</v>
      </c>
      <c r="I803" s="394" t="s">
        <v>1163</v>
      </c>
      <c r="J803" s="635"/>
      <c r="K803" s="389">
        <v>0.6944444444444452</v>
      </c>
      <c r="L803" s="537"/>
      <c r="M803" s="509">
        <f t="shared" si="2017"/>
        <v>35.999999999999964</v>
      </c>
      <c r="N803" s="646"/>
      <c r="O803" s="626"/>
      <c r="P803" s="629"/>
      <c r="Q803" s="629"/>
    </row>
    <row r="804" spans="1:17" ht="15.75" hidden="1" thickBot="1">
      <c r="A804" s="404" t="str">
        <f t="shared" ref="A804:B804" si="2100">A799</f>
        <v>PET</v>
      </c>
      <c r="B804" s="402" t="str">
        <f t="shared" si="2100"/>
        <v>fiber</v>
      </c>
      <c r="C804" s="391">
        <f t="shared" si="2050"/>
        <v>4</v>
      </c>
      <c r="D804" s="402" t="str">
        <f t="shared" ref="D804:E804" si="2101">D799</f>
        <v>0,01-0,1</v>
      </c>
      <c r="E804" s="402">
        <f t="shared" si="2101"/>
        <v>0.1</v>
      </c>
      <c r="F804" s="391" t="str">
        <f t="shared" ref="F804:G804" si="2102">F803</f>
        <v>air</v>
      </c>
      <c r="G804" s="401" t="str">
        <f t="shared" si="2102"/>
        <v>DE: PET fiber 0,01-0,1 mm (emission to air)</v>
      </c>
      <c r="H804" s="465">
        <v>0</v>
      </c>
      <c r="I804" s="394" t="s">
        <v>1034</v>
      </c>
      <c r="J804" s="636"/>
      <c r="K804" s="398" t="s">
        <v>596</v>
      </c>
      <c r="L804" s="538"/>
      <c r="M804" s="509">
        <f t="shared" si="2017"/>
        <v>0</v>
      </c>
      <c r="N804" s="647"/>
      <c r="O804" s="627"/>
      <c r="P804" s="629"/>
      <c r="Q804" s="629"/>
    </row>
    <row r="805" spans="1:17" ht="16.5" hidden="1" thickTop="1" thickBot="1">
      <c r="A805" s="405" t="s">
        <v>78</v>
      </c>
      <c r="B805" s="406" t="s">
        <v>1151</v>
      </c>
      <c r="C805" s="407">
        <v>4</v>
      </c>
      <c r="D805" s="423" t="s">
        <v>1028</v>
      </c>
      <c r="E805" s="408">
        <v>1</v>
      </c>
      <c r="F805" s="424" t="s">
        <v>1019</v>
      </c>
      <c r="G805" s="425" t="str">
        <f>CONCATENATE("DE: ",A805," ",B805," ",D805," mm (emission to ",F805,")")</f>
        <v>DE: PET fiber 0,1-1 mm (emission to soil)</v>
      </c>
      <c r="H805" s="464">
        <v>0.97</v>
      </c>
      <c r="I805" s="427" t="s">
        <v>1153</v>
      </c>
      <c r="J805" s="632">
        <v>0.22800000000000001</v>
      </c>
      <c r="K805" s="428">
        <v>1.04</v>
      </c>
      <c r="L805" s="539"/>
      <c r="M805" s="509">
        <f t="shared" si="2017"/>
        <v>240.38461538461539</v>
      </c>
      <c r="N805" s="645">
        <f t="shared" ref="N805" si="2103">IFERROR(H805*M805+H806*M806+H807*M807+H808*M808+H809*M809,"N.A.")</f>
        <v>243.97307692307692</v>
      </c>
      <c r="O805" s="625"/>
      <c r="P805" s="628">
        <f t="shared" si="2049"/>
        <v>100</v>
      </c>
      <c r="Q805" s="628">
        <f t="shared" si="1965"/>
        <v>243.97307692307692</v>
      </c>
    </row>
    <row r="806" spans="1:17" ht="15.75" hidden="1" thickBot="1">
      <c r="A806" s="390" t="str">
        <f>A805</f>
        <v>PET</v>
      </c>
      <c r="B806" s="391" t="str">
        <f>B805</f>
        <v>fiber</v>
      </c>
      <c r="C806" s="391">
        <f t="shared" ref="C806:C824" si="2104">C805</f>
        <v>4</v>
      </c>
      <c r="D806" s="391" t="str">
        <f t="shared" ref="D806:D808" si="2105">D805</f>
        <v>0,1-1</v>
      </c>
      <c r="E806" s="391">
        <f t="shared" ref="E806:E808" si="2106">E805</f>
        <v>1</v>
      </c>
      <c r="F806" s="391" t="str">
        <f t="shared" ref="F806:F808" si="2107">F805</f>
        <v>soil</v>
      </c>
      <c r="G806" s="392" t="str">
        <f t="shared" ref="G806:G808" si="2108">G805</f>
        <v>DE: PET fiber 0,1-1 mm (emission to soil)</v>
      </c>
      <c r="H806" s="465">
        <v>0</v>
      </c>
      <c r="I806" s="394" t="s">
        <v>1097</v>
      </c>
      <c r="J806" s="632"/>
      <c r="K806" s="395">
        <v>0.6944444444444452</v>
      </c>
      <c r="L806" s="537"/>
      <c r="M806" s="509">
        <f t="shared" si="2017"/>
        <v>359.9999999999996</v>
      </c>
      <c r="N806" s="646"/>
      <c r="O806" s="626"/>
      <c r="P806" s="629"/>
      <c r="Q806" s="629"/>
    </row>
    <row r="807" spans="1:17" ht="15.75" hidden="1" thickBot="1">
      <c r="A807" s="390" t="str">
        <f t="shared" ref="A807:A808" si="2109">A806</f>
        <v>PET</v>
      </c>
      <c r="B807" s="391" t="str">
        <f t="shared" ref="B807:B808" si="2110">B806</f>
        <v>fiber</v>
      </c>
      <c r="C807" s="391">
        <f t="shared" si="2104"/>
        <v>4</v>
      </c>
      <c r="D807" s="391" t="str">
        <f t="shared" si="2105"/>
        <v>0,1-1</v>
      </c>
      <c r="E807" s="391">
        <f t="shared" si="2106"/>
        <v>1</v>
      </c>
      <c r="F807" s="391" t="str">
        <f t="shared" si="2107"/>
        <v>soil</v>
      </c>
      <c r="G807" s="392" t="str">
        <f t="shared" si="2108"/>
        <v>DE: PET fiber 0,1-1 mm (emission to soil)</v>
      </c>
      <c r="H807" s="465">
        <v>2.7E-2</v>
      </c>
      <c r="I807" s="394" t="s">
        <v>1162</v>
      </c>
      <c r="J807" s="632"/>
      <c r="K807" s="395">
        <v>0.6944444444444452</v>
      </c>
      <c r="L807" s="537"/>
      <c r="M807" s="509">
        <f t="shared" si="2017"/>
        <v>359.9999999999996</v>
      </c>
      <c r="N807" s="646"/>
      <c r="O807" s="626"/>
      <c r="P807" s="629"/>
      <c r="Q807" s="629"/>
    </row>
    <row r="808" spans="1:17" ht="15.75" hidden="1" thickBot="1">
      <c r="A808" s="390" t="str">
        <f t="shared" si="2109"/>
        <v>PET</v>
      </c>
      <c r="B808" s="391" t="str">
        <f t="shared" si="2110"/>
        <v>fiber</v>
      </c>
      <c r="C808" s="391">
        <f t="shared" si="2104"/>
        <v>4</v>
      </c>
      <c r="D808" s="391" t="str">
        <f t="shared" si="2105"/>
        <v>0,1-1</v>
      </c>
      <c r="E808" s="391">
        <f t="shared" si="2106"/>
        <v>1</v>
      </c>
      <c r="F808" s="391" t="str">
        <f t="shared" si="2107"/>
        <v>soil</v>
      </c>
      <c r="G808" s="392" t="str">
        <f t="shared" si="2108"/>
        <v>DE: PET fiber 0,1-1 mm (emission to soil)</v>
      </c>
      <c r="H808" s="465">
        <v>3.0000000000000001E-3</v>
      </c>
      <c r="I808" s="394" t="s">
        <v>1163</v>
      </c>
      <c r="J808" s="632"/>
      <c r="K808" s="395">
        <v>0.6944444444444452</v>
      </c>
      <c r="L808" s="537"/>
      <c r="M808" s="509">
        <f t="shared" si="2017"/>
        <v>359.9999999999996</v>
      </c>
      <c r="N808" s="646"/>
      <c r="O808" s="626"/>
      <c r="P808" s="629"/>
      <c r="Q808" s="629"/>
    </row>
    <row r="809" spans="1:17" ht="15.75" hidden="1" thickBot="1">
      <c r="A809" s="390" t="str">
        <f>A806</f>
        <v>PET</v>
      </c>
      <c r="B809" s="391" t="str">
        <f>B806</f>
        <v>fiber</v>
      </c>
      <c r="C809" s="391">
        <f t="shared" si="2104"/>
        <v>4</v>
      </c>
      <c r="D809" s="391" t="str">
        <f>D806</f>
        <v>0,1-1</v>
      </c>
      <c r="E809" s="391">
        <f>E806</f>
        <v>1</v>
      </c>
      <c r="F809" s="391" t="str">
        <f>F806</f>
        <v>soil</v>
      </c>
      <c r="G809" s="396" t="str">
        <f t="shared" ref="G809" si="2111">G808</f>
        <v>DE: PET fiber 0,1-1 mm (emission to soil)</v>
      </c>
      <c r="H809" s="465">
        <v>0</v>
      </c>
      <c r="I809" s="397" t="s">
        <v>1034</v>
      </c>
      <c r="J809" s="633"/>
      <c r="K809" s="398" t="s">
        <v>596</v>
      </c>
      <c r="L809" s="538"/>
      <c r="M809" s="509">
        <f t="shared" si="2017"/>
        <v>0</v>
      </c>
      <c r="N809" s="647"/>
      <c r="O809" s="627"/>
      <c r="P809" s="629"/>
      <c r="Q809" s="629"/>
    </row>
    <row r="810" spans="1:17" ht="15.75" hidden="1" thickBot="1">
      <c r="A810" s="390" t="str">
        <f t="shared" ref="A810:B810" si="2112">A807</f>
        <v>PET</v>
      </c>
      <c r="B810" s="391" t="str">
        <f t="shared" si="2112"/>
        <v>fiber</v>
      </c>
      <c r="C810" s="391">
        <f t="shared" si="2104"/>
        <v>4</v>
      </c>
      <c r="D810" s="399" t="str">
        <f t="shared" ref="D810:E810" si="2113">D807</f>
        <v>0,1-1</v>
      </c>
      <c r="E810" s="391">
        <f t="shared" si="2113"/>
        <v>1</v>
      </c>
      <c r="F810" s="400" t="s">
        <v>1147</v>
      </c>
      <c r="G810" s="431" t="str">
        <f>CONCATENATE("DE: ",A810," ",B810," ",D810," mm (emission to ",F810,")")</f>
        <v>DE: PET fiber 0,1-1 mm (emission to fresh water)</v>
      </c>
      <c r="H810" s="468">
        <v>0</v>
      </c>
      <c r="I810" s="433" t="s">
        <v>1153</v>
      </c>
      <c r="J810" s="634">
        <v>0.22800000000000001</v>
      </c>
      <c r="K810" s="434">
        <v>1.04</v>
      </c>
      <c r="L810" s="536"/>
      <c r="M810" s="509">
        <f t="shared" si="2017"/>
        <v>240.38461538461539</v>
      </c>
      <c r="N810" s="645">
        <f t="shared" ref="N810" si="2114">IFERROR(H810*M810+H811*M811+H812*M812+H813*M813+H814*M814,"N.A.")</f>
        <v>359.9999999999996</v>
      </c>
      <c r="O810" s="625"/>
      <c r="P810" s="628">
        <f t="shared" si="2049"/>
        <v>100</v>
      </c>
      <c r="Q810" s="628">
        <f t="shared" si="1965"/>
        <v>359.9999999999996</v>
      </c>
    </row>
    <row r="811" spans="1:17" ht="15.75" hidden="1" thickBot="1">
      <c r="A811" s="390" t="str">
        <f t="shared" ref="A811:B811" si="2115">A808</f>
        <v>PET</v>
      </c>
      <c r="B811" s="391" t="str">
        <f t="shared" si="2115"/>
        <v>fiber</v>
      </c>
      <c r="C811" s="391">
        <f t="shared" si="2104"/>
        <v>4</v>
      </c>
      <c r="D811" s="391" t="str">
        <f t="shared" ref="D811:E811" si="2116">D808</f>
        <v>0,1-1</v>
      </c>
      <c r="E811" s="391">
        <f t="shared" si="2116"/>
        <v>1</v>
      </c>
      <c r="F811" s="391" t="str">
        <f t="shared" ref="F811:G811" si="2117">F810</f>
        <v>fresh water</v>
      </c>
      <c r="G811" s="435" t="str">
        <f t="shared" si="2117"/>
        <v>DE: PET fiber 0,1-1 mm (emission to fresh water)</v>
      </c>
      <c r="H811" s="469">
        <v>0</v>
      </c>
      <c r="I811" s="417" t="s">
        <v>1097</v>
      </c>
      <c r="J811" s="635"/>
      <c r="K811" s="434">
        <v>0.6944444444444452</v>
      </c>
      <c r="L811" s="536"/>
      <c r="M811" s="509">
        <f t="shared" si="2017"/>
        <v>359.9999999999996</v>
      </c>
      <c r="N811" s="646"/>
      <c r="O811" s="626"/>
      <c r="P811" s="629"/>
      <c r="Q811" s="629"/>
    </row>
    <row r="812" spans="1:17" ht="15.75" hidden="1" thickBot="1">
      <c r="A812" s="390" t="str">
        <f t="shared" ref="A812:B812" si="2118">A809</f>
        <v>PET</v>
      </c>
      <c r="B812" s="391" t="str">
        <f t="shared" si="2118"/>
        <v>fiber</v>
      </c>
      <c r="C812" s="391">
        <f t="shared" si="2104"/>
        <v>4</v>
      </c>
      <c r="D812" s="391" t="str">
        <f t="shared" ref="D812:E812" si="2119">D809</f>
        <v>0,1-1</v>
      </c>
      <c r="E812" s="391">
        <f t="shared" si="2119"/>
        <v>1</v>
      </c>
      <c r="F812" s="391" t="str">
        <f t="shared" ref="F812:G812" si="2120">F811</f>
        <v>fresh water</v>
      </c>
      <c r="G812" s="435" t="str">
        <f t="shared" si="2120"/>
        <v>DE: PET fiber 0,1-1 mm (emission to fresh water)</v>
      </c>
      <c r="H812" s="469">
        <v>0.89</v>
      </c>
      <c r="I812" s="417" t="s">
        <v>1162</v>
      </c>
      <c r="J812" s="635"/>
      <c r="K812" s="434">
        <v>0.6944444444444452</v>
      </c>
      <c r="L812" s="536"/>
      <c r="M812" s="509">
        <f t="shared" si="2017"/>
        <v>359.9999999999996</v>
      </c>
      <c r="N812" s="646"/>
      <c r="O812" s="626"/>
      <c r="P812" s="629"/>
      <c r="Q812" s="629"/>
    </row>
    <row r="813" spans="1:17" ht="15.75" hidden="1" thickBot="1">
      <c r="A813" s="390" t="str">
        <f t="shared" ref="A813:B813" si="2121">A810</f>
        <v>PET</v>
      </c>
      <c r="B813" s="391" t="str">
        <f t="shared" si="2121"/>
        <v>fiber</v>
      </c>
      <c r="C813" s="391">
        <f t="shared" si="2104"/>
        <v>4</v>
      </c>
      <c r="D813" s="391" t="str">
        <f t="shared" ref="D813:E813" si="2122">D810</f>
        <v>0,1-1</v>
      </c>
      <c r="E813" s="391">
        <f t="shared" si="2122"/>
        <v>1</v>
      </c>
      <c r="F813" s="391" t="str">
        <f t="shared" ref="F813:G813" si="2123">F812</f>
        <v>fresh water</v>
      </c>
      <c r="G813" s="435" t="str">
        <f t="shared" si="2123"/>
        <v>DE: PET fiber 0,1-1 mm (emission to fresh water)</v>
      </c>
      <c r="H813" s="469">
        <v>0.11</v>
      </c>
      <c r="I813" s="417" t="s">
        <v>1163</v>
      </c>
      <c r="J813" s="635"/>
      <c r="K813" s="434">
        <v>0.6944444444444452</v>
      </c>
      <c r="L813" s="536"/>
      <c r="M813" s="509">
        <f t="shared" si="2017"/>
        <v>359.9999999999996</v>
      </c>
      <c r="N813" s="646"/>
      <c r="O813" s="626"/>
      <c r="P813" s="629"/>
      <c r="Q813" s="629"/>
    </row>
    <row r="814" spans="1:17" ht="15.75" hidden="1" thickBot="1">
      <c r="A814" s="390" t="str">
        <f t="shared" ref="A814:B814" si="2124">A811</f>
        <v>PET</v>
      </c>
      <c r="B814" s="391" t="str">
        <f t="shared" si="2124"/>
        <v>fiber</v>
      </c>
      <c r="C814" s="391">
        <f t="shared" si="2104"/>
        <v>4</v>
      </c>
      <c r="D814" s="391" t="str">
        <f t="shared" ref="D814:E814" si="2125">D811</f>
        <v>0,1-1</v>
      </c>
      <c r="E814" s="391">
        <f t="shared" si="2125"/>
        <v>1</v>
      </c>
      <c r="F814" s="402" t="str">
        <f>F811</f>
        <v>fresh water</v>
      </c>
      <c r="G814" s="435" t="str">
        <f t="shared" ref="G814" si="2126">G813</f>
        <v>DE: PET fiber 0,1-1 mm (emission to fresh water)</v>
      </c>
      <c r="H814" s="469">
        <v>0</v>
      </c>
      <c r="I814" s="417" t="s">
        <v>1034</v>
      </c>
      <c r="J814" s="654"/>
      <c r="K814" s="421" t="s">
        <v>596</v>
      </c>
      <c r="L814" s="538"/>
      <c r="M814" s="509">
        <f t="shared" si="2017"/>
        <v>0</v>
      </c>
      <c r="N814" s="647"/>
      <c r="O814" s="627"/>
      <c r="P814" s="629"/>
      <c r="Q814" s="629"/>
    </row>
    <row r="815" spans="1:17" ht="15.75" hidden="1" thickBot="1">
      <c r="A815" s="390" t="str">
        <f t="shared" ref="A815:B815" si="2127">A812</f>
        <v>PET</v>
      </c>
      <c r="B815" s="391" t="str">
        <f t="shared" si="2127"/>
        <v>fiber</v>
      </c>
      <c r="C815" s="391">
        <f t="shared" si="2104"/>
        <v>4</v>
      </c>
      <c r="D815" s="391" t="str">
        <f t="shared" ref="D815:E815" si="2128">D812</f>
        <v>0,1-1</v>
      </c>
      <c r="E815" s="391">
        <f t="shared" si="2128"/>
        <v>1</v>
      </c>
      <c r="F815" s="385" t="s">
        <v>1097</v>
      </c>
      <c r="G815" s="422" t="str">
        <f>CONCATENATE("DE: ",A815," ",B815," ",D815," mm (emission to ",F815,")")</f>
        <v>DE: PET fiber 0,1-1 mm (emission to marine water)</v>
      </c>
      <c r="H815" s="467">
        <v>0</v>
      </c>
      <c r="I815" s="388" t="s">
        <v>1153</v>
      </c>
      <c r="J815" s="634">
        <v>0.22800000000000001</v>
      </c>
      <c r="K815" s="389">
        <v>1.04</v>
      </c>
      <c r="L815" s="536"/>
      <c r="M815" s="509">
        <f t="shared" si="2017"/>
        <v>240.38461538461539</v>
      </c>
      <c r="N815" s="645">
        <f t="shared" ref="N815" si="2129">IFERROR(H815*M815+H816*M816+H817*M817+H818*M818+H819*M819,"N.A.")</f>
        <v>359.9999999999996</v>
      </c>
      <c r="O815" s="625"/>
      <c r="P815" s="628">
        <f t="shared" si="2049"/>
        <v>100</v>
      </c>
      <c r="Q815" s="628">
        <f t="shared" si="1965"/>
        <v>359.9999999999996</v>
      </c>
    </row>
    <row r="816" spans="1:17" ht="15.75" hidden="1" thickBot="1">
      <c r="A816" s="390" t="str">
        <f t="shared" ref="A816:B816" si="2130">A813</f>
        <v>PET</v>
      </c>
      <c r="B816" s="391" t="str">
        <f t="shared" si="2130"/>
        <v>fiber</v>
      </c>
      <c r="C816" s="391">
        <f t="shared" si="2104"/>
        <v>4</v>
      </c>
      <c r="D816" s="391" t="str">
        <f t="shared" ref="D816:E816" si="2131">D813</f>
        <v>0,1-1</v>
      </c>
      <c r="E816" s="391">
        <f t="shared" si="2131"/>
        <v>1</v>
      </c>
      <c r="F816" s="391" t="str">
        <f t="shared" ref="F816:G816" si="2132">F815</f>
        <v>marine water</v>
      </c>
      <c r="G816" s="401" t="str">
        <f t="shared" si="2132"/>
        <v>DE: PET fiber 0,1-1 mm (emission to marine water)</v>
      </c>
      <c r="H816" s="465">
        <v>0</v>
      </c>
      <c r="I816" s="394" t="s">
        <v>1097</v>
      </c>
      <c r="J816" s="635"/>
      <c r="K816" s="389">
        <v>0.6944444444444452</v>
      </c>
      <c r="L816" s="537"/>
      <c r="M816" s="509">
        <f t="shared" si="2017"/>
        <v>359.9999999999996</v>
      </c>
      <c r="N816" s="646"/>
      <c r="O816" s="626"/>
      <c r="P816" s="629"/>
      <c r="Q816" s="629"/>
    </row>
    <row r="817" spans="1:17" ht="15.75" hidden="1" thickBot="1">
      <c r="A817" s="390" t="str">
        <f t="shared" ref="A817:B817" si="2133">A814</f>
        <v>PET</v>
      </c>
      <c r="B817" s="391" t="str">
        <f t="shared" si="2133"/>
        <v>fiber</v>
      </c>
      <c r="C817" s="391">
        <f t="shared" si="2104"/>
        <v>4</v>
      </c>
      <c r="D817" s="391" t="str">
        <f t="shared" ref="D817:E817" si="2134">D814</f>
        <v>0,1-1</v>
      </c>
      <c r="E817" s="391">
        <f t="shared" si="2134"/>
        <v>1</v>
      </c>
      <c r="F817" s="391" t="str">
        <f t="shared" ref="F817:G817" si="2135">F816</f>
        <v>marine water</v>
      </c>
      <c r="G817" s="401" t="str">
        <f t="shared" si="2135"/>
        <v>DE: PET fiber 0,1-1 mm (emission to marine water)</v>
      </c>
      <c r="H817" s="465">
        <v>0</v>
      </c>
      <c r="I817" s="394" t="s">
        <v>1162</v>
      </c>
      <c r="J817" s="635"/>
      <c r="K817" s="389">
        <v>0.6944444444444452</v>
      </c>
      <c r="L817" s="537"/>
      <c r="M817" s="509">
        <f t="shared" si="2017"/>
        <v>359.9999999999996</v>
      </c>
      <c r="N817" s="646"/>
      <c r="O817" s="626"/>
      <c r="P817" s="629"/>
      <c r="Q817" s="629"/>
    </row>
    <row r="818" spans="1:17" ht="15.75" hidden="1" thickBot="1">
      <c r="A818" s="390" t="str">
        <f t="shared" ref="A818:B818" si="2136">A815</f>
        <v>PET</v>
      </c>
      <c r="B818" s="391" t="str">
        <f t="shared" si="2136"/>
        <v>fiber</v>
      </c>
      <c r="C818" s="391">
        <f t="shared" si="2104"/>
        <v>4</v>
      </c>
      <c r="D818" s="391" t="str">
        <f t="shared" ref="D818:E818" si="2137">D815</f>
        <v>0,1-1</v>
      </c>
      <c r="E818" s="391">
        <f t="shared" si="2137"/>
        <v>1</v>
      </c>
      <c r="F818" s="391" t="str">
        <f t="shared" ref="F818:G818" si="2138">F817</f>
        <v>marine water</v>
      </c>
      <c r="G818" s="401" t="str">
        <f t="shared" si="2138"/>
        <v>DE: PET fiber 0,1-1 mm (emission to marine water)</v>
      </c>
      <c r="H818" s="465">
        <v>1</v>
      </c>
      <c r="I818" s="394" t="s">
        <v>1163</v>
      </c>
      <c r="J818" s="635"/>
      <c r="K818" s="389">
        <v>0.6944444444444452</v>
      </c>
      <c r="L818" s="537"/>
      <c r="M818" s="509">
        <f t="shared" si="2017"/>
        <v>359.9999999999996</v>
      </c>
      <c r="N818" s="646"/>
      <c r="O818" s="626"/>
      <c r="P818" s="629"/>
      <c r="Q818" s="629"/>
    </row>
    <row r="819" spans="1:17" ht="15.75" hidden="1" thickBot="1">
      <c r="A819" s="390" t="str">
        <f t="shared" ref="A819:B819" si="2139">A816</f>
        <v>PET</v>
      </c>
      <c r="B819" s="391" t="str">
        <f t="shared" si="2139"/>
        <v>fiber</v>
      </c>
      <c r="C819" s="391">
        <f t="shared" si="2104"/>
        <v>4</v>
      </c>
      <c r="D819" s="391" t="str">
        <f t="shared" ref="D819:E819" si="2140">D816</f>
        <v>0,1-1</v>
      </c>
      <c r="E819" s="391">
        <f t="shared" si="2140"/>
        <v>1</v>
      </c>
      <c r="F819" s="391" t="str">
        <f t="shared" ref="F819:G819" si="2141">F818</f>
        <v>marine water</v>
      </c>
      <c r="G819" s="401" t="str">
        <f t="shared" si="2141"/>
        <v>DE: PET fiber 0,1-1 mm (emission to marine water)</v>
      </c>
      <c r="H819" s="465">
        <v>0</v>
      </c>
      <c r="I819" s="394" t="s">
        <v>1034</v>
      </c>
      <c r="J819" s="654"/>
      <c r="K819" s="398" t="s">
        <v>596</v>
      </c>
      <c r="L819" s="538"/>
      <c r="M819" s="509">
        <f t="shared" si="2017"/>
        <v>0</v>
      </c>
      <c r="N819" s="647"/>
      <c r="O819" s="627"/>
      <c r="P819" s="629"/>
      <c r="Q819" s="629"/>
    </row>
    <row r="820" spans="1:17" ht="15.75" hidden="1" thickBot="1">
      <c r="A820" s="390" t="str">
        <f t="shared" ref="A820:B820" si="2142">A817</f>
        <v>PET</v>
      </c>
      <c r="B820" s="391" t="str">
        <f t="shared" si="2142"/>
        <v>fiber</v>
      </c>
      <c r="C820" s="391">
        <f t="shared" si="2104"/>
        <v>4</v>
      </c>
      <c r="D820" s="391" t="str">
        <f t="shared" ref="D820:E820" si="2143">D817</f>
        <v>0,1-1</v>
      </c>
      <c r="E820" s="391">
        <f t="shared" si="2143"/>
        <v>1</v>
      </c>
      <c r="F820" s="400" t="s">
        <v>1057</v>
      </c>
      <c r="G820" s="422" t="str">
        <f>CONCATENATE("DE: ",A820," ",B820," ",D820," mm (emission to ",F820,")")</f>
        <v>DE: PET fiber 0,1-1 mm (emission to air)</v>
      </c>
      <c r="H820" s="467">
        <v>0.94799999999999995</v>
      </c>
      <c r="I820" s="388" t="s">
        <v>1153</v>
      </c>
      <c r="J820" s="634">
        <v>0.22800000000000001</v>
      </c>
      <c r="K820" s="389">
        <v>1.04</v>
      </c>
      <c r="L820" s="536"/>
      <c r="M820" s="509">
        <f t="shared" si="2017"/>
        <v>240.38461538461539</v>
      </c>
      <c r="N820" s="645">
        <f t="shared" ref="N820" si="2144">IFERROR(H820*M820+H821*M821+H822*M822+H823*M823+H824*M824,"N.A.")</f>
        <v>246.60461538461539</v>
      </c>
      <c r="O820" s="625"/>
      <c r="P820" s="628">
        <f t="shared" si="2049"/>
        <v>100</v>
      </c>
      <c r="Q820" s="628">
        <f t="shared" ref="Q820:Q880" si="2145">IFERROR(IF(H820*M820+H821*M821+H822*M822+H823*M823+H824*M824&gt;500,500,H820*M820+H821*M821+H822*M822+H823*M823+H824*M824),"N.A.")</f>
        <v>246.60461538461539</v>
      </c>
    </row>
    <row r="821" spans="1:17" ht="15.75" hidden="1" thickBot="1">
      <c r="A821" s="390" t="str">
        <f t="shared" ref="A821:B821" si="2146">A818</f>
        <v>PET</v>
      </c>
      <c r="B821" s="391" t="str">
        <f t="shared" si="2146"/>
        <v>fiber</v>
      </c>
      <c r="C821" s="391">
        <f t="shared" si="2104"/>
        <v>4</v>
      </c>
      <c r="D821" s="391" t="str">
        <f t="shared" ref="D821:E821" si="2147">D818</f>
        <v>0,1-1</v>
      </c>
      <c r="E821" s="391">
        <f t="shared" si="2147"/>
        <v>1</v>
      </c>
      <c r="F821" s="391" t="str">
        <f t="shared" ref="F821:G821" si="2148">F820</f>
        <v>air</v>
      </c>
      <c r="G821" s="401" t="str">
        <f t="shared" si="2148"/>
        <v>DE: PET fiber 0,1-1 mm (emission to air)</v>
      </c>
      <c r="H821" s="465">
        <v>0</v>
      </c>
      <c r="I821" s="394" t="s">
        <v>1097</v>
      </c>
      <c r="J821" s="635"/>
      <c r="K821" s="389">
        <v>0.6944444444444452</v>
      </c>
      <c r="L821" s="537"/>
      <c r="M821" s="509">
        <f t="shared" si="2017"/>
        <v>359.9999999999996</v>
      </c>
      <c r="N821" s="646"/>
      <c r="O821" s="626"/>
      <c r="P821" s="629"/>
      <c r="Q821" s="629"/>
    </row>
    <row r="822" spans="1:17" ht="15.75" hidden="1" thickBot="1">
      <c r="A822" s="390" t="str">
        <f t="shared" ref="A822:B822" si="2149">A819</f>
        <v>PET</v>
      </c>
      <c r="B822" s="391" t="str">
        <f t="shared" si="2149"/>
        <v>fiber</v>
      </c>
      <c r="C822" s="391">
        <f t="shared" si="2104"/>
        <v>4</v>
      </c>
      <c r="D822" s="391" t="str">
        <f t="shared" ref="D822:E822" si="2150">D819</f>
        <v>0,1-1</v>
      </c>
      <c r="E822" s="391">
        <f t="shared" si="2150"/>
        <v>1</v>
      </c>
      <c r="F822" s="391" t="str">
        <f t="shared" ref="F822:G822" si="2151">F821</f>
        <v>air</v>
      </c>
      <c r="G822" s="401" t="str">
        <f t="shared" si="2151"/>
        <v>DE: PET fiber 0,1-1 mm (emission to air)</v>
      </c>
      <c r="H822" s="465">
        <v>4.7E-2</v>
      </c>
      <c r="I822" s="394" t="s">
        <v>1162</v>
      </c>
      <c r="J822" s="635"/>
      <c r="K822" s="389">
        <v>0.6944444444444452</v>
      </c>
      <c r="L822" s="537"/>
      <c r="M822" s="509">
        <f t="shared" si="2017"/>
        <v>359.9999999999996</v>
      </c>
      <c r="N822" s="646"/>
      <c r="O822" s="626"/>
      <c r="P822" s="629"/>
      <c r="Q822" s="629"/>
    </row>
    <row r="823" spans="1:17" ht="15.75" hidden="1" thickBot="1">
      <c r="A823" s="390" t="str">
        <f t="shared" ref="A823:B823" si="2152">A820</f>
        <v>PET</v>
      </c>
      <c r="B823" s="391" t="str">
        <f t="shared" si="2152"/>
        <v>fiber</v>
      </c>
      <c r="C823" s="391">
        <f t="shared" si="2104"/>
        <v>4</v>
      </c>
      <c r="D823" s="391" t="str">
        <f t="shared" ref="D823:E823" si="2153">D820</f>
        <v>0,1-1</v>
      </c>
      <c r="E823" s="391">
        <f t="shared" si="2153"/>
        <v>1</v>
      </c>
      <c r="F823" s="391" t="str">
        <f t="shared" ref="F823:G823" si="2154">F822</f>
        <v>air</v>
      </c>
      <c r="G823" s="401" t="str">
        <f t="shared" si="2154"/>
        <v>DE: PET fiber 0,1-1 mm (emission to air)</v>
      </c>
      <c r="H823" s="465">
        <v>5.0000000000000001E-3</v>
      </c>
      <c r="I823" s="394" t="s">
        <v>1163</v>
      </c>
      <c r="J823" s="635"/>
      <c r="K823" s="389">
        <v>0.6944444444444452</v>
      </c>
      <c r="L823" s="537"/>
      <c r="M823" s="509">
        <f t="shared" si="2017"/>
        <v>359.9999999999996</v>
      </c>
      <c r="N823" s="646"/>
      <c r="O823" s="626"/>
      <c r="P823" s="629"/>
      <c r="Q823" s="629"/>
    </row>
    <row r="824" spans="1:17" ht="15.75" hidden="1" thickBot="1">
      <c r="A824" s="404" t="str">
        <f t="shared" ref="A824:B824" si="2155">A819</f>
        <v>PET</v>
      </c>
      <c r="B824" s="402" t="str">
        <f t="shared" si="2155"/>
        <v>fiber</v>
      </c>
      <c r="C824" s="391">
        <f t="shared" si="2104"/>
        <v>4</v>
      </c>
      <c r="D824" s="402" t="str">
        <f t="shared" ref="D824:E824" si="2156">D819</f>
        <v>0,1-1</v>
      </c>
      <c r="E824" s="402">
        <f t="shared" si="2156"/>
        <v>1</v>
      </c>
      <c r="F824" s="391" t="str">
        <f t="shared" ref="F824:G824" si="2157">F823</f>
        <v>air</v>
      </c>
      <c r="G824" s="401" t="str">
        <f t="shared" si="2157"/>
        <v>DE: PET fiber 0,1-1 mm (emission to air)</v>
      </c>
      <c r="H824" s="465">
        <v>0</v>
      </c>
      <c r="I824" s="394" t="s">
        <v>1034</v>
      </c>
      <c r="J824" s="636"/>
      <c r="K824" s="398" t="s">
        <v>596</v>
      </c>
      <c r="L824" s="538"/>
      <c r="M824" s="509">
        <f t="shared" si="2017"/>
        <v>0</v>
      </c>
      <c r="N824" s="647"/>
      <c r="O824" s="627"/>
      <c r="P824" s="629"/>
      <c r="Q824" s="629"/>
    </row>
    <row r="825" spans="1:17" ht="16.5" hidden="1" thickTop="1" thickBot="1">
      <c r="A825" s="405" t="s">
        <v>78</v>
      </c>
      <c r="B825" s="406" t="s">
        <v>1151</v>
      </c>
      <c r="C825" s="407">
        <v>4</v>
      </c>
      <c r="D825" s="423" t="s">
        <v>1026</v>
      </c>
      <c r="E825" s="408">
        <v>10</v>
      </c>
      <c r="F825" s="424" t="s">
        <v>1019</v>
      </c>
      <c r="G825" s="425" t="str">
        <f>CONCATENATE("DE: ",A825," ",B825," ",D825," mm (emission to ",F825,")")</f>
        <v>DE: PET fiber 1-10 mm (emission to soil)</v>
      </c>
      <c r="H825" s="464">
        <v>0.97</v>
      </c>
      <c r="I825" s="427" t="s">
        <v>1153</v>
      </c>
      <c r="J825" s="632">
        <v>0.22800000000000001</v>
      </c>
      <c r="K825" s="428">
        <v>1.04</v>
      </c>
      <c r="L825" s="539"/>
      <c r="M825" s="509">
        <f t="shared" si="2017"/>
        <v>1000</v>
      </c>
      <c r="N825" s="645">
        <f t="shared" ref="N825" si="2158">IFERROR(H825*M825+H826*M826+H827*M827+H828*M828+H829*M829,"N.A.")</f>
        <v>1000</v>
      </c>
      <c r="O825" s="625"/>
      <c r="P825" s="628">
        <f t="shared" si="2049"/>
        <v>100</v>
      </c>
      <c r="Q825" s="628">
        <f t="shared" si="2145"/>
        <v>500</v>
      </c>
    </row>
    <row r="826" spans="1:17" ht="15.75" hidden="1" thickBot="1">
      <c r="A826" s="390" t="str">
        <f>A825</f>
        <v>PET</v>
      </c>
      <c r="B826" s="391" t="str">
        <f>B825</f>
        <v>fiber</v>
      </c>
      <c r="C826" s="391">
        <f t="shared" ref="C826:C844" si="2159">C825</f>
        <v>4</v>
      </c>
      <c r="D826" s="391" t="str">
        <f t="shared" ref="D826:D828" si="2160">D825</f>
        <v>1-10</v>
      </c>
      <c r="E826" s="391">
        <f t="shared" ref="E826:E828" si="2161">E825</f>
        <v>10</v>
      </c>
      <c r="F826" s="391" t="str">
        <f t="shared" ref="F826:F828" si="2162">F825</f>
        <v>soil</v>
      </c>
      <c r="G826" s="392" t="str">
        <f t="shared" ref="G826:G828" si="2163">G825</f>
        <v>DE: PET fiber 1-10 mm (emission to soil)</v>
      </c>
      <c r="H826" s="465">
        <v>0</v>
      </c>
      <c r="I826" s="394" t="s">
        <v>1097</v>
      </c>
      <c r="J826" s="632"/>
      <c r="K826" s="395">
        <v>0.6944444444444452</v>
      </c>
      <c r="L826" s="537"/>
      <c r="M826" s="509">
        <f t="shared" si="2017"/>
        <v>1000</v>
      </c>
      <c r="N826" s="646"/>
      <c r="O826" s="626"/>
      <c r="P826" s="629"/>
      <c r="Q826" s="629"/>
    </row>
    <row r="827" spans="1:17" ht="15.75" hidden="1" thickBot="1">
      <c r="A827" s="390" t="str">
        <f t="shared" ref="A827:A828" si="2164">A826</f>
        <v>PET</v>
      </c>
      <c r="B827" s="391" t="str">
        <f t="shared" ref="B827:B828" si="2165">B826</f>
        <v>fiber</v>
      </c>
      <c r="C827" s="391">
        <f t="shared" si="2159"/>
        <v>4</v>
      </c>
      <c r="D827" s="391" t="str">
        <f t="shared" si="2160"/>
        <v>1-10</v>
      </c>
      <c r="E827" s="391">
        <f t="shared" si="2161"/>
        <v>10</v>
      </c>
      <c r="F827" s="391" t="str">
        <f t="shared" si="2162"/>
        <v>soil</v>
      </c>
      <c r="G827" s="392" t="str">
        <f t="shared" si="2163"/>
        <v>DE: PET fiber 1-10 mm (emission to soil)</v>
      </c>
      <c r="H827" s="465">
        <v>2.7E-2</v>
      </c>
      <c r="I827" s="394" t="s">
        <v>1162</v>
      </c>
      <c r="J827" s="632"/>
      <c r="K827" s="395">
        <v>0.6944444444444452</v>
      </c>
      <c r="L827" s="537"/>
      <c r="M827" s="509">
        <f t="shared" si="2017"/>
        <v>1000</v>
      </c>
      <c r="N827" s="646"/>
      <c r="O827" s="626"/>
      <c r="P827" s="629"/>
      <c r="Q827" s="629"/>
    </row>
    <row r="828" spans="1:17" ht="15.75" hidden="1" thickBot="1">
      <c r="A828" s="390" t="str">
        <f t="shared" si="2164"/>
        <v>PET</v>
      </c>
      <c r="B828" s="391" t="str">
        <f t="shared" si="2165"/>
        <v>fiber</v>
      </c>
      <c r="C828" s="391">
        <f t="shared" si="2159"/>
        <v>4</v>
      </c>
      <c r="D828" s="391" t="str">
        <f t="shared" si="2160"/>
        <v>1-10</v>
      </c>
      <c r="E828" s="391">
        <f t="shared" si="2161"/>
        <v>10</v>
      </c>
      <c r="F828" s="391" t="str">
        <f t="shared" si="2162"/>
        <v>soil</v>
      </c>
      <c r="G828" s="392" t="str">
        <f t="shared" si="2163"/>
        <v>DE: PET fiber 1-10 mm (emission to soil)</v>
      </c>
      <c r="H828" s="465">
        <v>3.0000000000000001E-3</v>
      </c>
      <c r="I828" s="394" t="s">
        <v>1163</v>
      </c>
      <c r="J828" s="632"/>
      <c r="K828" s="395">
        <v>0.6944444444444452</v>
      </c>
      <c r="L828" s="537"/>
      <c r="M828" s="509">
        <f t="shared" si="2017"/>
        <v>1000</v>
      </c>
      <c r="N828" s="646"/>
      <c r="O828" s="626"/>
      <c r="P828" s="629"/>
      <c r="Q828" s="629"/>
    </row>
    <row r="829" spans="1:17" ht="15.75" hidden="1" thickBot="1">
      <c r="A829" s="390" t="str">
        <f>A826</f>
        <v>PET</v>
      </c>
      <c r="B829" s="391" t="str">
        <f>B826</f>
        <v>fiber</v>
      </c>
      <c r="C829" s="391">
        <f t="shared" si="2159"/>
        <v>4</v>
      </c>
      <c r="D829" s="391" t="str">
        <f>D826</f>
        <v>1-10</v>
      </c>
      <c r="E829" s="391">
        <f>E826</f>
        <v>10</v>
      </c>
      <c r="F829" s="391" t="str">
        <f>F826</f>
        <v>soil</v>
      </c>
      <c r="G829" s="396" t="str">
        <f t="shared" ref="G829" si="2166">G828</f>
        <v>DE: PET fiber 1-10 mm (emission to soil)</v>
      </c>
      <c r="H829" s="465">
        <v>0</v>
      </c>
      <c r="I829" s="397" t="s">
        <v>1034</v>
      </c>
      <c r="J829" s="633"/>
      <c r="K829" s="398" t="s">
        <v>596</v>
      </c>
      <c r="L829" s="538"/>
      <c r="M829" s="509">
        <f t="shared" si="2017"/>
        <v>0</v>
      </c>
      <c r="N829" s="647"/>
      <c r="O829" s="627"/>
      <c r="P829" s="629"/>
      <c r="Q829" s="629"/>
    </row>
    <row r="830" spans="1:17" ht="15.75" hidden="1" thickBot="1">
      <c r="A830" s="390" t="str">
        <f t="shared" ref="A830:B830" si="2167">A827</f>
        <v>PET</v>
      </c>
      <c r="B830" s="391" t="str">
        <f t="shared" si="2167"/>
        <v>fiber</v>
      </c>
      <c r="C830" s="391">
        <f t="shared" si="2159"/>
        <v>4</v>
      </c>
      <c r="D830" s="399" t="str">
        <f t="shared" ref="D830:E830" si="2168">D827</f>
        <v>1-10</v>
      </c>
      <c r="E830" s="391">
        <f t="shared" si="2168"/>
        <v>10</v>
      </c>
      <c r="F830" s="400" t="s">
        <v>1147</v>
      </c>
      <c r="G830" s="386" t="str">
        <f>CONCATENATE("DE: ",A830," ",B830," ",D830," mm (emission to ",F830,")")</f>
        <v>DE: PET fiber 1-10 mm (emission to fresh water)</v>
      </c>
      <c r="H830" s="466">
        <v>0</v>
      </c>
      <c r="I830" s="388" t="s">
        <v>1153</v>
      </c>
      <c r="J830" s="634">
        <v>0.22800000000000001</v>
      </c>
      <c r="K830" s="389">
        <v>1.04</v>
      </c>
      <c r="L830" s="536"/>
      <c r="M830" s="509">
        <f t="shared" si="2017"/>
        <v>1000</v>
      </c>
      <c r="N830" s="645">
        <f t="shared" ref="N830" si="2169">IFERROR(H830*M830+H831*M831+H832*M832+H833*M833+H834*M834,"N.A.")</f>
        <v>1000</v>
      </c>
      <c r="O830" s="625"/>
      <c r="P830" s="628">
        <f t="shared" si="2049"/>
        <v>100</v>
      </c>
      <c r="Q830" s="628">
        <f t="shared" si="2145"/>
        <v>500</v>
      </c>
    </row>
    <row r="831" spans="1:17" ht="15.75" hidden="1" thickBot="1">
      <c r="A831" s="390" t="str">
        <f t="shared" ref="A831:B831" si="2170">A828</f>
        <v>PET</v>
      </c>
      <c r="B831" s="391" t="str">
        <f t="shared" si="2170"/>
        <v>fiber</v>
      </c>
      <c r="C831" s="391">
        <f t="shared" si="2159"/>
        <v>4</v>
      </c>
      <c r="D831" s="391" t="str">
        <f t="shared" ref="D831:E831" si="2171">D828</f>
        <v>1-10</v>
      </c>
      <c r="E831" s="391">
        <f t="shared" si="2171"/>
        <v>10</v>
      </c>
      <c r="F831" s="391" t="str">
        <f t="shared" ref="F831:G831" si="2172">F830</f>
        <v>fresh water</v>
      </c>
      <c r="G831" s="401" t="str">
        <f t="shared" si="2172"/>
        <v>DE: PET fiber 1-10 mm (emission to fresh water)</v>
      </c>
      <c r="H831" s="465">
        <v>0</v>
      </c>
      <c r="I831" s="394" t="s">
        <v>1097</v>
      </c>
      <c r="J831" s="635"/>
      <c r="K831" s="389">
        <v>0.6944444444444452</v>
      </c>
      <c r="L831" s="536"/>
      <c r="M831" s="509">
        <f t="shared" si="2017"/>
        <v>1000</v>
      </c>
      <c r="N831" s="646"/>
      <c r="O831" s="626"/>
      <c r="P831" s="629"/>
      <c r="Q831" s="629"/>
    </row>
    <row r="832" spans="1:17" ht="15.75" hidden="1" thickBot="1">
      <c r="A832" s="390" t="str">
        <f t="shared" ref="A832:B832" si="2173">A829</f>
        <v>PET</v>
      </c>
      <c r="B832" s="391" t="str">
        <f t="shared" si="2173"/>
        <v>fiber</v>
      </c>
      <c r="C832" s="391">
        <f t="shared" si="2159"/>
        <v>4</v>
      </c>
      <c r="D832" s="391" t="str">
        <f t="shared" ref="D832:E832" si="2174">D829</f>
        <v>1-10</v>
      </c>
      <c r="E832" s="391">
        <f t="shared" si="2174"/>
        <v>10</v>
      </c>
      <c r="F832" s="391" t="str">
        <f t="shared" ref="F832:G832" si="2175">F831</f>
        <v>fresh water</v>
      </c>
      <c r="G832" s="401" t="str">
        <f t="shared" si="2175"/>
        <v>DE: PET fiber 1-10 mm (emission to fresh water)</v>
      </c>
      <c r="H832" s="465">
        <v>0.89</v>
      </c>
      <c r="I832" s="394" t="s">
        <v>1162</v>
      </c>
      <c r="J832" s="635"/>
      <c r="K832" s="389">
        <v>0.6944444444444452</v>
      </c>
      <c r="L832" s="536"/>
      <c r="M832" s="509">
        <f t="shared" si="2017"/>
        <v>1000</v>
      </c>
      <c r="N832" s="646"/>
      <c r="O832" s="626"/>
      <c r="P832" s="629"/>
      <c r="Q832" s="629"/>
    </row>
    <row r="833" spans="1:17" ht="15.75" hidden="1" thickBot="1">
      <c r="A833" s="390" t="str">
        <f t="shared" ref="A833:B833" si="2176">A830</f>
        <v>PET</v>
      </c>
      <c r="B833" s="391" t="str">
        <f t="shared" si="2176"/>
        <v>fiber</v>
      </c>
      <c r="C833" s="391">
        <f t="shared" si="2159"/>
        <v>4</v>
      </c>
      <c r="D833" s="391" t="str">
        <f t="shared" ref="D833:E833" si="2177">D830</f>
        <v>1-10</v>
      </c>
      <c r="E833" s="391">
        <f t="shared" si="2177"/>
        <v>10</v>
      </c>
      <c r="F833" s="391" t="str">
        <f t="shared" ref="F833:G833" si="2178">F832</f>
        <v>fresh water</v>
      </c>
      <c r="G833" s="401" t="str">
        <f t="shared" si="2178"/>
        <v>DE: PET fiber 1-10 mm (emission to fresh water)</v>
      </c>
      <c r="H833" s="465">
        <v>0.11</v>
      </c>
      <c r="I833" s="394" t="s">
        <v>1163</v>
      </c>
      <c r="J833" s="635"/>
      <c r="K833" s="389">
        <v>0.6944444444444452</v>
      </c>
      <c r="L833" s="536"/>
      <c r="M833" s="509">
        <f t="shared" si="2017"/>
        <v>1000</v>
      </c>
      <c r="N833" s="646"/>
      <c r="O833" s="626"/>
      <c r="P833" s="629"/>
      <c r="Q833" s="629"/>
    </row>
    <row r="834" spans="1:17" ht="15.75" hidden="1" thickBot="1">
      <c r="A834" s="390" t="str">
        <f t="shared" ref="A834:B834" si="2179">A831</f>
        <v>PET</v>
      </c>
      <c r="B834" s="391" t="str">
        <f t="shared" si="2179"/>
        <v>fiber</v>
      </c>
      <c r="C834" s="391">
        <f t="shared" si="2159"/>
        <v>4</v>
      </c>
      <c r="D834" s="391" t="str">
        <f t="shared" ref="D834:E834" si="2180">D831</f>
        <v>1-10</v>
      </c>
      <c r="E834" s="391">
        <f t="shared" si="2180"/>
        <v>10</v>
      </c>
      <c r="F834" s="402" t="str">
        <f>F831</f>
        <v>fresh water</v>
      </c>
      <c r="G834" s="401" t="str">
        <f t="shared" ref="G834" si="2181">G833</f>
        <v>DE: PET fiber 1-10 mm (emission to fresh water)</v>
      </c>
      <c r="H834" s="465">
        <v>0</v>
      </c>
      <c r="I834" s="394" t="s">
        <v>1034</v>
      </c>
      <c r="J834" s="654"/>
      <c r="K834" s="398" t="s">
        <v>596</v>
      </c>
      <c r="L834" s="538"/>
      <c r="M834" s="509">
        <f t="shared" si="2017"/>
        <v>0</v>
      </c>
      <c r="N834" s="647"/>
      <c r="O834" s="627"/>
      <c r="P834" s="629"/>
      <c r="Q834" s="629"/>
    </row>
    <row r="835" spans="1:17" ht="15.75" hidden="1" thickBot="1">
      <c r="A835" s="390" t="str">
        <f t="shared" ref="A835:B835" si="2182">A832</f>
        <v>PET</v>
      </c>
      <c r="B835" s="391" t="str">
        <f t="shared" si="2182"/>
        <v>fiber</v>
      </c>
      <c r="C835" s="391">
        <f t="shared" si="2159"/>
        <v>4</v>
      </c>
      <c r="D835" s="391" t="str">
        <f t="shared" ref="D835:E835" si="2183">D832</f>
        <v>1-10</v>
      </c>
      <c r="E835" s="391">
        <f t="shared" si="2183"/>
        <v>10</v>
      </c>
      <c r="F835" s="385" t="s">
        <v>1097</v>
      </c>
      <c r="G835" s="422" t="str">
        <f>CONCATENATE("DE: ",A835," ",B835," ",D835," mm (emission to ",F835,")")</f>
        <v>DE: PET fiber 1-10 mm (emission to marine water)</v>
      </c>
      <c r="H835" s="467">
        <v>0</v>
      </c>
      <c r="I835" s="388" t="s">
        <v>1153</v>
      </c>
      <c r="J835" s="634">
        <v>0.22800000000000001</v>
      </c>
      <c r="K835" s="389">
        <v>1.04</v>
      </c>
      <c r="L835" s="536"/>
      <c r="M835" s="509">
        <f t="shared" si="2017"/>
        <v>1000</v>
      </c>
      <c r="N835" s="645">
        <f t="shared" ref="N835" si="2184">IFERROR(H835*M835+H836*M836+H837*M837+H838*M838+H839*M839,"N.A.")</f>
        <v>1000</v>
      </c>
      <c r="O835" s="625"/>
      <c r="P835" s="628">
        <f t="shared" si="2049"/>
        <v>100</v>
      </c>
      <c r="Q835" s="628">
        <f t="shared" si="2145"/>
        <v>500</v>
      </c>
    </row>
    <row r="836" spans="1:17" ht="15.75" hidden="1" thickBot="1">
      <c r="A836" s="390" t="str">
        <f t="shared" ref="A836:B836" si="2185">A833</f>
        <v>PET</v>
      </c>
      <c r="B836" s="391" t="str">
        <f t="shared" si="2185"/>
        <v>fiber</v>
      </c>
      <c r="C836" s="391">
        <f t="shared" si="2159"/>
        <v>4</v>
      </c>
      <c r="D836" s="391" t="str">
        <f t="shared" ref="D836:E836" si="2186">D833</f>
        <v>1-10</v>
      </c>
      <c r="E836" s="391">
        <f t="shared" si="2186"/>
        <v>10</v>
      </c>
      <c r="F836" s="391" t="str">
        <f t="shared" ref="F836:G836" si="2187">F835</f>
        <v>marine water</v>
      </c>
      <c r="G836" s="401" t="str">
        <f t="shared" si="2187"/>
        <v>DE: PET fiber 1-10 mm (emission to marine water)</v>
      </c>
      <c r="H836" s="465">
        <v>0</v>
      </c>
      <c r="I836" s="394" t="s">
        <v>1097</v>
      </c>
      <c r="J836" s="635"/>
      <c r="K836" s="389">
        <v>0.6944444444444452</v>
      </c>
      <c r="L836" s="537"/>
      <c r="M836" s="509">
        <f t="shared" si="2017"/>
        <v>1000</v>
      </c>
      <c r="N836" s="646"/>
      <c r="O836" s="626"/>
      <c r="P836" s="629"/>
      <c r="Q836" s="629"/>
    </row>
    <row r="837" spans="1:17" ht="15.75" hidden="1" thickBot="1">
      <c r="A837" s="390" t="str">
        <f t="shared" ref="A837:B837" si="2188">A834</f>
        <v>PET</v>
      </c>
      <c r="B837" s="391" t="str">
        <f t="shared" si="2188"/>
        <v>fiber</v>
      </c>
      <c r="C837" s="391">
        <f t="shared" si="2159"/>
        <v>4</v>
      </c>
      <c r="D837" s="391" t="str">
        <f t="shared" ref="D837:E837" si="2189">D834</f>
        <v>1-10</v>
      </c>
      <c r="E837" s="391">
        <f t="shared" si="2189"/>
        <v>10</v>
      </c>
      <c r="F837" s="391" t="str">
        <f t="shared" ref="F837:G837" si="2190">F836</f>
        <v>marine water</v>
      </c>
      <c r="G837" s="401" t="str">
        <f t="shared" si="2190"/>
        <v>DE: PET fiber 1-10 mm (emission to marine water)</v>
      </c>
      <c r="H837" s="465">
        <v>0</v>
      </c>
      <c r="I837" s="394" t="s">
        <v>1162</v>
      </c>
      <c r="J837" s="635"/>
      <c r="K837" s="389">
        <v>0.6944444444444452</v>
      </c>
      <c r="L837" s="537"/>
      <c r="M837" s="509">
        <f t="shared" si="2017"/>
        <v>1000</v>
      </c>
      <c r="N837" s="646"/>
      <c r="O837" s="626"/>
      <c r="P837" s="629"/>
      <c r="Q837" s="629"/>
    </row>
    <row r="838" spans="1:17" ht="15.75" hidden="1" thickBot="1">
      <c r="A838" s="390" t="str">
        <f t="shared" ref="A838:B838" si="2191">A835</f>
        <v>PET</v>
      </c>
      <c r="B838" s="391" t="str">
        <f t="shared" si="2191"/>
        <v>fiber</v>
      </c>
      <c r="C838" s="391">
        <f t="shared" si="2159"/>
        <v>4</v>
      </c>
      <c r="D838" s="391" t="str">
        <f t="shared" ref="D838:E838" si="2192">D835</f>
        <v>1-10</v>
      </c>
      <c r="E838" s="391">
        <f t="shared" si="2192"/>
        <v>10</v>
      </c>
      <c r="F838" s="391" t="str">
        <f t="shared" ref="F838:G838" si="2193">F837</f>
        <v>marine water</v>
      </c>
      <c r="G838" s="401" t="str">
        <f t="shared" si="2193"/>
        <v>DE: PET fiber 1-10 mm (emission to marine water)</v>
      </c>
      <c r="H838" s="465">
        <v>1</v>
      </c>
      <c r="I838" s="394" t="s">
        <v>1163</v>
      </c>
      <c r="J838" s="635"/>
      <c r="K838" s="389">
        <v>0.6944444444444452</v>
      </c>
      <c r="L838" s="537"/>
      <c r="M838" s="509">
        <f t="shared" ref="M838:M901" si="2194">IFERROR(IF(K838="--",0,IF(E838*1000/K838*(1-0.5)^(C838/2)&gt;1000,1000,E838*1000/K838*(1-0.5)^(C838/2))),1000)</f>
        <v>1000</v>
      </c>
      <c r="N838" s="646"/>
      <c r="O838" s="626"/>
      <c r="P838" s="629"/>
      <c r="Q838" s="629"/>
    </row>
    <row r="839" spans="1:17" ht="15.75" hidden="1" thickBot="1">
      <c r="A839" s="390" t="str">
        <f t="shared" ref="A839:B839" si="2195">A836</f>
        <v>PET</v>
      </c>
      <c r="B839" s="391" t="str">
        <f t="shared" si="2195"/>
        <v>fiber</v>
      </c>
      <c r="C839" s="391">
        <f t="shared" si="2159"/>
        <v>4</v>
      </c>
      <c r="D839" s="391" t="str">
        <f t="shared" ref="D839:E839" si="2196">D836</f>
        <v>1-10</v>
      </c>
      <c r="E839" s="391">
        <f t="shared" si="2196"/>
        <v>10</v>
      </c>
      <c r="F839" s="391" t="str">
        <f t="shared" ref="F839:G839" si="2197">F838</f>
        <v>marine water</v>
      </c>
      <c r="G839" s="401" t="str">
        <f t="shared" si="2197"/>
        <v>DE: PET fiber 1-10 mm (emission to marine water)</v>
      </c>
      <c r="H839" s="465">
        <v>0</v>
      </c>
      <c r="I839" s="394" t="s">
        <v>1034</v>
      </c>
      <c r="J839" s="654"/>
      <c r="K839" s="398" t="s">
        <v>596</v>
      </c>
      <c r="L839" s="538"/>
      <c r="M839" s="509">
        <f t="shared" si="2194"/>
        <v>0</v>
      </c>
      <c r="N839" s="647"/>
      <c r="O839" s="627"/>
      <c r="P839" s="629"/>
      <c r="Q839" s="629"/>
    </row>
    <row r="840" spans="1:17" ht="15.75" hidden="1" thickBot="1">
      <c r="A840" s="390" t="str">
        <f t="shared" ref="A840:B840" si="2198">A837</f>
        <v>PET</v>
      </c>
      <c r="B840" s="391" t="str">
        <f t="shared" si="2198"/>
        <v>fiber</v>
      </c>
      <c r="C840" s="391">
        <f t="shared" si="2159"/>
        <v>4</v>
      </c>
      <c r="D840" s="391" t="str">
        <f t="shared" ref="D840:E840" si="2199">D837</f>
        <v>1-10</v>
      </c>
      <c r="E840" s="391">
        <f t="shared" si="2199"/>
        <v>10</v>
      </c>
      <c r="F840" s="400" t="s">
        <v>1057</v>
      </c>
      <c r="G840" s="422" t="str">
        <f>CONCATENATE("DE: ",A840," ",B840," ",D840," mm (emission to ",F840,")")</f>
        <v>DE: PET fiber 1-10 mm (emission to air)</v>
      </c>
      <c r="H840" s="467">
        <v>0.94799999999999995</v>
      </c>
      <c r="I840" s="388" t="s">
        <v>1153</v>
      </c>
      <c r="J840" s="634">
        <v>0.22800000000000001</v>
      </c>
      <c r="K840" s="389">
        <v>1.04</v>
      </c>
      <c r="L840" s="536"/>
      <c r="M840" s="509">
        <f t="shared" si="2194"/>
        <v>1000</v>
      </c>
      <c r="N840" s="645">
        <f t="shared" ref="N840" si="2200">IFERROR(H840*M840+H841*M841+H842*M842+H843*M843+H844*M844,"N.A.")</f>
        <v>1000</v>
      </c>
      <c r="O840" s="625"/>
      <c r="P840" s="628">
        <f t="shared" si="2049"/>
        <v>100</v>
      </c>
      <c r="Q840" s="628">
        <f t="shared" si="2145"/>
        <v>500</v>
      </c>
    </row>
    <row r="841" spans="1:17" ht="15.75" hidden="1" thickBot="1">
      <c r="A841" s="390" t="str">
        <f t="shared" ref="A841:B841" si="2201">A838</f>
        <v>PET</v>
      </c>
      <c r="B841" s="391" t="str">
        <f t="shared" si="2201"/>
        <v>fiber</v>
      </c>
      <c r="C841" s="391">
        <f t="shared" si="2159"/>
        <v>4</v>
      </c>
      <c r="D841" s="391" t="str">
        <f t="shared" ref="D841:E841" si="2202">D838</f>
        <v>1-10</v>
      </c>
      <c r="E841" s="391">
        <f t="shared" si="2202"/>
        <v>10</v>
      </c>
      <c r="F841" s="391" t="str">
        <f t="shared" ref="F841:G841" si="2203">F840</f>
        <v>air</v>
      </c>
      <c r="G841" s="401" t="str">
        <f t="shared" si="2203"/>
        <v>DE: PET fiber 1-10 mm (emission to air)</v>
      </c>
      <c r="H841" s="465">
        <v>0</v>
      </c>
      <c r="I841" s="394" t="s">
        <v>1097</v>
      </c>
      <c r="J841" s="635"/>
      <c r="K841" s="389">
        <v>0.6944444444444452</v>
      </c>
      <c r="L841" s="537"/>
      <c r="M841" s="509">
        <f t="shared" si="2194"/>
        <v>1000</v>
      </c>
      <c r="N841" s="646"/>
      <c r="O841" s="626"/>
      <c r="P841" s="629"/>
      <c r="Q841" s="629"/>
    </row>
    <row r="842" spans="1:17" ht="15.75" hidden="1" thickBot="1">
      <c r="A842" s="390" t="str">
        <f t="shared" ref="A842:B842" si="2204">A839</f>
        <v>PET</v>
      </c>
      <c r="B842" s="391" t="str">
        <f t="shared" si="2204"/>
        <v>fiber</v>
      </c>
      <c r="C842" s="391">
        <f t="shared" si="2159"/>
        <v>4</v>
      </c>
      <c r="D842" s="391" t="str">
        <f t="shared" ref="D842:E842" si="2205">D839</f>
        <v>1-10</v>
      </c>
      <c r="E842" s="391">
        <f t="shared" si="2205"/>
        <v>10</v>
      </c>
      <c r="F842" s="391" t="str">
        <f t="shared" ref="F842:G842" si="2206">F841</f>
        <v>air</v>
      </c>
      <c r="G842" s="401" t="str">
        <f t="shared" si="2206"/>
        <v>DE: PET fiber 1-10 mm (emission to air)</v>
      </c>
      <c r="H842" s="465">
        <v>4.7E-2</v>
      </c>
      <c r="I842" s="394" t="s">
        <v>1162</v>
      </c>
      <c r="J842" s="635"/>
      <c r="K842" s="389">
        <v>0.6944444444444452</v>
      </c>
      <c r="L842" s="537"/>
      <c r="M842" s="509">
        <f t="shared" si="2194"/>
        <v>1000</v>
      </c>
      <c r="N842" s="646"/>
      <c r="O842" s="626"/>
      <c r="P842" s="629"/>
      <c r="Q842" s="629"/>
    </row>
    <row r="843" spans="1:17" ht="15.75" hidden="1" thickBot="1">
      <c r="A843" s="390" t="str">
        <f t="shared" ref="A843:B843" si="2207">A840</f>
        <v>PET</v>
      </c>
      <c r="B843" s="391" t="str">
        <f t="shared" si="2207"/>
        <v>fiber</v>
      </c>
      <c r="C843" s="391">
        <f t="shared" si="2159"/>
        <v>4</v>
      </c>
      <c r="D843" s="391" t="str">
        <f t="shared" ref="D843:E843" si="2208">D840</f>
        <v>1-10</v>
      </c>
      <c r="E843" s="391">
        <f t="shared" si="2208"/>
        <v>10</v>
      </c>
      <c r="F843" s="391" t="str">
        <f t="shared" ref="F843:G843" si="2209">F842</f>
        <v>air</v>
      </c>
      <c r="G843" s="401" t="str">
        <f t="shared" si="2209"/>
        <v>DE: PET fiber 1-10 mm (emission to air)</v>
      </c>
      <c r="H843" s="465">
        <v>5.0000000000000001E-3</v>
      </c>
      <c r="I843" s="394" t="s">
        <v>1163</v>
      </c>
      <c r="J843" s="635"/>
      <c r="K843" s="389">
        <v>0.6944444444444452</v>
      </c>
      <c r="L843" s="537"/>
      <c r="M843" s="509">
        <f t="shared" si="2194"/>
        <v>1000</v>
      </c>
      <c r="N843" s="646"/>
      <c r="O843" s="626"/>
      <c r="P843" s="629"/>
      <c r="Q843" s="629"/>
    </row>
    <row r="844" spans="1:17" ht="15.75" hidden="1" thickBot="1">
      <c r="A844" s="404" t="str">
        <f t="shared" ref="A844:B844" si="2210">A839</f>
        <v>PET</v>
      </c>
      <c r="B844" s="402" t="str">
        <f t="shared" si="2210"/>
        <v>fiber</v>
      </c>
      <c r="C844" s="391">
        <f t="shared" si="2159"/>
        <v>4</v>
      </c>
      <c r="D844" s="402" t="str">
        <f t="shared" ref="D844:E844" si="2211">D839</f>
        <v>1-10</v>
      </c>
      <c r="E844" s="402">
        <f t="shared" si="2211"/>
        <v>10</v>
      </c>
      <c r="F844" s="391" t="str">
        <f t="shared" ref="F844:G844" si="2212">F843</f>
        <v>air</v>
      </c>
      <c r="G844" s="401" t="str">
        <f t="shared" si="2212"/>
        <v>DE: PET fiber 1-10 mm (emission to air)</v>
      </c>
      <c r="H844" s="465">
        <v>0</v>
      </c>
      <c r="I844" s="394" t="s">
        <v>1034</v>
      </c>
      <c r="J844" s="636"/>
      <c r="K844" s="398" t="s">
        <v>596</v>
      </c>
      <c r="L844" s="538"/>
      <c r="M844" s="509">
        <f t="shared" si="2194"/>
        <v>0</v>
      </c>
      <c r="N844" s="647"/>
      <c r="O844" s="627"/>
      <c r="P844" s="629"/>
      <c r="Q844" s="629"/>
    </row>
    <row r="845" spans="1:17" ht="16.5" hidden="1" thickTop="1" thickBot="1">
      <c r="A845" s="405" t="s">
        <v>78</v>
      </c>
      <c r="B845" s="406" t="s">
        <v>1152</v>
      </c>
      <c r="C845" s="407">
        <v>6</v>
      </c>
      <c r="D845" s="423" t="s">
        <v>1018</v>
      </c>
      <c r="E845" s="408">
        <v>0.1</v>
      </c>
      <c r="F845" s="424" t="s">
        <v>1019</v>
      </c>
      <c r="G845" s="425" t="str">
        <f>CONCATENATE("DE: ",A845," ",B845," ",D845," mm (emission to ",F845,")")</f>
        <v>DE: PET particle 0,01-0,1 mm (emission to soil)</v>
      </c>
      <c r="H845" s="464">
        <v>0.97</v>
      </c>
      <c r="I845" s="427" t="s">
        <v>1153</v>
      </c>
      <c r="J845" s="632">
        <v>0.22800000000000001</v>
      </c>
      <c r="K845" s="428">
        <v>1.04</v>
      </c>
      <c r="L845" s="539"/>
      <c r="M845" s="509">
        <f t="shared" si="2194"/>
        <v>12.019230769230768</v>
      </c>
      <c r="N845" s="645">
        <f t="shared" ref="N845" si="2213">IFERROR(H845*M845+H846*M846+H847*M847+H848*M848+H849*M849,"N.A.")</f>
        <v>12.198653846153844</v>
      </c>
      <c r="O845" s="625"/>
      <c r="P845" s="628">
        <f t="shared" si="2049"/>
        <v>12.198653846153844</v>
      </c>
      <c r="Q845" s="628">
        <f t="shared" si="2145"/>
        <v>12.198653846153844</v>
      </c>
    </row>
    <row r="846" spans="1:17" ht="15.75" hidden="1" thickBot="1">
      <c r="A846" s="390" t="str">
        <f>A845</f>
        <v>PET</v>
      </c>
      <c r="B846" s="391" t="str">
        <f>B845</f>
        <v>particle</v>
      </c>
      <c r="C846" s="391">
        <f t="shared" ref="C846:C864" si="2214">C845</f>
        <v>6</v>
      </c>
      <c r="D846" s="391" t="str">
        <f t="shared" ref="D846:D848" si="2215">D845</f>
        <v>0,01-0,1</v>
      </c>
      <c r="E846" s="391">
        <f t="shared" ref="E846:E848" si="2216">E845</f>
        <v>0.1</v>
      </c>
      <c r="F846" s="391" t="str">
        <f t="shared" ref="F846:F848" si="2217">F845</f>
        <v>soil</v>
      </c>
      <c r="G846" s="392" t="str">
        <f t="shared" ref="G846:G848" si="2218">G845</f>
        <v>DE: PET particle 0,01-0,1 mm (emission to soil)</v>
      </c>
      <c r="H846" s="465">
        <v>0</v>
      </c>
      <c r="I846" s="394" t="s">
        <v>1097</v>
      </c>
      <c r="J846" s="632"/>
      <c r="K846" s="395">
        <v>0.6944444444444452</v>
      </c>
      <c r="L846" s="537"/>
      <c r="M846" s="509">
        <f t="shared" si="2194"/>
        <v>17.999999999999982</v>
      </c>
      <c r="N846" s="646"/>
      <c r="O846" s="626"/>
      <c r="P846" s="629"/>
      <c r="Q846" s="629"/>
    </row>
    <row r="847" spans="1:17" ht="15.75" hidden="1" thickBot="1">
      <c r="A847" s="390" t="str">
        <f t="shared" ref="A847:A848" si="2219">A846</f>
        <v>PET</v>
      </c>
      <c r="B847" s="391" t="str">
        <f t="shared" ref="B847:B848" si="2220">B846</f>
        <v>particle</v>
      </c>
      <c r="C847" s="391">
        <f t="shared" si="2214"/>
        <v>6</v>
      </c>
      <c r="D847" s="391" t="str">
        <f t="shared" si="2215"/>
        <v>0,01-0,1</v>
      </c>
      <c r="E847" s="391">
        <f t="shared" si="2216"/>
        <v>0.1</v>
      </c>
      <c r="F847" s="391" t="str">
        <f t="shared" si="2217"/>
        <v>soil</v>
      </c>
      <c r="G847" s="392" t="str">
        <f t="shared" si="2218"/>
        <v>DE: PET particle 0,01-0,1 mm (emission to soil)</v>
      </c>
      <c r="H847" s="465">
        <v>2.7E-2</v>
      </c>
      <c r="I847" s="394" t="s">
        <v>1162</v>
      </c>
      <c r="J847" s="632"/>
      <c r="K847" s="395">
        <v>0.6944444444444452</v>
      </c>
      <c r="L847" s="537"/>
      <c r="M847" s="509">
        <f t="shared" si="2194"/>
        <v>17.999999999999982</v>
      </c>
      <c r="N847" s="646"/>
      <c r="O847" s="626"/>
      <c r="P847" s="629"/>
      <c r="Q847" s="629"/>
    </row>
    <row r="848" spans="1:17" ht="15.75" hidden="1" thickBot="1">
      <c r="A848" s="390" t="str">
        <f t="shared" si="2219"/>
        <v>PET</v>
      </c>
      <c r="B848" s="391" t="str">
        <f t="shared" si="2220"/>
        <v>particle</v>
      </c>
      <c r="C848" s="391">
        <f t="shared" si="2214"/>
        <v>6</v>
      </c>
      <c r="D848" s="391" t="str">
        <f t="shared" si="2215"/>
        <v>0,01-0,1</v>
      </c>
      <c r="E848" s="391">
        <f t="shared" si="2216"/>
        <v>0.1</v>
      </c>
      <c r="F848" s="391" t="str">
        <f t="shared" si="2217"/>
        <v>soil</v>
      </c>
      <c r="G848" s="392" t="str">
        <f t="shared" si="2218"/>
        <v>DE: PET particle 0,01-0,1 mm (emission to soil)</v>
      </c>
      <c r="H848" s="465">
        <v>3.0000000000000001E-3</v>
      </c>
      <c r="I848" s="394" t="s">
        <v>1163</v>
      </c>
      <c r="J848" s="632"/>
      <c r="K848" s="395">
        <v>0.6944444444444452</v>
      </c>
      <c r="L848" s="537"/>
      <c r="M848" s="509">
        <f t="shared" si="2194"/>
        <v>17.999999999999982</v>
      </c>
      <c r="N848" s="646"/>
      <c r="O848" s="626"/>
      <c r="P848" s="629"/>
      <c r="Q848" s="629"/>
    </row>
    <row r="849" spans="1:17" ht="15.75" hidden="1" thickBot="1">
      <c r="A849" s="390" t="str">
        <f>A846</f>
        <v>PET</v>
      </c>
      <c r="B849" s="391" t="str">
        <f>B846</f>
        <v>particle</v>
      </c>
      <c r="C849" s="391">
        <f t="shared" si="2214"/>
        <v>6</v>
      </c>
      <c r="D849" s="391" t="str">
        <f>D846</f>
        <v>0,01-0,1</v>
      </c>
      <c r="E849" s="391">
        <f>E846</f>
        <v>0.1</v>
      </c>
      <c r="F849" s="391" t="str">
        <f>F846</f>
        <v>soil</v>
      </c>
      <c r="G849" s="396" t="str">
        <f t="shared" ref="G849" si="2221">G848</f>
        <v>DE: PET particle 0,01-0,1 mm (emission to soil)</v>
      </c>
      <c r="H849" s="465">
        <v>0</v>
      </c>
      <c r="I849" s="397" t="s">
        <v>1034</v>
      </c>
      <c r="J849" s="633"/>
      <c r="K849" s="398" t="s">
        <v>596</v>
      </c>
      <c r="L849" s="538"/>
      <c r="M849" s="509">
        <f t="shared" si="2194"/>
        <v>0</v>
      </c>
      <c r="N849" s="647"/>
      <c r="O849" s="627"/>
      <c r="P849" s="629"/>
      <c r="Q849" s="629"/>
    </row>
    <row r="850" spans="1:17" ht="15.75" hidden="1" thickBot="1">
      <c r="A850" s="390" t="str">
        <f t="shared" ref="A850:B850" si="2222">A847</f>
        <v>PET</v>
      </c>
      <c r="B850" s="391" t="str">
        <f t="shared" si="2222"/>
        <v>particle</v>
      </c>
      <c r="C850" s="391">
        <f t="shared" si="2214"/>
        <v>6</v>
      </c>
      <c r="D850" s="399" t="str">
        <f t="shared" ref="D850:E850" si="2223">D847</f>
        <v>0,01-0,1</v>
      </c>
      <c r="E850" s="391">
        <f t="shared" si="2223"/>
        <v>0.1</v>
      </c>
      <c r="F850" s="400" t="s">
        <v>1147</v>
      </c>
      <c r="G850" s="386" t="str">
        <f>CONCATENATE("DE: ",A850," ",B850," ",D850," mm (emission to ",F850,")")</f>
        <v>DE: PET particle 0,01-0,1 mm (emission to fresh water)</v>
      </c>
      <c r="H850" s="466">
        <v>0</v>
      </c>
      <c r="I850" s="388" t="s">
        <v>1153</v>
      </c>
      <c r="J850" s="634">
        <v>0.22800000000000001</v>
      </c>
      <c r="K850" s="389">
        <v>1.04</v>
      </c>
      <c r="L850" s="536"/>
      <c r="M850" s="509">
        <f t="shared" si="2194"/>
        <v>12.019230769230768</v>
      </c>
      <c r="N850" s="645">
        <f t="shared" ref="N850" si="2224">IFERROR(H850*M850+H851*M851+H852*M852+H853*M853+H854*M854,"N.A.")</f>
        <v>17.999999999999982</v>
      </c>
      <c r="O850" s="625"/>
      <c r="P850" s="628">
        <f t="shared" ref="P850:P910" si="2225">IFERROR(IF(H850*M850+H851*M851+H852*M852+H853*M853+H854*M854&gt;100,100,H850*M850+H851*M851+H852*M852+H853*M853+H854*M854),"N.A.")</f>
        <v>17.999999999999982</v>
      </c>
      <c r="Q850" s="628">
        <f t="shared" si="2145"/>
        <v>17.999999999999982</v>
      </c>
    </row>
    <row r="851" spans="1:17" ht="15.75" hidden="1" thickBot="1">
      <c r="A851" s="390" t="str">
        <f t="shared" ref="A851:B851" si="2226">A848</f>
        <v>PET</v>
      </c>
      <c r="B851" s="391" t="str">
        <f t="shared" si="2226"/>
        <v>particle</v>
      </c>
      <c r="C851" s="391">
        <f t="shared" si="2214"/>
        <v>6</v>
      </c>
      <c r="D851" s="391" t="str">
        <f t="shared" ref="D851:E851" si="2227">D848</f>
        <v>0,01-0,1</v>
      </c>
      <c r="E851" s="391">
        <f t="shared" si="2227"/>
        <v>0.1</v>
      </c>
      <c r="F851" s="391" t="str">
        <f t="shared" ref="F851:G851" si="2228">F850</f>
        <v>fresh water</v>
      </c>
      <c r="G851" s="401" t="str">
        <f t="shared" si="2228"/>
        <v>DE: PET particle 0,01-0,1 mm (emission to fresh water)</v>
      </c>
      <c r="H851" s="465">
        <v>0</v>
      </c>
      <c r="I851" s="394" t="s">
        <v>1097</v>
      </c>
      <c r="J851" s="635"/>
      <c r="K851" s="389">
        <v>0.6944444444444452</v>
      </c>
      <c r="L851" s="536"/>
      <c r="M851" s="509">
        <f t="shared" si="2194"/>
        <v>17.999999999999982</v>
      </c>
      <c r="N851" s="646"/>
      <c r="O851" s="626"/>
      <c r="P851" s="629"/>
      <c r="Q851" s="629"/>
    </row>
    <row r="852" spans="1:17" ht="15.75" hidden="1" thickBot="1">
      <c r="A852" s="390" t="str">
        <f t="shared" ref="A852:B852" si="2229">A849</f>
        <v>PET</v>
      </c>
      <c r="B852" s="391" t="str">
        <f t="shared" si="2229"/>
        <v>particle</v>
      </c>
      <c r="C852" s="391">
        <f t="shared" si="2214"/>
        <v>6</v>
      </c>
      <c r="D852" s="391" t="str">
        <f t="shared" ref="D852:E852" si="2230">D849</f>
        <v>0,01-0,1</v>
      </c>
      <c r="E852" s="391">
        <f t="shared" si="2230"/>
        <v>0.1</v>
      </c>
      <c r="F852" s="391" t="str">
        <f t="shared" ref="F852:G852" si="2231">F851</f>
        <v>fresh water</v>
      </c>
      <c r="G852" s="401" t="str">
        <f t="shared" si="2231"/>
        <v>DE: PET particle 0,01-0,1 mm (emission to fresh water)</v>
      </c>
      <c r="H852" s="465">
        <v>0.89</v>
      </c>
      <c r="I852" s="394" t="s">
        <v>1162</v>
      </c>
      <c r="J852" s="635"/>
      <c r="K852" s="389">
        <v>0.6944444444444452</v>
      </c>
      <c r="L852" s="536"/>
      <c r="M852" s="509">
        <f t="shared" si="2194"/>
        <v>17.999999999999982</v>
      </c>
      <c r="N852" s="646"/>
      <c r="O852" s="626"/>
      <c r="P852" s="629"/>
      <c r="Q852" s="629"/>
    </row>
    <row r="853" spans="1:17" ht="15.75" hidden="1" thickBot="1">
      <c r="A853" s="390" t="str">
        <f t="shared" ref="A853:B853" si="2232">A850</f>
        <v>PET</v>
      </c>
      <c r="B853" s="391" t="str">
        <f t="shared" si="2232"/>
        <v>particle</v>
      </c>
      <c r="C853" s="391">
        <f t="shared" si="2214"/>
        <v>6</v>
      </c>
      <c r="D853" s="391" t="str">
        <f t="shared" ref="D853:E853" si="2233">D850</f>
        <v>0,01-0,1</v>
      </c>
      <c r="E853" s="391">
        <f t="shared" si="2233"/>
        <v>0.1</v>
      </c>
      <c r="F853" s="391" t="str">
        <f t="shared" ref="F853:G853" si="2234">F852</f>
        <v>fresh water</v>
      </c>
      <c r="G853" s="401" t="str">
        <f t="shared" si="2234"/>
        <v>DE: PET particle 0,01-0,1 mm (emission to fresh water)</v>
      </c>
      <c r="H853" s="465">
        <v>0.11</v>
      </c>
      <c r="I853" s="394" t="s">
        <v>1163</v>
      </c>
      <c r="J853" s="635"/>
      <c r="K853" s="389">
        <v>0.6944444444444452</v>
      </c>
      <c r="L853" s="536"/>
      <c r="M853" s="509">
        <f t="shared" si="2194"/>
        <v>17.999999999999982</v>
      </c>
      <c r="N853" s="646"/>
      <c r="O853" s="626"/>
      <c r="P853" s="629"/>
      <c r="Q853" s="629"/>
    </row>
    <row r="854" spans="1:17" ht="15.75" hidden="1" thickBot="1">
      <c r="A854" s="390" t="str">
        <f t="shared" ref="A854:B854" si="2235">A851</f>
        <v>PET</v>
      </c>
      <c r="B854" s="391" t="str">
        <f t="shared" si="2235"/>
        <v>particle</v>
      </c>
      <c r="C854" s="391">
        <f t="shared" si="2214"/>
        <v>6</v>
      </c>
      <c r="D854" s="391" t="str">
        <f t="shared" ref="D854:E854" si="2236">D851</f>
        <v>0,01-0,1</v>
      </c>
      <c r="E854" s="391">
        <f t="shared" si="2236"/>
        <v>0.1</v>
      </c>
      <c r="F854" s="402" t="str">
        <f>F851</f>
        <v>fresh water</v>
      </c>
      <c r="G854" s="401" t="str">
        <f t="shared" ref="G854" si="2237">G853</f>
        <v>DE: PET particle 0,01-0,1 mm (emission to fresh water)</v>
      </c>
      <c r="H854" s="465">
        <v>0</v>
      </c>
      <c r="I854" s="394" t="s">
        <v>1034</v>
      </c>
      <c r="J854" s="654"/>
      <c r="K854" s="398" t="s">
        <v>596</v>
      </c>
      <c r="L854" s="538"/>
      <c r="M854" s="509">
        <f t="shared" si="2194"/>
        <v>0</v>
      </c>
      <c r="N854" s="647"/>
      <c r="O854" s="627"/>
      <c r="P854" s="629"/>
      <c r="Q854" s="629"/>
    </row>
    <row r="855" spans="1:17" ht="15.75" hidden="1" thickBot="1">
      <c r="A855" s="390" t="str">
        <f t="shared" ref="A855:B855" si="2238">A852</f>
        <v>PET</v>
      </c>
      <c r="B855" s="391" t="str">
        <f t="shared" si="2238"/>
        <v>particle</v>
      </c>
      <c r="C855" s="391">
        <f t="shared" si="2214"/>
        <v>6</v>
      </c>
      <c r="D855" s="391" t="str">
        <f t="shared" ref="D855:E855" si="2239">D852</f>
        <v>0,01-0,1</v>
      </c>
      <c r="E855" s="391">
        <f t="shared" si="2239"/>
        <v>0.1</v>
      </c>
      <c r="F855" s="385" t="s">
        <v>1097</v>
      </c>
      <c r="G855" s="422" t="str">
        <f>CONCATENATE("DE: ",A855," ",B855," ",D855," mm (emission to ",F855,")")</f>
        <v>DE: PET particle 0,01-0,1 mm (emission to marine water)</v>
      </c>
      <c r="H855" s="467">
        <v>0</v>
      </c>
      <c r="I855" s="388" t="s">
        <v>1153</v>
      </c>
      <c r="J855" s="634">
        <v>0.22800000000000001</v>
      </c>
      <c r="K855" s="389">
        <v>1.04</v>
      </c>
      <c r="L855" s="536"/>
      <c r="M855" s="509">
        <f t="shared" si="2194"/>
        <v>12.019230769230768</v>
      </c>
      <c r="N855" s="645">
        <f t="shared" ref="N855" si="2240">IFERROR(H855*M855+H856*M856+H857*M857+H858*M858+H859*M859,"N.A.")</f>
        <v>17.999999999999982</v>
      </c>
      <c r="O855" s="625"/>
      <c r="P855" s="628">
        <f t="shared" si="2225"/>
        <v>17.999999999999982</v>
      </c>
      <c r="Q855" s="628">
        <f t="shared" si="2145"/>
        <v>17.999999999999982</v>
      </c>
    </row>
    <row r="856" spans="1:17" ht="15.75" hidden="1" thickBot="1">
      <c r="A856" s="390" t="str">
        <f t="shared" ref="A856:B856" si="2241">A853</f>
        <v>PET</v>
      </c>
      <c r="B856" s="391" t="str">
        <f t="shared" si="2241"/>
        <v>particle</v>
      </c>
      <c r="C856" s="391">
        <f t="shared" si="2214"/>
        <v>6</v>
      </c>
      <c r="D856" s="391" t="str">
        <f t="shared" ref="D856:E856" si="2242">D853</f>
        <v>0,01-0,1</v>
      </c>
      <c r="E856" s="391">
        <f t="shared" si="2242"/>
        <v>0.1</v>
      </c>
      <c r="F856" s="391" t="str">
        <f t="shared" ref="F856:G856" si="2243">F855</f>
        <v>marine water</v>
      </c>
      <c r="G856" s="401" t="str">
        <f t="shared" si="2243"/>
        <v>DE: PET particle 0,01-0,1 mm (emission to marine water)</v>
      </c>
      <c r="H856" s="465">
        <v>0</v>
      </c>
      <c r="I856" s="394" t="s">
        <v>1097</v>
      </c>
      <c r="J856" s="635"/>
      <c r="K856" s="389">
        <v>0.6944444444444452</v>
      </c>
      <c r="L856" s="537"/>
      <c r="M856" s="509">
        <f t="shared" si="2194"/>
        <v>17.999999999999982</v>
      </c>
      <c r="N856" s="646"/>
      <c r="O856" s="626"/>
      <c r="P856" s="629"/>
      <c r="Q856" s="629"/>
    </row>
    <row r="857" spans="1:17" ht="15.75" hidden="1" thickBot="1">
      <c r="A857" s="390" t="str">
        <f t="shared" ref="A857:B857" si="2244">A854</f>
        <v>PET</v>
      </c>
      <c r="B857" s="391" t="str">
        <f t="shared" si="2244"/>
        <v>particle</v>
      </c>
      <c r="C857" s="391">
        <f t="shared" si="2214"/>
        <v>6</v>
      </c>
      <c r="D857" s="391" t="str">
        <f t="shared" ref="D857:E857" si="2245">D854</f>
        <v>0,01-0,1</v>
      </c>
      <c r="E857" s="391">
        <f t="shared" si="2245"/>
        <v>0.1</v>
      </c>
      <c r="F857" s="391" t="str">
        <f t="shared" ref="F857:G857" si="2246">F856</f>
        <v>marine water</v>
      </c>
      <c r="G857" s="401" t="str">
        <f t="shared" si="2246"/>
        <v>DE: PET particle 0,01-0,1 mm (emission to marine water)</v>
      </c>
      <c r="H857" s="465">
        <v>0</v>
      </c>
      <c r="I857" s="394" t="s">
        <v>1162</v>
      </c>
      <c r="J857" s="635"/>
      <c r="K857" s="389">
        <v>0.6944444444444452</v>
      </c>
      <c r="L857" s="537"/>
      <c r="M857" s="509">
        <f t="shared" si="2194"/>
        <v>17.999999999999982</v>
      </c>
      <c r="N857" s="646"/>
      <c r="O857" s="626"/>
      <c r="P857" s="629"/>
      <c r="Q857" s="629"/>
    </row>
    <row r="858" spans="1:17" ht="15.75" hidden="1" thickBot="1">
      <c r="A858" s="390" t="str">
        <f t="shared" ref="A858:B858" si="2247">A855</f>
        <v>PET</v>
      </c>
      <c r="B858" s="391" t="str">
        <f t="shared" si="2247"/>
        <v>particle</v>
      </c>
      <c r="C858" s="391">
        <f t="shared" si="2214"/>
        <v>6</v>
      </c>
      <c r="D858" s="391" t="str">
        <f t="shared" ref="D858:E858" si="2248">D855</f>
        <v>0,01-0,1</v>
      </c>
      <c r="E858" s="391">
        <f t="shared" si="2248"/>
        <v>0.1</v>
      </c>
      <c r="F858" s="391" t="str">
        <f t="shared" ref="F858:G858" si="2249">F857</f>
        <v>marine water</v>
      </c>
      <c r="G858" s="401" t="str">
        <f t="shared" si="2249"/>
        <v>DE: PET particle 0,01-0,1 mm (emission to marine water)</v>
      </c>
      <c r="H858" s="465">
        <v>1</v>
      </c>
      <c r="I858" s="394" t="s">
        <v>1163</v>
      </c>
      <c r="J858" s="635"/>
      <c r="K858" s="389">
        <v>0.6944444444444452</v>
      </c>
      <c r="L858" s="537"/>
      <c r="M858" s="509">
        <f t="shared" si="2194"/>
        <v>17.999999999999982</v>
      </c>
      <c r="N858" s="646"/>
      <c r="O858" s="626"/>
      <c r="P858" s="629"/>
      <c r="Q858" s="629"/>
    </row>
    <row r="859" spans="1:17" ht="15.75" hidden="1" thickBot="1">
      <c r="A859" s="390" t="str">
        <f t="shared" ref="A859:B859" si="2250">A856</f>
        <v>PET</v>
      </c>
      <c r="B859" s="391" t="str">
        <f t="shared" si="2250"/>
        <v>particle</v>
      </c>
      <c r="C859" s="391">
        <f t="shared" si="2214"/>
        <v>6</v>
      </c>
      <c r="D859" s="391" t="str">
        <f t="shared" ref="D859:E859" si="2251">D856</f>
        <v>0,01-0,1</v>
      </c>
      <c r="E859" s="391">
        <f t="shared" si="2251"/>
        <v>0.1</v>
      </c>
      <c r="F859" s="391" t="str">
        <f t="shared" ref="F859:G859" si="2252">F858</f>
        <v>marine water</v>
      </c>
      <c r="G859" s="401" t="str">
        <f t="shared" si="2252"/>
        <v>DE: PET particle 0,01-0,1 mm (emission to marine water)</v>
      </c>
      <c r="H859" s="465">
        <v>0</v>
      </c>
      <c r="I859" s="394" t="s">
        <v>1034</v>
      </c>
      <c r="J859" s="654"/>
      <c r="K859" s="398" t="s">
        <v>596</v>
      </c>
      <c r="L859" s="538"/>
      <c r="M859" s="509">
        <f t="shared" si="2194"/>
        <v>0</v>
      </c>
      <c r="N859" s="647"/>
      <c r="O859" s="627"/>
      <c r="P859" s="629"/>
      <c r="Q859" s="629"/>
    </row>
    <row r="860" spans="1:17" ht="15.75" hidden="1" thickBot="1">
      <c r="A860" s="390" t="str">
        <f t="shared" ref="A860:B860" si="2253">A857</f>
        <v>PET</v>
      </c>
      <c r="B860" s="391" t="str">
        <f t="shared" si="2253"/>
        <v>particle</v>
      </c>
      <c r="C860" s="391">
        <f t="shared" si="2214"/>
        <v>6</v>
      </c>
      <c r="D860" s="391" t="str">
        <f t="shared" ref="D860:E860" si="2254">D857</f>
        <v>0,01-0,1</v>
      </c>
      <c r="E860" s="391">
        <f t="shared" si="2254"/>
        <v>0.1</v>
      </c>
      <c r="F860" s="400" t="s">
        <v>1057</v>
      </c>
      <c r="G860" s="422" t="str">
        <f>CONCATENATE("DE: ",A860," ",B860," ",D860," mm (emission to ",F860,")")</f>
        <v>DE: PET particle 0,01-0,1 mm (emission to air)</v>
      </c>
      <c r="H860" s="467">
        <v>0.94799999999999995</v>
      </c>
      <c r="I860" s="388" t="s">
        <v>1153</v>
      </c>
      <c r="J860" s="634">
        <v>0.22800000000000001</v>
      </c>
      <c r="K860" s="389">
        <v>1.04</v>
      </c>
      <c r="L860" s="536"/>
      <c r="M860" s="509">
        <f t="shared" si="2194"/>
        <v>12.019230769230768</v>
      </c>
      <c r="N860" s="645">
        <f t="shared" ref="N860" si="2255">IFERROR(H860*M860+H861*M861+H862*M862+H863*M863+H864*M864,"N.A.")</f>
        <v>12.330230769230766</v>
      </c>
      <c r="O860" s="625"/>
      <c r="P860" s="628">
        <f t="shared" si="2225"/>
        <v>12.330230769230766</v>
      </c>
      <c r="Q860" s="628">
        <f t="shared" si="2145"/>
        <v>12.330230769230766</v>
      </c>
    </row>
    <row r="861" spans="1:17" ht="15.75" hidden="1" thickBot="1">
      <c r="A861" s="390" t="str">
        <f t="shared" ref="A861:B861" si="2256">A858</f>
        <v>PET</v>
      </c>
      <c r="B861" s="391" t="str">
        <f t="shared" si="2256"/>
        <v>particle</v>
      </c>
      <c r="C861" s="391">
        <f t="shared" si="2214"/>
        <v>6</v>
      </c>
      <c r="D861" s="391" t="str">
        <f t="shared" ref="D861:E861" si="2257">D858</f>
        <v>0,01-0,1</v>
      </c>
      <c r="E861" s="391">
        <f t="shared" si="2257"/>
        <v>0.1</v>
      </c>
      <c r="F861" s="391" t="str">
        <f t="shared" ref="F861:G861" si="2258">F860</f>
        <v>air</v>
      </c>
      <c r="G861" s="401" t="str">
        <f t="shared" si="2258"/>
        <v>DE: PET particle 0,01-0,1 mm (emission to air)</v>
      </c>
      <c r="H861" s="465">
        <v>0</v>
      </c>
      <c r="I861" s="394" t="s">
        <v>1097</v>
      </c>
      <c r="J861" s="635"/>
      <c r="K861" s="389">
        <v>0.6944444444444452</v>
      </c>
      <c r="L861" s="537"/>
      <c r="M861" s="509">
        <f t="shared" si="2194"/>
        <v>17.999999999999982</v>
      </c>
      <c r="N861" s="646"/>
      <c r="O861" s="626"/>
      <c r="P861" s="629"/>
      <c r="Q861" s="629"/>
    </row>
    <row r="862" spans="1:17" ht="15.75" hidden="1" thickBot="1">
      <c r="A862" s="390" t="str">
        <f t="shared" ref="A862:B862" si="2259">A859</f>
        <v>PET</v>
      </c>
      <c r="B862" s="391" t="str">
        <f t="shared" si="2259"/>
        <v>particle</v>
      </c>
      <c r="C862" s="391">
        <f t="shared" si="2214"/>
        <v>6</v>
      </c>
      <c r="D862" s="391" t="str">
        <f t="shared" ref="D862:E862" si="2260">D859</f>
        <v>0,01-0,1</v>
      </c>
      <c r="E862" s="391">
        <f t="shared" si="2260"/>
        <v>0.1</v>
      </c>
      <c r="F862" s="391" t="str">
        <f t="shared" ref="F862:G862" si="2261">F861</f>
        <v>air</v>
      </c>
      <c r="G862" s="401" t="str">
        <f t="shared" si="2261"/>
        <v>DE: PET particle 0,01-0,1 mm (emission to air)</v>
      </c>
      <c r="H862" s="465">
        <v>4.7E-2</v>
      </c>
      <c r="I862" s="394" t="s">
        <v>1162</v>
      </c>
      <c r="J862" s="635"/>
      <c r="K862" s="389">
        <v>0.6944444444444452</v>
      </c>
      <c r="L862" s="537"/>
      <c r="M862" s="509">
        <f t="shared" si="2194"/>
        <v>17.999999999999982</v>
      </c>
      <c r="N862" s="646"/>
      <c r="O862" s="626"/>
      <c r="P862" s="629"/>
      <c r="Q862" s="629"/>
    </row>
    <row r="863" spans="1:17" ht="15.75" hidden="1" thickBot="1">
      <c r="A863" s="390" t="str">
        <f t="shared" ref="A863:B863" si="2262">A860</f>
        <v>PET</v>
      </c>
      <c r="B863" s="391" t="str">
        <f t="shared" si="2262"/>
        <v>particle</v>
      </c>
      <c r="C863" s="391">
        <f t="shared" si="2214"/>
        <v>6</v>
      </c>
      <c r="D863" s="391" t="str">
        <f t="shared" ref="D863:E863" si="2263">D860</f>
        <v>0,01-0,1</v>
      </c>
      <c r="E863" s="391">
        <f t="shared" si="2263"/>
        <v>0.1</v>
      </c>
      <c r="F863" s="391" t="str">
        <f t="shared" ref="F863:G863" si="2264">F862</f>
        <v>air</v>
      </c>
      <c r="G863" s="401" t="str">
        <f t="shared" si="2264"/>
        <v>DE: PET particle 0,01-0,1 mm (emission to air)</v>
      </c>
      <c r="H863" s="465">
        <v>5.0000000000000001E-3</v>
      </c>
      <c r="I863" s="394" t="s">
        <v>1163</v>
      </c>
      <c r="J863" s="635"/>
      <c r="K863" s="389">
        <v>0.6944444444444452</v>
      </c>
      <c r="L863" s="537"/>
      <c r="M863" s="509">
        <f t="shared" si="2194"/>
        <v>17.999999999999982</v>
      </c>
      <c r="N863" s="646"/>
      <c r="O863" s="626"/>
      <c r="P863" s="629"/>
      <c r="Q863" s="629"/>
    </row>
    <row r="864" spans="1:17" ht="15.75" hidden="1" thickBot="1">
      <c r="A864" s="404" t="str">
        <f t="shared" ref="A864:B864" si="2265">A859</f>
        <v>PET</v>
      </c>
      <c r="B864" s="402" t="str">
        <f t="shared" si="2265"/>
        <v>particle</v>
      </c>
      <c r="C864" s="391">
        <f t="shared" si="2214"/>
        <v>6</v>
      </c>
      <c r="D864" s="402" t="str">
        <f t="shared" ref="D864:E864" si="2266">D859</f>
        <v>0,01-0,1</v>
      </c>
      <c r="E864" s="402">
        <f t="shared" si="2266"/>
        <v>0.1</v>
      </c>
      <c r="F864" s="391" t="str">
        <f t="shared" ref="F864:G864" si="2267">F863</f>
        <v>air</v>
      </c>
      <c r="G864" s="401" t="str">
        <f t="shared" si="2267"/>
        <v>DE: PET particle 0,01-0,1 mm (emission to air)</v>
      </c>
      <c r="H864" s="465">
        <v>0</v>
      </c>
      <c r="I864" s="394" t="s">
        <v>1034</v>
      </c>
      <c r="J864" s="636"/>
      <c r="K864" s="398" t="s">
        <v>596</v>
      </c>
      <c r="L864" s="538"/>
      <c r="M864" s="509">
        <f t="shared" si="2194"/>
        <v>0</v>
      </c>
      <c r="N864" s="647"/>
      <c r="O864" s="627"/>
      <c r="P864" s="629"/>
      <c r="Q864" s="629"/>
    </row>
    <row r="865" spans="1:17" ht="16.5" hidden="1" thickTop="1" thickBot="1">
      <c r="A865" s="405" t="s">
        <v>78</v>
      </c>
      <c r="B865" s="406" t="s">
        <v>1152</v>
      </c>
      <c r="C865" s="407">
        <v>6</v>
      </c>
      <c r="D865" s="423" t="s">
        <v>1028</v>
      </c>
      <c r="E865" s="408">
        <v>1</v>
      </c>
      <c r="F865" s="424" t="s">
        <v>1019</v>
      </c>
      <c r="G865" s="425" t="str">
        <f>CONCATENATE("DE: ",A865," ",B865," ",D865," mm (emission to ",F865,")")</f>
        <v>DE: PET particle 0,1-1 mm (emission to soil)</v>
      </c>
      <c r="H865" s="464">
        <v>0.97</v>
      </c>
      <c r="I865" s="427" t="s">
        <v>1153</v>
      </c>
      <c r="J865" s="632">
        <v>0.22800000000000001</v>
      </c>
      <c r="K865" s="428">
        <v>1.04</v>
      </c>
      <c r="L865" s="539"/>
      <c r="M865" s="509">
        <f t="shared" si="2194"/>
        <v>120.19230769230769</v>
      </c>
      <c r="N865" s="645">
        <f t="shared" ref="N865" si="2268">IFERROR(H865*M865+H866*M866+H867*M867+H868*M868+H869*M869,"N.A.")</f>
        <v>121.98653846153846</v>
      </c>
      <c r="O865" s="625"/>
      <c r="P865" s="628">
        <f t="shared" si="2225"/>
        <v>100</v>
      </c>
      <c r="Q865" s="628">
        <f t="shared" si="2145"/>
        <v>121.98653846153846</v>
      </c>
    </row>
    <row r="866" spans="1:17" ht="15.75" hidden="1" thickBot="1">
      <c r="A866" s="390" t="str">
        <f>A865</f>
        <v>PET</v>
      </c>
      <c r="B866" s="391" t="str">
        <f>B865</f>
        <v>particle</v>
      </c>
      <c r="C866" s="391">
        <f t="shared" ref="C866:C884" si="2269">C865</f>
        <v>6</v>
      </c>
      <c r="D866" s="391" t="str">
        <f t="shared" ref="D866:D868" si="2270">D865</f>
        <v>0,1-1</v>
      </c>
      <c r="E866" s="391">
        <f t="shared" ref="E866:E868" si="2271">E865</f>
        <v>1</v>
      </c>
      <c r="F866" s="391" t="str">
        <f t="shared" ref="F866:F868" si="2272">F865</f>
        <v>soil</v>
      </c>
      <c r="G866" s="392" t="str">
        <f t="shared" ref="G866:G868" si="2273">G865</f>
        <v>DE: PET particle 0,1-1 mm (emission to soil)</v>
      </c>
      <c r="H866" s="465">
        <v>0</v>
      </c>
      <c r="I866" s="394" t="s">
        <v>1097</v>
      </c>
      <c r="J866" s="632"/>
      <c r="K866" s="395">
        <v>0.6944444444444452</v>
      </c>
      <c r="L866" s="537"/>
      <c r="M866" s="509">
        <f t="shared" si="2194"/>
        <v>179.9999999999998</v>
      </c>
      <c r="N866" s="646"/>
      <c r="O866" s="626"/>
      <c r="P866" s="629"/>
      <c r="Q866" s="629"/>
    </row>
    <row r="867" spans="1:17" ht="15.75" hidden="1" thickBot="1">
      <c r="A867" s="390" t="str">
        <f t="shared" ref="A867:A868" si="2274">A866</f>
        <v>PET</v>
      </c>
      <c r="B867" s="391" t="str">
        <f t="shared" ref="B867:B868" si="2275">B866</f>
        <v>particle</v>
      </c>
      <c r="C867" s="391">
        <f t="shared" si="2269"/>
        <v>6</v>
      </c>
      <c r="D867" s="391" t="str">
        <f t="shared" si="2270"/>
        <v>0,1-1</v>
      </c>
      <c r="E867" s="391">
        <f t="shared" si="2271"/>
        <v>1</v>
      </c>
      <c r="F867" s="391" t="str">
        <f t="shared" si="2272"/>
        <v>soil</v>
      </c>
      <c r="G867" s="392" t="str">
        <f t="shared" si="2273"/>
        <v>DE: PET particle 0,1-1 mm (emission to soil)</v>
      </c>
      <c r="H867" s="465">
        <v>2.7E-2</v>
      </c>
      <c r="I867" s="394" t="s">
        <v>1162</v>
      </c>
      <c r="J867" s="632"/>
      <c r="K867" s="395">
        <v>0.6944444444444452</v>
      </c>
      <c r="L867" s="537"/>
      <c r="M867" s="509">
        <f t="shared" si="2194"/>
        <v>179.9999999999998</v>
      </c>
      <c r="N867" s="646"/>
      <c r="O867" s="626"/>
      <c r="P867" s="629"/>
      <c r="Q867" s="629"/>
    </row>
    <row r="868" spans="1:17" ht="15.75" hidden="1" thickBot="1">
      <c r="A868" s="390" t="str">
        <f t="shared" si="2274"/>
        <v>PET</v>
      </c>
      <c r="B868" s="391" t="str">
        <f t="shared" si="2275"/>
        <v>particle</v>
      </c>
      <c r="C868" s="391">
        <f t="shared" si="2269"/>
        <v>6</v>
      </c>
      <c r="D868" s="391" t="str">
        <f t="shared" si="2270"/>
        <v>0,1-1</v>
      </c>
      <c r="E868" s="391">
        <f t="shared" si="2271"/>
        <v>1</v>
      </c>
      <c r="F868" s="391" t="str">
        <f t="shared" si="2272"/>
        <v>soil</v>
      </c>
      <c r="G868" s="392" t="str">
        <f t="shared" si="2273"/>
        <v>DE: PET particle 0,1-1 mm (emission to soil)</v>
      </c>
      <c r="H868" s="465">
        <v>3.0000000000000001E-3</v>
      </c>
      <c r="I868" s="394" t="s">
        <v>1163</v>
      </c>
      <c r="J868" s="632"/>
      <c r="K868" s="395">
        <v>0.6944444444444452</v>
      </c>
      <c r="L868" s="537"/>
      <c r="M868" s="509">
        <f t="shared" si="2194"/>
        <v>179.9999999999998</v>
      </c>
      <c r="N868" s="646"/>
      <c r="O868" s="626"/>
      <c r="P868" s="629"/>
      <c r="Q868" s="629"/>
    </row>
    <row r="869" spans="1:17" ht="15.75" hidden="1" thickBot="1">
      <c r="A869" s="390" t="str">
        <f>A866</f>
        <v>PET</v>
      </c>
      <c r="B869" s="391" t="str">
        <f>B866</f>
        <v>particle</v>
      </c>
      <c r="C869" s="391">
        <f t="shared" si="2269"/>
        <v>6</v>
      </c>
      <c r="D869" s="391" t="str">
        <f>D866</f>
        <v>0,1-1</v>
      </c>
      <c r="E869" s="391">
        <f>E866</f>
        <v>1</v>
      </c>
      <c r="F869" s="391" t="str">
        <f>F866</f>
        <v>soil</v>
      </c>
      <c r="G869" s="396" t="str">
        <f t="shared" ref="G869" si="2276">G868</f>
        <v>DE: PET particle 0,1-1 mm (emission to soil)</v>
      </c>
      <c r="H869" s="465">
        <v>0</v>
      </c>
      <c r="I869" s="397" t="s">
        <v>1034</v>
      </c>
      <c r="J869" s="633"/>
      <c r="K869" s="398" t="s">
        <v>596</v>
      </c>
      <c r="L869" s="538"/>
      <c r="M869" s="509">
        <f t="shared" si="2194"/>
        <v>0</v>
      </c>
      <c r="N869" s="647"/>
      <c r="O869" s="627"/>
      <c r="P869" s="629"/>
      <c r="Q869" s="629"/>
    </row>
    <row r="870" spans="1:17" ht="15.75" hidden="1" thickBot="1">
      <c r="A870" s="390" t="str">
        <f t="shared" ref="A870:B870" si="2277">A867</f>
        <v>PET</v>
      </c>
      <c r="B870" s="391" t="str">
        <f t="shared" si="2277"/>
        <v>particle</v>
      </c>
      <c r="C870" s="391">
        <f t="shared" si="2269"/>
        <v>6</v>
      </c>
      <c r="D870" s="399" t="str">
        <f t="shared" ref="D870:E870" si="2278">D867</f>
        <v>0,1-1</v>
      </c>
      <c r="E870" s="391">
        <f t="shared" si="2278"/>
        <v>1</v>
      </c>
      <c r="F870" s="400" t="s">
        <v>1147</v>
      </c>
      <c r="G870" s="386" t="str">
        <f>CONCATENATE("DE: ",A870," ",B870," ",D870," mm (emission to ",F870,")")</f>
        <v>DE: PET particle 0,1-1 mm (emission to fresh water)</v>
      </c>
      <c r="H870" s="466">
        <v>0</v>
      </c>
      <c r="I870" s="388" t="s">
        <v>1153</v>
      </c>
      <c r="J870" s="634">
        <v>0.22800000000000001</v>
      </c>
      <c r="K870" s="389">
        <v>1.04</v>
      </c>
      <c r="L870" s="536"/>
      <c r="M870" s="509">
        <f t="shared" si="2194"/>
        <v>120.19230769230769</v>
      </c>
      <c r="N870" s="645">
        <f t="shared" ref="N870" si="2279">IFERROR(H870*M870+H871*M871+H872*M872+H873*M873+H874*M874,"N.A.")</f>
        <v>179.9999999999998</v>
      </c>
      <c r="O870" s="625"/>
      <c r="P870" s="628">
        <f t="shared" si="2225"/>
        <v>100</v>
      </c>
      <c r="Q870" s="628">
        <f t="shared" si="2145"/>
        <v>179.9999999999998</v>
      </c>
    </row>
    <row r="871" spans="1:17" ht="15.75" hidden="1" thickBot="1">
      <c r="A871" s="390" t="str">
        <f t="shared" ref="A871:B871" si="2280">A868</f>
        <v>PET</v>
      </c>
      <c r="B871" s="391" t="str">
        <f t="shared" si="2280"/>
        <v>particle</v>
      </c>
      <c r="C871" s="391">
        <f t="shared" si="2269"/>
        <v>6</v>
      </c>
      <c r="D871" s="391" t="str">
        <f t="shared" ref="D871:E871" si="2281">D868</f>
        <v>0,1-1</v>
      </c>
      <c r="E871" s="391">
        <f t="shared" si="2281"/>
        <v>1</v>
      </c>
      <c r="F871" s="391" t="str">
        <f t="shared" ref="F871:G871" si="2282">F870</f>
        <v>fresh water</v>
      </c>
      <c r="G871" s="401" t="str">
        <f t="shared" si="2282"/>
        <v>DE: PET particle 0,1-1 mm (emission to fresh water)</v>
      </c>
      <c r="H871" s="465">
        <v>0</v>
      </c>
      <c r="I871" s="394" t="s">
        <v>1097</v>
      </c>
      <c r="J871" s="635"/>
      <c r="K871" s="389">
        <v>0.6944444444444452</v>
      </c>
      <c r="L871" s="536"/>
      <c r="M871" s="509">
        <f t="shared" si="2194"/>
        <v>179.9999999999998</v>
      </c>
      <c r="N871" s="646"/>
      <c r="O871" s="626"/>
      <c r="P871" s="629"/>
      <c r="Q871" s="629"/>
    </row>
    <row r="872" spans="1:17" ht="15.75" hidden="1" thickBot="1">
      <c r="A872" s="390" t="str">
        <f t="shared" ref="A872:B872" si="2283">A869</f>
        <v>PET</v>
      </c>
      <c r="B872" s="391" t="str">
        <f t="shared" si="2283"/>
        <v>particle</v>
      </c>
      <c r="C872" s="391">
        <f t="shared" si="2269"/>
        <v>6</v>
      </c>
      <c r="D872" s="391" t="str">
        <f t="shared" ref="D872:E872" si="2284">D869</f>
        <v>0,1-1</v>
      </c>
      <c r="E872" s="391">
        <f t="shared" si="2284"/>
        <v>1</v>
      </c>
      <c r="F872" s="391" t="str">
        <f t="shared" ref="F872:G872" si="2285">F871</f>
        <v>fresh water</v>
      </c>
      <c r="G872" s="401" t="str">
        <f t="shared" si="2285"/>
        <v>DE: PET particle 0,1-1 mm (emission to fresh water)</v>
      </c>
      <c r="H872" s="465">
        <v>0.89</v>
      </c>
      <c r="I872" s="394" t="s">
        <v>1162</v>
      </c>
      <c r="J872" s="635"/>
      <c r="K872" s="389">
        <v>0.6944444444444452</v>
      </c>
      <c r="L872" s="536"/>
      <c r="M872" s="509">
        <f t="shared" si="2194"/>
        <v>179.9999999999998</v>
      </c>
      <c r="N872" s="646"/>
      <c r="O872" s="626"/>
      <c r="P872" s="629"/>
      <c r="Q872" s="629"/>
    </row>
    <row r="873" spans="1:17" ht="15.75" hidden="1" thickBot="1">
      <c r="A873" s="390" t="str">
        <f t="shared" ref="A873:B873" si="2286">A870</f>
        <v>PET</v>
      </c>
      <c r="B873" s="391" t="str">
        <f t="shared" si="2286"/>
        <v>particle</v>
      </c>
      <c r="C873" s="391">
        <f t="shared" si="2269"/>
        <v>6</v>
      </c>
      <c r="D873" s="391" t="str">
        <f t="shared" ref="D873:E873" si="2287">D870</f>
        <v>0,1-1</v>
      </c>
      <c r="E873" s="391">
        <f t="shared" si="2287"/>
        <v>1</v>
      </c>
      <c r="F873" s="391" t="str">
        <f t="shared" ref="F873:G873" si="2288">F872</f>
        <v>fresh water</v>
      </c>
      <c r="G873" s="401" t="str">
        <f t="shared" si="2288"/>
        <v>DE: PET particle 0,1-1 mm (emission to fresh water)</v>
      </c>
      <c r="H873" s="465">
        <v>0.11</v>
      </c>
      <c r="I873" s="394" t="s">
        <v>1163</v>
      </c>
      <c r="J873" s="635"/>
      <c r="K873" s="389">
        <v>0.6944444444444452</v>
      </c>
      <c r="L873" s="536"/>
      <c r="M873" s="509">
        <f t="shared" si="2194"/>
        <v>179.9999999999998</v>
      </c>
      <c r="N873" s="646"/>
      <c r="O873" s="626"/>
      <c r="P873" s="629"/>
      <c r="Q873" s="629"/>
    </row>
    <row r="874" spans="1:17" ht="15.75" hidden="1" thickBot="1">
      <c r="A874" s="390" t="str">
        <f t="shared" ref="A874:B874" si="2289">A871</f>
        <v>PET</v>
      </c>
      <c r="B874" s="391" t="str">
        <f t="shared" si="2289"/>
        <v>particle</v>
      </c>
      <c r="C874" s="391">
        <f t="shared" si="2269"/>
        <v>6</v>
      </c>
      <c r="D874" s="391" t="str">
        <f t="shared" ref="D874:E874" si="2290">D871</f>
        <v>0,1-1</v>
      </c>
      <c r="E874" s="391">
        <f t="shared" si="2290"/>
        <v>1</v>
      </c>
      <c r="F874" s="402" t="str">
        <f>F871</f>
        <v>fresh water</v>
      </c>
      <c r="G874" s="401" t="str">
        <f t="shared" ref="G874" si="2291">G873</f>
        <v>DE: PET particle 0,1-1 mm (emission to fresh water)</v>
      </c>
      <c r="H874" s="465">
        <v>0</v>
      </c>
      <c r="I874" s="394" t="s">
        <v>1034</v>
      </c>
      <c r="J874" s="654"/>
      <c r="K874" s="398" t="s">
        <v>596</v>
      </c>
      <c r="L874" s="538"/>
      <c r="M874" s="509">
        <f t="shared" si="2194"/>
        <v>0</v>
      </c>
      <c r="N874" s="647"/>
      <c r="O874" s="627"/>
      <c r="P874" s="629"/>
      <c r="Q874" s="629"/>
    </row>
    <row r="875" spans="1:17" ht="15.75" hidden="1" thickBot="1">
      <c r="A875" s="390" t="str">
        <f t="shared" ref="A875:B875" si="2292">A872</f>
        <v>PET</v>
      </c>
      <c r="B875" s="391" t="str">
        <f t="shared" si="2292"/>
        <v>particle</v>
      </c>
      <c r="C875" s="391">
        <f t="shared" si="2269"/>
        <v>6</v>
      </c>
      <c r="D875" s="391" t="str">
        <f t="shared" ref="D875:E875" si="2293">D872</f>
        <v>0,1-1</v>
      </c>
      <c r="E875" s="391">
        <f t="shared" si="2293"/>
        <v>1</v>
      </c>
      <c r="F875" s="385" t="s">
        <v>1097</v>
      </c>
      <c r="G875" s="422" t="str">
        <f>CONCATENATE("DE: ",A875," ",B875," ",D875," mm (emission to ",F875,")")</f>
        <v>DE: PET particle 0,1-1 mm (emission to marine water)</v>
      </c>
      <c r="H875" s="467">
        <v>0</v>
      </c>
      <c r="I875" s="388" t="s">
        <v>1153</v>
      </c>
      <c r="J875" s="634">
        <v>0.22800000000000001</v>
      </c>
      <c r="K875" s="389">
        <v>1.04</v>
      </c>
      <c r="L875" s="536"/>
      <c r="M875" s="509">
        <f t="shared" si="2194"/>
        <v>120.19230769230769</v>
      </c>
      <c r="N875" s="645">
        <f t="shared" ref="N875" si="2294">IFERROR(H875*M875+H876*M876+H877*M877+H878*M878+H879*M879,"N.A.")</f>
        <v>179.9999999999998</v>
      </c>
      <c r="O875" s="625"/>
      <c r="P875" s="628">
        <f t="shared" si="2225"/>
        <v>100</v>
      </c>
      <c r="Q875" s="628">
        <f t="shared" si="2145"/>
        <v>179.9999999999998</v>
      </c>
    </row>
    <row r="876" spans="1:17" ht="15.75" hidden="1" thickBot="1">
      <c r="A876" s="390" t="str">
        <f t="shared" ref="A876:B876" si="2295">A873</f>
        <v>PET</v>
      </c>
      <c r="B876" s="391" t="str">
        <f t="shared" si="2295"/>
        <v>particle</v>
      </c>
      <c r="C876" s="391">
        <f t="shared" si="2269"/>
        <v>6</v>
      </c>
      <c r="D876" s="391" t="str">
        <f t="shared" ref="D876:E876" si="2296">D873</f>
        <v>0,1-1</v>
      </c>
      <c r="E876" s="391">
        <f t="shared" si="2296"/>
        <v>1</v>
      </c>
      <c r="F876" s="391" t="str">
        <f t="shared" ref="F876:G876" si="2297">F875</f>
        <v>marine water</v>
      </c>
      <c r="G876" s="401" t="str">
        <f t="shared" si="2297"/>
        <v>DE: PET particle 0,1-1 mm (emission to marine water)</v>
      </c>
      <c r="H876" s="465">
        <v>0</v>
      </c>
      <c r="I876" s="394" t="s">
        <v>1097</v>
      </c>
      <c r="J876" s="635"/>
      <c r="K876" s="389">
        <v>0.6944444444444452</v>
      </c>
      <c r="L876" s="537"/>
      <c r="M876" s="509">
        <f t="shared" si="2194"/>
        <v>179.9999999999998</v>
      </c>
      <c r="N876" s="646"/>
      <c r="O876" s="626"/>
      <c r="P876" s="629"/>
      <c r="Q876" s="629"/>
    </row>
    <row r="877" spans="1:17" ht="15.75" hidden="1" thickBot="1">
      <c r="A877" s="390" t="str">
        <f t="shared" ref="A877:B877" si="2298">A874</f>
        <v>PET</v>
      </c>
      <c r="B877" s="391" t="str">
        <f t="shared" si="2298"/>
        <v>particle</v>
      </c>
      <c r="C877" s="391">
        <f t="shared" si="2269"/>
        <v>6</v>
      </c>
      <c r="D877" s="391" t="str">
        <f t="shared" ref="D877:E877" si="2299">D874</f>
        <v>0,1-1</v>
      </c>
      <c r="E877" s="391">
        <f t="shared" si="2299"/>
        <v>1</v>
      </c>
      <c r="F877" s="391" t="str">
        <f t="shared" ref="F877:G877" si="2300">F876</f>
        <v>marine water</v>
      </c>
      <c r="G877" s="401" t="str">
        <f t="shared" si="2300"/>
        <v>DE: PET particle 0,1-1 mm (emission to marine water)</v>
      </c>
      <c r="H877" s="465">
        <v>0</v>
      </c>
      <c r="I877" s="394" t="s">
        <v>1162</v>
      </c>
      <c r="J877" s="635"/>
      <c r="K877" s="389">
        <v>0.6944444444444452</v>
      </c>
      <c r="L877" s="537"/>
      <c r="M877" s="509">
        <f t="shared" si="2194"/>
        <v>179.9999999999998</v>
      </c>
      <c r="N877" s="646"/>
      <c r="O877" s="626"/>
      <c r="P877" s="629"/>
      <c r="Q877" s="629"/>
    </row>
    <row r="878" spans="1:17" ht="15.75" hidden="1" thickBot="1">
      <c r="A878" s="390" t="str">
        <f t="shared" ref="A878:B878" si="2301">A875</f>
        <v>PET</v>
      </c>
      <c r="B878" s="391" t="str">
        <f t="shared" si="2301"/>
        <v>particle</v>
      </c>
      <c r="C878" s="391">
        <f t="shared" si="2269"/>
        <v>6</v>
      </c>
      <c r="D878" s="391" t="str">
        <f t="shared" ref="D878:E878" si="2302">D875</f>
        <v>0,1-1</v>
      </c>
      <c r="E878" s="391">
        <f t="shared" si="2302"/>
        <v>1</v>
      </c>
      <c r="F878" s="391" t="str">
        <f t="shared" ref="F878:G878" si="2303">F877</f>
        <v>marine water</v>
      </c>
      <c r="G878" s="401" t="str">
        <f t="shared" si="2303"/>
        <v>DE: PET particle 0,1-1 mm (emission to marine water)</v>
      </c>
      <c r="H878" s="465">
        <v>1</v>
      </c>
      <c r="I878" s="394" t="s">
        <v>1163</v>
      </c>
      <c r="J878" s="635"/>
      <c r="K878" s="389">
        <v>0.6944444444444452</v>
      </c>
      <c r="L878" s="537"/>
      <c r="M878" s="509">
        <f t="shared" si="2194"/>
        <v>179.9999999999998</v>
      </c>
      <c r="N878" s="646"/>
      <c r="O878" s="626"/>
      <c r="P878" s="629"/>
      <c r="Q878" s="629"/>
    </row>
    <row r="879" spans="1:17" ht="15.75" hidden="1" thickBot="1">
      <c r="A879" s="390" t="str">
        <f t="shared" ref="A879:B879" si="2304">A876</f>
        <v>PET</v>
      </c>
      <c r="B879" s="391" t="str">
        <f t="shared" si="2304"/>
        <v>particle</v>
      </c>
      <c r="C879" s="391">
        <f t="shared" si="2269"/>
        <v>6</v>
      </c>
      <c r="D879" s="391" t="str">
        <f t="shared" ref="D879:E879" si="2305">D876</f>
        <v>0,1-1</v>
      </c>
      <c r="E879" s="391">
        <f t="shared" si="2305"/>
        <v>1</v>
      </c>
      <c r="F879" s="391" t="str">
        <f t="shared" ref="F879:G879" si="2306">F878</f>
        <v>marine water</v>
      </c>
      <c r="G879" s="401" t="str">
        <f t="shared" si="2306"/>
        <v>DE: PET particle 0,1-1 mm (emission to marine water)</v>
      </c>
      <c r="H879" s="465">
        <v>0</v>
      </c>
      <c r="I879" s="394" t="s">
        <v>1034</v>
      </c>
      <c r="J879" s="654"/>
      <c r="K879" s="398" t="s">
        <v>596</v>
      </c>
      <c r="L879" s="538"/>
      <c r="M879" s="509">
        <f t="shared" si="2194"/>
        <v>0</v>
      </c>
      <c r="N879" s="647"/>
      <c r="O879" s="627"/>
      <c r="P879" s="629"/>
      <c r="Q879" s="629"/>
    </row>
    <row r="880" spans="1:17" ht="15.75" hidden="1" thickBot="1">
      <c r="A880" s="390" t="str">
        <f t="shared" ref="A880:B880" si="2307">A877</f>
        <v>PET</v>
      </c>
      <c r="B880" s="391" t="str">
        <f t="shared" si="2307"/>
        <v>particle</v>
      </c>
      <c r="C880" s="391">
        <f t="shared" si="2269"/>
        <v>6</v>
      </c>
      <c r="D880" s="391" t="str">
        <f t="shared" ref="D880:E880" si="2308">D877</f>
        <v>0,1-1</v>
      </c>
      <c r="E880" s="391">
        <f t="shared" si="2308"/>
        <v>1</v>
      </c>
      <c r="F880" s="400" t="s">
        <v>1057</v>
      </c>
      <c r="G880" s="422" t="str">
        <f>CONCATENATE("DE: ",A880," ",B880," ",D880," mm (emission to ",F880,")")</f>
        <v>DE: PET particle 0,1-1 mm (emission to air)</v>
      </c>
      <c r="H880" s="467">
        <v>0.94799999999999995</v>
      </c>
      <c r="I880" s="388" t="s">
        <v>1153</v>
      </c>
      <c r="J880" s="634">
        <v>0.22800000000000001</v>
      </c>
      <c r="K880" s="389">
        <v>1.04</v>
      </c>
      <c r="L880" s="536"/>
      <c r="M880" s="509">
        <f t="shared" si="2194"/>
        <v>120.19230769230769</v>
      </c>
      <c r="N880" s="645">
        <f t="shared" ref="N880" si="2309">IFERROR(H880*M880+H881*M881+H882*M882+H883*M883+H884*M884,"N.A.")</f>
        <v>123.30230769230769</v>
      </c>
      <c r="O880" s="625"/>
      <c r="P880" s="628">
        <f t="shared" si="2225"/>
        <v>100</v>
      </c>
      <c r="Q880" s="628">
        <f t="shared" si="2145"/>
        <v>123.30230769230769</v>
      </c>
    </row>
    <row r="881" spans="1:17" ht="15.75" hidden="1" thickBot="1">
      <c r="A881" s="390" t="str">
        <f t="shared" ref="A881:B881" si="2310">A878</f>
        <v>PET</v>
      </c>
      <c r="B881" s="391" t="str">
        <f t="shared" si="2310"/>
        <v>particle</v>
      </c>
      <c r="C881" s="391">
        <f t="shared" si="2269"/>
        <v>6</v>
      </c>
      <c r="D881" s="391" t="str">
        <f t="shared" ref="D881:E881" si="2311">D878</f>
        <v>0,1-1</v>
      </c>
      <c r="E881" s="391">
        <f t="shared" si="2311"/>
        <v>1</v>
      </c>
      <c r="F881" s="391" t="str">
        <f t="shared" ref="F881:G881" si="2312">F880</f>
        <v>air</v>
      </c>
      <c r="G881" s="401" t="str">
        <f t="shared" si="2312"/>
        <v>DE: PET particle 0,1-1 mm (emission to air)</v>
      </c>
      <c r="H881" s="465">
        <v>0</v>
      </c>
      <c r="I881" s="394" t="s">
        <v>1097</v>
      </c>
      <c r="J881" s="635"/>
      <c r="K881" s="389">
        <v>0.6944444444444452</v>
      </c>
      <c r="L881" s="537"/>
      <c r="M881" s="509">
        <f t="shared" si="2194"/>
        <v>179.9999999999998</v>
      </c>
      <c r="N881" s="646"/>
      <c r="O881" s="626"/>
      <c r="P881" s="629"/>
      <c r="Q881" s="629"/>
    </row>
    <row r="882" spans="1:17" ht="15.75" hidden="1" thickBot="1">
      <c r="A882" s="390" t="str">
        <f t="shared" ref="A882:B882" si="2313">A879</f>
        <v>PET</v>
      </c>
      <c r="B882" s="391" t="str">
        <f t="shared" si="2313"/>
        <v>particle</v>
      </c>
      <c r="C882" s="391">
        <f t="shared" si="2269"/>
        <v>6</v>
      </c>
      <c r="D882" s="391" t="str">
        <f t="shared" ref="D882:E882" si="2314">D879</f>
        <v>0,1-1</v>
      </c>
      <c r="E882" s="391">
        <f t="shared" si="2314"/>
        <v>1</v>
      </c>
      <c r="F882" s="391" t="str">
        <f t="shared" ref="F882:G882" si="2315">F881</f>
        <v>air</v>
      </c>
      <c r="G882" s="401" t="str">
        <f t="shared" si="2315"/>
        <v>DE: PET particle 0,1-1 mm (emission to air)</v>
      </c>
      <c r="H882" s="465">
        <v>4.7E-2</v>
      </c>
      <c r="I882" s="394" t="s">
        <v>1162</v>
      </c>
      <c r="J882" s="635"/>
      <c r="K882" s="389">
        <v>0.6944444444444452</v>
      </c>
      <c r="L882" s="537"/>
      <c r="M882" s="509">
        <f t="shared" si="2194"/>
        <v>179.9999999999998</v>
      </c>
      <c r="N882" s="646"/>
      <c r="O882" s="626"/>
      <c r="P882" s="629"/>
      <c r="Q882" s="629"/>
    </row>
    <row r="883" spans="1:17" ht="15.75" hidden="1" thickBot="1">
      <c r="A883" s="390" t="str">
        <f t="shared" ref="A883:B883" si="2316">A880</f>
        <v>PET</v>
      </c>
      <c r="B883" s="391" t="str">
        <f t="shared" si="2316"/>
        <v>particle</v>
      </c>
      <c r="C883" s="391">
        <f t="shared" si="2269"/>
        <v>6</v>
      </c>
      <c r="D883" s="391" t="str">
        <f t="shared" ref="D883:E883" si="2317">D880</f>
        <v>0,1-1</v>
      </c>
      <c r="E883" s="391">
        <f t="shared" si="2317"/>
        <v>1</v>
      </c>
      <c r="F883" s="391" t="str">
        <f t="shared" ref="F883:G883" si="2318">F882</f>
        <v>air</v>
      </c>
      <c r="G883" s="401" t="str">
        <f t="shared" si="2318"/>
        <v>DE: PET particle 0,1-1 mm (emission to air)</v>
      </c>
      <c r="H883" s="465">
        <v>5.0000000000000001E-3</v>
      </c>
      <c r="I883" s="394" t="s">
        <v>1163</v>
      </c>
      <c r="J883" s="635"/>
      <c r="K883" s="389">
        <v>0.6944444444444452</v>
      </c>
      <c r="L883" s="537"/>
      <c r="M883" s="509">
        <f t="shared" si="2194"/>
        <v>179.9999999999998</v>
      </c>
      <c r="N883" s="646"/>
      <c r="O883" s="626"/>
      <c r="P883" s="629"/>
      <c r="Q883" s="629"/>
    </row>
    <row r="884" spans="1:17" ht="15.75" hidden="1" thickBot="1">
      <c r="A884" s="404" t="str">
        <f t="shared" ref="A884:B884" si="2319">A879</f>
        <v>PET</v>
      </c>
      <c r="B884" s="402" t="str">
        <f t="shared" si="2319"/>
        <v>particle</v>
      </c>
      <c r="C884" s="391">
        <f t="shared" si="2269"/>
        <v>6</v>
      </c>
      <c r="D884" s="402" t="str">
        <f t="shared" ref="D884:E884" si="2320">D879</f>
        <v>0,1-1</v>
      </c>
      <c r="E884" s="402">
        <f t="shared" si="2320"/>
        <v>1</v>
      </c>
      <c r="F884" s="391" t="str">
        <f t="shared" ref="F884:G884" si="2321">F883</f>
        <v>air</v>
      </c>
      <c r="G884" s="401" t="str">
        <f t="shared" si="2321"/>
        <v>DE: PET particle 0,1-1 mm (emission to air)</v>
      </c>
      <c r="H884" s="465">
        <v>0</v>
      </c>
      <c r="I884" s="394" t="s">
        <v>1034</v>
      </c>
      <c r="J884" s="636"/>
      <c r="K884" s="398" t="s">
        <v>596</v>
      </c>
      <c r="L884" s="538"/>
      <c r="M884" s="509">
        <f t="shared" si="2194"/>
        <v>0</v>
      </c>
      <c r="N884" s="647"/>
      <c r="O884" s="627"/>
      <c r="P884" s="629"/>
      <c r="Q884" s="629"/>
    </row>
    <row r="885" spans="1:17" ht="16.5" hidden="1" thickTop="1" thickBot="1">
      <c r="A885" s="405" t="s">
        <v>78</v>
      </c>
      <c r="B885" s="406" t="s">
        <v>1152</v>
      </c>
      <c r="C885" s="407">
        <v>6</v>
      </c>
      <c r="D885" s="423" t="s">
        <v>1026</v>
      </c>
      <c r="E885" s="408">
        <v>10</v>
      </c>
      <c r="F885" s="424" t="s">
        <v>1019</v>
      </c>
      <c r="G885" s="425" t="str">
        <f>CONCATENATE("DE: ",A885," ",B885," ",D885," mm (emission to ",F885,")")</f>
        <v>DE: PET particle 1-10 mm (emission to soil)</v>
      </c>
      <c r="H885" s="464">
        <v>0.97</v>
      </c>
      <c r="I885" s="427" t="s">
        <v>1153</v>
      </c>
      <c r="J885" s="632">
        <v>0.22800000000000001</v>
      </c>
      <c r="K885" s="428">
        <v>1.04</v>
      </c>
      <c r="L885" s="539"/>
      <c r="M885" s="509">
        <f t="shared" si="2194"/>
        <v>1000</v>
      </c>
      <c r="N885" s="645">
        <f t="shared" ref="N885" si="2322">IFERROR(H885*M885+H886*M886+H887*M887+H888*M888+H889*M889,"N.A.")</f>
        <v>1000</v>
      </c>
      <c r="O885" s="625"/>
      <c r="P885" s="628">
        <f t="shared" si="2225"/>
        <v>100</v>
      </c>
      <c r="Q885" s="628">
        <f t="shared" ref="Q885:Q945" si="2323">IFERROR(IF(H885*M885+H886*M886+H887*M887+H888*M888+H889*M889&gt;500,500,H885*M885+H886*M886+H887*M887+H888*M888+H889*M889),"N.A.")</f>
        <v>500</v>
      </c>
    </row>
    <row r="886" spans="1:17" ht="15.75" hidden="1" thickBot="1">
      <c r="A886" s="390" t="str">
        <f>A885</f>
        <v>PET</v>
      </c>
      <c r="B886" s="391" t="str">
        <f>B885</f>
        <v>particle</v>
      </c>
      <c r="C886" s="391">
        <f t="shared" ref="C886:C904" si="2324">C885</f>
        <v>6</v>
      </c>
      <c r="D886" s="391" t="str">
        <f t="shared" ref="D886:D888" si="2325">D885</f>
        <v>1-10</v>
      </c>
      <c r="E886" s="391">
        <f t="shared" ref="E886:E888" si="2326">E885</f>
        <v>10</v>
      </c>
      <c r="F886" s="391" t="str">
        <f t="shared" ref="F886:F888" si="2327">F885</f>
        <v>soil</v>
      </c>
      <c r="G886" s="392" t="str">
        <f t="shared" ref="G886:G888" si="2328">G885</f>
        <v>DE: PET particle 1-10 mm (emission to soil)</v>
      </c>
      <c r="H886" s="465">
        <v>0</v>
      </c>
      <c r="I886" s="394" t="s">
        <v>1097</v>
      </c>
      <c r="J886" s="632"/>
      <c r="K886" s="395">
        <v>0.6944444444444452</v>
      </c>
      <c r="L886" s="537"/>
      <c r="M886" s="509">
        <f t="shared" si="2194"/>
        <v>1000</v>
      </c>
      <c r="N886" s="646"/>
      <c r="O886" s="626"/>
      <c r="P886" s="629"/>
      <c r="Q886" s="629"/>
    </row>
    <row r="887" spans="1:17" ht="15.75" hidden="1" thickBot="1">
      <c r="A887" s="390" t="str">
        <f t="shared" ref="A887:A888" si="2329">A886</f>
        <v>PET</v>
      </c>
      <c r="B887" s="391" t="str">
        <f t="shared" ref="B887:B888" si="2330">B886</f>
        <v>particle</v>
      </c>
      <c r="C887" s="391">
        <f t="shared" si="2324"/>
        <v>6</v>
      </c>
      <c r="D887" s="391" t="str">
        <f t="shared" si="2325"/>
        <v>1-10</v>
      </c>
      <c r="E887" s="391">
        <f t="shared" si="2326"/>
        <v>10</v>
      </c>
      <c r="F887" s="391" t="str">
        <f t="shared" si="2327"/>
        <v>soil</v>
      </c>
      <c r="G887" s="392" t="str">
        <f t="shared" si="2328"/>
        <v>DE: PET particle 1-10 mm (emission to soil)</v>
      </c>
      <c r="H887" s="465">
        <v>2.7E-2</v>
      </c>
      <c r="I887" s="394" t="s">
        <v>1162</v>
      </c>
      <c r="J887" s="632"/>
      <c r="K887" s="395">
        <v>0.6944444444444452</v>
      </c>
      <c r="L887" s="537"/>
      <c r="M887" s="509">
        <f t="shared" si="2194"/>
        <v>1000</v>
      </c>
      <c r="N887" s="646"/>
      <c r="O887" s="626"/>
      <c r="P887" s="629"/>
      <c r="Q887" s="629"/>
    </row>
    <row r="888" spans="1:17" ht="15.75" hidden="1" thickBot="1">
      <c r="A888" s="390" t="str">
        <f t="shared" si="2329"/>
        <v>PET</v>
      </c>
      <c r="B888" s="391" t="str">
        <f t="shared" si="2330"/>
        <v>particle</v>
      </c>
      <c r="C888" s="391">
        <f t="shared" si="2324"/>
        <v>6</v>
      </c>
      <c r="D888" s="391" t="str">
        <f t="shared" si="2325"/>
        <v>1-10</v>
      </c>
      <c r="E888" s="391">
        <f t="shared" si="2326"/>
        <v>10</v>
      </c>
      <c r="F888" s="391" t="str">
        <f t="shared" si="2327"/>
        <v>soil</v>
      </c>
      <c r="G888" s="392" t="str">
        <f t="shared" si="2328"/>
        <v>DE: PET particle 1-10 mm (emission to soil)</v>
      </c>
      <c r="H888" s="465">
        <v>3.0000000000000001E-3</v>
      </c>
      <c r="I888" s="394" t="s">
        <v>1163</v>
      </c>
      <c r="J888" s="632"/>
      <c r="K888" s="395">
        <v>0.6944444444444452</v>
      </c>
      <c r="L888" s="537"/>
      <c r="M888" s="509">
        <f t="shared" si="2194"/>
        <v>1000</v>
      </c>
      <c r="N888" s="646"/>
      <c r="O888" s="626"/>
      <c r="P888" s="629"/>
      <c r="Q888" s="629"/>
    </row>
    <row r="889" spans="1:17" ht="15.75" hidden="1" thickBot="1">
      <c r="A889" s="390" t="str">
        <f>A886</f>
        <v>PET</v>
      </c>
      <c r="B889" s="391" t="str">
        <f>B886</f>
        <v>particle</v>
      </c>
      <c r="C889" s="391">
        <f t="shared" si="2324"/>
        <v>6</v>
      </c>
      <c r="D889" s="391" t="str">
        <f>D886</f>
        <v>1-10</v>
      </c>
      <c r="E889" s="391">
        <f>E886</f>
        <v>10</v>
      </c>
      <c r="F889" s="391" t="str">
        <f>F886</f>
        <v>soil</v>
      </c>
      <c r="G889" s="396" t="str">
        <f t="shared" ref="G889" si="2331">G888</f>
        <v>DE: PET particle 1-10 mm (emission to soil)</v>
      </c>
      <c r="H889" s="465">
        <v>0</v>
      </c>
      <c r="I889" s="397" t="s">
        <v>1034</v>
      </c>
      <c r="J889" s="633"/>
      <c r="K889" s="398" t="s">
        <v>596</v>
      </c>
      <c r="L889" s="538"/>
      <c r="M889" s="509">
        <f t="shared" si="2194"/>
        <v>0</v>
      </c>
      <c r="N889" s="647"/>
      <c r="O889" s="627"/>
      <c r="P889" s="629"/>
      <c r="Q889" s="629"/>
    </row>
    <row r="890" spans="1:17" ht="15.75" hidden="1" thickBot="1">
      <c r="A890" s="390" t="str">
        <f t="shared" ref="A890:B890" si="2332">A887</f>
        <v>PET</v>
      </c>
      <c r="B890" s="391" t="str">
        <f t="shared" si="2332"/>
        <v>particle</v>
      </c>
      <c r="C890" s="391">
        <f t="shared" si="2324"/>
        <v>6</v>
      </c>
      <c r="D890" s="399" t="str">
        <f t="shared" ref="D890:E890" si="2333">D887</f>
        <v>1-10</v>
      </c>
      <c r="E890" s="391">
        <f t="shared" si="2333"/>
        <v>10</v>
      </c>
      <c r="F890" s="400" t="s">
        <v>1147</v>
      </c>
      <c r="G890" s="386" t="str">
        <f>CONCATENATE("DE: ",A890," ",B890," ",D890," mm (emission to ",F890,")")</f>
        <v>DE: PET particle 1-10 mm (emission to fresh water)</v>
      </c>
      <c r="H890" s="466">
        <v>0</v>
      </c>
      <c r="I890" s="388" t="s">
        <v>1153</v>
      </c>
      <c r="J890" s="634">
        <v>0.22800000000000001</v>
      </c>
      <c r="K890" s="389">
        <v>1.04</v>
      </c>
      <c r="L890" s="536"/>
      <c r="M890" s="509">
        <f t="shared" si="2194"/>
        <v>1000</v>
      </c>
      <c r="N890" s="645">
        <f t="shared" ref="N890" si="2334">IFERROR(H890*M890+H891*M891+H892*M892+H893*M893+H894*M894,"N.A.")</f>
        <v>1000</v>
      </c>
      <c r="O890" s="625"/>
      <c r="P890" s="628">
        <f t="shared" si="2225"/>
        <v>100</v>
      </c>
      <c r="Q890" s="628">
        <f t="shared" si="2323"/>
        <v>500</v>
      </c>
    </row>
    <row r="891" spans="1:17" ht="15.75" hidden="1" thickBot="1">
      <c r="A891" s="390" t="str">
        <f t="shared" ref="A891:B891" si="2335">A888</f>
        <v>PET</v>
      </c>
      <c r="B891" s="391" t="str">
        <f t="shared" si="2335"/>
        <v>particle</v>
      </c>
      <c r="C891" s="391">
        <f t="shared" si="2324"/>
        <v>6</v>
      </c>
      <c r="D891" s="391" t="str">
        <f t="shared" ref="D891:E891" si="2336">D888</f>
        <v>1-10</v>
      </c>
      <c r="E891" s="391">
        <f t="shared" si="2336"/>
        <v>10</v>
      </c>
      <c r="F891" s="391" t="str">
        <f t="shared" ref="F891:G891" si="2337">F890</f>
        <v>fresh water</v>
      </c>
      <c r="G891" s="401" t="str">
        <f t="shared" si="2337"/>
        <v>DE: PET particle 1-10 mm (emission to fresh water)</v>
      </c>
      <c r="H891" s="465">
        <v>0</v>
      </c>
      <c r="I891" s="394" t="s">
        <v>1097</v>
      </c>
      <c r="J891" s="635"/>
      <c r="K891" s="389">
        <v>0.6944444444444452</v>
      </c>
      <c r="L891" s="536"/>
      <c r="M891" s="509">
        <f t="shared" si="2194"/>
        <v>1000</v>
      </c>
      <c r="N891" s="646"/>
      <c r="O891" s="626"/>
      <c r="P891" s="629"/>
      <c r="Q891" s="629"/>
    </row>
    <row r="892" spans="1:17" ht="15.75" hidden="1" thickBot="1">
      <c r="A892" s="390" t="str">
        <f t="shared" ref="A892:B892" si="2338">A889</f>
        <v>PET</v>
      </c>
      <c r="B892" s="391" t="str">
        <f t="shared" si="2338"/>
        <v>particle</v>
      </c>
      <c r="C892" s="391">
        <f t="shared" si="2324"/>
        <v>6</v>
      </c>
      <c r="D892" s="391" t="str">
        <f t="shared" ref="D892:E892" si="2339">D889</f>
        <v>1-10</v>
      </c>
      <c r="E892" s="391">
        <f t="shared" si="2339"/>
        <v>10</v>
      </c>
      <c r="F892" s="391" t="str">
        <f t="shared" ref="F892:G892" si="2340">F891</f>
        <v>fresh water</v>
      </c>
      <c r="G892" s="401" t="str">
        <f t="shared" si="2340"/>
        <v>DE: PET particle 1-10 mm (emission to fresh water)</v>
      </c>
      <c r="H892" s="465">
        <v>0.89</v>
      </c>
      <c r="I892" s="394" t="s">
        <v>1162</v>
      </c>
      <c r="J892" s="635"/>
      <c r="K892" s="389">
        <v>0.6944444444444452</v>
      </c>
      <c r="L892" s="536"/>
      <c r="M892" s="509">
        <f t="shared" si="2194"/>
        <v>1000</v>
      </c>
      <c r="N892" s="646"/>
      <c r="O892" s="626"/>
      <c r="P892" s="629"/>
      <c r="Q892" s="629"/>
    </row>
    <row r="893" spans="1:17" ht="15.75" hidden="1" thickBot="1">
      <c r="A893" s="390" t="str">
        <f t="shared" ref="A893:B893" si="2341">A890</f>
        <v>PET</v>
      </c>
      <c r="B893" s="391" t="str">
        <f t="shared" si="2341"/>
        <v>particle</v>
      </c>
      <c r="C893" s="391">
        <f t="shared" si="2324"/>
        <v>6</v>
      </c>
      <c r="D893" s="391" t="str">
        <f t="shared" ref="D893:E893" si="2342">D890</f>
        <v>1-10</v>
      </c>
      <c r="E893" s="391">
        <f t="shared" si="2342"/>
        <v>10</v>
      </c>
      <c r="F893" s="391" t="str">
        <f t="shared" ref="F893:G893" si="2343">F892</f>
        <v>fresh water</v>
      </c>
      <c r="G893" s="401" t="str">
        <f t="shared" si="2343"/>
        <v>DE: PET particle 1-10 mm (emission to fresh water)</v>
      </c>
      <c r="H893" s="465">
        <v>0.11</v>
      </c>
      <c r="I893" s="394" t="s">
        <v>1163</v>
      </c>
      <c r="J893" s="635"/>
      <c r="K893" s="389">
        <v>0.6944444444444452</v>
      </c>
      <c r="L893" s="536"/>
      <c r="M893" s="509">
        <f t="shared" si="2194"/>
        <v>1000</v>
      </c>
      <c r="N893" s="646"/>
      <c r="O893" s="626"/>
      <c r="P893" s="629"/>
      <c r="Q893" s="629"/>
    </row>
    <row r="894" spans="1:17" ht="15.75" hidden="1" thickBot="1">
      <c r="A894" s="390" t="str">
        <f t="shared" ref="A894:B894" si="2344">A891</f>
        <v>PET</v>
      </c>
      <c r="B894" s="391" t="str">
        <f t="shared" si="2344"/>
        <v>particle</v>
      </c>
      <c r="C894" s="391">
        <f t="shared" si="2324"/>
        <v>6</v>
      </c>
      <c r="D894" s="391" t="str">
        <f t="shared" ref="D894:E894" si="2345">D891</f>
        <v>1-10</v>
      </c>
      <c r="E894" s="391">
        <f t="shared" si="2345"/>
        <v>10</v>
      </c>
      <c r="F894" s="402" t="str">
        <f>F891</f>
        <v>fresh water</v>
      </c>
      <c r="G894" s="401" t="str">
        <f t="shared" ref="G894" si="2346">G893</f>
        <v>DE: PET particle 1-10 mm (emission to fresh water)</v>
      </c>
      <c r="H894" s="465">
        <v>0</v>
      </c>
      <c r="I894" s="394" t="s">
        <v>1034</v>
      </c>
      <c r="J894" s="654"/>
      <c r="K894" s="398" t="s">
        <v>596</v>
      </c>
      <c r="L894" s="538"/>
      <c r="M894" s="509">
        <f t="shared" si="2194"/>
        <v>0</v>
      </c>
      <c r="N894" s="647"/>
      <c r="O894" s="627"/>
      <c r="P894" s="629"/>
      <c r="Q894" s="629"/>
    </row>
    <row r="895" spans="1:17" ht="15.75" hidden="1" thickBot="1">
      <c r="A895" s="390" t="str">
        <f t="shared" ref="A895:B895" si="2347">A892</f>
        <v>PET</v>
      </c>
      <c r="B895" s="391" t="str">
        <f t="shared" si="2347"/>
        <v>particle</v>
      </c>
      <c r="C895" s="391">
        <f t="shared" si="2324"/>
        <v>6</v>
      </c>
      <c r="D895" s="391" t="str">
        <f t="shared" ref="D895:E895" si="2348">D892</f>
        <v>1-10</v>
      </c>
      <c r="E895" s="391">
        <f t="shared" si="2348"/>
        <v>10</v>
      </c>
      <c r="F895" s="385" t="s">
        <v>1097</v>
      </c>
      <c r="G895" s="422" t="str">
        <f>CONCATENATE("DE: ",A895," ",B895," ",D895," mm (emission to ",F895,")")</f>
        <v>DE: PET particle 1-10 mm (emission to marine water)</v>
      </c>
      <c r="H895" s="467">
        <v>0</v>
      </c>
      <c r="I895" s="388" t="s">
        <v>1153</v>
      </c>
      <c r="J895" s="634">
        <v>0.22800000000000001</v>
      </c>
      <c r="K895" s="389">
        <v>1.04</v>
      </c>
      <c r="L895" s="536"/>
      <c r="M895" s="509">
        <f t="shared" si="2194"/>
        <v>1000</v>
      </c>
      <c r="N895" s="645">
        <f t="shared" ref="N895" si="2349">IFERROR(H895*M895+H896*M896+H897*M897+H898*M898+H899*M899,"N.A.")</f>
        <v>1000</v>
      </c>
      <c r="O895" s="625"/>
      <c r="P895" s="628">
        <f t="shared" si="2225"/>
        <v>100</v>
      </c>
      <c r="Q895" s="628">
        <f t="shared" si="2323"/>
        <v>500</v>
      </c>
    </row>
    <row r="896" spans="1:17" ht="15.75" hidden="1" thickBot="1">
      <c r="A896" s="390" t="str">
        <f t="shared" ref="A896:B896" si="2350">A893</f>
        <v>PET</v>
      </c>
      <c r="B896" s="391" t="str">
        <f t="shared" si="2350"/>
        <v>particle</v>
      </c>
      <c r="C896" s="391">
        <f t="shared" si="2324"/>
        <v>6</v>
      </c>
      <c r="D896" s="391" t="str">
        <f t="shared" ref="D896:E896" si="2351">D893</f>
        <v>1-10</v>
      </c>
      <c r="E896" s="391">
        <f t="shared" si="2351"/>
        <v>10</v>
      </c>
      <c r="F896" s="391" t="str">
        <f t="shared" ref="F896:G896" si="2352">F895</f>
        <v>marine water</v>
      </c>
      <c r="G896" s="401" t="str">
        <f t="shared" si="2352"/>
        <v>DE: PET particle 1-10 mm (emission to marine water)</v>
      </c>
      <c r="H896" s="465">
        <v>0</v>
      </c>
      <c r="I896" s="394" t="s">
        <v>1097</v>
      </c>
      <c r="J896" s="635"/>
      <c r="K896" s="389">
        <v>0.6944444444444452</v>
      </c>
      <c r="L896" s="537"/>
      <c r="M896" s="509">
        <f t="shared" si="2194"/>
        <v>1000</v>
      </c>
      <c r="N896" s="646"/>
      <c r="O896" s="626"/>
      <c r="P896" s="629"/>
      <c r="Q896" s="629"/>
    </row>
    <row r="897" spans="1:17" ht="15.75" hidden="1" thickBot="1">
      <c r="A897" s="390" t="str">
        <f t="shared" ref="A897:B897" si="2353">A894</f>
        <v>PET</v>
      </c>
      <c r="B897" s="391" t="str">
        <f t="shared" si="2353"/>
        <v>particle</v>
      </c>
      <c r="C897" s="391">
        <f t="shared" si="2324"/>
        <v>6</v>
      </c>
      <c r="D897" s="391" t="str">
        <f t="shared" ref="D897:E897" si="2354">D894</f>
        <v>1-10</v>
      </c>
      <c r="E897" s="391">
        <f t="shared" si="2354"/>
        <v>10</v>
      </c>
      <c r="F897" s="391" t="str">
        <f t="shared" ref="F897:G897" si="2355">F896</f>
        <v>marine water</v>
      </c>
      <c r="G897" s="401" t="str">
        <f t="shared" si="2355"/>
        <v>DE: PET particle 1-10 mm (emission to marine water)</v>
      </c>
      <c r="H897" s="465">
        <v>0</v>
      </c>
      <c r="I897" s="394" t="s">
        <v>1162</v>
      </c>
      <c r="J897" s="635"/>
      <c r="K897" s="389">
        <v>0.6944444444444452</v>
      </c>
      <c r="L897" s="537"/>
      <c r="M897" s="509">
        <f t="shared" si="2194"/>
        <v>1000</v>
      </c>
      <c r="N897" s="646"/>
      <c r="O897" s="626"/>
      <c r="P897" s="629"/>
      <c r="Q897" s="629"/>
    </row>
    <row r="898" spans="1:17" ht="15.75" hidden="1" thickBot="1">
      <c r="A898" s="390" t="str">
        <f t="shared" ref="A898:B898" si="2356">A895</f>
        <v>PET</v>
      </c>
      <c r="B898" s="391" t="str">
        <f t="shared" si="2356"/>
        <v>particle</v>
      </c>
      <c r="C898" s="391">
        <f t="shared" si="2324"/>
        <v>6</v>
      </c>
      <c r="D898" s="391" t="str">
        <f t="shared" ref="D898:E898" si="2357">D895</f>
        <v>1-10</v>
      </c>
      <c r="E898" s="391">
        <f t="shared" si="2357"/>
        <v>10</v>
      </c>
      <c r="F898" s="391" t="str">
        <f t="shared" ref="F898:G898" si="2358">F897</f>
        <v>marine water</v>
      </c>
      <c r="G898" s="401" t="str">
        <f t="shared" si="2358"/>
        <v>DE: PET particle 1-10 mm (emission to marine water)</v>
      </c>
      <c r="H898" s="465">
        <v>1</v>
      </c>
      <c r="I898" s="394" t="s">
        <v>1163</v>
      </c>
      <c r="J898" s="635"/>
      <c r="K898" s="389">
        <v>0.6944444444444452</v>
      </c>
      <c r="L898" s="537"/>
      <c r="M898" s="509">
        <f t="shared" si="2194"/>
        <v>1000</v>
      </c>
      <c r="N898" s="646"/>
      <c r="O898" s="626"/>
      <c r="P898" s="629"/>
      <c r="Q898" s="629"/>
    </row>
    <row r="899" spans="1:17" ht="15.75" hidden="1" thickBot="1">
      <c r="A899" s="390" t="str">
        <f t="shared" ref="A899:B899" si="2359">A896</f>
        <v>PET</v>
      </c>
      <c r="B899" s="391" t="str">
        <f t="shared" si="2359"/>
        <v>particle</v>
      </c>
      <c r="C899" s="391">
        <f t="shared" si="2324"/>
        <v>6</v>
      </c>
      <c r="D899" s="391" t="str">
        <f t="shared" ref="D899:E899" si="2360">D896</f>
        <v>1-10</v>
      </c>
      <c r="E899" s="391">
        <f t="shared" si="2360"/>
        <v>10</v>
      </c>
      <c r="F899" s="391" t="str">
        <f t="shared" ref="F899:G899" si="2361">F898</f>
        <v>marine water</v>
      </c>
      <c r="G899" s="401" t="str">
        <f t="shared" si="2361"/>
        <v>DE: PET particle 1-10 mm (emission to marine water)</v>
      </c>
      <c r="H899" s="465">
        <v>0</v>
      </c>
      <c r="I899" s="394" t="s">
        <v>1034</v>
      </c>
      <c r="J899" s="654"/>
      <c r="K899" s="398" t="s">
        <v>596</v>
      </c>
      <c r="L899" s="538"/>
      <c r="M899" s="509">
        <f t="shared" si="2194"/>
        <v>0</v>
      </c>
      <c r="N899" s="647"/>
      <c r="O899" s="627"/>
      <c r="P899" s="629"/>
      <c r="Q899" s="629"/>
    </row>
    <row r="900" spans="1:17" ht="15.75" hidden="1" thickBot="1">
      <c r="A900" s="390" t="str">
        <f t="shared" ref="A900:B900" si="2362">A897</f>
        <v>PET</v>
      </c>
      <c r="B900" s="391" t="str">
        <f t="shared" si="2362"/>
        <v>particle</v>
      </c>
      <c r="C900" s="391">
        <f t="shared" si="2324"/>
        <v>6</v>
      </c>
      <c r="D900" s="391" t="str">
        <f t="shared" ref="D900:E900" si="2363">D897</f>
        <v>1-10</v>
      </c>
      <c r="E900" s="391">
        <f t="shared" si="2363"/>
        <v>10</v>
      </c>
      <c r="F900" s="400" t="s">
        <v>1057</v>
      </c>
      <c r="G900" s="422" t="str">
        <f>CONCATENATE("DE: ",A900," ",B900," ",D900," mm (emission to ",F900,")")</f>
        <v>DE: PET particle 1-10 mm (emission to air)</v>
      </c>
      <c r="H900" s="467">
        <v>0.94799999999999995</v>
      </c>
      <c r="I900" s="388" t="s">
        <v>1153</v>
      </c>
      <c r="J900" s="634">
        <v>0.22800000000000001</v>
      </c>
      <c r="K900" s="389">
        <v>1.04</v>
      </c>
      <c r="L900" s="536"/>
      <c r="M900" s="509">
        <f t="shared" si="2194"/>
        <v>1000</v>
      </c>
      <c r="N900" s="645">
        <f t="shared" ref="N900" si="2364">IFERROR(H900*M900+H901*M901+H902*M902+H903*M903+H904*M904,"N.A.")</f>
        <v>1000</v>
      </c>
      <c r="O900" s="625"/>
      <c r="P900" s="628">
        <f t="shared" si="2225"/>
        <v>100</v>
      </c>
      <c r="Q900" s="628">
        <f t="shared" si="2323"/>
        <v>500</v>
      </c>
    </row>
    <row r="901" spans="1:17" ht="15.75" hidden="1" thickBot="1">
      <c r="A901" s="390" t="str">
        <f t="shared" ref="A901:B901" si="2365">A898</f>
        <v>PET</v>
      </c>
      <c r="B901" s="391" t="str">
        <f t="shared" si="2365"/>
        <v>particle</v>
      </c>
      <c r="C901" s="391">
        <f t="shared" si="2324"/>
        <v>6</v>
      </c>
      <c r="D901" s="391" t="str">
        <f t="shared" ref="D901:E901" si="2366">D898</f>
        <v>1-10</v>
      </c>
      <c r="E901" s="391">
        <f t="shared" si="2366"/>
        <v>10</v>
      </c>
      <c r="F901" s="391" t="str">
        <f t="shared" ref="F901:G901" si="2367">F900</f>
        <v>air</v>
      </c>
      <c r="G901" s="401" t="str">
        <f t="shared" si="2367"/>
        <v>DE: PET particle 1-10 mm (emission to air)</v>
      </c>
      <c r="H901" s="465">
        <v>0</v>
      </c>
      <c r="I901" s="394" t="s">
        <v>1097</v>
      </c>
      <c r="J901" s="635"/>
      <c r="K901" s="389">
        <v>0.6944444444444452</v>
      </c>
      <c r="L901" s="537"/>
      <c r="M901" s="509">
        <f t="shared" si="2194"/>
        <v>1000</v>
      </c>
      <c r="N901" s="646"/>
      <c r="O901" s="626"/>
      <c r="P901" s="629"/>
      <c r="Q901" s="629"/>
    </row>
    <row r="902" spans="1:17" ht="15.75" hidden="1" thickBot="1">
      <c r="A902" s="390" t="str">
        <f t="shared" ref="A902:B902" si="2368">A899</f>
        <v>PET</v>
      </c>
      <c r="B902" s="391" t="str">
        <f t="shared" si="2368"/>
        <v>particle</v>
      </c>
      <c r="C902" s="391">
        <f t="shared" si="2324"/>
        <v>6</v>
      </c>
      <c r="D902" s="391" t="str">
        <f t="shared" ref="D902:E902" si="2369">D899</f>
        <v>1-10</v>
      </c>
      <c r="E902" s="391">
        <f t="shared" si="2369"/>
        <v>10</v>
      </c>
      <c r="F902" s="391" t="str">
        <f t="shared" ref="F902:G902" si="2370">F901</f>
        <v>air</v>
      </c>
      <c r="G902" s="401" t="str">
        <f t="shared" si="2370"/>
        <v>DE: PET particle 1-10 mm (emission to air)</v>
      </c>
      <c r="H902" s="465">
        <v>4.7E-2</v>
      </c>
      <c r="I902" s="394" t="s">
        <v>1162</v>
      </c>
      <c r="J902" s="635"/>
      <c r="K902" s="389">
        <v>0.6944444444444452</v>
      </c>
      <c r="L902" s="537"/>
      <c r="M902" s="509">
        <f t="shared" ref="M902:M965" si="2371">IFERROR(IF(K902="--",0,IF(E902*1000/K902*(1-0.5)^(C902/2)&gt;1000,1000,E902*1000/K902*(1-0.5)^(C902/2))),1000)</f>
        <v>1000</v>
      </c>
      <c r="N902" s="646"/>
      <c r="O902" s="626"/>
      <c r="P902" s="629"/>
      <c r="Q902" s="629"/>
    </row>
    <row r="903" spans="1:17" ht="15.75" hidden="1" thickBot="1">
      <c r="A903" s="390" t="str">
        <f t="shared" ref="A903:B903" si="2372">A900</f>
        <v>PET</v>
      </c>
      <c r="B903" s="391" t="str">
        <f t="shared" si="2372"/>
        <v>particle</v>
      </c>
      <c r="C903" s="391">
        <f t="shared" si="2324"/>
        <v>6</v>
      </c>
      <c r="D903" s="391" t="str">
        <f t="shared" ref="D903:E903" si="2373">D900</f>
        <v>1-10</v>
      </c>
      <c r="E903" s="391">
        <f t="shared" si="2373"/>
        <v>10</v>
      </c>
      <c r="F903" s="391" t="str">
        <f t="shared" ref="F903:G903" si="2374">F902</f>
        <v>air</v>
      </c>
      <c r="G903" s="401" t="str">
        <f t="shared" si="2374"/>
        <v>DE: PET particle 1-10 mm (emission to air)</v>
      </c>
      <c r="H903" s="465">
        <v>5.0000000000000001E-3</v>
      </c>
      <c r="I903" s="394" t="s">
        <v>1163</v>
      </c>
      <c r="J903" s="635"/>
      <c r="K903" s="389">
        <v>0.6944444444444452</v>
      </c>
      <c r="L903" s="537"/>
      <c r="M903" s="509">
        <f t="shared" si="2371"/>
        <v>1000</v>
      </c>
      <c r="N903" s="646"/>
      <c r="O903" s="626"/>
      <c r="P903" s="629"/>
      <c r="Q903" s="629"/>
    </row>
    <row r="904" spans="1:17" ht="15.75" hidden="1" thickBot="1">
      <c r="A904" s="404" t="str">
        <f t="shared" ref="A904:B904" si="2375">A899</f>
        <v>PET</v>
      </c>
      <c r="B904" s="402" t="str">
        <f t="shared" si="2375"/>
        <v>particle</v>
      </c>
      <c r="C904" s="391">
        <f t="shared" si="2324"/>
        <v>6</v>
      </c>
      <c r="D904" s="402" t="str">
        <f t="shared" ref="D904:E904" si="2376">D899</f>
        <v>1-10</v>
      </c>
      <c r="E904" s="402">
        <f t="shared" si="2376"/>
        <v>10</v>
      </c>
      <c r="F904" s="391" t="str">
        <f t="shared" ref="F904:G904" si="2377">F903</f>
        <v>air</v>
      </c>
      <c r="G904" s="401" t="str">
        <f t="shared" si="2377"/>
        <v>DE: PET particle 1-10 mm (emission to air)</v>
      </c>
      <c r="H904" s="465">
        <v>0</v>
      </c>
      <c r="I904" s="394" t="s">
        <v>1034</v>
      </c>
      <c r="J904" s="636"/>
      <c r="K904" s="398" t="s">
        <v>596</v>
      </c>
      <c r="L904" s="538"/>
      <c r="M904" s="509">
        <f t="shared" si="2371"/>
        <v>0</v>
      </c>
      <c r="N904" s="647"/>
      <c r="O904" s="627"/>
      <c r="P904" s="629"/>
      <c r="Q904" s="629"/>
    </row>
    <row r="905" spans="1:17" ht="16.5" hidden="1" thickTop="1" thickBot="1">
      <c r="A905" s="442" t="s">
        <v>240</v>
      </c>
      <c r="B905" s="443" t="s">
        <v>996</v>
      </c>
      <c r="C905" s="444">
        <f>IF(OR(B905="Folie", B905="Strips", B905="Film",B905="Flakes",B905="Coupon"), 2,IF(OR(B905="Fibers",B905="Pellets"),4,IF(OR(B905="Particles",B905="Shreds",B905="Powder",B905="Fragments",B905="Granules"),6,"")))</f>
        <v>2</v>
      </c>
      <c r="D905" s="444" t="s">
        <v>1018</v>
      </c>
      <c r="E905" s="445">
        <v>0.1</v>
      </c>
      <c r="F905" s="458" t="s">
        <v>1019</v>
      </c>
      <c r="G905" s="459" t="str">
        <f>CONCATENATE("DE: ",A905," ",B905," ",D905," mm (emission to ",F905,")")</f>
        <v>DE: PS film 0,01-0,1 mm (emission to soil)</v>
      </c>
      <c r="H905" s="470">
        <v>0.97</v>
      </c>
      <c r="I905" s="461" t="s">
        <v>1019</v>
      </c>
      <c r="J905" s="632">
        <v>0.22800000000000001</v>
      </c>
      <c r="K905" s="462">
        <v>0</v>
      </c>
      <c r="L905" s="541"/>
      <c r="M905" s="509">
        <f t="shared" si="2371"/>
        <v>1000</v>
      </c>
      <c r="N905" s="645">
        <f t="shared" ref="N905" si="2378">IFERROR(H905*M905+H906*M906+H907*M907+H908*M908+H909*M909,"N.A.")</f>
        <v>1000</v>
      </c>
      <c r="O905" s="625"/>
      <c r="P905" s="628">
        <f t="shared" si="2225"/>
        <v>100</v>
      </c>
      <c r="Q905" s="628">
        <f t="shared" si="2323"/>
        <v>500</v>
      </c>
    </row>
    <row r="906" spans="1:17" ht="15.75" hidden="1" thickBot="1">
      <c r="A906" s="390" t="str">
        <f>A905</f>
        <v>PS</v>
      </c>
      <c r="B906" s="391" t="str">
        <f>B905</f>
        <v>film</v>
      </c>
      <c r="C906" s="391">
        <f t="shared" ref="C906:G921" si="2379">C905</f>
        <v>2</v>
      </c>
      <c r="D906" s="391" t="str">
        <f t="shared" si="2379"/>
        <v>0,01-0,1</v>
      </c>
      <c r="E906" s="391">
        <f t="shared" si="2379"/>
        <v>0.1</v>
      </c>
      <c r="F906" s="414" t="str">
        <f t="shared" si="2379"/>
        <v>soil</v>
      </c>
      <c r="G906" s="415" t="str">
        <f t="shared" si="2379"/>
        <v>DE: PS film 0,01-0,1 mm (emission to soil)</v>
      </c>
      <c r="H906" s="469">
        <v>0</v>
      </c>
      <c r="I906" s="417" t="s">
        <v>1097</v>
      </c>
      <c r="J906" s="632"/>
      <c r="K906" s="418">
        <v>0</v>
      </c>
      <c r="L906" s="537"/>
      <c r="M906" s="509">
        <f t="shared" si="2371"/>
        <v>1000</v>
      </c>
      <c r="N906" s="646"/>
      <c r="O906" s="626"/>
      <c r="P906" s="629"/>
      <c r="Q906" s="629"/>
    </row>
    <row r="907" spans="1:17" ht="15.75" hidden="1" thickBot="1">
      <c r="A907" s="390" t="str">
        <f t="shared" ref="A907:B908" si="2380">A906</f>
        <v>PS</v>
      </c>
      <c r="B907" s="391" t="str">
        <f t="shared" si="2380"/>
        <v>film</v>
      </c>
      <c r="C907" s="391">
        <f t="shared" si="2379"/>
        <v>2</v>
      </c>
      <c r="D907" s="391" t="str">
        <f t="shared" si="2379"/>
        <v>0,01-0,1</v>
      </c>
      <c r="E907" s="391">
        <f t="shared" si="2379"/>
        <v>0.1</v>
      </c>
      <c r="F907" s="414" t="str">
        <f t="shared" si="2379"/>
        <v>soil</v>
      </c>
      <c r="G907" s="415" t="str">
        <f t="shared" si="2379"/>
        <v>DE: PS film 0,01-0,1 mm (emission to soil)</v>
      </c>
      <c r="H907" s="469">
        <v>2.7E-2</v>
      </c>
      <c r="I907" s="417" t="s">
        <v>1143</v>
      </c>
      <c r="J907" s="632"/>
      <c r="K907" s="418">
        <v>0</v>
      </c>
      <c r="L907" s="537"/>
      <c r="M907" s="509">
        <f t="shared" si="2371"/>
        <v>1000</v>
      </c>
      <c r="N907" s="646"/>
      <c r="O907" s="626"/>
      <c r="P907" s="629"/>
      <c r="Q907" s="629"/>
    </row>
    <row r="908" spans="1:17" ht="15.75" hidden="1" thickBot="1">
      <c r="A908" s="390" t="str">
        <f t="shared" si="2380"/>
        <v>PS</v>
      </c>
      <c r="B908" s="391" t="str">
        <f t="shared" si="2380"/>
        <v>film</v>
      </c>
      <c r="C908" s="391">
        <f t="shared" si="2379"/>
        <v>2</v>
      </c>
      <c r="D908" s="391" t="str">
        <f t="shared" si="2379"/>
        <v>0,01-0,1</v>
      </c>
      <c r="E908" s="391">
        <f t="shared" si="2379"/>
        <v>0.1</v>
      </c>
      <c r="F908" s="414" t="str">
        <f t="shared" si="2379"/>
        <v>soil</v>
      </c>
      <c r="G908" s="415" t="str">
        <f t="shared" si="2379"/>
        <v>DE: PS film 0,01-0,1 mm (emission to soil)</v>
      </c>
      <c r="H908" s="469">
        <v>3.0000000000000001E-3</v>
      </c>
      <c r="I908" s="417" t="s">
        <v>1146</v>
      </c>
      <c r="J908" s="632"/>
      <c r="K908" s="418">
        <v>0</v>
      </c>
      <c r="L908" s="537"/>
      <c r="M908" s="509">
        <f t="shared" si="2371"/>
        <v>1000</v>
      </c>
      <c r="N908" s="646"/>
      <c r="O908" s="626"/>
      <c r="P908" s="629"/>
      <c r="Q908" s="629"/>
    </row>
    <row r="909" spans="1:17" ht="15.75" hidden="1" thickBot="1">
      <c r="A909" s="390" t="str">
        <f>A906</f>
        <v>PS</v>
      </c>
      <c r="B909" s="391" t="str">
        <f>B906</f>
        <v>film</v>
      </c>
      <c r="C909" s="391">
        <f t="shared" si="2379"/>
        <v>2</v>
      </c>
      <c r="D909" s="391" t="str">
        <f>D906</f>
        <v>0,01-0,1</v>
      </c>
      <c r="E909" s="391">
        <f>E906</f>
        <v>0.1</v>
      </c>
      <c r="F909" s="414" t="str">
        <f>F906</f>
        <v>soil</v>
      </c>
      <c r="G909" s="419" t="str">
        <f t="shared" si="2379"/>
        <v>DE: PS film 0,01-0,1 mm (emission to soil)</v>
      </c>
      <c r="H909" s="469">
        <v>0</v>
      </c>
      <c r="I909" s="420" t="s">
        <v>1034</v>
      </c>
      <c r="J909" s="633"/>
      <c r="K909" s="421" t="s">
        <v>596</v>
      </c>
      <c r="L909" s="538"/>
      <c r="M909" s="509">
        <f t="shared" si="2371"/>
        <v>0</v>
      </c>
      <c r="N909" s="647"/>
      <c r="O909" s="627"/>
      <c r="P909" s="629"/>
      <c r="Q909" s="629"/>
    </row>
    <row r="910" spans="1:17" ht="15.75" hidden="1" thickBot="1">
      <c r="A910" s="390" t="str">
        <f t="shared" ref="A910:B910" si="2381">A907</f>
        <v>PS</v>
      </c>
      <c r="B910" s="391" t="str">
        <f t="shared" si="2381"/>
        <v>film</v>
      </c>
      <c r="C910" s="391">
        <f t="shared" si="2379"/>
        <v>2</v>
      </c>
      <c r="D910" s="399" t="str">
        <f t="shared" ref="D910:E910" si="2382">D907</f>
        <v>0,01-0,1</v>
      </c>
      <c r="E910" s="391">
        <f t="shared" si="2382"/>
        <v>0.1</v>
      </c>
      <c r="F910" s="400" t="s">
        <v>1147</v>
      </c>
      <c r="G910" s="386" t="str">
        <f>CONCATENATE("DE: ",A910," ",B910," ",D910," mm (emission to ",F910,")")</f>
        <v>DE: PS film 0,01-0,1 mm (emission to fresh water)</v>
      </c>
      <c r="H910" s="466">
        <v>0</v>
      </c>
      <c r="I910" s="388" t="s">
        <v>1019</v>
      </c>
      <c r="J910" s="634">
        <v>0.22800000000000001</v>
      </c>
      <c r="K910" s="389">
        <v>0</v>
      </c>
      <c r="L910" s="536"/>
      <c r="M910" s="509">
        <f t="shared" si="2371"/>
        <v>1000</v>
      </c>
      <c r="N910" s="645">
        <f t="shared" ref="N910" si="2383">IFERROR(H910*M910+H911*M911+H912*M912+H913*M913+H914*M914,"N.A.")</f>
        <v>1000</v>
      </c>
      <c r="O910" s="625"/>
      <c r="P910" s="628">
        <f t="shared" si="2225"/>
        <v>100</v>
      </c>
      <c r="Q910" s="628">
        <f t="shared" si="2323"/>
        <v>500</v>
      </c>
    </row>
    <row r="911" spans="1:17" ht="15.75" hidden="1" thickBot="1">
      <c r="A911" s="390" t="str">
        <f t="shared" ref="A911:B911" si="2384">A908</f>
        <v>PS</v>
      </c>
      <c r="B911" s="391" t="str">
        <f t="shared" si="2384"/>
        <v>film</v>
      </c>
      <c r="C911" s="391">
        <f t="shared" si="2379"/>
        <v>2</v>
      </c>
      <c r="D911" s="391" t="str">
        <f t="shared" ref="D911:E911" si="2385">D908</f>
        <v>0,01-0,1</v>
      </c>
      <c r="E911" s="391">
        <f t="shared" si="2385"/>
        <v>0.1</v>
      </c>
      <c r="F911" s="391" t="str">
        <f t="shared" ref="F911:G911" si="2386">F910</f>
        <v>fresh water</v>
      </c>
      <c r="G911" s="401" t="str">
        <f t="shared" si="2386"/>
        <v>DE: PS film 0,01-0,1 mm (emission to fresh water)</v>
      </c>
      <c r="H911" s="465">
        <v>0</v>
      </c>
      <c r="I911" s="394" t="s">
        <v>1097</v>
      </c>
      <c r="J911" s="635"/>
      <c r="K911" s="389">
        <v>0</v>
      </c>
      <c r="L911" s="536"/>
      <c r="M911" s="509">
        <f t="shared" si="2371"/>
        <v>1000</v>
      </c>
      <c r="N911" s="646"/>
      <c r="O911" s="626"/>
      <c r="P911" s="629"/>
      <c r="Q911" s="629"/>
    </row>
    <row r="912" spans="1:17" ht="15.75" hidden="1" thickBot="1">
      <c r="A912" s="390" t="str">
        <f t="shared" ref="A912:B912" si="2387">A909</f>
        <v>PS</v>
      </c>
      <c r="B912" s="391" t="str">
        <f t="shared" si="2387"/>
        <v>film</v>
      </c>
      <c r="C912" s="391">
        <f t="shared" si="2379"/>
        <v>2</v>
      </c>
      <c r="D912" s="391" t="str">
        <f t="shared" ref="D912:E912" si="2388">D909</f>
        <v>0,01-0,1</v>
      </c>
      <c r="E912" s="391">
        <f t="shared" si="2388"/>
        <v>0.1</v>
      </c>
      <c r="F912" s="391" t="str">
        <f t="shared" ref="F912:G912" si="2389">F911</f>
        <v>fresh water</v>
      </c>
      <c r="G912" s="401" t="str">
        <f t="shared" si="2389"/>
        <v>DE: PS film 0,01-0,1 mm (emission to fresh water)</v>
      </c>
      <c r="H912" s="465">
        <v>0.89</v>
      </c>
      <c r="I912" s="394" t="s">
        <v>1143</v>
      </c>
      <c r="J912" s="635"/>
      <c r="K912" s="389">
        <v>0</v>
      </c>
      <c r="L912" s="536"/>
      <c r="M912" s="509">
        <f t="shared" si="2371"/>
        <v>1000</v>
      </c>
      <c r="N912" s="646"/>
      <c r="O912" s="626"/>
      <c r="P912" s="629"/>
      <c r="Q912" s="629"/>
    </row>
    <row r="913" spans="1:17" ht="15.75" hidden="1" thickBot="1">
      <c r="A913" s="390" t="str">
        <f t="shared" ref="A913:B913" si="2390">A910</f>
        <v>PS</v>
      </c>
      <c r="B913" s="391" t="str">
        <f t="shared" si="2390"/>
        <v>film</v>
      </c>
      <c r="C913" s="391">
        <f t="shared" si="2379"/>
        <v>2</v>
      </c>
      <c r="D913" s="391" t="str">
        <f t="shared" ref="D913:E913" si="2391">D910</f>
        <v>0,01-0,1</v>
      </c>
      <c r="E913" s="391">
        <f t="shared" si="2391"/>
        <v>0.1</v>
      </c>
      <c r="F913" s="391" t="str">
        <f t="shared" ref="F913:G914" si="2392">F912</f>
        <v>fresh water</v>
      </c>
      <c r="G913" s="401" t="str">
        <f t="shared" si="2392"/>
        <v>DE: PS film 0,01-0,1 mm (emission to fresh water)</v>
      </c>
      <c r="H913" s="465">
        <v>0.11</v>
      </c>
      <c r="I913" s="394" t="s">
        <v>1146</v>
      </c>
      <c r="J913" s="635"/>
      <c r="K913" s="389">
        <v>0</v>
      </c>
      <c r="L913" s="536"/>
      <c r="M913" s="509">
        <f t="shared" si="2371"/>
        <v>1000</v>
      </c>
      <c r="N913" s="646"/>
      <c r="O913" s="626"/>
      <c r="P913" s="629"/>
      <c r="Q913" s="629"/>
    </row>
    <row r="914" spans="1:17" ht="15.75" hidden="1" thickBot="1">
      <c r="A914" s="390" t="str">
        <f t="shared" ref="A914:B914" si="2393">A911</f>
        <v>PS</v>
      </c>
      <c r="B914" s="391" t="str">
        <f t="shared" si="2393"/>
        <v>film</v>
      </c>
      <c r="C914" s="391">
        <f t="shared" si="2379"/>
        <v>2</v>
      </c>
      <c r="D914" s="391" t="str">
        <f t="shared" ref="D914:E914" si="2394">D911</f>
        <v>0,01-0,1</v>
      </c>
      <c r="E914" s="391">
        <f t="shared" si="2394"/>
        <v>0.1</v>
      </c>
      <c r="F914" s="402" t="str">
        <f>F911</f>
        <v>fresh water</v>
      </c>
      <c r="G914" s="401" t="str">
        <f t="shared" si="2392"/>
        <v>DE: PS film 0,01-0,1 mm (emission to fresh water)</v>
      </c>
      <c r="H914" s="465">
        <v>0</v>
      </c>
      <c r="I914" s="397" t="s">
        <v>1034</v>
      </c>
      <c r="J914" s="654"/>
      <c r="K914" s="398" t="s">
        <v>596</v>
      </c>
      <c r="L914" s="538"/>
      <c r="M914" s="509">
        <f t="shared" si="2371"/>
        <v>0</v>
      </c>
      <c r="N914" s="647"/>
      <c r="O914" s="627"/>
      <c r="P914" s="629"/>
      <c r="Q914" s="629"/>
    </row>
    <row r="915" spans="1:17" ht="15.75" hidden="1" thickBot="1">
      <c r="A915" s="390" t="str">
        <f t="shared" ref="A915:B915" si="2395">A912</f>
        <v>PS</v>
      </c>
      <c r="B915" s="391" t="str">
        <f t="shared" si="2395"/>
        <v>film</v>
      </c>
      <c r="C915" s="391">
        <f t="shared" si="2379"/>
        <v>2</v>
      </c>
      <c r="D915" s="391" t="str">
        <f t="shared" ref="D915:E915" si="2396">D912</f>
        <v>0,01-0,1</v>
      </c>
      <c r="E915" s="391">
        <f t="shared" si="2396"/>
        <v>0.1</v>
      </c>
      <c r="F915" s="385" t="s">
        <v>1097</v>
      </c>
      <c r="G915" s="422" t="str">
        <f>CONCATENATE("DE: ",A915," ",B915," ",D915," mm (emission to ",F915,")")</f>
        <v>DE: PS film 0,01-0,1 mm (emission to marine water)</v>
      </c>
      <c r="H915" s="467">
        <v>0</v>
      </c>
      <c r="I915" s="388" t="s">
        <v>1019</v>
      </c>
      <c r="J915" s="634">
        <v>0.22800000000000001</v>
      </c>
      <c r="K915" s="395">
        <v>0</v>
      </c>
      <c r="L915" s="536"/>
      <c r="M915" s="509">
        <f t="shared" si="2371"/>
        <v>1000</v>
      </c>
      <c r="N915" s="645">
        <f t="shared" ref="N915" si="2397">IFERROR(H915*M915+H916*M916+H917*M917+H918*M918+H919*M919,"N.A.")</f>
        <v>1000</v>
      </c>
      <c r="O915" s="625"/>
      <c r="P915" s="628">
        <f t="shared" ref="P915:P975" si="2398">IFERROR(IF(H915*M915+H916*M916+H917*M917+H918*M918+H919*M919&gt;100,100,H915*M915+H916*M916+H917*M917+H918*M918+H919*M919),"N.A.")</f>
        <v>100</v>
      </c>
      <c r="Q915" s="628">
        <f t="shared" si="2323"/>
        <v>500</v>
      </c>
    </row>
    <row r="916" spans="1:17" ht="15.75" hidden="1" thickBot="1">
      <c r="A916" s="390" t="str">
        <f t="shared" ref="A916:B916" si="2399">A913</f>
        <v>PS</v>
      </c>
      <c r="B916" s="391" t="str">
        <f t="shared" si="2399"/>
        <v>film</v>
      </c>
      <c r="C916" s="391">
        <f t="shared" si="2379"/>
        <v>2</v>
      </c>
      <c r="D916" s="391" t="str">
        <f t="shared" ref="D916:E916" si="2400">D913</f>
        <v>0,01-0,1</v>
      </c>
      <c r="E916" s="391">
        <f t="shared" si="2400"/>
        <v>0.1</v>
      </c>
      <c r="F916" s="391" t="str">
        <f t="shared" ref="F916:G916" si="2401">F915</f>
        <v>marine water</v>
      </c>
      <c r="G916" s="401" t="str">
        <f t="shared" si="2401"/>
        <v>DE: PS film 0,01-0,1 mm (emission to marine water)</v>
      </c>
      <c r="H916" s="465">
        <v>0</v>
      </c>
      <c r="I916" s="394" t="s">
        <v>1097</v>
      </c>
      <c r="J916" s="635"/>
      <c r="K916" s="395">
        <v>0</v>
      </c>
      <c r="L916" s="537"/>
      <c r="M916" s="509">
        <f t="shared" si="2371"/>
        <v>1000</v>
      </c>
      <c r="N916" s="646"/>
      <c r="O916" s="626"/>
      <c r="P916" s="629"/>
      <c r="Q916" s="629"/>
    </row>
    <row r="917" spans="1:17" ht="15.75" hidden="1" thickBot="1">
      <c r="A917" s="390" t="str">
        <f t="shared" ref="A917:B917" si="2402">A914</f>
        <v>PS</v>
      </c>
      <c r="B917" s="391" t="str">
        <f t="shared" si="2402"/>
        <v>film</v>
      </c>
      <c r="C917" s="391">
        <f t="shared" si="2379"/>
        <v>2</v>
      </c>
      <c r="D917" s="391" t="str">
        <f t="shared" ref="D917:E917" si="2403">D914</f>
        <v>0,01-0,1</v>
      </c>
      <c r="E917" s="391">
        <f t="shared" si="2403"/>
        <v>0.1</v>
      </c>
      <c r="F917" s="391" t="str">
        <f t="shared" ref="F917:G917" si="2404">F916</f>
        <v>marine water</v>
      </c>
      <c r="G917" s="401" t="str">
        <f t="shared" si="2404"/>
        <v>DE: PS film 0,01-0,1 mm (emission to marine water)</v>
      </c>
      <c r="H917" s="465">
        <v>0</v>
      </c>
      <c r="I917" s="394" t="s">
        <v>1143</v>
      </c>
      <c r="J917" s="635"/>
      <c r="K917" s="395">
        <v>0</v>
      </c>
      <c r="L917" s="537"/>
      <c r="M917" s="509">
        <f t="shared" si="2371"/>
        <v>1000</v>
      </c>
      <c r="N917" s="646"/>
      <c r="O917" s="626"/>
      <c r="P917" s="629"/>
      <c r="Q917" s="629"/>
    </row>
    <row r="918" spans="1:17" ht="15.75" hidden="1" thickBot="1">
      <c r="A918" s="390" t="str">
        <f t="shared" ref="A918:B918" si="2405">A915</f>
        <v>PS</v>
      </c>
      <c r="B918" s="391" t="str">
        <f t="shared" si="2405"/>
        <v>film</v>
      </c>
      <c r="C918" s="391">
        <f t="shared" si="2379"/>
        <v>2</v>
      </c>
      <c r="D918" s="391" t="str">
        <f t="shared" ref="D918:E918" si="2406">D915</f>
        <v>0,01-0,1</v>
      </c>
      <c r="E918" s="391">
        <f t="shared" si="2406"/>
        <v>0.1</v>
      </c>
      <c r="F918" s="391" t="str">
        <f t="shared" ref="F918:G918" si="2407">F917</f>
        <v>marine water</v>
      </c>
      <c r="G918" s="401" t="str">
        <f t="shared" si="2407"/>
        <v>DE: PS film 0,01-0,1 mm (emission to marine water)</v>
      </c>
      <c r="H918" s="465">
        <v>1</v>
      </c>
      <c r="I918" s="394" t="s">
        <v>1146</v>
      </c>
      <c r="J918" s="635"/>
      <c r="K918" s="395">
        <v>0</v>
      </c>
      <c r="L918" s="537"/>
      <c r="M918" s="509">
        <f t="shared" si="2371"/>
        <v>1000</v>
      </c>
      <c r="N918" s="646"/>
      <c r="O918" s="626"/>
      <c r="P918" s="629"/>
      <c r="Q918" s="629"/>
    </row>
    <row r="919" spans="1:17" ht="15.75" hidden="1" thickBot="1">
      <c r="A919" s="390" t="str">
        <f t="shared" ref="A919:B919" si="2408">A916</f>
        <v>PS</v>
      </c>
      <c r="B919" s="391" t="str">
        <f t="shared" si="2408"/>
        <v>film</v>
      </c>
      <c r="C919" s="391">
        <f t="shared" si="2379"/>
        <v>2</v>
      </c>
      <c r="D919" s="391" t="str">
        <f t="shared" ref="D919:E919" si="2409">D916</f>
        <v>0,01-0,1</v>
      </c>
      <c r="E919" s="391">
        <f t="shared" si="2409"/>
        <v>0.1</v>
      </c>
      <c r="F919" s="391" t="str">
        <f t="shared" ref="F919:G919" si="2410">F918</f>
        <v>marine water</v>
      </c>
      <c r="G919" s="401" t="str">
        <f t="shared" si="2410"/>
        <v>DE: PS film 0,01-0,1 mm (emission to marine water)</v>
      </c>
      <c r="H919" s="465">
        <v>0</v>
      </c>
      <c r="I919" s="397" t="s">
        <v>1034</v>
      </c>
      <c r="J919" s="654"/>
      <c r="K919" s="398" t="s">
        <v>596</v>
      </c>
      <c r="L919" s="538"/>
      <c r="M919" s="509">
        <f t="shared" si="2371"/>
        <v>0</v>
      </c>
      <c r="N919" s="647"/>
      <c r="O919" s="627"/>
      <c r="P919" s="629"/>
      <c r="Q919" s="629"/>
    </row>
    <row r="920" spans="1:17" ht="15.75" hidden="1" thickBot="1">
      <c r="A920" s="390" t="str">
        <f t="shared" ref="A920:B920" si="2411">A917</f>
        <v>PS</v>
      </c>
      <c r="B920" s="391" t="str">
        <f t="shared" si="2411"/>
        <v>film</v>
      </c>
      <c r="C920" s="391">
        <f t="shared" si="2379"/>
        <v>2</v>
      </c>
      <c r="D920" s="391" t="str">
        <f t="shared" ref="D920:E920" si="2412">D917</f>
        <v>0,01-0,1</v>
      </c>
      <c r="E920" s="391">
        <f t="shared" si="2412"/>
        <v>0.1</v>
      </c>
      <c r="F920" s="400" t="s">
        <v>1057</v>
      </c>
      <c r="G920" s="422" t="str">
        <f>CONCATENATE("DE: ",A920," ",B920," ",D920," mm (emission to ",F920,")")</f>
        <v>DE: PS film 0,01-0,1 mm (emission to air)</v>
      </c>
      <c r="H920" s="467">
        <v>0.94799999999999995</v>
      </c>
      <c r="I920" s="388" t="s">
        <v>1019</v>
      </c>
      <c r="J920" s="634">
        <v>0.22800000000000001</v>
      </c>
      <c r="K920" s="395">
        <v>0</v>
      </c>
      <c r="L920" s="536"/>
      <c r="M920" s="509">
        <f t="shared" si="2371"/>
        <v>1000</v>
      </c>
      <c r="N920" s="645">
        <f t="shared" ref="N920" si="2413">IFERROR(H920*M920+H921*M921+H922*M922+H923*M923+H924*M924,"N.A.")</f>
        <v>1000</v>
      </c>
      <c r="O920" s="625"/>
      <c r="P920" s="628">
        <f t="shared" si="2398"/>
        <v>100</v>
      </c>
      <c r="Q920" s="628">
        <f t="shared" si="2323"/>
        <v>500</v>
      </c>
    </row>
    <row r="921" spans="1:17" ht="15.75" hidden="1" thickBot="1">
      <c r="A921" s="390" t="str">
        <f t="shared" ref="A921:B921" si="2414">A918</f>
        <v>PS</v>
      </c>
      <c r="B921" s="391" t="str">
        <f t="shared" si="2414"/>
        <v>film</v>
      </c>
      <c r="C921" s="391">
        <f t="shared" si="2379"/>
        <v>2</v>
      </c>
      <c r="D921" s="391" t="str">
        <f t="shared" ref="D921:E921" si="2415">D918</f>
        <v>0,01-0,1</v>
      </c>
      <c r="E921" s="391">
        <f t="shared" si="2415"/>
        <v>0.1</v>
      </c>
      <c r="F921" s="391" t="str">
        <f t="shared" ref="F921:G921" si="2416">F920</f>
        <v>air</v>
      </c>
      <c r="G921" s="401" t="str">
        <f t="shared" si="2416"/>
        <v>DE: PS film 0,01-0,1 mm (emission to air)</v>
      </c>
      <c r="H921" s="465">
        <v>0</v>
      </c>
      <c r="I921" s="394" t="s">
        <v>1097</v>
      </c>
      <c r="J921" s="635"/>
      <c r="K921" s="395">
        <v>0</v>
      </c>
      <c r="L921" s="537"/>
      <c r="M921" s="509">
        <f t="shared" si="2371"/>
        <v>1000</v>
      </c>
      <c r="N921" s="646"/>
      <c r="O921" s="626"/>
      <c r="P921" s="629"/>
      <c r="Q921" s="629"/>
    </row>
    <row r="922" spans="1:17" ht="15.75" hidden="1" thickBot="1">
      <c r="A922" s="390" t="str">
        <f t="shared" ref="A922:B922" si="2417">A919</f>
        <v>PS</v>
      </c>
      <c r="B922" s="391" t="str">
        <f t="shared" si="2417"/>
        <v>film</v>
      </c>
      <c r="C922" s="391">
        <f t="shared" ref="C922:C924" si="2418">C921</f>
        <v>2</v>
      </c>
      <c r="D922" s="391" t="str">
        <f t="shared" ref="D922:E922" si="2419">D919</f>
        <v>0,01-0,1</v>
      </c>
      <c r="E922" s="391">
        <f t="shared" si="2419"/>
        <v>0.1</v>
      </c>
      <c r="F922" s="391" t="str">
        <f t="shared" ref="F922:G922" si="2420">F921</f>
        <v>air</v>
      </c>
      <c r="G922" s="401" t="str">
        <f t="shared" si="2420"/>
        <v>DE: PS film 0,01-0,1 mm (emission to air)</v>
      </c>
      <c r="H922" s="465">
        <v>4.7E-2</v>
      </c>
      <c r="I922" s="394" t="s">
        <v>1143</v>
      </c>
      <c r="J922" s="635"/>
      <c r="K922" s="395">
        <v>0</v>
      </c>
      <c r="L922" s="537"/>
      <c r="M922" s="509">
        <f t="shared" si="2371"/>
        <v>1000</v>
      </c>
      <c r="N922" s="646"/>
      <c r="O922" s="626"/>
      <c r="P922" s="629"/>
      <c r="Q922" s="629"/>
    </row>
    <row r="923" spans="1:17" ht="15.75" hidden="1" thickBot="1">
      <c r="A923" s="390" t="str">
        <f t="shared" ref="A923:B923" si="2421">A920</f>
        <v>PS</v>
      </c>
      <c r="B923" s="391" t="str">
        <f t="shared" si="2421"/>
        <v>film</v>
      </c>
      <c r="C923" s="391">
        <f t="shared" si="2418"/>
        <v>2</v>
      </c>
      <c r="D923" s="391" t="str">
        <f t="shared" ref="D923:E923" si="2422">D920</f>
        <v>0,01-0,1</v>
      </c>
      <c r="E923" s="391">
        <f t="shared" si="2422"/>
        <v>0.1</v>
      </c>
      <c r="F923" s="391" t="str">
        <f t="shared" ref="F923:G923" si="2423">F922</f>
        <v>air</v>
      </c>
      <c r="G923" s="401" t="str">
        <f t="shared" si="2423"/>
        <v>DE: PS film 0,01-0,1 mm (emission to air)</v>
      </c>
      <c r="H923" s="465">
        <v>5.0000000000000001E-3</v>
      </c>
      <c r="I923" s="394" t="s">
        <v>1146</v>
      </c>
      <c r="J923" s="635"/>
      <c r="K923" s="395">
        <v>0</v>
      </c>
      <c r="L923" s="537"/>
      <c r="M923" s="509">
        <f t="shared" si="2371"/>
        <v>1000</v>
      </c>
      <c r="N923" s="646"/>
      <c r="O923" s="626"/>
      <c r="P923" s="629"/>
      <c r="Q923" s="629"/>
    </row>
    <row r="924" spans="1:17" ht="15.75" hidden="1" thickBot="1">
      <c r="A924" s="390" t="str">
        <f t="shared" ref="A924:B924" si="2424">A919</f>
        <v>PS</v>
      </c>
      <c r="B924" s="391" t="str">
        <f t="shared" si="2424"/>
        <v>film</v>
      </c>
      <c r="C924" s="391">
        <f t="shared" si="2418"/>
        <v>2</v>
      </c>
      <c r="D924" s="391" t="str">
        <f t="shared" ref="D924:E924" si="2425">D919</f>
        <v>0,01-0,1</v>
      </c>
      <c r="E924" s="391">
        <f t="shared" si="2425"/>
        <v>0.1</v>
      </c>
      <c r="F924" s="391" t="str">
        <f t="shared" ref="F924:G924" si="2426">F923</f>
        <v>air</v>
      </c>
      <c r="G924" s="401" t="str">
        <f t="shared" si="2426"/>
        <v>DE: PS film 0,01-0,1 mm (emission to air)</v>
      </c>
      <c r="H924" s="471">
        <v>0</v>
      </c>
      <c r="I924" s="422" t="s">
        <v>1034</v>
      </c>
      <c r="J924" s="636"/>
      <c r="K924" s="451" t="s">
        <v>596</v>
      </c>
      <c r="L924" s="542"/>
      <c r="M924" s="509">
        <f t="shared" si="2371"/>
        <v>0</v>
      </c>
      <c r="N924" s="647"/>
      <c r="O924" s="627"/>
      <c r="P924" s="629"/>
      <c r="Q924" s="629"/>
    </row>
    <row r="925" spans="1:17" ht="15.75" hidden="1" thickBot="1">
      <c r="A925" s="405" t="s">
        <v>240</v>
      </c>
      <c r="B925" s="406" t="s">
        <v>996</v>
      </c>
      <c r="C925" s="407">
        <f>IF(OR(B925="Folie", B925="Strips", B925="Film",B925="Flakes",B925="Coupon"), 2,IF(OR(B925="Fibers",B925="Pellets"),4,IF(OR(B925="Particles",B925="Shreds",B925="Powder",B925="Fragments",B925="Granules"),6,"")))</f>
        <v>2</v>
      </c>
      <c r="D925" s="423" t="s">
        <v>1028</v>
      </c>
      <c r="E925" s="408">
        <v>1</v>
      </c>
      <c r="F925" s="409" t="s">
        <v>1019</v>
      </c>
      <c r="G925" s="410" t="str">
        <f>CONCATENATE("DE: ",A925," ",B925," ",D925," mm (emission to ",F925,")")</f>
        <v>DE: PS film 0,1-1 mm (emission to soil)</v>
      </c>
      <c r="H925" s="472">
        <v>0.97</v>
      </c>
      <c r="I925" s="412" t="s">
        <v>1019</v>
      </c>
      <c r="J925" s="632">
        <v>0.22800000000000001</v>
      </c>
      <c r="K925" s="413">
        <v>0</v>
      </c>
      <c r="L925" s="539"/>
      <c r="M925" s="509">
        <f t="shared" si="2371"/>
        <v>1000</v>
      </c>
      <c r="N925" s="645">
        <f t="shared" ref="N925" si="2427">IFERROR(H925*M925+H926*M926+H927*M927+H928*M928+H929*M929,"N.A.")</f>
        <v>1000</v>
      </c>
      <c r="O925" s="625"/>
      <c r="P925" s="628">
        <f t="shared" si="2398"/>
        <v>100</v>
      </c>
      <c r="Q925" s="628">
        <f t="shared" si="2323"/>
        <v>500</v>
      </c>
    </row>
    <row r="926" spans="1:17" ht="15.75" hidden="1" thickBot="1">
      <c r="A926" s="390" t="str">
        <f>A925</f>
        <v>PS</v>
      </c>
      <c r="B926" s="391" t="str">
        <f>B925</f>
        <v>film</v>
      </c>
      <c r="C926" s="391">
        <f t="shared" ref="C926:G941" si="2428">C925</f>
        <v>2</v>
      </c>
      <c r="D926" s="391" t="str">
        <f t="shared" si="2428"/>
        <v>0,1-1</v>
      </c>
      <c r="E926" s="391">
        <f t="shared" si="2428"/>
        <v>1</v>
      </c>
      <c r="F926" s="414" t="str">
        <f t="shared" si="2428"/>
        <v>soil</v>
      </c>
      <c r="G926" s="415" t="str">
        <f t="shared" si="2428"/>
        <v>DE: PS film 0,1-1 mm (emission to soil)</v>
      </c>
      <c r="H926" s="469">
        <v>0</v>
      </c>
      <c r="I926" s="417" t="s">
        <v>1097</v>
      </c>
      <c r="J926" s="632"/>
      <c r="K926" s="418">
        <v>0</v>
      </c>
      <c r="L926" s="537"/>
      <c r="M926" s="509">
        <f t="shared" si="2371"/>
        <v>1000</v>
      </c>
      <c r="N926" s="646"/>
      <c r="O926" s="626"/>
      <c r="P926" s="629"/>
      <c r="Q926" s="629"/>
    </row>
    <row r="927" spans="1:17" ht="15.75" hidden="1" thickBot="1">
      <c r="A927" s="390" t="str">
        <f t="shared" ref="A927:B928" si="2429">A926</f>
        <v>PS</v>
      </c>
      <c r="B927" s="391" t="str">
        <f t="shared" si="2429"/>
        <v>film</v>
      </c>
      <c r="C927" s="391">
        <f t="shared" si="2428"/>
        <v>2</v>
      </c>
      <c r="D927" s="391" t="str">
        <f t="shared" si="2428"/>
        <v>0,1-1</v>
      </c>
      <c r="E927" s="391">
        <f t="shared" si="2428"/>
        <v>1</v>
      </c>
      <c r="F927" s="414" t="str">
        <f t="shared" si="2428"/>
        <v>soil</v>
      </c>
      <c r="G927" s="415" t="str">
        <f t="shared" si="2428"/>
        <v>DE: PS film 0,1-1 mm (emission to soil)</v>
      </c>
      <c r="H927" s="469">
        <v>2.7E-2</v>
      </c>
      <c r="I927" s="417" t="s">
        <v>1143</v>
      </c>
      <c r="J927" s="632"/>
      <c r="K927" s="418">
        <v>0</v>
      </c>
      <c r="L927" s="537"/>
      <c r="M927" s="509">
        <f t="shared" si="2371"/>
        <v>1000</v>
      </c>
      <c r="N927" s="646"/>
      <c r="O927" s="626"/>
      <c r="P927" s="629"/>
      <c r="Q927" s="629"/>
    </row>
    <row r="928" spans="1:17" ht="15.75" hidden="1" thickBot="1">
      <c r="A928" s="390" t="str">
        <f t="shared" si="2429"/>
        <v>PS</v>
      </c>
      <c r="B928" s="391" t="str">
        <f t="shared" si="2429"/>
        <v>film</v>
      </c>
      <c r="C928" s="391">
        <f t="shared" si="2428"/>
        <v>2</v>
      </c>
      <c r="D928" s="391" t="str">
        <f t="shared" si="2428"/>
        <v>0,1-1</v>
      </c>
      <c r="E928" s="391">
        <f t="shared" si="2428"/>
        <v>1</v>
      </c>
      <c r="F928" s="414" t="str">
        <f t="shared" si="2428"/>
        <v>soil</v>
      </c>
      <c r="G928" s="415" t="str">
        <f t="shared" si="2428"/>
        <v>DE: PS film 0,1-1 mm (emission to soil)</v>
      </c>
      <c r="H928" s="469">
        <v>3.0000000000000001E-3</v>
      </c>
      <c r="I928" s="417" t="s">
        <v>1146</v>
      </c>
      <c r="J928" s="632"/>
      <c r="K928" s="418">
        <v>0</v>
      </c>
      <c r="L928" s="537"/>
      <c r="M928" s="509">
        <f t="shared" si="2371"/>
        <v>1000</v>
      </c>
      <c r="N928" s="646"/>
      <c r="O928" s="626"/>
      <c r="P928" s="629"/>
      <c r="Q928" s="629"/>
    </row>
    <row r="929" spans="1:17" s="373" customFormat="1" ht="15.75" hidden="1" thickBot="1">
      <c r="A929" s="390" t="str">
        <f>A926</f>
        <v>PS</v>
      </c>
      <c r="B929" s="391" t="str">
        <f>B926</f>
        <v>film</v>
      </c>
      <c r="C929" s="391">
        <f t="shared" si="2428"/>
        <v>2</v>
      </c>
      <c r="D929" s="391" t="str">
        <f>D926</f>
        <v>0,1-1</v>
      </c>
      <c r="E929" s="391">
        <f>E926</f>
        <v>1</v>
      </c>
      <c r="F929" s="414" t="str">
        <f>F926</f>
        <v>soil</v>
      </c>
      <c r="G929" s="419" t="str">
        <f t="shared" si="2428"/>
        <v>DE: PS film 0,1-1 mm (emission to soil)</v>
      </c>
      <c r="H929" s="469">
        <v>0</v>
      </c>
      <c r="I929" s="420" t="s">
        <v>1034</v>
      </c>
      <c r="J929" s="633"/>
      <c r="K929" s="421" t="s">
        <v>596</v>
      </c>
      <c r="L929" s="538"/>
      <c r="M929" s="509">
        <f t="shared" si="2371"/>
        <v>0</v>
      </c>
      <c r="N929" s="647"/>
      <c r="O929" s="627"/>
      <c r="P929" s="629"/>
      <c r="Q929" s="629"/>
    </row>
    <row r="930" spans="1:17" s="373" customFormat="1" ht="15.75" hidden="1" thickBot="1">
      <c r="A930" s="390" t="str">
        <f t="shared" ref="A930:B930" si="2430">A927</f>
        <v>PS</v>
      </c>
      <c r="B930" s="391" t="str">
        <f t="shared" si="2430"/>
        <v>film</v>
      </c>
      <c r="C930" s="391">
        <f t="shared" si="2428"/>
        <v>2</v>
      </c>
      <c r="D930" s="399" t="str">
        <f t="shared" ref="D930:E930" si="2431">D927</f>
        <v>0,1-1</v>
      </c>
      <c r="E930" s="391">
        <f t="shared" si="2431"/>
        <v>1</v>
      </c>
      <c r="F930" s="400" t="s">
        <v>1147</v>
      </c>
      <c r="G930" s="386" t="str">
        <f>CONCATENATE("DE: ",A930," ",B930," ",D930," mm (emission to ",F930,")")</f>
        <v>DE: PS film 0,1-1 mm (emission to fresh water)</v>
      </c>
      <c r="H930" s="466">
        <v>0</v>
      </c>
      <c r="I930" s="388" t="s">
        <v>1019</v>
      </c>
      <c r="J930" s="634">
        <v>0.22800000000000001</v>
      </c>
      <c r="K930" s="389">
        <v>0</v>
      </c>
      <c r="L930" s="536"/>
      <c r="M930" s="509">
        <f t="shared" si="2371"/>
        <v>1000</v>
      </c>
      <c r="N930" s="645">
        <f t="shared" ref="N930" si="2432">IFERROR(H930*M930+H931*M931+H932*M932+H933*M933+H934*M934,"N.A.")</f>
        <v>1000</v>
      </c>
      <c r="O930" s="625"/>
      <c r="P930" s="628">
        <f t="shared" si="2398"/>
        <v>100</v>
      </c>
      <c r="Q930" s="628">
        <f t="shared" si="2323"/>
        <v>500</v>
      </c>
    </row>
    <row r="931" spans="1:17" s="373" customFormat="1" ht="15.75" hidden="1" thickBot="1">
      <c r="A931" s="390" t="str">
        <f t="shared" ref="A931:B931" si="2433">A928</f>
        <v>PS</v>
      </c>
      <c r="B931" s="391" t="str">
        <f t="shared" si="2433"/>
        <v>film</v>
      </c>
      <c r="C931" s="391">
        <f t="shared" si="2428"/>
        <v>2</v>
      </c>
      <c r="D931" s="391" t="str">
        <f t="shared" ref="D931:E931" si="2434">D928</f>
        <v>0,1-1</v>
      </c>
      <c r="E931" s="391">
        <f t="shared" si="2434"/>
        <v>1</v>
      </c>
      <c r="F931" s="391" t="str">
        <f t="shared" ref="F931:G931" si="2435">F930</f>
        <v>fresh water</v>
      </c>
      <c r="G931" s="401" t="str">
        <f t="shared" si="2435"/>
        <v>DE: PS film 0,1-1 mm (emission to fresh water)</v>
      </c>
      <c r="H931" s="465">
        <v>0</v>
      </c>
      <c r="I931" s="394" t="s">
        <v>1097</v>
      </c>
      <c r="J931" s="635"/>
      <c r="K931" s="389">
        <v>0</v>
      </c>
      <c r="L931" s="536"/>
      <c r="M931" s="509">
        <f t="shared" si="2371"/>
        <v>1000</v>
      </c>
      <c r="N931" s="646"/>
      <c r="O931" s="626"/>
      <c r="P931" s="629"/>
      <c r="Q931" s="629"/>
    </row>
    <row r="932" spans="1:17" s="373" customFormat="1" ht="15.75" hidden="1" thickBot="1">
      <c r="A932" s="390" t="str">
        <f t="shared" ref="A932:B932" si="2436">A929</f>
        <v>PS</v>
      </c>
      <c r="B932" s="391" t="str">
        <f t="shared" si="2436"/>
        <v>film</v>
      </c>
      <c r="C932" s="391">
        <f t="shared" si="2428"/>
        <v>2</v>
      </c>
      <c r="D932" s="391" t="str">
        <f t="shared" ref="D932:E932" si="2437">D929</f>
        <v>0,1-1</v>
      </c>
      <c r="E932" s="391">
        <f t="shared" si="2437"/>
        <v>1</v>
      </c>
      <c r="F932" s="391" t="str">
        <f t="shared" ref="F932:G932" si="2438">F931</f>
        <v>fresh water</v>
      </c>
      <c r="G932" s="401" t="str">
        <f t="shared" si="2438"/>
        <v>DE: PS film 0,1-1 mm (emission to fresh water)</v>
      </c>
      <c r="H932" s="465">
        <v>0.89</v>
      </c>
      <c r="I932" s="394" t="s">
        <v>1143</v>
      </c>
      <c r="J932" s="635"/>
      <c r="K932" s="389">
        <v>0</v>
      </c>
      <c r="L932" s="536"/>
      <c r="M932" s="509">
        <f t="shared" si="2371"/>
        <v>1000</v>
      </c>
      <c r="N932" s="646"/>
      <c r="O932" s="626"/>
      <c r="P932" s="629"/>
      <c r="Q932" s="629"/>
    </row>
    <row r="933" spans="1:17" s="373" customFormat="1" ht="15.75" hidden="1" thickBot="1">
      <c r="A933" s="390" t="str">
        <f t="shared" ref="A933:B933" si="2439">A930</f>
        <v>PS</v>
      </c>
      <c r="B933" s="391" t="str">
        <f t="shared" si="2439"/>
        <v>film</v>
      </c>
      <c r="C933" s="391">
        <f t="shared" si="2428"/>
        <v>2</v>
      </c>
      <c r="D933" s="391" t="str">
        <f t="shared" ref="D933:E933" si="2440">D930</f>
        <v>0,1-1</v>
      </c>
      <c r="E933" s="391">
        <f t="shared" si="2440"/>
        <v>1</v>
      </c>
      <c r="F933" s="391" t="str">
        <f t="shared" ref="F933:G934" si="2441">F932</f>
        <v>fresh water</v>
      </c>
      <c r="G933" s="401" t="str">
        <f t="shared" si="2441"/>
        <v>DE: PS film 0,1-1 mm (emission to fresh water)</v>
      </c>
      <c r="H933" s="465">
        <v>0.11</v>
      </c>
      <c r="I933" s="394" t="s">
        <v>1146</v>
      </c>
      <c r="J933" s="635"/>
      <c r="K933" s="389">
        <v>0</v>
      </c>
      <c r="L933" s="536"/>
      <c r="M933" s="509">
        <f t="shared" si="2371"/>
        <v>1000</v>
      </c>
      <c r="N933" s="646"/>
      <c r="O933" s="626"/>
      <c r="P933" s="629"/>
      <c r="Q933" s="629"/>
    </row>
    <row r="934" spans="1:17" s="373" customFormat="1" ht="15.75" hidden="1" thickBot="1">
      <c r="A934" s="390" t="str">
        <f t="shared" ref="A934:B934" si="2442">A931</f>
        <v>PS</v>
      </c>
      <c r="B934" s="391" t="str">
        <f t="shared" si="2442"/>
        <v>film</v>
      </c>
      <c r="C934" s="391">
        <f t="shared" si="2428"/>
        <v>2</v>
      </c>
      <c r="D934" s="391" t="str">
        <f t="shared" ref="D934:E934" si="2443">D931</f>
        <v>0,1-1</v>
      </c>
      <c r="E934" s="391">
        <f t="shared" si="2443"/>
        <v>1</v>
      </c>
      <c r="F934" s="402" t="str">
        <f>F931</f>
        <v>fresh water</v>
      </c>
      <c r="G934" s="401" t="str">
        <f t="shared" si="2441"/>
        <v>DE: PS film 0,1-1 mm (emission to fresh water)</v>
      </c>
      <c r="H934" s="465">
        <v>0</v>
      </c>
      <c r="I934" s="397" t="s">
        <v>1034</v>
      </c>
      <c r="J934" s="654"/>
      <c r="K934" s="398" t="s">
        <v>596</v>
      </c>
      <c r="L934" s="538"/>
      <c r="M934" s="509">
        <f t="shared" si="2371"/>
        <v>0</v>
      </c>
      <c r="N934" s="647"/>
      <c r="O934" s="627"/>
      <c r="P934" s="629"/>
      <c r="Q934" s="629"/>
    </row>
    <row r="935" spans="1:17" s="373" customFormat="1" ht="15.75" hidden="1" thickBot="1">
      <c r="A935" s="390" t="str">
        <f t="shared" ref="A935:B935" si="2444">A932</f>
        <v>PS</v>
      </c>
      <c r="B935" s="391" t="str">
        <f t="shared" si="2444"/>
        <v>film</v>
      </c>
      <c r="C935" s="391">
        <f t="shared" si="2428"/>
        <v>2</v>
      </c>
      <c r="D935" s="391" t="str">
        <f t="shared" ref="D935:E935" si="2445">D932</f>
        <v>0,1-1</v>
      </c>
      <c r="E935" s="391">
        <f t="shared" si="2445"/>
        <v>1</v>
      </c>
      <c r="F935" s="385" t="s">
        <v>1097</v>
      </c>
      <c r="G935" s="422" t="str">
        <f>CONCATENATE("DE: ",A935," ",B935," ",D935," mm (emission to ",F935,")")</f>
        <v>DE: PS film 0,1-1 mm (emission to marine water)</v>
      </c>
      <c r="H935" s="467">
        <v>0</v>
      </c>
      <c r="I935" s="388" t="s">
        <v>1019</v>
      </c>
      <c r="J935" s="634">
        <v>0.22800000000000001</v>
      </c>
      <c r="K935" s="395">
        <v>0</v>
      </c>
      <c r="L935" s="536"/>
      <c r="M935" s="509">
        <f t="shared" si="2371"/>
        <v>1000</v>
      </c>
      <c r="N935" s="645">
        <f t="shared" ref="N935" si="2446">IFERROR(H935*M935+H936*M936+H937*M937+H938*M938+H939*M939,"N.A.")</f>
        <v>1000</v>
      </c>
      <c r="O935" s="625"/>
      <c r="P935" s="628">
        <f t="shared" si="2398"/>
        <v>100</v>
      </c>
      <c r="Q935" s="628">
        <f t="shared" si="2323"/>
        <v>500</v>
      </c>
    </row>
    <row r="936" spans="1:17" ht="15.75" hidden="1" thickBot="1">
      <c r="A936" s="390" t="str">
        <f t="shared" ref="A936:B936" si="2447">A933</f>
        <v>PS</v>
      </c>
      <c r="B936" s="391" t="str">
        <f t="shared" si="2447"/>
        <v>film</v>
      </c>
      <c r="C936" s="391">
        <f t="shared" si="2428"/>
        <v>2</v>
      </c>
      <c r="D936" s="391" t="str">
        <f t="shared" ref="D936:E936" si="2448">D933</f>
        <v>0,1-1</v>
      </c>
      <c r="E936" s="391">
        <f t="shared" si="2448"/>
        <v>1</v>
      </c>
      <c r="F936" s="391" t="str">
        <f t="shared" ref="F936:G936" si="2449">F935</f>
        <v>marine water</v>
      </c>
      <c r="G936" s="401" t="str">
        <f t="shared" si="2449"/>
        <v>DE: PS film 0,1-1 mm (emission to marine water)</v>
      </c>
      <c r="H936" s="465">
        <v>0</v>
      </c>
      <c r="I936" s="394" t="s">
        <v>1097</v>
      </c>
      <c r="J936" s="635"/>
      <c r="K936" s="395">
        <v>0</v>
      </c>
      <c r="L936" s="537"/>
      <c r="M936" s="509">
        <f t="shared" si="2371"/>
        <v>1000</v>
      </c>
      <c r="N936" s="646"/>
      <c r="O936" s="626"/>
      <c r="P936" s="629"/>
      <c r="Q936" s="629"/>
    </row>
    <row r="937" spans="1:17" ht="15.75" hidden="1" thickBot="1">
      <c r="A937" s="390" t="str">
        <f t="shared" ref="A937:B937" si="2450">A934</f>
        <v>PS</v>
      </c>
      <c r="B937" s="391" t="str">
        <f t="shared" si="2450"/>
        <v>film</v>
      </c>
      <c r="C937" s="391">
        <f t="shared" si="2428"/>
        <v>2</v>
      </c>
      <c r="D937" s="391" t="str">
        <f t="shared" ref="D937:E937" si="2451">D934</f>
        <v>0,1-1</v>
      </c>
      <c r="E937" s="391">
        <f t="shared" si="2451"/>
        <v>1</v>
      </c>
      <c r="F937" s="391" t="str">
        <f t="shared" ref="F937:G937" si="2452">F936</f>
        <v>marine water</v>
      </c>
      <c r="G937" s="401" t="str">
        <f t="shared" si="2452"/>
        <v>DE: PS film 0,1-1 mm (emission to marine water)</v>
      </c>
      <c r="H937" s="465">
        <v>0</v>
      </c>
      <c r="I937" s="394" t="s">
        <v>1143</v>
      </c>
      <c r="J937" s="635"/>
      <c r="K937" s="395">
        <v>0</v>
      </c>
      <c r="L937" s="537"/>
      <c r="M937" s="509">
        <f t="shared" si="2371"/>
        <v>1000</v>
      </c>
      <c r="N937" s="646"/>
      <c r="O937" s="626"/>
      <c r="P937" s="629"/>
      <c r="Q937" s="629"/>
    </row>
    <row r="938" spans="1:17" ht="15.75" hidden="1" thickBot="1">
      <c r="A938" s="390" t="str">
        <f t="shared" ref="A938:B938" si="2453">A935</f>
        <v>PS</v>
      </c>
      <c r="B938" s="391" t="str">
        <f t="shared" si="2453"/>
        <v>film</v>
      </c>
      <c r="C938" s="391">
        <f t="shared" si="2428"/>
        <v>2</v>
      </c>
      <c r="D938" s="391" t="str">
        <f t="shared" ref="D938:E938" si="2454">D935</f>
        <v>0,1-1</v>
      </c>
      <c r="E938" s="391">
        <f t="shared" si="2454"/>
        <v>1</v>
      </c>
      <c r="F938" s="391" t="str">
        <f t="shared" ref="F938:G938" si="2455">F937</f>
        <v>marine water</v>
      </c>
      <c r="G938" s="401" t="str">
        <f t="shared" si="2455"/>
        <v>DE: PS film 0,1-1 mm (emission to marine water)</v>
      </c>
      <c r="H938" s="465">
        <v>1</v>
      </c>
      <c r="I938" s="394" t="s">
        <v>1146</v>
      </c>
      <c r="J938" s="635"/>
      <c r="K938" s="395">
        <v>0</v>
      </c>
      <c r="L938" s="537"/>
      <c r="M938" s="509">
        <f t="shared" si="2371"/>
        <v>1000</v>
      </c>
      <c r="N938" s="646"/>
      <c r="O938" s="626"/>
      <c r="P938" s="629"/>
      <c r="Q938" s="629"/>
    </row>
    <row r="939" spans="1:17" ht="15.75" hidden="1" thickBot="1">
      <c r="A939" s="390" t="str">
        <f t="shared" ref="A939:B939" si="2456">A936</f>
        <v>PS</v>
      </c>
      <c r="B939" s="391" t="str">
        <f t="shared" si="2456"/>
        <v>film</v>
      </c>
      <c r="C939" s="391">
        <f t="shared" si="2428"/>
        <v>2</v>
      </c>
      <c r="D939" s="391" t="str">
        <f t="shared" ref="D939:E939" si="2457">D936</f>
        <v>0,1-1</v>
      </c>
      <c r="E939" s="391">
        <f t="shared" si="2457"/>
        <v>1</v>
      </c>
      <c r="F939" s="391" t="str">
        <f t="shared" ref="F939:G939" si="2458">F938</f>
        <v>marine water</v>
      </c>
      <c r="G939" s="401" t="str">
        <f t="shared" si="2458"/>
        <v>DE: PS film 0,1-1 mm (emission to marine water)</v>
      </c>
      <c r="H939" s="465">
        <v>0</v>
      </c>
      <c r="I939" s="397" t="s">
        <v>1034</v>
      </c>
      <c r="J939" s="654"/>
      <c r="K939" s="398" t="s">
        <v>596</v>
      </c>
      <c r="L939" s="538"/>
      <c r="M939" s="509">
        <f t="shared" si="2371"/>
        <v>0</v>
      </c>
      <c r="N939" s="647"/>
      <c r="O939" s="627"/>
      <c r="P939" s="629"/>
      <c r="Q939" s="629"/>
    </row>
    <row r="940" spans="1:17" ht="15.75" hidden="1" thickBot="1">
      <c r="A940" s="390" t="str">
        <f t="shared" ref="A940:B940" si="2459">A937</f>
        <v>PS</v>
      </c>
      <c r="B940" s="391" t="str">
        <f t="shared" si="2459"/>
        <v>film</v>
      </c>
      <c r="C940" s="391">
        <f t="shared" si="2428"/>
        <v>2</v>
      </c>
      <c r="D940" s="391" t="str">
        <f t="shared" ref="D940:E940" si="2460">D937</f>
        <v>0,1-1</v>
      </c>
      <c r="E940" s="391">
        <f t="shared" si="2460"/>
        <v>1</v>
      </c>
      <c r="F940" s="400" t="s">
        <v>1057</v>
      </c>
      <c r="G940" s="422" t="str">
        <f>CONCATENATE("DE: ",A940," ",B940," ",D940," mm (emission to ",F940,")")</f>
        <v>DE: PS film 0,1-1 mm (emission to air)</v>
      </c>
      <c r="H940" s="467">
        <v>0.94799999999999995</v>
      </c>
      <c r="I940" s="388" t="s">
        <v>1019</v>
      </c>
      <c r="J940" s="634">
        <v>0.22800000000000001</v>
      </c>
      <c r="K940" s="395">
        <v>0</v>
      </c>
      <c r="L940" s="536"/>
      <c r="M940" s="509">
        <f t="shared" si="2371"/>
        <v>1000</v>
      </c>
      <c r="N940" s="645">
        <f t="shared" ref="N940" si="2461">IFERROR(H940*M940+H941*M941+H942*M942+H943*M943+H944*M944,"N.A.")</f>
        <v>1000</v>
      </c>
      <c r="O940" s="625"/>
      <c r="P940" s="628">
        <f t="shared" si="2398"/>
        <v>100</v>
      </c>
      <c r="Q940" s="628">
        <f t="shared" si="2323"/>
        <v>500</v>
      </c>
    </row>
    <row r="941" spans="1:17" ht="15.75" hidden="1" thickBot="1">
      <c r="A941" s="390" t="str">
        <f t="shared" ref="A941:B941" si="2462">A938</f>
        <v>PS</v>
      </c>
      <c r="B941" s="391" t="str">
        <f t="shared" si="2462"/>
        <v>film</v>
      </c>
      <c r="C941" s="391">
        <f t="shared" si="2428"/>
        <v>2</v>
      </c>
      <c r="D941" s="391" t="str">
        <f t="shared" ref="D941:E941" si="2463">D938</f>
        <v>0,1-1</v>
      </c>
      <c r="E941" s="391">
        <f t="shared" si="2463"/>
        <v>1</v>
      </c>
      <c r="F941" s="391" t="str">
        <f t="shared" ref="F941:G941" si="2464">F940</f>
        <v>air</v>
      </c>
      <c r="G941" s="401" t="str">
        <f t="shared" si="2464"/>
        <v>DE: PS film 0,1-1 mm (emission to air)</v>
      </c>
      <c r="H941" s="465">
        <v>0</v>
      </c>
      <c r="I941" s="394" t="s">
        <v>1097</v>
      </c>
      <c r="J941" s="635"/>
      <c r="K941" s="395">
        <v>0</v>
      </c>
      <c r="L941" s="537"/>
      <c r="M941" s="509">
        <f t="shared" si="2371"/>
        <v>1000</v>
      </c>
      <c r="N941" s="646"/>
      <c r="O941" s="626"/>
      <c r="P941" s="629"/>
      <c r="Q941" s="629"/>
    </row>
    <row r="942" spans="1:17" ht="15.75" hidden="1" thickBot="1">
      <c r="A942" s="390" t="str">
        <f t="shared" ref="A942:B942" si="2465">A939</f>
        <v>PS</v>
      </c>
      <c r="B942" s="391" t="str">
        <f t="shared" si="2465"/>
        <v>film</v>
      </c>
      <c r="C942" s="391">
        <f t="shared" ref="C942:C944" si="2466">C941</f>
        <v>2</v>
      </c>
      <c r="D942" s="391" t="str">
        <f t="shared" ref="D942:E942" si="2467">D939</f>
        <v>0,1-1</v>
      </c>
      <c r="E942" s="391">
        <f t="shared" si="2467"/>
        <v>1</v>
      </c>
      <c r="F942" s="391" t="str">
        <f t="shared" ref="F942:G942" si="2468">F941</f>
        <v>air</v>
      </c>
      <c r="G942" s="401" t="str">
        <f t="shared" si="2468"/>
        <v>DE: PS film 0,1-1 mm (emission to air)</v>
      </c>
      <c r="H942" s="465">
        <v>4.7E-2</v>
      </c>
      <c r="I942" s="394" t="s">
        <v>1143</v>
      </c>
      <c r="J942" s="635"/>
      <c r="K942" s="395">
        <v>0</v>
      </c>
      <c r="L942" s="537"/>
      <c r="M942" s="509">
        <f t="shared" si="2371"/>
        <v>1000</v>
      </c>
      <c r="N942" s="646"/>
      <c r="O942" s="626"/>
      <c r="P942" s="629"/>
      <c r="Q942" s="629"/>
    </row>
    <row r="943" spans="1:17" ht="15.75" hidden="1" thickBot="1">
      <c r="A943" s="390" t="str">
        <f t="shared" ref="A943:B943" si="2469">A940</f>
        <v>PS</v>
      </c>
      <c r="B943" s="391" t="str">
        <f t="shared" si="2469"/>
        <v>film</v>
      </c>
      <c r="C943" s="391">
        <f t="shared" si="2466"/>
        <v>2</v>
      </c>
      <c r="D943" s="391" t="str">
        <f t="shared" ref="D943:E943" si="2470">D940</f>
        <v>0,1-1</v>
      </c>
      <c r="E943" s="391">
        <f t="shared" si="2470"/>
        <v>1</v>
      </c>
      <c r="F943" s="391" t="str">
        <f t="shared" ref="F943:G943" si="2471">F942</f>
        <v>air</v>
      </c>
      <c r="G943" s="401" t="str">
        <f t="shared" si="2471"/>
        <v>DE: PS film 0,1-1 mm (emission to air)</v>
      </c>
      <c r="H943" s="465">
        <v>5.0000000000000001E-3</v>
      </c>
      <c r="I943" s="394" t="s">
        <v>1146</v>
      </c>
      <c r="J943" s="635"/>
      <c r="K943" s="395">
        <v>0</v>
      </c>
      <c r="L943" s="537"/>
      <c r="M943" s="509">
        <f t="shared" si="2371"/>
        <v>1000</v>
      </c>
      <c r="N943" s="646"/>
      <c r="O943" s="626"/>
      <c r="P943" s="629"/>
      <c r="Q943" s="629"/>
    </row>
    <row r="944" spans="1:17" ht="15.75" hidden="1" thickBot="1">
      <c r="A944" s="452" t="str">
        <f t="shared" ref="A944:B944" si="2472">A939</f>
        <v>PS</v>
      </c>
      <c r="B944" s="453" t="str">
        <f t="shared" si="2472"/>
        <v>film</v>
      </c>
      <c r="C944" s="453">
        <f t="shared" si="2466"/>
        <v>2</v>
      </c>
      <c r="D944" s="453" t="str">
        <f t="shared" ref="D944:E944" si="2473">D939</f>
        <v>0,1-1</v>
      </c>
      <c r="E944" s="453">
        <f t="shared" si="2473"/>
        <v>1</v>
      </c>
      <c r="F944" s="453" t="str">
        <f t="shared" ref="F944:G944" si="2474">F943</f>
        <v>air</v>
      </c>
      <c r="G944" s="454" t="str">
        <f t="shared" si="2474"/>
        <v>DE: PS film 0,1-1 mm (emission to air)</v>
      </c>
      <c r="H944" s="473">
        <v>0</v>
      </c>
      <c r="I944" s="456" t="s">
        <v>1034</v>
      </c>
      <c r="J944" s="636"/>
      <c r="K944" s="457" t="s">
        <v>596</v>
      </c>
      <c r="L944" s="543"/>
      <c r="M944" s="509">
        <f t="shared" si="2371"/>
        <v>0</v>
      </c>
      <c r="N944" s="647"/>
      <c r="O944" s="627"/>
      <c r="P944" s="629"/>
      <c r="Q944" s="629"/>
    </row>
    <row r="945" spans="1:17" ht="15.75" hidden="1" customHeight="1">
      <c r="A945" s="405" t="s">
        <v>240</v>
      </c>
      <c r="B945" s="406" t="s">
        <v>996</v>
      </c>
      <c r="C945" s="407">
        <f>IF(OR(B945="Folie", B945="Strips", B945="Film",B945="Flakes",B945="Coupon"), 2,IF(OR(B945="Fibers",B945="Pellets"),4,IF(OR(B945="Particles",B945="Shreds",B945="Powder",B945="Fragments",B945="Granules"),6,"")))</f>
        <v>2</v>
      </c>
      <c r="D945" s="423" t="s">
        <v>1026</v>
      </c>
      <c r="E945" s="408">
        <v>10</v>
      </c>
      <c r="F945" s="424" t="s">
        <v>1019</v>
      </c>
      <c r="G945" s="425" t="str">
        <f>CONCATENATE("DE: ",A945," ",B945," ",D945," mm (emission to ",F945,")")</f>
        <v>DE: PS film 1-10 mm (emission to soil)</v>
      </c>
      <c r="H945" s="474">
        <v>0.97</v>
      </c>
      <c r="I945" s="427" t="s">
        <v>1019</v>
      </c>
      <c r="J945" s="632">
        <v>0.22800000000000001</v>
      </c>
      <c r="K945" s="428">
        <v>0</v>
      </c>
      <c r="L945" s="539"/>
      <c r="M945" s="509">
        <f t="shared" si="2371"/>
        <v>1000</v>
      </c>
      <c r="N945" s="645">
        <f t="shared" ref="N945" si="2475">IFERROR(H945*M945+H946*M946+H947*M947+H948*M948+H949*M949,"N.A.")</f>
        <v>1000</v>
      </c>
      <c r="O945" s="625"/>
      <c r="P945" s="628">
        <f t="shared" si="2398"/>
        <v>100</v>
      </c>
      <c r="Q945" s="628">
        <f t="shared" si="2323"/>
        <v>500</v>
      </c>
    </row>
    <row r="946" spans="1:17" ht="15.75" hidden="1" customHeight="1">
      <c r="A946" s="390" t="str">
        <f>A945</f>
        <v>PS</v>
      </c>
      <c r="B946" s="391" t="str">
        <f>B945</f>
        <v>film</v>
      </c>
      <c r="C946" s="391">
        <f t="shared" ref="C946:G961" si="2476">C945</f>
        <v>2</v>
      </c>
      <c r="D946" s="391" t="str">
        <f t="shared" si="2476"/>
        <v>1-10</v>
      </c>
      <c r="E946" s="391">
        <f t="shared" si="2476"/>
        <v>10</v>
      </c>
      <c r="F946" s="391" t="str">
        <f t="shared" si="2476"/>
        <v>soil</v>
      </c>
      <c r="G946" s="392" t="str">
        <f t="shared" si="2476"/>
        <v>DE: PS film 1-10 mm (emission to soil)</v>
      </c>
      <c r="H946" s="465">
        <v>0</v>
      </c>
      <c r="I946" s="394" t="s">
        <v>1097</v>
      </c>
      <c r="J946" s="632"/>
      <c r="K946" s="395">
        <v>0</v>
      </c>
      <c r="L946" s="537"/>
      <c r="M946" s="509">
        <f t="shared" si="2371"/>
        <v>1000</v>
      </c>
      <c r="N946" s="646"/>
      <c r="O946" s="626"/>
      <c r="P946" s="629"/>
      <c r="Q946" s="629"/>
    </row>
    <row r="947" spans="1:17" ht="15.75" hidden="1" customHeight="1">
      <c r="A947" s="390" t="str">
        <f t="shared" ref="A947:B948" si="2477">A946</f>
        <v>PS</v>
      </c>
      <c r="B947" s="391" t="str">
        <f t="shared" si="2477"/>
        <v>film</v>
      </c>
      <c r="C947" s="391">
        <f t="shared" si="2476"/>
        <v>2</v>
      </c>
      <c r="D947" s="391" t="str">
        <f t="shared" si="2476"/>
        <v>1-10</v>
      </c>
      <c r="E947" s="391">
        <f t="shared" si="2476"/>
        <v>10</v>
      </c>
      <c r="F947" s="391" t="str">
        <f t="shared" si="2476"/>
        <v>soil</v>
      </c>
      <c r="G947" s="392" t="str">
        <f t="shared" si="2476"/>
        <v>DE: PS film 1-10 mm (emission to soil)</v>
      </c>
      <c r="H947" s="465">
        <v>2.7E-2</v>
      </c>
      <c r="I947" s="394" t="s">
        <v>1143</v>
      </c>
      <c r="J947" s="632"/>
      <c r="K947" s="395">
        <v>0</v>
      </c>
      <c r="L947" s="537"/>
      <c r="M947" s="509">
        <f t="shared" si="2371"/>
        <v>1000</v>
      </c>
      <c r="N947" s="646"/>
      <c r="O947" s="626"/>
      <c r="P947" s="629"/>
      <c r="Q947" s="629"/>
    </row>
    <row r="948" spans="1:17" ht="15.75" hidden="1" customHeight="1">
      <c r="A948" s="390" t="str">
        <f t="shared" si="2477"/>
        <v>PS</v>
      </c>
      <c r="B948" s="391" t="str">
        <f t="shared" si="2477"/>
        <v>film</v>
      </c>
      <c r="C948" s="391">
        <f t="shared" si="2476"/>
        <v>2</v>
      </c>
      <c r="D948" s="391" t="str">
        <f t="shared" si="2476"/>
        <v>1-10</v>
      </c>
      <c r="E948" s="391">
        <f t="shared" si="2476"/>
        <v>10</v>
      </c>
      <c r="F948" s="391" t="str">
        <f t="shared" si="2476"/>
        <v>soil</v>
      </c>
      <c r="G948" s="392" t="str">
        <f t="shared" si="2476"/>
        <v>DE: PS film 1-10 mm (emission to soil)</v>
      </c>
      <c r="H948" s="465">
        <v>3.0000000000000001E-3</v>
      </c>
      <c r="I948" s="394" t="s">
        <v>1146</v>
      </c>
      <c r="J948" s="632"/>
      <c r="K948" s="395">
        <v>0</v>
      </c>
      <c r="L948" s="537"/>
      <c r="M948" s="509">
        <f t="shared" si="2371"/>
        <v>1000</v>
      </c>
      <c r="N948" s="646"/>
      <c r="O948" s="626"/>
      <c r="P948" s="629"/>
      <c r="Q948" s="629"/>
    </row>
    <row r="949" spans="1:17" ht="15.75" hidden="1" customHeight="1">
      <c r="A949" s="390" t="str">
        <f>A946</f>
        <v>PS</v>
      </c>
      <c r="B949" s="391" t="str">
        <f>B946</f>
        <v>film</v>
      </c>
      <c r="C949" s="391">
        <f t="shared" si="2476"/>
        <v>2</v>
      </c>
      <c r="D949" s="391" t="str">
        <f>D946</f>
        <v>1-10</v>
      </c>
      <c r="E949" s="391">
        <f>E946</f>
        <v>10</v>
      </c>
      <c r="F949" s="391" t="str">
        <f>F946</f>
        <v>soil</v>
      </c>
      <c r="G949" s="396" t="str">
        <f t="shared" si="2476"/>
        <v>DE: PS film 1-10 mm (emission to soil)</v>
      </c>
      <c r="H949" s="465">
        <v>0</v>
      </c>
      <c r="I949" s="397" t="s">
        <v>1034</v>
      </c>
      <c r="J949" s="633"/>
      <c r="K949" s="398" t="s">
        <v>596</v>
      </c>
      <c r="L949" s="538"/>
      <c r="M949" s="509">
        <f t="shared" si="2371"/>
        <v>0</v>
      </c>
      <c r="N949" s="647"/>
      <c r="O949" s="627"/>
      <c r="P949" s="629"/>
      <c r="Q949" s="629"/>
    </row>
    <row r="950" spans="1:17" ht="15.75" hidden="1" customHeight="1">
      <c r="A950" s="390" t="str">
        <f t="shared" ref="A950:B950" si="2478">A947</f>
        <v>PS</v>
      </c>
      <c r="B950" s="391" t="str">
        <f t="shared" si="2478"/>
        <v>film</v>
      </c>
      <c r="C950" s="391">
        <f t="shared" si="2476"/>
        <v>2</v>
      </c>
      <c r="D950" s="399" t="str">
        <f t="shared" ref="D950:E950" si="2479">D947</f>
        <v>1-10</v>
      </c>
      <c r="E950" s="391">
        <f t="shared" si="2479"/>
        <v>10</v>
      </c>
      <c r="F950" s="400" t="s">
        <v>1147</v>
      </c>
      <c r="G950" s="386" t="str">
        <f>CONCATENATE("DE: ",A950," ",B950," ",D950," mm (emission to ",F950,")")</f>
        <v>DE: PS film 1-10 mm (emission to fresh water)</v>
      </c>
      <c r="H950" s="466">
        <v>0</v>
      </c>
      <c r="I950" s="388" t="s">
        <v>1019</v>
      </c>
      <c r="J950" s="634">
        <v>0.22800000000000001</v>
      </c>
      <c r="K950" s="389">
        <v>0</v>
      </c>
      <c r="L950" s="536"/>
      <c r="M950" s="509">
        <f t="shared" si="2371"/>
        <v>1000</v>
      </c>
      <c r="N950" s="645">
        <f t="shared" ref="N950" si="2480">IFERROR(H950*M950+H951*M951+H952*M952+H953*M953+H954*M954,"N.A.")</f>
        <v>1000</v>
      </c>
      <c r="O950" s="625"/>
      <c r="P950" s="628">
        <f t="shared" si="2398"/>
        <v>100</v>
      </c>
      <c r="Q950" s="628">
        <f t="shared" ref="Q950:Q1010" si="2481">IFERROR(IF(H950*M950+H951*M951+H952*M952+H953*M953+H954*M954&gt;500,500,H950*M950+H951*M951+H952*M952+H953*M953+H954*M954),"N.A.")</f>
        <v>500</v>
      </c>
    </row>
    <row r="951" spans="1:17" ht="15.75" hidden="1" customHeight="1">
      <c r="A951" s="390" t="str">
        <f t="shared" ref="A951:B951" si="2482">A948</f>
        <v>PS</v>
      </c>
      <c r="B951" s="391" t="str">
        <f t="shared" si="2482"/>
        <v>film</v>
      </c>
      <c r="C951" s="391">
        <f t="shared" si="2476"/>
        <v>2</v>
      </c>
      <c r="D951" s="391" t="str">
        <f t="shared" ref="D951:E951" si="2483">D948</f>
        <v>1-10</v>
      </c>
      <c r="E951" s="391">
        <f t="shared" si="2483"/>
        <v>10</v>
      </c>
      <c r="F951" s="391" t="str">
        <f t="shared" ref="F951:G951" si="2484">F950</f>
        <v>fresh water</v>
      </c>
      <c r="G951" s="401" t="str">
        <f t="shared" si="2484"/>
        <v>DE: PS film 1-10 mm (emission to fresh water)</v>
      </c>
      <c r="H951" s="465">
        <v>0</v>
      </c>
      <c r="I951" s="394" t="s">
        <v>1097</v>
      </c>
      <c r="J951" s="635"/>
      <c r="K951" s="389">
        <v>0</v>
      </c>
      <c r="L951" s="536"/>
      <c r="M951" s="509">
        <f t="shared" si="2371"/>
        <v>1000</v>
      </c>
      <c r="N951" s="646"/>
      <c r="O951" s="626"/>
      <c r="P951" s="629"/>
      <c r="Q951" s="629"/>
    </row>
    <row r="952" spans="1:17" ht="15.75" hidden="1" customHeight="1">
      <c r="A952" s="390" t="str">
        <f t="shared" ref="A952:B952" si="2485">A949</f>
        <v>PS</v>
      </c>
      <c r="B952" s="391" t="str">
        <f t="shared" si="2485"/>
        <v>film</v>
      </c>
      <c r="C952" s="391">
        <f t="shared" si="2476"/>
        <v>2</v>
      </c>
      <c r="D952" s="391" t="str">
        <f t="shared" ref="D952:E952" si="2486">D949</f>
        <v>1-10</v>
      </c>
      <c r="E952" s="391">
        <f t="shared" si="2486"/>
        <v>10</v>
      </c>
      <c r="F952" s="391" t="str">
        <f t="shared" ref="F952:G952" si="2487">F951</f>
        <v>fresh water</v>
      </c>
      <c r="G952" s="401" t="str">
        <f t="shared" si="2487"/>
        <v>DE: PS film 1-10 mm (emission to fresh water)</v>
      </c>
      <c r="H952" s="465">
        <v>0.89</v>
      </c>
      <c r="I952" s="394" t="s">
        <v>1143</v>
      </c>
      <c r="J952" s="635"/>
      <c r="K952" s="389">
        <v>0</v>
      </c>
      <c r="L952" s="536"/>
      <c r="M952" s="509">
        <f t="shared" si="2371"/>
        <v>1000</v>
      </c>
      <c r="N952" s="646"/>
      <c r="O952" s="626"/>
      <c r="P952" s="629"/>
      <c r="Q952" s="629"/>
    </row>
    <row r="953" spans="1:17" ht="15.75" hidden="1" customHeight="1">
      <c r="A953" s="390" t="str">
        <f t="shared" ref="A953:B953" si="2488">A950</f>
        <v>PS</v>
      </c>
      <c r="B953" s="391" t="str">
        <f t="shared" si="2488"/>
        <v>film</v>
      </c>
      <c r="C953" s="391">
        <f t="shared" si="2476"/>
        <v>2</v>
      </c>
      <c r="D953" s="391" t="str">
        <f t="shared" ref="D953:E953" si="2489">D950</f>
        <v>1-10</v>
      </c>
      <c r="E953" s="391">
        <f t="shared" si="2489"/>
        <v>10</v>
      </c>
      <c r="F953" s="391" t="str">
        <f t="shared" ref="F953:G954" si="2490">F952</f>
        <v>fresh water</v>
      </c>
      <c r="G953" s="401" t="str">
        <f t="shared" si="2490"/>
        <v>DE: PS film 1-10 mm (emission to fresh water)</v>
      </c>
      <c r="H953" s="465">
        <v>0.11</v>
      </c>
      <c r="I953" s="394" t="s">
        <v>1146</v>
      </c>
      <c r="J953" s="635"/>
      <c r="K953" s="389">
        <v>0</v>
      </c>
      <c r="L953" s="536"/>
      <c r="M953" s="509">
        <f t="shared" si="2371"/>
        <v>1000</v>
      </c>
      <c r="N953" s="646"/>
      <c r="O953" s="626"/>
      <c r="P953" s="629"/>
      <c r="Q953" s="629"/>
    </row>
    <row r="954" spans="1:17" ht="15.75" hidden="1" customHeight="1">
      <c r="A954" s="390" t="str">
        <f t="shared" ref="A954:B954" si="2491">A951</f>
        <v>PS</v>
      </c>
      <c r="B954" s="391" t="str">
        <f t="shared" si="2491"/>
        <v>film</v>
      </c>
      <c r="C954" s="391">
        <f t="shared" si="2476"/>
        <v>2</v>
      </c>
      <c r="D954" s="391" t="str">
        <f t="shared" ref="D954:E954" si="2492">D951</f>
        <v>1-10</v>
      </c>
      <c r="E954" s="391">
        <f t="shared" si="2492"/>
        <v>10</v>
      </c>
      <c r="F954" s="402" t="str">
        <f>F951</f>
        <v>fresh water</v>
      </c>
      <c r="G954" s="401" t="str">
        <f t="shared" si="2490"/>
        <v>DE: PS film 1-10 mm (emission to fresh water)</v>
      </c>
      <c r="H954" s="465">
        <v>0</v>
      </c>
      <c r="I954" s="397" t="s">
        <v>1034</v>
      </c>
      <c r="J954" s="654"/>
      <c r="K954" s="398" t="s">
        <v>596</v>
      </c>
      <c r="L954" s="538"/>
      <c r="M954" s="509">
        <f t="shared" si="2371"/>
        <v>0</v>
      </c>
      <c r="N954" s="647"/>
      <c r="O954" s="627"/>
      <c r="P954" s="629"/>
      <c r="Q954" s="629"/>
    </row>
    <row r="955" spans="1:17" ht="15.75" hidden="1" customHeight="1">
      <c r="A955" s="390" t="str">
        <f t="shared" ref="A955:B955" si="2493">A952</f>
        <v>PS</v>
      </c>
      <c r="B955" s="391" t="str">
        <f t="shared" si="2493"/>
        <v>film</v>
      </c>
      <c r="C955" s="391">
        <f t="shared" si="2476"/>
        <v>2</v>
      </c>
      <c r="D955" s="391" t="str">
        <f t="shared" ref="D955:E955" si="2494">D952</f>
        <v>1-10</v>
      </c>
      <c r="E955" s="391">
        <f t="shared" si="2494"/>
        <v>10</v>
      </c>
      <c r="F955" s="385" t="s">
        <v>1097</v>
      </c>
      <c r="G955" s="422" t="str">
        <f>CONCATENATE("DE: ",A955," ",B955," ",D955," mm (emission to ",F955,")")</f>
        <v>DE: PS film 1-10 mm (emission to marine water)</v>
      </c>
      <c r="H955" s="467">
        <v>0</v>
      </c>
      <c r="I955" s="388" t="s">
        <v>1019</v>
      </c>
      <c r="J955" s="634">
        <v>0.22800000000000001</v>
      </c>
      <c r="K955" s="395">
        <v>0</v>
      </c>
      <c r="L955" s="536"/>
      <c r="M955" s="509">
        <f t="shared" si="2371"/>
        <v>1000</v>
      </c>
      <c r="N955" s="645">
        <f t="shared" ref="N955" si="2495">IFERROR(H955*M955+H956*M956+H957*M957+H958*M958+H959*M959,"N.A.")</f>
        <v>1000</v>
      </c>
      <c r="O955" s="625"/>
      <c r="P955" s="628">
        <f t="shared" si="2398"/>
        <v>100</v>
      </c>
      <c r="Q955" s="628">
        <f t="shared" si="2481"/>
        <v>500</v>
      </c>
    </row>
    <row r="956" spans="1:17" ht="15.75" hidden="1" customHeight="1">
      <c r="A956" s="390" t="str">
        <f t="shared" ref="A956:B956" si="2496">A953</f>
        <v>PS</v>
      </c>
      <c r="B956" s="391" t="str">
        <f t="shared" si="2496"/>
        <v>film</v>
      </c>
      <c r="C956" s="391">
        <f t="shared" si="2476"/>
        <v>2</v>
      </c>
      <c r="D956" s="391" t="str">
        <f t="shared" ref="D956:E956" si="2497">D953</f>
        <v>1-10</v>
      </c>
      <c r="E956" s="391">
        <f t="shared" si="2497"/>
        <v>10</v>
      </c>
      <c r="F956" s="391" t="str">
        <f t="shared" ref="F956:G956" si="2498">F955</f>
        <v>marine water</v>
      </c>
      <c r="G956" s="401" t="str">
        <f t="shared" si="2498"/>
        <v>DE: PS film 1-10 mm (emission to marine water)</v>
      </c>
      <c r="H956" s="465">
        <v>0</v>
      </c>
      <c r="I956" s="394" t="s">
        <v>1097</v>
      </c>
      <c r="J956" s="635"/>
      <c r="K956" s="395">
        <v>0</v>
      </c>
      <c r="L956" s="537"/>
      <c r="M956" s="509">
        <f t="shared" si="2371"/>
        <v>1000</v>
      </c>
      <c r="N956" s="646"/>
      <c r="O956" s="626"/>
      <c r="P956" s="629"/>
      <c r="Q956" s="629"/>
    </row>
    <row r="957" spans="1:17" ht="15.75" hidden="1" customHeight="1">
      <c r="A957" s="390" t="str">
        <f t="shared" ref="A957:B957" si="2499">A954</f>
        <v>PS</v>
      </c>
      <c r="B957" s="391" t="str">
        <f t="shared" si="2499"/>
        <v>film</v>
      </c>
      <c r="C957" s="391">
        <f t="shared" si="2476"/>
        <v>2</v>
      </c>
      <c r="D957" s="391" t="str">
        <f t="shared" ref="D957:E957" si="2500">D954</f>
        <v>1-10</v>
      </c>
      <c r="E957" s="391">
        <f t="shared" si="2500"/>
        <v>10</v>
      </c>
      <c r="F957" s="391" t="str">
        <f t="shared" ref="F957:G957" si="2501">F956</f>
        <v>marine water</v>
      </c>
      <c r="G957" s="401" t="str">
        <f t="shared" si="2501"/>
        <v>DE: PS film 1-10 mm (emission to marine water)</v>
      </c>
      <c r="H957" s="465">
        <v>0</v>
      </c>
      <c r="I957" s="394" t="s">
        <v>1143</v>
      </c>
      <c r="J957" s="635"/>
      <c r="K957" s="395">
        <v>0</v>
      </c>
      <c r="L957" s="537"/>
      <c r="M957" s="509">
        <f t="shared" si="2371"/>
        <v>1000</v>
      </c>
      <c r="N957" s="646"/>
      <c r="O957" s="626"/>
      <c r="P957" s="629"/>
      <c r="Q957" s="629"/>
    </row>
    <row r="958" spans="1:17" ht="15.75" hidden="1" customHeight="1">
      <c r="A958" s="390" t="str">
        <f t="shared" ref="A958:B958" si="2502">A955</f>
        <v>PS</v>
      </c>
      <c r="B958" s="391" t="str">
        <f t="shared" si="2502"/>
        <v>film</v>
      </c>
      <c r="C958" s="391">
        <f t="shared" si="2476"/>
        <v>2</v>
      </c>
      <c r="D958" s="391" t="str">
        <f t="shared" ref="D958:E958" si="2503">D955</f>
        <v>1-10</v>
      </c>
      <c r="E958" s="391">
        <f t="shared" si="2503"/>
        <v>10</v>
      </c>
      <c r="F958" s="391" t="str">
        <f t="shared" ref="F958:G958" si="2504">F957</f>
        <v>marine water</v>
      </c>
      <c r="G958" s="401" t="str">
        <f t="shared" si="2504"/>
        <v>DE: PS film 1-10 mm (emission to marine water)</v>
      </c>
      <c r="H958" s="465">
        <v>1</v>
      </c>
      <c r="I958" s="394" t="s">
        <v>1146</v>
      </c>
      <c r="J958" s="635"/>
      <c r="K958" s="395">
        <v>0</v>
      </c>
      <c r="L958" s="537"/>
      <c r="M958" s="509">
        <f t="shared" si="2371"/>
        <v>1000</v>
      </c>
      <c r="N958" s="646"/>
      <c r="O958" s="626"/>
      <c r="P958" s="629"/>
      <c r="Q958" s="629"/>
    </row>
    <row r="959" spans="1:17" ht="15.75" hidden="1" customHeight="1">
      <c r="A959" s="390" t="str">
        <f t="shared" ref="A959:B959" si="2505">A956</f>
        <v>PS</v>
      </c>
      <c r="B959" s="391" t="str">
        <f t="shared" si="2505"/>
        <v>film</v>
      </c>
      <c r="C959" s="391">
        <f t="shared" si="2476"/>
        <v>2</v>
      </c>
      <c r="D959" s="391" t="str">
        <f t="shared" ref="D959:E959" si="2506">D956</f>
        <v>1-10</v>
      </c>
      <c r="E959" s="391">
        <f t="shared" si="2506"/>
        <v>10</v>
      </c>
      <c r="F959" s="391" t="str">
        <f t="shared" ref="F959:G959" si="2507">F958</f>
        <v>marine water</v>
      </c>
      <c r="G959" s="401" t="str">
        <f t="shared" si="2507"/>
        <v>DE: PS film 1-10 mm (emission to marine water)</v>
      </c>
      <c r="H959" s="465">
        <v>0</v>
      </c>
      <c r="I959" s="397" t="s">
        <v>1034</v>
      </c>
      <c r="J959" s="654"/>
      <c r="K959" s="398" t="s">
        <v>596</v>
      </c>
      <c r="L959" s="538"/>
      <c r="M959" s="509">
        <f t="shared" si="2371"/>
        <v>0</v>
      </c>
      <c r="N959" s="647"/>
      <c r="O959" s="627"/>
      <c r="P959" s="629"/>
      <c r="Q959" s="629"/>
    </row>
    <row r="960" spans="1:17" ht="15.75" hidden="1" customHeight="1">
      <c r="A960" s="390" t="str">
        <f t="shared" ref="A960:B960" si="2508">A957</f>
        <v>PS</v>
      </c>
      <c r="B960" s="391" t="str">
        <f t="shared" si="2508"/>
        <v>film</v>
      </c>
      <c r="C960" s="391">
        <f t="shared" si="2476"/>
        <v>2</v>
      </c>
      <c r="D960" s="391" t="str">
        <f t="shared" ref="D960:E960" si="2509">D957</f>
        <v>1-10</v>
      </c>
      <c r="E960" s="391">
        <f t="shared" si="2509"/>
        <v>10</v>
      </c>
      <c r="F960" s="400" t="s">
        <v>1057</v>
      </c>
      <c r="G960" s="422" t="str">
        <f>CONCATENATE("DE: ",A960," ",B960," ",D960," mm (emission to ",F960,")")</f>
        <v>DE: PS film 1-10 mm (emission to air)</v>
      </c>
      <c r="H960" s="467">
        <v>0.94799999999999995</v>
      </c>
      <c r="I960" s="388" t="s">
        <v>1019</v>
      </c>
      <c r="J960" s="634">
        <v>0.22800000000000001</v>
      </c>
      <c r="K960" s="395">
        <v>0</v>
      </c>
      <c r="L960" s="536"/>
      <c r="M960" s="509">
        <f t="shared" si="2371"/>
        <v>1000</v>
      </c>
      <c r="N960" s="645">
        <f t="shared" ref="N960" si="2510">IFERROR(H960*M960+H961*M961+H962*M962+H963*M963+H964*M964,"N.A.")</f>
        <v>1000</v>
      </c>
      <c r="O960" s="625"/>
      <c r="P960" s="628">
        <f t="shared" si="2398"/>
        <v>100</v>
      </c>
      <c r="Q960" s="628">
        <f t="shared" si="2481"/>
        <v>500</v>
      </c>
    </row>
    <row r="961" spans="1:17" ht="15.75" hidden="1" customHeight="1">
      <c r="A961" s="390" t="str">
        <f t="shared" ref="A961:B961" si="2511">A958</f>
        <v>PS</v>
      </c>
      <c r="B961" s="391" t="str">
        <f t="shared" si="2511"/>
        <v>film</v>
      </c>
      <c r="C961" s="391">
        <f t="shared" si="2476"/>
        <v>2</v>
      </c>
      <c r="D961" s="391" t="str">
        <f t="shared" ref="D961:E961" si="2512">D958</f>
        <v>1-10</v>
      </c>
      <c r="E961" s="391">
        <f t="shared" si="2512"/>
        <v>10</v>
      </c>
      <c r="F961" s="391" t="str">
        <f t="shared" ref="F961:G961" si="2513">F960</f>
        <v>air</v>
      </c>
      <c r="G961" s="401" t="str">
        <f t="shared" si="2513"/>
        <v>DE: PS film 1-10 mm (emission to air)</v>
      </c>
      <c r="H961" s="465">
        <v>0</v>
      </c>
      <c r="I961" s="394" t="s">
        <v>1097</v>
      </c>
      <c r="J961" s="635"/>
      <c r="K961" s="395">
        <v>0</v>
      </c>
      <c r="L961" s="537"/>
      <c r="M961" s="509">
        <f t="shared" si="2371"/>
        <v>1000</v>
      </c>
      <c r="N961" s="646"/>
      <c r="O961" s="626"/>
      <c r="P961" s="629"/>
      <c r="Q961" s="629"/>
    </row>
    <row r="962" spans="1:17" ht="15.75" hidden="1" customHeight="1">
      <c r="A962" s="390" t="str">
        <f t="shared" ref="A962:B962" si="2514">A959</f>
        <v>PS</v>
      </c>
      <c r="B962" s="391" t="str">
        <f t="shared" si="2514"/>
        <v>film</v>
      </c>
      <c r="C962" s="391">
        <f t="shared" ref="C962:C964" si="2515">C961</f>
        <v>2</v>
      </c>
      <c r="D962" s="391" t="str">
        <f t="shared" ref="D962:E962" si="2516">D959</f>
        <v>1-10</v>
      </c>
      <c r="E962" s="391">
        <f t="shared" si="2516"/>
        <v>10</v>
      </c>
      <c r="F962" s="391" t="str">
        <f t="shared" ref="F962:G962" si="2517">F961</f>
        <v>air</v>
      </c>
      <c r="G962" s="401" t="str">
        <f t="shared" si="2517"/>
        <v>DE: PS film 1-10 mm (emission to air)</v>
      </c>
      <c r="H962" s="465">
        <v>4.7E-2</v>
      </c>
      <c r="I962" s="394" t="s">
        <v>1143</v>
      </c>
      <c r="J962" s="635"/>
      <c r="K962" s="395">
        <v>0</v>
      </c>
      <c r="L962" s="537"/>
      <c r="M962" s="509">
        <f t="shared" si="2371"/>
        <v>1000</v>
      </c>
      <c r="N962" s="646"/>
      <c r="O962" s="626"/>
      <c r="P962" s="629"/>
      <c r="Q962" s="629"/>
    </row>
    <row r="963" spans="1:17" ht="15.75" hidden="1" customHeight="1">
      <c r="A963" s="390" t="str">
        <f t="shared" ref="A963:B963" si="2518">A960</f>
        <v>PS</v>
      </c>
      <c r="B963" s="391" t="str">
        <f t="shared" si="2518"/>
        <v>film</v>
      </c>
      <c r="C963" s="391">
        <f t="shared" si="2515"/>
        <v>2</v>
      </c>
      <c r="D963" s="391" t="str">
        <f t="shared" ref="D963:E963" si="2519">D960</f>
        <v>1-10</v>
      </c>
      <c r="E963" s="391">
        <f t="shared" si="2519"/>
        <v>10</v>
      </c>
      <c r="F963" s="391" t="str">
        <f t="shared" ref="F963:G963" si="2520">F962</f>
        <v>air</v>
      </c>
      <c r="G963" s="401" t="str">
        <f t="shared" si="2520"/>
        <v>DE: PS film 1-10 mm (emission to air)</v>
      </c>
      <c r="H963" s="465">
        <v>5.0000000000000001E-3</v>
      </c>
      <c r="I963" s="394" t="s">
        <v>1146</v>
      </c>
      <c r="J963" s="635"/>
      <c r="K963" s="395">
        <v>0</v>
      </c>
      <c r="L963" s="537"/>
      <c r="M963" s="509">
        <f t="shared" si="2371"/>
        <v>1000</v>
      </c>
      <c r="N963" s="646"/>
      <c r="O963" s="626"/>
      <c r="P963" s="629"/>
      <c r="Q963" s="629"/>
    </row>
    <row r="964" spans="1:17" ht="15.75" hidden="1" customHeight="1" thickBot="1">
      <c r="A964" s="452" t="str">
        <f t="shared" ref="A964:B964" si="2521">A959</f>
        <v>PS</v>
      </c>
      <c r="B964" s="453" t="str">
        <f t="shared" si="2521"/>
        <v>film</v>
      </c>
      <c r="C964" s="453">
        <f t="shared" si="2515"/>
        <v>2</v>
      </c>
      <c r="D964" s="453" t="str">
        <f t="shared" ref="D964:E964" si="2522">D959</f>
        <v>1-10</v>
      </c>
      <c r="E964" s="453">
        <f t="shared" si="2522"/>
        <v>10</v>
      </c>
      <c r="F964" s="453" t="str">
        <f t="shared" ref="F964:G964" si="2523">F963</f>
        <v>air</v>
      </c>
      <c r="G964" s="454" t="str">
        <f t="shared" si="2523"/>
        <v>DE: PS film 1-10 mm (emission to air)</v>
      </c>
      <c r="H964" s="473">
        <v>0</v>
      </c>
      <c r="I964" s="456" t="s">
        <v>1034</v>
      </c>
      <c r="J964" s="636"/>
      <c r="K964" s="457" t="s">
        <v>596</v>
      </c>
      <c r="L964" s="543"/>
      <c r="M964" s="509">
        <f t="shared" si="2371"/>
        <v>0</v>
      </c>
      <c r="N964" s="647"/>
      <c r="O964" s="627"/>
      <c r="P964" s="629"/>
      <c r="Q964" s="629"/>
    </row>
    <row r="965" spans="1:17" ht="15.75" hidden="1" customHeight="1">
      <c r="A965" s="381" t="s">
        <v>240</v>
      </c>
      <c r="B965" s="382" t="s">
        <v>1151</v>
      </c>
      <c r="C965" s="383">
        <v>4</v>
      </c>
      <c r="D965" s="475" t="s">
        <v>1018</v>
      </c>
      <c r="E965" s="384">
        <v>0.1</v>
      </c>
      <c r="F965" s="385" t="s">
        <v>1019</v>
      </c>
      <c r="G965" s="386" t="str">
        <f>CONCATENATE("DE: ",A965," ",B965," ",D965," mm (emission to ",F965,")")</f>
        <v>DE: PS fiber 0,01-0,1 mm (emission to soil)</v>
      </c>
      <c r="H965" s="466">
        <v>0.97</v>
      </c>
      <c r="I965" s="388" t="s">
        <v>1019</v>
      </c>
      <c r="J965" s="632">
        <v>0.22800000000000001</v>
      </c>
      <c r="K965" s="389">
        <v>0</v>
      </c>
      <c r="L965" s="536"/>
      <c r="M965" s="509">
        <f t="shared" si="2371"/>
        <v>1000</v>
      </c>
      <c r="N965" s="645">
        <f t="shared" ref="N965" si="2524">IFERROR(H965*M965+H966*M966+H967*M967+H968*M968+H969*M969,"N.A.")</f>
        <v>1000</v>
      </c>
      <c r="O965" s="625"/>
      <c r="P965" s="628">
        <f t="shared" si="2398"/>
        <v>100</v>
      </c>
      <c r="Q965" s="628">
        <f t="shared" si="2481"/>
        <v>500</v>
      </c>
    </row>
    <row r="966" spans="1:17" ht="15.75" hidden="1" customHeight="1">
      <c r="A966" s="390" t="str">
        <f>A965</f>
        <v>PS</v>
      </c>
      <c r="B966" s="391" t="str">
        <f>B965</f>
        <v>fiber</v>
      </c>
      <c r="C966" s="391">
        <f t="shared" ref="C966:G981" si="2525">C965</f>
        <v>4</v>
      </c>
      <c r="D966" s="391" t="str">
        <f t="shared" si="2525"/>
        <v>0,01-0,1</v>
      </c>
      <c r="E966" s="391">
        <f t="shared" si="2525"/>
        <v>0.1</v>
      </c>
      <c r="F966" s="391" t="str">
        <f t="shared" si="2525"/>
        <v>soil</v>
      </c>
      <c r="G966" s="392" t="str">
        <f t="shared" si="2525"/>
        <v>DE: PS fiber 0,01-0,1 mm (emission to soil)</v>
      </c>
      <c r="H966" s="465">
        <v>0</v>
      </c>
      <c r="I966" s="394" t="s">
        <v>1097</v>
      </c>
      <c r="J966" s="632"/>
      <c r="K966" s="395">
        <v>0</v>
      </c>
      <c r="L966" s="537"/>
      <c r="M966" s="509">
        <f t="shared" ref="M966:M1029" si="2526">IFERROR(IF(K966="--",0,IF(E966*1000/K966*(1-0.5)^(C966/2)&gt;1000,1000,E966*1000/K966*(1-0.5)^(C966/2))),1000)</f>
        <v>1000</v>
      </c>
      <c r="N966" s="646"/>
      <c r="O966" s="626"/>
      <c r="P966" s="629"/>
      <c r="Q966" s="629"/>
    </row>
    <row r="967" spans="1:17" ht="15.75" hidden="1" customHeight="1">
      <c r="A967" s="390" t="str">
        <f t="shared" ref="A967:B968" si="2527">A966</f>
        <v>PS</v>
      </c>
      <c r="B967" s="391" t="str">
        <f t="shared" si="2527"/>
        <v>fiber</v>
      </c>
      <c r="C967" s="391">
        <f t="shared" si="2525"/>
        <v>4</v>
      </c>
      <c r="D967" s="391" t="str">
        <f t="shared" si="2525"/>
        <v>0,01-0,1</v>
      </c>
      <c r="E967" s="391">
        <f t="shared" si="2525"/>
        <v>0.1</v>
      </c>
      <c r="F967" s="391" t="str">
        <f t="shared" si="2525"/>
        <v>soil</v>
      </c>
      <c r="G967" s="392" t="str">
        <f t="shared" si="2525"/>
        <v>DE: PS fiber 0,01-0,1 mm (emission to soil)</v>
      </c>
      <c r="H967" s="465">
        <v>2.7E-2</v>
      </c>
      <c r="I967" s="394" t="s">
        <v>1143</v>
      </c>
      <c r="J967" s="632"/>
      <c r="K967" s="395">
        <v>0</v>
      </c>
      <c r="L967" s="537"/>
      <c r="M967" s="509">
        <f t="shared" si="2526"/>
        <v>1000</v>
      </c>
      <c r="N967" s="646"/>
      <c r="O967" s="626"/>
      <c r="P967" s="629"/>
      <c r="Q967" s="629"/>
    </row>
    <row r="968" spans="1:17" ht="15.75" hidden="1" customHeight="1">
      <c r="A968" s="390" t="str">
        <f t="shared" si="2527"/>
        <v>PS</v>
      </c>
      <c r="B968" s="391" t="str">
        <f t="shared" si="2527"/>
        <v>fiber</v>
      </c>
      <c r="C968" s="391">
        <f t="shared" si="2525"/>
        <v>4</v>
      </c>
      <c r="D968" s="391" t="str">
        <f t="shared" si="2525"/>
        <v>0,01-0,1</v>
      </c>
      <c r="E968" s="391">
        <f t="shared" si="2525"/>
        <v>0.1</v>
      </c>
      <c r="F968" s="391" t="str">
        <f t="shared" si="2525"/>
        <v>soil</v>
      </c>
      <c r="G968" s="392" t="str">
        <f t="shared" si="2525"/>
        <v>DE: PS fiber 0,01-0,1 mm (emission to soil)</v>
      </c>
      <c r="H968" s="465">
        <v>3.0000000000000001E-3</v>
      </c>
      <c r="I968" s="394" t="s">
        <v>1146</v>
      </c>
      <c r="J968" s="632"/>
      <c r="K968" s="395">
        <v>0</v>
      </c>
      <c r="L968" s="537"/>
      <c r="M968" s="509">
        <f t="shared" si="2526"/>
        <v>1000</v>
      </c>
      <c r="N968" s="646"/>
      <c r="O968" s="626"/>
      <c r="P968" s="629"/>
      <c r="Q968" s="629"/>
    </row>
    <row r="969" spans="1:17" ht="15.75" hidden="1" customHeight="1">
      <c r="A969" s="390" t="str">
        <f>A966</f>
        <v>PS</v>
      </c>
      <c r="B969" s="391" t="str">
        <f>B966</f>
        <v>fiber</v>
      </c>
      <c r="C969" s="391">
        <f t="shared" si="2525"/>
        <v>4</v>
      </c>
      <c r="D969" s="391" t="str">
        <f>D966</f>
        <v>0,01-0,1</v>
      </c>
      <c r="E969" s="391">
        <f>E966</f>
        <v>0.1</v>
      </c>
      <c r="F969" s="391" t="str">
        <f>F966</f>
        <v>soil</v>
      </c>
      <c r="G969" s="396" t="str">
        <f t="shared" si="2525"/>
        <v>DE: PS fiber 0,01-0,1 mm (emission to soil)</v>
      </c>
      <c r="H969" s="465">
        <v>0</v>
      </c>
      <c r="I969" s="397" t="s">
        <v>1034</v>
      </c>
      <c r="J969" s="633"/>
      <c r="K969" s="398" t="s">
        <v>596</v>
      </c>
      <c r="L969" s="538"/>
      <c r="M969" s="509">
        <f t="shared" si="2526"/>
        <v>0</v>
      </c>
      <c r="N969" s="647"/>
      <c r="O969" s="627"/>
      <c r="P969" s="629"/>
      <c r="Q969" s="629"/>
    </row>
    <row r="970" spans="1:17" ht="15.75" hidden="1" customHeight="1">
      <c r="A970" s="390" t="str">
        <f t="shared" ref="A970:B970" si="2528">A967</f>
        <v>PS</v>
      </c>
      <c r="B970" s="391" t="str">
        <f t="shared" si="2528"/>
        <v>fiber</v>
      </c>
      <c r="C970" s="391">
        <f t="shared" si="2525"/>
        <v>4</v>
      </c>
      <c r="D970" s="399" t="str">
        <f t="shared" ref="D970:E970" si="2529">D967</f>
        <v>0,01-0,1</v>
      </c>
      <c r="E970" s="391">
        <f t="shared" si="2529"/>
        <v>0.1</v>
      </c>
      <c r="F970" s="400" t="s">
        <v>1147</v>
      </c>
      <c r="G970" s="386" t="str">
        <f>CONCATENATE("DE: ",A970," ",B970," ",D970," mm (emission to ",F970,")")</f>
        <v>DE: PS fiber 0,01-0,1 mm (emission to fresh water)</v>
      </c>
      <c r="H970" s="466">
        <v>0</v>
      </c>
      <c r="I970" s="388" t="s">
        <v>1019</v>
      </c>
      <c r="J970" s="634">
        <v>0.22800000000000001</v>
      </c>
      <c r="K970" s="389">
        <v>0</v>
      </c>
      <c r="L970" s="536"/>
      <c r="M970" s="509">
        <f t="shared" si="2526"/>
        <v>1000</v>
      </c>
      <c r="N970" s="645">
        <f t="shared" ref="N970" si="2530">IFERROR(H970*M970+H971*M971+H972*M972+H973*M973+H974*M974,"N.A.")</f>
        <v>1000</v>
      </c>
      <c r="O970" s="625"/>
      <c r="P970" s="628">
        <f t="shared" si="2398"/>
        <v>100</v>
      </c>
      <c r="Q970" s="628">
        <f t="shared" si="2481"/>
        <v>500</v>
      </c>
    </row>
    <row r="971" spans="1:17" ht="15.75" hidden="1" customHeight="1">
      <c r="A971" s="390" t="str">
        <f t="shared" ref="A971:B971" si="2531">A968</f>
        <v>PS</v>
      </c>
      <c r="B971" s="391" t="str">
        <f t="shared" si="2531"/>
        <v>fiber</v>
      </c>
      <c r="C971" s="391">
        <f t="shared" si="2525"/>
        <v>4</v>
      </c>
      <c r="D971" s="391" t="str">
        <f t="shared" ref="D971:E971" si="2532">D968</f>
        <v>0,01-0,1</v>
      </c>
      <c r="E971" s="391">
        <f t="shared" si="2532"/>
        <v>0.1</v>
      </c>
      <c r="F971" s="391" t="str">
        <f t="shared" ref="F971:G971" si="2533">F970</f>
        <v>fresh water</v>
      </c>
      <c r="G971" s="401" t="str">
        <f t="shared" si="2533"/>
        <v>DE: PS fiber 0,01-0,1 mm (emission to fresh water)</v>
      </c>
      <c r="H971" s="465">
        <v>0</v>
      </c>
      <c r="I971" s="394" t="s">
        <v>1097</v>
      </c>
      <c r="J971" s="635"/>
      <c r="K971" s="389">
        <v>0</v>
      </c>
      <c r="L971" s="536"/>
      <c r="M971" s="509">
        <f t="shared" si="2526"/>
        <v>1000</v>
      </c>
      <c r="N971" s="646"/>
      <c r="O971" s="626"/>
      <c r="P971" s="629"/>
      <c r="Q971" s="629"/>
    </row>
    <row r="972" spans="1:17" ht="15.75" hidden="1" customHeight="1">
      <c r="A972" s="390" t="str">
        <f t="shared" ref="A972:B972" si="2534">A969</f>
        <v>PS</v>
      </c>
      <c r="B972" s="391" t="str">
        <f t="shared" si="2534"/>
        <v>fiber</v>
      </c>
      <c r="C972" s="391">
        <f t="shared" si="2525"/>
        <v>4</v>
      </c>
      <c r="D972" s="391" t="str">
        <f t="shared" ref="D972:E972" si="2535">D969</f>
        <v>0,01-0,1</v>
      </c>
      <c r="E972" s="391">
        <f t="shared" si="2535"/>
        <v>0.1</v>
      </c>
      <c r="F972" s="391" t="str">
        <f t="shared" ref="F972:G972" si="2536">F971</f>
        <v>fresh water</v>
      </c>
      <c r="G972" s="401" t="str">
        <f t="shared" si="2536"/>
        <v>DE: PS fiber 0,01-0,1 mm (emission to fresh water)</v>
      </c>
      <c r="H972" s="465">
        <v>0.89</v>
      </c>
      <c r="I972" s="394" t="s">
        <v>1143</v>
      </c>
      <c r="J972" s="635"/>
      <c r="K972" s="389">
        <v>0</v>
      </c>
      <c r="L972" s="536"/>
      <c r="M972" s="509">
        <f t="shared" si="2526"/>
        <v>1000</v>
      </c>
      <c r="N972" s="646"/>
      <c r="O972" s="626"/>
      <c r="P972" s="629"/>
      <c r="Q972" s="629"/>
    </row>
    <row r="973" spans="1:17" ht="15.75" hidden="1" customHeight="1">
      <c r="A973" s="390" t="str">
        <f t="shared" ref="A973:B973" si="2537">A970</f>
        <v>PS</v>
      </c>
      <c r="B973" s="391" t="str">
        <f t="shared" si="2537"/>
        <v>fiber</v>
      </c>
      <c r="C973" s="391">
        <f t="shared" si="2525"/>
        <v>4</v>
      </c>
      <c r="D973" s="391" t="str">
        <f t="shared" ref="D973:E973" si="2538">D970</f>
        <v>0,01-0,1</v>
      </c>
      <c r="E973" s="391">
        <f t="shared" si="2538"/>
        <v>0.1</v>
      </c>
      <c r="F973" s="391" t="str">
        <f t="shared" ref="F973:G974" si="2539">F972</f>
        <v>fresh water</v>
      </c>
      <c r="G973" s="401" t="str">
        <f t="shared" si="2539"/>
        <v>DE: PS fiber 0,01-0,1 mm (emission to fresh water)</v>
      </c>
      <c r="H973" s="465">
        <v>0.11</v>
      </c>
      <c r="I973" s="394" t="s">
        <v>1146</v>
      </c>
      <c r="J973" s="635"/>
      <c r="K973" s="389">
        <v>0</v>
      </c>
      <c r="L973" s="536"/>
      <c r="M973" s="509">
        <f t="shared" si="2526"/>
        <v>1000</v>
      </c>
      <c r="N973" s="646"/>
      <c r="O973" s="626"/>
      <c r="P973" s="629"/>
      <c r="Q973" s="629"/>
    </row>
    <row r="974" spans="1:17" ht="15.75" hidden="1" customHeight="1">
      <c r="A974" s="390" t="str">
        <f t="shared" ref="A974:B974" si="2540">A971</f>
        <v>PS</v>
      </c>
      <c r="B974" s="391" t="str">
        <f t="shared" si="2540"/>
        <v>fiber</v>
      </c>
      <c r="C974" s="391">
        <f t="shared" si="2525"/>
        <v>4</v>
      </c>
      <c r="D974" s="391" t="str">
        <f t="shared" ref="D974:E974" si="2541">D971</f>
        <v>0,01-0,1</v>
      </c>
      <c r="E974" s="391">
        <f t="shared" si="2541"/>
        <v>0.1</v>
      </c>
      <c r="F974" s="402" t="str">
        <f>F971</f>
        <v>fresh water</v>
      </c>
      <c r="G974" s="401" t="str">
        <f t="shared" si="2539"/>
        <v>DE: PS fiber 0,01-0,1 mm (emission to fresh water)</v>
      </c>
      <c r="H974" s="465">
        <v>0</v>
      </c>
      <c r="I974" s="397" t="s">
        <v>1034</v>
      </c>
      <c r="J974" s="654"/>
      <c r="K974" s="398" t="s">
        <v>596</v>
      </c>
      <c r="L974" s="538"/>
      <c r="M974" s="509">
        <f t="shared" si="2526"/>
        <v>0</v>
      </c>
      <c r="N974" s="647"/>
      <c r="O974" s="627"/>
      <c r="P974" s="629"/>
      <c r="Q974" s="629"/>
    </row>
    <row r="975" spans="1:17" ht="15.75" hidden="1" customHeight="1">
      <c r="A975" s="390" t="str">
        <f t="shared" ref="A975:B975" si="2542">A972</f>
        <v>PS</v>
      </c>
      <c r="B975" s="391" t="str">
        <f t="shared" si="2542"/>
        <v>fiber</v>
      </c>
      <c r="C975" s="391">
        <f t="shared" si="2525"/>
        <v>4</v>
      </c>
      <c r="D975" s="391" t="str">
        <f t="shared" ref="D975:E975" si="2543">D972</f>
        <v>0,01-0,1</v>
      </c>
      <c r="E975" s="391">
        <f t="shared" si="2543"/>
        <v>0.1</v>
      </c>
      <c r="F975" s="385" t="s">
        <v>1097</v>
      </c>
      <c r="G975" s="422" t="str">
        <f>CONCATENATE("DE: ",A975," ",B975," ",D975," mm (emission to ",F975,")")</f>
        <v>DE: PS fiber 0,01-0,1 mm (emission to marine water)</v>
      </c>
      <c r="H975" s="467">
        <v>0</v>
      </c>
      <c r="I975" s="388" t="s">
        <v>1019</v>
      </c>
      <c r="J975" s="634">
        <v>0.22800000000000001</v>
      </c>
      <c r="K975" s="395">
        <v>0</v>
      </c>
      <c r="L975" s="536"/>
      <c r="M975" s="509">
        <f t="shared" si="2526"/>
        <v>1000</v>
      </c>
      <c r="N975" s="645">
        <f t="shared" ref="N975" si="2544">IFERROR(H975*M975+H976*M976+H977*M977+H978*M978+H979*M979,"N.A.")</f>
        <v>1000</v>
      </c>
      <c r="O975" s="625"/>
      <c r="P975" s="628">
        <f t="shared" si="2398"/>
        <v>100</v>
      </c>
      <c r="Q975" s="628">
        <f t="shared" si="2481"/>
        <v>500</v>
      </c>
    </row>
    <row r="976" spans="1:17" ht="15.75" hidden="1" customHeight="1">
      <c r="A976" s="390" t="str">
        <f t="shared" ref="A976:B976" si="2545">A973</f>
        <v>PS</v>
      </c>
      <c r="B976" s="391" t="str">
        <f t="shared" si="2545"/>
        <v>fiber</v>
      </c>
      <c r="C976" s="391">
        <f t="shared" si="2525"/>
        <v>4</v>
      </c>
      <c r="D976" s="391" t="str">
        <f t="shared" ref="D976:E976" si="2546">D973</f>
        <v>0,01-0,1</v>
      </c>
      <c r="E976" s="391">
        <f t="shared" si="2546"/>
        <v>0.1</v>
      </c>
      <c r="F976" s="391" t="str">
        <f t="shared" ref="F976:G976" si="2547">F975</f>
        <v>marine water</v>
      </c>
      <c r="G976" s="401" t="str">
        <f t="shared" si="2547"/>
        <v>DE: PS fiber 0,01-0,1 mm (emission to marine water)</v>
      </c>
      <c r="H976" s="465">
        <v>0</v>
      </c>
      <c r="I976" s="394" t="s">
        <v>1097</v>
      </c>
      <c r="J976" s="635"/>
      <c r="K976" s="395">
        <v>0</v>
      </c>
      <c r="L976" s="537"/>
      <c r="M976" s="509">
        <f t="shared" si="2526"/>
        <v>1000</v>
      </c>
      <c r="N976" s="646"/>
      <c r="O976" s="626"/>
      <c r="P976" s="629"/>
      <c r="Q976" s="629"/>
    </row>
    <row r="977" spans="1:17" ht="15.75" hidden="1" customHeight="1">
      <c r="A977" s="390" t="str">
        <f t="shared" ref="A977:B977" si="2548">A974</f>
        <v>PS</v>
      </c>
      <c r="B977" s="391" t="str">
        <f t="shared" si="2548"/>
        <v>fiber</v>
      </c>
      <c r="C977" s="391">
        <f t="shared" si="2525"/>
        <v>4</v>
      </c>
      <c r="D977" s="391" t="str">
        <f t="shared" ref="D977:E977" si="2549">D974</f>
        <v>0,01-0,1</v>
      </c>
      <c r="E977" s="391">
        <f t="shared" si="2549"/>
        <v>0.1</v>
      </c>
      <c r="F977" s="391" t="str">
        <f t="shared" ref="F977:G977" si="2550">F976</f>
        <v>marine water</v>
      </c>
      <c r="G977" s="401" t="str">
        <f t="shared" si="2550"/>
        <v>DE: PS fiber 0,01-0,1 mm (emission to marine water)</v>
      </c>
      <c r="H977" s="465">
        <v>0</v>
      </c>
      <c r="I977" s="394" t="s">
        <v>1143</v>
      </c>
      <c r="J977" s="635"/>
      <c r="K977" s="395">
        <v>0</v>
      </c>
      <c r="L977" s="537"/>
      <c r="M977" s="509">
        <f t="shared" si="2526"/>
        <v>1000</v>
      </c>
      <c r="N977" s="646"/>
      <c r="O977" s="626"/>
      <c r="P977" s="629"/>
      <c r="Q977" s="629"/>
    </row>
    <row r="978" spans="1:17" ht="15.75" hidden="1" customHeight="1">
      <c r="A978" s="390" t="str">
        <f t="shared" ref="A978:B978" si="2551">A975</f>
        <v>PS</v>
      </c>
      <c r="B978" s="391" t="str">
        <f t="shared" si="2551"/>
        <v>fiber</v>
      </c>
      <c r="C978" s="391">
        <f t="shared" si="2525"/>
        <v>4</v>
      </c>
      <c r="D978" s="391" t="str">
        <f t="shared" ref="D978:E978" si="2552">D975</f>
        <v>0,01-0,1</v>
      </c>
      <c r="E978" s="391">
        <f t="shared" si="2552"/>
        <v>0.1</v>
      </c>
      <c r="F978" s="391" t="str">
        <f t="shared" ref="F978:G978" si="2553">F977</f>
        <v>marine water</v>
      </c>
      <c r="G978" s="401" t="str">
        <f t="shared" si="2553"/>
        <v>DE: PS fiber 0,01-0,1 mm (emission to marine water)</v>
      </c>
      <c r="H978" s="465">
        <v>1</v>
      </c>
      <c r="I978" s="394" t="s">
        <v>1146</v>
      </c>
      <c r="J978" s="635"/>
      <c r="K978" s="395">
        <v>0</v>
      </c>
      <c r="L978" s="537"/>
      <c r="M978" s="509">
        <f t="shared" si="2526"/>
        <v>1000</v>
      </c>
      <c r="N978" s="646"/>
      <c r="O978" s="626"/>
      <c r="P978" s="629"/>
      <c r="Q978" s="629"/>
    </row>
    <row r="979" spans="1:17" ht="15.75" hidden="1" customHeight="1">
      <c r="A979" s="390" t="str">
        <f t="shared" ref="A979:B979" si="2554">A976</f>
        <v>PS</v>
      </c>
      <c r="B979" s="391" t="str">
        <f t="shared" si="2554"/>
        <v>fiber</v>
      </c>
      <c r="C979" s="391">
        <f t="shared" si="2525"/>
        <v>4</v>
      </c>
      <c r="D979" s="391" t="str">
        <f t="shared" ref="D979:E979" si="2555">D976</f>
        <v>0,01-0,1</v>
      </c>
      <c r="E979" s="391">
        <f t="shared" si="2555"/>
        <v>0.1</v>
      </c>
      <c r="F979" s="391" t="str">
        <f t="shared" ref="F979:G979" si="2556">F978</f>
        <v>marine water</v>
      </c>
      <c r="G979" s="401" t="str">
        <f t="shared" si="2556"/>
        <v>DE: PS fiber 0,01-0,1 mm (emission to marine water)</v>
      </c>
      <c r="H979" s="465">
        <v>0</v>
      </c>
      <c r="I979" s="397" t="s">
        <v>1034</v>
      </c>
      <c r="J979" s="654"/>
      <c r="K979" s="398" t="s">
        <v>596</v>
      </c>
      <c r="L979" s="538"/>
      <c r="M979" s="509">
        <f t="shared" si="2526"/>
        <v>0</v>
      </c>
      <c r="N979" s="647"/>
      <c r="O979" s="627"/>
      <c r="P979" s="629"/>
      <c r="Q979" s="629"/>
    </row>
    <row r="980" spans="1:17" ht="15.75" hidden="1" customHeight="1">
      <c r="A980" s="390" t="str">
        <f t="shared" ref="A980:B980" si="2557">A977</f>
        <v>PS</v>
      </c>
      <c r="B980" s="391" t="str">
        <f t="shared" si="2557"/>
        <v>fiber</v>
      </c>
      <c r="C980" s="391">
        <f t="shared" si="2525"/>
        <v>4</v>
      </c>
      <c r="D980" s="391" t="str">
        <f t="shared" ref="D980:E980" si="2558">D977</f>
        <v>0,01-0,1</v>
      </c>
      <c r="E980" s="391">
        <f t="shared" si="2558"/>
        <v>0.1</v>
      </c>
      <c r="F980" s="400" t="s">
        <v>1057</v>
      </c>
      <c r="G980" s="422" t="str">
        <f>CONCATENATE("DE: ",A980," ",B980," ",D980," mm (emission to ",F980,")")</f>
        <v>DE: PS fiber 0,01-0,1 mm (emission to air)</v>
      </c>
      <c r="H980" s="467">
        <v>0.94799999999999995</v>
      </c>
      <c r="I980" s="388" t="s">
        <v>1019</v>
      </c>
      <c r="J980" s="634">
        <v>0.22800000000000001</v>
      </c>
      <c r="K980" s="395">
        <v>0</v>
      </c>
      <c r="L980" s="536"/>
      <c r="M980" s="509">
        <f t="shared" si="2526"/>
        <v>1000</v>
      </c>
      <c r="N980" s="645">
        <f t="shared" ref="N980" si="2559">IFERROR(H980*M980+H981*M981+H982*M982+H983*M983+H984*M984,"N.A.")</f>
        <v>1000</v>
      </c>
      <c r="O980" s="625"/>
      <c r="P980" s="628">
        <f t="shared" ref="P980:P1040" si="2560">IFERROR(IF(H980*M980+H981*M981+H982*M982+H983*M983+H984*M984&gt;100,100,H980*M980+H981*M981+H982*M982+H983*M983+H984*M984),"N.A.")</f>
        <v>100</v>
      </c>
      <c r="Q980" s="628">
        <f t="shared" si="2481"/>
        <v>500</v>
      </c>
    </row>
    <row r="981" spans="1:17" ht="15.75" hidden="1" customHeight="1">
      <c r="A981" s="390" t="str">
        <f t="shared" ref="A981:B981" si="2561">A978</f>
        <v>PS</v>
      </c>
      <c r="B981" s="391" t="str">
        <f t="shared" si="2561"/>
        <v>fiber</v>
      </c>
      <c r="C981" s="391">
        <f t="shared" si="2525"/>
        <v>4</v>
      </c>
      <c r="D981" s="391" t="str">
        <f t="shared" ref="D981:E981" si="2562">D978</f>
        <v>0,01-0,1</v>
      </c>
      <c r="E981" s="391">
        <f t="shared" si="2562"/>
        <v>0.1</v>
      </c>
      <c r="F981" s="391" t="str">
        <f t="shared" ref="F981:G981" si="2563">F980</f>
        <v>air</v>
      </c>
      <c r="G981" s="401" t="str">
        <f t="shared" si="2563"/>
        <v>DE: PS fiber 0,01-0,1 mm (emission to air)</v>
      </c>
      <c r="H981" s="465">
        <v>0</v>
      </c>
      <c r="I981" s="394" t="s">
        <v>1097</v>
      </c>
      <c r="J981" s="635"/>
      <c r="K981" s="395">
        <v>0</v>
      </c>
      <c r="L981" s="537"/>
      <c r="M981" s="509">
        <f t="shared" si="2526"/>
        <v>1000</v>
      </c>
      <c r="N981" s="646"/>
      <c r="O981" s="626"/>
      <c r="P981" s="629"/>
      <c r="Q981" s="629"/>
    </row>
    <row r="982" spans="1:17" ht="15.75" hidden="1" customHeight="1">
      <c r="A982" s="390" t="str">
        <f t="shared" ref="A982:B982" si="2564">A979</f>
        <v>PS</v>
      </c>
      <c r="B982" s="391" t="str">
        <f t="shared" si="2564"/>
        <v>fiber</v>
      </c>
      <c r="C982" s="391">
        <f t="shared" ref="C982:C984" si="2565">C981</f>
        <v>4</v>
      </c>
      <c r="D982" s="391" t="str">
        <f t="shared" ref="D982:E982" si="2566">D979</f>
        <v>0,01-0,1</v>
      </c>
      <c r="E982" s="391">
        <f t="shared" si="2566"/>
        <v>0.1</v>
      </c>
      <c r="F982" s="391" t="str">
        <f t="shared" ref="F982:G982" si="2567">F981</f>
        <v>air</v>
      </c>
      <c r="G982" s="401" t="str">
        <f t="shared" si="2567"/>
        <v>DE: PS fiber 0,01-0,1 mm (emission to air)</v>
      </c>
      <c r="H982" s="465">
        <v>4.7E-2</v>
      </c>
      <c r="I982" s="394" t="s">
        <v>1143</v>
      </c>
      <c r="J982" s="635"/>
      <c r="K982" s="395">
        <v>0</v>
      </c>
      <c r="L982" s="537"/>
      <c r="M982" s="509">
        <f t="shared" si="2526"/>
        <v>1000</v>
      </c>
      <c r="N982" s="646"/>
      <c r="O982" s="626"/>
      <c r="P982" s="629"/>
      <c r="Q982" s="629"/>
    </row>
    <row r="983" spans="1:17" ht="15.75" hidden="1" customHeight="1">
      <c r="A983" s="390" t="str">
        <f t="shared" ref="A983:B983" si="2568">A980</f>
        <v>PS</v>
      </c>
      <c r="B983" s="391" t="str">
        <f t="shared" si="2568"/>
        <v>fiber</v>
      </c>
      <c r="C983" s="391">
        <f t="shared" si="2565"/>
        <v>4</v>
      </c>
      <c r="D983" s="391" t="str">
        <f t="shared" ref="D983:E983" si="2569">D980</f>
        <v>0,01-0,1</v>
      </c>
      <c r="E983" s="391">
        <f t="shared" si="2569"/>
        <v>0.1</v>
      </c>
      <c r="F983" s="391" t="str">
        <f t="shared" ref="F983:G983" si="2570">F982</f>
        <v>air</v>
      </c>
      <c r="G983" s="401" t="str">
        <f t="shared" si="2570"/>
        <v>DE: PS fiber 0,01-0,1 mm (emission to air)</v>
      </c>
      <c r="H983" s="465">
        <v>5.0000000000000001E-3</v>
      </c>
      <c r="I983" s="394" t="s">
        <v>1146</v>
      </c>
      <c r="J983" s="635"/>
      <c r="K983" s="395">
        <v>0</v>
      </c>
      <c r="L983" s="537"/>
      <c r="M983" s="509">
        <f t="shared" si="2526"/>
        <v>1000</v>
      </c>
      <c r="N983" s="646"/>
      <c r="O983" s="626"/>
      <c r="P983" s="629"/>
      <c r="Q983" s="629"/>
    </row>
    <row r="984" spans="1:17" ht="15.75" hidden="1" customHeight="1" thickBot="1">
      <c r="A984" s="390" t="str">
        <f t="shared" ref="A984:B984" si="2571">A979</f>
        <v>PS</v>
      </c>
      <c r="B984" s="391" t="str">
        <f t="shared" si="2571"/>
        <v>fiber</v>
      </c>
      <c r="C984" s="391">
        <f t="shared" si="2565"/>
        <v>4</v>
      </c>
      <c r="D984" s="391" t="str">
        <f t="shared" ref="D984:E984" si="2572">D979</f>
        <v>0,01-0,1</v>
      </c>
      <c r="E984" s="391">
        <f t="shared" si="2572"/>
        <v>0.1</v>
      </c>
      <c r="F984" s="391" t="str">
        <f t="shared" ref="F984:G984" si="2573">F983</f>
        <v>air</v>
      </c>
      <c r="G984" s="401" t="str">
        <f t="shared" si="2573"/>
        <v>DE: PS fiber 0,01-0,1 mm (emission to air)</v>
      </c>
      <c r="H984" s="471">
        <v>0</v>
      </c>
      <c r="I984" s="422" t="s">
        <v>1034</v>
      </c>
      <c r="J984" s="636"/>
      <c r="K984" s="451" t="s">
        <v>596</v>
      </c>
      <c r="L984" s="542"/>
      <c r="M984" s="509">
        <f t="shared" si="2526"/>
        <v>0</v>
      </c>
      <c r="N984" s="647"/>
      <c r="O984" s="627"/>
      <c r="P984" s="629"/>
      <c r="Q984" s="629"/>
    </row>
    <row r="985" spans="1:17" ht="15.75" hidden="1" customHeight="1">
      <c r="A985" s="405" t="s">
        <v>240</v>
      </c>
      <c r="B985" s="406" t="s">
        <v>1151</v>
      </c>
      <c r="C985" s="407">
        <v>4</v>
      </c>
      <c r="D985" s="423" t="s">
        <v>1028</v>
      </c>
      <c r="E985" s="408">
        <v>1</v>
      </c>
      <c r="F985" s="424" t="s">
        <v>1019</v>
      </c>
      <c r="G985" s="425" t="str">
        <f>CONCATENATE("DE: ",A985," ",B985," ",D985," mm (emission to ",F985,")")</f>
        <v>DE: PS fiber 0,1-1 mm (emission to soil)</v>
      </c>
      <c r="H985" s="474">
        <v>0.97</v>
      </c>
      <c r="I985" s="427" t="s">
        <v>1019</v>
      </c>
      <c r="J985" s="632">
        <v>0.22800000000000001</v>
      </c>
      <c r="K985" s="428">
        <v>0</v>
      </c>
      <c r="L985" s="539"/>
      <c r="M985" s="509">
        <f t="shared" si="2526"/>
        <v>1000</v>
      </c>
      <c r="N985" s="645">
        <f t="shared" ref="N985" si="2574">IFERROR(H985*M985+H986*M986+H987*M987+H988*M988+H989*M989,"N.A.")</f>
        <v>1000</v>
      </c>
      <c r="O985" s="625"/>
      <c r="P985" s="628">
        <f t="shared" si="2560"/>
        <v>100</v>
      </c>
      <c r="Q985" s="628">
        <f t="shared" si="2481"/>
        <v>500</v>
      </c>
    </row>
    <row r="986" spans="1:17" ht="15.75" hidden="1" customHeight="1">
      <c r="A986" s="390" t="str">
        <f>A985</f>
        <v>PS</v>
      </c>
      <c r="B986" s="391" t="str">
        <f>B985</f>
        <v>fiber</v>
      </c>
      <c r="C986" s="391">
        <f t="shared" ref="C986:G1001" si="2575">C985</f>
        <v>4</v>
      </c>
      <c r="D986" s="391" t="str">
        <f t="shared" si="2575"/>
        <v>0,1-1</v>
      </c>
      <c r="E986" s="391">
        <f t="shared" si="2575"/>
        <v>1</v>
      </c>
      <c r="F986" s="391" t="str">
        <f t="shared" si="2575"/>
        <v>soil</v>
      </c>
      <c r="G986" s="392" t="str">
        <f t="shared" si="2575"/>
        <v>DE: PS fiber 0,1-1 mm (emission to soil)</v>
      </c>
      <c r="H986" s="465">
        <v>0</v>
      </c>
      <c r="I986" s="394" t="s">
        <v>1097</v>
      </c>
      <c r="J986" s="632"/>
      <c r="K986" s="395">
        <v>0</v>
      </c>
      <c r="L986" s="537"/>
      <c r="M986" s="509">
        <f t="shared" si="2526"/>
        <v>1000</v>
      </c>
      <c r="N986" s="646"/>
      <c r="O986" s="626"/>
      <c r="P986" s="629"/>
      <c r="Q986" s="629"/>
    </row>
    <row r="987" spans="1:17" ht="15.75" hidden="1" customHeight="1">
      <c r="A987" s="390" t="str">
        <f t="shared" ref="A987:B988" si="2576">A986</f>
        <v>PS</v>
      </c>
      <c r="B987" s="391" t="str">
        <f t="shared" si="2576"/>
        <v>fiber</v>
      </c>
      <c r="C987" s="391">
        <f t="shared" si="2575"/>
        <v>4</v>
      </c>
      <c r="D987" s="391" t="str">
        <f t="shared" si="2575"/>
        <v>0,1-1</v>
      </c>
      <c r="E987" s="391">
        <f t="shared" si="2575"/>
        <v>1</v>
      </c>
      <c r="F987" s="391" t="str">
        <f t="shared" si="2575"/>
        <v>soil</v>
      </c>
      <c r="G987" s="392" t="str">
        <f t="shared" si="2575"/>
        <v>DE: PS fiber 0,1-1 mm (emission to soil)</v>
      </c>
      <c r="H987" s="465">
        <v>2.7E-2</v>
      </c>
      <c r="I987" s="394" t="s">
        <v>1143</v>
      </c>
      <c r="J987" s="632"/>
      <c r="K987" s="395">
        <v>0</v>
      </c>
      <c r="L987" s="537"/>
      <c r="M987" s="509">
        <f t="shared" si="2526"/>
        <v>1000</v>
      </c>
      <c r="N987" s="646"/>
      <c r="O987" s="626"/>
      <c r="P987" s="629"/>
      <c r="Q987" s="629"/>
    </row>
    <row r="988" spans="1:17" ht="15.75" hidden="1" customHeight="1">
      <c r="A988" s="390" t="str">
        <f t="shared" si="2576"/>
        <v>PS</v>
      </c>
      <c r="B988" s="391" t="str">
        <f t="shared" si="2576"/>
        <v>fiber</v>
      </c>
      <c r="C988" s="391">
        <f t="shared" si="2575"/>
        <v>4</v>
      </c>
      <c r="D988" s="391" t="str">
        <f t="shared" si="2575"/>
        <v>0,1-1</v>
      </c>
      <c r="E988" s="391">
        <f t="shared" si="2575"/>
        <v>1</v>
      </c>
      <c r="F988" s="391" t="str">
        <f t="shared" si="2575"/>
        <v>soil</v>
      </c>
      <c r="G988" s="392" t="str">
        <f t="shared" si="2575"/>
        <v>DE: PS fiber 0,1-1 mm (emission to soil)</v>
      </c>
      <c r="H988" s="465">
        <v>3.0000000000000001E-3</v>
      </c>
      <c r="I988" s="394" t="s">
        <v>1146</v>
      </c>
      <c r="J988" s="632"/>
      <c r="K988" s="395">
        <v>0</v>
      </c>
      <c r="L988" s="537"/>
      <c r="M988" s="509">
        <f t="shared" si="2526"/>
        <v>1000</v>
      </c>
      <c r="N988" s="646"/>
      <c r="O988" s="626"/>
      <c r="P988" s="629"/>
      <c r="Q988" s="629"/>
    </row>
    <row r="989" spans="1:17" s="373" customFormat="1" ht="15.75" hidden="1" customHeight="1">
      <c r="A989" s="390" t="str">
        <f>A986</f>
        <v>PS</v>
      </c>
      <c r="B989" s="391" t="str">
        <f>B986</f>
        <v>fiber</v>
      </c>
      <c r="C989" s="391">
        <f t="shared" si="2575"/>
        <v>4</v>
      </c>
      <c r="D989" s="391" t="str">
        <f>D986</f>
        <v>0,1-1</v>
      </c>
      <c r="E989" s="391">
        <f>E986</f>
        <v>1</v>
      </c>
      <c r="F989" s="391" t="str">
        <f>F986</f>
        <v>soil</v>
      </c>
      <c r="G989" s="396" t="str">
        <f t="shared" si="2575"/>
        <v>DE: PS fiber 0,1-1 mm (emission to soil)</v>
      </c>
      <c r="H989" s="465">
        <v>0</v>
      </c>
      <c r="I989" s="397" t="s">
        <v>1034</v>
      </c>
      <c r="J989" s="633"/>
      <c r="K989" s="398" t="s">
        <v>596</v>
      </c>
      <c r="L989" s="538"/>
      <c r="M989" s="509">
        <f t="shared" si="2526"/>
        <v>0</v>
      </c>
      <c r="N989" s="647"/>
      <c r="O989" s="627"/>
      <c r="P989" s="629"/>
      <c r="Q989" s="629"/>
    </row>
    <row r="990" spans="1:17" s="373" customFormat="1" ht="15.75" hidden="1" customHeight="1">
      <c r="A990" s="390" t="str">
        <f t="shared" ref="A990:B990" si="2577">A987</f>
        <v>PS</v>
      </c>
      <c r="B990" s="391" t="str">
        <f t="shared" si="2577"/>
        <v>fiber</v>
      </c>
      <c r="C990" s="391">
        <f t="shared" si="2575"/>
        <v>4</v>
      </c>
      <c r="D990" s="399" t="str">
        <f t="shared" ref="D990:E990" si="2578">D987</f>
        <v>0,1-1</v>
      </c>
      <c r="E990" s="391">
        <f t="shared" si="2578"/>
        <v>1</v>
      </c>
      <c r="F990" s="400" t="s">
        <v>1147</v>
      </c>
      <c r="G990" s="386" t="str">
        <f>CONCATENATE("DE: ",A990," ",B990," ",D990," mm (emission to ",F990,")")</f>
        <v>DE: PS fiber 0,1-1 mm (emission to fresh water)</v>
      </c>
      <c r="H990" s="466">
        <v>0</v>
      </c>
      <c r="I990" s="388" t="s">
        <v>1019</v>
      </c>
      <c r="J990" s="634">
        <v>0.22800000000000001</v>
      </c>
      <c r="K990" s="389">
        <v>0</v>
      </c>
      <c r="L990" s="536"/>
      <c r="M990" s="509">
        <f t="shared" si="2526"/>
        <v>1000</v>
      </c>
      <c r="N990" s="645">
        <f t="shared" ref="N990" si="2579">IFERROR(H990*M990+H991*M991+H992*M992+H993*M993+H994*M994,"N.A.")</f>
        <v>1000</v>
      </c>
      <c r="O990" s="625"/>
      <c r="P990" s="628">
        <f t="shared" si="2560"/>
        <v>100</v>
      </c>
      <c r="Q990" s="628">
        <f t="shared" si="2481"/>
        <v>500</v>
      </c>
    </row>
    <row r="991" spans="1:17" s="373" customFormat="1" ht="15.75" hidden="1" customHeight="1">
      <c r="A991" s="390" t="str">
        <f t="shared" ref="A991:B991" si="2580">A988</f>
        <v>PS</v>
      </c>
      <c r="B991" s="391" t="str">
        <f t="shared" si="2580"/>
        <v>fiber</v>
      </c>
      <c r="C991" s="391">
        <f t="shared" si="2575"/>
        <v>4</v>
      </c>
      <c r="D991" s="391" t="str">
        <f t="shared" ref="D991:E991" si="2581">D988</f>
        <v>0,1-1</v>
      </c>
      <c r="E991" s="391">
        <f t="shared" si="2581"/>
        <v>1</v>
      </c>
      <c r="F991" s="391" t="str">
        <f t="shared" ref="F991:G991" si="2582">F990</f>
        <v>fresh water</v>
      </c>
      <c r="G991" s="401" t="str">
        <f t="shared" si="2582"/>
        <v>DE: PS fiber 0,1-1 mm (emission to fresh water)</v>
      </c>
      <c r="H991" s="465">
        <v>0</v>
      </c>
      <c r="I991" s="394" t="s">
        <v>1097</v>
      </c>
      <c r="J991" s="635"/>
      <c r="K991" s="389">
        <v>0</v>
      </c>
      <c r="L991" s="536"/>
      <c r="M991" s="509">
        <f t="shared" si="2526"/>
        <v>1000</v>
      </c>
      <c r="N991" s="646"/>
      <c r="O991" s="626"/>
      <c r="P991" s="629"/>
      <c r="Q991" s="629"/>
    </row>
    <row r="992" spans="1:17" s="373" customFormat="1" ht="15.75" hidden="1" customHeight="1">
      <c r="A992" s="390" t="str">
        <f t="shared" ref="A992:B992" si="2583">A989</f>
        <v>PS</v>
      </c>
      <c r="B992" s="391" t="str">
        <f t="shared" si="2583"/>
        <v>fiber</v>
      </c>
      <c r="C992" s="391">
        <f t="shared" si="2575"/>
        <v>4</v>
      </c>
      <c r="D992" s="391" t="str">
        <f t="shared" ref="D992:E992" si="2584">D989</f>
        <v>0,1-1</v>
      </c>
      <c r="E992" s="391">
        <f t="shared" si="2584"/>
        <v>1</v>
      </c>
      <c r="F992" s="391" t="str">
        <f t="shared" ref="F992:G992" si="2585">F991</f>
        <v>fresh water</v>
      </c>
      <c r="G992" s="401" t="str">
        <f t="shared" si="2585"/>
        <v>DE: PS fiber 0,1-1 mm (emission to fresh water)</v>
      </c>
      <c r="H992" s="465">
        <v>0.89</v>
      </c>
      <c r="I992" s="394" t="s">
        <v>1143</v>
      </c>
      <c r="J992" s="635"/>
      <c r="K992" s="389">
        <v>0</v>
      </c>
      <c r="L992" s="536"/>
      <c r="M992" s="509">
        <f t="shared" si="2526"/>
        <v>1000</v>
      </c>
      <c r="N992" s="646"/>
      <c r="O992" s="626"/>
      <c r="P992" s="629"/>
      <c r="Q992" s="629"/>
    </row>
    <row r="993" spans="1:17" s="373" customFormat="1" ht="15.75" hidden="1" customHeight="1">
      <c r="A993" s="390" t="str">
        <f t="shared" ref="A993:B993" si="2586">A990</f>
        <v>PS</v>
      </c>
      <c r="B993" s="391" t="str">
        <f t="shared" si="2586"/>
        <v>fiber</v>
      </c>
      <c r="C993" s="391">
        <f t="shared" si="2575"/>
        <v>4</v>
      </c>
      <c r="D993" s="391" t="str">
        <f t="shared" ref="D993:E993" si="2587">D990</f>
        <v>0,1-1</v>
      </c>
      <c r="E993" s="391">
        <f t="shared" si="2587"/>
        <v>1</v>
      </c>
      <c r="F993" s="391" t="str">
        <f t="shared" ref="F993:G994" si="2588">F992</f>
        <v>fresh water</v>
      </c>
      <c r="G993" s="401" t="str">
        <f t="shared" si="2588"/>
        <v>DE: PS fiber 0,1-1 mm (emission to fresh water)</v>
      </c>
      <c r="H993" s="465">
        <v>0.11</v>
      </c>
      <c r="I993" s="394" t="s">
        <v>1146</v>
      </c>
      <c r="J993" s="635"/>
      <c r="K993" s="389">
        <v>0</v>
      </c>
      <c r="L993" s="536"/>
      <c r="M993" s="509">
        <f t="shared" si="2526"/>
        <v>1000</v>
      </c>
      <c r="N993" s="646"/>
      <c r="O993" s="626"/>
      <c r="P993" s="629"/>
      <c r="Q993" s="629"/>
    </row>
    <row r="994" spans="1:17" s="373" customFormat="1" ht="15.75" hidden="1" customHeight="1">
      <c r="A994" s="390" t="str">
        <f t="shared" ref="A994:B994" si="2589">A991</f>
        <v>PS</v>
      </c>
      <c r="B994" s="391" t="str">
        <f t="shared" si="2589"/>
        <v>fiber</v>
      </c>
      <c r="C994" s="391">
        <f t="shared" si="2575"/>
        <v>4</v>
      </c>
      <c r="D994" s="391" t="str">
        <f t="shared" ref="D994:E994" si="2590">D991</f>
        <v>0,1-1</v>
      </c>
      <c r="E994" s="391">
        <f t="shared" si="2590"/>
        <v>1</v>
      </c>
      <c r="F994" s="402" t="str">
        <f>F991</f>
        <v>fresh water</v>
      </c>
      <c r="G994" s="401" t="str">
        <f t="shared" si="2588"/>
        <v>DE: PS fiber 0,1-1 mm (emission to fresh water)</v>
      </c>
      <c r="H994" s="465">
        <v>0</v>
      </c>
      <c r="I994" s="397" t="s">
        <v>1034</v>
      </c>
      <c r="J994" s="654"/>
      <c r="K994" s="398" t="s">
        <v>596</v>
      </c>
      <c r="L994" s="538"/>
      <c r="M994" s="509">
        <f t="shared" si="2526"/>
        <v>0</v>
      </c>
      <c r="N994" s="647"/>
      <c r="O994" s="627"/>
      <c r="P994" s="629"/>
      <c r="Q994" s="629"/>
    </row>
    <row r="995" spans="1:17" s="373" customFormat="1" ht="15.75" hidden="1" customHeight="1">
      <c r="A995" s="390" t="str">
        <f t="shared" ref="A995:B995" si="2591">A992</f>
        <v>PS</v>
      </c>
      <c r="B995" s="391" t="str">
        <f t="shared" si="2591"/>
        <v>fiber</v>
      </c>
      <c r="C995" s="391">
        <f t="shared" si="2575"/>
        <v>4</v>
      </c>
      <c r="D995" s="391" t="str">
        <f t="shared" ref="D995:E995" si="2592">D992</f>
        <v>0,1-1</v>
      </c>
      <c r="E995" s="391">
        <f t="shared" si="2592"/>
        <v>1</v>
      </c>
      <c r="F995" s="385" t="s">
        <v>1097</v>
      </c>
      <c r="G995" s="422" t="str">
        <f>CONCATENATE("DE: ",A995," ",B995," ",D995," mm (emission to ",F995,")")</f>
        <v>DE: PS fiber 0,1-1 mm (emission to marine water)</v>
      </c>
      <c r="H995" s="467">
        <v>0</v>
      </c>
      <c r="I995" s="388" t="s">
        <v>1019</v>
      </c>
      <c r="J995" s="634">
        <v>0.22800000000000001</v>
      </c>
      <c r="K995" s="395">
        <v>0</v>
      </c>
      <c r="L995" s="536"/>
      <c r="M995" s="509">
        <f t="shared" si="2526"/>
        <v>1000</v>
      </c>
      <c r="N995" s="645">
        <f t="shared" ref="N995" si="2593">IFERROR(H995*M995+H996*M996+H997*M997+H998*M998+H999*M999,"N.A.")</f>
        <v>1000</v>
      </c>
      <c r="O995" s="625"/>
      <c r="P995" s="628">
        <f t="shared" si="2560"/>
        <v>100</v>
      </c>
      <c r="Q995" s="628">
        <f t="shared" si="2481"/>
        <v>500</v>
      </c>
    </row>
    <row r="996" spans="1:17" ht="15.75" hidden="1" customHeight="1">
      <c r="A996" s="390" t="str">
        <f t="shared" ref="A996:B996" si="2594">A993</f>
        <v>PS</v>
      </c>
      <c r="B996" s="391" t="str">
        <f t="shared" si="2594"/>
        <v>fiber</v>
      </c>
      <c r="C996" s="391">
        <f t="shared" si="2575"/>
        <v>4</v>
      </c>
      <c r="D996" s="391" t="str">
        <f t="shared" ref="D996:E996" si="2595">D993</f>
        <v>0,1-1</v>
      </c>
      <c r="E996" s="391">
        <f t="shared" si="2595"/>
        <v>1</v>
      </c>
      <c r="F996" s="391" t="str">
        <f t="shared" ref="F996:G996" si="2596">F995</f>
        <v>marine water</v>
      </c>
      <c r="G996" s="401" t="str">
        <f t="shared" si="2596"/>
        <v>DE: PS fiber 0,1-1 mm (emission to marine water)</v>
      </c>
      <c r="H996" s="465">
        <v>0</v>
      </c>
      <c r="I996" s="394" t="s">
        <v>1097</v>
      </c>
      <c r="J996" s="635"/>
      <c r="K996" s="395">
        <v>0</v>
      </c>
      <c r="L996" s="537"/>
      <c r="M996" s="509">
        <f t="shared" si="2526"/>
        <v>1000</v>
      </c>
      <c r="N996" s="646"/>
      <c r="O996" s="626"/>
      <c r="P996" s="629"/>
      <c r="Q996" s="629"/>
    </row>
    <row r="997" spans="1:17" ht="15.75" hidden="1" customHeight="1">
      <c r="A997" s="390" t="str">
        <f t="shared" ref="A997:B997" si="2597">A994</f>
        <v>PS</v>
      </c>
      <c r="B997" s="391" t="str">
        <f t="shared" si="2597"/>
        <v>fiber</v>
      </c>
      <c r="C997" s="391">
        <f t="shared" si="2575"/>
        <v>4</v>
      </c>
      <c r="D997" s="391" t="str">
        <f t="shared" ref="D997:E997" si="2598">D994</f>
        <v>0,1-1</v>
      </c>
      <c r="E997" s="391">
        <f t="shared" si="2598"/>
        <v>1</v>
      </c>
      <c r="F997" s="391" t="str">
        <f t="shared" ref="F997:G997" si="2599">F996</f>
        <v>marine water</v>
      </c>
      <c r="G997" s="401" t="str">
        <f t="shared" si="2599"/>
        <v>DE: PS fiber 0,1-1 mm (emission to marine water)</v>
      </c>
      <c r="H997" s="465">
        <v>0</v>
      </c>
      <c r="I997" s="394" t="s">
        <v>1143</v>
      </c>
      <c r="J997" s="635"/>
      <c r="K997" s="395">
        <v>0</v>
      </c>
      <c r="L997" s="537"/>
      <c r="M997" s="509">
        <f t="shared" si="2526"/>
        <v>1000</v>
      </c>
      <c r="N997" s="646"/>
      <c r="O997" s="626"/>
      <c r="P997" s="629"/>
      <c r="Q997" s="629"/>
    </row>
    <row r="998" spans="1:17" ht="15.75" hidden="1" customHeight="1">
      <c r="A998" s="390" t="str">
        <f t="shared" ref="A998:B998" si="2600">A995</f>
        <v>PS</v>
      </c>
      <c r="B998" s="391" t="str">
        <f t="shared" si="2600"/>
        <v>fiber</v>
      </c>
      <c r="C998" s="391">
        <f t="shared" si="2575"/>
        <v>4</v>
      </c>
      <c r="D998" s="391" t="str">
        <f t="shared" ref="D998:E998" si="2601">D995</f>
        <v>0,1-1</v>
      </c>
      <c r="E998" s="391">
        <f t="shared" si="2601"/>
        <v>1</v>
      </c>
      <c r="F998" s="391" t="str">
        <f t="shared" ref="F998:G998" si="2602">F997</f>
        <v>marine water</v>
      </c>
      <c r="G998" s="401" t="str">
        <f t="shared" si="2602"/>
        <v>DE: PS fiber 0,1-1 mm (emission to marine water)</v>
      </c>
      <c r="H998" s="465">
        <v>1</v>
      </c>
      <c r="I998" s="394" t="s">
        <v>1146</v>
      </c>
      <c r="J998" s="635"/>
      <c r="K998" s="395">
        <v>0</v>
      </c>
      <c r="L998" s="537"/>
      <c r="M998" s="509">
        <f t="shared" si="2526"/>
        <v>1000</v>
      </c>
      <c r="N998" s="646"/>
      <c r="O998" s="626"/>
      <c r="P998" s="629"/>
      <c r="Q998" s="629"/>
    </row>
    <row r="999" spans="1:17" ht="15.75" hidden="1" customHeight="1">
      <c r="A999" s="390" t="str">
        <f t="shared" ref="A999:B999" si="2603">A996</f>
        <v>PS</v>
      </c>
      <c r="B999" s="391" t="str">
        <f t="shared" si="2603"/>
        <v>fiber</v>
      </c>
      <c r="C999" s="391">
        <f t="shared" si="2575"/>
        <v>4</v>
      </c>
      <c r="D999" s="391" t="str">
        <f t="shared" ref="D999:E999" si="2604">D996</f>
        <v>0,1-1</v>
      </c>
      <c r="E999" s="391">
        <f t="shared" si="2604"/>
        <v>1</v>
      </c>
      <c r="F999" s="391" t="str">
        <f t="shared" ref="F999:G999" si="2605">F998</f>
        <v>marine water</v>
      </c>
      <c r="G999" s="401" t="str">
        <f t="shared" si="2605"/>
        <v>DE: PS fiber 0,1-1 mm (emission to marine water)</v>
      </c>
      <c r="H999" s="465">
        <v>0</v>
      </c>
      <c r="I999" s="397" t="s">
        <v>1034</v>
      </c>
      <c r="J999" s="654"/>
      <c r="K999" s="398" t="s">
        <v>596</v>
      </c>
      <c r="L999" s="538"/>
      <c r="M999" s="509">
        <f t="shared" si="2526"/>
        <v>0</v>
      </c>
      <c r="N999" s="647"/>
      <c r="O999" s="627"/>
      <c r="P999" s="629"/>
      <c r="Q999" s="629"/>
    </row>
    <row r="1000" spans="1:17" ht="15.75" hidden="1" customHeight="1">
      <c r="A1000" s="390" t="str">
        <f t="shared" ref="A1000:B1000" si="2606">A997</f>
        <v>PS</v>
      </c>
      <c r="B1000" s="391" t="str">
        <f t="shared" si="2606"/>
        <v>fiber</v>
      </c>
      <c r="C1000" s="391">
        <f t="shared" si="2575"/>
        <v>4</v>
      </c>
      <c r="D1000" s="391" t="str">
        <f t="shared" ref="D1000:E1000" si="2607">D997</f>
        <v>0,1-1</v>
      </c>
      <c r="E1000" s="391">
        <f t="shared" si="2607"/>
        <v>1</v>
      </c>
      <c r="F1000" s="400" t="s">
        <v>1057</v>
      </c>
      <c r="G1000" s="422" t="str">
        <f>CONCATENATE("DE: ",A1000," ",B1000," ",D1000," mm (emission to ",F1000,")")</f>
        <v>DE: PS fiber 0,1-1 mm (emission to air)</v>
      </c>
      <c r="H1000" s="467">
        <v>0.94799999999999995</v>
      </c>
      <c r="I1000" s="388" t="s">
        <v>1019</v>
      </c>
      <c r="J1000" s="634">
        <v>0.22800000000000001</v>
      </c>
      <c r="K1000" s="395">
        <v>0</v>
      </c>
      <c r="L1000" s="536"/>
      <c r="M1000" s="509">
        <f t="shared" si="2526"/>
        <v>1000</v>
      </c>
      <c r="N1000" s="645">
        <f t="shared" ref="N1000" si="2608">IFERROR(H1000*M1000+H1001*M1001+H1002*M1002+H1003*M1003+H1004*M1004,"N.A.")</f>
        <v>1000</v>
      </c>
      <c r="O1000" s="625"/>
      <c r="P1000" s="628">
        <f t="shared" si="2560"/>
        <v>100</v>
      </c>
      <c r="Q1000" s="628">
        <f t="shared" si="2481"/>
        <v>500</v>
      </c>
    </row>
    <row r="1001" spans="1:17" ht="15.75" hidden="1" customHeight="1">
      <c r="A1001" s="390" t="str">
        <f t="shared" ref="A1001:B1001" si="2609">A998</f>
        <v>PS</v>
      </c>
      <c r="B1001" s="391" t="str">
        <f t="shared" si="2609"/>
        <v>fiber</v>
      </c>
      <c r="C1001" s="391">
        <f t="shared" si="2575"/>
        <v>4</v>
      </c>
      <c r="D1001" s="391" t="str">
        <f t="shared" ref="D1001:E1001" si="2610">D998</f>
        <v>0,1-1</v>
      </c>
      <c r="E1001" s="391">
        <f t="shared" si="2610"/>
        <v>1</v>
      </c>
      <c r="F1001" s="391" t="str">
        <f t="shared" ref="F1001:G1001" si="2611">F1000</f>
        <v>air</v>
      </c>
      <c r="G1001" s="401" t="str">
        <f t="shared" si="2611"/>
        <v>DE: PS fiber 0,1-1 mm (emission to air)</v>
      </c>
      <c r="H1001" s="465">
        <v>0</v>
      </c>
      <c r="I1001" s="394" t="s">
        <v>1097</v>
      </c>
      <c r="J1001" s="635"/>
      <c r="K1001" s="395">
        <v>0</v>
      </c>
      <c r="L1001" s="537"/>
      <c r="M1001" s="509">
        <f t="shared" si="2526"/>
        <v>1000</v>
      </c>
      <c r="N1001" s="646"/>
      <c r="O1001" s="626"/>
      <c r="P1001" s="629"/>
      <c r="Q1001" s="629"/>
    </row>
    <row r="1002" spans="1:17" ht="15.75" hidden="1" customHeight="1">
      <c r="A1002" s="390" t="str">
        <f t="shared" ref="A1002:B1002" si="2612">A999</f>
        <v>PS</v>
      </c>
      <c r="B1002" s="391" t="str">
        <f t="shared" si="2612"/>
        <v>fiber</v>
      </c>
      <c r="C1002" s="391">
        <f t="shared" ref="C1002:C1004" si="2613">C1001</f>
        <v>4</v>
      </c>
      <c r="D1002" s="391" t="str">
        <f t="shared" ref="D1002:E1002" si="2614">D999</f>
        <v>0,1-1</v>
      </c>
      <c r="E1002" s="391">
        <f t="shared" si="2614"/>
        <v>1</v>
      </c>
      <c r="F1002" s="391" t="str">
        <f t="shared" ref="F1002:G1002" si="2615">F1001</f>
        <v>air</v>
      </c>
      <c r="G1002" s="401" t="str">
        <f t="shared" si="2615"/>
        <v>DE: PS fiber 0,1-1 mm (emission to air)</v>
      </c>
      <c r="H1002" s="465">
        <v>4.7E-2</v>
      </c>
      <c r="I1002" s="394" t="s">
        <v>1143</v>
      </c>
      <c r="J1002" s="635"/>
      <c r="K1002" s="395">
        <v>0</v>
      </c>
      <c r="L1002" s="537"/>
      <c r="M1002" s="509">
        <f t="shared" si="2526"/>
        <v>1000</v>
      </c>
      <c r="N1002" s="646"/>
      <c r="O1002" s="626"/>
      <c r="P1002" s="629"/>
      <c r="Q1002" s="629"/>
    </row>
    <row r="1003" spans="1:17" ht="15.75" hidden="1" customHeight="1">
      <c r="A1003" s="390" t="str">
        <f t="shared" ref="A1003:B1003" si="2616">A1000</f>
        <v>PS</v>
      </c>
      <c r="B1003" s="391" t="str">
        <f t="shared" si="2616"/>
        <v>fiber</v>
      </c>
      <c r="C1003" s="391">
        <f t="shared" si="2613"/>
        <v>4</v>
      </c>
      <c r="D1003" s="391" t="str">
        <f t="shared" ref="D1003:E1003" si="2617">D1000</f>
        <v>0,1-1</v>
      </c>
      <c r="E1003" s="391">
        <f t="shared" si="2617"/>
        <v>1</v>
      </c>
      <c r="F1003" s="391" t="str">
        <f t="shared" ref="F1003:G1003" si="2618">F1002</f>
        <v>air</v>
      </c>
      <c r="G1003" s="401" t="str">
        <f t="shared" si="2618"/>
        <v>DE: PS fiber 0,1-1 mm (emission to air)</v>
      </c>
      <c r="H1003" s="465">
        <v>5.0000000000000001E-3</v>
      </c>
      <c r="I1003" s="394" t="s">
        <v>1146</v>
      </c>
      <c r="J1003" s="635"/>
      <c r="K1003" s="395">
        <v>0</v>
      </c>
      <c r="L1003" s="537"/>
      <c r="M1003" s="509">
        <f t="shared" si="2526"/>
        <v>1000</v>
      </c>
      <c r="N1003" s="646"/>
      <c r="O1003" s="626"/>
      <c r="P1003" s="629"/>
      <c r="Q1003" s="629"/>
    </row>
    <row r="1004" spans="1:17" ht="15.75" hidden="1" customHeight="1" thickBot="1">
      <c r="A1004" s="452" t="str">
        <f t="shared" ref="A1004:B1004" si="2619">A999</f>
        <v>PS</v>
      </c>
      <c r="B1004" s="453" t="str">
        <f t="shared" si="2619"/>
        <v>fiber</v>
      </c>
      <c r="C1004" s="453">
        <f t="shared" si="2613"/>
        <v>4</v>
      </c>
      <c r="D1004" s="453" t="str">
        <f t="shared" ref="D1004:E1004" si="2620">D999</f>
        <v>0,1-1</v>
      </c>
      <c r="E1004" s="453">
        <f t="shared" si="2620"/>
        <v>1</v>
      </c>
      <c r="F1004" s="453" t="str">
        <f t="shared" ref="F1004:G1004" si="2621">F1003</f>
        <v>air</v>
      </c>
      <c r="G1004" s="454" t="str">
        <f t="shared" si="2621"/>
        <v>DE: PS fiber 0,1-1 mm (emission to air)</v>
      </c>
      <c r="H1004" s="473">
        <v>0</v>
      </c>
      <c r="I1004" s="456" t="s">
        <v>1034</v>
      </c>
      <c r="J1004" s="636"/>
      <c r="K1004" s="457" t="s">
        <v>596</v>
      </c>
      <c r="L1004" s="543"/>
      <c r="M1004" s="509">
        <f t="shared" si="2526"/>
        <v>0</v>
      </c>
      <c r="N1004" s="647"/>
      <c r="O1004" s="627"/>
      <c r="P1004" s="629"/>
      <c r="Q1004" s="629"/>
    </row>
    <row r="1005" spans="1:17" ht="15.75" hidden="1" customHeight="1">
      <c r="A1005" s="381" t="s">
        <v>240</v>
      </c>
      <c r="B1005" s="382" t="s">
        <v>1151</v>
      </c>
      <c r="C1005" s="383">
        <v>4</v>
      </c>
      <c r="D1005" s="475" t="s">
        <v>1026</v>
      </c>
      <c r="E1005" s="384">
        <v>10</v>
      </c>
      <c r="F1005" s="385" t="s">
        <v>1019</v>
      </c>
      <c r="G1005" s="386" t="str">
        <f>CONCATENATE("DE: ",A1005," ",B1005," ",D1005," mm (emission to ",F1005,")")</f>
        <v>DE: PS fiber 1-10 mm (emission to soil)</v>
      </c>
      <c r="H1005" s="466">
        <v>0.97</v>
      </c>
      <c r="I1005" s="388" t="s">
        <v>1019</v>
      </c>
      <c r="J1005" s="632">
        <v>0.22800000000000001</v>
      </c>
      <c r="K1005" s="389">
        <v>0</v>
      </c>
      <c r="L1005" s="536"/>
      <c r="M1005" s="509">
        <f t="shared" si="2526"/>
        <v>1000</v>
      </c>
      <c r="N1005" s="645">
        <f t="shared" ref="N1005" si="2622">IFERROR(H1005*M1005+H1006*M1006+H1007*M1007+H1008*M1008+H1009*M1009,"N.A.")</f>
        <v>1000</v>
      </c>
      <c r="O1005" s="625"/>
      <c r="P1005" s="628">
        <f t="shared" si="2560"/>
        <v>100</v>
      </c>
      <c r="Q1005" s="628">
        <f t="shared" si="2481"/>
        <v>500</v>
      </c>
    </row>
    <row r="1006" spans="1:17" ht="15.75" hidden="1" customHeight="1">
      <c r="A1006" s="390" t="str">
        <f>A1005</f>
        <v>PS</v>
      </c>
      <c r="B1006" s="391" t="str">
        <f>B1005</f>
        <v>fiber</v>
      </c>
      <c r="C1006" s="391">
        <f t="shared" ref="C1006:G1021" si="2623">C1005</f>
        <v>4</v>
      </c>
      <c r="D1006" s="391" t="str">
        <f t="shared" si="2623"/>
        <v>1-10</v>
      </c>
      <c r="E1006" s="391">
        <f t="shared" si="2623"/>
        <v>10</v>
      </c>
      <c r="F1006" s="391" t="str">
        <f t="shared" si="2623"/>
        <v>soil</v>
      </c>
      <c r="G1006" s="392" t="str">
        <f t="shared" si="2623"/>
        <v>DE: PS fiber 1-10 mm (emission to soil)</v>
      </c>
      <c r="H1006" s="465">
        <v>0</v>
      </c>
      <c r="I1006" s="394" t="s">
        <v>1097</v>
      </c>
      <c r="J1006" s="632"/>
      <c r="K1006" s="395">
        <v>0</v>
      </c>
      <c r="L1006" s="537"/>
      <c r="M1006" s="509">
        <f t="shared" si="2526"/>
        <v>1000</v>
      </c>
      <c r="N1006" s="646"/>
      <c r="O1006" s="626"/>
      <c r="P1006" s="629"/>
      <c r="Q1006" s="629"/>
    </row>
    <row r="1007" spans="1:17" ht="15.75" hidden="1" customHeight="1">
      <c r="A1007" s="390" t="str">
        <f t="shared" ref="A1007:B1008" si="2624">A1006</f>
        <v>PS</v>
      </c>
      <c r="B1007" s="391" t="str">
        <f t="shared" si="2624"/>
        <v>fiber</v>
      </c>
      <c r="C1007" s="391">
        <f t="shared" si="2623"/>
        <v>4</v>
      </c>
      <c r="D1007" s="391" t="str">
        <f t="shared" si="2623"/>
        <v>1-10</v>
      </c>
      <c r="E1007" s="391">
        <f t="shared" si="2623"/>
        <v>10</v>
      </c>
      <c r="F1007" s="391" t="str">
        <f t="shared" si="2623"/>
        <v>soil</v>
      </c>
      <c r="G1007" s="392" t="str">
        <f t="shared" si="2623"/>
        <v>DE: PS fiber 1-10 mm (emission to soil)</v>
      </c>
      <c r="H1007" s="465">
        <v>2.7E-2</v>
      </c>
      <c r="I1007" s="394" t="s">
        <v>1143</v>
      </c>
      <c r="J1007" s="632"/>
      <c r="K1007" s="395">
        <v>0</v>
      </c>
      <c r="L1007" s="537"/>
      <c r="M1007" s="509">
        <f t="shared" si="2526"/>
        <v>1000</v>
      </c>
      <c r="N1007" s="646"/>
      <c r="O1007" s="626"/>
      <c r="P1007" s="629"/>
      <c r="Q1007" s="629"/>
    </row>
    <row r="1008" spans="1:17" ht="15.75" hidden="1" customHeight="1">
      <c r="A1008" s="390" t="str">
        <f t="shared" si="2624"/>
        <v>PS</v>
      </c>
      <c r="B1008" s="391" t="str">
        <f t="shared" si="2624"/>
        <v>fiber</v>
      </c>
      <c r="C1008" s="391">
        <f t="shared" si="2623"/>
        <v>4</v>
      </c>
      <c r="D1008" s="391" t="str">
        <f t="shared" si="2623"/>
        <v>1-10</v>
      </c>
      <c r="E1008" s="391">
        <f t="shared" si="2623"/>
        <v>10</v>
      </c>
      <c r="F1008" s="391" t="str">
        <f t="shared" si="2623"/>
        <v>soil</v>
      </c>
      <c r="G1008" s="392" t="str">
        <f t="shared" si="2623"/>
        <v>DE: PS fiber 1-10 mm (emission to soil)</v>
      </c>
      <c r="H1008" s="465">
        <v>3.0000000000000001E-3</v>
      </c>
      <c r="I1008" s="394" t="s">
        <v>1146</v>
      </c>
      <c r="J1008" s="632"/>
      <c r="K1008" s="395">
        <v>0</v>
      </c>
      <c r="L1008" s="537"/>
      <c r="M1008" s="509">
        <f t="shared" si="2526"/>
        <v>1000</v>
      </c>
      <c r="N1008" s="646"/>
      <c r="O1008" s="626"/>
      <c r="P1008" s="629"/>
      <c r="Q1008" s="629"/>
    </row>
    <row r="1009" spans="1:17" ht="15.75" hidden="1" customHeight="1">
      <c r="A1009" s="390" t="str">
        <f>A1006</f>
        <v>PS</v>
      </c>
      <c r="B1009" s="391" t="str">
        <f>B1006</f>
        <v>fiber</v>
      </c>
      <c r="C1009" s="391">
        <f t="shared" si="2623"/>
        <v>4</v>
      </c>
      <c r="D1009" s="391" t="str">
        <f>D1006</f>
        <v>1-10</v>
      </c>
      <c r="E1009" s="391">
        <f>E1006</f>
        <v>10</v>
      </c>
      <c r="F1009" s="391" t="str">
        <f>F1006</f>
        <v>soil</v>
      </c>
      <c r="G1009" s="396" t="str">
        <f t="shared" si="2623"/>
        <v>DE: PS fiber 1-10 mm (emission to soil)</v>
      </c>
      <c r="H1009" s="465">
        <v>0</v>
      </c>
      <c r="I1009" s="397" t="s">
        <v>1034</v>
      </c>
      <c r="J1009" s="633"/>
      <c r="K1009" s="398" t="s">
        <v>596</v>
      </c>
      <c r="L1009" s="538"/>
      <c r="M1009" s="509">
        <f t="shared" si="2526"/>
        <v>0</v>
      </c>
      <c r="N1009" s="647"/>
      <c r="O1009" s="627"/>
      <c r="P1009" s="629"/>
      <c r="Q1009" s="629"/>
    </row>
    <row r="1010" spans="1:17" ht="15.75" hidden="1" customHeight="1">
      <c r="A1010" s="390" t="str">
        <f t="shared" ref="A1010:B1010" si="2625">A1007</f>
        <v>PS</v>
      </c>
      <c r="B1010" s="391" t="str">
        <f t="shared" si="2625"/>
        <v>fiber</v>
      </c>
      <c r="C1010" s="391">
        <f t="shared" si="2623"/>
        <v>4</v>
      </c>
      <c r="D1010" s="399" t="str">
        <f t="shared" ref="D1010:E1010" si="2626">D1007</f>
        <v>1-10</v>
      </c>
      <c r="E1010" s="391">
        <f t="shared" si="2626"/>
        <v>10</v>
      </c>
      <c r="F1010" s="400" t="s">
        <v>1147</v>
      </c>
      <c r="G1010" s="386" t="str">
        <f>CONCATENATE("DE: ",A1010," ",B1010," ",D1010," mm (emission to ",F1010,")")</f>
        <v>DE: PS fiber 1-10 mm (emission to fresh water)</v>
      </c>
      <c r="H1010" s="466">
        <v>0</v>
      </c>
      <c r="I1010" s="388" t="s">
        <v>1019</v>
      </c>
      <c r="J1010" s="634">
        <v>0.22800000000000001</v>
      </c>
      <c r="K1010" s="389">
        <v>0</v>
      </c>
      <c r="L1010" s="536"/>
      <c r="M1010" s="509">
        <f t="shared" si="2526"/>
        <v>1000</v>
      </c>
      <c r="N1010" s="645">
        <f t="shared" ref="N1010" si="2627">IFERROR(H1010*M1010+H1011*M1011+H1012*M1012+H1013*M1013+H1014*M1014,"N.A.")</f>
        <v>1000</v>
      </c>
      <c r="O1010" s="625"/>
      <c r="P1010" s="628">
        <f t="shared" si="2560"/>
        <v>100</v>
      </c>
      <c r="Q1010" s="628">
        <f t="shared" si="2481"/>
        <v>500</v>
      </c>
    </row>
    <row r="1011" spans="1:17" ht="15.75" hidden="1" customHeight="1">
      <c r="A1011" s="390" t="str">
        <f t="shared" ref="A1011:B1011" si="2628">A1008</f>
        <v>PS</v>
      </c>
      <c r="B1011" s="391" t="str">
        <f t="shared" si="2628"/>
        <v>fiber</v>
      </c>
      <c r="C1011" s="391">
        <f t="shared" si="2623"/>
        <v>4</v>
      </c>
      <c r="D1011" s="391" t="str">
        <f t="shared" ref="D1011:E1011" si="2629">D1008</f>
        <v>1-10</v>
      </c>
      <c r="E1011" s="391">
        <f t="shared" si="2629"/>
        <v>10</v>
      </c>
      <c r="F1011" s="391" t="str">
        <f t="shared" ref="F1011:G1011" si="2630">F1010</f>
        <v>fresh water</v>
      </c>
      <c r="G1011" s="401" t="str">
        <f t="shared" si="2630"/>
        <v>DE: PS fiber 1-10 mm (emission to fresh water)</v>
      </c>
      <c r="H1011" s="465">
        <v>0</v>
      </c>
      <c r="I1011" s="394" t="s">
        <v>1097</v>
      </c>
      <c r="J1011" s="635"/>
      <c r="K1011" s="389">
        <v>0</v>
      </c>
      <c r="L1011" s="536"/>
      <c r="M1011" s="509">
        <f t="shared" si="2526"/>
        <v>1000</v>
      </c>
      <c r="N1011" s="646"/>
      <c r="O1011" s="626"/>
      <c r="P1011" s="629"/>
      <c r="Q1011" s="629"/>
    </row>
    <row r="1012" spans="1:17" ht="15.75" hidden="1" customHeight="1">
      <c r="A1012" s="390" t="str">
        <f t="shared" ref="A1012:B1012" si="2631">A1009</f>
        <v>PS</v>
      </c>
      <c r="B1012" s="391" t="str">
        <f t="shared" si="2631"/>
        <v>fiber</v>
      </c>
      <c r="C1012" s="391">
        <f t="shared" si="2623"/>
        <v>4</v>
      </c>
      <c r="D1012" s="391" t="str">
        <f t="shared" ref="D1012:E1012" si="2632">D1009</f>
        <v>1-10</v>
      </c>
      <c r="E1012" s="391">
        <f t="shared" si="2632"/>
        <v>10</v>
      </c>
      <c r="F1012" s="391" t="str">
        <f t="shared" ref="F1012:G1012" si="2633">F1011</f>
        <v>fresh water</v>
      </c>
      <c r="G1012" s="401" t="str">
        <f t="shared" si="2633"/>
        <v>DE: PS fiber 1-10 mm (emission to fresh water)</v>
      </c>
      <c r="H1012" s="465">
        <v>0.89</v>
      </c>
      <c r="I1012" s="394" t="s">
        <v>1143</v>
      </c>
      <c r="J1012" s="635"/>
      <c r="K1012" s="389">
        <v>0</v>
      </c>
      <c r="L1012" s="536"/>
      <c r="M1012" s="509">
        <f t="shared" si="2526"/>
        <v>1000</v>
      </c>
      <c r="N1012" s="646"/>
      <c r="O1012" s="626"/>
      <c r="P1012" s="629"/>
      <c r="Q1012" s="629"/>
    </row>
    <row r="1013" spans="1:17" ht="15.75" hidden="1" customHeight="1">
      <c r="A1013" s="390" t="str">
        <f t="shared" ref="A1013:B1013" si="2634">A1010</f>
        <v>PS</v>
      </c>
      <c r="B1013" s="391" t="str">
        <f t="shared" si="2634"/>
        <v>fiber</v>
      </c>
      <c r="C1013" s="391">
        <f t="shared" si="2623"/>
        <v>4</v>
      </c>
      <c r="D1013" s="391" t="str">
        <f t="shared" ref="D1013:E1013" si="2635">D1010</f>
        <v>1-10</v>
      </c>
      <c r="E1013" s="391">
        <f t="shared" si="2635"/>
        <v>10</v>
      </c>
      <c r="F1013" s="391" t="str">
        <f t="shared" ref="F1013:G1014" si="2636">F1012</f>
        <v>fresh water</v>
      </c>
      <c r="G1013" s="401" t="str">
        <f t="shared" si="2636"/>
        <v>DE: PS fiber 1-10 mm (emission to fresh water)</v>
      </c>
      <c r="H1013" s="465">
        <v>0.11</v>
      </c>
      <c r="I1013" s="394" t="s">
        <v>1146</v>
      </c>
      <c r="J1013" s="635"/>
      <c r="K1013" s="389">
        <v>0</v>
      </c>
      <c r="L1013" s="536"/>
      <c r="M1013" s="509">
        <f t="shared" si="2526"/>
        <v>1000</v>
      </c>
      <c r="N1013" s="646"/>
      <c r="O1013" s="626"/>
      <c r="P1013" s="629"/>
      <c r="Q1013" s="629"/>
    </row>
    <row r="1014" spans="1:17" ht="15.75" hidden="1" customHeight="1">
      <c r="A1014" s="390" t="str">
        <f t="shared" ref="A1014:B1014" si="2637">A1011</f>
        <v>PS</v>
      </c>
      <c r="B1014" s="391" t="str">
        <f t="shared" si="2637"/>
        <v>fiber</v>
      </c>
      <c r="C1014" s="391">
        <f t="shared" si="2623"/>
        <v>4</v>
      </c>
      <c r="D1014" s="391" t="str">
        <f t="shared" ref="D1014:E1014" si="2638">D1011</f>
        <v>1-10</v>
      </c>
      <c r="E1014" s="391">
        <f t="shared" si="2638"/>
        <v>10</v>
      </c>
      <c r="F1014" s="402" t="str">
        <f>F1011</f>
        <v>fresh water</v>
      </c>
      <c r="G1014" s="401" t="str">
        <f t="shared" si="2636"/>
        <v>DE: PS fiber 1-10 mm (emission to fresh water)</v>
      </c>
      <c r="H1014" s="465">
        <v>0</v>
      </c>
      <c r="I1014" s="397" t="s">
        <v>1034</v>
      </c>
      <c r="J1014" s="654"/>
      <c r="K1014" s="398" t="s">
        <v>596</v>
      </c>
      <c r="L1014" s="538"/>
      <c r="M1014" s="509">
        <f t="shared" si="2526"/>
        <v>0</v>
      </c>
      <c r="N1014" s="647"/>
      <c r="O1014" s="627"/>
      <c r="P1014" s="629"/>
      <c r="Q1014" s="629"/>
    </row>
    <row r="1015" spans="1:17" ht="15.75" hidden="1" customHeight="1">
      <c r="A1015" s="390" t="str">
        <f t="shared" ref="A1015:B1015" si="2639">A1012</f>
        <v>PS</v>
      </c>
      <c r="B1015" s="391" t="str">
        <f t="shared" si="2639"/>
        <v>fiber</v>
      </c>
      <c r="C1015" s="391">
        <f t="shared" si="2623"/>
        <v>4</v>
      </c>
      <c r="D1015" s="391" t="str">
        <f t="shared" ref="D1015:E1015" si="2640">D1012</f>
        <v>1-10</v>
      </c>
      <c r="E1015" s="391">
        <f t="shared" si="2640"/>
        <v>10</v>
      </c>
      <c r="F1015" s="385" t="s">
        <v>1097</v>
      </c>
      <c r="G1015" s="422" t="str">
        <f>CONCATENATE("DE: ",A1015," ",B1015," ",D1015," mm (emission to ",F1015,")")</f>
        <v>DE: PS fiber 1-10 mm (emission to marine water)</v>
      </c>
      <c r="H1015" s="467">
        <v>0</v>
      </c>
      <c r="I1015" s="388" t="s">
        <v>1019</v>
      </c>
      <c r="J1015" s="634">
        <v>0.22800000000000001</v>
      </c>
      <c r="K1015" s="395">
        <v>0</v>
      </c>
      <c r="L1015" s="536"/>
      <c r="M1015" s="509">
        <f t="shared" si="2526"/>
        <v>1000</v>
      </c>
      <c r="N1015" s="645">
        <f t="shared" ref="N1015" si="2641">IFERROR(H1015*M1015+H1016*M1016+H1017*M1017+H1018*M1018+H1019*M1019,"N.A.")</f>
        <v>1000</v>
      </c>
      <c r="O1015" s="625"/>
      <c r="P1015" s="628">
        <f t="shared" si="2560"/>
        <v>100</v>
      </c>
      <c r="Q1015" s="628">
        <f t="shared" ref="Q1015:Q1075" si="2642">IFERROR(IF(H1015*M1015+H1016*M1016+H1017*M1017+H1018*M1018+H1019*M1019&gt;500,500,H1015*M1015+H1016*M1016+H1017*M1017+H1018*M1018+H1019*M1019),"N.A.")</f>
        <v>500</v>
      </c>
    </row>
    <row r="1016" spans="1:17" ht="15.75" hidden="1" customHeight="1">
      <c r="A1016" s="390" t="str">
        <f t="shared" ref="A1016:B1016" si="2643">A1013</f>
        <v>PS</v>
      </c>
      <c r="B1016" s="391" t="str">
        <f t="shared" si="2643"/>
        <v>fiber</v>
      </c>
      <c r="C1016" s="391">
        <f t="shared" si="2623"/>
        <v>4</v>
      </c>
      <c r="D1016" s="391" t="str">
        <f t="shared" ref="D1016:E1016" si="2644">D1013</f>
        <v>1-10</v>
      </c>
      <c r="E1016" s="391">
        <f t="shared" si="2644"/>
        <v>10</v>
      </c>
      <c r="F1016" s="391" t="str">
        <f t="shared" ref="F1016:G1016" si="2645">F1015</f>
        <v>marine water</v>
      </c>
      <c r="G1016" s="401" t="str">
        <f t="shared" si="2645"/>
        <v>DE: PS fiber 1-10 mm (emission to marine water)</v>
      </c>
      <c r="H1016" s="465">
        <v>0</v>
      </c>
      <c r="I1016" s="394" t="s">
        <v>1097</v>
      </c>
      <c r="J1016" s="635"/>
      <c r="K1016" s="395">
        <v>0</v>
      </c>
      <c r="L1016" s="537"/>
      <c r="M1016" s="509">
        <f t="shared" si="2526"/>
        <v>1000</v>
      </c>
      <c r="N1016" s="646"/>
      <c r="O1016" s="626"/>
      <c r="P1016" s="629"/>
      <c r="Q1016" s="629"/>
    </row>
    <row r="1017" spans="1:17" ht="15.75" hidden="1" customHeight="1">
      <c r="A1017" s="390" t="str">
        <f t="shared" ref="A1017:B1017" si="2646">A1014</f>
        <v>PS</v>
      </c>
      <c r="B1017" s="391" t="str">
        <f t="shared" si="2646"/>
        <v>fiber</v>
      </c>
      <c r="C1017" s="391">
        <f t="shared" si="2623"/>
        <v>4</v>
      </c>
      <c r="D1017" s="391" t="str">
        <f t="shared" ref="D1017:E1017" si="2647">D1014</f>
        <v>1-10</v>
      </c>
      <c r="E1017" s="391">
        <f t="shared" si="2647"/>
        <v>10</v>
      </c>
      <c r="F1017" s="391" t="str">
        <f t="shared" ref="F1017:G1017" si="2648">F1016</f>
        <v>marine water</v>
      </c>
      <c r="G1017" s="401" t="str">
        <f t="shared" si="2648"/>
        <v>DE: PS fiber 1-10 mm (emission to marine water)</v>
      </c>
      <c r="H1017" s="465">
        <v>0</v>
      </c>
      <c r="I1017" s="394" t="s">
        <v>1143</v>
      </c>
      <c r="J1017" s="635"/>
      <c r="K1017" s="395">
        <v>0</v>
      </c>
      <c r="L1017" s="537"/>
      <c r="M1017" s="509">
        <f t="shared" si="2526"/>
        <v>1000</v>
      </c>
      <c r="N1017" s="646"/>
      <c r="O1017" s="626"/>
      <c r="P1017" s="629"/>
      <c r="Q1017" s="629"/>
    </row>
    <row r="1018" spans="1:17" ht="15.75" hidden="1" customHeight="1">
      <c r="A1018" s="390" t="str">
        <f t="shared" ref="A1018:B1018" si="2649">A1015</f>
        <v>PS</v>
      </c>
      <c r="B1018" s="391" t="str">
        <f t="shared" si="2649"/>
        <v>fiber</v>
      </c>
      <c r="C1018" s="391">
        <f t="shared" si="2623"/>
        <v>4</v>
      </c>
      <c r="D1018" s="391" t="str">
        <f t="shared" ref="D1018:E1018" si="2650">D1015</f>
        <v>1-10</v>
      </c>
      <c r="E1018" s="391">
        <f t="shared" si="2650"/>
        <v>10</v>
      </c>
      <c r="F1018" s="391" t="str">
        <f t="shared" ref="F1018:G1018" si="2651">F1017</f>
        <v>marine water</v>
      </c>
      <c r="G1018" s="401" t="str">
        <f t="shared" si="2651"/>
        <v>DE: PS fiber 1-10 mm (emission to marine water)</v>
      </c>
      <c r="H1018" s="465">
        <v>1</v>
      </c>
      <c r="I1018" s="394" t="s">
        <v>1146</v>
      </c>
      <c r="J1018" s="635"/>
      <c r="K1018" s="395">
        <v>0</v>
      </c>
      <c r="L1018" s="537"/>
      <c r="M1018" s="509">
        <f t="shared" si="2526"/>
        <v>1000</v>
      </c>
      <c r="N1018" s="646"/>
      <c r="O1018" s="626"/>
      <c r="P1018" s="629"/>
      <c r="Q1018" s="629"/>
    </row>
    <row r="1019" spans="1:17" ht="15.75" hidden="1" customHeight="1">
      <c r="A1019" s="390" t="str">
        <f t="shared" ref="A1019:B1019" si="2652">A1016</f>
        <v>PS</v>
      </c>
      <c r="B1019" s="391" t="str">
        <f t="shared" si="2652"/>
        <v>fiber</v>
      </c>
      <c r="C1019" s="391">
        <f t="shared" si="2623"/>
        <v>4</v>
      </c>
      <c r="D1019" s="391" t="str">
        <f t="shared" ref="D1019:E1019" si="2653">D1016</f>
        <v>1-10</v>
      </c>
      <c r="E1019" s="391">
        <f t="shared" si="2653"/>
        <v>10</v>
      </c>
      <c r="F1019" s="391" t="str">
        <f t="shared" ref="F1019:G1019" si="2654">F1018</f>
        <v>marine water</v>
      </c>
      <c r="G1019" s="401" t="str">
        <f t="shared" si="2654"/>
        <v>DE: PS fiber 1-10 mm (emission to marine water)</v>
      </c>
      <c r="H1019" s="465">
        <v>0</v>
      </c>
      <c r="I1019" s="397" t="s">
        <v>1034</v>
      </c>
      <c r="J1019" s="654"/>
      <c r="K1019" s="398" t="s">
        <v>596</v>
      </c>
      <c r="L1019" s="538"/>
      <c r="M1019" s="509">
        <f t="shared" si="2526"/>
        <v>0</v>
      </c>
      <c r="N1019" s="647"/>
      <c r="O1019" s="627"/>
      <c r="P1019" s="629"/>
      <c r="Q1019" s="629"/>
    </row>
    <row r="1020" spans="1:17" ht="15.75" hidden="1" customHeight="1">
      <c r="A1020" s="390" t="str">
        <f t="shared" ref="A1020:B1020" si="2655">A1017</f>
        <v>PS</v>
      </c>
      <c r="B1020" s="391" t="str">
        <f t="shared" si="2655"/>
        <v>fiber</v>
      </c>
      <c r="C1020" s="391">
        <f t="shared" si="2623"/>
        <v>4</v>
      </c>
      <c r="D1020" s="391" t="str">
        <f t="shared" ref="D1020:E1020" si="2656">D1017</f>
        <v>1-10</v>
      </c>
      <c r="E1020" s="391">
        <f t="shared" si="2656"/>
        <v>10</v>
      </c>
      <c r="F1020" s="400" t="s">
        <v>1057</v>
      </c>
      <c r="G1020" s="422" t="str">
        <f>CONCATENATE("DE: ",A1020," ",B1020," ",D1020," mm (emission to ",F1020,")")</f>
        <v>DE: PS fiber 1-10 mm (emission to air)</v>
      </c>
      <c r="H1020" s="467">
        <v>0.94799999999999995</v>
      </c>
      <c r="I1020" s="388" t="s">
        <v>1019</v>
      </c>
      <c r="J1020" s="634">
        <v>0.22800000000000001</v>
      </c>
      <c r="K1020" s="395">
        <v>0</v>
      </c>
      <c r="L1020" s="536"/>
      <c r="M1020" s="509">
        <f t="shared" si="2526"/>
        <v>1000</v>
      </c>
      <c r="N1020" s="645">
        <f t="shared" ref="N1020" si="2657">IFERROR(H1020*M1020+H1021*M1021+H1022*M1022+H1023*M1023+H1024*M1024,"N.A.")</f>
        <v>1000</v>
      </c>
      <c r="O1020" s="625"/>
      <c r="P1020" s="628">
        <f t="shared" si="2560"/>
        <v>100</v>
      </c>
      <c r="Q1020" s="628">
        <f t="shared" si="2642"/>
        <v>500</v>
      </c>
    </row>
    <row r="1021" spans="1:17" ht="15.75" hidden="1" customHeight="1">
      <c r="A1021" s="390" t="str">
        <f t="shared" ref="A1021:B1021" si="2658">A1018</f>
        <v>PS</v>
      </c>
      <c r="B1021" s="391" t="str">
        <f t="shared" si="2658"/>
        <v>fiber</v>
      </c>
      <c r="C1021" s="391">
        <f t="shared" si="2623"/>
        <v>4</v>
      </c>
      <c r="D1021" s="391" t="str">
        <f t="shared" ref="D1021:E1021" si="2659">D1018</f>
        <v>1-10</v>
      </c>
      <c r="E1021" s="391">
        <f t="shared" si="2659"/>
        <v>10</v>
      </c>
      <c r="F1021" s="391" t="str">
        <f t="shared" ref="F1021:G1021" si="2660">F1020</f>
        <v>air</v>
      </c>
      <c r="G1021" s="401" t="str">
        <f t="shared" si="2660"/>
        <v>DE: PS fiber 1-10 mm (emission to air)</v>
      </c>
      <c r="H1021" s="465">
        <v>0</v>
      </c>
      <c r="I1021" s="394" t="s">
        <v>1097</v>
      </c>
      <c r="J1021" s="635"/>
      <c r="K1021" s="395">
        <v>0</v>
      </c>
      <c r="L1021" s="537"/>
      <c r="M1021" s="509">
        <f t="shared" si="2526"/>
        <v>1000</v>
      </c>
      <c r="N1021" s="646"/>
      <c r="O1021" s="626"/>
      <c r="P1021" s="629"/>
      <c r="Q1021" s="629"/>
    </row>
    <row r="1022" spans="1:17" ht="15.75" hidden="1" customHeight="1">
      <c r="A1022" s="390" t="str">
        <f t="shared" ref="A1022:B1022" si="2661">A1019</f>
        <v>PS</v>
      </c>
      <c r="B1022" s="391" t="str">
        <f t="shared" si="2661"/>
        <v>fiber</v>
      </c>
      <c r="C1022" s="391">
        <f t="shared" ref="C1022:C1024" si="2662">C1021</f>
        <v>4</v>
      </c>
      <c r="D1022" s="391" t="str">
        <f t="shared" ref="D1022:E1022" si="2663">D1019</f>
        <v>1-10</v>
      </c>
      <c r="E1022" s="391">
        <f t="shared" si="2663"/>
        <v>10</v>
      </c>
      <c r="F1022" s="391" t="str">
        <f t="shared" ref="F1022:G1022" si="2664">F1021</f>
        <v>air</v>
      </c>
      <c r="G1022" s="401" t="str">
        <f t="shared" si="2664"/>
        <v>DE: PS fiber 1-10 mm (emission to air)</v>
      </c>
      <c r="H1022" s="465">
        <v>4.7E-2</v>
      </c>
      <c r="I1022" s="394" t="s">
        <v>1143</v>
      </c>
      <c r="J1022" s="635"/>
      <c r="K1022" s="395">
        <v>0</v>
      </c>
      <c r="L1022" s="537"/>
      <c r="M1022" s="509">
        <f t="shared" si="2526"/>
        <v>1000</v>
      </c>
      <c r="N1022" s="646"/>
      <c r="O1022" s="626"/>
      <c r="P1022" s="629"/>
      <c r="Q1022" s="629"/>
    </row>
    <row r="1023" spans="1:17" ht="15.75" hidden="1" customHeight="1">
      <c r="A1023" s="390" t="str">
        <f t="shared" ref="A1023:B1023" si="2665">A1020</f>
        <v>PS</v>
      </c>
      <c r="B1023" s="391" t="str">
        <f t="shared" si="2665"/>
        <v>fiber</v>
      </c>
      <c r="C1023" s="391">
        <f t="shared" si="2662"/>
        <v>4</v>
      </c>
      <c r="D1023" s="391" t="str">
        <f t="shared" ref="D1023:E1023" si="2666">D1020</f>
        <v>1-10</v>
      </c>
      <c r="E1023" s="391">
        <f t="shared" si="2666"/>
        <v>10</v>
      </c>
      <c r="F1023" s="391" t="str">
        <f t="shared" ref="F1023:G1023" si="2667">F1022</f>
        <v>air</v>
      </c>
      <c r="G1023" s="401" t="str">
        <f t="shared" si="2667"/>
        <v>DE: PS fiber 1-10 mm (emission to air)</v>
      </c>
      <c r="H1023" s="465">
        <v>5.0000000000000001E-3</v>
      </c>
      <c r="I1023" s="394" t="s">
        <v>1146</v>
      </c>
      <c r="J1023" s="635"/>
      <c r="K1023" s="395">
        <v>0</v>
      </c>
      <c r="L1023" s="537"/>
      <c r="M1023" s="509">
        <f t="shared" si="2526"/>
        <v>1000</v>
      </c>
      <c r="N1023" s="646"/>
      <c r="O1023" s="626"/>
      <c r="P1023" s="629"/>
      <c r="Q1023" s="629"/>
    </row>
    <row r="1024" spans="1:17" ht="15.75" hidden="1" customHeight="1" thickBot="1">
      <c r="A1024" s="390" t="str">
        <f t="shared" ref="A1024:B1024" si="2668">A1019</f>
        <v>PS</v>
      </c>
      <c r="B1024" s="391" t="str">
        <f t="shared" si="2668"/>
        <v>fiber</v>
      </c>
      <c r="C1024" s="391">
        <f t="shared" si="2662"/>
        <v>4</v>
      </c>
      <c r="D1024" s="391" t="str">
        <f t="shared" ref="D1024:E1024" si="2669">D1019</f>
        <v>1-10</v>
      </c>
      <c r="E1024" s="391">
        <f t="shared" si="2669"/>
        <v>10</v>
      </c>
      <c r="F1024" s="391" t="str">
        <f t="shared" ref="F1024:G1024" si="2670">F1023</f>
        <v>air</v>
      </c>
      <c r="G1024" s="401" t="str">
        <f t="shared" si="2670"/>
        <v>DE: PS fiber 1-10 mm (emission to air)</v>
      </c>
      <c r="H1024" s="471">
        <v>0</v>
      </c>
      <c r="I1024" s="476" t="s">
        <v>1034</v>
      </c>
      <c r="J1024" s="636"/>
      <c r="K1024" s="451" t="s">
        <v>596</v>
      </c>
      <c r="L1024" s="542"/>
      <c r="M1024" s="509">
        <f t="shared" si="2526"/>
        <v>0</v>
      </c>
      <c r="N1024" s="647"/>
      <c r="O1024" s="627"/>
      <c r="P1024" s="629"/>
      <c r="Q1024" s="629"/>
    </row>
    <row r="1025" spans="1:17" ht="15.75" hidden="1" customHeight="1">
      <c r="A1025" s="405" t="s">
        <v>240</v>
      </c>
      <c r="B1025" s="406" t="s">
        <v>1152</v>
      </c>
      <c r="C1025" s="407">
        <v>6</v>
      </c>
      <c r="D1025" s="423" t="s">
        <v>1018</v>
      </c>
      <c r="E1025" s="408">
        <v>0.1</v>
      </c>
      <c r="F1025" s="424" t="s">
        <v>1019</v>
      </c>
      <c r="G1025" s="425" t="str">
        <f>CONCATENATE("DE: ",A1025," ",B1025," ",D1025," mm (emission to ",F1025,")")</f>
        <v>DE: PS particle 0,01-0,1 mm (emission to soil)</v>
      </c>
      <c r="H1025" s="474">
        <v>0.97</v>
      </c>
      <c r="I1025" s="427" t="s">
        <v>1019</v>
      </c>
      <c r="J1025" s="632">
        <v>0.22800000000000001</v>
      </c>
      <c r="K1025" s="428">
        <v>0</v>
      </c>
      <c r="L1025" s="539"/>
      <c r="M1025" s="509">
        <f t="shared" si="2526"/>
        <v>1000</v>
      </c>
      <c r="N1025" s="645">
        <f t="shared" ref="N1025" si="2671">IFERROR(H1025*M1025+H1026*M1026+H1027*M1027+H1028*M1028+H1029*M1029,"N.A.")</f>
        <v>1000</v>
      </c>
      <c r="O1025" s="625"/>
      <c r="P1025" s="628">
        <f t="shared" si="2560"/>
        <v>100</v>
      </c>
      <c r="Q1025" s="628">
        <f t="shared" si="2642"/>
        <v>500</v>
      </c>
    </row>
    <row r="1026" spans="1:17" ht="15.75" hidden="1" customHeight="1">
      <c r="A1026" s="390" t="str">
        <f>A1025</f>
        <v>PS</v>
      </c>
      <c r="B1026" s="391" t="str">
        <f>B1025</f>
        <v>particle</v>
      </c>
      <c r="C1026" s="391">
        <f t="shared" ref="C1026:G1041" si="2672">C1025</f>
        <v>6</v>
      </c>
      <c r="D1026" s="391" t="str">
        <f t="shared" si="2672"/>
        <v>0,01-0,1</v>
      </c>
      <c r="E1026" s="391">
        <f t="shared" si="2672"/>
        <v>0.1</v>
      </c>
      <c r="F1026" s="391" t="str">
        <f t="shared" si="2672"/>
        <v>soil</v>
      </c>
      <c r="G1026" s="392" t="str">
        <f t="shared" si="2672"/>
        <v>DE: PS particle 0,01-0,1 mm (emission to soil)</v>
      </c>
      <c r="H1026" s="465">
        <v>0</v>
      </c>
      <c r="I1026" s="394" t="s">
        <v>1097</v>
      </c>
      <c r="J1026" s="632"/>
      <c r="K1026" s="395">
        <v>0</v>
      </c>
      <c r="L1026" s="537"/>
      <c r="M1026" s="509">
        <f t="shared" si="2526"/>
        <v>1000</v>
      </c>
      <c r="N1026" s="646"/>
      <c r="O1026" s="626"/>
      <c r="P1026" s="629"/>
      <c r="Q1026" s="629"/>
    </row>
    <row r="1027" spans="1:17" ht="15.75" hidden="1" customHeight="1">
      <c r="A1027" s="390" t="str">
        <f t="shared" ref="A1027:B1028" si="2673">A1026</f>
        <v>PS</v>
      </c>
      <c r="B1027" s="391" t="str">
        <f t="shared" si="2673"/>
        <v>particle</v>
      </c>
      <c r="C1027" s="391">
        <f t="shared" si="2672"/>
        <v>6</v>
      </c>
      <c r="D1027" s="391" t="str">
        <f t="shared" si="2672"/>
        <v>0,01-0,1</v>
      </c>
      <c r="E1027" s="391">
        <f t="shared" si="2672"/>
        <v>0.1</v>
      </c>
      <c r="F1027" s="391" t="str">
        <f t="shared" si="2672"/>
        <v>soil</v>
      </c>
      <c r="G1027" s="392" t="str">
        <f t="shared" si="2672"/>
        <v>DE: PS particle 0,01-0,1 mm (emission to soil)</v>
      </c>
      <c r="H1027" s="465">
        <v>2.7E-2</v>
      </c>
      <c r="I1027" s="394" t="s">
        <v>1143</v>
      </c>
      <c r="J1027" s="632"/>
      <c r="K1027" s="395">
        <v>0</v>
      </c>
      <c r="L1027" s="537"/>
      <c r="M1027" s="509">
        <f t="shared" si="2526"/>
        <v>1000</v>
      </c>
      <c r="N1027" s="646"/>
      <c r="O1027" s="626"/>
      <c r="P1027" s="629"/>
      <c r="Q1027" s="629"/>
    </row>
    <row r="1028" spans="1:17" ht="15.75" hidden="1" customHeight="1">
      <c r="A1028" s="390" t="str">
        <f t="shared" si="2673"/>
        <v>PS</v>
      </c>
      <c r="B1028" s="391" t="str">
        <f t="shared" si="2673"/>
        <v>particle</v>
      </c>
      <c r="C1028" s="391">
        <f t="shared" si="2672"/>
        <v>6</v>
      </c>
      <c r="D1028" s="391" t="str">
        <f t="shared" si="2672"/>
        <v>0,01-0,1</v>
      </c>
      <c r="E1028" s="391">
        <f t="shared" si="2672"/>
        <v>0.1</v>
      </c>
      <c r="F1028" s="391" t="str">
        <f t="shared" si="2672"/>
        <v>soil</v>
      </c>
      <c r="G1028" s="392" t="str">
        <f t="shared" si="2672"/>
        <v>DE: PS particle 0,01-0,1 mm (emission to soil)</v>
      </c>
      <c r="H1028" s="465">
        <v>3.0000000000000001E-3</v>
      </c>
      <c r="I1028" s="394" t="s">
        <v>1146</v>
      </c>
      <c r="J1028" s="632"/>
      <c r="K1028" s="395">
        <v>0</v>
      </c>
      <c r="L1028" s="537"/>
      <c r="M1028" s="509">
        <f t="shared" si="2526"/>
        <v>1000</v>
      </c>
      <c r="N1028" s="646"/>
      <c r="O1028" s="626"/>
      <c r="P1028" s="629"/>
      <c r="Q1028" s="629"/>
    </row>
    <row r="1029" spans="1:17" ht="15.75" hidden="1" customHeight="1">
      <c r="A1029" s="390" t="str">
        <f>A1026</f>
        <v>PS</v>
      </c>
      <c r="B1029" s="391" t="str">
        <f>B1026</f>
        <v>particle</v>
      </c>
      <c r="C1029" s="391">
        <f t="shared" si="2672"/>
        <v>6</v>
      </c>
      <c r="D1029" s="391" t="str">
        <f>D1026</f>
        <v>0,01-0,1</v>
      </c>
      <c r="E1029" s="391">
        <f>E1026</f>
        <v>0.1</v>
      </c>
      <c r="F1029" s="391" t="str">
        <f>F1026</f>
        <v>soil</v>
      </c>
      <c r="G1029" s="396" t="str">
        <f t="shared" si="2672"/>
        <v>DE: PS particle 0,01-0,1 mm (emission to soil)</v>
      </c>
      <c r="H1029" s="465">
        <v>0</v>
      </c>
      <c r="I1029" s="397" t="s">
        <v>1034</v>
      </c>
      <c r="J1029" s="633"/>
      <c r="K1029" s="398" t="s">
        <v>596</v>
      </c>
      <c r="L1029" s="538"/>
      <c r="M1029" s="509">
        <f t="shared" si="2526"/>
        <v>0</v>
      </c>
      <c r="N1029" s="647"/>
      <c r="O1029" s="627"/>
      <c r="P1029" s="629"/>
      <c r="Q1029" s="629"/>
    </row>
    <row r="1030" spans="1:17" ht="15.75" hidden="1" customHeight="1">
      <c r="A1030" s="390" t="str">
        <f t="shared" ref="A1030:B1030" si="2674">A1027</f>
        <v>PS</v>
      </c>
      <c r="B1030" s="391" t="str">
        <f t="shared" si="2674"/>
        <v>particle</v>
      </c>
      <c r="C1030" s="391">
        <f t="shared" si="2672"/>
        <v>6</v>
      </c>
      <c r="D1030" s="399" t="str">
        <f t="shared" ref="D1030:E1030" si="2675">D1027</f>
        <v>0,01-0,1</v>
      </c>
      <c r="E1030" s="391">
        <f t="shared" si="2675"/>
        <v>0.1</v>
      </c>
      <c r="F1030" s="400" t="s">
        <v>1147</v>
      </c>
      <c r="G1030" s="386" t="str">
        <f>CONCATENATE("DE: ",A1030," ",B1030," ",D1030," mm (emission to ",F1030,")")</f>
        <v>DE: PS particle 0,01-0,1 mm (emission to fresh water)</v>
      </c>
      <c r="H1030" s="466">
        <v>0</v>
      </c>
      <c r="I1030" s="388" t="s">
        <v>1019</v>
      </c>
      <c r="J1030" s="634">
        <v>0.22800000000000001</v>
      </c>
      <c r="K1030" s="389">
        <v>0</v>
      </c>
      <c r="L1030" s="536"/>
      <c r="M1030" s="509">
        <f t="shared" ref="M1030:M1093" si="2676">IFERROR(IF(K1030="--",0,IF(E1030*1000/K1030*(1-0.5)^(C1030/2)&gt;1000,1000,E1030*1000/K1030*(1-0.5)^(C1030/2))),1000)</f>
        <v>1000</v>
      </c>
      <c r="N1030" s="645">
        <f t="shared" ref="N1030" si="2677">IFERROR(H1030*M1030+H1031*M1031+H1032*M1032+H1033*M1033+H1034*M1034,"N.A.")</f>
        <v>1000</v>
      </c>
      <c r="O1030" s="625"/>
      <c r="P1030" s="628">
        <f t="shared" si="2560"/>
        <v>100</v>
      </c>
      <c r="Q1030" s="628">
        <f t="shared" si="2642"/>
        <v>500</v>
      </c>
    </row>
    <row r="1031" spans="1:17" ht="15.75" hidden="1" customHeight="1">
      <c r="A1031" s="390" t="str">
        <f t="shared" ref="A1031:B1031" si="2678">A1028</f>
        <v>PS</v>
      </c>
      <c r="B1031" s="391" t="str">
        <f t="shared" si="2678"/>
        <v>particle</v>
      </c>
      <c r="C1031" s="391">
        <f t="shared" si="2672"/>
        <v>6</v>
      </c>
      <c r="D1031" s="391" t="str">
        <f t="shared" ref="D1031:E1031" si="2679">D1028</f>
        <v>0,01-0,1</v>
      </c>
      <c r="E1031" s="391">
        <f t="shared" si="2679"/>
        <v>0.1</v>
      </c>
      <c r="F1031" s="391" t="str">
        <f t="shared" ref="F1031:G1031" si="2680">F1030</f>
        <v>fresh water</v>
      </c>
      <c r="G1031" s="401" t="str">
        <f t="shared" si="2680"/>
        <v>DE: PS particle 0,01-0,1 mm (emission to fresh water)</v>
      </c>
      <c r="H1031" s="465">
        <v>0</v>
      </c>
      <c r="I1031" s="394" t="s">
        <v>1097</v>
      </c>
      <c r="J1031" s="635"/>
      <c r="K1031" s="389">
        <v>0</v>
      </c>
      <c r="L1031" s="536"/>
      <c r="M1031" s="509">
        <f t="shared" si="2676"/>
        <v>1000</v>
      </c>
      <c r="N1031" s="646"/>
      <c r="O1031" s="626"/>
      <c r="P1031" s="629"/>
      <c r="Q1031" s="629"/>
    </row>
    <row r="1032" spans="1:17" ht="15.75" hidden="1" customHeight="1">
      <c r="A1032" s="390" t="str">
        <f t="shared" ref="A1032:B1032" si="2681">A1029</f>
        <v>PS</v>
      </c>
      <c r="B1032" s="391" t="str">
        <f t="shared" si="2681"/>
        <v>particle</v>
      </c>
      <c r="C1032" s="391">
        <f t="shared" si="2672"/>
        <v>6</v>
      </c>
      <c r="D1032" s="391" t="str">
        <f t="shared" ref="D1032:E1032" si="2682">D1029</f>
        <v>0,01-0,1</v>
      </c>
      <c r="E1032" s="391">
        <f t="shared" si="2682"/>
        <v>0.1</v>
      </c>
      <c r="F1032" s="391" t="str">
        <f t="shared" ref="F1032:G1032" si="2683">F1031</f>
        <v>fresh water</v>
      </c>
      <c r="G1032" s="401" t="str">
        <f t="shared" si="2683"/>
        <v>DE: PS particle 0,01-0,1 mm (emission to fresh water)</v>
      </c>
      <c r="H1032" s="465">
        <v>0.89</v>
      </c>
      <c r="I1032" s="394" t="s">
        <v>1143</v>
      </c>
      <c r="J1032" s="635"/>
      <c r="K1032" s="389">
        <v>0</v>
      </c>
      <c r="L1032" s="536"/>
      <c r="M1032" s="509">
        <f t="shared" si="2676"/>
        <v>1000</v>
      </c>
      <c r="N1032" s="646"/>
      <c r="O1032" s="626"/>
      <c r="P1032" s="629"/>
      <c r="Q1032" s="629"/>
    </row>
    <row r="1033" spans="1:17" ht="15.75" hidden="1" customHeight="1">
      <c r="A1033" s="390" t="str">
        <f t="shared" ref="A1033:B1033" si="2684">A1030</f>
        <v>PS</v>
      </c>
      <c r="B1033" s="391" t="str">
        <f t="shared" si="2684"/>
        <v>particle</v>
      </c>
      <c r="C1033" s="391">
        <f t="shared" si="2672"/>
        <v>6</v>
      </c>
      <c r="D1033" s="391" t="str">
        <f t="shared" ref="D1033:E1033" si="2685">D1030</f>
        <v>0,01-0,1</v>
      </c>
      <c r="E1033" s="391">
        <f t="shared" si="2685"/>
        <v>0.1</v>
      </c>
      <c r="F1033" s="391" t="str">
        <f t="shared" ref="F1033:G1034" si="2686">F1032</f>
        <v>fresh water</v>
      </c>
      <c r="G1033" s="401" t="str">
        <f t="shared" si="2686"/>
        <v>DE: PS particle 0,01-0,1 mm (emission to fresh water)</v>
      </c>
      <c r="H1033" s="465">
        <v>0.11</v>
      </c>
      <c r="I1033" s="394" t="s">
        <v>1146</v>
      </c>
      <c r="J1033" s="635"/>
      <c r="K1033" s="389">
        <v>0</v>
      </c>
      <c r="L1033" s="536"/>
      <c r="M1033" s="509">
        <f t="shared" si="2676"/>
        <v>1000</v>
      </c>
      <c r="N1033" s="646"/>
      <c r="O1033" s="626"/>
      <c r="P1033" s="629"/>
      <c r="Q1033" s="629"/>
    </row>
    <row r="1034" spans="1:17" ht="15.75" hidden="1" customHeight="1">
      <c r="A1034" s="390" t="str">
        <f t="shared" ref="A1034:B1034" si="2687">A1031</f>
        <v>PS</v>
      </c>
      <c r="B1034" s="391" t="str">
        <f t="shared" si="2687"/>
        <v>particle</v>
      </c>
      <c r="C1034" s="391">
        <f t="shared" si="2672"/>
        <v>6</v>
      </c>
      <c r="D1034" s="391" t="str">
        <f t="shared" ref="D1034:E1034" si="2688">D1031</f>
        <v>0,01-0,1</v>
      </c>
      <c r="E1034" s="391">
        <f t="shared" si="2688"/>
        <v>0.1</v>
      </c>
      <c r="F1034" s="402" t="str">
        <f>F1031</f>
        <v>fresh water</v>
      </c>
      <c r="G1034" s="401" t="str">
        <f t="shared" si="2686"/>
        <v>DE: PS particle 0,01-0,1 mm (emission to fresh water)</v>
      </c>
      <c r="H1034" s="465">
        <v>0</v>
      </c>
      <c r="I1034" s="397" t="s">
        <v>1034</v>
      </c>
      <c r="J1034" s="654"/>
      <c r="K1034" s="398" t="s">
        <v>596</v>
      </c>
      <c r="L1034" s="538"/>
      <c r="M1034" s="509">
        <f t="shared" si="2676"/>
        <v>0</v>
      </c>
      <c r="N1034" s="647"/>
      <c r="O1034" s="627"/>
      <c r="P1034" s="629"/>
      <c r="Q1034" s="629"/>
    </row>
    <row r="1035" spans="1:17" ht="15.75" hidden="1" customHeight="1">
      <c r="A1035" s="390" t="str">
        <f t="shared" ref="A1035:B1035" si="2689">A1032</f>
        <v>PS</v>
      </c>
      <c r="B1035" s="391" t="str">
        <f t="shared" si="2689"/>
        <v>particle</v>
      </c>
      <c r="C1035" s="391">
        <f t="shared" si="2672"/>
        <v>6</v>
      </c>
      <c r="D1035" s="391" t="str">
        <f t="shared" ref="D1035:E1035" si="2690">D1032</f>
        <v>0,01-0,1</v>
      </c>
      <c r="E1035" s="391">
        <f t="shared" si="2690"/>
        <v>0.1</v>
      </c>
      <c r="F1035" s="385" t="s">
        <v>1097</v>
      </c>
      <c r="G1035" s="422" t="str">
        <f>CONCATENATE("DE: ",A1035," ",B1035," ",D1035," mm (emission to ",F1035,")")</f>
        <v>DE: PS particle 0,01-0,1 mm (emission to marine water)</v>
      </c>
      <c r="H1035" s="467">
        <v>0</v>
      </c>
      <c r="I1035" s="388" t="s">
        <v>1019</v>
      </c>
      <c r="J1035" s="634">
        <v>0.22800000000000001</v>
      </c>
      <c r="K1035" s="395">
        <v>0</v>
      </c>
      <c r="L1035" s="536"/>
      <c r="M1035" s="509">
        <f t="shared" si="2676"/>
        <v>1000</v>
      </c>
      <c r="N1035" s="645">
        <f t="shared" ref="N1035" si="2691">IFERROR(H1035*M1035+H1036*M1036+H1037*M1037+H1038*M1038+H1039*M1039,"N.A.")</f>
        <v>1000</v>
      </c>
      <c r="O1035" s="625"/>
      <c r="P1035" s="628">
        <f t="shared" si="2560"/>
        <v>100</v>
      </c>
      <c r="Q1035" s="628">
        <f t="shared" si="2642"/>
        <v>500</v>
      </c>
    </row>
    <row r="1036" spans="1:17" ht="15.75" hidden="1" customHeight="1">
      <c r="A1036" s="390" t="str">
        <f t="shared" ref="A1036:B1036" si="2692">A1033</f>
        <v>PS</v>
      </c>
      <c r="B1036" s="391" t="str">
        <f t="shared" si="2692"/>
        <v>particle</v>
      </c>
      <c r="C1036" s="391">
        <f t="shared" si="2672"/>
        <v>6</v>
      </c>
      <c r="D1036" s="391" t="str">
        <f t="shared" ref="D1036:E1036" si="2693">D1033</f>
        <v>0,01-0,1</v>
      </c>
      <c r="E1036" s="391">
        <f t="shared" si="2693"/>
        <v>0.1</v>
      </c>
      <c r="F1036" s="391" t="str">
        <f t="shared" ref="F1036:G1036" si="2694">F1035</f>
        <v>marine water</v>
      </c>
      <c r="G1036" s="401" t="str">
        <f t="shared" si="2694"/>
        <v>DE: PS particle 0,01-0,1 mm (emission to marine water)</v>
      </c>
      <c r="H1036" s="465">
        <v>0</v>
      </c>
      <c r="I1036" s="394" t="s">
        <v>1097</v>
      </c>
      <c r="J1036" s="635"/>
      <c r="K1036" s="395">
        <v>0</v>
      </c>
      <c r="L1036" s="537"/>
      <c r="M1036" s="509">
        <f t="shared" si="2676"/>
        <v>1000</v>
      </c>
      <c r="N1036" s="646"/>
      <c r="O1036" s="626"/>
      <c r="P1036" s="629"/>
      <c r="Q1036" s="629"/>
    </row>
    <row r="1037" spans="1:17" ht="15.75" hidden="1" customHeight="1">
      <c r="A1037" s="390" t="str">
        <f t="shared" ref="A1037:B1037" si="2695">A1034</f>
        <v>PS</v>
      </c>
      <c r="B1037" s="391" t="str">
        <f t="shared" si="2695"/>
        <v>particle</v>
      </c>
      <c r="C1037" s="391">
        <f t="shared" si="2672"/>
        <v>6</v>
      </c>
      <c r="D1037" s="391" t="str">
        <f t="shared" ref="D1037:E1037" si="2696">D1034</f>
        <v>0,01-0,1</v>
      </c>
      <c r="E1037" s="391">
        <f t="shared" si="2696"/>
        <v>0.1</v>
      </c>
      <c r="F1037" s="391" t="str">
        <f t="shared" ref="F1037:G1037" si="2697">F1036</f>
        <v>marine water</v>
      </c>
      <c r="G1037" s="401" t="str">
        <f t="shared" si="2697"/>
        <v>DE: PS particle 0,01-0,1 mm (emission to marine water)</v>
      </c>
      <c r="H1037" s="465">
        <v>0</v>
      </c>
      <c r="I1037" s="394" t="s">
        <v>1143</v>
      </c>
      <c r="J1037" s="635"/>
      <c r="K1037" s="395">
        <v>0</v>
      </c>
      <c r="L1037" s="537"/>
      <c r="M1037" s="509">
        <f t="shared" si="2676"/>
        <v>1000</v>
      </c>
      <c r="N1037" s="646"/>
      <c r="O1037" s="626"/>
      <c r="P1037" s="629"/>
      <c r="Q1037" s="629"/>
    </row>
    <row r="1038" spans="1:17" ht="15.75" hidden="1" customHeight="1">
      <c r="A1038" s="390" t="str">
        <f t="shared" ref="A1038:B1038" si="2698">A1035</f>
        <v>PS</v>
      </c>
      <c r="B1038" s="391" t="str">
        <f t="shared" si="2698"/>
        <v>particle</v>
      </c>
      <c r="C1038" s="391">
        <f t="shared" si="2672"/>
        <v>6</v>
      </c>
      <c r="D1038" s="391" t="str">
        <f t="shared" ref="D1038:E1038" si="2699">D1035</f>
        <v>0,01-0,1</v>
      </c>
      <c r="E1038" s="391">
        <f t="shared" si="2699"/>
        <v>0.1</v>
      </c>
      <c r="F1038" s="391" t="str">
        <f t="shared" ref="F1038:G1038" si="2700">F1037</f>
        <v>marine water</v>
      </c>
      <c r="G1038" s="401" t="str">
        <f t="shared" si="2700"/>
        <v>DE: PS particle 0,01-0,1 mm (emission to marine water)</v>
      </c>
      <c r="H1038" s="465">
        <v>1</v>
      </c>
      <c r="I1038" s="394" t="s">
        <v>1146</v>
      </c>
      <c r="J1038" s="635"/>
      <c r="K1038" s="395">
        <v>0</v>
      </c>
      <c r="L1038" s="537"/>
      <c r="M1038" s="509">
        <f t="shared" si="2676"/>
        <v>1000</v>
      </c>
      <c r="N1038" s="646"/>
      <c r="O1038" s="626"/>
      <c r="P1038" s="629"/>
      <c r="Q1038" s="629"/>
    </row>
    <row r="1039" spans="1:17" ht="15.75" hidden="1" customHeight="1">
      <c r="A1039" s="390" t="str">
        <f t="shared" ref="A1039:B1039" si="2701">A1036</f>
        <v>PS</v>
      </c>
      <c r="B1039" s="391" t="str">
        <f t="shared" si="2701"/>
        <v>particle</v>
      </c>
      <c r="C1039" s="391">
        <f t="shared" si="2672"/>
        <v>6</v>
      </c>
      <c r="D1039" s="391" t="str">
        <f t="shared" ref="D1039:E1039" si="2702">D1036</f>
        <v>0,01-0,1</v>
      </c>
      <c r="E1039" s="391">
        <f t="shared" si="2702"/>
        <v>0.1</v>
      </c>
      <c r="F1039" s="391" t="str">
        <f t="shared" ref="F1039:G1039" si="2703">F1038</f>
        <v>marine water</v>
      </c>
      <c r="G1039" s="401" t="str">
        <f t="shared" si="2703"/>
        <v>DE: PS particle 0,01-0,1 mm (emission to marine water)</v>
      </c>
      <c r="H1039" s="465">
        <v>0</v>
      </c>
      <c r="I1039" s="397" t="s">
        <v>1034</v>
      </c>
      <c r="J1039" s="654"/>
      <c r="K1039" s="398" t="s">
        <v>596</v>
      </c>
      <c r="L1039" s="538"/>
      <c r="M1039" s="509">
        <f t="shared" si="2676"/>
        <v>0</v>
      </c>
      <c r="N1039" s="647"/>
      <c r="O1039" s="627"/>
      <c r="P1039" s="629"/>
      <c r="Q1039" s="629"/>
    </row>
    <row r="1040" spans="1:17" ht="15.75" hidden="1" customHeight="1">
      <c r="A1040" s="390" t="str">
        <f t="shared" ref="A1040:B1040" si="2704">A1037</f>
        <v>PS</v>
      </c>
      <c r="B1040" s="391" t="str">
        <f t="shared" si="2704"/>
        <v>particle</v>
      </c>
      <c r="C1040" s="391">
        <f t="shared" si="2672"/>
        <v>6</v>
      </c>
      <c r="D1040" s="391" t="str">
        <f t="shared" ref="D1040:E1040" si="2705">D1037</f>
        <v>0,01-0,1</v>
      </c>
      <c r="E1040" s="391">
        <f t="shared" si="2705"/>
        <v>0.1</v>
      </c>
      <c r="F1040" s="400" t="s">
        <v>1057</v>
      </c>
      <c r="G1040" s="422" t="str">
        <f>CONCATENATE("DE: ",A1040," ",B1040," ",D1040," mm (emission to ",F1040,")")</f>
        <v>DE: PS particle 0,01-0,1 mm (emission to air)</v>
      </c>
      <c r="H1040" s="467">
        <v>0.94799999999999995</v>
      </c>
      <c r="I1040" s="388" t="s">
        <v>1019</v>
      </c>
      <c r="J1040" s="634">
        <v>0.22800000000000001</v>
      </c>
      <c r="K1040" s="395">
        <v>0</v>
      </c>
      <c r="L1040" s="536"/>
      <c r="M1040" s="509">
        <f t="shared" si="2676"/>
        <v>1000</v>
      </c>
      <c r="N1040" s="645">
        <f t="shared" ref="N1040" si="2706">IFERROR(H1040*M1040+H1041*M1041+H1042*M1042+H1043*M1043+H1044*M1044,"N.A.")</f>
        <v>1000</v>
      </c>
      <c r="O1040" s="625"/>
      <c r="P1040" s="628">
        <f t="shared" si="2560"/>
        <v>100</v>
      </c>
      <c r="Q1040" s="628">
        <f t="shared" si="2642"/>
        <v>500</v>
      </c>
    </row>
    <row r="1041" spans="1:17" ht="15.75" hidden="1" customHeight="1">
      <c r="A1041" s="390" t="str">
        <f t="shared" ref="A1041:B1041" si="2707">A1038</f>
        <v>PS</v>
      </c>
      <c r="B1041" s="391" t="str">
        <f t="shared" si="2707"/>
        <v>particle</v>
      </c>
      <c r="C1041" s="391">
        <f t="shared" si="2672"/>
        <v>6</v>
      </c>
      <c r="D1041" s="391" t="str">
        <f t="shared" ref="D1041:E1041" si="2708">D1038</f>
        <v>0,01-0,1</v>
      </c>
      <c r="E1041" s="391">
        <f t="shared" si="2708"/>
        <v>0.1</v>
      </c>
      <c r="F1041" s="391" t="str">
        <f t="shared" ref="F1041:G1041" si="2709">F1040</f>
        <v>air</v>
      </c>
      <c r="G1041" s="401" t="str">
        <f t="shared" si="2709"/>
        <v>DE: PS particle 0,01-0,1 mm (emission to air)</v>
      </c>
      <c r="H1041" s="465">
        <v>0</v>
      </c>
      <c r="I1041" s="394" t="s">
        <v>1097</v>
      </c>
      <c r="J1041" s="635"/>
      <c r="K1041" s="395">
        <v>0</v>
      </c>
      <c r="L1041" s="537"/>
      <c r="M1041" s="509">
        <f t="shared" si="2676"/>
        <v>1000</v>
      </c>
      <c r="N1041" s="646"/>
      <c r="O1041" s="626"/>
      <c r="P1041" s="629"/>
      <c r="Q1041" s="629"/>
    </row>
    <row r="1042" spans="1:17" ht="15.75" hidden="1" customHeight="1">
      <c r="A1042" s="390" t="str">
        <f t="shared" ref="A1042:B1042" si="2710">A1039</f>
        <v>PS</v>
      </c>
      <c r="B1042" s="391" t="str">
        <f t="shared" si="2710"/>
        <v>particle</v>
      </c>
      <c r="C1042" s="391">
        <f t="shared" ref="C1042:C1044" si="2711">C1041</f>
        <v>6</v>
      </c>
      <c r="D1042" s="391" t="str">
        <f t="shared" ref="D1042:E1042" si="2712">D1039</f>
        <v>0,01-0,1</v>
      </c>
      <c r="E1042" s="391">
        <f t="shared" si="2712"/>
        <v>0.1</v>
      </c>
      <c r="F1042" s="391" t="str">
        <f t="shared" ref="F1042:G1042" si="2713">F1041</f>
        <v>air</v>
      </c>
      <c r="G1042" s="401" t="str">
        <f t="shared" si="2713"/>
        <v>DE: PS particle 0,01-0,1 mm (emission to air)</v>
      </c>
      <c r="H1042" s="465">
        <v>4.7E-2</v>
      </c>
      <c r="I1042" s="394" t="s">
        <v>1143</v>
      </c>
      <c r="J1042" s="635"/>
      <c r="K1042" s="395">
        <v>0</v>
      </c>
      <c r="L1042" s="537"/>
      <c r="M1042" s="509">
        <f t="shared" si="2676"/>
        <v>1000</v>
      </c>
      <c r="N1042" s="646"/>
      <c r="O1042" s="626"/>
      <c r="P1042" s="629"/>
      <c r="Q1042" s="629"/>
    </row>
    <row r="1043" spans="1:17" ht="15.75" hidden="1" customHeight="1">
      <c r="A1043" s="390" t="str">
        <f t="shared" ref="A1043:B1043" si="2714">A1040</f>
        <v>PS</v>
      </c>
      <c r="B1043" s="391" t="str">
        <f t="shared" si="2714"/>
        <v>particle</v>
      </c>
      <c r="C1043" s="391">
        <f t="shared" si="2711"/>
        <v>6</v>
      </c>
      <c r="D1043" s="391" t="str">
        <f t="shared" ref="D1043:E1043" si="2715">D1040</f>
        <v>0,01-0,1</v>
      </c>
      <c r="E1043" s="391">
        <f t="shared" si="2715"/>
        <v>0.1</v>
      </c>
      <c r="F1043" s="391" t="str">
        <f t="shared" ref="F1043:G1043" si="2716">F1042</f>
        <v>air</v>
      </c>
      <c r="G1043" s="401" t="str">
        <f t="shared" si="2716"/>
        <v>DE: PS particle 0,01-0,1 mm (emission to air)</v>
      </c>
      <c r="H1043" s="465">
        <v>5.0000000000000001E-3</v>
      </c>
      <c r="I1043" s="394" t="s">
        <v>1146</v>
      </c>
      <c r="J1043" s="635"/>
      <c r="K1043" s="395">
        <v>0</v>
      </c>
      <c r="L1043" s="537"/>
      <c r="M1043" s="509">
        <f t="shared" si="2676"/>
        <v>1000</v>
      </c>
      <c r="N1043" s="646"/>
      <c r="O1043" s="626"/>
      <c r="P1043" s="629"/>
      <c r="Q1043" s="629"/>
    </row>
    <row r="1044" spans="1:17" ht="15.75" hidden="1" customHeight="1" thickBot="1">
      <c r="A1044" s="452" t="str">
        <f t="shared" ref="A1044:B1044" si="2717">A1039</f>
        <v>PS</v>
      </c>
      <c r="B1044" s="453" t="str">
        <f t="shared" si="2717"/>
        <v>particle</v>
      </c>
      <c r="C1044" s="453">
        <f t="shared" si="2711"/>
        <v>6</v>
      </c>
      <c r="D1044" s="453" t="str">
        <f t="shared" ref="D1044:E1044" si="2718">D1039</f>
        <v>0,01-0,1</v>
      </c>
      <c r="E1044" s="453">
        <f t="shared" si="2718"/>
        <v>0.1</v>
      </c>
      <c r="F1044" s="453" t="str">
        <f t="shared" ref="F1044:G1044" si="2719">F1043</f>
        <v>air</v>
      </c>
      <c r="G1044" s="454" t="str">
        <f t="shared" si="2719"/>
        <v>DE: PS particle 0,01-0,1 mm (emission to air)</v>
      </c>
      <c r="H1044" s="473">
        <v>0</v>
      </c>
      <c r="I1044" s="456" t="s">
        <v>1034</v>
      </c>
      <c r="J1044" s="636"/>
      <c r="K1044" s="457" t="s">
        <v>596</v>
      </c>
      <c r="L1044" s="543"/>
      <c r="M1044" s="509">
        <f t="shared" si="2676"/>
        <v>0</v>
      </c>
      <c r="N1044" s="647"/>
      <c r="O1044" s="627"/>
      <c r="P1044" s="629"/>
      <c r="Q1044" s="629"/>
    </row>
    <row r="1045" spans="1:17" ht="15.75" hidden="1" customHeight="1">
      <c r="A1045" s="381" t="s">
        <v>240</v>
      </c>
      <c r="B1045" s="382" t="s">
        <v>1152</v>
      </c>
      <c r="C1045" s="383">
        <v>6</v>
      </c>
      <c r="D1045" s="475" t="s">
        <v>1028</v>
      </c>
      <c r="E1045" s="384">
        <v>1</v>
      </c>
      <c r="F1045" s="385" t="s">
        <v>1019</v>
      </c>
      <c r="G1045" s="386" t="str">
        <f>CONCATENATE("DE: ",A1045," ",B1045," ",D1045," mm (emission to ",F1045,")")</f>
        <v>DE: PS particle 0,1-1 mm (emission to soil)</v>
      </c>
      <c r="H1045" s="466">
        <v>0.97</v>
      </c>
      <c r="I1045" s="388" t="s">
        <v>1019</v>
      </c>
      <c r="J1045" s="632">
        <v>0.22800000000000001</v>
      </c>
      <c r="K1045" s="389">
        <v>0</v>
      </c>
      <c r="L1045" s="536"/>
      <c r="M1045" s="509">
        <f t="shared" si="2676"/>
        <v>1000</v>
      </c>
      <c r="N1045" s="645">
        <f t="shared" ref="N1045" si="2720">IFERROR(H1045*M1045+H1046*M1046+H1047*M1047+H1048*M1048+H1049*M1049,"N.A.")</f>
        <v>1000</v>
      </c>
      <c r="O1045" s="625"/>
      <c r="P1045" s="628">
        <f t="shared" ref="P1045:P1105" si="2721">IFERROR(IF(H1045*M1045+H1046*M1046+H1047*M1047+H1048*M1048+H1049*M1049&gt;100,100,H1045*M1045+H1046*M1046+H1047*M1047+H1048*M1048+H1049*M1049),"N.A.")</f>
        <v>100</v>
      </c>
      <c r="Q1045" s="628">
        <f t="shared" si="2642"/>
        <v>500</v>
      </c>
    </row>
    <row r="1046" spans="1:17" ht="15.75" hidden="1" customHeight="1">
      <c r="A1046" s="390" t="str">
        <f>A1045</f>
        <v>PS</v>
      </c>
      <c r="B1046" s="391" t="str">
        <f>B1045</f>
        <v>particle</v>
      </c>
      <c r="C1046" s="391">
        <f t="shared" ref="C1046:G1061" si="2722">C1045</f>
        <v>6</v>
      </c>
      <c r="D1046" s="391" t="str">
        <f t="shared" si="2722"/>
        <v>0,1-1</v>
      </c>
      <c r="E1046" s="391">
        <f t="shared" si="2722"/>
        <v>1</v>
      </c>
      <c r="F1046" s="391" t="str">
        <f t="shared" si="2722"/>
        <v>soil</v>
      </c>
      <c r="G1046" s="392" t="str">
        <f t="shared" si="2722"/>
        <v>DE: PS particle 0,1-1 mm (emission to soil)</v>
      </c>
      <c r="H1046" s="465">
        <v>0</v>
      </c>
      <c r="I1046" s="394" t="s">
        <v>1097</v>
      </c>
      <c r="J1046" s="632"/>
      <c r="K1046" s="395">
        <v>0</v>
      </c>
      <c r="L1046" s="537"/>
      <c r="M1046" s="509">
        <f t="shared" si="2676"/>
        <v>1000</v>
      </c>
      <c r="N1046" s="646"/>
      <c r="O1046" s="626"/>
      <c r="P1046" s="629"/>
      <c r="Q1046" s="629"/>
    </row>
    <row r="1047" spans="1:17" ht="15.75" hidden="1" customHeight="1">
      <c r="A1047" s="390" t="str">
        <f t="shared" ref="A1047:B1048" si="2723">A1046</f>
        <v>PS</v>
      </c>
      <c r="B1047" s="391" t="str">
        <f t="shared" si="2723"/>
        <v>particle</v>
      </c>
      <c r="C1047" s="391">
        <f t="shared" si="2722"/>
        <v>6</v>
      </c>
      <c r="D1047" s="391" t="str">
        <f t="shared" si="2722"/>
        <v>0,1-1</v>
      </c>
      <c r="E1047" s="391">
        <f t="shared" si="2722"/>
        <v>1</v>
      </c>
      <c r="F1047" s="391" t="str">
        <f t="shared" si="2722"/>
        <v>soil</v>
      </c>
      <c r="G1047" s="392" t="str">
        <f t="shared" si="2722"/>
        <v>DE: PS particle 0,1-1 mm (emission to soil)</v>
      </c>
      <c r="H1047" s="465">
        <v>2.7E-2</v>
      </c>
      <c r="I1047" s="394" t="s">
        <v>1143</v>
      </c>
      <c r="J1047" s="632"/>
      <c r="K1047" s="395">
        <v>0</v>
      </c>
      <c r="L1047" s="537"/>
      <c r="M1047" s="509">
        <f t="shared" si="2676"/>
        <v>1000</v>
      </c>
      <c r="N1047" s="646"/>
      <c r="O1047" s="626"/>
      <c r="P1047" s="629"/>
      <c r="Q1047" s="629"/>
    </row>
    <row r="1048" spans="1:17" ht="15.75" hidden="1" customHeight="1">
      <c r="A1048" s="390" t="str">
        <f t="shared" si="2723"/>
        <v>PS</v>
      </c>
      <c r="B1048" s="391" t="str">
        <f t="shared" si="2723"/>
        <v>particle</v>
      </c>
      <c r="C1048" s="391">
        <f t="shared" si="2722"/>
        <v>6</v>
      </c>
      <c r="D1048" s="391" t="str">
        <f t="shared" si="2722"/>
        <v>0,1-1</v>
      </c>
      <c r="E1048" s="391">
        <f t="shared" si="2722"/>
        <v>1</v>
      </c>
      <c r="F1048" s="391" t="str">
        <f t="shared" si="2722"/>
        <v>soil</v>
      </c>
      <c r="G1048" s="392" t="str">
        <f t="shared" si="2722"/>
        <v>DE: PS particle 0,1-1 mm (emission to soil)</v>
      </c>
      <c r="H1048" s="465">
        <v>3.0000000000000001E-3</v>
      </c>
      <c r="I1048" s="394" t="s">
        <v>1146</v>
      </c>
      <c r="J1048" s="632"/>
      <c r="K1048" s="395">
        <v>0</v>
      </c>
      <c r="L1048" s="537"/>
      <c r="M1048" s="509">
        <f t="shared" si="2676"/>
        <v>1000</v>
      </c>
      <c r="N1048" s="646"/>
      <c r="O1048" s="626"/>
      <c r="P1048" s="629"/>
      <c r="Q1048" s="629"/>
    </row>
    <row r="1049" spans="1:17" ht="15.75" hidden="1" customHeight="1">
      <c r="A1049" s="390" t="str">
        <f>A1046</f>
        <v>PS</v>
      </c>
      <c r="B1049" s="391" t="str">
        <f>B1046</f>
        <v>particle</v>
      </c>
      <c r="C1049" s="391">
        <f t="shared" si="2722"/>
        <v>6</v>
      </c>
      <c r="D1049" s="391" t="str">
        <f>D1046</f>
        <v>0,1-1</v>
      </c>
      <c r="E1049" s="391">
        <f>E1046</f>
        <v>1</v>
      </c>
      <c r="F1049" s="391" t="str">
        <f>F1046</f>
        <v>soil</v>
      </c>
      <c r="G1049" s="396" t="str">
        <f t="shared" si="2722"/>
        <v>DE: PS particle 0,1-1 mm (emission to soil)</v>
      </c>
      <c r="H1049" s="465">
        <v>0</v>
      </c>
      <c r="I1049" s="397" t="s">
        <v>1034</v>
      </c>
      <c r="J1049" s="633"/>
      <c r="K1049" s="398" t="s">
        <v>596</v>
      </c>
      <c r="L1049" s="538"/>
      <c r="M1049" s="509">
        <f t="shared" si="2676"/>
        <v>0</v>
      </c>
      <c r="N1049" s="647"/>
      <c r="O1049" s="627"/>
      <c r="P1049" s="629"/>
      <c r="Q1049" s="629"/>
    </row>
    <row r="1050" spans="1:17" ht="15.75" hidden="1" customHeight="1">
      <c r="A1050" s="390" t="str">
        <f t="shared" ref="A1050:B1050" si="2724">A1047</f>
        <v>PS</v>
      </c>
      <c r="B1050" s="391" t="str">
        <f t="shared" si="2724"/>
        <v>particle</v>
      </c>
      <c r="C1050" s="391">
        <f t="shared" si="2722"/>
        <v>6</v>
      </c>
      <c r="D1050" s="399" t="str">
        <f t="shared" ref="D1050:E1050" si="2725">D1047</f>
        <v>0,1-1</v>
      </c>
      <c r="E1050" s="391">
        <f t="shared" si="2725"/>
        <v>1</v>
      </c>
      <c r="F1050" s="400" t="s">
        <v>1147</v>
      </c>
      <c r="G1050" s="386" t="str">
        <f>CONCATENATE("DE: ",A1050," ",B1050," ",D1050," mm (emission to ",F1050,")")</f>
        <v>DE: PS particle 0,1-1 mm (emission to fresh water)</v>
      </c>
      <c r="H1050" s="466">
        <v>0</v>
      </c>
      <c r="I1050" s="388" t="s">
        <v>1019</v>
      </c>
      <c r="J1050" s="634">
        <v>0.22800000000000001</v>
      </c>
      <c r="K1050" s="389">
        <v>0</v>
      </c>
      <c r="L1050" s="536"/>
      <c r="M1050" s="509">
        <f t="shared" si="2676"/>
        <v>1000</v>
      </c>
      <c r="N1050" s="645">
        <f t="shared" ref="N1050" si="2726">IFERROR(H1050*M1050+H1051*M1051+H1052*M1052+H1053*M1053+H1054*M1054,"N.A.")</f>
        <v>1000</v>
      </c>
      <c r="O1050" s="625"/>
      <c r="P1050" s="628">
        <f t="shared" si="2721"/>
        <v>100</v>
      </c>
      <c r="Q1050" s="628">
        <f t="shared" si="2642"/>
        <v>500</v>
      </c>
    </row>
    <row r="1051" spans="1:17" ht="15.75" hidden="1" customHeight="1">
      <c r="A1051" s="390" t="str">
        <f t="shared" ref="A1051:B1051" si="2727">A1048</f>
        <v>PS</v>
      </c>
      <c r="B1051" s="391" t="str">
        <f t="shared" si="2727"/>
        <v>particle</v>
      </c>
      <c r="C1051" s="391">
        <f t="shared" si="2722"/>
        <v>6</v>
      </c>
      <c r="D1051" s="391" t="str">
        <f t="shared" ref="D1051:E1051" si="2728">D1048</f>
        <v>0,1-1</v>
      </c>
      <c r="E1051" s="391">
        <f t="shared" si="2728"/>
        <v>1</v>
      </c>
      <c r="F1051" s="391" t="str">
        <f t="shared" ref="F1051:G1051" si="2729">F1050</f>
        <v>fresh water</v>
      </c>
      <c r="G1051" s="401" t="str">
        <f t="shared" si="2729"/>
        <v>DE: PS particle 0,1-1 mm (emission to fresh water)</v>
      </c>
      <c r="H1051" s="465">
        <v>0</v>
      </c>
      <c r="I1051" s="394" t="s">
        <v>1097</v>
      </c>
      <c r="J1051" s="635"/>
      <c r="K1051" s="389">
        <v>0</v>
      </c>
      <c r="L1051" s="536"/>
      <c r="M1051" s="509">
        <f t="shared" si="2676"/>
        <v>1000</v>
      </c>
      <c r="N1051" s="646"/>
      <c r="O1051" s="626"/>
      <c r="P1051" s="629"/>
      <c r="Q1051" s="629"/>
    </row>
    <row r="1052" spans="1:17" ht="15.75" hidden="1" customHeight="1">
      <c r="A1052" s="390" t="str">
        <f t="shared" ref="A1052:B1052" si="2730">A1049</f>
        <v>PS</v>
      </c>
      <c r="B1052" s="391" t="str">
        <f t="shared" si="2730"/>
        <v>particle</v>
      </c>
      <c r="C1052" s="391">
        <f t="shared" si="2722"/>
        <v>6</v>
      </c>
      <c r="D1052" s="391" t="str">
        <f t="shared" ref="D1052:E1052" si="2731">D1049</f>
        <v>0,1-1</v>
      </c>
      <c r="E1052" s="391">
        <f t="shared" si="2731"/>
        <v>1</v>
      </c>
      <c r="F1052" s="391" t="str">
        <f t="shared" ref="F1052:G1052" si="2732">F1051</f>
        <v>fresh water</v>
      </c>
      <c r="G1052" s="401" t="str">
        <f t="shared" si="2732"/>
        <v>DE: PS particle 0,1-1 mm (emission to fresh water)</v>
      </c>
      <c r="H1052" s="465">
        <v>0.89</v>
      </c>
      <c r="I1052" s="394" t="s">
        <v>1143</v>
      </c>
      <c r="J1052" s="635"/>
      <c r="K1052" s="389">
        <v>0</v>
      </c>
      <c r="L1052" s="536"/>
      <c r="M1052" s="509">
        <f t="shared" si="2676"/>
        <v>1000</v>
      </c>
      <c r="N1052" s="646"/>
      <c r="O1052" s="626"/>
      <c r="P1052" s="629"/>
      <c r="Q1052" s="629"/>
    </row>
    <row r="1053" spans="1:17" ht="15.75" hidden="1" customHeight="1">
      <c r="A1053" s="390" t="str">
        <f t="shared" ref="A1053:B1053" si="2733">A1050</f>
        <v>PS</v>
      </c>
      <c r="B1053" s="391" t="str">
        <f t="shared" si="2733"/>
        <v>particle</v>
      </c>
      <c r="C1053" s="391">
        <f t="shared" si="2722"/>
        <v>6</v>
      </c>
      <c r="D1053" s="391" t="str">
        <f t="shared" ref="D1053:E1053" si="2734">D1050</f>
        <v>0,1-1</v>
      </c>
      <c r="E1053" s="391">
        <f t="shared" si="2734"/>
        <v>1</v>
      </c>
      <c r="F1053" s="391" t="str">
        <f t="shared" ref="F1053:G1054" si="2735">F1052</f>
        <v>fresh water</v>
      </c>
      <c r="G1053" s="401" t="str">
        <f t="shared" si="2735"/>
        <v>DE: PS particle 0,1-1 mm (emission to fresh water)</v>
      </c>
      <c r="H1053" s="465">
        <v>0.11</v>
      </c>
      <c r="I1053" s="394" t="s">
        <v>1146</v>
      </c>
      <c r="J1053" s="635"/>
      <c r="K1053" s="389">
        <v>0</v>
      </c>
      <c r="L1053" s="536"/>
      <c r="M1053" s="509">
        <f t="shared" si="2676"/>
        <v>1000</v>
      </c>
      <c r="N1053" s="646"/>
      <c r="O1053" s="626"/>
      <c r="P1053" s="629"/>
      <c r="Q1053" s="629"/>
    </row>
    <row r="1054" spans="1:17" ht="15.75" hidden="1" customHeight="1">
      <c r="A1054" s="390" t="str">
        <f t="shared" ref="A1054:B1054" si="2736">A1051</f>
        <v>PS</v>
      </c>
      <c r="B1054" s="391" t="str">
        <f t="shared" si="2736"/>
        <v>particle</v>
      </c>
      <c r="C1054" s="391">
        <f t="shared" si="2722"/>
        <v>6</v>
      </c>
      <c r="D1054" s="391" t="str">
        <f t="shared" ref="D1054:E1054" si="2737">D1051</f>
        <v>0,1-1</v>
      </c>
      <c r="E1054" s="391">
        <f t="shared" si="2737"/>
        <v>1</v>
      </c>
      <c r="F1054" s="402" t="str">
        <f>F1051</f>
        <v>fresh water</v>
      </c>
      <c r="G1054" s="401" t="str">
        <f t="shared" si="2735"/>
        <v>DE: PS particle 0,1-1 mm (emission to fresh water)</v>
      </c>
      <c r="H1054" s="465">
        <v>0</v>
      </c>
      <c r="I1054" s="397" t="s">
        <v>1034</v>
      </c>
      <c r="J1054" s="654"/>
      <c r="K1054" s="398" t="s">
        <v>596</v>
      </c>
      <c r="L1054" s="538"/>
      <c r="M1054" s="509">
        <f t="shared" si="2676"/>
        <v>0</v>
      </c>
      <c r="N1054" s="647"/>
      <c r="O1054" s="627"/>
      <c r="P1054" s="629"/>
      <c r="Q1054" s="629"/>
    </row>
    <row r="1055" spans="1:17" ht="15.75" hidden="1" customHeight="1">
      <c r="A1055" s="390" t="str">
        <f t="shared" ref="A1055:B1055" si="2738">A1052</f>
        <v>PS</v>
      </c>
      <c r="B1055" s="391" t="str">
        <f t="shared" si="2738"/>
        <v>particle</v>
      </c>
      <c r="C1055" s="391">
        <f t="shared" si="2722"/>
        <v>6</v>
      </c>
      <c r="D1055" s="391" t="str">
        <f t="shared" ref="D1055:E1055" si="2739">D1052</f>
        <v>0,1-1</v>
      </c>
      <c r="E1055" s="391">
        <f t="shared" si="2739"/>
        <v>1</v>
      </c>
      <c r="F1055" s="385" t="s">
        <v>1097</v>
      </c>
      <c r="G1055" s="422" t="str">
        <f>CONCATENATE("DE: ",A1055," ",B1055," ",D1055," mm (emission to ",F1055,")")</f>
        <v>DE: PS particle 0,1-1 mm (emission to marine water)</v>
      </c>
      <c r="H1055" s="467">
        <v>0</v>
      </c>
      <c r="I1055" s="388" t="s">
        <v>1019</v>
      </c>
      <c r="J1055" s="634">
        <v>0.22800000000000001</v>
      </c>
      <c r="K1055" s="395">
        <v>0</v>
      </c>
      <c r="L1055" s="536"/>
      <c r="M1055" s="509">
        <f t="shared" si="2676"/>
        <v>1000</v>
      </c>
      <c r="N1055" s="645">
        <f t="shared" ref="N1055" si="2740">IFERROR(H1055*M1055+H1056*M1056+H1057*M1057+H1058*M1058+H1059*M1059,"N.A.")</f>
        <v>1000</v>
      </c>
      <c r="O1055" s="625"/>
      <c r="P1055" s="628">
        <f t="shared" si="2721"/>
        <v>100</v>
      </c>
      <c r="Q1055" s="628">
        <f t="shared" si="2642"/>
        <v>500</v>
      </c>
    </row>
    <row r="1056" spans="1:17" ht="15.75" hidden="1" customHeight="1">
      <c r="A1056" s="390" t="str">
        <f t="shared" ref="A1056:B1056" si="2741">A1053</f>
        <v>PS</v>
      </c>
      <c r="B1056" s="391" t="str">
        <f t="shared" si="2741"/>
        <v>particle</v>
      </c>
      <c r="C1056" s="391">
        <f t="shared" si="2722"/>
        <v>6</v>
      </c>
      <c r="D1056" s="391" t="str">
        <f t="shared" ref="D1056:E1056" si="2742">D1053</f>
        <v>0,1-1</v>
      </c>
      <c r="E1056" s="391">
        <f t="shared" si="2742"/>
        <v>1</v>
      </c>
      <c r="F1056" s="391" t="str">
        <f t="shared" ref="F1056:G1056" si="2743">F1055</f>
        <v>marine water</v>
      </c>
      <c r="G1056" s="401" t="str">
        <f t="shared" si="2743"/>
        <v>DE: PS particle 0,1-1 mm (emission to marine water)</v>
      </c>
      <c r="H1056" s="465">
        <v>0</v>
      </c>
      <c r="I1056" s="394" t="s">
        <v>1097</v>
      </c>
      <c r="J1056" s="635"/>
      <c r="K1056" s="395">
        <v>0</v>
      </c>
      <c r="L1056" s="537"/>
      <c r="M1056" s="509">
        <f t="shared" si="2676"/>
        <v>1000</v>
      </c>
      <c r="N1056" s="646"/>
      <c r="O1056" s="626"/>
      <c r="P1056" s="629"/>
      <c r="Q1056" s="629"/>
    </row>
    <row r="1057" spans="1:17" ht="15.75" hidden="1" customHeight="1">
      <c r="A1057" s="390" t="str">
        <f t="shared" ref="A1057:B1057" si="2744">A1054</f>
        <v>PS</v>
      </c>
      <c r="B1057" s="391" t="str">
        <f t="shared" si="2744"/>
        <v>particle</v>
      </c>
      <c r="C1057" s="391">
        <f t="shared" si="2722"/>
        <v>6</v>
      </c>
      <c r="D1057" s="391" t="str">
        <f t="shared" ref="D1057:E1057" si="2745">D1054</f>
        <v>0,1-1</v>
      </c>
      <c r="E1057" s="391">
        <f t="shared" si="2745"/>
        <v>1</v>
      </c>
      <c r="F1057" s="391" t="str">
        <f t="shared" ref="F1057:G1057" si="2746">F1056</f>
        <v>marine water</v>
      </c>
      <c r="G1057" s="401" t="str">
        <f t="shared" si="2746"/>
        <v>DE: PS particle 0,1-1 mm (emission to marine water)</v>
      </c>
      <c r="H1057" s="465">
        <v>0</v>
      </c>
      <c r="I1057" s="394" t="s">
        <v>1143</v>
      </c>
      <c r="J1057" s="635"/>
      <c r="K1057" s="395">
        <v>0</v>
      </c>
      <c r="L1057" s="537"/>
      <c r="M1057" s="509">
        <f t="shared" si="2676"/>
        <v>1000</v>
      </c>
      <c r="N1057" s="646"/>
      <c r="O1057" s="626"/>
      <c r="P1057" s="629"/>
      <c r="Q1057" s="629"/>
    </row>
    <row r="1058" spans="1:17" ht="15.75" hidden="1" customHeight="1">
      <c r="A1058" s="390" t="str">
        <f t="shared" ref="A1058:B1058" si="2747">A1055</f>
        <v>PS</v>
      </c>
      <c r="B1058" s="391" t="str">
        <f t="shared" si="2747"/>
        <v>particle</v>
      </c>
      <c r="C1058" s="391">
        <f t="shared" si="2722"/>
        <v>6</v>
      </c>
      <c r="D1058" s="391" t="str">
        <f t="shared" ref="D1058:E1058" si="2748">D1055</f>
        <v>0,1-1</v>
      </c>
      <c r="E1058" s="391">
        <f t="shared" si="2748"/>
        <v>1</v>
      </c>
      <c r="F1058" s="391" t="str">
        <f t="shared" ref="F1058:G1058" si="2749">F1057</f>
        <v>marine water</v>
      </c>
      <c r="G1058" s="401" t="str">
        <f t="shared" si="2749"/>
        <v>DE: PS particle 0,1-1 mm (emission to marine water)</v>
      </c>
      <c r="H1058" s="465">
        <v>1</v>
      </c>
      <c r="I1058" s="394" t="s">
        <v>1146</v>
      </c>
      <c r="J1058" s="635"/>
      <c r="K1058" s="395">
        <v>0</v>
      </c>
      <c r="L1058" s="537"/>
      <c r="M1058" s="509">
        <f t="shared" si="2676"/>
        <v>1000</v>
      </c>
      <c r="N1058" s="646"/>
      <c r="O1058" s="626"/>
      <c r="P1058" s="629"/>
      <c r="Q1058" s="629"/>
    </row>
    <row r="1059" spans="1:17" ht="15.75" hidden="1" customHeight="1">
      <c r="A1059" s="390" t="str">
        <f t="shared" ref="A1059:B1059" si="2750">A1056</f>
        <v>PS</v>
      </c>
      <c r="B1059" s="391" t="str">
        <f t="shared" si="2750"/>
        <v>particle</v>
      </c>
      <c r="C1059" s="391">
        <f t="shared" si="2722"/>
        <v>6</v>
      </c>
      <c r="D1059" s="391" t="str">
        <f t="shared" ref="D1059:E1059" si="2751">D1056</f>
        <v>0,1-1</v>
      </c>
      <c r="E1059" s="391">
        <f t="shared" si="2751"/>
        <v>1</v>
      </c>
      <c r="F1059" s="391" t="str">
        <f t="shared" ref="F1059:G1059" si="2752">F1058</f>
        <v>marine water</v>
      </c>
      <c r="G1059" s="401" t="str">
        <f t="shared" si="2752"/>
        <v>DE: PS particle 0,1-1 mm (emission to marine water)</v>
      </c>
      <c r="H1059" s="465">
        <v>0</v>
      </c>
      <c r="I1059" s="397" t="s">
        <v>1034</v>
      </c>
      <c r="J1059" s="654"/>
      <c r="K1059" s="398" t="s">
        <v>596</v>
      </c>
      <c r="L1059" s="538"/>
      <c r="M1059" s="509">
        <f t="shared" si="2676"/>
        <v>0</v>
      </c>
      <c r="N1059" s="647"/>
      <c r="O1059" s="627"/>
      <c r="P1059" s="629"/>
      <c r="Q1059" s="629"/>
    </row>
    <row r="1060" spans="1:17" ht="15.75" hidden="1" customHeight="1">
      <c r="A1060" s="390" t="str">
        <f t="shared" ref="A1060:B1060" si="2753">A1057</f>
        <v>PS</v>
      </c>
      <c r="B1060" s="391" t="str">
        <f t="shared" si="2753"/>
        <v>particle</v>
      </c>
      <c r="C1060" s="391">
        <f t="shared" si="2722"/>
        <v>6</v>
      </c>
      <c r="D1060" s="391" t="str">
        <f t="shared" ref="D1060:E1060" si="2754">D1057</f>
        <v>0,1-1</v>
      </c>
      <c r="E1060" s="391">
        <f t="shared" si="2754"/>
        <v>1</v>
      </c>
      <c r="F1060" s="400" t="s">
        <v>1057</v>
      </c>
      <c r="G1060" s="422" t="str">
        <f>CONCATENATE("DE: ",A1060," ",B1060," ",D1060," mm (emission to ",F1060,")")</f>
        <v>DE: PS particle 0,1-1 mm (emission to air)</v>
      </c>
      <c r="H1060" s="467">
        <v>0.94799999999999995</v>
      </c>
      <c r="I1060" s="388" t="s">
        <v>1019</v>
      </c>
      <c r="J1060" s="634">
        <v>0.22800000000000001</v>
      </c>
      <c r="K1060" s="395">
        <v>0</v>
      </c>
      <c r="L1060" s="536"/>
      <c r="M1060" s="509">
        <f t="shared" si="2676"/>
        <v>1000</v>
      </c>
      <c r="N1060" s="645">
        <f t="shared" ref="N1060" si="2755">IFERROR(H1060*M1060+H1061*M1061+H1062*M1062+H1063*M1063+H1064*M1064,"N.A.")</f>
        <v>1000</v>
      </c>
      <c r="O1060" s="625"/>
      <c r="P1060" s="628">
        <f t="shared" si="2721"/>
        <v>100</v>
      </c>
      <c r="Q1060" s="628">
        <f t="shared" si="2642"/>
        <v>500</v>
      </c>
    </row>
    <row r="1061" spans="1:17" ht="15.75" hidden="1" customHeight="1">
      <c r="A1061" s="390" t="str">
        <f t="shared" ref="A1061:B1061" si="2756">A1058</f>
        <v>PS</v>
      </c>
      <c r="B1061" s="391" t="str">
        <f t="shared" si="2756"/>
        <v>particle</v>
      </c>
      <c r="C1061" s="391">
        <f t="shared" si="2722"/>
        <v>6</v>
      </c>
      <c r="D1061" s="391" t="str">
        <f t="shared" ref="D1061:E1061" si="2757">D1058</f>
        <v>0,1-1</v>
      </c>
      <c r="E1061" s="391">
        <f t="shared" si="2757"/>
        <v>1</v>
      </c>
      <c r="F1061" s="391" t="str">
        <f t="shared" ref="F1061:G1061" si="2758">F1060</f>
        <v>air</v>
      </c>
      <c r="G1061" s="401" t="str">
        <f t="shared" si="2758"/>
        <v>DE: PS particle 0,1-1 mm (emission to air)</v>
      </c>
      <c r="H1061" s="465">
        <v>0</v>
      </c>
      <c r="I1061" s="394" t="s">
        <v>1097</v>
      </c>
      <c r="J1061" s="635"/>
      <c r="K1061" s="395">
        <v>0</v>
      </c>
      <c r="L1061" s="537"/>
      <c r="M1061" s="509">
        <f t="shared" si="2676"/>
        <v>1000</v>
      </c>
      <c r="N1061" s="646"/>
      <c r="O1061" s="626"/>
      <c r="P1061" s="629"/>
      <c r="Q1061" s="629"/>
    </row>
    <row r="1062" spans="1:17" ht="15.75" hidden="1" customHeight="1">
      <c r="A1062" s="390" t="str">
        <f t="shared" ref="A1062:B1062" si="2759">A1059</f>
        <v>PS</v>
      </c>
      <c r="B1062" s="391" t="str">
        <f t="shared" si="2759"/>
        <v>particle</v>
      </c>
      <c r="C1062" s="391">
        <f t="shared" ref="C1062:C1064" si="2760">C1061</f>
        <v>6</v>
      </c>
      <c r="D1062" s="391" t="str">
        <f t="shared" ref="D1062:E1062" si="2761">D1059</f>
        <v>0,1-1</v>
      </c>
      <c r="E1062" s="391">
        <f t="shared" si="2761"/>
        <v>1</v>
      </c>
      <c r="F1062" s="391" t="str">
        <f t="shared" ref="F1062:G1062" si="2762">F1061</f>
        <v>air</v>
      </c>
      <c r="G1062" s="401" t="str">
        <f t="shared" si="2762"/>
        <v>DE: PS particle 0,1-1 mm (emission to air)</v>
      </c>
      <c r="H1062" s="465">
        <v>4.7E-2</v>
      </c>
      <c r="I1062" s="394" t="s">
        <v>1143</v>
      </c>
      <c r="J1062" s="635"/>
      <c r="K1062" s="395">
        <v>0</v>
      </c>
      <c r="L1062" s="537"/>
      <c r="M1062" s="509">
        <f t="shared" si="2676"/>
        <v>1000</v>
      </c>
      <c r="N1062" s="646"/>
      <c r="O1062" s="626"/>
      <c r="P1062" s="629"/>
      <c r="Q1062" s="629"/>
    </row>
    <row r="1063" spans="1:17" ht="15.75" hidden="1" customHeight="1">
      <c r="A1063" s="390" t="str">
        <f t="shared" ref="A1063:B1063" si="2763">A1060</f>
        <v>PS</v>
      </c>
      <c r="B1063" s="391" t="str">
        <f t="shared" si="2763"/>
        <v>particle</v>
      </c>
      <c r="C1063" s="391">
        <f t="shared" si="2760"/>
        <v>6</v>
      </c>
      <c r="D1063" s="391" t="str">
        <f t="shared" ref="D1063:E1063" si="2764">D1060</f>
        <v>0,1-1</v>
      </c>
      <c r="E1063" s="391">
        <f t="shared" si="2764"/>
        <v>1</v>
      </c>
      <c r="F1063" s="391" t="str">
        <f t="shared" ref="F1063:G1063" si="2765">F1062</f>
        <v>air</v>
      </c>
      <c r="G1063" s="401" t="str">
        <f t="shared" si="2765"/>
        <v>DE: PS particle 0,1-1 mm (emission to air)</v>
      </c>
      <c r="H1063" s="465">
        <v>5.0000000000000001E-3</v>
      </c>
      <c r="I1063" s="394" t="s">
        <v>1146</v>
      </c>
      <c r="J1063" s="635"/>
      <c r="K1063" s="395">
        <v>0</v>
      </c>
      <c r="L1063" s="537"/>
      <c r="M1063" s="509">
        <f t="shared" si="2676"/>
        <v>1000</v>
      </c>
      <c r="N1063" s="646"/>
      <c r="O1063" s="626"/>
      <c r="P1063" s="629"/>
      <c r="Q1063" s="629"/>
    </row>
    <row r="1064" spans="1:17" ht="15.75" hidden="1" customHeight="1" thickBot="1">
      <c r="A1064" s="404" t="str">
        <f t="shared" ref="A1064:B1064" si="2766">A1059</f>
        <v>PS</v>
      </c>
      <c r="B1064" s="402" t="str">
        <f t="shared" si="2766"/>
        <v>particle</v>
      </c>
      <c r="C1064" s="391">
        <f t="shared" si="2760"/>
        <v>6</v>
      </c>
      <c r="D1064" s="402" t="str">
        <f t="shared" ref="D1064:E1064" si="2767">D1059</f>
        <v>0,1-1</v>
      </c>
      <c r="E1064" s="402">
        <f t="shared" si="2767"/>
        <v>1</v>
      </c>
      <c r="F1064" s="391" t="str">
        <f t="shared" ref="F1064:G1064" si="2768">F1063</f>
        <v>air</v>
      </c>
      <c r="G1064" s="401" t="str">
        <f t="shared" si="2768"/>
        <v>DE: PS particle 0,1-1 mm (emission to air)</v>
      </c>
      <c r="H1064" s="465">
        <v>0</v>
      </c>
      <c r="I1064" s="394" t="s">
        <v>1034</v>
      </c>
      <c r="J1064" s="636"/>
      <c r="K1064" s="398" t="s">
        <v>596</v>
      </c>
      <c r="L1064" s="538"/>
      <c r="M1064" s="509">
        <f t="shared" si="2676"/>
        <v>0</v>
      </c>
      <c r="N1064" s="647"/>
      <c r="O1064" s="627"/>
      <c r="P1064" s="629"/>
      <c r="Q1064" s="629"/>
    </row>
    <row r="1065" spans="1:17" ht="15.75" hidden="1" customHeight="1" thickTop="1">
      <c r="A1065" s="405" t="s">
        <v>240</v>
      </c>
      <c r="B1065" s="406" t="s">
        <v>1152</v>
      </c>
      <c r="C1065" s="407">
        <v>6</v>
      </c>
      <c r="D1065" s="423" t="s">
        <v>1026</v>
      </c>
      <c r="E1065" s="408">
        <v>10</v>
      </c>
      <c r="F1065" s="424" t="s">
        <v>1019</v>
      </c>
      <c r="G1065" s="425" t="str">
        <f>CONCATENATE("DE: ",A1065," ",B1065," ",D1065," mm (emission to ",F1065,")")</f>
        <v>DE: PS particle 1-10 mm (emission to soil)</v>
      </c>
      <c r="H1065" s="464">
        <v>0.97</v>
      </c>
      <c r="I1065" s="427" t="s">
        <v>1019</v>
      </c>
      <c r="J1065" s="632">
        <v>0.22800000000000001</v>
      </c>
      <c r="K1065" s="449">
        <v>0</v>
      </c>
      <c r="L1065" s="536"/>
      <c r="M1065" s="509">
        <f t="shared" si="2676"/>
        <v>1000</v>
      </c>
      <c r="N1065" s="645">
        <f t="shared" ref="N1065" si="2769">IFERROR(H1065*M1065+H1066*M1066+H1067*M1067+H1068*M1068+H1069*M1069,"N.A.")</f>
        <v>1000</v>
      </c>
      <c r="O1065" s="625"/>
      <c r="P1065" s="628">
        <f t="shared" si="2721"/>
        <v>100</v>
      </c>
      <c r="Q1065" s="628">
        <f t="shared" si="2642"/>
        <v>500</v>
      </c>
    </row>
    <row r="1066" spans="1:17" ht="15.75" hidden="1" customHeight="1">
      <c r="A1066" s="390" t="str">
        <f>A1065</f>
        <v>PS</v>
      </c>
      <c r="B1066" s="391" t="str">
        <f>B1065</f>
        <v>particle</v>
      </c>
      <c r="C1066" s="391">
        <f t="shared" ref="C1066:G1081" si="2770">C1065</f>
        <v>6</v>
      </c>
      <c r="D1066" s="391" t="str">
        <f t="shared" si="2770"/>
        <v>1-10</v>
      </c>
      <c r="E1066" s="391">
        <f t="shared" si="2770"/>
        <v>10</v>
      </c>
      <c r="F1066" s="391" t="str">
        <f t="shared" si="2770"/>
        <v>soil</v>
      </c>
      <c r="G1066" s="392" t="str">
        <f t="shared" si="2770"/>
        <v>DE: PS particle 1-10 mm (emission to soil)</v>
      </c>
      <c r="H1066" s="465">
        <v>0</v>
      </c>
      <c r="I1066" s="394" t="s">
        <v>1097</v>
      </c>
      <c r="J1066" s="632"/>
      <c r="K1066" s="395">
        <v>0</v>
      </c>
      <c r="L1066" s="537"/>
      <c r="M1066" s="509">
        <f t="shared" si="2676"/>
        <v>1000</v>
      </c>
      <c r="N1066" s="646"/>
      <c r="O1066" s="626"/>
      <c r="P1066" s="629"/>
      <c r="Q1066" s="629"/>
    </row>
    <row r="1067" spans="1:17" ht="15.75" hidden="1" customHeight="1">
      <c r="A1067" s="390" t="str">
        <f t="shared" ref="A1067:B1068" si="2771">A1066</f>
        <v>PS</v>
      </c>
      <c r="B1067" s="391" t="str">
        <f t="shared" si="2771"/>
        <v>particle</v>
      </c>
      <c r="C1067" s="391">
        <f t="shared" si="2770"/>
        <v>6</v>
      </c>
      <c r="D1067" s="391" t="str">
        <f t="shared" si="2770"/>
        <v>1-10</v>
      </c>
      <c r="E1067" s="391">
        <f t="shared" si="2770"/>
        <v>10</v>
      </c>
      <c r="F1067" s="391" t="str">
        <f t="shared" si="2770"/>
        <v>soil</v>
      </c>
      <c r="G1067" s="392" t="str">
        <f t="shared" si="2770"/>
        <v>DE: PS particle 1-10 mm (emission to soil)</v>
      </c>
      <c r="H1067" s="465">
        <v>2.7E-2</v>
      </c>
      <c r="I1067" s="394" t="s">
        <v>1143</v>
      </c>
      <c r="J1067" s="632"/>
      <c r="K1067" s="395">
        <v>0</v>
      </c>
      <c r="L1067" s="537"/>
      <c r="M1067" s="509">
        <f t="shared" si="2676"/>
        <v>1000</v>
      </c>
      <c r="N1067" s="646"/>
      <c r="O1067" s="626"/>
      <c r="P1067" s="629"/>
      <c r="Q1067" s="629"/>
    </row>
    <row r="1068" spans="1:17" ht="15.75" hidden="1" customHeight="1">
      <c r="A1068" s="390" t="str">
        <f t="shared" si="2771"/>
        <v>PS</v>
      </c>
      <c r="B1068" s="391" t="str">
        <f t="shared" si="2771"/>
        <v>particle</v>
      </c>
      <c r="C1068" s="391">
        <f t="shared" si="2770"/>
        <v>6</v>
      </c>
      <c r="D1068" s="391" t="str">
        <f t="shared" si="2770"/>
        <v>1-10</v>
      </c>
      <c r="E1068" s="391">
        <f t="shared" si="2770"/>
        <v>10</v>
      </c>
      <c r="F1068" s="391" t="str">
        <f t="shared" si="2770"/>
        <v>soil</v>
      </c>
      <c r="G1068" s="392" t="str">
        <f t="shared" si="2770"/>
        <v>DE: PS particle 1-10 mm (emission to soil)</v>
      </c>
      <c r="H1068" s="465">
        <v>3.0000000000000001E-3</v>
      </c>
      <c r="I1068" s="394" t="s">
        <v>1146</v>
      </c>
      <c r="J1068" s="632"/>
      <c r="K1068" s="395">
        <v>0</v>
      </c>
      <c r="L1068" s="537"/>
      <c r="M1068" s="509">
        <f t="shared" si="2676"/>
        <v>1000</v>
      </c>
      <c r="N1068" s="646"/>
      <c r="O1068" s="626"/>
      <c r="P1068" s="629"/>
      <c r="Q1068" s="629"/>
    </row>
    <row r="1069" spans="1:17" ht="15.75" hidden="1" customHeight="1">
      <c r="A1069" s="390" t="str">
        <f>A1066</f>
        <v>PS</v>
      </c>
      <c r="B1069" s="391" t="str">
        <f>B1066</f>
        <v>particle</v>
      </c>
      <c r="C1069" s="391">
        <f t="shared" si="2770"/>
        <v>6</v>
      </c>
      <c r="D1069" s="391" t="str">
        <f>D1066</f>
        <v>1-10</v>
      </c>
      <c r="E1069" s="391">
        <f>E1066</f>
        <v>10</v>
      </c>
      <c r="F1069" s="391" t="str">
        <f>F1066</f>
        <v>soil</v>
      </c>
      <c r="G1069" s="396" t="str">
        <f t="shared" si="2770"/>
        <v>DE: PS particle 1-10 mm (emission to soil)</v>
      </c>
      <c r="H1069" s="465">
        <v>0</v>
      </c>
      <c r="I1069" s="397" t="s">
        <v>1034</v>
      </c>
      <c r="J1069" s="633"/>
      <c r="K1069" s="398" t="s">
        <v>596</v>
      </c>
      <c r="L1069" s="538"/>
      <c r="M1069" s="509">
        <f t="shared" si="2676"/>
        <v>0</v>
      </c>
      <c r="N1069" s="647"/>
      <c r="O1069" s="627"/>
      <c r="P1069" s="629"/>
      <c r="Q1069" s="629"/>
    </row>
    <row r="1070" spans="1:17" ht="15.75" hidden="1" customHeight="1">
      <c r="A1070" s="390" t="str">
        <f t="shared" ref="A1070:B1070" si="2772">A1067</f>
        <v>PS</v>
      </c>
      <c r="B1070" s="391" t="str">
        <f t="shared" si="2772"/>
        <v>particle</v>
      </c>
      <c r="C1070" s="391">
        <f t="shared" si="2770"/>
        <v>6</v>
      </c>
      <c r="D1070" s="399" t="str">
        <f t="shared" ref="D1070:E1070" si="2773">D1067</f>
        <v>1-10</v>
      </c>
      <c r="E1070" s="391">
        <f t="shared" si="2773"/>
        <v>10</v>
      </c>
      <c r="F1070" s="400" t="s">
        <v>1147</v>
      </c>
      <c r="G1070" s="386" t="str">
        <f>CONCATENATE("DE: ",A1070," ",B1070," ",D1070," mm (emission to ",F1070,")")</f>
        <v>DE: PS particle 1-10 mm (emission to fresh water)</v>
      </c>
      <c r="H1070" s="466">
        <v>0</v>
      </c>
      <c r="I1070" s="388" t="s">
        <v>1019</v>
      </c>
      <c r="J1070" s="634">
        <v>0.22800000000000001</v>
      </c>
      <c r="K1070" s="389">
        <v>0</v>
      </c>
      <c r="L1070" s="536"/>
      <c r="M1070" s="509">
        <f t="shared" si="2676"/>
        <v>1000</v>
      </c>
      <c r="N1070" s="645">
        <f t="shared" ref="N1070" si="2774">IFERROR(H1070*M1070+H1071*M1071+H1072*M1072+H1073*M1073+H1074*M1074,"N.A.")</f>
        <v>1000</v>
      </c>
      <c r="O1070" s="625"/>
      <c r="P1070" s="628">
        <f t="shared" si="2721"/>
        <v>100</v>
      </c>
      <c r="Q1070" s="628">
        <f t="shared" si="2642"/>
        <v>500</v>
      </c>
    </row>
    <row r="1071" spans="1:17" ht="15.75" hidden="1" customHeight="1">
      <c r="A1071" s="390" t="str">
        <f t="shared" ref="A1071:B1071" si="2775">A1068</f>
        <v>PS</v>
      </c>
      <c r="B1071" s="391" t="str">
        <f t="shared" si="2775"/>
        <v>particle</v>
      </c>
      <c r="C1071" s="391">
        <f t="shared" si="2770"/>
        <v>6</v>
      </c>
      <c r="D1071" s="391" t="str">
        <f t="shared" ref="D1071:E1071" si="2776">D1068</f>
        <v>1-10</v>
      </c>
      <c r="E1071" s="391">
        <f t="shared" si="2776"/>
        <v>10</v>
      </c>
      <c r="F1071" s="391" t="str">
        <f t="shared" ref="F1071:G1071" si="2777">F1070</f>
        <v>fresh water</v>
      </c>
      <c r="G1071" s="401" t="str">
        <f t="shared" si="2777"/>
        <v>DE: PS particle 1-10 mm (emission to fresh water)</v>
      </c>
      <c r="H1071" s="465">
        <v>0</v>
      </c>
      <c r="I1071" s="394" t="s">
        <v>1097</v>
      </c>
      <c r="J1071" s="635"/>
      <c r="K1071" s="389">
        <v>0</v>
      </c>
      <c r="L1071" s="536"/>
      <c r="M1071" s="509">
        <f t="shared" si="2676"/>
        <v>1000</v>
      </c>
      <c r="N1071" s="646"/>
      <c r="O1071" s="626"/>
      <c r="P1071" s="629"/>
      <c r="Q1071" s="629"/>
    </row>
    <row r="1072" spans="1:17" ht="15.75" hidden="1" customHeight="1">
      <c r="A1072" s="390" t="str">
        <f t="shared" ref="A1072:B1072" si="2778">A1069</f>
        <v>PS</v>
      </c>
      <c r="B1072" s="391" t="str">
        <f t="shared" si="2778"/>
        <v>particle</v>
      </c>
      <c r="C1072" s="391">
        <f t="shared" si="2770"/>
        <v>6</v>
      </c>
      <c r="D1072" s="391" t="str">
        <f t="shared" ref="D1072:E1072" si="2779">D1069</f>
        <v>1-10</v>
      </c>
      <c r="E1072" s="391">
        <f t="shared" si="2779"/>
        <v>10</v>
      </c>
      <c r="F1072" s="391" t="str">
        <f t="shared" ref="F1072:G1072" si="2780">F1071</f>
        <v>fresh water</v>
      </c>
      <c r="G1072" s="401" t="str">
        <f t="shared" si="2780"/>
        <v>DE: PS particle 1-10 mm (emission to fresh water)</v>
      </c>
      <c r="H1072" s="465">
        <v>0.89</v>
      </c>
      <c r="I1072" s="394" t="s">
        <v>1143</v>
      </c>
      <c r="J1072" s="635"/>
      <c r="K1072" s="389">
        <v>0</v>
      </c>
      <c r="L1072" s="536"/>
      <c r="M1072" s="509">
        <f t="shared" si="2676"/>
        <v>1000</v>
      </c>
      <c r="N1072" s="646"/>
      <c r="O1072" s="626"/>
      <c r="P1072" s="629"/>
      <c r="Q1072" s="629"/>
    </row>
    <row r="1073" spans="1:17" ht="15.75" hidden="1" customHeight="1">
      <c r="A1073" s="390" t="str">
        <f t="shared" ref="A1073:B1073" si="2781">A1070</f>
        <v>PS</v>
      </c>
      <c r="B1073" s="391" t="str">
        <f t="shared" si="2781"/>
        <v>particle</v>
      </c>
      <c r="C1073" s="391">
        <f t="shared" si="2770"/>
        <v>6</v>
      </c>
      <c r="D1073" s="391" t="str">
        <f t="shared" ref="D1073:E1073" si="2782">D1070</f>
        <v>1-10</v>
      </c>
      <c r="E1073" s="391">
        <f t="shared" si="2782"/>
        <v>10</v>
      </c>
      <c r="F1073" s="391" t="str">
        <f t="shared" ref="F1073:G1074" si="2783">F1072</f>
        <v>fresh water</v>
      </c>
      <c r="G1073" s="401" t="str">
        <f t="shared" si="2783"/>
        <v>DE: PS particle 1-10 mm (emission to fresh water)</v>
      </c>
      <c r="H1073" s="465">
        <v>0.11</v>
      </c>
      <c r="I1073" s="394" t="s">
        <v>1146</v>
      </c>
      <c r="J1073" s="635"/>
      <c r="K1073" s="389">
        <v>0</v>
      </c>
      <c r="L1073" s="536"/>
      <c r="M1073" s="509">
        <f t="shared" si="2676"/>
        <v>1000</v>
      </c>
      <c r="N1073" s="646"/>
      <c r="O1073" s="626"/>
      <c r="P1073" s="629"/>
      <c r="Q1073" s="629"/>
    </row>
    <row r="1074" spans="1:17" ht="15.75" hidden="1" customHeight="1">
      <c r="A1074" s="390" t="str">
        <f t="shared" ref="A1074:B1074" si="2784">A1071</f>
        <v>PS</v>
      </c>
      <c r="B1074" s="391" t="str">
        <f t="shared" si="2784"/>
        <v>particle</v>
      </c>
      <c r="C1074" s="391">
        <f t="shared" si="2770"/>
        <v>6</v>
      </c>
      <c r="D1074" s="391" t="str">
        <f t="shared" ref="D1074:E1074" si="2785">D1071</f>
        <v>1-10</v>
      </c>
      <c r="E1074" s="391">
        <f t="shared" si="2785"/>
        <v>10</v>
      </c>
      <c r="F1074" s="402" t="str">
        <f>F1071</f>
        <v>fresh water</v>
      </c>
      <c r="G1074" s="401" t="str">
        <f t="shared" si="2783"/>
        <v>DE: PS particle 1-10 mm (emission to fresh water)</v>
      </c>
      <c r="H1074" s="465">
        <v>0</v>
      </c>
      <c r="I1074" s="397" t="s">
        <v>1034</v>
      </c>
      <c r="J1074" s="654"/>
      <c r="K1074" s="398" t="s">
        <v>596</v>
      </c>
      <c r="L1074" s="538"/>
      <c r="M1074" s="509">
        <f t="shared" si="2676"/>
        <v>0</v>
      </c>
      <c r="N1074" s="647"/>
      <c r="O1074" s="627"/>
      <c r="P1074" s="629"/>
      <c r="Q1074" s="629"/>
    </row>
    <row r="1075" spans="1:17" ht="15.75" hidden="1" customHeight="1">
      <c r="A1075" s="390" t="str">
        <f t="shared" ref="A1075:B1075" si="2786">A1072</f>
        <v>PS</v>
      </c>
      <c r="B1075" s="391" t="str">
        <f t="shared" si="2786"/>
        <v>particle</v>
      </c>
      <c r="C1075" s="391">
        <f t="shared" si="2770"/>
        <v>6</v>
      </c>
      <c r="D1075" s="391" t="str">
        <f t="shared" ref="D1075:E1075" si="2787">D1072</f>
        <v>1-10</v>
      </c>
      <c r="E1075" s="391">
        <f t="shared" si="2787"/>
        <v>10</v>
      </c>
      <c r="F1075" s="385" t="s">
        <v>1097</v>
      </c>
      <c r="G1075" s="422" t="str">
        <f>CONCATENATE("DE: ",A1075," ",B1075," ",D1075," mm (emission to ",F1075,")")</f>
        <v>DE: PS particle 1-10 mm (emission to marine water)</v>
      </c>
      <c r="H1075" s="467">
        <v>0</v>
      </c>
      <c r="I1075" s="388" t="s">
        <v>1019</v>
      </c>
      <c r="J1075" s="634">
        <v>0.22800000000000001</v>
      </c>
      <c r="K1075" s="395">
        <v>0</v>
      </c>
      <c r="L1075" s="536"/>
      <c r="M1075" s="509">
        <f t="shared" si="2676"/>
        <v>1000</v>
      </c>
      <c r="N1075" s="645">
        <f t="shared" ref="N1075" si="2788">IFERROR(H1075*M1075+H1076*M1076+H1077*M1077+H1078*M1078+H1079*M1079,"N.A.")</f>
        <v>1000</v>
      </c>
      <c r="O1075" s="625"/>
      <c r="P1075" s="628">
        <f t="shared" si="2721"/>
        <v>100</v>
      </c>
      <c r="Q1075" s="628">
        <f t="shared" si="2642"/>
        <v>500</v>
      </c>
    </row>
    <row r="1076" spans="1:17" ht="15.75" hidden="1" customHeight="1">
      <c r="A1076" s="390" t="str">
        <f t="shared" ref="A1076:B1076" si="2789">A1073</f>
        <v>PS</v>
      </c>
      <c r="B1076" s="391" t="str">
        <f t="shared" si="2789"/>
        <v>particle</v>
      </c>
      <c r="C1076" s="391">
        <f t="shared" si="2770"/>
        <v>6</v>
      </c>
      <c r="D1076" s="391" t="str">
        <f t="shared" ref="D1076:E1076" si="2790">D1073</f>
        <v>1-10</v>
      </c>
      <c r="E1076" s="391">
        <f t="shared" si="2790"/>
        <v>10</v>
      </c>
      <c r="F1076" s="391" t="str">
        <f t="shared" ref="F1076:G1076" si="2791">F1075</f>
        <v>marine water</v>
      </c>
      <c r="G1076" s="401" t="str">
        <f t="shared" si="2791"/>
        <v>DE: PS particle 1-10 mm (emission to marine water)</v>
      </c>
      <c r="H1076" s="465">
        <v>0</v>
      </c>
      <c r="I1076" s="394" t="s">
        <v>1097</v>
      </c>
      <c r="J1076" s="635"/>
      <c r="K1076" s="395">
        <v>0</v>
      </c>
      <c r="L1076" s="537"/>
      <c r="M1076" s="509">
        <f t="shared" si="2676"/>
        <v>1000</v>
      </c>
      <c r="N1076" s="646"/>
      <c r="O1076" s="626"/>
      <c r="P1076" s="629"/>
      <c r="Q1076" s="629"/>
    </row>
    <row r="1077" spans="1:17" ht="15.75" hidden="1" customHeight="1">
      <c r="A1077" s="390" t="str">
        <f t="shared" ref="A1077:B1077" si="2792">A1074</f>
        <v>PS</v>
      </c>
      <c r="B1077" s="391" t="str">
        <f t="shared" si="2792"/>
        <v>particle</v>
      </c>
      <c r="C1077" s="391">
        <f t="shared" si="2770"/>
        <v>6</v>
      </c>
      <c r="D1077" s="391" t="str">
        <f t="shared" ref="D1077:E1077" si="2793">D1074</f>
        <v>1-10</v>
      </c>
      <c r="E1077" s="391">
        <f t="shared" si="2793"/>
        <v>10</v>
      </c>
      <c r="F1077" s="391" t="str">
        <f t="shared" ref="F1077:G1077" si="2794">F1076</f>
        <v>marine water</v>
      </c>
      <c r="G1077" s="401" t="str">
        <f t="shared" si="2794"/>
        <v>DE: PS particle 1-10 mm (emission to marine water)</v>
      </c>
      <c r="H1077" s="465">
        <v>0</v>
      </c>
      <c r="I1077" s="394" t="s">
        <v>1143</v>
      </c>
      <c r="J1077" s="635"/>
      <c r="K1077" s="395">
        <v>0</v>
      </c>
      <c r="L1077" s="537"/>
      <c r="M1077" s="509">
        <f t="shared" si="2676"/>
        <v>1000</v>
      </c>
      <c r="N1077" s="646"/>
      <c r="O1077" s="626"/>
      <c r="P1077" s="629"/>
      <c r="Q1077" s="629"/>
    </row>
    <row r="1078" spans="1:17" ht="15.75" hidden="1" customHeight="1">
      <c r="A1078" s="390" t="str">
        <f t="shared" ref="A1078:B1078" si="2795">A1075</f>
        <v>PS</v>
      </c>
      <c r="B1078" s="391" t="str">
        <f t="shared" si="2795"/>
        <v>particle</v>
      </c>
      <c r="C1078" s="391">
        <f t="shared" si="2770"/>
        <v>6</v>
      </c>
      <c r="D1078" s="391" t="str">
        <f t="shared" ref="D1078:E1078" si="2796">D1075</f>
        <v>1-10</v>
      </c>
      <c r="E1078" s="391">
        <f t="shared" si="2796"/>
        <v>10</v>
      </c>
      <c r="F1078" s="391" t="str">
        <f t="shared" ref="F1078:G1078" si="2797">F1077</f>
        <v>marine water</v>
      </c>
      <c r="G1078" s="401" t="str">
        <f t="shared" si="2797"/>
        <v>DE: PS particle 1-10 mm (emission to marine water)</v>
      </c>
      <c r="H1078" s="465">
        <v>1</v>
      </c>
      <c r="I1078" s="394" t="s">
        <v>1146</v>
      </c>
      <c r="J1078" s="635"/>
      <c r="K1078" s="395">
        <v>0</v>
      </c>
      <c r="L1078" s="537"/>
      <c r="M1078" s="509">
        <f t="shared" si="2676"/>
        <v>1000</v>
      </c>
      <c r="N1078" s="646"/>
      <c r="O1078" s="626"/>
      <c r="P1078" s="629"/>
      <c r="Q1078" s="629"/>
    </row>
    <row r="1079" spans="1:17" ht="15.75" hidden="1" customHeight="1">
      <c r="A1079" s="390" t="str">
        <f t="shared" ref="A1079:B1079" si="2798">A1076</f>
        <v>PS</v>
      </c>
      <c r="B1079" s="391" t="str">
        <f t="shared" si="2798"/>
        <v>particle</v>
      </c>
      <c r="C1079" s="391">
        <f t="shared" si="2770"/>
        <v>6</v>
      </c>
      <c r="D1079" s="391" t="str">
        <f t="shared" ref="D1079:E1079" si="2799">D1076</f>
        <v>1-10</v>
      </c>
      <c r="E1079" s="391">
        <f t="shared" si="2799"/>
        <v>10</v>
      </c>
      <c r="F1079" s="391" t="str">
        <f t="shared" ref="F1079:G1079" si="2800">F1078</f>
        <v>marine water</v>
      </c>
      <c r="G1079" s="401" t="str">
        <f t="shared" si="2800"/>
        <v>DE: PS particle 1-10 mm (emission to marine water)</v>
      </c>
      <c r="H1079" s="465">
        <v>0</v>
      </c>
      <c r="I1079" s="397" t="s">
        <v>1034</v>
      </c>
      <c r="J1079" s="654"/>
      <c r="K1079" s="398" t="s">
        <v>596</v>
      </c>
      <c r="L1079" s="538"/>
      <c r="M1079" s="509">
        <f t="shared" si="2676"/>
        <v>0</v>
      </c>
      <c r="N1079" s="647"/>
      <c r="O1079" s="627"/>
      <c r="P1079" s="629"/>
      <c r="Q1079" s="629"/>
    </row>
    <row r="1080" spans="1:17" ht="15.75" hidden="1" customHeight="1">
      <c r="A1080" s="390" t="str">
        <f t="shared" ref="A1080:B1080" si="2801">A1077</f>
        <v>PS</v>
      </c>
      <c r="B1080" s="391" t="str">
        <f t="shared" si="2801"/>
        <v>particle</v>
      </c>
      <c r="C1080" s="391">
        <f t="shared" si="2770"/>
        <v>6</v>
      </c>
      <c r="D1080" s="391" t="str">
        <f t="shared" ref="D1080:E1080" si="2802">D1077</f>
        <v>1-10</v>
      </c>
      <c r="E1080" s="391">
        <f t="shared" si="2802"/>
        <v>10</v>
      </c>
      <c r="F1080" s="400" t="s">
        <v>1057</v>
      </c>
      <c r="G1080" s="422" t="str">
        <f>CONCATENATE("DE: ",A1080," ",B1080," ",D1080," mm (emission to ",F1080,")")</f>
        <v>DE: PS particle 1-10 mm (emission to air)</v>
      </c>
      <c r="H1080" s="467">
        <v>0.94799999999999995</v>
      </c>
      <c r="I1080" s="388" t="s">
        <v>1019</v>
      </c>
      <c r="J1080" s="634">
        <v>0.22800000000000001</v>
      </c>
      <c r="K1080" s="395">
        <v>0</v>
      </c>
      <c r="L1080" s="536"/>
      <c r="M1080" s="509">
        <f t="shared" si="2676"/>
        <v>1000</v>
      </c>
      <c r="N1080" s="645">
        <f t="shared" ref="N1080" si="2803">IFERROR(H1080*M1080+H1081*M1081+H1082*M1082+H1083*M1083+H1084*M1084,"N.A.")</f>
        <v>1000</v>
      </c>
      <c r="O1080" s="625"/>
      <c r="P1080" s="628">
        <f t="shared" si="2721"/>
        <v>100</v>
      </c>
      <c r="Q1080" s="628">
        <f t="shared" ref="Q1080:Q1140" si="2804">IFERROR(IF(H1080*M1080+H1081*M1081+H1082*M1082+H1083*M1083+H1084*M1084&gt;500,500,H1080*M1080+H1081*M1081+H1082*M1082+H1083*M1083+H1084*M1084),"N.A.")</f>
        <v>500</v>
      </c>
    </row>
    <row r="1081" spans="1:17" ht="15.75" hidden="1" customHeight="1">
      <c r="A1081" s="390" t="str">
        <f t="shared" ref="A1081:B1081" si="2805">A1078</f>
        <v>PS</v>
      </c>
      <c r="B1081" s="391" t="str">
        <f t="shared" si="2805"/>
        <v>particle</v>
      </c>
      <c r="C1081" s="391">
        <f t="shared" si="2770"/>
        <v>6</v>
      </c>
      <c r="D1081" s="391" t="str">
        <f t="shared" ref="D1081:E1081" si="2806">D1078</f>
        <v>1-10</v>
      </c>
      <c r="E1081" s="391">
        <f t="shared" si="2806"/>
        <v>10</v>
      </c>
      <c r="F1081" s="391" t="str">
        <f t="shared" ref="F1081:G1081" si="2807">F1080</f>
        <v>air</v>
      </c>
      <c r="G1081" s="401" t="str">
        <f t="shared" si="2807"/>
        <v>DE: PS particle 1-10 mm (emission to air)</v>
      </c>
      <c r="H1081" s="465">
        <v>0</v>
      </c>
      <c r="I1081" s="394" t="s">
        <v>1097</v>
      </c>
      <c r="J1081" s="635"/>
      <c r="K1081" s="395">
        <v>0</v>
      </c>
      <c r="L1081" s="537"/>
      <c r="M1081" s="509">
        <f t="shared" si="2676"/>
        <v>1000</v>
      </c>
      <c r="N1081" s="646"/>
      <c r="O1081" s="626"/>
      <c r="P1081" s="629"/>
      <c r="Q1081" s="629"/>
    </row>
    <row r="1082" spans="1:17" ht="15.75" hidden="1" customHeight="1">
      <c r="A1082" s="390" t="str">
        <f t="shared" ref="A1082:B1082" si="2808">A1079</f>
        <v>PS</v>
      </c>
      <c r="B1082" s="391" t="str">
        <f t="shared" si="2808"/>
        <v>particle</v>
      </c>
      <c r="C1082" s="391">
        <f t="shared" ref="C1082:C1084" si="2809">C1081</f>
        <v>6</v>
      </c>
      <c r="D1082" s="391" t="str">
        <f t="shared" ref="D1082:E1082" si="2810">D1079</f>
        <v>1-10</v>
      </c>
      <c r="E1082" s="391">
        <f t="shared" si="2810"/>
        <v>10</v>
      </c>
      <c r="F1082" s="391" t="str">
        <f t="shared" ref="F1082:G1082" si="2811">F1081</f>
        <v>air</v>
      </c>
      <c r="G1082" s="401" t="str">
        <f t="shared" si="2811"/>
        <v>DE: PS particle 1-10 mm (emission to air)</v>
      </c>
      <c r="H1082" s="465">
        <v>4.7E-2</v>
      </c>
      <c r="I1082" s="394" t="s">
        <v>1143</v>
      </c>
      <c r="J1082" s="635"/>
      <c r="K1082" s="395">
        <v>0</v>
      </c>
      <c r="L1082" s="537"/>
      <c r="M1082" s="509">
        <f t="shared" si="2676"/>
        <v>1000</v>
      </c>
      <c r="N1082" s="646"/>
      <c r="O1082" s="626"/>
      <c r="P1082" s="629"/>
      <c r="Q1082" s="629"/>
    </row>
    <row r="1083" spans="1:17" ht="15.75" hidden="1" customHeight="1">
      <c r="A1083" s="390" t="str">
        <f t="shared" ref="A1083:B1083" si="2812">A1080</f>
        <v>PS</v>
      </c>
      <c r="B1083" s="391" t="str">
        <f t="shared" si="2812"/>
        <v>particle</v>
      </c>
      <c r="C1083" s="391">
        <f t="shared" si="2809"/>
        <v>6</v>
      </c>
      <c r="D1083" s="391" t="str">
        <f t="shared" ref="D1083:E1083" si="2813">D1080</f>
        <v>1-10</v>
      </c>
      <c r="E1083" s="391">
        <f t="shared" si="2813"/>
        <v>10</v>
      </c>
      <c r="F1083" s="391" t="str">
        <f t="shared" ref="F1083:G1083" si="2814">F1082</f>
        <v>air</v>
      </c>
      <c r="G1083" s="401" t="str">
        <f t="shared" si="2814"/>
        <v>DE: PS particle 1-10 mm (emission to air)</v>
      </c>
      <c r="H1083" s="465">
        <v>5.0000000000000001E-3</v>
      </c>
      <c r="I1083" s="394" t="s">
        <v>1146</v>
      </c>
      <c r="J1083" s="635"/>
      <c r="K1083" s="395">
        <v>0</v>
      </c>
      <c r="L1083" s="537"/>
      <c r="M1083" s="509">
        <f t="shared" si="2676"/>
        <v>1000</v>
      </c>
      <c r="N1083" s="646"/>
      <c r="O1083" s="626"/>
      <c r="P1083" s="629"/>
      <c r="Q1083" s="629"/>
    </row>
    <row r="1084" spans="1:17" ht="15.75" hidden="1" customHeight="1" thickBot="1">
      <c r="A1084" s="404" t="str">
        <f t="shared" ref="A1084:B1084" si="2815">A1079</f>
        <v>PS</v>
      </c>
      <c r="B1084" s="402" t="str">
        <f t="shared" si="2815"/>
        <v>particle</v>
      </c>
      <c r="C1084" s="391">
        <f t="shared" si="2809"/>
        <v>6</v>
      </c>
      <c r="D1084" s="402" t="str">
        <f t="shared" ref="D1084:E1084" si="2816">D1079</f>
        <v>1-10</v>
      </c>
      <c r="E1084" s="402">
        <f t="shared" si="2816"/>
        <v>10</v>
      </c>
      <c r="F1084" s="391" t="str">
        <f t="shared" ref="F1084:G1084" si="2817">F1083</f>
        <v>air</v>
      </c>
      <c r="G1084" s="401" t="str">
        <f t="shared" si="2817"/>
        <v>DE: PS particle 1-10 mm (emission to air)</v>
      </c>
      <c r="H1084" s="465">
        <v>0</v>
      </c>
      <c r="I1084" s="394" t="s">
        <v>1034</v>
      </c>
      <c r="J1084" s="636"/>
      <c r="K1084" s="398" t="s">
        <v>596</v>
      </c>
      <c r="L1084" s="538"/>
      <c r="M1084" s="509">
        <f t="shared" si="2676"/>
        <v>0</v>
      </c>
      <c r="N1084" s="647"/>
      <c r="O1084" s="627"/>
      <c r="P1084" s="629"/>
      <c r="Q1084" s="629"/>
    </row>
    <row r="1085" spans="1:17" ht="16.5" hidden="1" thickTop="1" thickBot="1">
      <c r="A1085" s="442" t="s">
        <v>187</v>
      </c>
      <c r="B1085" s="443" t="s">
        <v>996</v>
      </c>
      <c r="C1085" s="444">
        <f>IF(OR(B1085="Folie", B1085="Strips", B1085="Film",B1085="Flakes",B1085="Coupon"), 2,IF(OR(B1085="Fibers",B1085="Pellets"),4,IF(OR(B1085="Particles",B1085="Shreds",B1085="Powder",B1085="Fragments",B1085="Granules"),6,"")))</f>
        <v>2</v>
      </c>
      <c r="D1085" s="444" t="s">
        <v>1018</v>
      </c>
      <c r="E1085" s="445">
        <v>0.1</v>
      </c>
      <c r="F1085" s="446" t="s">
        <v>1019</v>
      </c>
      <c r="G1085" s="447" t="str">
        <f>CONCATENATE("DE: ",A1085," ",B1085," ",D1085," mm (emission to ",F1085,")")</f>
        <v>DE: PU film 0,01-0,1 mm (emission to soil)</v>
      </c>
      <c r="H1085" s="464">
        <v>0.97</v>
      </c>
      <c r="I1085" s="448" t="s">
        <v>1153</v>
      </c>
      <c r="J1085" s="632">
        <v>0.22800000000000001</v>
      </c>
      <c r="K1085" s="449">
        <v>193.00000000000006</v>
      </c>
      <c r="L1085" s="541"/>
      <c r="M1085" s="509">
        <f t="shared" si="2676"/>
        <v>0.25906735751295329</v>
      </c>
      <c r="N1085" s="645">
        <f t="shared" ref="N1085" si="2818">IFERROR(H1085*M1085+H1086*M1086+H1087*M1087+H1088*M1088+H1089*M1089,"N.A.")</f>
        <v>0.25906735751295323</v>
      </c>
      <c r="O1085" s="625"/>
      <c r="P1085" s="628">
        <f t="shared" si="2721"/>
        <v>0.25906735751295323</v>
      </c>
      <c r="Q1085" s="628">
        <f t="shared" si="2804"/>
        <v>0.25906735751295323</v>
      </c>
    </row>
    <row r="1086" spans="1:17" ht="15.75" hidden="1" thickBot="1">
      <c r="A1086" s="390" t="str">
        <f>A1085</f>
        <v>PU</v>
      </c>
      <c r="B1086" s="391" t="str">
        <f>B1085</f>
        <v>film</v>
      </c>
      <c r="C1086" s="391">
        <f t="shared" ref="C1086:G1086" si="2819">C1085</f>
        <v>2</v>
      </c>
      <c r="D1086" s="391" t="str">
        <f t="shared" si="2819"/>
        <v>0,01-0,1</v>
      </c>
      <c r="E1086" s="391">
        <f t="shared" si="2819"/>
        <v>0.1</v>
      </c>
      <c r="F1086" s="391" t="str">
        <f t="shared" si="2819"/>
        <v>soil</v>
      </c>
      <c r="G1086" s="392" t="str">
        <f t="shared" si="2819"/>
        <v>DE: PU film 0,01-0,1 mm (emission to soil)</v>
      </c>
      <c r="H1086" s="465">
        <v>0</v>
      </c>
      <c r="I1086" s="394" t="s">
        <v>1097</v>
      </c>
      <c r="J1086" s="632"/>
      <c r="K1086" s="395">
        <v>193.00000000000006</v>
      </c>
      <c r="L1086" s="537"/>
      <c r="M1086" s="509">
        <f t="shared" si="2676"/>
        <v>0.25906735751295329</v>
      </c>
      <c r="N1086" s="646"/>
      <c r="O1086" s="626"/>
      <c r="P1086" s="629"/>
      <c r="Q1086" s="629"/>
    </row>
    <row r="1087" spans="1:17" ht="15.75" hidden="1" thickBot="1">
      <c r="A1087" s="390" t="str">
        <f t="shared" ref="A1087:G1087" si="2820">A1086</f>
        <v>PU</v>
      </c>
      <c r="B1087" s="391" t="str">
        <f t="shared" si="2820"/>
        <v>film</v>
      </c>
      <c r="C1087" s="391">
        <f t="shared" si="2820"/>
        <v>2</v>
      </c>
      <c r="D1087" s="391" t="str">
        <f t="shared" si="2820"/>
        <v>0,01-0,1</v>
      </c>
      <c r="E1087" s="391">
        <f t="shared" si="2820"/>
        <v>0.1</v>
      </c>
      <c r="F1087" s="391" t="str">
        <f t="shared" si="2820"/>
        <v>soil</v>
      </c>
      <c r="G1087" s="392" t="str">
        <f t="shared" si="2820"/>
        <v>DE: PU film 0,01-0,1 mm (emission to soil)</v>
      </c>
      <c r="H1087" s="465">
        <v>2.7E-2</v>
      </c>
      <c r="I1087" s="394" t="s">
        <v>1162</v>
      </c>
      <c r="J1087" s="632"/>
      <c r="K1087" s="395">
        <v>193.00000000000006</v>
      </c>
      <c r="L1087" s="537"/>
      <c r="M1087" s="509">
        <f t="shared" si="2676"/>
        <v>0.25906735751295329</v>
      </c>
      <c r="N1087" s="646"/>
      <c r="O1087" s="626"/>
      <c r="P1087" s="629"/>
      <c r="Q1087" s="629"/>
    </row>
    <row r="1088" spans="1:17" ht="15.75" hidden="1" thickBot="1">
      <c r="A1088" s="390" t="str">
        <f t="shared" ref="A1088:G1088" si="2821">A1087</f>
        <v>PU</v>
      </c>
      <c r="B1088" s="391" t="str">
        <f t="shared" si="2821"/>
        <v>film</v>
      </c>
      <c r="C1088" s="391">
        <f t="shared" si="2821"/>
        <v>2</v>
      </c>
      <c r="D1088" s="391" t="str">
        <f t="shared" si="2821"/>
        <v>0,01-0,1</v>
      </c>
      <c r="E1088" s="391">
        <f t="shared" si="2821"/>
        <v>0.1</v>
      </c>
      <c r="F1088" s="391" t="str">
        <f t="shared" si="2821"/>
        <v>soil</v>
      </c>
      <c r="G1088" s="392" t="str">
        <f t="shared" si="2821"/>
        <v>DE: PU film 0,01-0,1 mm (emission to soil)</v>
      </c>
      <c r="H1088" s="465">
        <v>3.0000000000000001E-3</v>
      </c>
      <c r="I1088" s="394" t="s">
        <v>1163</v>
      </c>
      <c r="J1088" s="632"/>
      <c r="K1088" s="395">
        <v>193.00000000000006</v>
      </c>
      <c r="L1088" s="537"/>
      <c r="M1088" s="509">
        <f t="shared" si="2676"/>
        <v>0.25906735751295329</v>
      </c>
      <c r="N1088" s="646"/>
      <c r="O1088" s="626"/>
      <c r="P1088" s="629"/>
      <c r="Q1088" s="629"/>
    </row>
    <row r="1089" spans="1:17" ht="15.75" hidden="1" thickBot="1">
      <c r="A1089" s="390" t="str">
        <f>A1086</f>
        <v>PU</v>
      </c>
      <c r="B1089" s="391" t="str">
        <f>B1086</f>
        <v>film</v>
      </c>
      <c r="C1089" s="391">
        <f t="shared" ref="C1089" si="2822">C1088</f>
        <v>2</v>
      </c>
      <c r="D1089" s="391" t="str">
        <f>D1086</f>
        <v>0,01-0,1</v>
      </c>
      <c r="E1089" s="391">
        <f>E1086</f>
        <v>0.1</v>
      </c>
      <c r="F1089" s="391" t="str">
        <f>F1086</f>
        <v>soil</v>
      </c>
      <c r="G1089" s="396" t="str">
        <f t="shared" ref="G1089" si="2823">G1088</f>
        <v>DE: PU film 0,01-0,1 mm (emission to soil)</v>
      </c>
      <c r="H1089" s="465">
        <v>0</v>
      </c>
      <c r="I1089" s="397" t="s">
        <v>1034</v>
      </c>
      <c r="J1089" s="633"/>
      <c r="K1089" s="398" t="s">
        <v>596</v>
      </c>
      <c r="L1089" s="538"/>
      <c r="M1089" s="509">
        <f t="shared" si="2676"/>
        <v>0</v>
      </c>
      <c r="N1089" s="647"/>
      <c r="O1089" s="627"/>
      <c r="P1089" s="629"/>
      <c r="Q1089" s="629"/>
    </row>
    <row r="1090" spans="1:17" ht="15.75" hidden="1" thickBot="1">
      <c r="A1090" s="390" t="str">
        <f t="shared" ref="A1090:B1090" si="2824">A1087</f>
        <v>PU</v>
      </c>
      <c r="B1090" s="391" t="str">
        <f t="shared" si="2824"/>
        <v>film</v>
      </c>
      <c r="C1090" s="391">
        <f t="shared" ref="C1090" si="2825">C1089</f>
        <v>2</v>
      </c>
      <c r="D1090" s="399" t="str">
        <f t="shared" ref="D1090:E1090" si="2826">D1087</f>
        <v>0,01-0,1</v>
      </c>
      <c r="E1090" s="391">
        <f t="shared" si="2826"/>
        <v>0.1</v>
      </c>
      <c r="F1090" s="400" t="s">
        <v>1147</v>
      </c>
      <c r="G1090" s="386" t="str">
        <f>CONCATENATE("DE: ",A1090," ",B1090," ",D1090," mm (emission to ",F1090,")")</f>
        <v>DE: PU film 0,01-0,1 mm (emission to fresh water)</v>
      </c>
      <c r="H1090" s="466">
        <v>0</v>
      </c>
      <c r="I1090" s="388" t="s">
        <v>1153</v>
      </c>
      <c r="J1090" s="634">
        <v>0.22800000000000001</v>
      </c>
      <c r="K1090" s="389">
        <v>193.00000000000006</v>
      </c>
      <c r="L1090" s="536"/>
      <c r="M1090" s="509">
        <f t="shared" si="2676"/>
        <v>0.25906735751295329</v>
      </c>
      <c r="N1090" s="645">
        <f t="shared" ref="N1090" si="2827">IFERROR(H1090*M1090+H1091*M1091+H1092*M1092+H1093*M1093+H1094*M1094,"N.A.")</f>
        <v>0.25906735751295329</v>
      </c>
      <c r="O1090" s="625"/>
      <c r="P1090" s="628">
        <f t="shared" si="2721"/>
        <v>0.25906735751295329</v>
      </c>
      <c r="Q1090" s="628">
        <f t="shared" si="2804"/>
        <v>0.25906735751295329</v>
      </c>
    </row>
    <row r="1091" spans="1:17" ht="15.75" hidden="1" thickBot="1">
      <c r="A1091" s="390" t="str">
        <f t="shared" ref="A1091:B1091" si="2828">A1088</f>
        <v>PU</v>
      </c>
      <c r="B1091" s="391" t="str">
        <f t="shared" si="2828"/>
        <v>film</v>
      </c>
      <c r="C1091" s="391">
        <f t="shared" ref="C1091" si="2829">C1090</f>
        <v>2</v>
      </c>
      <c r="D1091" s="391" t="str">
        <f t="shared" ref="D1091:E1091" si="2830">D1088</f>
        <v>0,01-0,1</v>
      </c>
      <c r="E1091" s="391">
        <f t="shared" si="2830"/>
        <v>0.1</v>
      </c>
      <c r="F1091" s="391" t="str">
        <f t="shared" ref="F1091:G1091" si="2831">F1090</f>
        <v>fresh water</v>
      </c>
      <c r="G1091" s="401" t="str">
        <f t="shared" si="2831"/>
        <v>DE: PU film 0,01-0,1 mm (emission to fresh water)</v>
      </c>
      <c r="H1091" s="465">
        <v>0</v>
      </c>
      <c r="I1091" s="394" t="s">
        <v>1097</v>
      </c>
      <c r="J1091" s="635"/>
      <c r="K1091" s="389">
        <v>193.00000000000006</v>
      </c>
      <c r="L1091" s="536"/>
      <c r="M1091" s="509">
        <f t="shared" si="2676"/>
        <v>0.25906735751295329</v>
      </c>
      <c r="N1091" s="646"/>
      <c r="O1091" s="626"/>
      <c r="P1091" s="629"/>
      <c r="Q1091" s="629"/>
    </row>
    <row r="1092" spans="1:17" ht="15.75" hidden="1" thickBot="1">
      <c r="A1092" s="390" t="str">
        <f t="shared" ref="A1092:B1092" si="2832">A1089</f>
        <v>PU</v>
      </c>
      <c r="B1092" s="391" t="str">
        <f t="shared" si="2832"/>
        <v>film</v>
      </c>
      <c r="C1092" s="391">
        <f t="shared" ref="C1092" si="2833">C1091</f>
        <v>2</v>
      </c>
      <c r="D1092" s="391" t="str">
        <f t="shared" ref="D1092:E1092" si="2834">D1089</f>
        <v>0,01-0,1</v>
      </c>
      <c r="E1092" s="391">
        <f t="shared" si="2834"/>
        <v>0.1</v>
      </c>
      <c r="F1092" s="391" t="str">
        <f t="shared" ref="F1092:G1092" si="2835">F1091</f>
        <v>fresh water</v>
      </c>
      <c r="G1092" s="401" t="str">
        <f t="shared" si="2835"/>
        <v>DE: PU film 0,01-0,1 mm (emission to fresh water)</v>
      </c>
      <c r="H1092" s="465">
        <v>0.89</v>
      </c>
      <c r="I1092" s="394" t="s">
        <v>1162</v>
      </c>
      <c r="J1092" s="635"/>
      <c r="K1092" s="389">
        <v>193.00000000000006</v>
      </c>
      <c r="L1092" s="536"/>
      <c r="M1092" s="509">
        <f t="shared" si="2676"/>
        <v>0.25906735751295329</v>
      </c>
      <c r="N1092" s="646"/>
      <c r="O1092" s="626"/>
      <c r="P1092" s="629"/>
      <c r="Q1092" s="629"/>
    </row>
    <row r="1093" spans="1:17" ht="15.75" hidden="1" thickBot="1">
      <c r="A1093" s="390" t="str">
        <f t="shared" ref="A1093:B1093" si="2836">A1090</f>
        <v>PU</v>
      </c>
      <c r="B1093" s="391" t="str">
        <f t="shared" si="2836"/>
        <v>film</v>
      </c>
      <c r="C1093" s="391">
        <f t="shared" ref="C1093" si="2837">C1092</f>
        <v>2</v>
      </c>
      <c r="D1093" s="391" t="str">
        <f t="shared" ref="D1093:E1093" si="2838">D1090</f>
        <v>0,01-0,1</v>
      </c>
      <c r="E1093" s="391">
        <f t="shared" si="2838"/>
        <v>0.1</v>
      </c>
      <c r="F1093" s="391" t="str">
        <f t="shared" ref="F1093:G1093" si="2839">F1092</f>
        <v>fresh water</v>
      </c>
      <c r="G1093" s="401" t="str">
        <f t="shared" si="2839"/>
        <v>DE: PU film 0,01-0,1 mm (emission to fresh water)</v>
      </c>
      <c r="H1093" s="465">
        <v>0.11</v>
      </c>
      <c r="I1093" s="394" t="s">
        <v>1163</v>
      </c>
      <c r="J1093" s="635"/>
      <c r="K1093" s="389">
        <v>193.00000000000006</v>
      </c>
      <c r="L1093" s="536"/>
      <c r="M1093" s="509">
        <f t="shared" si="2676"/>
        <v>0.25906735751295329</v>
      </c>
      <c r="N1093" s="646"/>
      <c r="O1093" s="626"/>
      <c r="P1093" s="629"/>
      <c r="Q1093" s="629"/>
    </row>
    <row r="1094" spans="1:17" ht="15.75" hidden="1" thickBot="1">
      <c r="A1094" s="390" t="str">
        <f t="shared" ref="A1094:B1094" si="2840">A1091</f>
        <v>PU</v>
      </c>
      <c r="B1094" s="391" t="str">
        <f t="shared" si="2840"/>
        <v>film</v>
      </c>
      <c r="C1094" s="391">
        <f t="shared" ref="C1094" si="2841">C1093</f>
        <v>2</v>
      </c>
      <c r="D1094" s="391" t="str">
        <f t="shared" ref="D1094:E1094" si="2842">D1091</f>
        <v>0,01-0,1</v>
      </c>
      <c r="E1094" s="391">
        <f t="shared" si="2842"/>
        <v>0.1</v>
      </c>
      <c r="F1094" s="402" t="str">
        <f>F1091</f>
        <v>fresh water</v>
      </c>
      <c r="G1094" s="401" t="str">
        <f t="shared" ref="G1094" si="2843">G1093</f>
        <v>DE: PU film 0,01-0,1 mm (emission to fresh water)</v>
      </c>
      <c r="H1094" s="465">
        <v>0</v>
      </c>
      <c r="I1094" s="397" t="s">
        <v>1034</v>
      </c>
      <c r="J1094" s="654"/>
      <c r="K1094" s="398" t="s">
        <v>596</v>
      </c>
      <c r="L1094" s="538"/>
      <c r="M1094" s="509">
        <f t="shared" ref="M1094:M1157" si="2844">IFERROR(IF(K1094="--",0,IF(E1094*1000/K1094*(1-0.5)^(C1094/2)&gt;1000,1000,E1094*1000/K1094*(1-0.5)^(C1094/2))),1000)</f>
        <v>0</v>
      </c>
      <c r="N1094" s="647"/>
      <c r="O1094" s="627"/>
      <c r="P1094" s="629"/>
      <c r="Q1094" s="629"/>
    </row>
    <row r="1095" spans="1:17" ht="15.75" hidden="1" thickBot="1">
      <c r="A1095" s="390" t="str">
        <f t="shared" ref="A1095:B1095" si="2845">A1092</f>
        <v>PU</v>
      </c>
      <c r="B1095" s="391" t="str">
        <f t="shared" si="2845"/>
        <v>film</v>
      </c>
      <c r="C1095" s="391">
        <f t="shared" ref="C1095" si="2846">C1094</f>
        <v>2</v>
      </c>
      <c r="D1095" s="391" t="str">
        <f t="shared" ref="D1095:E1095" si="2847">D1092</f>
        <v>0,01-0,1</v>
      </c>
      <c r="E1095" s="391">
        <f t="shared" si="2847"/>
        <v>0.1</v>
      </c>
      <c r="F1095" s="385" t="s">
        <v>1097</v>
      </c>
      <c r="G1095" s="422" t="str">
        <f>CONCATENATE("DE: ",A1095," ",B1095," ",D1095," mm (emission to ",F1095,")")</f>
        <v>DE: PU film 0,01-0,1 mm (emission to marine water)</v>
      </c>
      <c r="H1095" s="467">
        <v>0</v>
      </c>
      <c r="I1095" s="388" t="s">
        <v>1153</v>
      </c>
      <c r="J1095" s="634">
        <v>0.22800000000000001</v>
      </c>
      <c r="K1095" s="395">
        <v>193.00000000000006</v>
      </c>
      <c r="L1095" s="536"/>
      <c r="M1095" s="509">
        <f t="shared" si="2844"/>
        <v>0.25906735751295329</v>
      </c>
      <c r="N1095" s="645">
        <f t="shared" ref="N1095" si="2848">IFERROR(H1095*M1095+H1096*M1096+H1097*M1097+H1098*M1098+H1099*M1099,"N.A.")</f>
        <v>0.25906735751295329</v>
      </c>
      <c r="O1095" s="625"/>
      <c r="P1095" s="628">
        <f t="shared" si="2721"/>
        <v>0.25906735751295329</v>
      </c>
      <c r="Q1095" s="628">
        <f t="shared" si="2804"/>
        <v>0.25906735751295329</v>
      </c>
    </row>
    <row r="1096" spans="1:17" ht="15.75" hidden="1" thickBot="1">
      <c r="A1096" s="390" t="str">
        <f t="shared" ref="A1096:B1096" si="2849">A1093</f>
        <v>PU</v>
      </c>
      <c r="B1096" s="391" t="str">
        <f t="shared" si="2849"/>
        <v>film</v>
      </c>
      <c r="C1096" s="391">
        <f t="shared" ref="C1096" si="2850">C1095</f>
        <v>2</v>
      </c>
      <c r="D1096" s="391" t="str">
        <f t="shared" ref="D1096:E1096" si="2851">D1093</f>
        <v>0,01-0,1</v>
      </c>
      <c r="E1096" s="391">
        <f t="shared" si="2851"/>
        <v>0.1</v>
      </c>
      <c r="F1096" s="391" t="str">
        <f t="shared" ref="F1096:G1096" si="2852">F1095</f>
        <v>marine water</v>
      </c>
      <c r="G1096" s="401" t="str">
        <f t="shared" si="2852"/>
        <v>DE: PU film 0,01-0,1 mm (emission to marine water)</v>
      </c>
      <c r="H1096" s="465">
        <v>0</v>
      </c>
      <c r="I1096" s="394" t="s">
        <v>1097</v>
      </c>
      <c r="J1096" s="635"/>
      <c r="K1096" s="395">
        <v>193.00000000000006</v>
      </c>
      <c r="L1096" s="537"/>
      <c r="M1096" s="509">
        <f t="shared" si="2844"/>
        <v>0.25906735751295329</v>
      </c>
      <c r="N1096" s="646"/>
      <c r="O1096" s="626"/>
      <c r="P1096" s="629"/>
      <c r="Q1096" s="629"/>
    </row>
    <row r="1097" spans="1:17" ht="15.75" hidden="1" thickBot="1">
      <c r="A1097" s="390" t="str">
        <f t="shared" ref="A1097:B1097" si="2853">A1094</f>
        <v>PU</v>
      </c>
      <c r="B1097" s="391" t="str">
        <f t="shared" si="2853"/>
        <v>film</v>
      </c>
      <c r="C1097" s="391">
        <f t="shared" ref="C1097" si="2854">C1096</f>
        <v>2</v>
      </c>
      <c r="D1097" s="391" t="str">
        <f t="shared" ref="D1097:E1097" si="2855">D1094</f>
        <v>0,01-0,1</v>
      </c>
      <c r="E1097" s="391">
        <f t="shared" si="2855"/>
        <v>0.1</v>
      </c>
      <c r="F1097" s="391" t="str">
        <f t="shared" ref="F1097:G1097" si="2856">F1096</f>
        <v>marine water</v>
      </c>
      <c r="G1097" s="401" t="str">
        <f t="shared" si="2856"/>
        <v>DE: PU film 0,01-0,1 mm (emission to marine water)</v>
      </c>
      <c r="H1097" s="465">
        <v>0</v>
      </c>
      <c r="I1097" s="394" t="s">
        <v>1162</v>
      </c>
      <c r="J1097" s="635"/>
      <c r="K1097" s="395">
        <v>193.00000000000006</v>
      </c>
      <c r="L1097" s="537"/>
      <c r="M1097" s="509">
        <f t="shared" si="2844"/>
        <v>0.25906735751295329</v>
      </c>
      <c r="N1097" s="646"/>
      <c r="O1097" s="626"/>
      <c r="P1097" s="629"/>
      <c r="Q1097" s="629"/>
    </row>
    <row r="1098" spans="1:17" ht="15.75" hidden="1" thickBot="1">
      <c r="A1098" s="390" t="str">
        <f t="shared" ref="A1098:B1098" si="2857">A1095</f>
        <v>PU</v>
      </c>
      <c r="B1098" s="391" t="str">
        <f t="shared" si="2857"/>
        <v>film</v>
      </c>
      <c r="C1098" s="391">
        <f t="shared" ref="C1098" si="2858">C1097</f>
        <v>2</v>
      </c>
      <c r="D1098" s="391" t="str">
        <f t="shared" ref="D1098:E1098" si="2859">D1095</f>
        <v>0,01-0,1</v>
      </c>
      <c r="E1098" s="391">
        <f t="shared" si="2859"/>
        <v>0.1</v>
      </c>
      <c r="F1098" s="391" t="str">
        <f t="shared" ref="F1098:G1098" si="2860">F1097</f>
        <v>marine water</v>
      </c>
      <c r="G1098" s="401" t="str">
        <f t="shared" si="2860"/>
        <v>DE: PU film 0,01-0,1 mm (emission to marine water)</v>
      </c>
      <c r="H1098" s="465">
        <v>1</v>
      </c>
      <c r="I1098" s="394" t="s">
        <v>1163</v>
      </c>
      <c r="J1098" s="635"/>
      <c r="K1098" s="395">
        <v>193.00000000000006</v>
      </c>
      <c r="L1098" s="537"/>
      <c r="M1098" s="509">
        <f t="shared" si="2844"/>
        <v>0.25906735751295329</v>
      </c>
      <c r="N1098" s="646"/>
      <c r="O1098" s="626"/>
      <c r="P1098" s="629"/>
      <c r="Q1098" s="629"/>
    </row>
    <row r="1099" spans="1:17" ht="15.75" hidden="1" thickBot="1">
      <c r="A1099" s="390" t="str">
        <f t="shared" ref="A1099:B1099" si="2861">A1096</f>
        <v>PU</v>
      </c>
      <c r="B1099" s="391" t="str">
        <f t="shared" si="2861"/>
        <v>film</v>
      </c>
      <c r="C1099" s="391">
        <f t="shared" ref="C1099" si="2862">C1098</f>
        <v>2</v>
      </c>
      <c r="D1099" s="391" t="str">
        <f t="shared" ref="D1099:E1099" si="2863">D1096</f>
        <v>0,01-0,1</v>
      </c>
      <c r="E1099" s="391">
        <f t="shared" si="2863"/>
        <v>0.1</v>
      </c>
      <c r="F1099" s="391" t="str">
        <f t="shared" ref="F1099:G1099" si="2864">F1098</f>
        <v>marine water</v>
      </c>
      <c r="G1099" s="401" t="str">
        <f t="shared" si="2864"/>
        <v>DE: PU film 0,01-0,1 mm (emission to marine water)</v>
      </c>
      <c r="H1099" s="465">
        <v>0</v>
      </c>
      <c r="I1099" s="397" t="s">
        <v>1034</v>
      </c>
      <c r="J1099" s="654"/>
      <c r="K1099" s="398" t="s">
        <v>596</v>
      </c>
      <c r="L1099" s="538"/>
      <c r="M1099" s="509">
        <f t="shared" si="2844"/>
        <v>0</v>
      </c>
      <c r="N1099" s="647"/>
      <c r="O1099" s="627"/>
      <c r="P1099" s="629"/>
      <c r="Q1099" s="629"/>
    </row>
    <row r="1100" spans="1:17" ht="15.75" hidden="1" thickBot="1">
      <c r="A1100" s="390" t="str">
        <f t="shared" ref="A1100:B1100" si="2865">A1097</f>
        <v>PU</v>
      </c>
      <c r="B1100" s="391" t="str">
        <f t="shared" si="2865"/>
        <v>film</v>
      </c>
      <c r="C1100" s="391">
        <f t="shared" ref="C1100" si="2866">C1099</f>
        <v>2</v>
      </c>
      <c r="D1100" s="391" t="str">
        <f t="shared" ref="D1100:E1100" si="2867">D1097</f>
        <v>0,01-0,1</v>
      </c>
      <c r="E1100" s="391">
        <f t="shared" si="2867"/>
        <v>0.1</v>
      </c>
      <c r="F1100" s="400" t="s">
        <v>1057</v>
      </c>
      <c r="G1100" s="422" t="str">
        <f>CONCATENATE("DE: ",A1100," ",B1100," ",D1100," mm (emission to ",F1100,")")</f>
        <v>DE: PU film 0,01-0,1 mm (emission to air)</v>
      </c>
      <c r="H1100" s="467">
        <v>0.94799999999999995</v>
      </c>
      <c r="I1100" s="388" t="s">
        <v>1153</v>
      </c>
      <c r="J1100" s="634">
        <v>0.22800000000000001</v>
      </c>
      <c r="K1100" s="395">
        <v>193.00000000000006</v>
      </c>
      <c r="L1100" s="536"/>
      <c r="M1100" s="509">
        <f t="shared" si="2844"/>
        <v>0.25906735751295329</v>
      </c>
      <c r="N1100" s="645">
        <f t="shared" ref="N1100" si="2868">IFERROR(H1100*M1100+H1101*M1101+H1102*M1102+H1103*M1103+H1104*M1104,"N.A.")</f>
        <v>0.25906735751295329</v>
      </c>
      <c r="O1100" s="625"/>
      <c r="P1100" s="628">
        <f t="shared" si="2721"/>
        <v>0.25906735751295329</v>
      </c>
      <c r="Q1100" s="628">
        <f t="shared" si="2804"/>
        <v>0.25906735751295329</v>
      </c>
    </row>
    <row r="1101" spans="1:17" ht="15.75" hidden="1" thickBot="1">
      <c r="A1101" s="390" t="str">
        <f t="shared" ref="A1101:B1101" si="2869">A1098</f>
        <v>PU</v>
      </c>
      <c r="B1101" s="391" t="str">
        <f t="shared" si="2869"/>
        <v>film</v>
      </c>
      <c r="C1101" s="391">
        <f t="shared" ref="C1101:C1104" si="2870">C1100</f>
        <v>2</v>
      </c>
      <c r="D1101" s="391" t="str">
        <f t="shared" ref="D1101:E1101" si="2871">D1098</f>
        <v>0,01-0,1</v>
      </c>
      <c r="E1101" s="391">
        <f t="shared" si="2871"/>
        <v>0.1</v>
      </c>
      <c r="F1101" s="391" t="str">
        <f t="shared" ref="F1101:G1101" si="2872">F1100</f>
        <v>air</v>
      </c>
      <c r="G1101" s="401" t="str">
        <f t="shared" si="2872"/>
        <v>DE: PU film 0,01-0,1 mm (emission to air)</v>
      </c>
      <c r="H1101" s="465">
        <v>0</v>
      </c>
      <c r="I1101" s="394" t="s">
        <v>1097</v>
      </c>
      <c r="J1101" s="635"/>
      <c r="K1101" s="395">
        <v>193.00000000000006</v>
      </c>
      <c r="L1101" s="536"/>
      <c r="M1101" s="509">
        <f t="shared" si="2844"/>
        <v>0.25906735751295329</v>
      </c>
      <c r="N1101" s="646"/>
      <c r="O1101" s="626"/>
      <c r="P1101" s="629"/>
      <c r="Q1101" s="629"/>
    </row>
    <row r="1102" spans="1:17" ht="15.75" hidden="1" thickBot="1">
      <c r="A1102" s="390" t="str">
        <f t="shared" ref="A1102:B1102" si="2873">A1099</f>
        <v>PU</v>
      </c>
      <c r="B1102" s="391" t="str">
        <f t="shared" si="2873"/>
        <v>film</v>
      </c>
      <c r="C1102" s="391">
        <f t="shared" si="2870"/>
        <v>2</v>
      </c>
      <c r="D1102" s="391" t="str">
        <f t="shared" ref="D1102:E1102" si="2874">D1099</f>
        <v>0,01-0,1</v>
      </c>
      <c r="E1102" s="391">
        <f t="shared" si="2874"/>
        <v>0.1</v>
      </c>
      <c r="F1102" s="391" t="str">
        <f t="shared" ref="F1102:G1102" si="2875">F1101</f>
        <v>air</v>
      </c>
      <c r="G1102" s="401" t="str">
        <f t="shared" si="2875"/>
        <v>DE: PU film 0,01-0,1 mm (emission to air)</v>
      </c>
      <c r="H1102" s="465">
        <v>4.7E-2</v>
      </c>
      <c r="I1102" s="394" t="s">
        <v>1162</v>
      </c>
      <c r="J1102" s="635"/>
      <c r="K1102" s="395">
        <v>193.00000000000006</v>
      </c>
      <c r="L1102" s="536"/>
      <c r="M1102" s="509">
        <f t="shared" si="2844"/>
        <v>0.25906735751295329</v>
      </c>
      <c r="N1102" s="646"/>
      <c r="O1102" s="626"/>
      <c r="P1102" s="629"/>
      <c r="Q1102" s="629"/>
    </row>
    <row r="1103" spans="1:17" ht="15.75" hidden="1" thickBot="1">
      <c r="A1103" s="390" t="str">
        <f t="shared" ref="A1103:B1103" si="2876">A1100</f>
        <v>PU</v>
      </c>
      <c r="B1103" s="391" t="str">
        <f t="shared" si="2876"/>
        <v>film</v>
      </c>
      <c r="C1103" s="391">
        <f t="shared" si="2870"/>
        <v>2</v>
      </c>
      <c r="D1103" s="391" t="str">
        <f t="shared" ref="D1103:E1103" si="2877">D1100</f>
        <v>0,01-0,1</v>
      </c>
      <c r="E1103" s="391">
        <f t="shared" si="2877"/>
        <v>0.1</v>
      </c>
      <c r="F1103" s="391" t="str">
        <f t="shared" ref="F1103:G1103" si="2878">F1102</f>
        <v>air</v>
      </c>
      <c r="G1103" s="401" t="str">
        <f t="shared" si="2878"/>
        <v>DE: PU film 0,01-0,1 mm (emission to air)</v>
      </c>
      <c r="H1103" s="465">
        <v>5.0000000000000001E-3</v>
      </c>
      <c r="I1103" s="394" t="s">
        <v>1163</v>
      </c>
      <c r="J1103" s="635"/>
      <c r="K1103" s="395">
        <v>193.00000000000006</v>
      </c>
      <c r="L1103" s="536"/>
      <c r="M1103" s="509">
        <f t="shared" si="2844"/>
        <v>0.25906735751295329</v>
      </c>
      <c r="N1103" s="646"/>
      <c r="O1103" s="626"/>
      <c r="P1103" s="629"/>
      <c r="Q1103" s="629"/>
    </row>
    <row r="1104" spans="1:17" ht="15.75" hidden="1" thickBot="1">
      <c r="A1104" s="390" t="str">
        <f t="shared" ref="A1104:B1104" si="2879">A1099</f>
        <v>PU</v>
      </c>
      <c r="B1104" s="391" t="str">
        <f t="shared" si="2879"/>
        <v>film</v>
      </c>
      <c r="C1104" s="391">
        <f t="shared" si="2870"/>
        <v>2</v>
      </c>
      <c r="D1104" s="391" t="str">
        <f t="shared" ref="D1104:E1104" si="2880">D1099</f>
        <v>0,01-0,1</v>
      </c>
      <c r="E1104" s="391">
        <f t="shared" si="2880"/>
        <v>0.1</v>
      </c>
      <c r="F1104" s="391" t="str">
        <f t="shared" ref="F1104:G1104" si="2881">F1103</f>
        <v>air</v>
      </c>
      <c r="G1104" s="401" t="str">
        <f t="shared" si="2881"/>
        <v>DE: PU film 0,01-0,1 mm (emission to air)</v>
      </c>
      <c r="H1104" s="471">
        <v>0</v>
      </c>
      <c r="I1104" s="422" t="s">
        <v>1034</v>
      </c>
      <c r="J1104" s="636"/>
      <c r="K1104" s="451" t="s">
        <v>596</v>
      </c>
      <c r="L1104" s="542"/>
      <c r="M1104" s="509">
        <f t="shared" si="2844"/>
        <v>0</v>
      </c>
      <c r="N1104" s="647"/>
      <c r="O1104" s="627"/>
      <c r="P1104" s="629"/>
      <c r="Q1104" s="629"/>
    </row>
    <row r="1105" spans="1:17" ht="15.75" hidden="1" thickBot="1">
      <c r="A1105" s="405" t="s">
        <v>187</v>
      </c>
      <c r="B1105" s="406" t="s">
        <v>996</v>
      </c>
      <c r="C1105" s="407">
        <f>IF(OR(B1105="Folie", B1105="Strips", B1105="Film",B1105="Flakes",B1105="Coupon"), 2,IF(OR(B1105="Fibers",B1105="Pellets"),4,IF(OR(B1105="Particles",B1105="Shreds",B1105="Powder",B1105="Fragments",B1105="Granules"),6,"")))</f>
        <v>2</v>
      </c>
      <c r="D1105" s="423" t="s">
        <v>1028</v>
      </c>
      <c r="E1105" s="408">
        <v>1</v>
      </c>
      <c r="F1105" s="424" t="s">
        <v>1019</v>
      </c>
      <c r="G1105" s="425" t="str">
        <f>CONCATENATE("DE: ",A1105," ",B1105," ",D1105," mm (emission to ",F1105,")")</f>
        <v>DE: PU film 0,1-1 mm (emission to soil)</v>
      </c>
      <c r="H1105" s="474">
        <v>0.97</v>
      </c>
      <c r="I1105" s="427" t="s">
        <v>1153</v>
      </c>
      <c r="J1105" s="632">
        <v>0.22800000000000001</v>
      </c>
      <c r="K1105" s="428">
        <v>193.00000000000006</v>
      </c>
      <c r="L1105" s="539"/>
      <c r="M1105" s="509">
        <f t="shared" si="2844"/>
        <v>2.5906735751295331</v>
      </c>
      <c r="N1105" s="645">
        <f t="shared" ref="N1105" si="2882">IFERROR(H1105*M1105+H1106*M1106+H1107*M1107+H1108*M1108+H1109*M1109,"N.A.")</f>
        <v>2.5906735751295331</v>
      </c>
      <c r="O1105" s="625"/>
      <c r="P1105" s="628">
        <f t="shared" si="2721"/>
        <v>2.5906735751295331</v>
      </c>
      <c r="Q1105" s="628">
        <f t="shared" si="2804"/>
        <v>2.5906735751295331</v>
      </c>
    </row>
    <row r="1106" spans="1:17" ht="15.75" hidden="1" thickBot="1">
      <c r="A1106" s="390" t="str">
        <f>A1105</f>
        <v>PU</v>
      </c>
      <c r="B1106" s="391" t="str">
        <f>B1105</f>
        <v>film</v>
      </c>
      <c r="C1106" s="391">
        <f t="shared" ref="C1106:G1106" si="2883">C1105</f>
        <v>2</v>
      </c>
      <c r="D1106" s="391" t="str">
        <f t="shared" si="2883"/>
        <v>0,1-1</v>
      </c>
      <c r="E1106" s="391">
        <f t="shared" si="2883"/>
        <v>1</v>
      </c>
      <c r="F1106" s="391" t="str">
        <f t="shared" si="2883"/>
        <v>soil</v>
      </c>
      <c r="G1106" s="392" t="str">
        <f t="shared" si="2883"/>
        <v>DE: PU film 0,1-1 mm (emission to soil)</v>
      </c>
      <c r="H1106" s="465">
        <v>0</v>
      </c>
      <c r="I1106" s="394" t="s">
        <v>1097</v>
      </c>
      <c r="J1106" s="632"/>
      <c r="K1106" s="395">
        <v>193.00000000000006</v>
      </c>
      <c r="L1106" s="537"/>
      <c r="M1106" s="509">
        <f t="shared" si="2844"/>
        <v>2.5906735751295331</v>
      </c>
      <c r="N1106" s="646"/>
      <c r="O1106" s="626"/>
      <c r="P1106" s="629"/>
      <c r="Q1106" s="629"/>
    </row>
    <row r="1107" spans="1:17" ht="15.75" hidden="1" thickBot="1">
      <c r="A1107" s="390" t="str">
        <f t="shared" ref="A1107:G1107" si="2884">A1106</f>
        <v>PU</v>
      </c>
      <c r="B1107" s="391" t="str">
        <f t="shared" si="2884"/>
        <v>film</v>
      </c>
      <c r="C1107" s="391">
        <f t="shared" si="2884"/>
        <v>2</v>
      </c>
      <c r="D1107" s="391" t="str">
        <f t="shared" si="2884"/>
        <v>0,1-1</v>
      </c>
      <c r="E1107" s="391">
        <f t="shared" si="2884"/>
        <v>1</v>
      </c>
      <c r="F1107" s="391" t="str">
        <f t="shared" si="2884"/>
        <v>soil</v>
      </c>
      <c r="G1107" s="392" t="str">
        <f t="shared" si="2884"/>
        <v>DE: PU film 0,1-1 mm (emission to soil)</v>
      </c>
      <c r="H1107" s="465">
        <v>2.7E-2</v>
      </c>
      <c r="I1107" s="394" t="s">
        <v>1162</v>
      </c>
      <c r="J1107" s="632"/>
      <c r="K1107" s="395">
        <v>193.00000000000006</v>
      </c>
      <c r="L1107" s="537"/>
      <c r="M1107" s="509">
        <f t="shared" si="2844"/>
        <v>2.5906735751295331</v>
      </c>
      <c r="N1107" s="646"/>
      <c r="O1107" s="626"/>
      <c r="P1107" s="629"/>
      <c r="Q1107" s="629"/>
    </row>
    <row r="1108" spans="1:17" ht="15.75" hidden="1" thickBot="1">
      <c r="A1108" s="390" t="str">
        <f t="shared" ref="A1108:G1108" si="2885">A1107</f>
        <v>PU</v>
      </c>
      <c r="B1108" s="391" t="str">
        <f t="shared" si="2885"/>
        <v>film</v>
      </c>
      <c r="C1108" s="391">
        <f t="shared" si="2885"/>
        <v>2</v>
      </c>
      <c r="D1108" s="391" t="str">
        <f t="shared" si="2885"/>
        <v>0,1-1</v>
      </c>
      <c r="E1108" s="391">
        <f t="shared" si="2885"/>
        <v>1</v>
      </c>
      <c r="F1108" s="391" t="str">
        <f t="shared" si="2885"/>
        <v>soil</v>
      </c>
      <c r="G1108" s="392" t="str">
        <f t="shared" si="2885"/>
        <v>DE: PU film 0,1-1 mm (emission to soil)</v>
      </c>
      <c r="H1108" s="465">
        <v>3.0000000000000001E-3</v>
      </c>
      <c r="I1108" s="394" t="s">
        <v>1163</v>
      </c>
      <c r="J1108" s="632"/>
      <c r="K1108" s="395">
        <v>193.00000000000006</v>
      </c>
      <c r="L1108" s="537"/>
      <c r="M1108" s="509">
        <f t="shared" si="2844"/>
        <v>2.5906735751295331</v>
      </c>
      <c r="N1108" s="646"/>
      <c r="O1108" s="626"/>
      <c r="P1108" s="629"/>
      <c r="Q1108" s="629"/>
    </row>
    <row r="1109" spans="1:17" ht="15.75" hidden="1" thickBot="1">
      <c r="A1109" s="390" t="str">
        <f>A1106</f>
        <v>PU</v>
      </c>
      <c r="B1109" s="391" t="str">
        <f>B1106</f>
        <v>film</v>
      </c>
      <c r="C1109" s="391">
        <f t="shared" ref="C1109" si="2886">C1108</f>
        <v>2</v>
      </c>
      <c r="D1109" s="391" t="str">
        <f>D1106</f>
        <v>0,1-1</v>
      </c>
      <c r="E1109" s="391">
        <f>E1106</f>
        <v>1</v>
      </c>
      <c r="F1109" s="391" t="str">
        <f>F1106</f>
        <v>soil</v>
      </c>
      <c r="G1109" s="396" t="str">
        <f t="shared" ref="G1109" si="2887">G1108</f>
        <v>DE: PU film 0,1-1 mm (emission to soil)</v>
      </c>
      <c r="H1109" s="465">
        <v>0</v>
      </c>
      <c r="I1109" s="397" t="s">
        <v>1034</v>
      </c>
      <c r="J1109" s="633"/>
      <c r="K1109" s="398" t="s">
        <v>596</v>
      </c>
      <c r="L1109" s="538"/>
      <c r="M1109" s="509">
        <f t="shared" si="2844"/>
        <v>0</v>
      </c>
      <c r="N1109" s="647"/>
      <c r="O1109" s="627"/>
      <c r="P1109" s="629"/>
      <c r="Q1109" s="629"/>
    </row>
    <row r="1110" spans="1:17" ht="15.75" hidden="1" thickBot="1">
      <c r="A1110" s="390" t="str">
        <f t="shared" ref="A1110:B1110" si="2888">A1107</f>
        <v>PU</v>
      </c>
      <c r="B1110" s="391" t="str">
        <f t="shared" si="2888"/>
        <v>film</v>
      </c>
      <c r="C1110" s="391">
        <f t="shared" ref="C1110" si="2889">C1109</f>
        <v>2</v>
      </c>
      <c r="D1110" s="399" t="str">
        <f t="shared" ref="D1110:E1110" si="2890">D1107</f>
        <v>0,1-1</v>
      </c>
      <c r="E1110" s="391">
        <f t="shared" si="2890"/>
        <v>1</v>
      </c>
      <c r="F1110" s="400" t="s">
        <v>1147</v>
      </c>
      <c r="G1110" s="386" t="str">
        <f>CONCATENATE("DE: ",A1110," ",B1110," ",D1110," mm (emission to ",F1110,")")</f>
        <v>DE: PU film 0,1-1 mm (emission to fresh water)</v>
      </c>
      <c r="H1110" s="466">
        <v>0</v>
      </c>
      <c r="I1110" s="388" t="s">
        <v>1153</v>
      </c>
      <c r="J1110" s="634">
        <v>0.22800000000000001</v>
      </c>
      <c r="K1110" s="395">
        <v>193.00000000000006</v>
      </c>
      <c r="L1110" s="536"/>
      <c r="M1110" s="509">
        <f t="shared" si="2844"/>
        <v>2.5906735751295331</v>
      </c>
      <c r="N1110" s="645">
        <f t="shared" ref="N1110" si="2891">IFERROR(H1110*M1110+H1111*M1111+H1112*M1112+H1113*M1113+H1114*M1114,"N.A.")</f>
        <v>2.5906735751295331</v>
      </c>
      <c r="O1110" s="625"/>
      <c r="P1110" s="628">
        <f t="shared" ref="P1110:P1170" si="2892">IFERROR(IF(H1110*M1110+H1111*M1111+H1112*M1112+H1113*M1113+H1114*M1114&gt;100,100,H1110*M1110+H1111*M1111+H1112*M1112+H1113*M1113+H1114*M1114),"N.A.")</f>
        <v>2.5906735751295331</v>
      </c>
      <c r="Q1110" s="628">
        <f t="shared" si="2804"/>
        <v>2.5906735751295331</v>
      </c>
    </row>
    <row r="1111" spans="1:17" ht="15.75" hidden="1" thickBot="1">
      <c r="A1111" s="390" t="str">
        <f t="shared" ref="A1111:B1111" si="2893">A1108</f>
        <v>PU</v>
      </c>
      <c r="B1111" s="391" t="str">
        <f t="shared" si="2893"/>
        <v>film</v>
      </c>
      <c r="C1111" s="391">
        <f t="shared" ref="C1111" si="2894">C1110</f>
        <v>2</v>
      </c>
      <c r="D1111" s="391" t="str">
        <f t="shared" ref="D1111:E1111" si="2895">D1108</f>
        <v>0,1-1</v>
      </c>
      <c r="E1111" s="391">
        <f t="shared" si="2895"/>
        <v>1</v>
      </c>
      <c r="F1111" s="391" t="str">
        <f t="shared" ref="F1111:G1111" si="2896">F1110</f>
        <v>fresh water</v>
      </c>
      <c r="G1111" s="401" t="str">
        <f t="shared" si="2896"/>
        <v>DE: PU film 0,1-1 mm (emission to fresh water)</v>
      </c>
      <c r="H1111" s="465">
        <v>0</v>
      </c>
      <c r="I1111" s="394" t="s">
        <v>1097</v>
      </c>
      <c r="J1111" s="635"/>
      <c r="K1111" s="395">
        <v>193.00000000000006</v>
      </c>
      <c r="L1111" s="536"/>
      <c r="M1111" s="509">
        <f t="shared" si="2844"/>
        <v>2.5906735751295331</v>
      </c>
      <c r="N1111" s="646"/>
      <c r="O1111" s="626"/>
      <c r="P1111" s="629"/>
      <c r="Q1111" s="629"/>
    </row>
    <row r="1112" spans="1:17" ht="15.75" hidden="1" thickBot="1">
      <c r="A1112" s="390" t="str">
        <f t="shared" ref="A1112:B1112" si="2897">A1109</f>
        <v>PU</v>
      </c>
      <c r="B1112" s="391" t="str">
        <f t="shared" si="2897"/>
        <v>film</v>
      </c>
      <c r="C1112" s="391">
        <f t="shared" ref="C1112" si="2898">C1111</f>
        <v>2</v>
      </c>
      <c r="D1112" s="391" t="str">
        <f t="shared" ref="D1112:E1112" si="2899">D1109</f>
        <v>0,1-1</v>
      </c>
      <c r="E1112" s="391">
        <f t="shared" si="2899"/>
        <v>1</v>
      </c>
      <c r="F1112" s="391" t="str">
        <f t="shared" ref="F1112:G1112" si="2900">F1111</f>
        <v>fresh water</v>
      </c>
      <c r="G1112" s="401" t="str">
        <f t="shared" si="2900"/>
        <v>DE: PU film 0,1-1 mm (emission to fresh water)</v>
      </c>
      <c r="H1112" s="465">
        <v>0.89</v>
      </c>
      <c r="I1112" s="394" t="s">
        <v>1162</v>
      </c>
      <c r="J1112" s="635"/>
      <c r="K1112" s="395">
        <v>193.00000000000006</v>
      </c>
      <c r="L1112" s="536"/>
      <c r="M1112" s="509">
        <f t="shared" si="2844"/>
        <v>2.5906735751295331</v>
      </c>
      <c r="N1112" s="646"/>
      <c r="O1112" s="626"/>
      <c r="P1112" s="629"/>
      <c r="Q1112" s="629"/>
    </row>
    <row r="1113" spans="1:17" ht="15.75" hidden="1" thickBot="1">
      <c r="A1113" s="390" t="str">
        <f t="shared" ref="A1113:B1113" si="2901">A1110</f>
        <v>PU</v>
      </c>
      <c r="B1113" s="391" t="str">
        <f t="shared" si="2901"/>
        <v>film</v>
      </c>
      <c r="C1113" s="391">
        <f t="shared" ref="C1113" si="2902">C1112</f>
        <v>2</v>
      </c>
      <c r="D1113" s="391" t="str">
        <f t="shared" ref="D1113:E1113" si="2903">D1110</f>
        <v>0,1-1</v>
      </c>
      <c r="E1113" s="391">
        <f t="shared" si="2903"/>
        <v>1</v>
      </c>
      <c r="F1113" s="391" t="str">
        <f t="shared" ref="F1113:G1113" si="2904">F1112</f>
        <v>fresh water</v>
      </c>
      <c r="G1113" s="401" t="str">
        <f t="shared" si="2904"/>
        <v>DE: PU film 0,1-1 mm (emission to fresh water)</v>
      </c>
      <c r="H1113" s="465">
        <v>0.11</v>
      </c>
      <c r="I1113" s="394" t="s">
        <v>1163</v>
      </c>
      <c r="J1113" s="635"/>
      <c r="K1113" s="395">
        <v>193.00000000000006</v>
      </c>
      <c r="L1113" s="536"/>
      <c r="M1113" s="509">
        <f t="shared" si="2844"/>
        <v>2.5906735751295331</v>
      </c>
      <c r="N1113" s="646"/>
      <c r="O1113" s="626"/>
      <c r="P1113" s="629"/>
      <c r="Q1113" s="629"/>
    </row>
    <row r="1114" spans="1:17" ht="15.75" hidden="1" thickBot="1">
      <c r="A1114" s="390" t="str">
        <f t="shared" ref="A1114:B1114" si="2905">A1111</f>
        <v>PU</v>
      </c>
      <c r="B1114" s="391" t="str">
        <f t="shared" si="2905"/>
        <v>film</v>
      </c>
      <c r="C1114" s="391">
        <f t="shared" ref="C1114" si="2906">C1113</f>
        <v>2</v>
      </c>
      <c r="D1114" s="391" t="str">
        <f t="shared" ref="D1114:E1114" si="2907">D1111</f>
        <v>0,1-1</v>
      </c>
      <c r="E1114" s="391">
        <f t="shared" si="2907"/>
        <v>1</v>
      </c>
      <c r="F1114" s="402" t="str">
        <f>F1111</f>
        <v>fresh water</v>
      </c>
      <c r="G1114" s="401" t="str">
        <f t="shared" ref="G1114" si="2908">G1113</f>
        <v>DE: PU film 0,1-1 mm (emission to fresh water)</v>
      </c>
      <c r="H1114" s="465">
        <v>0</v>
      </c>
      <c r="I1114" s="397" t="s">
        <v>1034</v>
      </c>
      <c r="J1114" s="654"/>
      <c r="K1114" s="398" t="s">
        <v>596</v>
      </c>
      <c r="L1114" s="538"/>
      <c r="M1114" s="509">
        <f t="shared" si="2844"/>
        <v>0</v>
      </c>
      <c r="N1114" s="647"/>
      <c r="O1114" s="627"/>
      <c r="P1114" s="629"/>
      <c r="Q1114" s="629"/>
    </row>
    <row r="1115" spans="1:17" ht="15.75" hidden="1" thickBot="1">
      <c r="A1115" s="390" t="str">
        <f t="shared" ref="A1115:B1115" si="2909">A1112</f>
        <v>PU</v>
      </c>
      <c r="B1115" s="391" t="str">
        <f t="shared" si="2909"/>
        <v>film</v>
      </c>
      <c r="C1115" s="391">
        <f t="shared" ref="C1115" si="2910">C1114</f>
        <v>2</v>
      </c>
      <c r="D1115" s="391" t="str">
        <f t="shared" ref="D1115:E1115" si="2911">D1112</f>
        <v>0,1-1</v>
      </c>
      <c r="E1115" s="391">
        <f t="shared" si="2911"/>
        <v>1</v>
      </c>
      <c r="F1115" s="385" t="s">
        <v>1097</v>
      </c>
      <c r="G1115" s="422" t="str">
        <f>CONCATENATE("DE: ",A1115," ",B1115," ",D1115," mm (emission to ",F1115,")")</f>
        <v>DE: PU film 0,1-1 mm (emission to marine water)</v>
      </c>
      <c r="H1115" s="467">
        <v>0</v>
      </c>
      <c r="I1115" s="388" t="s">
        <v>1153</v>
      </c>
      <c r="J1115" s="634">
        <v>0.22800000000000001</v>
      </c>
      <c r="K1115" s="395">
        <v>193.00000000000006</v>
      </c>
      <c r="L1115" s="536"/>
      <c r="M1115" s="509">
        <f t="shared" si="2844"/>
        <v>2.5906735751295331</v>
      </c>
      <c r="N1115" s="645">
        <f t="shared" ref="N1115" si="2912">IFERROR(H1115*M1115+H1116*M1116+H1117*M1117+H1118*M1118+H1119*M1119,"N.A.")</f>
        <v>2.5906735751295331</v>
      </c>
      <c r="O1115" s="625"/>
      <c r="P1115" s="628">
        <f t="shared" si="2892"/>
        <v>2.5906735751295331</v>
      </c>
      <c r="Q1115" s="628">
        <f t="shared" si="2804"/>
        <v>2.5906735751295331</v>
      </c>
    </row>
    <row r="1116" spans="1:17" ht="15.75" hidden="1" thickBot="1">
      <c r="A1116" s="390" t="str">
        <f t="shared" ref="A1116:B1116" si="2913">A1113</f>
        <v>PU</v>
      </c>
      <c r="B1116" s="391" t="str">
        <f t="shared" si="2913"/>
        <v>film</v>
      </c>
      <c r="C1116" s="391">
        <f t="shared" ref="C1116" si="2914">C1115</f>
        <v>2</v>
      </c>
      <c r="D1116" s="391" t="str">
        <f t="shared" ref="D1116:E1116" si="2915">D1113</f>
        <v>0,1-1</v>
      </c>
      <c r="E1116" s="391">
        <f t="shared" si="2915"/>
        <v>1</v>
      </c>
      <c r="F1116" s="391" t="str">
        <f t="shared" ref="F1116:G1116" si="2916">F1115</f>
        <v>marine water</v>
      </c>
      <c r="G1116" s="401" t="str">
        <f t="shared" si="2916"/>
        <v>DE: PU film 0,1-1 mm (emission to marine water)</v>
      </c>
      <c r="H1116" s="465">
        <v>0</v>
      </c>
      <c r="I1116" s="394" t="s">
        <v>1097</v>
      </c>
      <c r="J1116" s="635"/>
      <c r="K1116" s="395">
        <v>193.00000000000006</v>
      </c>
      <c r="L1116" s="536"/>
      <c r="M1116" s="509">
        <f t="shared" si="2844"/>
        <v>2.5906735751295331</v>
      </c>
      <c r="N1116" s="646"/>
      <c r="O1116" s="626"/>
      <c r="P1116" s="629"/>
      <c r="Q1116" s="629"/>
    </row>
    <row r="1117" spans="1:17" ht="15.75" hidden="1" thickBot="1">
      <c r="A1117" s="390" t="str">
        <f t="shared" ref="A1117:B1117" si="2917">A1114</f>
        <v>PU</v>
      </c>
      <c r="B1117" s="391" t="str">
        <f t="shared" si="2917"/>
        <v>film</v>
      </c>
      <c r="C1117" s="391">
        <f t="shared" ref="C1117" si="2918">C1116</f>
        <v>2</v>
      </c>
      <c r="D1117" s="391" t="str">
        <f t="shared" ref="D1117:E1117" si="2919">D1114</f>
        <v>0,1-1</v>
      </c>
      <c r="E1117" s="391">
        <f t="shared" si="2919"/>
        <v>1</v>
      </c>
      <c r="F1117" s="391" t="str">
        <f t="shared" ref="F1117:G1117" si="2920">F1116</f>
        <v>marine water</v>
      </c>
      <c r="G1117" s="401" t="str">
        <f t="shared" si="2920"/>
        <v>DE: PU film 0,1-1 mm (emission to marine water)</v>
      </c>
      <c r="H1117" s="465">
        <v>0</v>
      </c>
      <c r="I1117" s="394" t="s">
        <v>1162</v>
      </c>
      <c r="J1117" s="635"/>
      <c r="K1117" s="395">
        <v>193.00000000000006</v>
      </c>
      <c r="L1117" s="536"/>
      <c r="M1117" s="509">
        <f t="shared" si="2844"/>
        <v>2.5906735751295331</v>
      </c>
      <c r="N1117" s="646"/>
      <c r="O1117" s="626"/>
      <c r="P1117" s="629"/>
      <c r="Q1117" s="629"/>
    </row>
    <row r="1118" spans="1:17" ht="15.75" hidden="1" thickBot="1">
      <c r="A1118" s="390" t="str">
        <f t="shared" ref="A1118:B1118" si="2921">A1115</f>
        <v>PU</v>
      </c>
      <c r="B1118" s="391" t="str">
        <f t="shared" si="2921"/>
        <v>film</v>
      </c>
      <c r="C1118" s="391">
        <f t="shared" ref="C1118" si="2922">C1117</f>
        <v>2</v>
      </c>
      <c r="D1118" s="391" t="str">
        <f t="shared" ref="D1118:E1118" si="2923">D1115</f>
        <v>0,1-1</v>
      </c>
      <c r="E1118" s="391">
        <f t="shared" si="2923"/>
        <v>1</v>
      </c>
      <c r="F1118" s="391" t="str">
        <f t="shared" ref="F1118:G1118" si="2924">F1117</f>
        <v>marine water</v>
      </c>
      <c r="G1118" s="401" t="str">
        <f t="shared" si="2924"/>
        <v>DE: PU film 0,1-1 mm (emission to marine water)</v>
      </c>
      <c r="H1118" s="465">
        <v>1</v>
      </c>
      <c r="I1118" s="394" t="s">
        <v>1163</v>
      </c>
      <c r="J1118" s="635"/>
      <c r="K1118" s="395">
        <v>193.00000000000006</v>
      </c>
      <c r="L1118" s="536"/>
      <c r="M1118" s="509">
        <f t="shared" si="2844"/>
        <v>2.5906735751295331</v>
      </c>
      <c r="N1118" s="646"/>
      <c r="O1118" s="626"/>
      <c r="P1118" s="629"/>
      <c r="Q1118" s="629"/>
    </row>
    <row r="1119" spans="1:17" ht="15.75" hidden="1" thickBot="1">
      <c r="A1119" s="390" t="str">
        <f t="shared" ref="A1119:B1119" si="2925">A1116</f>
        <v>PU</v>
      </c>
      <c r="B1119" s="391" t="str">
        <f t="shared" si="2925"/>
        <v>film</v>
      </c>
      <c r="C1119" s="391">
        <f t="shared" ref="C1119" si="2926">C1118</f>
        <v>2</v>
      </c>
      <c r="D1119" s="391" t="str">
        <f t="shared" ref="D1119:E1119" si="2927">D1116</f>
        <v>0,1-1</v>
      </c>
      <c r="E1119" s="391">
        <f t="shared" si="2927"/>
        <v>1</v>
      </c>
      <c r="F1119" s="391" t="str">
        <f t="shared" ref="F1119:G1119" si="2928">F1118</f>
        <v>marine water</v>
      </c>
      <c r="G1119" s="401" t="str">
        <f t="shared" si="2928"/>
        <v>DE: PU film 0,1-1 mm (emission to marine water)</v>
      </c>
      <c r="H1119" s="465">
        <v>0</v>
      </c>
      <c r="I1119" s="397" t="s">
        <v>1034</v>
      </c>
      <c r="J1119" s="654"/>
      <c r="K1119" s="398" t="s">
        <v>596</v>
      </c>
      <c r="L1119" s="538"/>
      <c r="M1119" s="509">
        <f t="shared" si="2844"/>
        <v>0</v>
      </c>
      <c r="N1119" s="647"/>
      <c r="O1119" s="627"/>
      <c r="P1119" s="629"/>
      <c r="Q1119" s="629"/>
    </row>
    <row r="1120" spans="1:17" ht="15.75" hidden="1" thickBot="1">
      <c r="A1120" s="390" t="str">
        <f t="shared" ref="A1120:B1120" si="2929">A1117</f>
        <v>PU</v>
      </c>
      <c r="B1120" s="391" t="str">
        <f t="shared" si="2929"/>
        <v>film</v>
      </c>
      <c r="C1120" s="391">
        <f t="shared" ref="C1120" si="2930">C1119</f>
        <v>2</v>
      </c>
      <c r="D1120" s="391" t="str">
        <f t="shared" ref="D1120:E1120" si="2931">D1117</f>
        <v>0,1-1</v>
      </c>
      <c r="E1120" s="391">
        <f t="shared" si="2931"/>
        <v>1</v>
      </c>
      <c r="F1120" s="400" t="s">
        <v>1057</v>
      </c>
      <c r="G1120" s="422" t="str">
        <f>CONCATENATE("DE: ",A1120," ",B1120," ",D1120," mm (emission to ",F1120,")")</f>
        <v>DE: PU film 0,1-1 mm (emission to air)</v>
      </c>
      <c r="H1120" s="467">
        <v>0.94799999999999995</v>
      </c>
      <c r="I1120" s="388" t="s">
        <v>1153</v>
      </c>
      <c r="J1120" s="634">
        <v>0.22800000000000001</v>
      </c>
      <c r="K1120" s="395">
        <v>193.00000000000006</v>
      </c>
      <c r="L1120" s="536"/>
      <c r="M1120" s="509">
        <f t="shared" si="2844"/>
        <v>2.5906735751295331</v>
      </c>
      <c r="N1120" s="645">
        <f t="shared" ref="N1120" si="2932">IFERROR(H1120*M1120+H1121*M1121+H1122*M1122+H1123*M1123+H1124*M1124,"N.A.")</f>
        <v>2.5906735751295331</v>
      </c>
      <c r="O1120" s="625"/>
      <c r="P1120" s="628">
        <f t="shared" si="2892"/>
        <v>2.5906735751295331</v>
      </c>
      <c r="Q1120" s="628">
        <f t="shared" si="2804"/>
        <v>2.5906735751295331</v>
      </c>
    </row>
    <row r="1121" spans="1:17" ht="15.75" hidden="1" thickBot="1">
      <c r="A1121" s="390" t="str">
        <f t="shared" ref="A1121:B1121" si="2933">A1118</f>
        <v>PU</v>
      </c>
      <c r="B1121" s="391" t="str">
        <f t="shared" si="2933"/>
        <v>film</v>
      </c>
      <c r="C1121" s="391">
        <f t="shared" ref="C1121:C1124" si="2934">C1120</f>
        <v>2</v>
      </c>
      <c r="D1121" s="391" t="str">
        <f t="shared" ref="D1121:E1121" si="2935">D1118</f>
        <v>0,1-1</v>
      </c>
      <c r="E1121" s="391">
        <f t="shared" si="2935"/>
        <v>1</v>
      </c>
      <c r="F1121" s="391" t="str">
        <f t="shared" ref="F1121:G1121" si="2936">F1120</f>
        <v>air</v>
      </c>
      <c r="G1121" s="401" t="str">
        <f t="shared" si="2936"/>
        <v>DE: PU film 0,1-1 mm (emission to air)</v>
      </c>
      <c r="H1121" s="465">
        <v>0</v>
      </c>
      <c r="I1121" s="394" t="s">
        <v>1097</v>
      </c>
      <c r="J1121" s="635"/>
      <c r="K1121" s="395">
        <v>193.00000000000006</v>
      </c>
      <c r="L1121" s="536"/>
      <c r="M1121" s="509">
        <f t="shared" si="2844"/>
        <v>2.5906735751295331</v>
      </c>
      <c r="N1121" s="646"/>
      <c r="O1121" s="626"/>
      <c r="P1121" s="629"/>
      <c r="Q1121" s="629"/>
    </row>
    <row r="1122" spans="1:17" ht="15.75" hidden="1" thickBot="1">
      <c r="A1122" s="390" t="str">
        <f t="shared" ref="A1122:B1122" si="2937">A1119</f>
        <v>PU</v>
      </c>
      <c r="B1122" s="391" t="str">
        <f t="shared" si="2937"/>
        <v>film</v>
      </c>
      <c r="C1122" s="391">
        <f t="shared" si="2934"/>
        <v>2</v>
      </c>
      <c r="D1122" s="391" t="str">
        <f t="shared" ref="D1122:E1122" si="2938">D1119</f>
        <v>0,1-1</v>
      </c>
      <c r="E1122" s="391">
        <f t="shared" si="2938"/>
        <v>1</v>
      </c>
      <c r="F1122" s="391" t="str">
        <f t="shared" ref="F1122:G1122" si="2939">F1121</f>
        <v>air</v>
      </c>
      <c r="G1122" s="401" t="str">
        <f t="shared" si="2939"/>
        <v>DE: PU film 0,1-1 mm (emission to air)</v>
      </c>
      <c r="H1122" s="465">
        <v>4.7E-2</v>
      </c>
      <c r="I1122" s="394" t="s">
        <v>1162</v>
      </c>
      <c r="J1122" s="635"/>
      <c r="K1122" s="395">
        <v>193.00000000000006</v>
      </c>
      <c r="L1122" s="536"/>
      <c r="M1122" s="509">
        <f t="shared" si="2844"/>
        <v>2.5906735751295331</v>
      </c>
      <c r="N1122" s="646"/>
      <c r="O1122" s="626"/>
      <c r="P1122" s="629"/>
      <c r="Q1122" s="629"/>
    </row>
    <row r="1123" spans="1:17" ht="15.75" hidden="1" thickBot="1">
      <c r="A1123" s="390" t="str">
        <f t="shared" ref="A1123:B1123" si="2940">A1120</f>
        <v>PU</v>
      </c>
      <c r="B1123" s="391" t="str">
        <f t="shared" si="2940"/>
        <v>film</v>
      </c>
      <c r="C1123" s="391">
        <f t="shared" si="2934"/>
        <v>2</v>
      </c>
      <c r="D1123" s="391" t="str">
        <f t="shared" ref="D1123:E1123" si="2941">D1120</f>
        <v>0,1-1</v>
      </c>
      <c r="E1123" s="391">
        <f t="shared" si="2941"/>
        <v>1</v>
      </c>
      <c r="F1123" s="391" t="str">
        <f t="shared" ref="F1123:G1123" si="2942">F1122</f>
        <v>air</v>
      </c>
      <c r="G1123" s="401" t="str">
        <f t="shared" si="2942"/>
        <v>DE: PU film 0,1-1 mm (emission to air)</v>
      </c>
      <c r="H1123" s="465">
        <v>5.0000000000000001E-3</v>
      </c>
      <c r="I1123" s="394" t="s">
        <v>1163</v>
      </c>
      <c r="J1123" s="635"/>
      <c r="K1123" s="395">
        <v>193.00000000000006</v>
      </c>
      <c r="L1123" s="536"/>
      <c r="M1123" s="509">
        <f t="shared" si="2844"/>
        <v>2.5906735751295331</v>
      </c>
      <c r="N1123" s="646"/>
      <c r="O1123" s="626"/>
      <c r="P1123" s="629"/>
      <c r="Q1123" s="629"/>
    </row>
    <row r="1124" spans="1:17" ht="15.75" hidden="1" thickBot="1">
      <c r="A1124" s="452" t="str">
        <f t="shared" ref="A1124:B1124" si="2943">A1119</f>
        <v>PU</v>
      </c>
      <c r="B1124" s="453" t="str">
        <f t="shared" si="2943"/>
        <v>film</v>
      </c>
      <c r="C1124" s="453">
        <f t="shared" si="2934"/>
        <v>2</v>
      </c>
      <c r="D1124" s="453" t="str">
        <f t="shared" ref="D1124:E1124" si="2944">D1119</f>
        <v>0,1-1</v>
      </c>
      <c r="E1124" s="453">
        <f t="shared" si="2944"/>
        <v>1</v>
      </c>
      <c r="F1124" s="453" t="str">
        <f t="shared" ref="F1124:G1124" si="2945">F1123</f>
        <v>air</v>
      </c>
      <c r="G1124" s="454" t="str">
        <f t="shared" si="2945"/>
        <v>DE: PU film 0,1-1 mm (emission to air)</v>
      </c>
      <c r="H1124" s="473">
        <v>0</v>
      </c>
      <c r="I1124" s="456" t="s">
        <v>1034</v>
      </c>
      <c r="J1124" s="636"/>
      <c r="K1124" s="457" t="s">
        <v>596</v>
      </c>
      <c r="L1124" s="543"/>
      <c r="M1124" s="509">
        <f t="shared" si="2844"/>
        <v>0</v>
      </c>
      <c r="N1124" s="647"/>
      <c r="O1124" s="627"/>
      <c r="P1124" s="629"/>
      <c r="Q1124" s="629"/>
    </row>
    <row r="1125" spans="1:17" ht="15.75" hidden="1" thickBot="1">
      <c r="A1125" s="405" t="s">
        <v>187</v>
      </c>
      <c r="B1125" s="406" t="s">
        <v>996</v>
      </c>
      <c r="C1125" s="407">
        <f>IF(OR(B1125="Folie", B1125="Strips", B1125="Film",B1125="Flakes",B1125="Coupon"), 2,IF(OR(B1125="Fibers",B1125="Pellets"),4,IF(OR(B1125="Particles",B1125="Shreds",B1125="Powder",B1125="Fragments",B1125="Granules"),6,"")))</f>
        <v>2</v>
      </c>
      <c r="D1125" s="423" t="s">
        <v>1026</v>
      </c>
      <c r="E1125" s="408">
        <v>10</v>
      </c>
      <c r="F1125" s="424" t="s">
        <v>1019</v>
      </c>
      <c r="G1125" s="425" t="str">
        <f>CONCATENATE("DE: ",A1125," ",B1125," ",D1125," mm (emission to ",F1125,")")</f>
        <v>DE: PU film 1-10 mm (emission to soil)</v>
      </c>
      <c r="H1125" s="474">
        <v>0.97</v>
      </c>
      <c r="I1125" s="427" t="s">
        <v>1153</v>
      </c>
      <c r="J1125" s="632">
        <v>0.22800000000000001</v>
      </c>
      <c r="K1125" s="428">
        <v>193.00000000000006</v>
      </c>
      <c r="L1125" s="539"/>
      <c r="M1125" s="509">
        <f t="shared" si="2844"/>
        <v>25.906735751295329</v>
      </c>
      <c r="N1125" s="645">
        <f t="shared" ref="N1125" si="2946">IFERROR(H1125*M1125+H1126*M1126+H1127*M1127+H1128*M1128+H1129*M1129,"N.A.")</f>
        <v>25.906735751295329</v>
      </c>
      <c r="O1125" s="625"/>
      <c r="P1125" s="628">
        <f t="shared" si="2892"/>
        <v>25.906735751295329</v>
      </c>
      <c r="Q1125" s="628">
        <f t="shared" si="2804"/>
        <v>25.906735751295329</v>
      </c>
    </row>
    <row r="1126" spans="1:17" ht="15.75" hidden="1" thickBot="1">
      <c r="A1126" s="390" t="str">
        <f>A1125</f>
        <v>PU</v>
      </c>
      <c r="B1126" s="391" t="str">
        <f>B1125</f>
        <v>film</v>
      </c>
      <c r="C1126" s="391">
        <f t="shared" ref="C1126:G1126" si="2947">C1125</f>
        <v>2</v>
      </c>
      <c r="D1126" s="391" t="str">
        <f t="shared" si="2947"/>
        <v>1-10</v>
      </c>
      <c r="E1126" s="391">
        <f t="shared" si="2947"/>
        <v>10</v>
      </c>
      <c r="F1126" s="391" t="str">
        <f t="shared" si="2947"/>
        <v>soil</v>
      </c>
      <c r="G1126" s="392" t="str">
        <f t="shared" si="2947"/>
        <v>DE: PU film 1-10 mm (emission to soil)</v>
      </c>
      <c r="H1126" s="465">
        <v>0</v>
      </c>
      <c r="I1126" s="394" t="s">
        <v>1097</v>
      </c>
      <c r="J1126" s="632"/>
      <c r="K1126" s="395">
        <v>193.00000000000006</v>
      </c>
      <c r="L1126" s="537"/>
      <c r="M1126" s="509">
        <f t="shared" si="2844"/>
        <v>25.906735751295329</v>
      </c>
      <c r="N1126" s="646"/>
      <c r="O1126" s="626"/>
      <c r="P1126" s="629"/>
      <c r="Q1126" s="629"/>
    </row>
    <row r="1127" spans="1:17" ht="15.75" hidden="1" thickBot="1">
      <c r="A1127" s="390" t="str">
        <f t="shared" ref="A1127:G1127" si="2948">A1126</f>
        <v>PU</v>
      </c>
      <c r="B1127" s="391" t="str">
        <f t="shared" si="2948"/>
        <v>film</v>
      </c>
      <c r="C1127" s="391">
        <f t="shared" si="2948"/>
        <v>2</v>
      </c>
      <c r="D1127" s="391" t="str">
        <f t="shared" si="2948"/>
        <v>1-10</v>
      </c>
      <c r="E1127" s="391">
        <f t="shared" si="2948"/>
        <v>10</v>
      </c>
      <c r="F1127" s="391" t="str">
        <f t="shared" si="2948"/>
        <v>soil</v>
      </c>
      <c r="G1127" s="392" t="str">
        <f t="shared" si="2948"/>
        <v>DE: PU film 1-10 mm (emission to soil)</v>
      </c>
      <c r="H1127" s="465">
        <v>2.7E-2</v>
      </c>
      <c r="I1127" s="394" t="s">
        <v>1162</v>
      </c>
      <c r="J1127" s="632"/>
      <c r="K1127" s="395">
        <v>193.00000000000006</v>
      </c>
      <c r="L1127" s="537"/>
      <c r="M1127" s="509">
        <f t="shared" si="2844"/>
        <v>25.906735751295329</v>
      </c>
      <c r="N1127" s="646"/>
      <c r="O1127" s="626"/>
      <c r="P1127" s="629"/>
      <c r="Q1127" s="629"/>
    </row>
    <row r="1128" spans="1:17" ht="15.75" hidden="1" thickBot="1">
      <c r="A1128" s="390" t="str">
        <f t="shared" ref="A1128:G1128" si="2949">A1127</f>
        <v>PU</v>
      </c>
      <c r="B1128" s="391" t="str">
        <f t="shared" si="2949"/>
        <v>film</v>
      </c>
      <c r="C1128" s="391">
        <f t="shared" si="2949"/>
        <v>2</v>
      </c>
      <c r="D1128" s="391" t="str">
        <f t="shared" si="2949"/>
        <v>1-10</v>
      </c>
      <c r="E1128" s="391">
        <f t="shared" si="2949"/>
        <v>10</v>
      </c>
      <c r="F1128" s="391" t="str">
        <f t="shared" si="2949"/>
        <v>soil</v>
      </c>
      <c r="G1128" s="392" t="str">
        <f t="shared" si="2949"/>
        <v>DE: PU film 1-10 mm (emission to soil)</v>
      </c>
      <c r="H1128" s="465">
        <v>3.0000000000000001E-3</v>
      </c>
      <c r="I1128" s="394" t="s">
        <v>1163</v>
      </c>
      <c r="J1128" s="632"/>
      <c r="K1128" s="395">
        <v>193.00000000000006</v>
      </c>
      <c r="L1128" s="537"/>
      <c r="M1128" s="509">
        <f t="shared" si="2844"/>
        <v>25.906735751295329</v>
      </c>
      <c r="N1128" s="646"/>
      <c r="O1128" s="626"/>
      <c r="P1128" s="629"/>
      <c r="Q1128" s="629"/>
    </row>
    <row r="1129" spans="1:17" ht="15.75" hidden="1" thickBot="1">
      <c r="A1129" s="390" t="str">
        <f>A1126</f>
        <v>PU</v>
      </c>
      <c r="B1129" s="391" t="str">
        <f>B1126</f>
        <v>film</v>
      </c>
      <c r="C1129" s="391">
        <f t="shared" ref="C1129" si="2950">C1128</f>
        <v>2</v>
      </c>
      <c r="D1129" s="391" t="str">
        <f>D1126</f>
        <v>1-10</v>
      </c>
      <c r="E1129" s="391">
        <f>E1126</f>
        <v>10</v>
      </c>
      <c r="F1129" s="391" t="str">
        <f>F1126</f>
        <v>soil</v>
      </c>
      <c r="G1129" s="396" t="str">
        <f t="shared" ref="G1129" si="2951">G1128</f>
        <v>DE: PU film 1-10 mm (emission to soil)</v>
      </c>
      <c r="H1129" s="465">
        <v>0</v>
      </c>
      <c r="I1129" s="397" t="s">
        <v>1034</v>
      </c>
      <c r="J1129" s="633"/>
      <c r="K1129" s="398" t="s">
        <v>596</v>
      </c>
      <c r="L1129" s="538"/>
      <c r="M1129" s="509">
        <f t="shared" si="2844"/>
        <v>0</v>
      </c>
      <c r="N1129" s="647"/>
      <c r="O1129" s="627"/>
      <c r="P1129" s="629"/>
      <c r="Q1129" s="629"/>
    </row>
    <row r="1130" spans="1:17" ht="15.75" hidden="1" thickBot="1">
      <c r="A1130" s="390" t="str">
        <f t="shared" ref="A1130:B1130" si="2952">A1127</f>
        <v>PU</v>
      </c>
      <c r="B1130" s="391" t="str">
        <f t="shared" si="2952"/>
        <v>film</v>
      </c>
      <c r="C1130" s="391">
        <f t="shared" ref="C1130" si="2953">C1129</f>
        <v>2</v>
      </c>
      <c r="D1130" s="399" t="str">
        <f t="shared" ref="D1130:E1130" si="2954">D1127</f>
        <v>1-10</v>
      </c>
      <c r="E1130" s="391">
        <f t="shared" si="2954"/>
        <v>10</v>
      </c>
      <c r="F1130" s="400" t="s">
        <v>1147</v>
      </c>
      <c r="G1130" s="386" t="str">
        <f>CONCATENATE("DE: ",A1130," ",B1130," ",D1130," mm (emission to ",F1130,")")</f>
        <v>DE: PU film 1-10 mm (emission to fresh water)</v>
      </c>
      <c r="H1130" s="466">
        <v>0</v>
      </c>
      <c r="I1130" s="388" t="s">
        <v>1153</v>
      </c>
      <c r="J1130" s="634">
        <v>0.22800000000000001</v>
      </c>
      <c r="K1130" s="395">
        <v>193.00000000000006</v>
      </c>
      <c r="L1130" s="536"/>
      <c r="M1130" s="509">
        <f t="shared" si="2844"/>
        <v>25.906735751295329</v>
      </c>
      <c r="N1130" s="645">
        <f t="shared" ref="N1130" si="2955">IFERROR(H1130*M1130+H1131*M1131+H1132*M1132+H1133*M1133+H1134*M1134,"N.A.")</f>
        <v>25.906735751295329</v>
      </c>
      <c r="O1130" s="625"/>
      <c r="P1130" s="628">
        <f t="shared" si="2892"/>
        <v>25.906735751295329</v>
      </c>
      <c r="Q1130" s="628">
        <f t="shared" si="2804"/>
        <v>25.906735751295329</v>
      </c>
    </row>
    <row r="1131" spans="1:17" ht="15.75" hidden="1" thickBot="1">
      <c r="A1131" s="390" t="str">
        <f t="shared" ref="A1131:B1131" si="2956">A1128</f>
        <v>PU</v>
      </c>
      <c r="B1131" s="391" t="str">
        <f t="shared" si="2956"/>
        <v>film</v>
      </c>
      <c r="C1131" s="391">
        <f t="shared" ref="C1131" si="2957">C1130</f>
        <v>2</v>
      </c>
      <c r="D1131" s="391" t="str">
        <f t="shared" ref="D1131:E1131" si="2958">D1128</f>
        <v>1-10</v>
      </c>
      <c r="E1131" s="391">
        <f t="shared" si="2958"/>
        <v>10</v>
      </c>
      <c r="F1131" s="391" t="str">
        <f t="shared" ref="F1131:G1131" si="2959">F1130</f>
        <v>fresh water</v>
      </c>
      <c r="G1131" s="401" t="str">
        <f t="shared" si="2959"/>
        <v>DE: PU film 1-10 mm (emission to fresh water)</v>
      </c>
      <c r="H1131" s="465">
        <v>0</v>
      </c>
      <c r="I1131" s="394" t="s">
        <v>1097</v>
      </c>
      <c r="J1131" s="635"/>
      <c r="K1131" s="395">
        <v>193.00000000000006</v>
      </c>
      <c r="L1131" s="536"/>
      <c r="M1131" s="509">
        <f t="shared" si="2844"/>
        <v>25.906735751295329</v>
      </c>
      <c r="N1131" s="646"/>
      <c r="O1131" s="626"/>
      <c r="P1131" s="629"/>
      <c r="Q1131" s="629"/>
    </row>
    <row r="1132" spans="1:17" ht="15.75" hidden="1" thickBot="1">
      <c r="A1132" s="390" t="str">
        <f t="shared" ref="A1132:B1132" si="2960">A1129</f>
        <v>PU</v>
      </c>
      <c r="B1132" s="391" t="str">
        <f t="shared" si="2960"/>
        <v>film</v>
      </c>
      <c r="C1132" s="391">
        <f t="shared" ref="C1132" si="2961">C1131</f>
        <v>2</v>
      </c>
      <c r="D1132" s="391" t="str">
        <f t="shared" ref="D1132:E1132" si="2962">D1129</f>
        <v>1-10</v>
      </c>
      <c r="E1132" s="391">
        <f t="shared" si="2962"/>
        <v>10</v>
      </c>
      <c r="F1132" s="391" t="str">
        <f t="shared" ref="F1132:G1132" si="2963">F1131</f>
        <v>fresh water</v>
      </c>
      <c r="G1132" s="401" t="str">
        <f t="shared" si="2963"/>
        <v>DE: PU film 1-10 mm (emission to fresh water)</v>
      </c>
      <c r="H1132" s="465">
        <v>0.89</v>
      </c>
      <c r="I1132" s="394" t="s">
        <v>1162</v>
      </c>
      <c r="J1132" s="635"/>
      <c r="K1132" s="395">
        <v>193.00000000000006</v>
      </c>
      <c r="L1132" s="536"/>
      <c r="M1132" s="509">
        <f t="shared" si="2844"/>
        <v>25.906735751295329</v>
      </c>
      <c r="N1132" s="646"/>
      <c r="O1132" s="626"/>
      <c r="P1132" s="629"/>
      <c r="Q1132" s="629"/>
    </row>
    <row r="1133" spans="1:17" ht="15.75" hidden="1" thickBot="1">
      <c r="A1133" s="390" t="str">
        <f t="shared" ref="A1133:B1133" si="2964">A1130</f>
        <v>PU</v>
      </c>
      <c r="B1133" s="391" t="str">
        <f t="shared" si="2964"/>
        <v>film</v>
      </c>
      <c r="C1133" s="391">
        <f t="shared" ref="C1133" si="2965">C1132</f>
        <v>2</v>
      </c>
      <c r="D1133" s="391" t="str">
        <f t="shared" ref="D1133:E1133" si="2966">D1130</f>
        <v>1-10</v>
      </c>
      <c r="E1133" s="391">
        <f t="shared" si="2966"/>
        <v>10</v>
      </c>
      <c r="F1133" s="391" t="str">
        <f t="shared" ref="F1133:G1133" si="2967">F1132</f>
        <v>fresh water</v>
      </c>
      <c r="G1133" s="401" t="str">
        <f t="shared" si="2967"/>
        <v>DE: PU film 1-10 mm (emission to fresh water)</v>
      </c>
      <c r="H1133" s="465">
        <v>0.11</v>
      </c>
      <c r="I1133" s="394" t="s">
        <v>1163</v>
      </c>
      <c r="J1133" s="635"/>
      <c r="K1133" s="395">
        <v>193.00000000000006</v>
      </c>
      <c r="L1133" s="536"/>
      <c r="M1133" s="509">
        <f t="shared" si="2844"/>
        <v>25.906735751295329</v>
      </c>
      <c r="N1133" s="646"/>
      <c r="O1133" s="626"/>
      <c r="P1133" s="629"/>
      <c r="Q1133" s="629"/>
    </row>
    <row r="1134" spans="1:17" ht="15.75" hidden="1" thickBot="1">
      <c r="A1134" s="390" t="str">
        <f t="shared" ref="A1134:B1134" si="2968">A1131</f>
        <v>PU</v>
      </c>
      <c r="B1134" s="391" t="str">
        <f t="shared" si="2968"/>
        <v>film</v>
      </c>
      <c r="C1134" s="391">
        <f t="shared" ref="C1134" si="2969">C1133</f>
        <v>2</v>
      </c>
      <c r="D1134" s="391" t="str">
        <f t="shared" ref="D1134:E1134" si="2970">D1131</f>
        <v>1-10</v>
      </c>
      <c r="E1134" s="391">
        <f t="shared" si="2970"/>
        <v>10</v>
      </c>
      <c r="F1134" s="402" t="str">
        <f>F1131</f>
        <v>fresh water</v>
      </c>
      <c r="G1134" s="401" t="str">
        <f t="shared" ref="G1134" si="2971">G1133</f>
        <v>DE: PU film 1-10 mm (emission to fresh water)</v>
      </c>
      <c r="H1134" s="465">
        <v>0</v>
      </c>
      <c r="I1134" s="397" t="s">
        <v>1034</v>
      </c>
      <c r="J1134" s="654"/>
      <c r="K1134" s="398" t="s">
        <v>596</v>
      </c>
      <c r="L1134" s="538"/>
      <c r="M1134" s="509">
        <f t="shared" si="2844"/>
        <v>0</v>
      </c>
      <c r="N1134" s="647"/>
      <c r="O1134" s="627"/>
      <c r="P1134" s="629"/>
      <c r="Q1134" s="629"/>
    </row>
    <row r="1135" spans="1:17" ht="15.75" hidden="1" thickBot="1">
      <c r="A1135" s="390" t="str">
        <f t="shared" ref="A1135:B1135" si="2972">A1132</f>
        <v>PU</v>
      </c>
      <c r="B1135" s="391" t="str">
        <f t="shared" si="2972"/>
        <v>film</v>
      </c>
      <c r="C1135" s="391">
        <f t="shared" ref="C1135" si="2973">C1134</f>
        <v>2</v>
      </c>
      <c r="D1135" s="391" t="str">
        <f t="shared" ref="D1135:E1135" si="2974">D1132</f>
        <v>1-10</v>
      </c>
      <c r="E1135" s="391">
        <f t="shared" si="2974"/>
        <v>10</v>
      </c>
      <c r="F1135" s="385" t="s">
        <v>1097</v>
      </c>
      <c r="G1135" s="422" t="str">
        <f>CONCATENATE("DE: ",A1135," ",B1135," ",D1135," mm (emission to ",F1135,")")</f>
        <v>DE: PU film 1-10 mm (emission to marine water)</v>
      </c>
      <c r="H1135" s="467">
        <v>0</v>
      </c>
      <c r="I1135" s="388" t="s">
        <v>1153</v>
      </c>
      <c r="J1135" s="634">
        <v>0.22800000000000001</v>
      </c>
      <c r="K1135" s="395">
        <v>193.00000000000006</v>
      </c>
      <c r="L1135" s="536"/>
      <c r="M1135" s="509">
        <f t="shared" si="2844"/>
        <v>25.906735751295329</v>
      </c>
      <c r="N1135" s="645">
        <f t="shared" ref="N1135" si="2975">IFERROR(H1135*M1135+H1136*M1136+H1137*M1137+H1138*M1138+H1139*M1139,"N.A.")</f>
        <v>25.906735751295329</v>
      </c>
      <c r="O1135" s="625"/>
      <c r="P1135" s="628">
        <f t="shared" si="2892"/>
        <v>25.906735751295329</v>
      </c>
      <c r="Q1135" s="628">
        <f t="shared" si="2804"/>
        <v>25.906735751295329</v>
      </c>
    </row>
    <row r="1136" spans="1:17" ht="15.75" hidden="1" thickBot="1">
      <c r="A1136" s="390" t="str">
        <f t="shared" ref="A1136:B1136" si="2976">A1133</f>
        <v>PU</v>
      </c>
      <c r="B1136" s="391" t="str">
        <f t="shared" si="2976"/>
        <v>film</v>
      </c>
      <c r="C1136" s="391">
        <f t="shared" ref="C1136" si="2977">C1135</f>
        <v>2</v>
      </c>
      <c r="D1136" s="391" t="str">
        <f t="shared" ref="D1136:E1136" si="2978">D1133</f>
        <v>1-10</v>
      </c>
      <c r="E1136" s="391">
        <f t="shared" si="2978"/>
        <v>10</v>
      </c>
      <c r="F1136" s="391" t="str">
        <f t="shared" ref="F1136:G1136" si="2979">F1135</f>
        <v>marine water</v>
      </c>
      <c r="G1136" s="401" t="str">
        <f t="shared" si="2979"/>
        <v>DE: PU film 1-10 mm (emission to marine water)</v>
      </c>
      <c r="H1136" s="465">
        <v>0</v>
      </c>
      <c r="I1136" s="394" t="s">
        <v>1097</v>
      </c>
      <c r="J1136" s="635"/>
      <c r="K1136" s="395">
        <v>193.00000000000006</v>
      </c>
      <c r="L1136" s="536"/>
      <c r="M1136" s="509">
        <f t="shared" si="2844"/>
        <v>25.906735751295329</v>
      </c>
      <c r="N1136" s="646"/>
      <c r="O1136" s="626"/>
      <c r="P1136" s="629"/>
      <c r="Q1136" s="629"/>
    </row>
    <row r="1137" spans="1:17" ht="15.75" hidden="1" thickBot="1">
      <c r="A1137" s="390" t="str">
        <f t="shared" ref="A1137:B1137" si="2980">A1134</f>
        <v>PU</v>
      </c>
      <c r="B1137" s="391" t="str">
        <f t="shared" si="2980"/>
        <v>film</v>
      </c>
      <c r="C1137" s="391">
        <f t="shared" ref="C1137" si="2981">C1136</f>
        <v>2</v>
      </c>
      <c r="D1137" s="391" t="str">
        <f t="shared" ref="D1137:E1137" si="2982">D1134</f>
        <v>1-10</v>
      </c>
      <c r="E1137" s="391">
        <f t="shared" si="2982"/>
        <v>10</v>
      </c>
      <c r="F1137" s="391" t="str">
        <f t="shared" ref="F1137:G1137" si="2983">F1136</f>
        <v>marine water</v>
      </c>
      <c r="G1137" s="401" t="str">
        <f t="shared" si="2983"/>
        <v>DE: PU film 1-10 mm (emission to marine water)</v>
      </c>
      <c r="H1137" s="465">
        <v>0</v>
      </c>
      <c r="I1137" s="394" t="s">
        <v>1162</v>
      </c>
      <c r="J1137" s="635"/>
      <c r="K1137" s="395">
        <v>193.00000000000006</v>
      </c>
      <c r="L1137" s="536"/>
      <c r="M1137" s="509">
        <f t="shared" si="2844"/>
        <v>25.906735751295329</v>
      </c>
      <c r="N1137" s="646"/>
      <c r="O1137" s="626"/>
      <c r="P1137" s="629"/>
      <c r="Q1137" s="629"/>
    </row>
    <row r="1138" spans="1:17" ht="15.75" hidden="1" thickBot="1">
      <c r="A1138" s="390" t="str">
        <f t="shared" ref="A1138:B1138" si="2984">A1135</f>
        <v>PU</v>
      </c>
      <c r="B1138" s="391" t="str">
        <f t="shared" si="2984"/>
        <v>film</v>
      </c>
      <c r="C1138" s="391">
        <f t="shared" ref="C1138" si="2985">C1137</f>
        <v>2</v>
      </c>
      <c r="D1138" s="391" t="str">
        <f t="shared" ref="D1138:E1138" si="2986">D1135</f>
        <v>1-10</v>
      </c>
      <c r="E1138" s="391">
        <f t="shared" si="2986"/>
        <v>10</v>
      </c>
      <c r="F1138" s="391" t="str">
        <f t="shared" ref="F1138:G1138" si="2987">F1137</f>
        <v>marine water</v>
      </c>
      <c r="G1138" s="401" t="str">
        <f t="shared" si="2987"/>
        <v>DE: PU film 1-10 mm (emission to marine water)</v>
      </c>
      <c r="H1138" s="465">
        <v>1</v>
      </c>
      <c r="I1138" s="394" t="s">
        <v>1163</v>
      </c>
      <c r="J1138" s="635"/>
      <c r="K1138" s="395">
        <v>193.00000000000006</v>
      </c>
      <c r="L1138" s="536"/>
      <c r="M1138" s="509">
        <f t="shared" si="2844"/>
        <v>25.906735751295329</v>
      </c>
      <c r="N1138" s="646"/>
      <c r="O1138" s="626"/>
      <c r="P1138" s="629"/>
      <c r="Q1138" s="629"/>
    </row>
    <row r="1139" spans="1:17" ht="15.75" hidden="1" thickBot="1">
      <c r="A1139" s="390" t="str">
        <f t="shared" ref="A1139:B1139" si="2988">A1136</f>
        <v>PU</v>
      </c>
      <c r="B1139" s="391" t="str">
        <f t="shared" si="2988"/>
        <v>film</v>
      </c>
      <c r="C1139" s="391">
        <f t="shared" ref="C1139" si="2989">C1138</f>
        <v>2</v>
      </c>
      <c r="D1139" s="391" t="str">
        <f t="shared" ref="D1139:E1139" si="2990">D1136</f>
        <v>1-10</v>
      </c>
      <c r="E1139" s="391">
        <f t="shared" si="2990"/>
        <v>10</v>
      </c>
      <c r="F1139" s="391" t="str">
        <f t="shared" ref="F1139:G1139" si="2991">F1138</f>
        <v>marine water</v>
      </c>
      <c r="G1139" s="401" t="str">
        <f t="shared" si="2991"/>
        <v>DE: PU film 1-10 mm (emission to marine water)</v>
      </c>
      <c r="H1139" s="465">
        <v>0</v>
      </c>
      <c r="I1139" s="397" t="s">
        <v>1034</v>
      </c>
      <c r="J1139" s="654"/>
      <c r="K1139" s="398" t="s">
        <v>596</v>
      </c>
      <c r="L1139" s="538"/>
      <c r="M1139" s="509">
        <f t="shared" si="2844"/>
        <v>0</v>
      </c>
      <c r="N1139" s="647"/>
      <c r="O1139" s="627"/>
      <c r="P1139" s="629"/>
      <c r="Q1139" s="629"/>
    </row>
    <row r="1140" spans="1:17" ht="15.75" hidden="1" thickBot="1">
      <c r="A1140" s="390" t="str">
        <f t="shared" ref="A1140:B1140" si="2992">A1137</f>
        <v>PU</v>
      </c>
      <c r="B1140" s="391" t="str">
        <f t="shared" si="2992"/>
        <v>film</v>
      </c>
      <c r="C1140" s="391">
        <f t="shared" ref="C1140" si="2993">C1139</f>
        <v>2</v>
      </c>
      <c r="D1140" s="391" t="str">
        <f t="shared" ref="D1140:E1140" si="2994">D1137</f>
        <v>1-10</v>
      </c>
      <c r="E1140" s="391">
        <f t="shared" si="2994"/>
        <v>10</v>
      </c>
      <c r="F1140" s="400" t="s">
        <v>1057</v>
      </c>
      <c r="G1140" s="422" t="str">
        <f>CONCATENATE("DE: ",A1140," ",B1140," ",D1140," mm (emission to ",F1140,")")</f>
        <v>DE: PU film 1-10 mm (emission to air)</v>
      </c>
      <c r="H1140" s="467">
        <v>0.94799999999999995</v>
      </c>
      <c r="I1140" s="388" t="s">
        <v>1153</v>
      </c>
      <c r="J1140" s="634">
        <v>0.22800000000000001</v>
      </c>
      <c r="K1140" s="395">
        <v>193.00000000000006</v>
      </c>
      <c r="L1140" s="536"/>
      <c r="M1140" s="509">
        <f t="shared" si="2844"/>
        <v>25.906735751295329</v>
      </c>
      <c r="N1140" s="645">
        <f t="shared" ref="N1140" si="2995">IFERROR(H1140*M1140+H1141*M1141+H1142*M1142+H1143*M1143+H1144*M1144,"N.A.")</f>
        <v>25.906735751295329</v>
      </c>
      <c r="O1140" s="625"/>
      <c r="P1140" s="628">
        <f t="shared" si="2892"/>
        <v>25.906735751295329</v>
      </c>
      <c r="Q1140" s="628">
        <f t="shared" si="2804"/>
        <v>25.906735751295329</v>
      </c>
    </row>
    <row r="1141" spans="1:17" ht="15.75" hidden="1" thickBot="1">
      <c r="A1141" s="390" t="str">
        <f t="shared" ref="A1141:B1141" si="2996">A1138</f>
        <v>PU</v>
      </c>
      <c r="B1141" s="391" t="str">
        <f t="shared" si="2996"/>
        <v>film</v>
      </c>
      <c r="C1141" s="391">
        <f t="shared" ref="C1141:C1144" si="2997">C1140</f>
        <v>2</v>
      </c>
      <c r="D1141" s="391" t="str">
        <f t="shared" ref="D1141:E1141" si="2998">D1138</f>
        <v>1-10</v>
      </c>
      <c r="E1141" s="391">
        <f t="shared" si="2998"/>
        <v>10</v>
      </c>
      <c r="F1141" s="391" t="str">
        <f t="shared" ref="F1141:G1141" si="2999">F1140</f>
        <v>air</v>
      </c>
      <c r="G1141" s="401" t="str">
        <f t="shared" si="2999"/>
        <v>DE: PU film 1-10 mm (emission to air)</v>
      </c>
      <c r="H1141" s="465">
        <v>0</v>
      </c>
      <c r="I1141" s="394" t="s">
        <v>1097</v>
      </c>
      <c r="J1141" s="635"/>
      <c r="K1141" s="395">
        <v>193.00000000000006</v>
      </c>
      <c r="L1141" s="536"/>
      <c r="M1141" s="509">
        <f t="shared" si="2844"/>
        <v>25.906735751295329</v>
      </c>
      <c r="N1141" s="646"/>
      <c r="O1141" s="626"/>
      <c r="P1141" s="629"/>
      <c r="Q1141" s="629"/>
    </row>
    <row r="1142" spans="1:17" ht="15.75" hidden="1" thickBot="1">
      <c r="A1142" s="390" t="str">
        <f t="shared" ref="A1142:B1142" si="3000">A1139</f>
        <v>PU</v>
      </c>
      <c r="B1142" s="391" t="str">
        <f t="shared" si="3000"/>
        <v>film</v>
      </c>
      <c r="C1142" s="391">
        <f t="shared" si="2997"/>
        <v>2</v>
      </c>
      <c r="D1142" s="391" t="str">
        <f t="shared" ref="D1142:E1142" si="3001">D1139</f>
        <v>1-10</v>
      </c>
      <c r="E1142" s="391">
        <f t="shared" si="3001"/>
        <v>10</v>
      </c>
      <c r="F1142" s="391" t="str">
        <f t="shared" ref="F1142:G1142" si="3002">F1141</f>
        <v>air</v>
      </c>
      <c r="G1142" s="401" t="str">
        <f t="shared" si="3002"/>
        <v>DE: PU film 1-10 mm (emission to air)</v>
      </c>
      <c r="H1142" s="465">
        <v>4.7E-2</v>
      </c>
      <c r="I1142" s="394" t="s">
        <v>1162</v>
      </c>
      <c r="J1142" s="635"/>
      <c r="K1142" s="395">
        <v>193.00000000000006</v>
      </c>
      <c r="L1142" s="536"/>
      <c r="M1142" s="509">
        <f t="shared" si="2844"/>
        <v>25.906735751295329</v>
      </c>
      <c r="N1142" s="646"/>
      <c r="O1142" s="626"/>
      <c r="P1142" s="629"/>
      <c r="Q1142" s="629"/>
    </row>
    <row r="1143" spans="1:17" ht="15.75" hidden="1" thickBot="1">
      <c r="A1143" s="390" t="str">
        <f t="shared" ref="A1143:B1143" si="3003">A1140</f>
        <v>PU</v>
      </c>
      <c r="B1143" s="391" t="str">
        <f t="shared" si="3003"/>
        <v>film</v>
      </c>
      <c r="C1143" s="391">
        <f t="shared" si="2997"/>
        <v>2</v>
      </c>
      <c r="D1143" s="391" t="str">
        <f t="shared" ref="D1143:E1143" si="3004">D1140</f>
        <v>1-10</v>
      </c>
      <c r="E1143" s="391">
        <f t="shared" si="3004"/>
        <v>10</v>
      </c>
      <c r="F1143" s="391" t="str">
        <f t="shared" ref="F1143:G1143" si="3005">F1142</f>
        <v>air</v>
      </c>
      <c r="G1143" s="401" t="str">
        <f t="shared" si="3005"/>
        <v>DE: PU film 1-10 mm (emission to air)</v>
      </c>
      <c r="H1143" s="465">
        <v>5.0000000000000001E-3</v>
      </c>
      <c r="I1143" s="394" t="s">
        <v>1163</v>
      </c>
      <c r="J1143" s="635"/>
      <c r="K1143" s="395">
        <v>193.00000000000006</v>
      </c>
      <c r="L1143" s="536"/>
      <c r="M1143" s="509">
        <f t="shared" si="2844"/>
        <v>25.906735751295329</v>
      </c>
      <c r="N1143" s="646"/>
      <c r="O1143" s="626"/>
      <c r="P1143" s="629"/>
      <c r="Q1143" s="629"/>
    </row>
    <row r="1144" spans="1:17" ht="15.75" hidden="1" thickBot="1">
      <c r="A1144" s="452" t="str">
        <f t="shared" ref="A1144:B1144" si="3006">A1139</f>
        <v>PU</v>
      </c>
      <c r="B1144" s="453" t="str">
        <f t="shared" si="3006"/>
        <v>film</v>
      </c>
      <c r="C1144" s="453">
        <f t="shared" si="2997"/>
        <v>2</v>
      </c>
      <c r="D1144" s="453" t="str">
        <f t="shared" ref="D1144:E1144" si="3007">D1139</f>
        <v>1-10</v>
      </c>
      <c r="E1144" s="453">
        <f t="shared" si="3007"/>
        <v>10</v>
      </c>
      <c r="F1144" s="453" t="str">
        <f t="shared" ref="F1144:G1144" si="3008">F1143</f>
        <v>air</v>
      </c>
      <c r="G1144" s="454" t="str">
        <f t="shared" si="3008"/>
        <v>DE: PU film 1-10 mm (emission to air)</v>
      </c>
      <c r="H1144" s="473">
        <v>0</v>
      </c>
      <c r="I1144" s="456" t="s">
        <v>1034</v>
      </c>
      <c r="J1144" s="636"/>
      <c r="K1144" s="457" t="s">
        <v>596</v>
      </c>
      <c r="L1144" s="543"/>
      <c r="M1144" s="509">
        <f t="shared" si="2844"/>
        <v>0</v>
      </c>
      <c r="N1144" s="647"/>
      <c r="O1144" s="627"/>
      <c r="P1144" s="629"/>
      <c r="Q1144" s="629"/>
    </row>
    <row r="1145" spans="1:17" ht="15.75" hidden="1" thickBot="1">
      <c r="A1145" s="381" t="s">
        <v>187</v>
      </c>
      <c r="B1145" s="382" t="s">
        <v>1151</v>
      </c>
      <c r="C1145" s="383">
        <v>4</v>
      </c>
      <c r="D1145" s="475" t="s">
        <v>1018</v>
      </c>
      <c r="E1145" s="384">
        <v>0.1</v>
      </c>
      <c r="F1145" s="385" t="s">
        <v>1019</v>
      </c>
      <c r="G1145" s="386" t="str">
        <f>CONCATENATE("DE: ",A1145," ",B1145," ",D1145," mm (emission to ",F1145,")")</f>
        <v>DE: PU fiber 0,01-0,1 mm (emission to soil)</v>
      </c>
      <c r="H1145" s="466">
        <v>0.97</v>
      </c>
      <c r="I1145" s="388" t="s">
        <v>1153</v>
      </c>
      <c r="J1145" s="632">
        <v>0.22800000000000001</v>
      </c>
      <c r="K1145" s="389">
        <v>193.00000000000006</v>
      </c>
      <c r="L1145" s="536"/>
      <c r="M1145" s="509">
        <f t="shared" si="2844"/>
        <v>0.12953367875647664</v>
      </c>
      <c r="N1145" s="645">
        <f t="shared" ref="N1145" si="3009">IFERROR(H1145*M1145+H1146*M1146+H1147*M1147+H1148*M1148+H1149*M1149,"N.A.")</f>
        <v>0.12953367875647662</v>
      </c>
      <c r="O1145" s="625"/>
      <c r="P1145" s="628">
        <f t="shared" si="2892"/>
        <v>0.12953367875647662</v>
      </c>
      <c r="Q1145" s="628">
        <f t="shared" ref="Q1145:Q1205" si="3010">IFERROR(IF(H1145*M1145+H1146*M1146+H1147*M1147+H1148*M1148+H1149*M1149&gt;500,500,H1145*M1145+H1146*M1146+H1147*M1147+H1148*M1148+H1149*M1149),"N.A.")</f>
        <v>0.12953367875647662</v>
      </c>
    </row>
    <row r="1146" spans="1:17" ht="15.75" hidden="1" thickBot="1">
      <c r="A1146" s="390" t="str">
        <f>A1145</f>
        <v>PU</v>
      </c>
      <c r="B1146" s="391" t="str">
        <f>B1145</f>
        <v>fiber</v>
      </c>
      <c r="C1146" s="391">
        <f t="shared" ref="C1146:G1146" si="3011">C1145</f>
        <v>4</v>
      </c>
      <c r="D1146" s="391" t="str">
        <f t="shared" si="3011"/>
        <v>0,01-0,1</v>
      </c>
      <c r="E1146" s="391">
        <f t="shared" si="3011"/>
        <v>0.1</v>
      </c>
      <c r="F1146" s="391" t="str">
        <f t="shared" si="3011"/>
        <v>soil</v>
      </c>
      <c r="G1146" s="392" t="str">
        <f t="shared" si="3011"/>
        <v>DE: PU fiber 0,01-0,1 mm (emission to soil)</v>
      </c>
      <c r="H1146" s="465">
        <v>0</v>
      </c>
      <c r="I1146" s="394" t="s">
        <v>1097</v>
      </c>
      <c r="J1146" s="632"/>
      <c r="K1146" s="395">
        <v>193.00000000000006</v>
      </c>
      <c r="L1146" s="537"/>
      <c r="M1146" s="509">
        <f t="shared" si="2844"/>
        <v>0.12953367875647664</v>
      </c>
      <c r="N1146" s="646"/>
      <c r="O1146" s="626"/>
      <c r="P1146" s="629"/>
      <c r="Q1146" s="629"/>
    </row>
    <row r="1147" spans="1:17" ht="15.75" hidden="1" thickBot="1">
      <c r="A1147" s="390" t="str">
        <f t="shared" ref="A1147:G1147" si="3012">A1146</f>
        <v>PU</v>
      </c>
      <c r="B1147" s="391" t="str">
        <f t="shared" si="3012"/>
        <v>fiber</v>
      </c>
      <c r="C1147" s="391">
        <f t="shared" si="3012"/>
        <v>4</v>
      </c>
      <c r="D1147" s="391" t="str">
        <f t="shared" si="3012"/>
        <v>0,01-0,1</v>
      </c>
      <c r="E1147" s="391">
        <f t="shared" si="3012"/>
        <v>0.1</v>
      </c>
      <c r="F1147" s="391" t="str">
        <f t="shared" si="3012"/>
        <v>soil</v>
      </c>
      <c r="G1147" s="392" t="str">
        <f t="shared" si="3012"/>
        <v>DE: PU fiber 0,01-0,1 mm (emission to soil)</v>
      </c>
      <c r="H1147" s="465">
        <v>2.7E-2</v>
      </c>
      <c r="I1147" s="394" t="s">
        <v>1162</v>
      </c>
      <c r="J1147" s="632"/>
      <c r="K1147" s="395">
        <v>193.00000000000006</v>
      </c>
      <c r="L1147" s="537"/>
      <c r="M1147" s="509">
        <f t="shared" si="2844"/>
        <v>0.12953367875647664</v>
      </c>
      <c r="N1147" s="646"/>
      <c r="O1147" s="626"/>
      <c r="P1147" s="629"/>
      <c r="Q1147" s="629"/>
    </row>
    <row r="1148" spans="1:17" ht="15.75" hidden="1" thickBot="1">
      <c r="A1148" s="390" t="str">
        <f t="shared" ref="A1148:G1148" si="3013">A1147</f>
        <v>PU</v>
      </c>
      <c r="B1148" s="391" t="str">
        <f t="shared" si="3013"/>
        <v>fiber</v>
      </c>
      <c r="C1148" s="391">
        <f t="shared" si="3013"/>
        <v>4</v>
      </c>
      <c r="D1148" s="391" t="str">
        <f t="shared" si="3013"/>
        <v>0,01-0,1</v>
      </c>
      <c r="E1148" s="391">
        <f t="shared" si="3013"/>
        <v>0.1</v>
      </c>
      <c r="F1148" s="391" t="str">
        <f t="shared" si="3013"/>
        <v>soil</v>
      </c>
      <c r="G1148" s="392" t="str">
        <f t="shared" si="3013"/>
        <v>DE: PU fiber 0,01-0,1 mm (emission to soil)</v>
      </c>
      <c r="H1148" s="465">
        <v>3.0000000000000001E-3</v>
      </c>
      <c r="I1148" s="394" t="s">
        <v>1163</v>
      </c>
      <c r="J1148" s="632"/>
      <c r="K1148" s="395">
        <v>193.00000000000006</v>
      </c>
      <c r="L1148" s="537"/>
      <c r="M1148" s="509">
        <f t="shared" si="2844"/>
        <v>0.12953367875647664</v>
      </c>
      <c r="N1148" s="646"/>
      <c r="O1148" s="626"/>
      <c r="P1148" s="629"/>
      <c r="Q1148" s="629"/>
    </row>
    <row r="1149" spans="1:17" ht="15.75" hidden="1" thickBot="1">
      <c r="A1149" s="390" t="str">
        <f>A1146</f>
        <v>PU</v>
      </c>
      <c r="B1149" s="391" t="str">
        <f>B1146</f>
        <v>fiber</v>
      </c>
      <c r="C1149" s="391">
        <f t="shared" ref="C1149" si="3014">C1148</f>
        <v>4</v>
      </c>
      <c r="D1149" s="391" t="str">
        <f>D1146</f>
        <v>0,01-0,1</v>
      </c>
      <c r="E1149" s="391">
        <f>E1146</f>
        <v>0.1</v>
      </c>
      <c r="F1149" s="391" t="str">
        <f>F1146</f>
        <v>soil</v>
      </c>
      <c r="G1149" s="396" t="str">
        <f t="shared" ref="G1149" si="3015">G1148</f>
        <v>DE: PU fiber 0,01-0,1 mm (emission to soil)</v>
      </c>
      <c r="H1149" s="465">
        <v>0</v>
      </c>
      <c r="I1149" s="397" t="s">
        <v>1034</v>
      </c>
      <c r="J1149" s="633"/>
      <c r="K1149" s="398" t="s">
        <v>596</v>
      </c>
      <c r="L1149" s="538"/>
      <c r="M1149" s="509">
        <f t="shared" si="2844"/>
        <v>0</v>
      </c>
      <c r="N1149" s="647"/>
      <c r="O1149" s="627"/>
      <c r="P1149" s="629"/>
      <c r="Q1149" s="629"/>
    </row>
    <row r="1150" spans="1:17" ht="15.75" hidden="1" thickBot="1">
      <c r="A1150" s="390" t="str">
        <f t="shared" ref="A1150:B1150" si="3016">A1147</f>
        <v>PU</v>
      </c>
      <c r="B1150" s="391" t="str">
        <f t="shared" si="3016"/>
        <v>fiber</v>
      </c>
      <c r="C1150" s="391">
        <f t="shared" ref="C1150" si="3017">C1149</f>
        <v>4</v>
      </c>
      <c r="D1150" s="399" t="str">
        <f t="shared" ref="D1150:E1150" si="3018">D1147</f>
        <v>0,01-0,1</v>
      </c>
      <c r="E1150" s="391">
        <f t="shared" si="3018"/>
        <v>0.1</v>
      </c>
      <c r="F1150" s="400" t="s">
        <v>1147</v>
      </c>
      <c r="G1150" s="386" t="str">
        <f>CONCATENATE("DE: ",A1150," ",B1150," ",D1150," mm (emission to ",F1150,")")</f>
        <v>DE: PU fiber 0,01-0,1 mm (emission to fresh water)</v>
      </c>
      <c r="H1150" s="466">
        <v>0</v>
      </c>
      <c r="I1150" s="388" t="s">
        <v>1153</v>
      </c>
      <c r="J1150" s="634">
        <v>0.22800000000000001</v>
      </c>
      <c r="K1150" s="395">
        <v>193.00000000000006</v>
      </c>
      <c r="L1150" s="536"/>
      <c r="M1150" s="509">
        <f t="shared" si="2844"/>
        <v>0.12953367875647664</v>
      </c>
      <c r="N1150" s="645">
        <f t="shared" ref="N1150" si="3019">IFERROR(H1150*M1150+H1151*M1151+H1152*M1152+H1153*M1153+H1154*M1154,"N.A.")</f>
        <v>0.12953367875647664</v>
      </c>
      <c r="O1150" s="625"/>
      <c r="P1150" s="628">
        <f t="shared" si="2892"/>
        <v>0.12953367875647664</v>
      </c>
      <c r="Q1150" s="628">
        <f t="shared" si="3010"/>
        <v>0.12953367875647664</v>
      </c>
    </row>
    <row r="1151" spans="1:17" ht="15.75" hidden="1" thickBot="1">
      <c r="A1151" s="390" t="str">
        <f t="shared" ref="A1151:B1151" si="3020">A1148</f>
        <v>PU</v>
      </c>
      <c r="B1151" s="391" t="str">
        <f t="shared" si="3020"/>
        <v>fiber</v>
      </c>
      <c r="C1151" s="391">
        <f t="shared" ref="C1151" si="3021">C1150</f>
        <v>4</v>
      </c>
      <c r="D1151" s="391" t="str">
        <f t="shared" ref="D1151:E1151" si="3022">D1148</f>
        <v>0,01-0,1</v>
      </c>
      <c r="E1151" s="391">
        <f t="shared" si="3022"/>
        <v>0.1</v>
      </c>
      <c r="F1151" s="391" t="str">
        <f t="shared" ref="F1151:G1151" si="3023">F1150</f>
        <v>fresh water</v>
      </c>
      <c r="G1151" s="401" t="str">
        <f t="shared" si="3023"/>
        <v>DE: PU fiber 0,01-0,1 mm (emission to fresh water)</v>
      </c>
      <c r="H1151" s="465">
        <v>0</v>
      </c>
      <c r="I1151" s="394" t="s">
        <v>1097</v>
      </c>
      <c r="J1151" s="635"/>
      <c r="K1151" s="395">
        <v>193.00000000000006</v>
      </c>
      <c r="L1151" s="536"/>
      <c r="M1151" s="509">
        <f t="shared" si="2844"/>
        <v>0.12953367875647664</v>
      </c>
      <c r="N1151" s="646"/>
      <c r="O1151" s="626"/>
      <c r="P1151" s="629"/>
      <c r="Q1151" s="629"/>
    </row>
    <row r="1152" spans="1:17" ht="15.75" hidden="1" thickBot="1">
      <c r="A1152" s="390" t="str">
        <f t="shared" ref="A1152:B1152" si="3024">A1149</f>
        <v>PU</v>
      </c>
      <c r="B1152" s="391" t="str">
        <f t="shared" si="3024"/>
        <v>fiber</v>
      </c>
      <c r="C1152" s="391">
        <f t="shared" ref="C1152" si="3025">C1151</f>
        <v>4</v>
      </c>
      <c r="D1152" s="391" t="str">
        <f t="shared" ref="D1152:E1152" si="3026">D1149</f>
        <v>0,01-0,1</v>
      </c>
      <c r="E1152" s="391">
        <f t="shared" si="3026"/>
        <v>0.1</v>
      </c>
      <c r="F1152" s="391" t="str">
        <f t="shared" ref="F1152:G1152" si="3027">F1151</f>
        <v>fresh water</v>
      </c>
      <c r="G1152" s="401" t="str">
        <f t="shared" si="3027"/>
        <v>DE: PU fiber 0,01-0,1 mm (emission to fresh water)</v>
      </c>
      <c r="H1152" s="465">
        <v>0.89</v>
      </c>
      <c r="I1152" s="394" t="s">
        <v>1162</v>
      </c>
      <c r="J1152" s="635"/>
      <c r="K1152" s="395">
        <v>193.00000000000006</v>
      </c>
      <c r="L1152" s="536"/>
      <c r="M1152" s="509">
        <f t="shared" si="2844"/>
        <v>0.12953367875647664</v>
      </c>
      <c r="N1152" s="646"/>
      <c r="O1152" s="626"/>
      <c r="P1152" s="629"/>
      <c r="Q1152" s="629"/>
    </row>
    <row r="1153" spans="1:17" ht="15.75" hidden="1" thickBot="1">
      <c r="A1153" s="390" t="str">
        <f t="shared" ref="A1153:B1153" si="3028">A1150</f>
        <v>PU</v>
      </c>
      <c r="B1153" s="391" t="str">
        <f t="shared" si="3028"/>
        <v>fiber</v>
      </c>
      <c r="C1153" s="391">
        <f t="shared" ref="C1153" si="3029">C1152</f>
        <v>4</v>
      </c>
      <c r="D1153" s="391" t="str">
        <f t="shared" ref="D1153:E1153" si="3030">D1150</f>
        <v>0,01-0,1</v>
      </c>
      <c r="E1153" s="391">
        <f t="shared" si="3030"/>
        <v>0.1</v>
      </c>
      <c r="F1153" s="391" t="str">
        <f t="shared" ref="F1153:G1153" si="3031">F1152</f>
        <v>fresh water</v>
      </c>
      <c r="G1153" s="401" t="str">
        <f t="shared" si="3031"/>
        <v>DE: PU fiber 0,01-0,1 mm (emission to fresh water)</v>
      </c>
      <c r="H1153" s="465">
        <v>0.11</v>
      </c>
      <c r="I1153" s="394" t="s">
        <v>1163</v>
      </c>
      <c r="J1153" s="635"/>
      <c r="K1153" s="395">
        <v>193.00000000000006</v>
      </c>
      <c r="L1153" s="536"/>
      <c r="M1153" s="509">
        <f t="shared" si="2844"/>
        <v>0.12953367875647664</v>
      </c>
      <c r="N1153" s="646"/>
      <c r="O1153" s="626"/>
      <c r="P1153" s="629"/>
      <c r="Q1153" s="629"/>
    </row>
    <row r="1154" spans="1:17" ht="15.75" hidden="1" thickBot="1">
      <c r="A1154" s="390" t="str">
        <f t="shared" ref="A1154:B1154" si="3032">A1151</f>
        <v>PU</v>
      </c>
      <c r="B1154" s="391" t="str">
        <f t="shared" si="3032"/>
        <v>fiber</v>
      </c>
      <c r="C1154" s="391">
        <f t="shared" ref="C1154" si="3033">C1153</f>
        <v>4</v>
      </c>
      <c r="D1154" s="391" t="str">
        <f t="shared" ref="D1154:E1154" si="3034">D1151</f>
        <v>0,01-0,1</v>
      </c>
      <c r="E1154" s="391">
        <f t="shared" si="3034"/>
        <v>0.1</v>
      </c>
      <c r="F1154" s="402" t="str">
        <f>F1151</f>
        <v>fresh water</v>
      </c>
      <c r="G1154" s="401" t="str">
        <f t="shared" ref="G1154" si="3035">G1153</f>
        <v>DE: PU fiber 0,01-0,1 mm (emission to fresh water)</v>
      </c>
      <c r="H1154" s="465">
        <v>0</v>
      </c>
      <c r="I1154" s="397" t="s">
        <v>1034</v>
      </c>
      <c r="J1154" s="654"/>
      <c r="K1154" s="398" t="s">
        <v>596</v>
      </c>
      <c r="L1154" s="538"/>
      <c r="M1154" s="509">
        <f t="shared" si="2844"/>
        <v>0</v>
      </c>
      <c r="N1154" s="647"/>
      <c r="O1154" s="627"/>
      <c r="P1154" s="629"/>
      <c r="Q1154" s="629"/>
    </row>
    <row r="1155" spans="1:17" ht="15.75" hidden="1" thickBot="1">
      <c r="A1155" s="390" t="str">
        <f t="shared" ref="A1155:B1155" si="3036">A1152</f>
        <v>PU</v>
      </c>
      <c r="B1155" s="391" t="str">
        <f t="shared" si="3036"/>
        <v>fiber</v>
      </c>
      <c r="C1155" s="391">
        <f t="shared" ref="C1155" si="3037">C1154</f>
        <v>4</v>
      </c>
      <c r="D1155" s="391" t="str">
        <f t="shared" ref="D1155:E1155" si="3038">D1152</f>
        <v>0,01-0,1</v>
      </c>
      <c r="E1155" s="391">
        <f t="shared" si="3038"/>
        <v>0.1</v>
      </c>
      <c r="F1155" s="385" t="s">
        <v>1097</v>
      </c>
      <c r="G1155" s="422" t="str">
        <f>CONCATENATE("DE: ",A1155," ",B1155," ",D1155," mm (emission to ",F1155,")")</f>
        <v>DE: PU fiber 0,01-0,1 mm (emission to marine water)</v>
      </c>
      <c r="H1155" s="467">
        <v>0</v>
      </c>
      <c r="I1155" s="388" t="s">
        <v>1153</v>
      </c>
      <c r="J1155" s="634">
        <v>0.22800000000000001</v>
      </c>
      <c r="K1155" s="395">
        <v>193.00000000000006</v>
      </c>
      <c r="L1155" s="536"/>
      <c r="M1155" s="509">
        <f t="shared" si="2844"/>
        <v>0.12953367875647664</v>
      </c>
      <c r="N1155" s="645">
        <f t="shared" ref="N1155" si="3039">IFERROR(H1155*M1155+H1156*M1156+H1157*M1157+H1158*M1158+H1159*M1159,"N.A.")</f>
        <v>0.12953367875647664</v>
      </c>
      <c r="O1155" s="625"/>
      <c r="P1155" s="628">
        <f t="shared" si="2892"/>
        <v>0.12953367875647664</v>
      </c>
      <c r="Q1155" s="628">
        <f t="shared" si="3010"/>
        <v>0.12953367875647664</v>
      </c>
    </row>
    <row r="1156" spans="1:17" ht="15.75" hidden="1" thickBot="1">
      <c r="A1156" s="390" t="str">
        <f t="shared" ref="A1156:B1156" si="3040">A1153</f>
        <v>PU</v>
      </c>
      <c r="B1156" s="391" t="str">
        <f t="shared" si="3040"/>
        <v>fiber</v>
      </c>
      <c r="C1156" s="391">
        <f t="shared" ref="C1156" si="3041">C1155</f>
        <v>4</v>
      </c>
      <c r="D1156" s="391" t="str">
        <f t="shared" ref="D1156:E1156" si="3042">D1153</f>
        <v>0,01-0,1</v>
      </c>
      <c r="E1156" s="391">
        <f t="shared" si="3042"/>
        <v>0.1</v>
      </c>
      <c r="F1156" s="391" t="str">
        <f t="shared" ref="F1156:G1156" si="3043">F1155</f>
        <v>marine water</v>
      </c>
      <c r="G1156" s="401" t="str">
        <f t="shared" si="3043"/>
        <v>DE: PU fiber 0,01-0,1 mm (emission to marine water)</v>
      </c>
      <c r="H1156" s="465">
        <v>0</v>
      </c>
      <c r="I1156" s="394" t="s">
        <v>1097</v>
      </c>
      <c r="J1156" s="635"/>
      <c r="K1156" s="395">
        <v>193.00000000000006</v>
      </c>
      <c r="L1156" s="536"/>
      <c r="M1156" s="509">
        <f t="shared" si="2844"/>
        <v>0.12953367875647664</v>
      </c>
      <c r="N1156" s="646"/>
      <c r="O1156" s="626"/>
      <c r="P1156" s="629"/>
      <c r="Q1156" s="629"/>
    </row>
    <row r="1157" spans="1:17" ht="15.75" hidden="1" thickBot="1">
      <c r="A1157" s="390" t="str">
        <f t="shared" ref="A1157:B1157" si="3044">A1154</f>
        <v>PU</v>
      </c>
      <c r="B1157" s="391" t="str">
        <f t="shared" si="3044"/>
        <v>fiber</v>
      </c>
      <c r="C1157" s="391">
        <f t="shared" ref="C1157" si="3045">C1156</f>
        <v>4</v>
      </c>
      <c r="D1157" s="391" t="str">
        <f t="shared" ref="D1157:E1157" si="3046">D1154</f>
        <v>0,01-0,1</v>
      </c>
      <c r="E1157" s="391">
        <f t="shared" si="3046"/>
        <v>0.1</v>
      </c>
      <c r="F1157" s="391" t="str">
        <f t="shared" ref="F1157:G1157" si="3047">F1156</f>
        <v>marine water</v>
      </c>
      <c r="G1157" s="401" t="str">
        <f t="shared" si="3047"/>
        <v>DE: PU fiber 0,01-0,1 mm (emission to marine water)</v>
      </c>
      <c r="H1157" s="465">
        <v>0</v>
      </c>
      <c r="I1157" s="394" t="s">
        <v>1162</v>
      </c>
      <c r="J1157" s="635"/>
      <c r="K1157" s="395">
        <v>193.00000000000006</v>
      </c>
      <c r="L1157" s="536"/>
      <c r="M1157" s="509">
        <f t="shared" si="2844"/>
        <v>0.12953367875647664</v>
      </c>
      <c r="N1157" s="646"/>
      <c r="O1157" s="626"/>
      <c r="P1157" s="629"/>
      <c r="Q1157" s="629"/>
    </row>
    <row r="1158" spans="1:17" ht="15.75" hidden="1" thickBot="1">
      <c r="A1158" s="390" t="str">
        <f t="shared" ref="A1158:B1158" si="3048">A1155</f>
        <v>PU</v>
      </c>
      <c r="B1158" s="391" t="str">
        <f t="shared" si="3048"/>
        <v>fiber</v>
      </c>
      <c r="C1158" s="391">
        <f t="shared" ref="C1158" si="3049">C1157</f>
        <v>4</v>
      </c>
      <c r="D1158" s="391" t="str">
        <f t="shared" ref="D1158:E1158" si="3050">D1155</f>
        <v>0,01-0,1</v>
      </c>
      <c r="E1158" s="391">
        <f t="shared" si="3050"/>
        <v>0.1</v>
      </c>
      <c r="F1158" s="391" t="str">
        <f t="shared" ref="F1158:G1158" si="3051">F1157</f>
        <v>marine water</v>
      </c>
      <c r="G1158" s="401" t="str">
        <f t="shared" si="3051"/>
        <v>DE: PU fiber 0,01-0,1 mm (emission to marine water)</v>
      </c>
      <c r="H1158" s="465">
        <v>1</v>
      </c>
      <c r="I1158" s="394" t="s">
        <v>1163</v>
      </c>
      <c r="J1158" s="635"/>
      <c r="K1158" s="395">
        <v>193.00000000000006</v>
      </c>
      <c r="L1158" s="536"/>
      <c r="M1158" s="509">
        <f t="shared" ref="M1158:M1221" si="3052">IFERROR(IF(K1158="--",0,IF(E1158*1000/K1158*(1-0.5)^(C1158/2)&gt;1000,1000,E1158*1000/K1158*(1-0.5)^(C1158/2))),1000)</f>
        <v>0.12953367875647664</v>
      </c>
      <c r="N1158" s="646"/>
      <c r="O1158" s="626"/>
      <c r="P1158" s="629"/>
      <c r="Q1158" s="629"/>
    </row>
    <row r="1159" spans="1:17" ht="15.75" hidden="1" thickBot="1">
      <c r="A1159" s="390" t="str">
        <f t="shared" ref="A1159:B1159" si="3053">A1156</f>
        <v>PU</v>
      </c>
      <c r="B1159" s="391" t="str">
        <f t="shared" si="3053"/>
        <v>fiber</v>
      </c>
      <c r="C1159" s="391">
        <f t="shared" ref="C1159" si="3054">C1158</f>
        <v>4</v>
      </c>
      <c r="D1159" s="391" t="str">
        <f t="shared" ref="D1159:E1159" si="3055">D1156</f>
        <v>0,01-0,1</v>
      </c>
      <c r="E1159" s="391">
        <f t="shared" si="3055"/>
        <v>0.1</v>
      </c>
      <c r="F1159" s="391" t="str">
        <f t="shared" ref="F1159:G1159" si="3056">F1158</f>
        <v>marine water</v>
      </c>
      <c r="G1159" s="401" t="str">
        <f t="shared" si="3056"/>
        <v>DE: PU fiber 0,01-0,1 mm (emission to marine water)</v>
      </c>
      <c r="H1159" s="465">
        <v>0</v>
      </c>
      <c r="I1159" s="397" t="s">
        <v>1034</v>
      </c>
      <c r="J1159" s="654"/>
      <c r="K1159" s="398" t="s">
        <v>596</v>
      </c>
      <c r="L1159" s="538"/>
      <c r="M1159" s="509">
        <f t="shared" si="3052"/>
        <v>0</v>
      </c>
      <c r="N1159" s="647"/>
      <c r="O1159" s="627"/>
      <c r="P1159" s="629"/>
      <c r="Q1159" s="629"/>
    </row>
    <row r="1160" spans="1:17" ht="15.75" hidden="1" thickBot="1">
      <c r="A1160" s="390" t="str">
        <f t="shared" ref="A1160:B1160" si="3057">A1157</f>
        <v>PU</v>
      </c>
      <c r="B1160" s="391" t="str">
        <f t="shared" si="3057"/>
        <v>fiber</v>
      </c>
      <c r="C1160" s="391">
        <f t="shared" ref="C1160" si="3058">C1159</f>
        <v>4</v>
      </c>
      <c r="D1160" s="391" t="str">
        <f t="shared" ref="D1160:E1160" si="3059">D1157</f>
        <v>0,01-0,1</v>
      </c>
      <c r="E1160" s="391">
        <f t="shared" si="3059"/>
        <v>0.1</v>
      </c>
      <c r="F1160" s="400" t="s">
        <v>1057</v>
      </c>
      <c r="G1160" s="422" t="str">
        <f>CONCATENATE("DE: ",A1160," ",B1160," ",D1160," mm (emission to ",F1160,")")</f>
        <v>DE: PU fiber 0,01-0,1 mm (emission to air)</v>
      </c>
      <c r="H1160" s="467">
        <v>0.94799999999999995</v>
      </c>
      <c r="I1160" s="388" t="s">
        <v>1153</v>
      </c>
      <c r="J1160" s="634">
        <v>0.22800000000000001</v>
      </c>
      <c r="K1160" s="395">
        <v>193.00000000000006</v>
      </c>
      <c r="L1160" s="536"/>
      <c r="M1160" s="509">
        <f t="shared" si="3052"/>
        <v>0.12953367875647664</v>
      </c>
      <c r="N1160" s="645">
        <f t="shared" ref="N1160" si="3060">IFERROR(H1160*M1160+H1161*M1161+H1162*M1162+H1163*M1163+H1164*M1164,"N.A.")</f>
        <v>0.12953367875647664</v>
      </c>
      <c r="O1160" s="625"/>
      <c r="P1160" s="628">
        <f t="shared" si="2892"/>
        <v>0.12953367875647664</v>
      </c>
      <c r="Q1160" s="628">
        <f t="shared" si="3010"/>
        <v>0.12953367875647664</v>
      </c>
    </row>
    <row r="1161" spans="1:17" ht="15.75" hidden="1" thickBot="1">
      <c r="A1161" s="390" t="str">
        <f t="shared" ref="A1161:B1161" si="3061">A1158</f>
        <v>PU</v>
      </c>
      <c r="B1161" s="391" t="str">
        <f t="shared" si="3061"/>
        <v>fiber</v>
      </c>
      <c r="C1161" s="391">
        <f t="shared" ref="C1161:C1164" si="3062">C1160</f>
        <v>4</v>
      </c>
      <c r="D1161" s="391" t="str">
        <f t="shared" ref="D1161:E1161" si="3063">D1158</f>
        <v>0,01-0,1</v>
      </c>
      <c r="E1161" s="391">
        <f t="shared" si="3063"/>
        <v>0.1</v>
      </c>
      <c r="F1161" s="391" t="str">
        <f t="shared" ref="F1161:G1161" si="3064">F1160</f>
        <v>air</v>
      </c>
      <c r="G1161" s="401" t="str">
        <f t="shared" si="3064"/>
        <v>DE: PU fiber 0,01-0,1 mm (emission to air)</v>
      </c>
      <c r="H1161" s="465">
        <v>0</v>
      </c>
      <c r="I1161" s="394" t="s">
        <v>1097</v>
      </c>
      <c r="J1161" s="635"/>
      <c r="K1161" s="395">
        <v>193.00000000000006</v>
      </c>
      <c r="L1161" s="536"/>
      <c r="M1161" s="509">
        <f t="shared" si="3052"/>
        <v>0.12953367875647664</v>
      </c>
      <c r="N1161" s="646"/>
      <c r="O1161" s="626"/>
      <c r="P1161" s="629"/>
      <c r="Q1161" s="629"/>
    </row>
    <row r="1162" spans="1:17" ht="15.75" hidden="1" thickBot="1">
      <c r="A1162" s="390" t="str">
        <f t="shared" ref="A1162:B1162" si="3065">A1159</f>
        <v>PU</v>
      </c>
      <c r="B1162" s="391" t="str">
        <f t="shared" si="3065"/>
        <v>fiber</v>
      </c>
      <c r="C1162" s="391">
        <f t="shared" si="3062"/>
        <v>4</v>
      </c>
      <c r="D1162" s="391" t="str">
        <f t="shared" ref="D1162:E1162" si="3066">D1159</f>
        <v>0,01-0,1</v>
      </c>
      <c r="E1162" s="391">
        <f t="shared" si="3066"/>
        <v>0.1</v>
      </c>
      <c r="F1162" s="391" t="str">
        <f t="shared" ref="F1162:G1162" si="3067">F1161</f>
        <v>air</v>
      </c>
      <c r="G1162" s="401" t="str">
        <f t="shared" si="3067"/>
        <v>DE: PU fiber 0,01-0,1 mm (emission to air)</v>
      </c>
      <c r="H1162" s="465">
        <v>4.7E-2</v>
      </c>
      <c r="I1162" s="394" t="s">
        <v>1162</v>
      </c>
      <c r="J1162" s="635"/>
      <c r="K1162" s="395">
        <v>193.00000000000006</v>
      </c>
      <c r="L1162" s="536"/>
      <c r="M1162" s="509">
        <f t="shared" si="3052"/>
        <v>0.12953367875647664</v>
      </c>
      <c r="N1162" s="646"/>
      <c r="O1162" s="626"/>
      <c r="P1162" s="629"/>
      <c r="Q1162" s="629"/>
    </row>
    <row r="1163" spans="1:17" ht="15.75" hidden="1" thickBot="1">
      <c r="A1163" s="390" t="str">
        <f t="shared" ref="A1163:B1163" si="3068">A1160</f>
        <v>PU</v>
      </c>
      <c r="B1163" s="391" t="str">
        <f t="shared" si="3068"/>
        <v>fiber</v>
      </c>
      <c r="C1163" s="391">
        <f t="shared" si="3062"/>
        <v>4</v>
      </c>
      <c r="D1163" s="391" t="str">
        <f t="shared" ref="D1163:E1163" si="3069">D1160</f>
        <v>0,01-0,1</v>
      </c>
      <c r="E1163" s="391">
        <f t="shared" si="3069"/>
        <v>0.1</v>
      </c>
      <c r="F1163" s="391" t="str">
        <f t="shared" ref="F1163:G1163" si="3070">F1162</f>
        <v>air</v>
      </c>
      <c r="G1163" s="401" t="str">
        <f t="shared" si="3070"/>
        <v>DE: PU fiber 0,01-0,1 mm (emission to air)</v>
      </c>
      <c r="H1163" s="465">
        <v>5.0000000000000001E-3</v>
      </c>
      <c r="I1163" s="394" t="s">
        <v>1163</v>
      </c>
      <c r="J1163" s="635"/>
      <c r="K1163" s="395">
        <v>193.00000000000006</v>
      </c>
      <c r="L1163" s="536"/>
      <c r="M1163" s="509">
        <f t="shared" si="3052"/>
        <v>0.12953367875647664</v>
      </c>
      <c r="N1163" s="646"/>
      <c r="O1163" s="626"/>
      <c r="P1163" s="629"/>
      <c r="Q1163" s="629"/>
    </row>
    <row r="1164" spans="1:17" ht="15.75" hidden="1" thickBot="1">
      <c r="A1164" s="390" t="str">
        <f t="shared" ref="A1164:B1164" si="3071">A1159</f>
        <v>PU</v>
      </c>
      <c r="B1164" s="391" t="str">
        <f t="shared" si="3071"/>
        <v>fiber</v>
      </c>
      <c r="C1164" s="391">
        <f t="shared" si="3062"/>
        <v>4</v>
      </c>
      <c r="D1164" s="391" t="str">
        <f t="shared" ref="D1164:E1164" si="3072">D1159</f>
        <v>0,01-0,1</v>
      </c>
      <c r="E1164" s="391">
        <f t="shared" si="3072"/>
        <v>0.1</v>
      </c>
      <c r="F1164" s="391" t="str">
        <f t="shared" ref="F1164:G1164" si="3073">F1163</f>
        <v>air</v>
      </c>
      <c r="G1164" s="401" t="str">
        <f t="shared" si="3073"/>
        <v>DE: PU fiber 0,01-0,1 mm (emission to air)</v>
      </c>
      <c r="H1164" s="471">
        <v>0</v>
      </c>
      <c r="I1164" s="422" t="s">
        <v>1034</v>
      </c>
      <c r="J1164" s="636"/>
      <c r="K1164" s="451" t="s">
        <v>596</v>
      </c>
      <c r="L1164" s="542"/>
      <c r="M1164" s="509">
        <f t="shared" si="3052"/>
        <v>0</v>
      </c>
      <c r="N1164" s="647"/>
      <c r="O1164" s="627"/>
      <c r="P1164" s="629"/>
      <c r="Q1164" s="629"/>
    </row>
    <row r="1165" spans="1:17" ht="15.75" hidden="1" thickBot="1">
      <c r="A1165" s="405" t="s">
        <v>187</v>
      </c>
      <c r="B1165" s="406" t="s">
        <v>1151</v>
      </c>
      <c r="C1165" s="407">
        <v>4</v>
      </c>
      <c r="D1165" s="423" t="s">
        <v>1028</v>
      </c>
      <c r="E1165" s="408">
        <v>1</v>
      </c>
      <c r="F1165" s="424" t="s">
        <v>1019</v>
      </c>
      <c r="G1165" s="425" t="str">
        <f>CONCATENATE("DE: ",A1165," ",B1165," ",D1165," mm (emission to ",F1165,")")</f>
        <v>DE: PU fiber 0,1-1 mm (emission to soil)</v>
      </c>
      <c r="H1165" s="474">
        <v>0.97</v>
      </c>
      <c r="I1165" s="427" t="s">
        <v>1153</v>
      </c>
      <c r="J1165" s="632">
        <v>0.22800000000000001</v>
      </c>
      <c r="K1165" s="428">
        <v>193.00000000000006</v>
      </c>
      <c r="L1165" s="539"/>
      <c r="M1165" s="509">
        <f t="shared" si="3052"/>
        <v>1.2953367875647666</v>
      </c>
      <c r="N1165" s="645">
        <f t="shared" ref="N1165" si="3074">IFERROR(H1165*M1165+H1166*M1166+H1167*M1167+H1168*M1168+H1169*M1169,"N.A.")</f>
        <v>1.2953367875647666</v>
      </c>
      <c r="O1165" s="625"/>
      <c r="P1165" s="628">
        <f t="shared" si="2892"/>
        <v>1.2953367875647666</v>
      </c>
      <c r="Q1165" s="628">
        <f t="shared" si="3010"/>
        <v>1.2953367875647666</v>
      </c>
    </row>
    <row r="1166" spans="1:17" ht="15.75" hidden="1" thickBot="1">
      <c r="A1166" s="390" t="str">
        <f>A1165</f>
        <v>PU</v>
      </c>
      <c r="B1166" s="391" t="str">
        <f>B1165</f>
        <v>fiber</v>
      </c>
      <c r="C1166" s="391">
        <f t="shared" ref="C1166:G1166" si="3075">C1165</f>
        <v>4</v>
      </c>
      <c r="D1166" s="391" t="str">
        <f t="shared" si="3075"/>
        <v>0,1-1</v>
      </c>
      <c r="E1166" s="391">
        <f t="shared" si="3075"/>
        <v>1</v>
      </c>
      <c r="F1166" s="391" t="str">
        <f t="shared" si="3075"/>
        <v>soil</v>
      </c>
      <c r="G1166" s="392" t="str">
        <f t="shared" si="3075"/>
        <v>DE: PU fiber 0,1-1 mm (emission to soil)</v>
      </c>
      <c r="H1166" s="465">
        <v>0</v>
      </c>
      <c r="I1166" s="394" t="s">
        <v>1097</v>
      </c>
      <c r="J1166" s="632"/>
      <c r="K1166" s="395">
        <v>193.00000000000006</v>
      </c>
      <c r="L1166" s="537"/>
      <c r="M1166" s="509">
        <f t="shared" si="3052"/>
        <v>1.2953367875647666</v>
      </c>
      <c r="N1166" s="646"/>
      <c r="O1166" s="626"/>
      <c r="P1166" s="629"/>
      <c r="Q1166" s="629"/>
    </row>
    <row r="1167" spans="1:17" ht="15.75" hidden="1" thickBot="1">
      <c r="A1167" s="390" t="str">
        <f t="shared" ref="A1167:G1167" si="3076">A1166</f>
        <v>PU</v>
      </c>
      <c r="B1167" s="391" t="str">
        <f t="shared" si="3076"/>
        <v>fiber</v>
      </c>
      <c r="C1167" s="391">
        <f t="shared" si="3076"/>
        <v>4</v>
      </c>
      <c r="D1167" s="391" t="str">
        <f t="shared" si="3076"/>
        <v>0,1-1</v>
      </c>
      <c r="E1167" s="391">
        <f t="shared" si="3076"/>
        <v>1</v>
      </c>
      <c r="F1167" s="391" t="str">
        <f t="shared" si="3076"/>
        <v>soil</v>
      </c>
      <c r="G1167" s="392" t="str">
        <f t="shared" si="3076"/>
        <v>DE: PU fiber 0,1-1 mm (emission to soil)</v>
      </c>
      <c r="H1167" s="465">
        <v>2.7E-2</v>
      </c>
      <c r="I1167" s="394" t="s">
        <v>1162</v>
      </c>
      <c r="J1167" s="632"/>
      <c r="K1167" s="395">
        <v>193.00000000000006</v>
      </c>
      <c r="L1167" s="537"/>
      <c r="M1167" s="509">
        <f t="shared" si="3052"/>
        <v>1.2953367875647666</v>
      </c>
      <c r="N1167" s="646"/>
      <c r="O1167" s="626"/>
      <c r="P1167" s="629"/>
      <c r="Q1167" s="629"/>
    </row>
    <row r="1168" spans="1:17" ht="15.75" hidden="1" thickBot="1">
      <c r="A1168" s="390" t="str">
        <f t="shared" ref="A1168:G1168" si="3077">A1167</f>
        <v>PU</v>
      </c>
      <c r="B1168" s="391" t="str">
        <f t="shared" si="3077"/>
        <v>fiber</v>
      </c>
      <c r="C1168" s="391">
        <f t="shared" si="3077"/>
        <v>4</v>
      </c>
      <c r="D1168" s="391" t="str">
        <f t="shared" si="3077"/>
        <v>0,1-1</v>
      </c>
      <c r="E1168" s="391">
        <f t="shared" si="3077"/>
        <v>1</v>
      </c>
      <c r="F1168" s="391" t="str">
        <f t="shared" si="3077"/>
        <v>soil</v>
      </c>
      <c r="G1168" s="392" t="str">
        <f t="shared" si="3077"/>
        <v>DE: PU fiber 0,1-1 mm (emission to soil)</v>
      </c>
      <c r="H1168" s="465">
        <v>3.0000000000000001E-3</v>
      </c>
      <c r="I1168" s="394" t="s">
        <v>1163</v>
      </c>
      <c r="J1168" s="632"/>
      <c r="K1168" s="395">
        <v>193.00000000000006</v>
      </c>
      <c r="L1168" s="537"/>
      <c r="M1168" s="509">
        <f t="shared" si="3052"/>
        <v>1.2953367875647666</v>
      </c>
      <c r="N1168" s="646"/>
      <c r="O1168" s="626"/>
      <c r="P1168" s="629"/>
      <c r="Q1168" s="629"/>
    </row>
    <row r="1169" spans="1:17" ht="15.75" hidden="1" thickBot="1">
      <c r="A1169" s="390" t="str">
        <f>A1166</f>
        <v>PU</v>
      </c>
      <c r="B1169" s="391" t="str">
        <f>B1166</f>
        <v>fiber</v>
      </c>
      <c r="C1169" s="391">
        <f t="shared" ref="C1169" si="3078">C1168</f>
        <v>4</v>
      </c>
      <c r="D1169" s="391" t="str">
        <f>D1166</f>
        <v>0,1-1</v>
      </c>
      <c r="E1169" s="391">
        <f>E1166</f>
        <v>1</v>
      </c>
      <c r="F1169" s="391" t="str">
        <f>F1166</f>
        <v>soil</v>
      </c>
      <c r="G1169" s="396" t="str">
        <f t="shared" ref="G1169" si="3079">G1168</f>
        <v>DE: PU fiber 0,1-1 mm (emission to soil)</v>
      </c>
      <c r="H1169" s="465">
        <v>0</v>
      </c>
      <c r="I1169" s="397" t="s">
        <v>1034</v>
      </c>
      <c r="J1169" s="633"/>
      <c r="K1169" s="398" t="s">
        <v>596</v>
      </c>
      <c r="L1169" s="538"/>
      <c r="M1169" s="509">
        <f t="shared" si="3052"/>
        <v>0</v>
      </c>
      <c r="N1169" s="647"/>
      <c r="O1169" s="627"/>
      <c r="P1169" s="629"/>
      <c r="Q1169" s="629"/>
    </row>
    <row r="1170" spans="1:17" ht="15.75" hidden="1" thickBot="1">
      <c r="A1170" s="390" t="str">
        <f t="shared" ref="A1170:B1170" si="3080">A1167</f>
        <v>PU</v>
      </c>
      <c r="B1170" s="391" t="str">
        <f t="shared" si="3080"/>
        <v>fiber</v>
      </c>
      <c r="C1170" s="391">
        <f t="shared" ref="C1170" si="3081">C1169</f>
        <v>4</v>
      </c>
      <c r="D1170" s="399" t="str">
        <f t="shared" ref="D1170:E1170" si="3082">D1167</f>
        <v>0,1-1</v>
      </c>
      <c r="E1170" s="391">
        <f t="shared" si="3082"/>
        <v>1</v>
      </c>
      <c r="F1170" s="400" t="s">
        <v>1147</v>
      </c>
      <c r="G1170" s="386" t="str">
        <f>CONCATENATE("DE: ",A1170," ",B1170," ",D1170," mm (emission to ",F1170,")")</f>
        <v>DE: PU fiber 0,1-1 mm (emission to fresh water)</v>
      </c>
      <c r="H1170" s="466">
        <v>0</v>
      </c>
      <c r="I1170" s="388" t="s">
        <v>1153</v>
      </c>
      <c r="J1170" s="634">
        <v>0.22800000000000001</v>
      </c>
      <c r="K1170" s="395">
        <v>193.00000000000006</v>
      </c>
      <c r="L1170" s="536"/>
      <c r="M1170" s="509">
        <f t="shared" si="3052"/>
        <v>1.2953367875647666</v>
      </c>
      <c r="N1170" s="645">
        <f t="shared" ref="N1170" si="3083">IFERROR(H1170*M1170+H1171*M1171+H1172*M1172+H1173*M1173+H1174*M1174,"N.A.")</f>
        <v>1.2953367875647666</v>
      </c>
      <c r="O1170" s="625"/>
      <c r="P1170" s="628">
        <f t="shared" si="2892"/>
        <v>1.2953367875647666</v>
      </c>
      <c r="Q1170" s="628">
        <f t="shared" si="3010"/>
        <v>1.2953367875647666</v>
      </c>
    </row>
    <row r="1171" spans="1:17" ht="15.75" hidden="1" thickBot="1">
      <c r="A1171" s="390" t="str">
        <f t="shared" ref="A1171:B1171" si="3084">A1168</f>
        <v>PU</v>
      </c>
      <c r="B1171" s="391" t="str">
        <f t="shared" si="3084"/>
        <v>fiber</v>
      </c>
      <c r="C1171" s="391">
        <f t="shared" ref="C1171" si="3085">C1170</f>
        <v>4</v>
      </c>
      <c r="D1171" s="391" t="str">
        <f t="shared" ref="D1171:E1171" si="3086">D1168</f>
        <v>0,1-1</v>
      </c>
      <c r="E1171" s="391">
        <f t="shared" si="3086"/>
        <v>1</v>
      </c>
      <c r="F1171" s="391" t="str">
        <f t="shared" ref="F1171:G1171" si="3087">F1170</f>
        <v>fresh water</v>
      </c>
      <c r="G1171" s="401" t="str">
        <f t="shared" si="3087"/>
        <v>DE: PU fiber 0,1-1 mm (emission to fresh water)</v>
      </c>
      <c r="H1171" s="465">
        <v>0</v>
      </c>
      <c r="I1171" s="394" t="s">
        <v>1097</v>
      </c>
      <c r="J1171" s="635"/>
      <c r="K1171" s="395">
        <v>193.00000000000006</v>
      </c>
      <c r="L1171" s="536"/>
      <c r="M1171" s="509">
        <f t="shared" si="3052"/>
        <v>1.2953367875647666</v>
      </c>
      <c r="N1171" s="646"/>
      <c r="O1171" s="626"/>
      <c r="P1171" s="629"/>
      <c r="Q1171" s="629"/>
    </row>
    <row r="1172" spans="1:17" ht="15.75" hidden="1" thickBot="1">
      <c r="A1172" s="390" t="str">
        <f t="shared" ref="A1172:B1172" si="3088">A1169</f>
        <v>PU</v>
      </c>
      <c r="B1172" s="391" t="str">
        <f t="shared" si="3088"/>
        <v>fiber</v>
      </c>
      <c r="C1172" s="391">
        <f t="shared" ref="C1172" si="3089">C1171</f>
        <v>4</v>
      </c>
      <c r="D1172" s="391" t="str">
        <f t="shared" ref="D1172:E1172" si="3090">D1169</f>
        <v>0,1-1</v>
      </c>
      <c r="E1172" s="391">
        <f t="shared" si="3090"/>
        <v>1</v>
      </c>
      <c r="F1172" s="391" t="str">
        <f t="shared" ref="F1172:G1172" si="3091">F1171</f>
        <v>fresh water</v>
      </c>
      <c r="G1172" s="401" t="str">
        <f t="shared" si="3091"/>
        <v>DE: PU fiber 0,1-1 mm (emission to fresh water)</v>
      </c>
      <c r="H1172" s="465">
        <v>0.89</v>
      </c>
      <c r="I1172" s="394" t="s">
        <v>1162</v>
      </c>
      <c r="J1172" s="635"/>
      <c r="K1172" s="395">
        <v>193.00000000000006</v>
      </c>
      <c r="L1172" s="536"/>
      <c r="M1172" s="509">
        <f t="shared" si="3052"/>
        <v>1.2953367875647666</v>
      </c>
      <c r="N1172" s="646"/>
      <c r="O1172" s="626"/>
      <c r="P1172" s="629"/>
      <c r="Q1172" s="629"/>
    </row>
    <row r="1173" spans="1:17" ht="15.75" hidden="1" thickBot="1">
      <c r="A1173" s="390" t="str">
        <f t="shared" ref="A1173:B1173" si="3092">A1170</f>
        <v>PU</v>
      </c>
      <c r="B1173" s="391" t="str">
        <f t="shared" si="3092"/>
        <v>fiber</v>
      </c>
      <c r="C1173" s="391">
        <f t="shared" ref="C1173" si="3093">C1172</f>
        <v>4</v>
      </c>
      <c r="D1173" s="391" t="str">
        <f t="shared" ref="D1173:E1173" si="3094">D1170</f>
        <v>0,1-1</v>
      </c>
      <c r="E1173" s="391">
        <f t="shared" si="3094"/>
        <v>1</v>
      </c>
      <c r="F1173" s="391" t="str">
        <f t="shared" ref="F1173:G1173" si="3095">F1172</f>
        <v>fresh water</v>
      </c>
      <c r="G1173" s="401" t="str">
        <f t="shared" si="3095"/>
        <v>DE: PU fiber 0,1-1 mm (emission to fresh water)</v>
      </c>
      <c r="H1173" s="465">
        <v>0.11</v>
      </c>
      <c r="I1173" s="394" t="s">
        <v>1163</v>
      </c>
      <c r="J1173" s="635"/>
      <c r="K1173" s="395">
        <v>193.00000000000006</v>
      </c>
      <c r="L1173" s="536"/>
      <c r="M1173" s="509">
        <f t="shared" si="3052"/>
        <v>1.2953367875647666</v>
      </c>
      <c r="N1173" s="646"/>
      <c r="O1173" s="626"/>
      <c r="P1173" s="629"/>
      <c r="Q1173" s="629"/>
    </row>
    <row r="1174" spans="1:17" ht="15.75" hidden="1" thickBot="1">
      <c r="A1174" s="390" t="str">
        <f t="shared" ref="A1174:B1174" si="3096">A1171</f>
        <v>PU</v>
      </c>
      <c r="B1174" s="391" t="str">
        <f t="shared" si="3096"/>
        <v>fiber</v>
      </c>
      <c r="C1174" s="391">
        <f t="shared" ref="C1174" si="3097">C1173</f>
        <v>4</v>
      </c>
      <c r="D1174" s="391" t="str">
        <f t="shared" ref="D1174:E1174" si="3098">D1171</f>
        <v>0,1-1</v>
      </c>
      <c r="E1174" s="391">
        <f t="shared" si="3098"/>
        <v>1</v>
      </c>
      <c r="F1174" s="402" t="str">
        <f>F1171</f>
        <v>fresh water</v>
      </c>
      <c r="G1174" s="401" t="str">
        <f t="shared" ref="G1174" si="3099">G1173</f>
        <v>DE: PU fiber 0,1-1 mm (emission to fresh water)</v>
      </c>
      <c r="H1174" s="465">
        <v>0</v>
      </c>
      <c r="I1174" s="397" t="s">
        <v>1034</v>
      </c>
      <c r="J1174" s="654"/>
      <c r="K1174" s="398" t="s">
        <v>596</v>
      </c>
      <c r="L1174" s="538"/>
      <c r="M1174" s="509">
        <f t="shared" si="3052"/>
        <v>0</v>
      </c>
      <c r="N1174" s="647"/>
      <c r="O1174" s="627"/>
      <c r="P1174" s="629"/>
      <c r="Q1174" s="629"/>
    </row>
    <row r="1175" spans="1:17" ht="15.75" hidden="1" thickBot="1">
      <c r="A1175" s="390" t="str">
        <f t="shared" ref="A1175:B1175" si="3100">A1172</f>
        <v>PU</v>
      </c>
      <c r="B1175" s="391" t="str">
        <f t="shared" si="3100"/>
        <v>fiber</v>
      </c>
      <c r="C1175" s="391">
        <f t="shared" ref="C1175" si="3101">C1174</f>
        <v>4</v>
      </c>
      <c r="D1175" s="391" t="str">
        <f t="shared" ref="D1175:E1175" si="3102">D1172</f>
        <v>0,1-1</v>
      </c>
      <c r="E1175" s="391">
        <f t="shared" si="3102"/>
        <v>1</v>
      </c>
      <c r="F1175" s="385" t="s">
        <v>1097</v>
      </c>
      <c r="G1175" s="422" t="str">
        <f>CONCATENATE("DE: ",A1175," ",B1175," ",D1175," mm (emission to ",F1175,")")</f>
        <v>DE: PU fiber 0,1-1 mm (emission to marine water)</v>
      </c>
      <c r="H1175" s="467">
        <v>0</v>
      </c>
      <c r="I1175" s="388" t="s">
        <v>1153</v>
      </c>
      <c r="J1175" s="634">
        <v>0.22800000000000001</v>
      </c>
      <c r="K1175" s="395">
        <v>193.00000000000006</v>
      </c>
      <c r="L1175" s="536"/>
      <c r="M1175" s="509">
        <f t="shared" si="3052"/>
        <v>1.2953367875647666</v>
      </c>
      <c r="N1175" s="645">
        <f t="shared" ref="N1175" si="3103">IFERROR(H1175*M1175+H1176*M1176+H1177*M1177+H1178*M1178+H1179*M1179,"N.A.")</f>
        <v>1.2953367875647666</v>
      </c>
      <c r="O1175" s="625"/>
      <c r="P1175" s="628">
        <f t="shared" ref="P1175:P1235" si="3104">IFERROR(IF(H1175*M1175+H1176*M1176+H1177*M1177+H1178*M1178+H1179*M1179&gt;100,100,H1175*M1175+H1176*M1176+H1177*M1177+H1178*M1178+H1179*M1179),"N.A.")</f>
        <v>1.2953367875647666</v>
      </c>
      <c r="Q1175" s="628">
        <f t="shared" si="3010"/>
        <v>1.2953367875647666</v>
      </c>
    </row>
    <row r="1176" spans="1:17" ht="15.75" hidden="1" thickBot="1">
      <c r="A1176" s="390" t="str">
        <f t="shared" ref="A1176:B1176" si="3105">A1173</f>
        <v>PU</v>
      </c>
      <c r="B1176" s="391" t="str">
        <f t="shared" si="3105"/>
        <v>fiber</v>
      </c>
      <c r="C1176" s="391">
        <f t="shared" ref="C1176" si="3106">C1175</f>
        <v>4</v>
      </c>
      <c r="D1176" s="391" t="str">
        <f t="shared" ref="D1176:E1176" si="3107">D1173</f>
        <v>0,1-1</v>
      </c>
      <c r="E1176" s="391">
        <f t="shared" si="3107"/>
        <v>1</v>
      </c>
      <c r="F1176" s="391" t="str">
        <f t="shared" ref="F1176:G1176" si="3108">F1175</f>
        <v>marine water</v>
      </c>
      <c r="G1176" s="401" t="str">
        <f t="shared" si="3108"/>
        <v>DE: PU fiber 0,1-1 mm (emission to marine water)</v>
      </c>
      <c r="H1176" s="465">
        <v>0</v>
      </c>
      <c r="I1176" s="394" t="s">
        <v>1097</v>
      </c>
      <c r="J1176" s="635"/>
      <c r="K1176" s="395">
        <v>193.00000000000006</v>
      </c>
      <c r="L1176" s="536"/>
      <c r="M1176" s="509">
        <f t="shared" si="3052"/>
        <v>1.2953367875647666</v>
      </c>
      <c r="N1176" s="646"/>
      <c r="O1176" s="626"/>
      <c r="P1176" s="629"/>
      <c r="Q1176" s="629"/>
    </row>
    <row r="1177" spans="1:17" ht="15.75" hidden="1" thickBot="1">
      <c r="A1177" s="390" t="str">
        <f t="shared" ref="A1177:B1177" si="3109">A1174</f>
        <v>PU</v>
      </c>
      <c r="B1177" s="391" t="str">
        <f t="shared" si="3109"/>
        <v>fiber</v>
      </c>
      <c r="C1177" s="391">
        <f t="shared" ref="C1177" si="3110">C1176</f>
        <v>4</v>
      </c>
      <c r="D1177" s="391" t="str">
        <f t="shared" ref="D1177:E1177" si="3111">D1174</f>
        <v>0,1-1</v>
      </c>
      <c r="E1177" s="391">
        <f t="shared" si="3111"/>
        <v>1</v>
      </c>
      <c r="F1177" s="391" t="str">
        <f t="shared" ref="F1177:G1177" si="3112">F1176</f>
        <v>marine water</v>
      </c>
      <c r="G1177" s="401" t="str">
        <f t="shared" si="3112"/>
        <v>DE: PU fiber 0,1-1 mm (emission to marine water)</v>
      </c>
      <c r="H1177" s="465">
        <v>0</v>
      </c>
      <c r="I1177" s="394" t="s">
        <v>1162</v>
      </c>
      <c r="J1177" s="635"/>
      <c r="K1177" s="395">
        <v>193.00000000000006</v>
      </c>
      <c r="L1177" s="536"/>
      <c r="M1177" s="509">
        <f t="shared" si="3052"/>
        <v>1.2953367875647666</v>
      </c>
      <c r="N1177" s="646"/>
      <c r="O1177" s="626"/>
      <c r="P1177" s="629"/>
      <c r="Q1177" s="629"/>
    </row>
    <row r="1178" spans="1:17" ht="15.75" hidden="1" thickBot="1">
      <c r="A1178" s="390" t="str">
        <f t="shared" ref="A1178:B1178" si="3113">A1175</f>
        <v>PU</v>
      </c>
      <c r="B1178" s="391" t="str">
        <f t="shared" si="3113"/>
        <v>fiber</v>
      </c>
      <c r="C1178" s="391">
        <f t="shared" ref="C1178" si="3114">C1177</f>
        <v>4</v>
      </c>
      <c r="D1178" s="391" t="str">
        <f t="shared" ref="D1178:E1178" si="3115">D1175</f>
        <v>0,1-1</v>
      </c>
      <c r="E1178" s="391">
        <f t="shared" si="3115"/>
        <v>1</v>
      </c>
      <c r="F1178" s="391" t="str">
        <f t="shared" ref="F1178:G1178" si="3116">F1177</f>
        <v>marine water</v>
      </c>
      <c r="G1178" s="401" t="str">
        <f t="shared" si="3116"/>
        <v>DE: PU fiber 0,1-1 mm (emission to marine water)</v>
      </c>
      <c r="H1178" s="465">
        <v>1</v>
      </c>
      <c r="I1178" s="394" t="s">
        <v>1163</v>
      </c>
      <c r="J1178" s="635"/>
      <c r="K1178" s="395">
        <v>193.00000000000006</v>
      </c>
      <c r="L1178" s="536"/>
      <c r="M1178" s="509">
        <f t="shared" si="3052"/>
        <v>1.2953367875647666</v>
      </c>
      <c r="N1178" s="646"/>
      <c r="O1178" s="626"/>
      <c r="P1178" s="629"/>
      <c r="Q1178" s="629"/>
    </row>
    <row r="1179" spans="1:17" ht="15.75" hidden="1" thickBot="1">
      <c r="A1179" s="390" t="str">
        <f t="shared" ref="A1179:B1179" si="3117">A1176</f>
        <v>PU</v>
      </c>
      <c r="B1179" s="391" t="str">
        <f t="shared" si="3117"/>
        <v>fiber</v>
      </c>
      <c r="C1179" s="391">
        <f t="shared" ref="C1179" si="3118">C1178</f>
        <v>4</v>
      </c>
      <c r="D1179" s="391" t="str">
        <f t="shared" ref="D1179:E1179" si="3119">D1176</f>
        <v>0,1-1</v>
      </c>
      <c r="E1179" s="391">
        <f t="shared" si="3119"/>
        <v>1</v>
      </c>
      <c r="F1179" s="391" t="str">
        <f t="shared" ref="F1179:G1179" si="3120">F1178</f>
        <v>marine water</v>
      </c>
      <c r="G1179" s="401" t="str">
        <f t="shared" si="3120"/>
        <v>DE: PU fiber 0,1-1 mm (emission to marine water)</v>
      </c>
      <c r="H1179" s="465">
        <v>0</v>
      </c>
      <c r="I1179" s="397" t="s">
        <v>1034</v>
      </c>
      <c r="J1179" s="654"/>
      <c r="K1179" s="398" t="s">
        <v>596</v>
      </c>
      <c r="L1179" s="538"/>
      <c r="M1179" s="509">
        <f t="shared" si="3052"/>
        <v>0</v>
      </c>
      <c r="N1179" s="647"/>
      <c r="O1179" s="627"/>
      <c r="P1179" s="629"/>
      <c r="Q1179" s="629"/>
    </row>
    <row r="1180" spans="1:17" ht="15.75" hidden="1" thickBot="1">
      <c r="A1180" s="390" t="str">
        <f t="shared" ref="A1180:B1180" si="3121">A1177</f>
        <v>PU</v>
      </c>
      <c r="B1180" s="391" t="str">
        <f t="shared" si="3121"/>
        <v>fiber</v>
      </c>
      <c r="C1180" s="391">
        <f t="shared" ref="C1180" si="3122">C1179</f>
        <v>4</v>
      </c>
      <c r="D1180" s="391" t="str">
        <f t="shared" ref="D1180:E1180" si="3123">D1177</f>
        <v>0,1-1</v>
      </c>
      <c r="E1180" s="391">
        <f t="shared" si="3123"/>
        <v>1</v>
      </c>
      <c r="F1180" s="400" t="s">
        <v>1057</v>
      </c>
      <c r="G1180" s="422" t="str">
        <f>CONCATENATE("DE: ",A1180," ",B1180," ",D1180," mm (emission to ",F1180,")")</f>
        <v>DE: PU fiber 0,1-1 mm (emission to air)</v>
      </c>
      <c r="H1180" s="467">
        <v>0.94799999999999995</v>
      </c>
      <c r="I1180" s="388" t="s">
        <v>1153</v>
      </c>
      <c r="J1180" s="634">
        <v>0.22800000000000001</v>
      </c>
      <c r="K1180" s="395">
        <v>193.00000000000006</v>
      </c>
      <c r="L1180" s="536"/>
      <c r="M1180" s="509">
        <f t="shared" si="3052"/>
        <v>1.2953367875647666</v>
      </c>
      <c r="N1180" s="645">
        <f t="shared" ref="N1180" si="3124">IFERROR(H1180*M1180+H1181*M1181+H1182*M1182+H1183*M1183+H1184*M1184,"N.A.")</f>
        <v>1.2953367875647666</v>
      </c>
      <c r="O1180" s="625"/>
      <c r="P1180" s="628">
        <f t="shared" si="3104"/>
        <v>1.2953367875647666</v>
      </c>
      <c r="Q1180" s="628">
        <f t="shared" si="3010"/>
        <v>1.2953367875647666</v>
      </c>
    </row>
    <row r="1181" spans="1:17" ht="15.75" hidden="1" thickBot="1">
      <c r="A1181" s="390" t="str">
        <f t="shared" ref="A1181:B1181" si="3125">A1178</f>
        <v>PU</v>
      </c>
      <c r="B1181" s="391" t="str">
        <f t="shared" si="3125"/>
        <v>fiber</v>
      </c>
      <c r="C1181" s="391">
        <f t="shared" ref="C1181:C1184" si="3126">C1180</f>
        <v>4</v>
      </c>
      <c r="D1181" s="391" t="str">
        <f t="shared" ref="D1181:E1181" si="3127">D1178</f>
        <v>0,1-1</v>
      </c>
      <c r="E1181" s="391">
        <f t="shared" si="3127"/>
        <v>1</v>
      </c>
      <c r="F1181" s="391" t="str">
        <f t="shared" ref="F1181:G1181" si="3128">F1180</f>
        <v>air</v>
      </c>
      <c r="G1181" s="401" t="str">
        <f t="shared" si="3128"/>
        <v>DE: PU fiber 0,1-1 mm (emission to air)</v>
      </c>
      <c r="H1181" s="465">
        <v>0</v>
      </c>
      <c r="I1181" s="394" t="s">
        <v>1097</v>
      </c>
      <c r="J1181" s="635"/>
      <c r="K1181" s="395">
        <v>193.00000000000006</v>
      </c>
      <c r="L1181" s="536"/>
      <c r="M1181" s="509">
        <f t="shared" si="3052"/>
        <v>1.2953367875647666</v>
      </c>
      <c r="N1181" s="646"/>
      <c r="O1181" s="626"/>
      <c r="P1181" s="629"/>
      <c r="Q1181" s="629"/>
    </row>
    <row r="1182" spans="1:17" ht="15.75" hidden="1" thickBot="1">
      <c r="A1182" s="390" t="str">
        <f t="shared" ref="A1182:B1182" si="3129">A1179</f>
        <v>PU</v>
      </c>
      <c r="B1182" s="391" t="str">
        <f t="shared" si="3129"/>
        <v>fiber</v>
      </c>
      <c r="C1182" s="391">
        <f t="shared" si="3126"/>
        <v>4</v>
      </c>
      <c r="D1182" s="391" t="str">
        <f t="shared" ref="D1182:E1182" si="3130">D1179</f>
        <v>0,1-1</v>
      </c>
      <c r="E1182" s="391">
        <f t="shared" si="3130"/>
        <v>1</v>
      </c>
      <c r="F1182" s="391" t="str">
        <f t="shared" ref="F1182:G1182" si="3131">F1181</f>
        <v>air</v>
      </c>
      <c r="G1182" s="401" t="str">
        <f t="shared" si="3131"/>
        <v>DE: PU fiber 0,1-1 mm (emission to air)</v>
      </c>
      <c r="H1182" s="465">
        <v>4.7E-2</v>
      </c>
      <c r="I1182" s="394" t="s">
        <v>1162</v>
      </c>
      <c r="J1182" s="635"/>
      <c r="K1182" s="395">
        <v>193.00000000000006</v>
      </c>
      <c r="L1182" s="536"/>
      <c r="M1182" s="509">
        <f t="shared" si="3052"/>
        <v>1.2953367875647666</v>
      </c>
      <c r="N1182" s="646"/>
      <c r="O1182" s="626"/>
      <c r="P1182" s="629"/>
      <c r="Q1182" s="629"/>
    </row>
    <row r="1183" spans="1:17" ht="15.75" hidden="1" thickBot="1">
      <c r="A1183" s="390" t="str">
        <f t="shared" ref="A1183:B1183" si="3132">A1180</f>
        <v>PU</v>
      </c>
      <c r="B1183" s="391" t="str">
        <f t="shared" si="3132"/>
        <v>fiber</v>
      </c>
      <c r="C1183" s="391">
        <f t="shared" si="3126"/>
        <v>4</v>
      </c>
      <c r="D1183" s="391" t="str">
        <f t="shared" ref="D1183:E1183" si="3133">D1180</f>
        <v>0,1-1</v>
      </c>
      <c r="E1183" s="391">
        <f t="shared" si="3133"/>
        <v>1</v>
      </c>
      <c r="F1183" s="391" t="str">
        <f t="shared" ref="F1183:G1183" si="3134">F1182</f>
        <v>air</v>
      </c>
      <c r="G1183" s="401" t="str">
        <f t="shared" si="3134"/>
        <v>DE: PU fiber 0,1-1 mm (emission to air)</v>
      </c>
      <c r="H1183" s="465">
        <v>5.0000000000000001E-3</v>
      </c>
      <c r="I1183" s="394" t="s">
        <v>1163</v>
      </c>
      <c r="J1183" s="635"/>
      <c r="K1183" s="395">
        <v>193.00000000000006</v>
      </c>
      <c r="L1183" s="536"/>
      <c r="M1183" s="509">
        <f t="shared" si="3052"/>
        <v>1.2953367875647666</v>
      </c>
      <c r="N1183" s="646"/>
      <c r="O1183" s="626"/>
      <c r="P1183" s="629"/>
      <c r="Q1183" s="629"/>
    </row>
    <row r="1184" spans="1:17" ht="15.75" hidden="1" thickBot="1">
      <c r="A1184" s="452" t="str">
        <f t="shared" ref="A1184:B1184" si="3135">A1179</f>
        <v>PU</v>
      </c>
      <c r="B1184" s="453" t="str">
        <f t="shared" si="3135"/>
        <v>fiber</v>
      </c>
      <c r="C1184" s="453">
        <f t="shared" si="3126"/>
        <v>4</v>
      </c>
      <c r="D1184" s="453" t="str">
        <f t="shared" ref="D1184:E1184" si="3136">D1179</f>
        <v>0,1-1</v>
      </c>
      <c r="E1184" s="453">
        <f t="shared" si="3136"/>
        <v>1</v>
      </c>
      <c r="F1184" s="453" t="str">
        <f t="shared" ref="F1184:G1184" si="3137">F1183</f>
        <v>air</v>
      </c>
      <c r="G1184" s="454" t="str">
        <f t="shared" si="3137"/>
        <v>DE: PU fiber 0,1-1 mm (emission to air)</v>
      </c>
      <c r="H1184" s="473">
        <v>0</v>
      </c>
      <c r="I1184" s="456" t="s">
        <v>1034</v>
      </c>
      <c r="J1184" s="636"/>
      <c r="K1184" s="457" t="s">
        <v>596</v>
      </c>
      <c r="L1184" s="543"/>
      <c r="M1184" s="509">
        <f t="shared" si="3052"/>
        <v>0</v>
      </c>
      <c r="N1184" s="647"/>
      <c r="O1184" s="627"/>
      <c r="P1184" s="629"/>
      <c r="Q1184" s="629"/>
    </row>
    <row r="1185" spans="1:17" ht="15.75" hidden="1" thickBot="1">
      <c r="A1185" s="381" t="s">
        <v>187</v>
      </c>
      <c r="B1185" s="382" t="s">
        <v>1151</v>
      </c>
      <c r="C1185" s="383">
        <v>4</v>
      </c>
      <c r="D1185" s="475" t="s">
        <v>1026</v>
      </c>
      <c r="E1185" s="384">
        <v>10</v>
      </c>
      <c r="F1185" s="385" t="s">
        <v>1019</v>
      </c>
      <c r="G1185" s="386" t="str">
        <f>CONCATENATE("DE: ",A1185," ",B1185," ",D1185," mm (emission to ",F1185,")")</f>
        <v>DE: PU fiber 1-10 mm (emission to soil)</v>
      </c>
      <c r="H1185" s="466">
        <v>0.97</v>
      </c>
      <c r="I1185" s="388" t="s">
        <v>1153</v>
      </c>
      <c r="J1185" s="632">
        <v>0.22800000000000001</v>
      </c>
      <c r="K1185" s="389">
        <v>193.00000000000006</v>
      </c>
      <c r="L1185" s="536"/>
      <c r="M1185" s="509">
        <f t="shared" si="3052"/>
        <v>12.953367875647665</v>
      </c>
      <c r="N1185" s="645">
        <f t="shared" ref="N1185" si="3138">IFERROR(H1185*M1185+H1186*M1186+H1187*M1187+H1188*M1188+H1189*M1189,"N.A.")</f>
        <v>12.953367875647665</v>
      </c>
      <c r="O1185" s="625"/>
      <c r="P1185" s="628">
        <f t="shared" si="3104"/>
        <v>12.953367875647665</v>
      </c>
      <c r="Q1185" s="628">
        <f t="shared" si="3010"/>
        <v>12.953367875647665</v>
      </c>
    </row>
    <row r="1186" spans="1:17" ht="15.75" hidden="1" thickBot="1">
      <c r="A1186" s="390" t="str">
        <f>A1185</f>
        <v>PU</v>
      </c>
      <c r="B1186" s="391" t="str">
        <f>B1185</f>
        <v>fiber</v>
      </c>
      <c r="C1186" s="391">
        <f t="shared" ref="C1186:G1186" si="3139">C1185</f>
        <v>4</v>
      </c>
      <c r="D1186" s="391" t="str">
        <f t="shared" si="3139"/>
        <v>1-10</v>
      </c>
      <c r="E1186" s="391">
        <f t="shared" si="3139"/>
        <v>10</v>
      </c>
      <c r="F1186" s="391" t="str">
        <f t="shared" si="3139"/>
        <v>soil</v>
      </c>
      <c r="G1186" s="392" t="str">
        <f t="shared" si="3139"/>
        <v>DE: PU fiber 1-10 mm (emission to soil)</v>
      </c>
      <c r="H1186" s="465">
        <v>0</v>
      </c>
      <c r="I1186" s="394" t="s">
        <v>1097</v>
      </c>
      <c r="J1186" s="632"/>
      <c r="K1186" s="395">
        <v>193.00000000000006</v>
      </c>
      <c r="L1186" s="537"/>
      <c r="M1186" s="509">
        <f t="shared" si="3052"/>
        <v>12.953367875647665</v>
      </c>
      <c r="N1186" s="646"/>
      <c r="O1186" s="626"/>
      <c r="P1186" s="629"/>
      <c r="Q1186" s="629"/>
    </row>
    <row r="1187" spans="1:17" ht="15.75" hidden="1" thickBot="1">
      <c r="A1187" s="390" t="str">
        <f t="shared" ref="A1187:G1187" si="3140">A1186</f>
        <v>PU</v>
      </c>
      <c r="B1187" s="391" t="str">
        <f t="shared" si="3140"/>
        <v>fiber</v>
      </c>
      <c r="C1187" s="391">
        <f t="shared" si="3140"/>
        <v>4</v>
      </c>
      <c r="D1187" s="391" t="str">
        <f t="shared" si="3140"/>
        <v>1-10</v>
      </c>
      <c r="E1187" s="391">
        <f t="shared" si="3140"/>
        <v>10</v>
      </c>
      <c r="F1187" s="391" t="str">
        <f t="shared" si="3140"/>
        <v>soil</v>
      </c>
      <c r="G1187" s="392" t="str">
        <f t="shared" si="3140"/>
        <v>DE: PU fiber 1-10 mm (emission to soil)</v>
      </c>
      <c r="H1187" s="465">
        <v>2.7E-2</v>
      </c>
      <c r="I1187" s="394" t="s">
        <v>1162</v>
      </c>
      <c r="J1187" s="632"/>
      <c r="K1187" s="395">
        <v>193.00000000000006</v>
      </c>
      <c r="L1187" s="537"/>
      <c r="M1187" s="509">
        <f t="shared" si="3052"/>
        <v>12.953367875647665</v>
      </c>
      <c r="N1187" s="646"/>
      <c r="O1187" s="626"/>
      <c r="P1187" s="629"/>
      <c r="Q1187" s="629"/>
    </row>
    <row r="1188" spans="1:17" ht="15.75" hidden="1" thickBot="1">
      <c r="A1188" s="390" t="str">
        <f t="shared" ref="A1188:G1188" si="3141">A1187</f>
        <v>PU</v>
      </c>
      <c r="B1188" s="391" t="str">
        <f t="shared" si="3141"/>
        <v>fiber</v>
      </c>
      <c r="C1188" s="391">
        <f t="shared" si="3141"/>
        <v>4</v>
      </c>
      <c r="D1188" s="391" t="str">
        <f t="shared" si="3141"/>
        <v>1-10</v>
      </c>
      <c r="E1188" s="391">
        <f t="shared" si="3141"/>
        <v>10</v>
      </c>
      <c r="F1188" s="391" t="str">
        <f t="shared" si="3141"/>
        <v>soil</v>
      </c>
      <c r="G1188" s="392" t="str">
        <f t="shared" si="3141"/>
        <v>DE: PU fiber 1-10 mm (emission to soil)</v>
      </c>
      <c r="H1188" s="465">
        <v>3.0000000000000001E-3</v>
      </c>
      <c r="I1188" s="394" t="s">
        <v>1163</v>
      </c>
      <c r="J1188" s="632"/>
      <c r="K1188" s="395">
        <v>193.00000000000006</v>
      </c>
      <c r="L1188" s="537"/>
      <c r="M1188" s="509">
        <f t="shared" si="3052"/>
        <v>12.953367875647665</v>
      </c>
      <c r="N1188" s="646"/>
      <c r="O1188" s="626"/>
      <c r="P1188" s="629"/>
      <c r="Q1188" s="629"/>
    </row>
    <row r="1189" spans="1:17" ht="15.75" hidden="1" thickBot="1">
      <c r="A1189" s="390" t="str">
        <f>A1186</f>
        <v>PU</v>
      </c>
      <c r="B1189" s="391" t="str">
        <f>B1186</f>
        <v>fiber</v>
      </c>
      <c r="C1189" s="391">
        <f t="shared" ref="C1189" si="3142">C1188</f>
        <v>4</v>
      </c>
      <c r="D1189" s="391" t="str">
        <f>D1186</f>
        <v>1-10</v>
      </c>
      <c r="E1189" s="391">
        <f>E1186</f>
        <v>10</v>
      </c>
      <c r="F1189" s="391" t="str">
        <f>F1186</f>
        <v>soil</v>
      </c>
      <c r="G1189" s="396" t="str">
        <f t="shared" ref="G1189" si="3143">G1188</f>
        <v>DE: PU fiber 1-10 mm (emission to soil)</v>
      </c>
      <c r="H1189" s="465">
        <v>0</v>
      </c>
      <c r="I1189" s="397" t="s">
        <v>1034</v>
      </c>
      <c r="J1189" s="633"/>
      <c r="K1189" s="398" t="s">
        <v>596</v>
      </c>
      <c r="L1189" s="538"/>
      <c r="M1189" s="509">
        <f t="shared" si="3052"/>
        <v>0</v>
      </c>
      <c r="N1189" s="647"/>
      <c r="O1189" s="627"/>
      <c r="P1189" s="629"/>
      <c r="Q1189" s="629"/>
    </row>
    <row r="1190" spans="1:17" ht="15.75" hidden="1" thickBot="1">
      <c r="A1190" s="390" t="str">
        <f t="shared" ref="A1190:B1190" si="3144">A1187</f>
        <v>PU</v>
      </c>
      <c r="B1190" s="391" t="str">
        <f t="shared" si="3144"/>
        <v>fiber</v>
      </c>
      <c r="C1190" s="391">
        <f t="shared" ref="C1190" si="3145">C1189</f>
        <v>4</v>
      </c>
      <c r="D1190" s="399" t="str">
        <f t="shared" ref="D1190:E1190" si="3146">D1187</f>
        <v>1-10</v>
      </c>
      <c r="E1190" s="391">
        <f t="shared" si="3146"/>
        <v>10</v>
      </c>
      <c r="F1190" s="400" t="s">
        <v>1147</v>
      </c>
      <c r="G1190" s="386" t="str">
        <f>CONCATENATE("DE: ",A1190," ",B1190," ",D1190," mm (emission to ",F1190,")")</f>
        <v>DE: PU fiber 1-10 mm (emission to fresh water)</v>
      </c>
      <c r="H1190" s="466">
        <v>0</v>
      </c>
      <c r="I1190" s="388" t="s">
        <v>1153</v>
      </c>
      <c r="J1190" s="634">
        <v>0.22800000000000001</v>
      </c>
      <c r="K1190" s="395">
        <v>193.00000000000006</v>
      </c>
      <c r="L1190" s="536"/>
      <c r="M1190" s="509">
        <f t="shared" si="3052"/>
        <v>12.953367875647665</v>
      </c>
      <c r="N1190" s="645">
        <f t="shared" ref="N1190" si="3147">IFERROR(H1190*M1190+H1191*M1191+H1192*M1192+H1193*M1193+H1194*M1194,"N.A.")</f>
        <v>12.953367875647665</v>
      </c>
      <c r="O1190" s="625"/>
      <c r="P1190" s="628">
        <f t="shared" si="3104"/>
        <v>12.953367875647665</v>
      </c>
      <c r="Q1190" s="628">
        <f t="shared" si="3010"/>
        <v>12.953367875647665</v>
      </c>
    </row>
    <row r="1191" spans="1:17" ht="15.75" hidden="1" thickBot="1">
      <c r="A1191" s="390" t="str">
        <f t="shared" ref="A1191:B1191" si="3148">A1188</f>
        <v>PU</v>
      </c>
      <c r="B1191" s="391" t="str">
        <f t="shared" si="3148"/>
        <v>fiber</v>
      </c>
      <c r="C1191" s="391">
        <f t="shared" ref="C1191" si="3149">C1190</f>
        <v>4</v>
      </c>
      <c r="D1191" s="391" t="str">
        <f t="shared" ref="D1191:E1191" si="3150">D1188</f>
        <v>1-10</v>
      </c>
      <c r="E1191" s="391">
        <f t="shared" si="3150"/>
        <v>10</v>
      </c>
      <c r="F1191" s="391" t="str">
        <f t="shared" ref="F1191:G1191" si="3151">F1190</f>
        <v>fresh water</v>
      </c>
      <c r="G1191" s="401" t="str">
        <f t="shared" si="3151"/>
        <v>DE: PU fiber 1-10 mm (emission to fresh water)</v>
      </c>
      <c r="H1191" s="465">
        <v>0</v>
      </c>
      <c r="I1191" s="394" t="s">
        <v>1097</v>
      </c>
      <c r="J1191" s="635"/>
      <c r="K1191" s="395">
        <v>193.00000000000006</v>
      </c>
      <c r="L1191" s="536"/>
      <c r="M1191" s="509">
        <f t="shared" si="3052"/>
        <v>12.953367875647665</v>
      </c>
      <c r="N1191" s="646"/>
      <c r="O1191" s="626"/>
      <c r="P1191" s="629"/>
      <c r="Q1191" s="629"/>
    </row>
    <row r="1192" spans="1:17" ht="15.75" hidden="1" thickBot="1">
      <c r="A1192" s="390" t="str">
        <f t="shared" ref="A1192:B1192" si="3152">A1189</f>
        <v>PU</v>
      </c>
      <c r="B1192" s="391" t="str">
        <f t="shared" si="3152"/>
        <v>fiber</v>
      </c>
      <c r="C1192" s="391">
        <f t="shared" ref="C1192" si="3153">C1191</f>
        <v>4</v>
      </c>
      <c r="D1192" s="391" t="str">
        <f t="shared" ref="D1192:E1192" si="3154">D1189</f>
        <v>1-10</v>
      </c>
      <c r="E1192" s="391">
        <f t="shared" si="3154"/>
        <v>10</v>
      </c>
      <c r="F1192" s="391" t="str">
        <f t="shared" ref="F1192:G1192" si="3155">F1191</f>
        <v>fresh water</v>
      </c>
      <c r="G1192" s="401" t="str">
        <f t="shared" si="3155"/>
        <v>DE: PU fiber 1-10 mm (emission to fresh water)</v>
      </c>
      <c r="H1192" s="465">
        <v>0.89</v>
      </c>
      <c r="I1192" s="394" t="s">
        <v>1162</v>
      </c>
      <c r="J1192" s="635"/>
      <c r="K1192" s="395">
        <v>193.00000000000006</v>
      </c>
      <c r="L1192" s="536"/>
      <c r="M1192" s="509">
        <f t="shared" si="3052"/>
        <v>12.953367875647665</v>
      </c>
      <c r="N1192" s="646"/>
      <c r="O1192" s="626"/>
      <c r="P1192" s="629"/>
      <c r="Q1192" s="629"/>
    </row>
    <row r="1193" spans="1:17" ht="15.75" hidden="1" thickBot="1">
      <c r="A1193" s="390" t="str">
        <f t="shared" ref="A1193:B1193" si="3156">A1190</f>
        <v>PU</v>
      </c>
      <c r="B1193" s="391" t="str">
        <f t="shared" si="3156"/>
        <v>fiber</v>
      </c>
      <c r="C1193" s="391">
        <f t="shared" ref="C1193" si="3157">C1192</f>
        <v>4</v>
      </c>
      <c r="D1193" s="391" t="str">
        <f t="shared" ref="D1193:E1193" si="3158">D1190</f>
        <v>1-10</v>
      </c>
      <c r="E1193" s="391">
        <f t="shared" si="3158"/>
        <v>10</v>
      </c>
      <c r="F1193" s="391" t="str">
        <f t="shared" ref="F1193:G1193" si="3159">F1192</f>
        <v>fresh water</v>
      </c>
      <c r="G1193" s="401" t="str">
        <f t="shared" si="3159"/>
        <v>DE: PU fiber 1-10 mm (emission to fresh water)</v>
      </c>
      <c r="H1193" s="465">
        <v>0.11</v>
      </c>
      <c r="I1193" s="394" t="s">
        <v>1163</v>
      </c>
      <c r="J1193" s="635"/>
      <c r="K1193" s="395">
        <v>193.00000000000006</v>
      </c>
      <c r="L1193" s="536"/>
      <c r="M1193" s="509">
        <f t="shared" si="3052"/>
        <v>12.953367875647665</v>
      </c>
      <c r="N1193" s="646"/>
      <c r="O1193" s="626"/>
      <c r="P1193" s="629"/>
      <c r="Q1193" s="629"/>
    </row>
    <row r="1194" spans="1:17" ht="15.75" hidden="1" thickBot="1">
      <c r="A1194" s="390" t="str">
        <f t="shared" ref="A1194:B1194" si="3160">A1191</f>
        <v>PU</v>
      </c>
      <c r="B1194" s="391" t="str">
        <f t="shared" si="3160"/>
        <v>fiber</v>
      </c>
      <c r="C1194" s="391">
        <f t="shared" ref="C1194" si="3161">C1193</f>
        <v>4</v>
      </c>
      <c r="D1194" s="391" t="str">
        <f t="shared" ref="D1194:E1194" si="3162">D1191</f>
        <v>1-10</v>
      </c>
      <c r="E1194" s="391">
        <f t="shared" si="3162"/>
        <v>10</v>
      </c>
      <c r="F1194" s="402" t="str">
        <f>F1191</f>
        <v>fresh water</v>
      </c>
      <c r="G1194" s="401" t="str">
        <f t="shared" ref="G1194" si="3163">G1193</f>
        <v>DE: PU fiber 1-10 mm (emission to fresh water)</v>
      </c>
      <c r="H1194" s="465">
        <v>0</v>
      </c>
      <c r="I1194" s="397" t="s">
        <v>1034</v>
      </c>
      <c r="J1194" s="654"/>
      <c r="K1194" s="398" t="s">
        <v>596</v>
      </c>
      <c r="L1194" s="538"/>
      <c r="M1194" s="509">
        <f t="shared" si="3052"/>
        <v>0</v>
      </c>
      <c r="N1194" s="647"/>
      <c r="O1194" s="627"/>
      <c r="P1194" s="629"/>
      <c r="Q1194" s="629"/>
    </row>
    <row r="1195" spans="1:17" ht="15.75" hidden="1" thickBot="1">
      <c r="A1195" s="390" t="str">
        <f t="shared" ref="A1195:B1195" si="3164">A1192</f>
        <v>PU</v>
      </c>
      <c r="B1195" s="391" t="str">
        <f t="shared" si="3164"/>
        <v>fiber</v>
      </c>
      <c r="C1195" s="391">
        <f t="shared" ref="C1195" si="3165">C1194</f>
        <v>4</v>
      </c>
      <c r="D1195" s="391" t="str">
        <f t="shared" ref="D1195:E1195" si="3166">D1192</f>
        <v>1-10</v>
      </c>
      <c r="E1195" s="391">
        <f t="shared" si="3166"/>
        <v>10</v>
      </c>
      <c r="F1195" s="385" t="s">
        <v>1097</v>
      </c>
      <c r="G1195" s="422" t="str">
        <f>CONCATENATE("DE: ",A1195," ",B1195," ",D1195," mm (emission to ",F1195,")")</f>
        <v>DE: PU fiber 1-10 mm (emission to marine water)</v>
      </c>
      <c r="H1195" s="467">
        <v>0</v>
      </c>
      <c r="I1195" s="388" t="s">
        <v>1153</v>
      </c>
      <c r="J1195" s="634">
        <v>0.22800000000000001</v>
      </c>
      <c r="K1195" s="395">
        <v>193.00000000000006</v>
      </c>
      <c r="L1195" s="536"/>
      <c r="M1195" s="509">
        <f t="shared" si="3052"/>
        <v>12.953367875647665</v>
      </c>
      <c r="N1195" s="645">
        <f t="shared" ref="N1195" si="3167">IFERROR(H1195*M1195+H1196*M1196+H1197*M1197+H1198*M1198+H1199*M1199,"N.A.")</f>
        <v>12.953367875647665</v>
      </c>
      <c r="O1195" s="625"/>
      <c r="P1195" s="628">
        <f t="shared" si="3104"/>
        <v>12.953367875647665</v>
      </c>
      <c r="Q1195" s="628">
        <f t="shared" si="3010"/>
        <v>12.953367875647665</v>
      </c>
    </row>
    <row r="1196" spans="1:17" ht="15.75" hidden="1" thickBot="1">
      <c r="A1196" s="390" t="str">
        <f t="shared" ref="A1196:B1196" si="3168">A1193</f>
        <v>PU</v>
      </c>
      <c r="B1196" s="391" t="str">
        <f t="shared" si="3168"/>
        <v>fiber</v>
      </c>
      <c r="C1196" s="391">
        <f t="shared" ref="C1196" si="3169">C1195</f>
        <v>4</v>
      </c>
      <c r="D1196" s="391" t="str">
        <f t="shared" ref="D1196:E1196" si="3170">D1193</f>
        <v>1-10</v>
      </c>
      <c r="E1196" s="391">
        <f t="shared" si="3170"/>
        <v>10</v>
      </c>
      <c r="F1196" s="391" t="str">
        <f t="shared" ref="F1196:G1196" si="3171">F1195</f>
        <v>marine water</v>
      </c>
      <c r="G1196" s="401" t="str">
        <f t="shared" si="3171"/>
        <v>DE: PU fiber 1-10 mm (emission to marine water)</v>
      </c>
      <c r="H1196" s="465">
        <v>0</v>
      </c>
      <c r="I1196" s="394" t="s">
        <v>1097</v>
      </c>
      <c r="J1196" s="635"/>
      <c r="K1196" s="395">
        <v>193.00000000000006</v>
      </c>
      <c r="L1196" s="536"/>
      <c r="M1196" s="509">
        <f t="shared" si="3052"/>
        <v>12.953367875647665</v>
      </c>
      <c r="N1196" s="646"/>
      <c r="O1196" s="626"/>
      <c r="P1196" s="629"/>
      <c r="Q1196" s="629"/>
    </row>
    <row r="1197" spans="1:17" ht="15.75" hidden="1" thickBot="1">
      <c r="A1197" s="390" t="str">
        <f t="shared" ref="A1197:B1197" si="3172">A1194</f>
        <v>PU</v>
      </c>
      <c r="B1197" s="391" t="str">
        <f t="shared" si="3172"/>
        <v>fiber</v>
      </c>
      <c r="C1197" s="391">
        <f t="shared" ref="C1197" si="3173">C1196</f>
        <v>4</v>
      </c>
      <c r="D1197" s="391" t="str">
        <f t="shared" ref="D1197:E1197" si="3174">D1194</f>
        <v>1-10</v>
      </c>
      <c r="E1197" s="391">
        <f t="shared" si="3174"/>
        <v>10</v>
      </c>
      <c r="F1197" s="391" t="str">
        <f t="shared" ref="F1197:G1197" si="3175">F1196</f>
        <v>marine water</v>
      </c>
      <c r="G1197" s="401" t="str">
        <f t="shared" si="3175"/>
        <v>DE: PU fiber 1-10 mm (emission to marine water)</v>
      </c>
      <c r="H1197" s="465">
        <v>0</v>
      </c>
      <c r="I1197" s="394" t="s">
        <v>1162</v>
      </c>
      <c r="J1197" s="635"/>
      <c r="K1197" s="395">
        <v>193.00000000000006</v>
      </c>
      <c r="L1197" s="536"/>
      <c r="M1197" s="509">
        <f t="shared" si="3052"/>
        <v>12.953367875647665</v>
      </c>
      <c r="N1197" s="646"/>
      <c r="O1197" s="626"/>
      <c r="P1197" s="629"/>
      <c r="Q1197" s="629"/>
    </row>
    <row r="1198" spans="1:17" ht="15.75" hidden="1" thickBot="1">
      <c r="A1198" s="390" t="str">
        <f t="shared" ref="A1198:B1198" si="3176">A1195</f>
        <v>PU</v>
      </c>
      <c r="B1198" s="391" t="str">
        <f t="shared" si="3176"/>
        <v>fiber</v>
      </c>
      <c r="C1198" s="391">
        <f t="shared" ref="C1198" si="3177">C1197</f>
        <v>4</v>
      </c>
      <c r="D1198" s="391" t="str">
        <f t="shared" ref="D1198:E1198" si="3178">D1195</f>
        <v>1-10</v>
      </c>
      <c r="E1198" s="391">
        <f t="shared" si="3178"/>
        <v>10</v>
      </c>
      <c r="F1198" s="391" t="str">
        <f t="shared" ref="F1198:G1198" si="3179">F1197</f>
        <v>marine water</v>
      </c>
      <c r="G1198" s="401" t="str">
        <f t="shared" si="3179"/>
        <v>DE: PU fiber 1-10 mm (emission to marine water)</v>
      </c>
      <c r="H1198" s="465">
        <v>1</v>
      </c>
      <c r="I1198" s="394" t="s">
        <v>1163</v>
      </c>
      <c r="J1198" s="635"/>
      <c r="K1198" s="395">
        <v>193.00000000000006</v>
      </c>
      <c r="L1198" s="536"/>
      <c r="M1198" s="509">
        <f t="shared" si="3052"/>
        <v>12.953367875647665</v>
      </c>
      <c r="N1198" s="646"/>
      <c r="O1198" s="626"/>
      <c r="P1198" s="629"/>
      <c r="Q1198" s="629"/>
    </row>
    <row r="1199" spans="1:17" ht="15.75" hidden="1" thickBot="1">
      <c r="A1199" s="390" t="str">
        <f t="shared" ref="A1199:B1199" si="3180">A1196</f>
        <v>PU</v>
      </c>
      <c r="B1199" s="391" t="str">
        <f t="shared" si="3180"/>
        <v>fiber</v>
      </c>
      <c r="C1199" s="391">
        <f t="shared" ref="C1199" si="3181">C1198</f>
        <v>4</v>
      </c>
      <c r="D1199" s="391" t="str">
        <f t="shared" ref="D1199:E1199" si="3182">D1196</f>
        <v>1-10</v>
      </c>
      <c r="E1199" s="391">
        <f t="shared" si="3182"/>
        <v>10</v>
      </c>
      <c r="F1199" s="391" t="str">
        <f t="shared" ref="F1199:G1199" si="3183">F1198</f>
        <v>marine water</v>
      </c>
      <c r="G1199" s="401" t="str">
        <f t="shared" si="3183"/>
        <v>DE: PU fiber 1-10 mm (emission to marine water)</v>
      </c>
      <c r="H1199" s="465">
        <v>0</v>
      </c>
      <c r="I1199" s="397" t="s">
        <v>1034</v>
      </c>
      <c r="J1199" s="654"/>
      <c r="K1199" s="398" t="s">
        <v>596</v>
      </c>
      <c r="L1199" s="538"/>
      <c r="M1199" s="509">
        <f t="shared" si="3052"/>
        <v>0</v>
      </c>
      <c r="N1199" s="647"/>
      <c r="O1199" s="627"/>
      <c r="P1199" s="629"/>
      <c r="Q1199" s="629"/>
    </row>
    <row r="1200" spans="1:17" ht="15.75" hidden="1" thickBot="1">
      <c r="A1200" s="390" t="str">
        <f t="shared" ref="A1200:B1200" si="3184">A1197</f>
        <v>PU</v>
      </c>
      <c r="B1200" s="391" t="str">
        <f t="shared" si="3184"/>
        <v>fiber</v>
      </c>
      <c r="C1200" s="391">
        <f t="shared" ref="C1200" si="3185">C1199</f>
        <v>4</v>
      </c>
      <c r="D1200" s="391" t="str">
        <f t="shared" ref="D1200:E1200" si="3186">D1197</f>
        <v>1-10</v>
      </c>
      <c r="E1200" s="391">
        <f t="shared" si="3186"/>
        <v>10</v>
      </c>
      <c r="F1200" s="400" t="s">
        <v>1057</v>
      </c>
      <c r="G1200" s="422" t="str">
        <f>CONCATENATE("DE: ",A1200," ",B1200," ",D1200," mm (emission to ",F1200,")")</f>
        <v>DE: PU fiber 1-10 mm (emission to air)</v>
      </c>
      <c r="H1200" s="467">
        <v>0.94799999999999995</v>
      </c>
      <c r="I1200" s="388" t="s">
        <v>1153</v>
      </c>
      <c r="J1200" s="634">
        <v>0.22800000000000001</v>
      </c>
      <c r="K1200" s="395">
        <v>193.00000000000006</v>
      </c>
      <c r="L1200" s="536"/>
      <c r="M1200" s="509">
        <f t="shared" si="3052"/>
        <v>12.953367875647665</v>
      </c>
      <c r="N1200" s="645">
        <f t="shared" ref="N1200" si="3187">IFERROR(H1200*M1200+H1201*M1201+H1202*M1202+H1203*M1203+H1204*M1204,"N.A.")</f>
        <v>12.953367875647665</v>
      </c>
      <c r="O1200" s="625"/>
      <c r="P1200" s="628">
        <f t="shared" si="3104"/>
        <v>12.953367875647665</v>
      </c>
      <c r="Q1200" s="628">
        <f t="shared" si="3010"/>
        <v>12.953367875647665</v>
      </c>
    </row>
    <row r="1201" spans="1:17" ht="15.75" hidden="1" thickBot="1">
      <c r="A1201" s="390" t="str">
        <f t="shared" ref="A1201:B1201" si="3188">A1198</f>
        <v>PU</v>
      </c>
      <c r="B1201" s="391" t="str">
        <f t="shared" si="3188"/>
        <v>fiber</v>
      </c>
      <c r="C1201" s="391">
        <f t="shared" ref="C1201:C1204" si="3189">C1200</f>
        <v>4</v>
      </c>
      <c r="D1201" s="391" t="str">
        <f t="shared" ref="D1201:E1201" si="3190">D1198</f>
        <v>1-10</v>
      </c>
      <c r="E1201" s="391">
        <f t="shared" si="3190"/>
        <v>10</v>
      </c>
      <c r="F1201" s="391" t="str">
        <f t="shared" ref="F1201:G1201" si="3191">F1200</f>
        <v>air</v>
      </c>
      <c r="G1201" s="401" t="str">
        <f t="shared" si="3191"/>
        <v>DE: PU fiber 1-10 mm (emission to air)</v>
      </c>
      <c r="H1201" s="465">
        <v>0</v>
      </c>
      <c r="I1201" s="394" t="s">
        <v>1097</v>
      </c>
      <c r="J1201" s="635"/>
      <c r="K1201" s="395">
        <v>193.00000000000006</v>
      </c>
      <c r="L1201" s="536"/>
      <c r="M1201" s="509">
        <f t="shared" si="3052"/>
        <v>12.953367875647665</v>
      </c>
      <c r="N1201" s="646"/>
      <c r="O1201" s="626"/>
      <c r="P1201" s="629"/>
      <c r="Q1201" s="629"/>
    </row>
    <row r="1202" spans="1:17" ht="15.75" hidden="1" thickBot="1">
      <c r="A1202" s="390" t="str">
        <f t="shared" ref="A1202:B1202" si="3192">A1199</f>
        <v>PU</v>
      </c>
      <c r="B1202" s="391" t="str">
        <f t="shared" si="3192"/>
        <v>fiber</v>
      </c>
      <c r="C1202" s="391">
        <f t="shared" si="3189"/>
        <v>4</v>
      </c>
      <c r="D1202" s="391" t="str">
        <f t="shared" ref="D1202:E1202" si="3193">D1199</f>
        <v>1-10</v>
      </c>
      <c r="E1202" s="391">
        <f t="shared" si="3193"/>
        <v>10</v>
      </c>
      <c r="F1202" s="391" t="str">
        <f t="shared" ref="F1202:G1202" si="3194">F1201</f>
        <v>air</v>
      </c>
      <c r="G1202" s="401" t="str">
        <f t="shared" si="3194"/>
        <v>DE: PU fiber 1-10 mm (emission to air)</v>
      </c>
      <c r="H1202" s="465">
        <v>4.7E-2</v>
      </c>
      <c r="I1202" s="394" t="s">
        <v>1162</v>
      </c>
      <c r="J1202" s="635"/>
      <c r="K1202" s="395">
        <v>193.00000000000006</v>
      </c>
      <c r="L1202" s="536"/>
      <c r="M1202" s="509">
        <f t="shared" si="3052"/>
        <v>12.953367875647665</v>
      </c>
      <c r="N1202" s="646"/>
      <c r="O1202" s="626"/>
      <c r="P1202" s="629"/>
      <c r="Q1202" s="629"/>
    </row>
    <row r="1203" spans="1:17" ht="15.75" hidden="1" thickBot="1">
      <c r="A1203" s="390" t="str">
        <f t="shared" ref="A1203:B1203" si="3195">A1200</f>
        <v>PU</v>
      </c>
      <c r="B1203" s="391" t="str">
        <f t="shared" si="3195"/>
        <v>fiber</v>
      </c>
      <c r="C1203" s="391">
        <f t="shared" si="3189"/>
        <v>4</v>
      </c>
      <c r="D1203" s="391" t="str">
        <f t="shared" ref="D1203:E1203" si="3196">D1200</f>
        <v>1-10</v>
      </c>
      <c r="E1203" s="391">
        <f t="shared" si="3196"/>
        <v>10</v>
      </c>
      <c r="F1203" s="391" t="str">
        <f t="shared" ref="F1203:G1203" si="3197">F1202</f>
        <v>air</v>
      </c>
      <c r="G1203" s="401" t="str">
        <f t="shared" si="3197"/>
        <v>DE: PU fiber 1-10 mm (emission to air)</v>
      </c>
      <c r="H1203" s="465">
        <v>5.0000000000000001E-3</v>
      </c>
      <c r="I1203" s="394" t="s">
        <v>1163</v>
      </c>
      <c r="J1203" s="635"/>
      <c r="K1203" s="395">
        <v>193.00000000000006</v>
      </c>
      <c r="L1203" s="536"/>
      <c r="M1203" s="509">
        <f t="shared" si="3052"/>
        <v>12.953367875647665</v>
      </c>
      <c r="N1203" s="646"/>
      <c r="O1203" s="626"/>
      <c r="P1203" s="629"/>
      <c r="Q1203" s="629"/>
    </row>
    <row r="1204" spans="1:17" ht="15.75" hidden="1" thickBot="1">
      <c r="A1204" s="404" t="str">
        <f t="shared" ref="A1204:B1204" si="3198">A1199</f>
        <v>PU</v>
      </c>
      <c r="B1204" s="402" t="str">
        <f t="shared" si="3198"/>
        <v>fiber</v>
      </c>
      <c r="C1204" s="391">
        <f t="shared" si="3189"/>
        <v>4</v>
      </c>
      <c r="D1204" s="402" t="str">
        <f t="shared" ref="D1204:E1204" si="3199">D1199</f>
        <v>1-10</v>
      </c>
      <c r="E1204" s="402">
        <f t="shared" si="3199"/>
        <v>10</v>
      </c>
      <c r="F1204" s="391" t="str">
        <f t="shared" ref="F1204:G1204" si="3200">F1203</f>
        <v>air</v>
      </c>
      <c r="G1204" s="401" t="str">
        <f t="shared" si="3200"/>
        <v>DE: PU fiber 1-10 mm (emission to air)</v>
      </c>
      <c r="H1204" s="465">
        <v>0</v>
      </c>
      <c r="I1204" s="397" t="s">
        <v>1034</v>
      </c>
      <c r="J1204" s="636"/>
      <c r="K1204" s="398" t="s">
        <v>596</v>
      </c>
      <c r="L1204" s="538"/>
      <c r="M1204" s="509">
        <f t="shared" si="3052"/>
        <v>0</v>
      </c>
      <c r="N1204" s="647"/>
      <c r="O1204" s="627"/>
      <c r="P1204" s="629"/>
      <c r="Q1204" s="629"/>
    </row>
    <row r="1205" spans="1:17" ht="16.5" hidden="1" thickTop="1" thickBot="1">
      <c r="A1205" s="405" t="s">
        <v>187</v>
      </c>
      <c r="B1205" s="406" t="s">
        <v>1152</v>
      </c>
      <c r="C1205" s="407">
        <v>6</v>
      </c>
      <c r="D1205" s="423" t="s">
        <v>1018</v>
      </c>
      <c r="E1205" s="408">
        <v>0.1</v>
      </c>
      <c r="F1205" s="424" t="s">
        <v>1019</v>
      </c>
      <c r="G1205" s="425" t="str">
        <f>CONCATENATE("DE: ",A1205," ",B1205," ",D1205," mm (emission to ",F1205,")")</f>
        <v>DE: PU particle 0,01-0,1 mm (emission to soil)</v>
      </c>
      <c r="H1205" s="464">
        <v>0.97</v>
      </c>
      <c r="I1205" s="388" t="s">
        <v>1153</v>
      </c>
      <c r="J1205" s="632">
        <v>0.22800000000000001</v>
      </c>
      <c r="K1205" s="449">
        <v>193.00000000000006</v>
      </c>
      <c r="L1205" s="536"/>
      <c r="M1205" s="509">
        <f t="shared" si="3052"/>
        <v>6.4766839378238322E-2</v>
      </c>
      <c r="N1205" s="645">
        <f t="shared" ref="N1205" si="3201">IFERROR(H1205*M1205+H1206*M1206+H1207*M1207+H1208*M1208+H1209*M1209,"N.A.")</f>
        <v>6.4766839378238308E-2</v>
      </c>
      <c r="O1205" s="625"/>
      <c r="P1205" s="628">
        <f t="shared" si="3104"/>
        <v>6.4766839378238308E-2</v>
      </c>
      <c r="Q1205" s="628">
        <f t="shared" si="3010"/>
        <v>6.4766839378238308E-2</v>
      </c>
    </row>
    <row r="1206" spans="1:17" ht="15.75" hidden="1" thickBot="1">
      <c r="A1206" s="390" t="str">
        <f>A1205</f>
        <v>PU</v>
      </c>
      <c r="B1206" s="391" t="str">
        <f>B1205</f>
        <v>particle</v>
      </c>
      <c r="C1206" s="391">
        <f t="shared" ref="C1206:G1206" si="3202">C1205</f>
        <v>6</v>
      </c>
      <c r="D1206" s="391" t="str">
        <f t="shared" si="3202"/>
        <v>0,01-0,1</v>
      </c>
      <c r="E1206" s="391">
        <f t="shared" si="3202"/>
        <v>0.1</v>
      </c>
      <c r="F1206" s="391" t="str">
        <f t="shared" si="3202"/>
        <v>soil</v>
      </c>
      <c r="G1206" s="392" t="str">
        <f t="shared" si="3202"/>
        <v>DE: PU particle 0,01-0,1 mm (emission to soil)</v>
      </c>
      <c r="H1206" s="465">
        <v>0</v>
      </c>
      <c r="I1206" s="394" t="s">
        <v>1097</v>
      </c>
      <c r="J1206" s="632"/>
      <c r="K1206" s="395">
        <v>193.00000000000006</v>
      </c>
      <c r="L1206" s="537"/>
      <c r="M1206" s="509">
        <f t="shared" si="3052"/>
        <v>6.4766839378238322E-2</v>
      </c>
      <c r="N1206" s="646"/>
      <c r="O1206" s="626"/>
      <c r="P1206" s="629"/>
      <c r="Q1206" s="629"/>
    </row>
    <row r="1207" spans="1:17" ht="15.75" hidden="1" thickBot="1">
      <c r="A1207" s="390" t="str">
        <f t="shared" ref="A1207:G1207" si="3203">A1206</f>
        <v>PU</v>
      </c>
      <c r="B1207" s="391" t="str">
        <f t="shared" si="3203"/>
        <v>particle</v>
      </c>
      <c r="C1207" s="391">
        <f t="shared" si="3203"/>
        <v>6</v>
      </c>
      <c r="D1207" s="391" t="str">
        <f t="shared" si="3203"/>
        <v>0,01-0,1</v>
      </c>
      <c r="E1207" s="391">
        <f t="shared" si="3203"/>
        <v>0.1</v>
      </c>
      <c r="F1207" s="391" t="str">
        <f t="shared" si="3203"/>
        <v>soil</v>
      </c>
      <c r="G1207" s="392" t="str">
        <f t="shared" si="3203"/>
        <v>DE: PU particle 0,01-0,1 mm (emission to soil)</v>
      </c>
      <c r="H1207" s="465">
        <v>2.7E-2</v>
      </c>
      <c r="I1207" s="394" t="s">
        <v>1162</v>
      </c>
      <c r="J1207" s="632"/>
      <c r="K1207" s="395">
        <v>193.00000000000006</v>
      </c>
      <c r="L1207" s="537"/>
      <c r="M1207" s="509">
        <f t="shared" si="3052"/>
        <v>6.4766839378238322E-2</v>
      </c>
      <c r="N1207" s="646"/>
      <c r="O1207" s="626"/>
      <c r="P1207" s="629"/>
      <c r="Q1207" s="629"/>
    </row>
    <row r="1208" spans="1:17" ht="15.75" hidden="1" thickBot="1">
      <c r="A1208" s="390" t="str">
        <f t="shared" ref="A1208:G1208" si="3204">A1207</f>
        <v>PU</v>
      </c>
      <c r="B1208" s="391" t="str">
        <f t="shared" si="3204"/>
        <v>particle</v>
      </c>
      <c r="C1208" s="391">
        <f t="shared" si="3204"/>
        <v>6</v>
      </c>
      <c r="D1208" s="391" t="str">
        <f t="shared" si="3204"/>
        <v>0,01-0,1</v>
      </c>
      <c r="E1208" s="391">
        <f t="shared" si="3204"/>
        <v>0.1</v>
      </c>
      <c r="F1208" s="391" t="str">
        <f t="shared" si="3204"/>
        <v>soil</v>
      </c>
      <c r="G1208" s="392" t="str">
        <f t="shared" si="3204"/>
        <v>DE: PU particle 0,01-0,1 mm (emission to soil)</v>
      </c>
      <c r="H1208" s="465">
        <v>3.0000000000000001E-3</v>
      </c>
      <c r="I1208" s="394" t="s">
        <v>1163</v>
      </c>
      <c r="J1208" s="632"/>
      <c r="K1208" s="395">
        <v>193.00000000000006</v>
      </c>
      <c r="L1208" s="537"/>
      <c r="M1208" s="509">
        <f t="shared" si="3052"/>
        <v>6.4766839378238322E-2</v>
      </c>
      <c r="N1208" s="646"/>
      <c r="O1208" s="626"/>
      <c r="P1208" s="629"/>
      <c r="Q1208" s="629"/>
    </row>
    <row r="1209" spans="1:17" ht="15.75" hidden="1" thickBot="1">
      <c r="A1209" s="390" t="str">
        <f>A1206</f>
        <v>PU</v>
      </c>
      <c r="B1209" s="391" t="str">
        <f>B1206</f>
        <v>particle</v>
      </c>
      <c r="C1209" s="391">
        <f t="shared" ref="C1209" si="3205">C1208</f>
        <v>6</v>
      </c>
      <c r="D1209" s="391" t="str">
        <f>D1206</f>
        <v>0,01-0,1</v>
      </c>
      <c r="E1209" s="391">
        <f>E1206</f>
        <v>0.1</v>
      </c>
      <c r="F1209" s="391" t="str">
        <f>F1206</f>
        <v>soil</v>
      </c>
      <c r="G1209" s="396" t="str">
        <f t="shared" ref="G1209" si="3206">G1208</f>
        <v>DE: PU particle 0,01-0,1 mm (emission to soil)</v>
      </c>
      <c r="H1209" s="465">
        <v>0</v>
      </c>
      <c r="I1209" s="397" t="s">
        <v>1034</v>
      </c>
      <c r="J1209" s="633"/>
      <c r="K1209" s="398" t="s">
        <v>596</v>
      </c>
      <c r="L1209" s="538"/>
      <c r="M1209" s="509">
        <f t="shared" si="3052"/>
        <v>0</v>
      </c>
      <c r="N1209" s="647"/>
      <c r="O1209" s="627"/>
      <c r="P1209" s="629"/>
      <c r="Q1209" s="629"/>
    </row>
    <row r="1210" spans="1:17" ht="15.75" hidden="1" thickBot="1">
      <c r="A1210" s="390" t="str">
        <f t="shared" ref="A1210:B1210" si="3207">A1207</f>
        <v>PU</v>
      </c>
      <c r="B1210" s="391" t="str">
        <f t="shared" si="3207"/>
        <v>particle</v>
      </c>
      <c r="C1210" s="391">
        <f t="shared" ref="C1210" si="3208">C1209</f>
        <v>6</v>
      </c>
      <c r="D1210" s="399" t="str">
        <f t="shared" ref="D1210:E1210" si="3209">D1207</f>
        <v>0,01-0,1</v>
      </c>
      <c r="E1210" s="391">
        <f t="shared" si="3209"/>
        <v>0.1</v>
      </c>
      <c r="F1210" s="400" t="s">
        <v>1147</v>
      </c>
      <c r="G1210" s="386" t="str">
        <f>CONCATENATE("DE: ",A1210," ",B1210," ",D1210," mm (emission to ",F1210,")")</f>
        <v>DE: PU particle 0,01-0,1 mm (emission to fresh water)</v>
      </c>
      <c r="H1210" s="466">
        <v>0</v>
      </c>
      <c r="I1210" s="388" t="s">
        <v>1153</v>
      </c>
      <c r="J1210" s="634">
        <v>0.22800000000000001</v>
      </c>
      <c r="K1210" s="395">
        <v>193.00000000000006</v>
      </c>
      <c r="L1210" s="536"/>
      <c r="M1210" s="509">
        <f t="shared" si="3052"/>
        <v>6.4766839378238322E-2</v>
      </c>
      <c r="N1210" s="645">
        <f t="shared" ref="N1210" si="3210">IFERROR(H1210*M1210+H1211*M1211+H1212*M1212+H1213*M1213+H1214*M1214,"N.A.")</f>
        <v>6.4766839378238322E-2</v>
      </c>
      <c r="O1210" s="625"/>
      <c r="P1210" s="628">
        <f t="shared" si="3104"/>
        <v>6.4766839378238322E-2</v>
      </c>
      <c r="Q1210" s="628">
        <f t="shared" ref="Q1210:Q1270" si="3211">IFERROR(IF(H1210*M1210+H1211*M1211+H1212*M1212+H1213*M1213+H1214*M1214&gt;500,500,H1210*M1210+H1211*M1211+H1212*M1212+H1213*M1213+H1214*M1214),"N.A.")</f>
        <v>6.4766839378238322E-2</v>
      </c>
    </row>
    <row r="1211" spans="1:17" ht="15.75" hidden="1" thickBot="1">
      <c r="A1211" s="390" t="str">
        <f t="shared" ref="A1211:B1211" si="3212">A1208</f>
        <v>PU</v>
      </c>
      <c r="B1211" s="391" t="str">
        <f t="shared" si="3212"/>
        <v>particle</v>
      </c>
      <c r="C1211" s="391">
        <f t="shared" ref="C1211" si="3213">C1210</f>
        <v>6</v>
      </c>
      <c r="D1211" s="391" t="str">
        <f t="shared" ref="D1211:E1211" si="3214">D1208</f>
        <v>0,01-0,1</v>
      </c>
      <c r="E1211" s="391">
        <f t="shared" si="3214"/>
        <v>0.1</v>
      </c>
      <c r="F1211" s="391" t="str">
        <f t="shared" ref="F1211:G1211" si="3215">F1210</f>
        <v>fresh water</v>
      </c>
      <c r="G1211" s="401" t="str">
        <f t="shared" si="3215"/>
        <v>DE: PU particle 0,01-0,1 mm (emission to fresh water)</v>
      </c>
      <c r="H1211" s="465">
        <v>0</v>
      </c>
      <c r="I1211" s="394" t="s">
        <v>1097</v>
      </c>
      <c r="J1211" s="635"/>
      <c r="K1211" s="395">
        <v>193.00000000000006</v>
      </c>
      <c r="L1211" s="536"/>
      <c r="M1211" s="509">
        <f t="shared" si="3052"/>
        <v>6.4766839378238322E-2</v>
      </c>
      <c r="N1211" s="646"/>
      <c r="O1211" s="626"/>
      <c r="P1211" s="629"/>
      <c r="Q1211" s="629"/>
    </row>
    <row r="1212" spans="1:17" ht="15.75" hidden="1" thickBot="1">
      <c r="A1212" s="390" t="str">
        <f t="shared" ref="A1212:B1212" si="3216">A1209</f>
        <v>PU</v>
      </c>
      <c r="B1212" s="391" t="str">
        <f t="shared" si="3216"/>
        <v>particle</v>
      </c>
      <c r="C1212" s="391">
        <f t="shared" ref="C1212" si="3217">C1211</f>
        <v>6</v>
      </c>
      <c r="D1212" s="391" t="str">
        <f t="shared" ref="D1212:E1212" si="3218">D1209</f>
        <v>0,01-0,1</v>
      </c>
      <c r="E1212" s="391">
        <f t="shared" si="3218"/>
        <v>0.1</v>
      </c>
      <c r="F1212" s="391" t="str">
        <f t="shared" ref="F1212:G1212" si="3219">F1211</f>
        <v>fresh water</v>
      </c>
      <c r="G1212" s="401" t="str">
        <f t="shared" si="3219"/>
        <v>DE: PU particle 0,01-0,1 mm (emission to fresh water)</v>
      </c>
      <c r="H1212" s="465">
        <v>0.89</v>
      </c>
      <c r="I1212" s="394" t="s">
        <v>1162</v>
      </c>
      <c r="J1212" s="635"/>
      <c r="K1212" s="395">
        <v>193.00000000000006</v>
      </c>
      <c r="L1212" s="536"/>
      <c r="M1212" s="509">
        <f t="shared" si="3052"/>
        <v>6.4766839378238322E-2</v>
      </c>
      <c r="N1212" s="646"/>
      <c r="O1212" s="626"/>
      <c r="P1212" s="629"/>
      <c r="Q1212" s="629"/>
    </row>
    <row r="1213" spans="1:17" ht="15.75" hidden="1" thickBot="1">
      <c r="A1213" s="390" t="str">
        <f t="shared" ref="A1213:B1213" si="3220">A1210</f>
        <v>PU</v>
      </c>
      <c r="B1213" s="391" t="str">
        <f t="shared" si="3220"/>
        <v>particle</v>
      </c>
      <c r="C1213" s="391">
        <f t="shared" ref="C1213" si="3221">C1212</f>
        <v>6</v>
      </c>
      <c r="D1213" s="391" t="str">
        <f t="shared" ref="D1213:E1213" si="3222">D1210</f>
        <v>0,01-0,1</v>
      </c>
      <c r="E1213" s="391">
        <f t="shared" si="3222"/>
        <v>0.1</v>
      </c>
      <c r="F1213" s="391" t="str">
        <f t="shared" ref="F1213:G1213" si="3223">F1212</f>
        <v>fresh water</v>
      </c>
      <c r="G1213" s="401" t="str">
        <f t="shared" si="3223"/>
        <v>DE: PU particle 0,01-0,1 mm (emission to fresh water)</v>
      </c>
      <c r="H1213" s="465">
        <v>0.11</v>
      </c>
      <c r="I1213" s="394" t="s">
        <v>1163</v>
      </c>
      <c r="J1213" s="635"/>
      <c r="K1213" s="395">
        <v>193.00000000000006</v>
      </c>
      <c r="L1213" s="536"/>
      <c r="M1213" s="509">
        <f t="shared" si="3052"/>
        <v>6.4766839378238322E-2</v>
      </c>
      <c r="N1213" s="646"/>
      <c r="O1213" s="626"/>
      <c r="P1213" s="629"/>
      <c r="Q1213" s="629"/>
    </row>
    <row r="1214" spans="1:17" ht="15.75" hidden="1" thickBot="1">
      <c r="A1214" s="390" t="str">
        <f t="shared" ref="A1214:B1214" si="3224">A1211</f>
        <v>PU</v>
      </c>
      <c r="B1214" s="391" t="str">
        <f t="shared" si="3224"/>
        <v>particle</v>
      </c>
      <c r="C1214" s="391">
        <f t="shared" ref="C1214" si="3225">C1213</f>
        <v>6</v>
      </c>
      <c r="D1214" s="391" t="str">
        <f t="shared" ref="D1214:E1214" si="3226">D1211</f>
        <v>0,01-0,1</v>
      </c>
      <c r="E1214" s="391">
        <f t="shared" si="3226"/>
        <v>0.1</v>
      </c>
      <c r="F1214" s="402" t="str">
        <f>F1211</f>
        <v>fresh water</v>
      </c>
      <c r="G1214" s="401" t="str">
        <f t="shared" ref="G1214" si="3227">G1213</f>
        <v>DE: PU particle 0,01-0,1 mm (emission to fresh water)</v>
      </c>
      <c r="H1214" s="465">
        <v>0</v>
      </c>
      <c r="I1214" s="397" t="s">
        <v>1034</v>
      </c>
      <c r="J1214" s="654"/>
      <c r="K1214" s="398" t="s">
        <v>596</v>
      </c>
      <c r="L1214" s="538"/>
      <c r="M1214" s="509">
        <f t="shared" si="3052"/>
        <v>0</v>
      </c>
      <c r="N1214" s="647"/>
      <c r="O1214" s="627"/>
      <c r="P1214" s="629"/>
      <c r="Q1214" s="629"/>
    </row>
    <row r="1215" spans="1:17" ht="15.75" hidden="1" thickBot="1">
      <c r="A1215" s="390" t="str">
        <f t="shared" ref="A1215:B1215" si="3228">A1212</f>
        <v>PU</v>
      </c>
      <c r="B1215" s="391" t="str">
        <f t="shared" si="3228"/>
        <v>particle</v>
      </c>
      <c r="C1215" s="391">
        <f t="shared" ref="C1215" si="3229">C1214</f>
        <v>6</v>
      </c>
      <c r="D1215" s="391" t="str">
        <f t="shared" ref="D1215:E1215" si="3230">D1212</f>
        <v>0,01-0,1</v>
      </c>
      <c r="E1215" s="391">
        <f t="shared" si="3230"/>
        <v>0.1</v>
      </c>
      <c r="F1215" s="385" t="s">
        <v>1097</v>
      </c>
      <c r="G1215" s="422" t="str">
        <f>CONCATENATE("DE: ",A1215," ",B1215," ",D1215," mm (emission to ",F1215,")")</f>
        <v>DE: PU particle 0,01-0,1 mm (emission to marine water)</v>
      </c>
      <c r="H1215" s="467">
        <v>0</v>
      </c>
      <c r="I1215" s="388" t="s">
        <v>1153</v>
      </c>
      <c r="J1215" s="634">
        <v>0.22800000000000001</v>
      </c>
      <c r="K1215" s="395">
        <v>193.00000000000006</v>
      </c>
      <c r="L1215" s="536"/>
      <c r="M1215" s="509">
        <f t="shared" si="3052"/>
        <v>6.4766839378238322E-2</v>
      </c>
      <c r="N1215" s="645">
        <f t="shared" ref="N1215" si="3231">IFERROR(H1215*M1215+H1216*M1216+H1217*M1217+H1218*M1218+H1219*M1219,"N.A.")</f>
        <v>6.4766839378238322E-2</v>
      </c>
      <c r="O1215" s="625"/>
      <c r="P1215" s="628">
        <f t="shared" si="3104"/>
        <v>6.4766839378238322E-2</v>
      </c>
      <c r="Q1215" s="628">
        <f t="shared" si="3211"/>
        <v>6.4766839378238322E-2</v>
      </c>
    </row>
    <row r="1216" spans="1:17" ht="15.75" hidden="1" thickBot="1">
      <c r="A1216" s="390" t="str">
        <f t="shared" ref="A1216:B1216" si="3232">A1213</f>
        <v>PU</v>
      </c>
      <c r="B1216" s="391" t="str">
        <f t="shared" si="3232"/>
        <v>particle</v>
      </c>
      <c r="C1216" s="391">
        <f t="shared" ref="C1216" si="3233">C1215</f>
        <v>6</v>
      </c>
      <c r="D1216" s="391" t="str">
        <f t="shared" ref="D1216:E1216" si="3234">D1213</f>
        <v>0,01-0,1</v>
      </c>
      <c r="E1216" s="391">
        <f t="shared" si="3234"/>
        <v>0.1</v>
      </c>
      <c r="F1216" s="391" t="str">
        <f t="shared" ref="F1216:G1216" si="3235">F1215</f>
        <v>marine water</v>
      </c>
      <c r="G1216" s="401" t="str">
        <f t="shared" si="3235"/>
        <v>DE: PU particle 0,01-0,1 mm (emission to marine water)</v>
      </c>
      <c r="H1216" s="465">
        <v>0</v>
      </c>
      <c r="I1216" s="394" t="s">
        <v>1097</v>
      </c>
      <c r="J1216" s="635"/>
      <c r="K1216" s="395">
        <v>193.00000000000006</v>
      </c>
      <c r="L1216" s="536"/>
      <c r="M1216" s="509">
        <f t="shared" si="3052"/>
        <v>6.4766839378238322E-2</v>
      </c>
      <c r="N1216" s="646"/>
      <c r="O1216" s="626"/>
      <c r="P1216" s="629"/>
      <c r="Q1216" s="629"/>
    </row>
    <row r="1217" spans="1:17" ht="15.75" hidden="1" thickBot="1">
      <c r="A1217" s="390" t="str">
        <f t="shared" ref="A1217:B1217" si="3236">A1214</f>
        <v>PU</v>
      </c>
      <c r="B1217" s="391" t="str">
        <f t="shared" si="3236"/>
        <v>particle</v>
      </c>
      <c r="C1217" s="391">
        <f t="shared" ref="C1217" si="3237">C1216</f>
        <v>6</v>
      </c>
      <c r="D1217" s="391" t="str">
        <f t="shared" ref="D1217:E1217" si="3238">D1214</f>
        <v>0,01-0,1</v>
      </c>
      <c r="E1217" s="391">
        <f t="shared" si="3238"/>
        <v>0.1</v>
      </c>
      <c r="F1217" s="391" t="str">
        <f t="shared" ref="F1217:G1217" si="3239">F1216</f>
        <v>marine water</v>
      </c>
      <c r="G1217" s="401" t="str">
        <f t="shared" si="3239"/>
        <v>DE: PU particle 0,01-0,1 mm (emission to marine water)</v>
      </c>
      <c r="H1217" s="465">
        <v>0</v>
      </c>
      <c r="I1217" s="394" t="s">
        <v>1162</v>
      </c>
      <c r="J1217" s="635"/>
      <c r="K1217" s="395">
        <v>193.00000000000006</v>
      </c>
      <c r="L1217" s="536"/>
      <c r="M1217" s="509">
        <f t="shared" si="3052"/>
        <v>6.4766839378238322E-2</v>
      </c>
      <c r="N1217" s="646"/>
      <c r="O1217" s="626"/>
      <c r="P1217" s="629"/>
      <c r="Q1217" s="629"/>
    </row>
    <row r="1218" spans="1:17" ht="15.75" hidden="1" thickBot="1">
      <c r="A1218" s="390" t="str">
        <f t="shared" ref="A1218:B1218" si="3240">A1215</f>
        <v>PU</v>
      </c>
      <c r="B1218" s="391" t="str">
        <f t="shared" si="3240"/>
        <v>particle</v>
      </c>
      <c r="C1218" s="391">
        <f t="shared" ref="C1218" si="3241">C1217</f>
        <v>6</v>
      </c>
      <c r="D1218" s="391" t="str">
        <f t="shared" ref="D1218:E1218" si="3242">D1215</f>
        <v>0,01-0,1</v>
      </c>
      <c r="E1218" s="391">
        <f t="shared" si="3242"/>
        <v>0.1</v>
      </c>
      <c r="F1218" s="391" t="str">
        <f t="shared" ref="F1218:G1218" si="3243">F1217</f>
        <v>marine water</v>
      </c>
      <c r="G1218" s="401" t="str">
        <f t="shared" si="3243"/>
        <v>DE: PU particle 0,01-0,1 mm (emission to marine water)</v>
      </c>
      <c r="H1218" s="465">
        <v>1</v>
      </c>
      <c r="I1218" s="394" t="s">
        <v>1163</v>
      </c>
      <c r="J1218" s="635"/>
      <c r="K1218" s="395">
        <v>193.00000000000006</v>
      </c>
      <c r="L1218" s="536"/>
      <c r="M1218" s="509">
        <f t="shared" si="3052"/>
        <v>6.4766839378238322E-2</v>
      </c>
      <c r="N1218" s="646"/>
      <c r="O1218" s="626"/>
      <c r="P1218" s="629"/>
      <c r="Q1218" s="629"/>
    </row>
    <row r="1219" spans="1:17" ht="15.75" hidden="1" thickBot="1">
      <c r="A1219" s="390" t="str">
        <f t="shared" ref="A1219:B1219" si="3244">A1216</f>
        <v>PU</v>
      </c>
      <c r="B1219" s="391" t="str">
        <f t="shared" si="3244"/>
        <v>particle</v>
      </c>
      <c r="C1219" s="391">
        <f t="shared" ref="C1219" si="3245">C1218</f>
        <v>6</v>
      </c>
      <c r="D1219" s="391" t="str">
        <f t="shared" ref="D1219:E1219" si="3246">D1216</f>
        <v>0,01-0,1</v>
      </c>
      <c r="E1219" s="391">
        <f t="shared" si="3246"/>
        <v>0.1</v>
      </c>
      <c r="F1219" s="391" t="str">
        <f t="shared" ref="F1219:G1219" si="3247">F1218</f>
        <v>marine water</v>
      </c>
      <c r="G1219" s="401" t="str">
        <f t="shared" si="3247"/>
        <v>DE: PU particle 0,01-0,1 mm (emission to marine water)</v>
      </c>
      <c r="H1219" s="465">
        <v>0</v>
      </c>
      <c r="I1219" s="397" t="s">
        <v>1034</v>
      </c>
      <c r="J1219" s="654"/>
      <c r="K1219" s="398" t="s">
        <v>596</v>
      </c>
      <c r="L1219" s="538"/>
      <c r="M1219" s="509">
        <f t="shared" si="3052"/>
        <v>0</v>
      </c>
      <c r="N1219" s="647"/>
      <c r="O1219" s="627"/>
      <c r="P1219" s="629"/>
      <c r="Q1219" s="629"/>
    </row>
    <row r="1220" spans="1:17" ht="15.75" hidden="1" thickBot="1">
      <c r="A1220" s="390" t="str">
        <f t="shared" ref="A1220:B1220" si="3248">A1217</f>
        <v>PU</v>
      </c>
      <c r="B1220" s="391" t="str">
        <f t="shared" si="3248"/>
        <v>particle</v>
      </c>
      <c r="C1220" s="391">
        <f t="shared" ref="C1220" si="3249">C1219</f>
        <v>6</v>
      </c>
      <c r="D1220" s="391" t="str">
        <f t="shared" ref="D1220:E1220" si="3250">D1217</f>
        <v>0,01-0,1</v>
      </c>
      <c r="E1220" s="391">
        <f t="shared" si="3250"/>
        <v>0.1</v>
      </c>
      <c r="F1220" s="400" t="s">
        <v>1057</v>
      </c>
      <c r="G1220" s="422" t="str">
        <f>CONCATENATE("DE: ",A1220," ",B1220," ",D1220," mm (emission to ",F1220,")")</f>
        <v>DE: PU particle 0,01-0,1 mm (emission to air)</v>
      </c>
      <c r="H1220" s="467">
        <v>0.94799999999999995</v>
      </c>
      <c r="I1220" s="388" t="s">
        <v>1153</v>
      </c>
      <c r="J1220" s="634">
        <v>0.22800000000000001</v>
      </c>
      <c r="K1220" s="395">
        <v>193.00000000000006</v>
      </c>
      <c r="L1220" s="536"/>
      <c r="M1220" s="509">
        <f t="shared" si="3052"/>
        <v>6.4766839378238322E-2</v>
      </c>
      <c r="N1220" s="645">
        <f t="shared" ref="N1220" si="3251">IFERROR(H1220*M1220+H1221*M1221+H1222*M1222+H1223*M1223+H1224*M1224,"N.A.")</f>
        <v>6.4766839378238322E-2</v>
      </c>
      <c r="O1220" s="625"/>
      <c r="P1220" s="628">
        <f t="shared" si="3104"/>
        <v>6.4766839378238322E-2</v>
      </c>
      <c r="Q1220" s="628">
        <f t="shared" si="3211"/>
        <v>6.4766839378238322E-2</v>
      </c>
    </row>
    <row r="1221" spans="1:17" ht="15.75" hidden="1" thickBot="1">
      <c r="A1221" s="390" t="str">
        <f t="shared" ref="A1221:B1221" si="3252">A1218</f>
        <v>PU</v>
      </c>
      <c r="B1221" s="391" t="str">
        <f t="shared" si="3252"/>
        <v>particle</v>
      </c>
      <c r="C1221" s="391">
        <f t="shared" ref="C1221:C1224" si="3253">C1220</f>
        <v>6</v>
      </c>
      <c r="D1221" s="391" t="str">
        <f t="shared" ref="D1221:E1221" si="3254">D1218</f>
        <v>0,01-0,1</v>
      </c>
      <c r="E1221" s="391">
        <f t="shared" si="3254"/>
        <v>0.1</v>
      </c>
      <c r="F1221" s="391" t="str">
        <f t="shared" ref="F1221:G1221" si="3255">F1220</f>
        <v>air</v>
      </c>
      <c r="G1221" s="401" t="str">
        <f t="shared" si="3255"/>
        <v>DE: PU particle 0,01-0,1 mm (emission to air)</v>
      </c>
      <c r="H1221" s="465">
        <v>0</v>
      </c>
      <c r="I1221" s="394" t="s">
        <v>1097</v>
      </c>
      <c r="J1221" s="635"/>
      <c r="K1221" s="395">
        <v>193.00000000000006</v>
      </c>
      <c r="L1221" s="536"/>
      <c r="M1221" s="509">
        <f t="shared" si="3052"/>
        <v>6.4766839378238322E-2</v>
      </c>
      <c r="N1221" s="646"/>
      <c r="O1221" s="626"/>
      <c r="P1221" s="629"/>
      <c r="Q1221" s="629"/>
    </row>
    <row r="1222" spans="1:17" ht="15.75" hidden="1" thickBot="1">
      <c r="A1222" s="390" t="str">
        <f t="shared" ref="A1222:B1222" si="3256">A1219</f>
        <v>PU</v>
      </c>
      <c r="B1222" s="391" t="str">
        <f t="shared" si="3256"/>
        <v>particle</v>
      </c>
      <c r="C1222" s="391">
        <f t="shared" si="3253"/>
        <v>6</v>
      </c>
      <c r="D1222" s="391" t="str">
        <f t="shared" ref="D1222:E1222" si="3257">D1219</f>
        <v>0,01-0,1</v>
      </c>
      <c r="E1222" s="391">
        <f t="shared" si="3257"/>
        <v>0.1</v>
      </c>
      <c r="F1222" s="391" t="str">
        <f t="shared" ref="F1222:G1222" si="3258">F1221</f>
        <v>air</v>
      </c>
      <c r="G1222" s="401" t="str">
        <f t="shared" si="3258"/>
        <v>DE: PU particle 0,01-0,1 mm (emission to air)</v>
      </c>
      <c r="H1222" s="465">
        <v>4.7E-2</v>
      </c>
      <c r="I1222" s="394" t="s">
        <v>1162</v>
      </c>
      <c r="J1222" s="635"/>
      <c r="K1222" s="395">
        <v>193.00000000000006</v>
      </c>
      <c r="L1222" s="536"/>
      <c r="M1222" s="509">
        <f t="shared" ref="M1222:M1285" si="3259">IFERROR(IF(K1222="--",0,IF(E1222*1000/K1222*(1-0.5)^(C1222/2)&gt;1000,1000,E1222*1000/K1222*(1-0.5)^(C1222/2))),1000)</f>
        <v>6.4766839378238322E-2</v>
      </c>
      <c r="N1222" s="646"/>
      <c r="O1222" s="626"/>
      <c r="P1222" s="629"/>
      <c r="Q1222" s="629"/>
    </row>
    <row r="1223" spans="1:17" ht="15.75" hidden="1" thickBot="1">
      <c r="A1223" s="390" t="str">
        <f t="shared" ref="A1223:B1223" si="3260">A1220</f>
        <v>PU</v>
      </c>
      <c r="B1223" s="391" t="str">
        <f t="shared" si="3260"/>
        <v>particle</v>
      </c>
      <c r="C1223" s="391">
        <f t="shared" si="3253"/>
        <v>6</v>
      </c>
      <c r="D1223" s="391" t="str">
        <f t="shared" ref="D1223:E1223" si="3261">D1220</f>
        <v>0,01-0,1</v>
      </c>
      <c r="E1223" s="391">
        <f t="shared" si="3261"/>
        <v>0.1</v>
      </c>
      <c r="F1223" s="391" t="str">
        <f t="shared" ref="F1223:G1223" si="3262">F1222</f>
        <v>air</v>
      </c>
      <c r="G1223" s="401" t="str">
        <f t="shared" si="3262"/>
        <v>DE: PU particle 0,01-0,1 mm (emission to air)</v>
      </c>
      <c r="H1223" s="465">
        <v>5.0000000000000001E-3</v>
      </c>
      <c r="I1223" s="394" t="s">
        <v>1163</v>
      </c>
      <c r="J1223" s="635"/>
      <c r="K1223" s="395">
        <v>193.00000000000006</v>
      </c>
      <c r="L1223" s="536"/>
      <c r="M1223" s="509">
        <f t="shared" si="3259"/>
        <v>6.4766839378238322E-2</v>
      </c>
      <c r="N1223" s="646"/>
      <c r="O1223" s="626"/>
      <c r="P1223" s="629"/>
      <c r="Q1223" s="629"/>
    </row>
    <row r="1224" spans="1:17" ht="15.75" hidden="1" thickBot="1">
      <c r="A1224" s="404" t="str">
        <f t="shared" ref="A1224:B1224" si="3263">A1219</f>
        <v>PU</v>
      </c>
      <c r="B1224" s="402" t="str">
        <f t="shared" si="3263"/>
        <v>particle</v>
      </c>
      <c r="C1224" s="391">
        <f t="shared" si="3253"/>
        <v>6</v>
      </c>
      <c r="D1224" s="402" t="str">
        <f t="shared" ref="D1224:E1224" si="3264">D1219</f>
        <v>0,01-0,1</v>
      </c>
      <c r="E1224" s="402">
        <f t="shared" si="3264"/>
        <v>0.1</v>
      </c>
      <c r="F1224" s="391" t="str">
        <f t="shared" ref="F1224:G1224" si="3265">F1223</f>
        <v>air</v>
      </c>
      <c r="G1224" s="401" t="str">
        <f t="shared" si="3265"/>
        <v>DE: PU particle 0,01-0,1 mm (emission to air)</v>
      </c>
      <c r="H1224" s="465">
        <v>0</v>
      </c>
      <c r="I1224" s="394" t="s">
        <v>1034</v>
      </c>
      <c r="J1224" s="636"/>
      <c r="K1224" s="398" t="s">
        <v>596</v>
      </c>
      <c r="L1224" s="538"/>
      <c r="M1224" s="509">
        <f t="shared" si="3259"/>
        <v>0</v>
      </c>
      <c r="N1224" s="647"/>
      <c r="O1224" s="627"/>
      <c r="P1224" s="629"/>
      <c r="Q1224" s="629"/>
    </row>
    <row r="1225" spans="1:17" ht="16.5" hidden="1" thickTop="1" thickBot="1">
      <c r="A1225" s="405" t="s">
        <v>187</v>
      </c>
      <c r="B1225" s="406" t="s">
        <v>1152</v>
      </c>
      <c r="C1225" s="407">
        <v>6</v>
      </c>
      <c r="D1225" s="423" t="s">
        <v>1028</v>
      </c>
      <c r="E1225" s="408">
        <v>1</v>
      </c>
      <c r="F1225" s="424" t="s">
        <v>1019</v>
      </c>
      <c r="G1225" s="425" t="str">
        <f>CONCATENATE("DE: ",A1225," ",B1225," ",D1225," mm (emission to ",F1225,")")</f>
        <v>DE: PU particle 0,1-1 mm (emission to soil)</v>
      </c>
      <c r="H1225" s="464">
        <v>0.97</v>
      </c>
      <c r="I1225" s="427" t="s">
        <v>1153</v>
      </c>
      <c r="J1225" s="632">
        <v>0.22800000000000001</v>
      </c>
      <c r="K1225" s="449">
        <v>193.00000000000006</v>
      </c>
      <c r="L1225" s="536"/>
      <c r="M1225" s="509">
        <f t="shared" si="3259"/>
        <v>0.64766839378238328</v>
      </c>
      <c r="N1225" s="645">
        <f t="shared" ref="N1225" si="3266">IFERROR(H1225*M1225+H1226*M1226+H1227*M1227+H1228*M1228+H1229*M1229,"N.A.")</f>
        <v>0.64766839378238328</v>
      </c>
      <c r="O1225" s="625"/>
      <c r="P1225" s="628">
        <f t="shared" si="3104"/>
        <v>0.64766839378238328</v>
      </c>
      <c r="Q1225" s="628">
        <f t="shared" si="3211"/>
        <v>0.64766839378238328</v>
      </c>
    </row>
    <row r="1226" spans="1:17" ht="15.75" hidden="1" thickBot="1">
      <c r="A1226" s="390" t="str">
        <f>A1225</f>
        <v>PU</v>
      </c>
      <c r="B1226" s="391" t="str">
        <f>B1225</f>
        <v>particle</v>
      </c>
      <c r="C1226" s="391">
        <f t="shared" ref="C1226:G1226" si="3267">C1225</f>
        <v>6</v>
      </c>
      <c r="D1226" s="391" t="str">
        <f t="shared" si="3267"/>
        <v>0,1-1</v>
      </c>
      <c r="E1226" s="391">
        <f t="shared" si="3267"/>
        <v>1</v>
      </c>
      <c r="F1226" s="391" t="str">
        <f t="shared" si="3267"/>
        <v>soil</v>
      </c>
      <c r="G1226" s="392" t="str">
        <f t="shared" si="3267"/>
        <v>DE: PU particle 0,1-1 mm (emission to soil)</v>
      </c>
      <c r="H1226" s="465">
        <v>0</v>
      </c>
      <c r="I1226" s="394" t="s">
        <v>1097</v>
      </c>
      <c r="J1226" s="632"/>
      <c r="K1226" s="395">
        <v>193.00000000000006</v>
      </c>
      <c r="L1226" s="537"/>
      <c r="M1226" s="509">
        <f t="shared" si="3259"/>
        <v>0.64766839378238328</v>
      </c>
      <c r="N1226" s="646"/>
      <c r="O1226" s="626"/>
      <c r="P1226" s="629"/>
      <c r="Q1226" s="629"/>
    </row>
    <row r="1227" spans="1:17" ht="15.75" hidden="1" thickBot="1">
      <c r="A1227" s="390" t="str">
        <f t="shared" ref="A1227:G1227" si="3268">A1226</f>
        <v>PU</v>
      </c>
      <c r="B1227" s="391" t="str">
        <f t="shared" si="3268"/>
        <v>particle</v>
      </c>
      <c r="C1227" s="391">
        <f t="shared" si="3268"/>
        <v>6</v>
      </c>
      <c r="D1227" s="391" t="str">
        <f t="shared" si="3268"/>
        <v>0,1-1</v>
      </c>
      <c r="E1227" s="391">
        <f t="shared" si="3268"/>
        <v>1</v>
      </c>
      <c r="F1227" s="391" t="str">
        <f t="shared" si="3268"/>
        <v>soil</v>
      </c>
      <c r="G1227" s="392" t="str">
        <f t="shared" si="3268"/>
        <v>DE: PU particle 0,1-1 mm (emission to soil)</v>
      </c>
      <c r="H1227" s="465">
        <v>2.7E-2</v>
      </c>
      <c r="I1227" s="394" t="s">
        <v>1162</v>
      </c>
      <c r="J1227" s="632"/>
      <c r="K1227" s="395">
        <v>193.00000000000006</v>
      </c>
      <c r="L1227" s="537"/>
      <c r="M1227" s="509">
        <f t="shared" si="3259"/>
        <v>0.64766839378238328</v>
      </c>
      <c r="N1227" s="646"/>
      <c r="O1227" s="626"/>
      <c r="P1227" s="629"/>
      <c r="Q1227" s="629"/>
    </row>
    <row r="1228" spans="1:17" ht="15.75" hidden="1" thickBot="1">
      <c r="A1228" s="390" t="str">
        <f t="shared" ref="A1228:G1228" si="3269">A1227</f>
        <v>PU</v>
      </c>
      <c r="B1228" s="391" t="str">
        <f t="shared" si="3269"/>
        <v>particle</v>
      </c>
      <c r="C1228" s="391">
        <f t="shared" si="3269"/>
        <v>6</v>
      </c>
      <c r="D1228" s="391" t="str">
        <f t="shared" si="3269"/>
        <v>0,1-1</v>
      </c>
      <c r="E1228" s="391">
        <f t="shared" si="3269"/>
        <v>1</v>
      </c>
      <c r="F1228" s="391" t="str">
        <f t="shared" si="3269"/>
        <v>soil</v>
      </c>
      <c r="G1228" s="392" t="str">
        <f t="shared" si="3269"/>
        <v>DE: PU particle 0,1-1 mm (emission to soil)</v>
      </c>
      <c r="H1228" s="465">
        <v>3.0000000000000001E-3</v>
      </c>
      <c r="I1228" s="394" t="s">
        <v>1163</v>
      </c>
      <c r="J1228" s="632"/>
      <c r="K1228" s="395">
        <v>193.00000000000006</v>
      </c>
      <c r="L1228" s="537"/>
      <c r="M1228" s="509">
        <f t="shared" si="3259"/>
        <v>0.64766839378238328</v>
      </c>
      <c r="N1228" s="646"/>
      <c r="O1228" s="626"/>
      <c r="P1228" s="629"/>
      <c r="Q1228" s="629"/>
    </row>
    <row r="1229" spans="1:17" ht="15.75" hidden="1" thickBot="1">
      <c r="A1229" s="390" t="str">
        <f>A1226</f>
        <v>PU</v>
      </c>
      <c r="B1229" s="391" t="str">
        <f>B1226</f>
        <v>particle</v>
      </c>
      <c r="C1229" s="391">
        <f t="shared" ref="C1229" si="3270">C1228</f>
        <v>6</v>
      </c>
      <c r="D1229" s="391" t="str">
        <f>D1226</f>
        <v>0,1-1</v>
      </c>
      <c r="E1229" s="391">
        <f>E1226</f>
        <v>1</v>
      </c>
      <c r="F1229" s="391" t="str">
        <f>F1226</f>
        <v>soil</v>
      </c>
      <c r="G1229" s="396" t="str">
        <f t="shared" ref="G1229" si="3271">G1228</f>
        <v>DE: PU particle 0,1-1 mm (emission to soil)</v>
      </c>
      <c r="H1229" s="465">
        <v>0</v>
      </c>
      <c r="I1229" s="397" t="s">
        <v>1034</v>
      </c>
      <c r="J1229" s="633"/>
      <c r="K1229" s="398" t="s">
        <v>596</v>
      </c>
      <c r="L1229" s="538"/>
      <c r="M1229" s="509">
        <f t="shared" si="3259"/>
        <v>0</v>
      </c>
      <c r="N1229" s="647"/>
      <c r="O1229" s="627"/>
      <c r="P1229" s="629"/>
      <c r="Q1229" s="629"/>
    </row>
    <row r="1230" spans="1:17" ht="15.75" hidden="1" thickBot="1">
      <c r="A1230" s="390" t="str">
        <f t="shared" ref="A1230:B1230" si="3272">A1227</f>
        <v>PU</v>
      </c>
      <c r="B1230" s="391" t="str">
        <f t="shared" si="3272"/>
        <v>particle</v>
      </c>
      <c r="C1230" s="391">
        <f t="shared" ref="C1230" si="3273">C1229</f>
        <v>6</v>
      </c>
      <c r="D1230" s="399" t="str">
        <f t="shared" ref="D1230:E1230" si="3274">D1227</f>
        <v>0,1-1</v>
      </c>
      <c r="E1230" s="391">
        <f t="shared" si="3274"/>
        <v>1</v>
      </c>
      <c r="F1230" s="400" t="s">
        <v>1147</v>
      </c>
      <c r="G1230" s="386" t="str">
        <f>CONCATENATE("DE: ",A1230," ",B1230," ",D1230," mm (emission to ",F1230,")")</f>
        <v>DE: PU particle 0,1-1 mm (emission to fresh water)</v>
      </c>
      <c r="H1230" s="466">
        <v>0</v>
      </c>
      <c r="I1230" s="388" t="s">
        <v>1153</v>
      </c>
      <c r="J1230" s="634">
        <v>0.22800000000000001</v>
      </c>
      <c r="K1230" s="395">
        <v>193.00000000000006</v>
      </c>
      <c r="L1230" s="536"/>
      <c r="M1230" s="509">
        <f t="shared" si="3259"/>
        <v>0.64766839378238328</v>
      </c>
      <c r="N1230" s="645">
        <f t="shared" ref="N1230" si="3275">IFERROR(H1230*M1230+H1231*M1231+H1232*M1232+H1233*M1233+H1234*M1234,"N.A.")</f>
        <v>0.64766839378238328</v>
      </c>
      <c r="O1230" s="625"/>
      <c r="P1230" s="628">
        <f t="shared" si="3104"/>
        <v>0.64766839378238328</v>
      </c>
      <c r="Q1230" s="628">
        <f t="shared" si="3211"/>
        <v>0.64766839378238328</v>
      </c>
    </row>
    <row r="1231" spans="1:17" ht="15.75" hidden="1" thickBot="1">
      <c r="A1231" s="390" t="str">
        <f t="shared" ref="A1231:B1231" si="3276">A1228</f>
        <v>PU</v>
      </c>
      <c r="B1231" s="391" t="str">
        <f t="shared" si="3276"/>
        <v>particle</v>
      </c>
      <c r="C1231" s="391">
        <f t="shared" ref="C1231" si="3277">C1230</f>
        <v>6</v>
      </c>
      <c r="D1231" s="391" t="str">
        <f t="shared" ref="D1231:E1231" si="3278">D1228</f>
        <v>0,1-1</v>
      </c>
      <c r="E1231" s="391">
        <f t="shared" si="3278"/>
        <v>1</v>
      </c>
      <c r="F1231" s="391" t="str">
        <f t="shared" ref="F1231:G1231" si="3279">F1230</f>
        <v>fresh water</v>
      </c>
      <c r="G1231" s="401" t="str">
        <f t="shared" si="3279"/>
        <v>DE: PU particle 0,1-1 mm (emission to fresh water)</v>
      </c>
      <c r="H1231" s="465">
        <v>0</v>
      </c>
      <c r="I1231" s="394" t="s">
        <v>1097</v>
      </c>
      <c r="J1231" s="635"/>
      <c r="K1231" s="395">
        <v>193.00000000000006</v>
      </c>
      <c r="L1231" s="536"/>
      <c r="M1231" s="509">
        <f t="shared" si="3259"/>
        <v>0.64766839378238328</v>
      </c>
      <c r="N1231" s="646"/>
      <c r="O1231" s="626"/>
      <c r="P1231" s="629"/>
      <c r="Q1231" s="629"/>
    </row>
    <row r="1232" spans="1:17" ht="15.75" hidden="1" thickBot="1">
      <c r="A1232" s="390" t="str">
        <f t="shared" ref="A1232:B1232" si="3280">A1229</f>
        <v>PU</v>
      </c>
      <c r="B1232" s="391" t="str">
        <f t="shared" si="3280"/>
        <v>particle</v>
      </c>
      <c r="C1232" s="391">
        <f t="shared" ref="C1232" si="3281">C1231</f>
        <v>6</v>
      </c>
      <c r="D1232" s="391" t="str">
        <f t="shared" ref="D1232:E1232" si="3282">D1229</f>
        <v>0,1-1</v>
      </c>
      <c r="E1232" s="391">
        <f t="shared" si="3282"/>
        <v>1</v>
      </c>
      <c r="F1232" s="391" t="str">
        <f t="shared" ref="F1232:G1232" si="3283">F1231</f>
        <v>fresh water</v>
      </c>
      <c r="G1232" s="401" t="str">
        <f t="shared" si="3283"/>
        <v>DE: PU particle 0,1-1 mm (emission to fresh water)</v>
      </c>
      <c r="H1232" s="465">
        <v>0.89</v>
      </c>
      <c r="I1232" s="394" t="s">
        <v>1162</v>
      </c>
      <c r="J1232" s="635"/>
      <c r="K1232" s="395">
        <v>193.00000000000006</v>
      </c>
      <c r="L1232" s="536"/>
      <c r="M1232" s="509">
        <f t="shared" si="3259"/>
        <v>0.64766839378238328</v>
      </c>
      <c r="N1232" s="646"/>
      <c r="O1232" s="626"/>
      <c r="P1232" s="629"/>
      <c r="Q1232" s="629"/>
    </row>
    <row r="1233" spans="1:17" ht="15.75" hidden="1" thickBot="1">
      <c r="A1233" s="390" t="str">
        <f t="shared" ref="A1233:B1233" si="3284">A1230</f>
        <v>PU</v>
      </c>
      <c r="B1233" s="391" t="str">
        <f t="shared" si="3284"/>
        <v>particle</v>
      </c>
      <c r="C1233" s="391">
        <f t="shared" ref="C1233" si="3285">C1232</f>
        <v>6</v>
      </c>
      <c r="D1233" s="391" t="str">
        <f t="shared" ref="D1233:E1233" si="3286">D1230</f>
        <v>0,1-1</v>
      </c>
      <c r="E1233" s="391">
        <f t="shared" si="3286"/>
        <v>1</v>
      </c>
      <c r="F1233" s="391" t="str">
        <f t="shared" ref="F1233:G1233" si="3287">F1232</f>
        <v>fresh water</v>
      </c>
      <c r="G1233" s="401" t="str">
        <f t="shared" si="3287"/>
        <v>DE: PU particle 0,1-1 mm (emission to fresh water)</v>
      </c>
      <c r="H1233" s="465">
        <v>0.11</v>
      </c>
      <c r="I1233" s="394" t="s">
        <v>1163</v>
      </c>
      <c r="J1233" s="635"/>
      <c r="K1233" s="395">
        <v>193.00000000000006</v>
      </c>
      <c r="L1233" s="536"/>
      <c r="M1233" s="509">
        <f t="shared" si="3259"/>
        <v>0.64766839378238328</v>
      </c>
      <c r="N1233" s="646"/>
      <c r="O1233" s="626"/>
      <c r="P1233" s="629"/>
      <c r="Q1233" s="629"/>
    </row>
    <row r="1234" spans="1:17" ht="15.75" hidden="1" thickBot="1">
      <c r="A1234" s="390" t="str">
        <f t="shared" ref="A1234:B1234" si="3288">A1231</f>
        <v>PU</v>
      </c>
      <c r="B1234" s="391" t="str">
        <f t="shared" si="3288"/>
        <v>particle</v>
      </c>
      <c r="C1234" s="391">
        <f t="shared" ref="C1234" si="3289">C1233</f>
        <v>6</v>
      </c>
      <c r="D1234" s="391" t="str">
        <f t="shared" ref="D1234:E1234" si="3290">D1231</f>
        <v>0,1-1</v>
      </c>
      <c r="E1234" s="391">
        <f t="shared" si="3290"/>
        <v>1</v>
      </c>
      <c r="F1234" s="402" t="str">
        <f>F1231</f>
        <v>fresh water</v>
      </c>
      <c r="G1234" s="401" t="str">
        <f t="shared" ref="G1234" si="3291">G1233</f>
        <v>DE: PU particle 0,1-1 mm (emission to fresh water)</v>
      </c>
      <c r="H1234" s="465">
        <v>0</v>
      </c>
      <c r="I1234" s="397" t="s">
        <v>1034</v>
      </c>
      <c r="J1234" s="654"/>
      <c r="K1234" s="398" t="s">
        <v>596</v>
      </c>
      <c r="L1234" s="538"/>
      <c r="M1234" s="509">
        <f t="shared" si="3259"/>
        <v>0</v>
      </c>
      <c r="N1234" s="647"/>
      <c r="O1234" s="627"/>
      <c r="P1234" s="629"/>
      <c r="Q1234" s="629"/>
    </row>
    <row r="1235" spans="1:17" ht="15.75" hidden="1" thickBot="1">
      <c r="A1235" s="390" t="str">
        <f t="shared" ref="A1235:B1235" si="3292">A1232</f>
        <v>PU</v>
      </c>
      <c r="B1235" s="391" t="str">
        <f t="shared" si="3292"/>
        <v>particle</v>
      </c>
      <c r="C1235" s="391">
        <f t="shared" ref="C1235" si="3293">C1234</f>
        <v>6</v>
      </c>
      <c r="D1235" s="391" t="str">
        <f t="shared" ref="D1235:E1235" si="3294">D1232</f>
        <v>0,1-1</v>
      </c>
      <c r="E1235" s="391">
        <f t="shared" si="3294"/>
        <v>1</v>
      </c>
      <c r="F1235" s="385" t="s">
        <v>1097</v>
      </c>
      <c r="G1235" s="422" t="str">
        <f>CONCATENATE("DE: ",A1235," ",B1235," ",D1235," mm (emission to ",F1235,")")</f>
        <v>DE: PU particle 0,1-1 mm (emission to marine water)</v>
      </c>
      <c r="H1235" s="467">
        <v>0</v>
      </c>
      <c r="I1235" s="388" t="s">
        <v>1153</v>
      </c>
      <c r="J1235" s="634">
        <v>0.22800000000000001</v>
      </c>
      <c r="K1235" s="395">
        <v>193.00000000000006</v>
      </c>
      <c r="L1235" s="536"/>
      <c r="M1235" s="509">
        <f t="shared" si="3259"/>
        <v>0.64766839378238328</v>
      </c>
      <c r="N1235" s="645">
        <f t="shared" ref="N1235" si="3295">IFERROR(H1235*M1235+H1236*M1236+H1237*M1237+H1238*M1238+H1239*M1239,"N.A.")</f>
        <v>0.64766839378238328</v>
      </c>
      <c r="O1235" s="625"/>
      <c r="P1235" s="628">
        <f t="shared" si="3104"/>
        <v>0.64766839378238328</v>
      </c>
      <c r="Q1235" s="628">
        <f t="shared" si="3211"/>
        <v>0.64766839378238328</v>
      </c>
    </row>
    <row r="1236" spans="1:17" ht="15.75" hidden="1" thickBot="1">
      <c r="A1236" s="390" t="str">
        <f t="shared" ref="A1236:B1236" si="3296">A1233</f>
        <v>PU</v>
      </c>
      <c r="B1236" s="391" t="str">
        <f t="shared" si="3296"/>
        <v>particle</v>
      </c>
      <c r="C1236" s="391">
        <f t="shared" ref="C1236" si="3297">C1235</f>
        <v>6</v>
      </c>
      <c r="D1236" s="391" t="str">
        <f t="shared" ref="D1236:E1236" si="3298">D1233</f>
        <v>0,1-1</v>
      </c>
      <c r="E1236" s="391">
        <f t="shared" si="3298"/>
        <v>1</v>
      </c>
      <c r="F1236" s="391" t="str">
        <f t="shared" ref="F1236:G1236" si="3299">F1235</f>
        <v>marine water</v>
      </c>
      <c r="G1236" s="401" t="str">
        <f t="shared" si="3299"/>
        <v>DE: PU particle 0,1-1 mm (emission to marine water)</v>
      </c>
      <c r="H1236" s="465">
        <v>0</v>
      </c>
      <c r="I1236" s="394" t="s">
        <v>1097</v>
      </c>
      <c r="J1236" s="635"/>
      <c r="K1236" s="395">
        <v>193.00000000000006</v>
      </c>
      <c r="L1236" s="536"/>
      <c r="M1236" s="509">
        <f t="shared" si="3259"/>
        <v>0.64766839378238328</v>
      </c>
      <c r="N1236" s="646"/>
      <c r="O1236" s="626"/>
      <c r="P1236" s="629"/>
      <c r="Q1236" s="629"/>
    </row>
    <row r="1237" spans="1:17" ht="15.75" hidden="1" thickBot="1">
      <c r="A1237" s="390" t="str">
        <f t="shared" ref="A1237:B1237" si="3300">A1234</f>
        <v>PU</v>
      </c>
      <c r="B1237" s="391" t="str">
        <f t="shared" si="3300"/>
        <v>particle</v>
      </c>
      <c r="C1237" s="391">
        <f t="shared" ref="C1237" si="3301">C1236</f>
        <v>6</v>
      </c>
      <c r="D1237" s="391" t="str">
        <f t="shared" ref="D1237:E1237" si="3302">D1234</f>
        <v>0,1-1</v>
      </c>
      <c r="E1237" s="391">
        <f t="shared" si="3302"/>
        <v>1</v>
      </c>
      <c r="F1237" s="391" t="str">
        <f t="shared" ref="F1237:G1237" si="3303">F1236</f>
        <v>marine water</v>
      </c>
      <c r="G1237" s="401" t="str">
        <f t="shared" si="3303"/>
        <v>DE: PU particle 0,1-1 mm (emission to marine water)</v>
      </c>
      <c r="H1237" s="465">
        <v>0</v>
      </c>
      <c r="I1237" s="394" t="s">
        <v>1162</v>
      </c>
      <c r="J1237" s="635"/>
      <c r="K1237" s="395">
        <v>193.00000000000006</v>
      </c>
      <c r="L1237" s="536"/>
      <c r="M1237" s="509">
        <f t="shared" si="3259"/>
        <v>0.64766839378238328</v>
      </c>
      <c r="N1237" s="646"/>
      <c r="O1237" s="626"/>
      <c r="P1237" s="629"/>
      <c r="Q1237" s="629"/>
    </row>
    <row r="1238" spans="1:17" ht="15.75" hidden="1" thickBot="1">
      <c r="A1238" s="390" t="str">
        <f t="shared" ref="A1238:B1238" si="3304">A1235</f>
        <v>PU</v>
      </c>
      <c r="B1238" s="391" t="str">
        <f t="shared" si="3304"/>
        <v>particle</v>
      </c>
      <c r="C1238" s="391">
        <f t="shared" ref="C1238" si="3305">C1237</f>
        <v>6</v>
      </c>
      <c r="D1238" s="391" t="str">
        <f t="shared" ref="D1238:E1238" si="3306">D1235</f>
        <v>0,1-1</v>
      </c>
      <c r="E1238" s="391">
        <f t="shared" si="3306"/>
        <v>1</v>
      </c>
      <c r="F1238" s="391" t="str">
        <f t="shared" ref="F1238:G1238" si="3307">F1237</f>
        <v>marine water</v>
      </c>
      <c r="G1238" s="401" t="str">
        <f t="shared" si="3307"/>
        <v>DE: PU particle 0,1-1 mm (emission to marine water)</v>
      </c>
      <c r="H1238" s="465">
        <v>1</v>
      </c>
      <c r="I1238" s="394" t="s">
        <v>1163</v>
      </c>
      <c r="J1238" s="635"/>
      <c r="K1238" s="395">
        <v>193.00000000000006</v>
      </c>
      <c r="L1238" s="536"/>
      <c r="M1238" s="509">
        <f t="shared" si="3259"/>
        <v>0.64766839378238328</v>
      </c>
      <c r="N1238" s="646"/>
      <c r="O1238" s="626"/>
      <c r="P1238" s="629"/>
      <c r="Q1238" s="629"/>
    </row>
    <row r="1239" spans="1:17" ht="15.75" hidden="1" thickBot="1">
      <c r="A1239" s="390" t="str">
        <f t="shared" ref="A1239:B1239" si="3308">A1236</f>
        <v>PU</v>
      </c>
      <c r="B1239" s="391" t="str">
        <f t="shared" si="3308"/>
        <v>particle</v>
      </c>
      <c r="C1239" s="391">
        <f t="shared" ref="C1239" si="3309">C1238</f>
        <v>6</v>
      </c>
      <c r="D1239" s="391" t="str">
        <f t="shared" ref="D1239:E1239" si="3310">D1236</f>
        <v>0,1-1</v>
      </c>
      <c r="E1239" s="391">
        <f t="shared" si="3310"/>
        <v>1</v>
      </c>
      <c r="F1239" s="391" t="str">
        <f t="shared" ref="F1239:G1239" si="3311">F1238</f>
        <v>marine water</v>
      </c>
      <c r="G1239" s="401" t="str">
        <f t="shared" si="3311"/>
        <v>DE: PU particle 0,1-1 mm (emission to marine water)</v>
      </c>
      <c r="H1239" s="465">
        <v>0</v>
      </c>
      <c r="I1239" s="397" t="s">
        <v>1034</v>
      </c>
      <c r="J1239" s="654"/>
      <c r="K1239" s="398" t="s">
        <v>596</v>
      </c>
      <c r="L1239" s="538"/>
      <c r="M1239" s="509">
        <f t="shared" si="3259"/>
        <v>0</v>
      </c>
      <c r="N1239" s="647"/>
      <c r="O1239" s="627"/>
      <c r="P1239" s="629"/>
      <c r="Q1239" s="629"/>
    </row>
    <row r="1240" spans="1:17" ht="15.75" hidden="1" thickBot="1">
      <c r="A1240" s="390" t="str">
        <f t="shared" ref="A1240:B1240" si="3312">A1237</f>
        <v>PU</v>
      </c>
      <c r="B1240" s="391" t="str">
        <f t="shared" si="3312"/>
        <v>particle</v>
      </c>
      <c r="C1240" s="391">
        <f t="shared" ref="C1240" si="3313">C1239</f>
        <v>6</v>
      </c>
      <c r="D1240" s="391" t="str">
        <f t="shared" ref="D1240:E1240" si="3314">D1237</f>
        <v>0,1-1</v>
      </c>
      <c r="E1240" s="391">
        <f t="shared" si="3314"/>
        <v>1</v>
      </c>
      <c r="F1240" s="400" t="s">
        <v>1057</v>
      </c>
      <c r="G1240" s="422" t="str">
        <f>CONCATENATE("DE: ",A1240," ",B1240," ",D1240," mm (emission to ",F1240,")")</f>
        <v>DE: PU particle 0,1-1 mm (emission to air)</v>
      </c>
      <c r="H1240" s="467">
        <v>0.94799999999999995</v>
      </c>
      <c r="I1240" s="388" t="s">
        <v>1153</v>
      </c>
      <c r="J1240" s="634">
        <v>0.22800000000000001</v>
      </c>
      <c r="K1240" s="395">
        <v>193.00000000000006</v>
      </c>
      <c r="L1240" s="536"/>
      <c r="M1240" s="509">
        <f t="shared" si="3259"/>
        <v>0.64766839378238328</v>
      </c>
      <c r="N1240" s="645">
        <f t="shared" ref="N1240" si="3315">IFERROR(H1240*M1240+H1241*M1241+H1242*M1242+H1243*M1243+H1244*M1244,"N.A.")</f>
        <v>0.64766839378238328</v>
      </c>
      <c r="O1240" s="625"/>
      <c r="P1240" s="628">
        <f t="shared" ref="P1240:P1300" si="3316">IFERROR(IF(H1240*M1240+H1241*M1241+H1242*M1242+H1243*M1243+H1244*M1244&gt;100,100,H1240*M1240+H1241*M1241+H1242*M1242+H1243*M1243+H1244*M1244),"N.A.")</f>
        <v>0.64766839378238328</v>
      </c>
      <c r="Q1240" s="628">
        <f t="shared" si="3211"/>
        <v>0.64766839378238328</v>
      </c>
    </row>
    <row r="1241" spans="1:17" ht="15.75" hidden="1" thickBot="1">
      <c r="A1241" s="390" t="str">
        <f t="shared" ref="A1241:B1241" si="3317">A1238</f>
        <v>PU</v>
      </c>
      <c r="B1241" s="391" t="str">
        <f t="shared" si="3317"/>
        <v>particle</v>
      </c>
      <c r="C1241" s="391">
        <f t="shared" ref="C1241:C1244" si="3318">C1240</f>
        <v>6</v>
      </c>
      <c r="D1241" s="391" t="str">
        <f t="shared" ref="D1241:E1241" si="3319">D1238</f>
        <v>0,1-1</v>
      </c>
      <c r="E1241" s="391">
        <f t="shared" si="3319"/>
        <v>1</v>
      </c>
      <c r="F1241" s="391" t="str">
        <f t="shared" ref="F1241:G1241" si="3320">F1240</f>
        <v>air</v>
      </c>
      <c r="G1241" s="401" t="str">
        <f t="shared" si="3320"/>
        <v>DE: PU particle 0,1-1 mm (emission to air)</v>
      </c>
      <c r="H1241" s="465">
        <v>0</v>
      </c>
      <c r="I1241" s="394" t="s">
        <v>1097</v>
      </c>
      <c r="J1241" s="635"/>
      <c r="K1241" s="395">
        <v>193.00000000000006</v>
      </c>
      <c r="L1241" s="536"/>
      <c r="M1241" s="509">
        <f t="shared" si="3259"/>
        <v>0.64766839378238328</v>
      </c>
      <c r="N1241" s="646"/>
      <c r="O1241" s="626"/>
      <c r="P1241" s="629"/>
      <c r="Q1241" s="629"/>
    </row>
    <row r="1242" spans="1:17" ht="15.75" hidden="1" thickBot="1">
      <c r="A1242" s="390" t="str">
        <f t="shared" ref="A1242:B1242" si="3321">A1239</f>
        <v>PU</v>
      </c>
      <c r="B1242" s="391" t="str">
        <f t="shared" si="3321"/>
        <v>particle</v>
      </c>
      <c r="C1242" s="391">
        <f t="shared" si="3318"/>
        <v>6</v>
      </c>
      <c r="D1242" s="391" t="str">
        <f t="shared" ref="D1242:E1242" si="3322">D1239</f>
        <v>0,1-1</v>
      </c>
      <c r="E1242" s="391">
        <f t="shared" si="3322"/>
        <v>1</v>
      </c>
      <c r="F1242" s="391" t="str">
        <f t="shared" ref="F1242:G1242" si="3323">F1241</f>
        <v>air</v>
      </c>
      <c r="G1242" s="401" t="str">
        <f t="shared" si="3323"/>
        <v>DE: PU particle 0,1-1 mm (emission to air)</v>
      </c>
      <c r="H1242" s="465">
        <v>4.7E-2</v>
      </c>
      <c r="I1242" s="394" t="s">
        <v>1162</v>
      </c>
      <c r="J1242" s="635"/>
      <c r="K1242" s="395">
        <v>193.00000000000006</v>
      </c>
      <c r="L1242" s="536"/>
      <c r="M1242" s="509">
        <f t="shared" si="3259"/>
        <v>0.64766839378238328</v>
      </c>
      <c r="N1242" s="646"/>
      <c r="O1242" s="626"/>
      <c r="P1242" s="629"/>
      <c r="Q1242" s="629"/>
    </row>
    <row r="1243" spans="1:17" ht="15.75" hidden="1" thickBot="1">
      <c r="A1243" s="390" t="str">
        <f t="shared" ref="A1243:B1243" si="3324">A1240</f>
        <v>PU</v>
      </c>
      <c r="B1243" s="391" t="str">
        <f t="shared" si="3324"/>
        <v>particle</v>
      </c>
      <c r="C1243" s="391">
        <f t="shared" si="3318"/>
        <v>6</v>
      </c>
      <c r="D1243" s="391" t="str">
        <f t="shared" ref="D1243:E1243" si="3325">D1240</f>
        <v>0,1-1</v>
      </c>
      <c r="E1243" s="391">
        <f t="shared" si="3325"/>
        <v>1</v>
      </c>
      <c r="F1243" s="391" t="str">
        <f t="shared" ref="F1243:G1243" si="3326">F1242</f>
        <v>air</v>
      </c>
      <c r="G1243" s="401" t="str">
        <f t="shared" si="3326"/>
        <v>DE: PU particle 0,1-1 mm (emission to air)</v>
      </c>
      <c r="H1243" s="465">
        <v>5.0000000000000001E-3</v>
      </c>
      <c r="I1243" s="394" t="s">
        <v>1163</v>
      </c>
      <c r="J1243" s="635"/>
      <c r="K1243" s="395">
        <v>193.00000000000006</v>
      </c>
      <c r="L1243" s="536"/>
      <c r="M1243" s="509">
        <f t="shared" si="3259"/>
        <v>0.64766839378238328</v>
      </c>
      <c r="N1243" s="646"/>
      <c r="O1243" s="626"/>
      <c r="P1243" s="629"/>
      <c r="Q1243" s="629"/>
    </row>
    <row r="1244" spans="1:17" ht="15.75" hidden="1" thickBot="1">
      <c r="A1244" s="404" t="str">
        <f t="shared" ref="A1244:B1244" si="3327">A1239</f>
        <v>PU</v>
      </c>
      <c r="B1244" s="402" t="str">
        <f t="shared" si="3327"/>
        <v>particle</v>
      </c>
      <c r="C1244" s="391">
        <f t="shared" si="3318"/>
        <v>6</v>
      </c>
      <c r="D1244" s="402" t="str">
        <f t="shared" ref="D1244:E1244" si="3328">D1239</f>
        <v>0,1-1</v>
      </c>
      <c r="E1244" s="402">
        <f t="shared" si="3328"/>
        <v>1</v>
      </c>
      <c r="F1244" s="391" t="str">
        <f t="shared" ref="F1244:G1244" si="3329">F1243</f>
        <v>air</v>
      </c>
      <c r="G1244" s="401" t="str">
        <f t="shared" si="3329"/>
        <v>DE: PU particle 0,1-1 mm (emission to air)</v>
      </c>
      <c r="H1244" s="465">
        <v>0</v>
      </c>
      <c r="I1244" s="394" t="s">
        <v>1034</v>
      </c>
      <c r="J1244" s="636"/>
      <c r="K1244" s="398" t="s">
        <v>596</v>
      </c>
      <c r="L1244" s="538"/>
      <c r="M1244" s="509">
        <f t="shared" si="3259"/>
        <v>0</v>
      </c>
      <c r="N1244" s="647"/>
      <c r="O1244" s="627"/>
      <c r="P1244" s="629"/>
      <c r="Q1244" s="629"/>
    </row>
    <row r="1245" spans="1:17" ht="16.5" hidden="1" thickTop="1" thickBot="1">
      <c r="A1245" s="405" t="s">
        <v>187</v>
      </c>
      <c r="B1245" s="406" t="s">
        <v>1152</v>
      </c>
      <c r="C1245" s="407">
        <v>6</v>
      </c>
      <c r="D1245" s="423" t="s">
        <v>1026</v>
      </c>
      <c r="E1245" s="408">
        <v>10</v>
      </c>
      <c r="F1245" s="424" t="s">
        <v>1019</v>
      </c>
      <c r="G1245" s="425" t="str">
        <f>CONCATENATE("DE: ",A1245," ",B1245," ",D1245," mm (emission to ",F1245,")")</f>
        <v>DE: PU particle 1-10 mm (emission to soil)</v>
      </c>
      <c r="H1245" s="464">
        <v>0.97</v>
      </c>
      <c r="I1245" s="427" t="s">
        <v>1153</v>
      </c>
      <c r="J1245" s="632">
        <v>0.22800000000000001</v>
      </c>
      <c r="K1245" s="449">
        <v>193.00000000000006</v>
      </c>
      <c r="L1245" s="536"/>
      <c r="M1245" s="509">
        <f t="shared" si="3259"/>
        <v>6.4766839378238323</v>
      </c>
      <c r="N1245" s="645">
        <f t="shared" ref="N1245" si="3330">IFERROR(H1245*M1245+H1246*M1246+H1247*M1247+H1248*M1248+H1249*M1249,"N.A.")</f>
        <v>6.4766839378238323</v>
      </c>
      <c r="O1245" s="625"/>
      <c r="P1245" s="628">
        <f t="shared" si="3316"/>
        <v>6.4766839378238323</v>
      </c>
      <c r="Q1245" s="628">
        <f t="shared" si="3211"/>
        <v>6.4766839378238323</v>
      </c>
    </row>
    <row r="1246" spans="1:17" ht="15.75" hidden="1" thickBot="1">
      <c r="A1246" s="390" t="str">
        <f>A1245</f>
        <v>PU</v>
      </c>
      <c r="B1246" s="391" t="str">
        <f>B1245</f>
        <v>particle</v>
      </c>
      <c r="C1246" s="391">
        <f t="shared" ref="C1246:G1246" si="3331">C1245</f>
        <v>6</v>
      </c>
      <c r="D1246" s="391" t="str">
        <f t="shared" si="3331"/>
        <v>1-10</v>
      </c>
      <c r="E1246" s="391">
        <f t="shared" si="3331"/>
        <v>10</v>
      </c>
      <c r="F1246" s="391" t="str">
        <f t="shared" si="3331"/>
        <v>soil</v>
      </c>
      <c r="G1246" s="392" t="str">
        <f t="shared" si="3331"/>
        <v>DE: PU particle 1-10 mm (emission to soil)</v>
      </c>
      <c r="H1246" s="465">
        <v>0</v>
      </c>
      <c r="I1246" s="394" t="s">
        <v>1097</v>
      </c>
      <c r="J1246" s="632"/>
      <c r="K1246" s="395">
        <v>193.00000000000006</v>
      </c>
      <c r="L1246" s="537"/>
      <c r="M1246" s="509">
        <f t="shared" si="3259"/>
        <v>6.4766839378238323</v>
      </c>
      <c r="N1246" s="646"/>
      <c r="O1246" s="626"/>
      <c r="P1246" s="629"/>
      <c r="Q1246" s="629"/>
    </row>
    <row r="1247" spans="1:17" ht="15.75" hidden="1" thickBot="1">
      <c r="A1247" s="390" t="str">
        <f t="shared" ref="A1247:G1247" si="3332">A1246</f>
        <v>PU</v>
      </c>
      <c r="B1247" s="391" t="str">
        <f t="shared" si="3332"/>
        <v>particle</v>
      </c>
      <c r="C1247" s="391">
        <f t="shared" si="3332"/>
        <v>6</v>
      </c>
      <c r="D1247" s="391" t="str">
        <f t="shared" si="3332"/>
        <v>1-10</v>
      </c>
      <c r="E1247" s="391">
        <f t="shared" si="3332"/>
        <v>10</v>
      </c>
      <c r="F1247" s="391" t="str">
        <f t="shared" si="3332"/>
        <v>soil</v>
      </c>
      <c r="G1247" s="392" t="str">
        <f t="shared" si="3332"/>
        <v>DE: PU particle 1-10 mm (emission to soil)</v>
      </c>
      <c r="H1247" s="465">
        <v>2.7E-2</v>
      </c>
      <c r="I1247" s="394" t="s">
        <v>1162</v>
      </c>
      <c r="J1247" s="632"/>
      <c r="K1247" s="395">
        <v>193.00000000000006</v>
      </c>
      <c r="L1247" s="537"/>
      <c r="M1247" s="509">
        <f t="shared" si="3259"/>
        <v>6.4766839378238323</v>
      </c>
      <c r="N1247" s="646"/>
      <c r="O1247" s="626"/>
      <c r="P1247" s="629"/>
      <c r="Q1247" s="629"/>
    </row>
    <row r="1248" spans="1:17" ht="15.75" hidden="1" thickBot="1">
      <c r="A1248" s="390" t="str">
        <f t="shared" ref="A1248:G1248" si="3333">A1247</f>
        <v>PU</v>
      </c>
      <c r="B1248" s="391" t="str">
        <f t="shared" si="3333"/>
        <v>particle</v>
      </c>
      <c r="C1248" s="391">
        <f t="shared" si="3333"/>
        <v>6</v>
      </c>
      <c r="D1248" s="391" t="str">
        <f t="shared" si="3333"/>
        <v>1-10</v>
      </c>
      <c r="E1248" s="391">
        <f t="shared" si="3333"/>
        <v>10</v>
      </c>
      <c r="F1248" s="391" t="str">
        <f t="shared" si="3333"/>
        <v>soil</v>
      </c>
      <c r="G1248" s="392" t="str">
        <f t="shared" si="3333"/>
        <v>DE: PU particle 1-10 mm (emission to soil)</v>
      </c>
      <c r="H1248" s="465">
        <v>3.0000000000000001E-3</v>
      </c>
      <c r="I1248" s="394" t="s">
        <v>1163</v>
      </c>
      <c r="J1248" s="632"/>
      <c r="K1248" s="395">
        <v>193.00000000000006</v>
      </c>
      <c r="L1248" s="537"/>
      <c r="M1248" s="509">
        <f t="shared" si="3259"/>
        <v>6.4766839378238323</v>
      </c>
      <c r="N1248" s="646"/>
      <c r="O1248" s="626"/>
      <c r="P1248" s="629"/>
      <c r="Q1248" s="629"/>
    </row>
    <row r="1249" spans="1:17" ht="15.75" hidden="1" thickBot="1">
      <c r="A1249" s="390" t="str">
        <f>A1246</f>
        <v>PU</v>
      </c>
      <c r="B1249" s="391" t="str">
        <f>B1246</f>
        <v>particle</v>
      </c>
      <c r="C1249" s="391">
        <f t="shared" ref="C1249" si="3334">C1248</f>
        <v>6</v>
      </c>
      <c r="D1249" s="391" t="str">
        <f>D1246</f>
        <v>1-10</v>
      </c>
      <c r="E1249" s="391">
        <f>E1246</f>
        <v>10</v>
      </c>
      <c r="F1249" s="391" t="str">
        <f>F1246</f>
        <v>soil</v>
      </c>
      <c r="G1249" s="396" t="str">
        <f t="shared" ref="G1249" si="3335">G1248</f>
        <v>DE: PU particle 1-10 mm (emission to soil)</v>
      </c>
      <c r="H1249" s="465">
        <v>0</v>
      </c>
      <c r="I1249" s="397" t="s">
        <v>1034</v>
      </c>
      <c r="J1249" s="633"/>
      <c r="K1249" s="398" t="s">
        <v>596</v>
      </c>
      <c r="L1249" s="538"/>
      <c r="M1249" s="509">
        <f t="shared" si="3259"/>
        <v>0</v>
      </c>
      <c r="N1249" s="647"/>
      <c r="O1249" s="627"/>
      <c r="P1249" s="629"/>
      <c r="Q1249" s="629"/>
    </row>
    <row r="1250" spans="1:17" ht="15.75" hidden="1" thickBot="1">
      <c r="A1250" s="390" t="str">
        <f t="shared" ref="A1250:B1250" si="3336">A1247</f>
        <v>PU</v>
      </c>
      <c r="B1250" s="391" t="str">
        <f t="shared" si="3336"/>
        <v>particle</v>
      </c>
      <c r="C1250" s="391">
        <f t="shared" ref="C1250" si="3337">C1249</f>
        <v>6</v>
      </c>
      <c r="D1250" s="399" t="str">
        <f t="shared" ref="D1250:E1250" si="3338">D1247</f>
        <v>1-10</v>
      </c>
      <c r="E1250" s="391">
        <f t="shared" si="3338"/>
        <v>10</v>
      </c>
      <c r="F1250" s="400" t="s">
        <v>1147</v>
      </c>
      <c r="G1250" s="386" t="str">
        <f>CONCATENATE("DE: ",A1250," ",B1250," ",D1250," mm (emission to ",F1250,")")</f>
        <v>DE: PU particle 1-10 mm (emission to fresh water)</v>
      </c>
      <c r="H1250" s="466">
        <v>0</v>
      </c>
      <c r="I1250" s="388" t="s">
        <v>1153</v>
      </c>
      <c r="J1250" s="634">
        <v>0.22800000000000001</v>
      </c>
      <c r="K1250" s="395">
        <v>193.00000000000006</v>
      </c>
      <c r="L1250" s="536"/>
      <c r="M1250" s="509">
        <f t="shared" si="3259"/>
        <v>6.4766839378238323</v>
      </c>
      <c r="N1250" s="645">
        <f t="shared" ref="N1250" si="3339">IFERROR(H1250*M1250+H1251*M1251+H1252*M1252+H1253*M1253+H1254*M1254,"N.A.")</f>
        <v>6.4766839378238323</v>
      </c>
      <c r="O1250" s="625"/>
      <c r="P1250" s="628">
        <f t="shared" si="3316"/>
        <v>6.4766839378238323</v>
      </c>
      <c r="Q1250" s="628">
        <f t="shared" si="3211"/>
        <v>6.4766839378238323</v>
      </c>
    </row>
    <row r="1251" spans="1:17" ht="15.75" hidden="1" thickBot="1">
      <c r="A1251" s="390" t="str">
        <f t="shared" ref="A1251:B1251" si="3340">A1248</f>
        <v>PU</v>
      </c>
      <c r="B1251" s="391" t="str">
        <f t="shared" si="3340"/>
        <v>particle</v>
      </c>
      <c r="C1251" s="391">
        <f t="shared" ref="C1251" si="3341">C1250</f>
        <v>6</v>
      </c>
      <c r="D1251" s="391" t="str">
        <f t="shared" ref="D1251:E1251" si="3342">D1248</f>
        <v>1-10</v>
      </c>
      <c r="E1251" s="391">
        <f t="shared" si="3342"/>
        <v>10</v>
      </c>
      <c r="F1251" s="391" t="str">
        <f t="shared" ref="F1251:G1251" si="3343">F1250</f>
        <v>fresh water</v>
      </c>
      <c r="G1251" s="401" t="str">
        <f t="shared" si="3343"/>
        <v>DE: PU particle 1-10 mm (emission to fresh water)</v>
      </c>
      <c r="H1251" s="465">
        <v>0</v>
      </c>
      <c r="I1251" s="394" t="s">
        <v>1097</v>
      </c>
      <c r="J1251" s="635"/>
      <c r="K1251" s="395">
        <v>193.00000000000006</v>
      </c>
      <c r="L1251" s="536"/>
      <c r="M1251" s="509">
        <f t="shared" si="3259"/>
        <v>6.4766839378238323</v>
      </c>
      <c r="N1251" s="646"/>
      <c r="O1251" s="626"/>
      <c r="P1251" s="629"/>
      <c r="Q1251" s="629"/>
    </row>
    <row r="1252" spans="1:17" ht="15.75" hidden="1" thickBot="1">
      <c r="A1252" s="390" t="str">
        <f t="shared" ref="A1252:B1252" si="3344">A1249</f>
        <v>PU</v>
      </c>
      <c r="B1252" s="391" t="str">
        <f t="shared" si="3344"/>
        <v>particle</v>
      </c>
      <c r="C1252" s="391">
        <f t="shared" ref="C1252" si="3345">C1251</f>
        <v>6</v>
      </c>
      <c r="D1252" s="391" t="str">
        <f t="shared" ref="D1252:E1252" si="3346">D1249</f>
        <v>1-10</v>
      </c>
      <c r="E1252" s="391">
        <f t="shared" si="3346"/>
        <v>10</v>
      </c>
      <c r="F1252" s="391" t="str">
        <f t="shared" ref="F1252:G1252" si="3347">F1251</f>
        <v>fresh water</v>
      </c>
      <c r="G1252" s="401" t="str">
        <f t="shared" si="3347"/>
        <v>DE: PU particle 1-10 mm (emission to fresh water)</v>
      </c>
      <c r="H1252" s="465">
        <v>0.89</v>
      </c>
      <c r="I1252" s="394" t="s">
        <v>1162</v>
      </c>
      <c r="J1252" s="635"/>
      <c r="K1252" s="395">
        <v>193.00000000000006</v>
      </c>
      <c r="L1252" s="536"/>
      <c r="M1252" s="509">
        <f t="shared" si="3259"/>
        <v>6.4766839378238323</v>
      </c>
      <c r="N1252" s="646"/>
      <c r="O1252" s="626"/>
      <c r="P1252" s="629"/>
      <c r="Q1252" s="629"/>
    </row>
    <row r="1253" spans="1:17" ht="15.75" hidden="1" thickBot="1">
      <c r="A1253" s="390" t="str">
        <f t="shared" ref="A1253:B1253" si="3348">A1250</f>
        <v>PU</v>
      </c>
      <c r="B1253" s="391" t="str">
        <f t="shared" si="3348"/>
        <v>particle</v>
      </c>
      <c r="C1253" s="391">
        <f t="shared" ref="C1253" si="3349">C1252</f>
        <v>6</v>
      </c>
      <c r="D1253" s="391" t="str">
        <f t="shared" ref="D1253:E1253" si="3350">D1250</f>
        <v>1-10</v>
      </c>
      <c r="E1253" s="391">
        <f t="shared" si="3350"/>
        <v>10</v>
      </c>
      <c r="F1253" s="391" t="str">
        <f t="shared" ref="F1253:G1253" si="3351">F1252</f>
        <v>fresh water</v>
      </c>
      <c r="G1253" s="401" t="str">
        <f t="shared" si="3351"/>
        <v>DE: PU particle 1-10 mm (emission to fresh water)</v>
      </c>
      <c r="H1253" s="465">
        <v>0.11</v>
      </c>
      <c r="I1253" s="394" t="s">
        <v>1163</v>
      </c>
      <c r="J1253" s="635"/>
      <c r="K1253" s="395">
        <v>193.00000000000006</v>
      </c>
      <c r="L1253" s="536"/>
      <c r="M1253" s="509">
        <f t="shared" si="3259"/>
        <v>6.4766839378238323</v>
      </c>
      <c r="N1253" s="646"/>
      <c r="O1253" s="626"/>
      <c r="P1253" s="629"/>
      <c r="Q1253" s="629"/>
    </row>
    <row r="1254" spans="1:17" ht="15.75" hidden="1" thickBot="1">
      <c r="A1254" s="390" t="str">
        <f t="shared" ref="A1254:B1254" si="3352">A1251</f>
        <v>PU</v>
      </c>
      <c r="B1254" s="391" t="str">
        <f t="shared" si="3352"/>
        <v>particle</v>
      </c>
      <c r="C1254" s="391">
        <f t="shared" ref="C1254" si="3353">C1253</f>
        <v>6</v>
      </c>
      <c r="D1254" s="391" t="str">
        <f t="shared" ref="D1254:E1254" si="3354">D1251</f>
        <v>1-10</v>
      </c>
      <c r="E1254" s="391">
        <f t="shared" si="3354"/>
        <v>10</v>
      </c>
      <c r="F1254" s="402" t="str">
        <f>F1251</f>
        <v>fresh water</v>
      </c>
      <c r="G1254" s="401" t="str">
        <f t="shared" ref="G1254" si="3355">G1253</f>
        <v>DE: PU particle 1-10 mm (emission to fresh water)</v>
      </c>
      <c r="H1254" s="465">
        <v>0</v>
      </c>
      <c r="I1254" s="397" t="s">
        <v>1034</v>
      </c>
      <c r="J1254" s="654"/>
      <c r="K1254" s="398" t="s">
        <v>596</v>
      </c>
      <c r="L1254" s="538"/>
      <c r="M1254" s="509">
        <f t="shared" si="3259"/>
        <v>0</v>
      </c>
      <c r="N1254" s="647"/>
      <c r="O1254" s="627"/>
      <c r="P1254" s="629"/>
      <c r="Q1254" s="629"/>
    </row>
    <row r="1255" spans="1:17" ht="15.75" hidden="1" thickBot="1">
      <c r="A1255" s="390" t="str">
        <f t="shared" ref="A1255:B1255" si="3356">A1252</f>
        <v>PU</v>
      </c>
      <c r="B1255" s="391" t="str">
        <f t="shared" si="3356"/>
        <v>particle</v>
      </c>
      <c r="C1255" s="391">
        <f t="shared" ref="C1255" si="3357">C1254</f>
        <v>6</v>
      </c>
      <c r="D1255" s="391" t="str">
        <f t="shared" ref="D1255:E1255" si="3358">D1252</f>
        <v>1-10</v>
      </c>
      <c r="E1255" s="391">
        <f t="shared" si="3358"/>
        <v>10</v>
      </c>
      <c r="F1255" s="385" t="s">
        <v>1097</v>
      </c>
      <c r="G1255" s="422" t="str">
        <f>CONCATENATE("DE: ",A1255," ",B1255," ",D1255," mm (emission to ",F1255,")")</f>
        <v>DE: PU particle 1-10 mm (emission to marine water)</v>
      </c>
      <c r="H1255" s="467">
        <v>0</v>
      </c>
      <c r="I1255" s="388" t="s">
        <v>1153</v>
      </c>
      <c r="J1255" s="634">
        <v>0.22800000000000001</v>
      </c>
      <c r="K1255" s="395">
        <v>193.00000000000006</v>
      </c>
      <c r="L1255" s="536"/>
      <c r="M1255" s="509">
        <f t="shared" si="3259"/>
        <v>6.4766839378238323</v>
      </c>
      <c r="N1255" s="645">
        <f t="shared" ref="N1255" si="3359">IFERROR(H1255*M1255+H1256*M1256+H1257*M1257+H1258*M1258+H1259*M1259,"N.A.")</f>
        <v>6.4766839378238323</v>
      </c>
      <c r="O1255" s="625"/>
      <c r="P1255" s="628">
        <f t="shared" si="3316"/>
        <v>6.4766839378238323</v>
      </c>
      <c r="Q1255" s="628">
        <f t="shared" si="3211"/>
        <v>6.4766839378238323</v>
      </c>
    </row>
    <row r="1256" spans="1:17" ht="15.75" hidden="1" thickBot="1">
      <c r="A1256" s="390" t="str">
        <f t="shared" ref="A1256:B1256" si="3360">A1253</f>
        <v>PU</v>
      </c>
      <c r="B1256" s="391" t="str">
        <f t="shared" si="3360"/>
        <v>particle</v>
      </c>
      <c r="C1256" s="391">
        <f t="shared" ref="C1256" si="3361">C1255</f>
        <v>6</v>
      </c>
      <c r="D1256" s="391" t="str">
        <f t="shared" ref="D1256:E1256" si="3362">D1253</f>
        <v>1-10</v>
      </c>
      <c r="E1256" s="391">
        <f t="shared" si="3362"/>
        <v>10</v>
      </c>
      <c r="F1256" s="391" t="str">
        <f t="shared" ref="F1256:G1256" si="3363">F1255</f>
        <v>marine water</v>
      </c>
      <c r="G1256" s="401" t="str">
        <f t="shared" si="3363"/>
        <v>DE: PU particle 1-10 mm (emission to marine water)</v>
      </c>
      <c r="H1256" s="465">
        <v>0</v>
      </c>
      <c r="I1256" s="394" t="s">
        <v>1097</v>
      </c>
      <c r="J1256" s="635"/>
      <c r="K1256" s="395">
        <v>193.00000000000006</v>
      </c>
      <c r="L1256" s="536"/>
      <c r="M1256" s="509">
        <f t="shared" si="3259"/>
        <v>6.4766839378238323</v>
      </c>
      <c r="N1256" s="646"/>
      <c r="O1256" s="626"/>
      <c r="P1256" s="629"/>
      <c r="Q1256" s="629"/>
    </row>
    <row r="1257" spans="1:17" ht="15.75" hidden="1" thickBot="1">
      <c r="A1257" s="390" t="str">
        <f t="shared" ref="A1257:B1257" si="3364">A1254</f>
        <v>PU</v>
      </c>
      <c r="B1257" s="391" t="str">
        <f t="shared" si="3364"/>
        <v>particle</v>
      </c>
      <c r="C1257" s="391">
        <f t="shared" ref="C1257" si="3365">C1256</f>
        <v>6</v>
      </c>
      <c r="D1257" s="391" t="str">
        <f t="shared" ref="D1257:E1257" si="3366">D1254</f>
        <v>1-10</v>
      </c>
      <c r="E1257" s="391">
        <f t="shared" si="3366"/>
        <v>10</v>
      </c>
      <c r="F1257" s="391" t="str">
        <f t="shared" ref="F1257:G1257" si="3367">F1256</f>
        <v>marine water</v>
      </c>
      <c r="G1257" s="401" t="str">
        <f t="shared" si="3367"/>
        <v>DE: PU particle 1-10 mm (emission to marine water)</v>
      </c>
      <c r="H1257" s="465">
        <v>0</v>
      </c>
      <c r="I1257" s="394" t="s">
        <v>1162</v>
      </c>
      <c r="J1257" s="635"/>
      <c r="K1257" s="395">
        <v>193.00000000000006</v>
      </c>
      <c r="L1257" s="536"/>
      <c r="M1257" s="509">
        <f t="shared" si="3259"/>
        <v>6.4766839378238323</v>
      </c>
      <c r="N1257" s="646"/>
      <c r="O1257" s="626"/>
      <c r="P1257" s="629"/>
      <c r="Q1257" s="629"/>
    </row>
    <row r="1258" spans="1:17" ht="15.75" hidden="1" thickBot="1">
      <c r="A1258" s="390" t="str">
        <f t="shared" ref="A1258:B1258" si="3368">A1255</f>
        <v>PU</v>
      </c>
      <c r="B1258" s="391" t="str">
        <f t="shared" si="3368"/>
        <v>particle</v>
      </c>
      <c r="C1258" s="391">
        <f t="shared" ref="C1258" si="3369">C1257</f>
        <v>6</v>
      </c>
      <c r="D1258" s="391" t="str">
        <f t="shared" ref="D1258:E1258" si="3370">D1255</f>
        <v>1-10</v>
      </c>
      <c r="E1258" s="391">
        <f t="shared" si="3370"/>
        <v>10</v>
      </c>
      <c r="F1258" s="391" t="str">
        <f t="shared" ref="F1258:G1258" si="3371">F1257</f>
        <v>marine water</v>
      </c>
      <c r="G1258" s="401" t="str">
        <f t="shared" si="3371"/>
        <v>DE: PU particle 1-10 mm (emission to marine water)</v>
      </c>
      <c r="H1258" s="465">
        <v>1</v>
      </c>
      <c r="I1258" s="394" t="s">
        <v>1163</v>
      </c>
      <c r="J1258" s="635"/>
      <c r="K1258" s="395">
        <v>193.00000000000006</v>
      </c>
      <c r="L1258" s="536"/>
      <c r="M1258" s="509">
        <f t="shared" si="3259"/>
        <v>6.4766839378238323</v>
      </c>
      <c r="N1258" s="646"/>
      <c r="O1258" s="626"/>
      <c r="P1258" s="629"/>
      <c r="Q1258" s="629"/>
    </row>
    <row r="1259" spans="1:17" ht="15.75" hidden="1" thickBot="1">
      <c r="A1259" s="390" t="str">
        <f t="shared" ref="A1259:B1259" si="3372">A1256</f>
        <v>PU</v>
      </c>
      <c r="B1259" s="391" t="str">
        <f t="shared" si="3372"/>
        <v>particle</v>
      </c>
      <c r="C1259" s="391">
        <f t="shared" ref="C1259" si="3373">C1258</f>
        <v>6</v>
      </c>
      <c r="D1259" s="391" t="str">
        <f t="shared" ref="D1259:E1259" si="3374">D1256</f>
        <v>1-10</v>
      </c>
      <c r="E1259" s="391">
        <f t="shared" si="3374"/>
        <v>10</v>
      </c>
      <c r="F1259" s="391" t="str">
        <f t="shared" ref="F1259:G1259" si="3375">F1258</f>
        <v>marine water</v>
      </c>
      <c r="G1259" s="401" t="str">
        <f t="shared" si="3375"/>
        <v>DE: PU particle 1-10 mm (emission to marine water)</v>
      </c>
      <c r="H1259" s="465">
        <v>0</v>
      </c>
      <c r="I1259" s="397" t="s">
        <v>1034</v>
      </c>
      <c r="J1259" s="654"/>
      <c r="K1259" s="398" t="s">
        <v>596</v>
      </c>
      <c r="L1259" s="538"/>
      <c r="M1259" s="509">
        <f t="shared" si="3259"/>
        <v>0</v>
      </c>
      <c r="N1259" s="647"/>
      <c r="O1259" s="627"/>
      <c r="P1259" s="629"/>
      <c r="Q1259" s="629"/>
    </row>
    <row r="1260" spans="1:17" ht="15.75" hidden="1" thickBot="1">
      <c r="A1260" s="390" t="str">
        <f t="shared" ref="A1260:B1260" si="3376">A1257</f>
        <v>PU</v>
      </c>
      <c r="B1260" s="391" t="str">
        <f t="shared" si="3376"/>
        <v>particle</v>
      </c>
      <c r="C1260" s="391">
        <f t="shared" ref="C1260" si="3377">C1259</f>
        <v>6</v>
      </c>
      <c r="D1260" s="391" t="str">
        <f t="shared" ref="D1260:E1260" si="3378">D1257</f>
        <v>1-10</v>
      </c>
      <c r="E1260" s="391">
        <f t="shared" si="3378"/>
        <v>10</v>
      </c>
      <c r="F1260" s="400" t="s">
        <v>1057</v>
      </c>
      <c r="G1260" s="422" t="str">
        <f>CONCATENATE("DE: ",A1260," ",B1260," ",D1260," mm (emission to ",F1260,")")</f>
        <v>DE: PU particle 1-10 mm (emission to air)</v>
      </c>
      <c r="H1260" s="467">
        <v>0.94799999999999995</v>
      </c>
      <c r="I1260" s="388" t="s">
        <v>1153</v>
      </c>
      <c r="J1260" s="634">
        <v>0.22800000000000001</v>
      </c>
      <c r="K1260" s="395">
        <v>193.00000000000006</v>
      </c>
      <c r="L1260" s="536"/>
      <c r="M1260" s="509">
        <f t="shared" si="3259"/>
        <v>6.4766839378238323</v>
      </c>
      <c r="N1260" s="645">
        <f t="shared" ref="N1260" si="3379">IFERROR(H1260*M1260+H1261*M1261+H1262*M1262+H1263*M1263+H1264*M1264,"N.A.")</f>
        <v>6.4766839378238323</v>
      </c>
      <c r="O1260" s="625"/>
      <c r="P1260" s="628">
        <f t="shared" si="3316"/>
        <v>6.4766839378238323</v>
      </c>
      <c r="Q1260" s="628">
        <f t="shared" si="3211"/>
        <v>6.4766839378238323</v>
      </c>
    </row>
    <row r="1261" spans="1:17" ht="15.75" hidden="1" thickBot="1">
      <c r="A1261" s="390" t="str">
        <f t="shared" ref="A1261:B1261" si="3380">A1258</f>
        <v>PU</v>
      </c>
      <c r="B1261" s="391" t="str">
        <f t="shared" si="3380"/>
        <v>particle</v>
      </c>
      <c r="C1261" s="391">
        <f t="shared" ref="C1261:C1264" si="3381">C1260</f>
        <v>6</v>
      </c>
      <c r="D1261" s="391" t="str">
        <f t="shared" ref="D1261:E1261" si="3382">D1258</f>
        <v>1-10</v>
      </c>
      <c r="E1261" s="391">
        <f t="shared" si="3382"/>
        <v>10</v>
      </c>
      <c r="F1261" s="391" t="str">
        <f t="shared" ref="F1261:G1261" si="3383">F1260</f>
        <v>air</v>
      </c>
      <c r="G1261" s="401" t="str">
        <f t="shared" si="3383"/>
        <v>DE: PU particle 1-10 mm (emission to air)</v>
      </c>
      <c r="H1261" s="465">
        <v>0</v>
      </c>
      <c r="I1261" s="394" t="s">
        <v>1097</v>
      </c>
      <c r="J1261" s="635"/>
      <c r="K1261" s="395">
        <v>193.00000000000006</v>
      </c>
      <c r="L1261" s="536"/>
      <c r="M1261" s="509">
        <f t="shared" si="3259"/>
        <v>6.4766839378238323</v>
      </c>
      <c r="N1261" s="646"/>
      <c r="O1261" s="626"/>
      <c r="P1261" s="629"/>
      <c r="Q1261" s="629"/>
    </row>
    <row r="1262" spans="1:17" ht="15.75" hidden="1" thickBot="1">
      <c r="A1262" s="390" t="str">
        <f t="shared" ref="A1262:B1262" si="3384">A1259</f>
        <v>PU</v>
      </c>
      <c r="B1262" s="391" t="str">
        <f t="shared" si="3384"/>
        <v>particle</v>
      </c>
      <c r="C1262" s="391">
        <f t="shared" si="3381"/>
        <v>6</v>
      </c>
      <c r="D1262" s="391" t="str">
        <f t="shared" ref="D1262:E1262" si="3385">D1259</f>
        <v>1-10</v>
      </c>
      <c r="E1262" s="391">
        <f t="shared" si="3385"/>
        <v>10</v>
      </c>
      <c r="F1262" s="391" t="str">
        <f t="shared" ref="F1262:G1262" si="3386">F1261</f>
        <v>air</v>
      </c>
      <c r="G1262" s="401" t="str">
        <f t="shared" si="3386"/>
        <v>DE: PU particle 1-10 mm (emission to air)</v>
      </c>
      <c r="H1262" s="465">
        <v>4.7E-2</v>
      </c>
      <c r="I1262" s="394" t="s">
        <v>1162</v>
      </c>
      <c r="J1262" s="635"/>
      <c r="K1262" s="395">
        <v>193.00000000000006</v>
      </c>
      <c r="L1262" s="536"/>
      <c r="M1262" s="509">
        <f t="shared" si="3259"/>
        <v>6.4766839378238323</v>
      </c>
      <c r="N1262" s="646"/>
      <c r="O1262" s="626"/>
      <c r="P1262" s="629"/>
      <c r="Q1262" s="629"/>
    </row>
    <row r="1263" spans="1:17" ht="15.75" hidden="1" thickBot="1">
      <c r="A1263" s="390" t="str">
        <f t="shared" ref="A1263:B1263" si="3387">A1260</f>
        <v>PU</v>
      </c>
      <c r="B1263" s="391" t="str">
        <f t="shared" si="3387"/>
        <v>particle</v>
      </c>
      <c r="C1263" s="391">
        <f t="shared" si="3381"/>
        <v>6</v>
      </c>
      <c r="D1263" s="391" t="str">
        <f t="shared" ref="D1263:E1263" si="3388">D1260</f>
        <v>1-10</v>
      </c>
      <c r="E1263" s="391">
        <f t="shared" si="3388"/>
        <v>10</v>
      </c>
      <c r="F1263" s="391" t="str">
        <f t="shared" ref="F1263:G1263" si="3389">F1262</f>
        <v>air</v>
      </c>
      <c r="G1263" s="401" t="str">
        <f t="shared" si="3389"/>
        <v>DE: PU particle 1-10 mm (emission to air)</v>
      </c>
      <c r="H1263" s="465">
        <v>5.0000000000000001E-3</v>
      </c>
      <c r="I1263" s="394" t="s">
        <v>1163</v>
      </c>
      <c r="J1263" s="635"/>
      <c r="K1263" s="395">
        <v>193.00000000000006</v>
      </c>
      <c r="L1263" s="536"/>
      <c r="M1263" s="509">
        <f t="shared" si="3259"/>
        <v>6.4766839378238323</v>
      </c>
      <c r="N1263" s="646"/>
      <c r="O1263" s="626"/>
      <c r="P1263" s="629"/>
      <c r="Q1263" s="629"/>
    </row>
    <row r="1264" spans="1:17" ht="15.75" hidden="1" thickBot="1">
      <c r="A1264" s="404" t="str">
        <f t="shared" ref="A1264:B1264" si="3390">A1259</f>
        <v>PU</v>
      </c>
      <c r="B1264" s="402" t="str">
        <f t="shared" si="3390"/>
        <v>particle</v>
      </c>
      <c r="C1264" s="391">
        <f t="shared" si="3381"/>
        <v>6</v>
      </c>
      <c r="D1264" s="402" t="str">
        <f t="shared" ref="D1264:E1264" si="3391">D1259</f>
        <v>1-10</v>
      </c>
      <c r="E1264" s="402">
        <f t="shared" si="3391"/>
        <v>10</v>
      </c>
      <c r="F1264" s="391" t="str">
        <f t="shared" ref="F1264:G1264" si="3392">F1263</f>
        <v>air</v>
      </c>
      <c r="G1264" s="401" t="str">
        <f t="shared" si="3392"/>
        <v>DE: PU particle 1-10 mm (emission to air)</v>
      </c>
      <c r="H1264" s="465">
        <v>0</v>
      </c>
      <c r="I1264" s="394" t="s">
        <v>1034</v>
      </c>
      <c r="J1264" s="636"/>
      <c r="K1264" s="398" t="s">
        <v>596</v>
      </c>
      <c r="L1264" s="538"/>
      <c r="M1264" s="509">
        <f t="shared" si="3259"/>
        <v>0</v>
      </c>
      <c r="N1264" s="647"/>
      <c r="O1264" s="627"/>
      <c r="P1264" s="629"/>
      <c r="Q1264" s="629"/>
    </row>
    <row r="1265" spans="1:17" ht="16.5" hidden="1" thickTop="1" thickBot="1">
      <c r="A1265" s="442" t="s">
        <v>86</v>
      </c>
      <c r="B1265" s="443" t="s">
        <v>996</v>
      </c>
      <c r="C1265" s="444">
        <f>IF(OR(B1265="Folie", B1265="Strips", B1265="Film",B1265="Flakes",B1265="Coupon"), 2,IF(OR(B1265="Fibers",B1265="Pellets"),4,IF(OR(B1265="Particles",B1265="Shreds",B1265="Powder",B1265="Fragments",B1265="Granules"),6,"")))</f>
        <v>2</v>
      </c>
      <c r="D1265" s="444" t="s">
        <v>1018</v>
      </c>
      <c r="E1265" s="445">
        <v>0.1</v>
      </c>
      <c r="F1265" s="446" t="s">
        <v>1019</v>
      </c>
      <c r="G1265" s="447" t="str">
        <f>CONCATENATE("DE: ",A1265," ",B1265," ",D1265," mm (emission to ",F1265,")")</f>
        <v>DE: PVC film 0,01-0,1 mm (emission to soil)</v>
      </c>
      <c r="H1265" s="464">
        <v>0.97</v>
      </c>
      <c r="I1265" s="448" t="s">
        <v>1019</v>
      </c>
      <c r="J1265" s="632">
        <v>0.22800000000000001</v>
      </c>
      <c r="K1265" s="449">
        <v>0</v>
      </c>
      <c r="L1265" s="541"/>
      <c r="M1265" s="509">
        <f t="shared" si="3259"/>
        <v>1000</v>
      </c>
      <c r="N1265" s="645">
        <f t="shared" ref="N1265" si="3393">IFERROR(H1265*M1265+H1266*M1266+H1267*M1267+H1268*M1268+H1269*M1269,"N.A.")</f>
        <v>1000</v>
      </c>
      <c r="O1265" s="625"/>
      <c r="P1265" s="628">
        <f t="shared" si="3316"/>
        <v>100</v>
      </c>
      <c r="Q1265" s="628">
        <f t="shared" si="3211"/>
        <v>500</v>
      </c>
    </row>
    <row r="1266" spans="1:17" ht="15.75" hidden="1" thickBot="1">
      <c r="A1266" s="390" t="str">
        <f>A1265</f>
        <v>PVC</v>
      </c>
      <c r="B1266" s="391" t="str">
        <f>B1265</f>
        <v>film</v>
      </c>
      <c r="C1266" s="391">
        <f t="shared" ref="C1266:G1266" si="3394">C1265</f>
        <v>2</v>
      </c>
      <c r="D1266" s="391" t="str">
        <f t="shared" si="3394"/>
        <v>0,01-0,1</v>
      </c>
      <c r="E1266" s="391">
        <f t="shared" si="3394"/>
        <v>0.1</v>
      </c>
      <c r="F1266" s="391" t="str">
        <f t="shared" si="3394"/>
        <v>soil</v>
      </c>
      <c r="G1266" s="392" t="str">
        <f t="shared" si="3394"/>
        <v>DE: PVC film 0,01-0,1 mm (emission to soil)</v>
      </c>
      <c r="H1266" s="465">
        <v>0</v>
      </c>
      <c r="I1266" s="394" t="s">
        <v>1097</v>
      </c>
      <c r="J1266" s="632"/>
      <c r="K1266" s="395">
        <v>0</v>
      </c>
      <c r="L1266" s="537"/>
      <c r="M1266" s="509">
        <f t="shared" si="3259"/>
        <v>1000</v>
      </c>
      <c r="N1266" s="646"/>
      <c r="O1266" s="626"/>
      <c r="P1266" s="629"/>
      <c r="Q1266" s="629"/>
    </row>
    <row r="1267" spans="1:17" ht="15.75" hidden="1" thickBot="1">
      <c r="A1267" s="390" t="str">
        <f t="shared" ref="A1267:G1267" si="3395">A1266</f>
        <v>PVC</v>
      </c>
      <c r="B1267" s="391" t="str">
        <f t="shared" si="3395"/>
        <v>film</v>
      </c>
      <c r="C1267" s="391">
        <f t="shared" si="3395"/>
        <v>2</v>
      </c>
      <c r="D1267" s="391" t="str">
        <f t="shared" si="3395"/>
        <v>0,01-0,1</v>
      </c>
      <c r="E1267" s="391">
        <f t="shared" si="3395"/>
        <v>0.1</v>
      </c>
      <c r="F1267" s="391" t="str">
        <f t="shared" si="3395"/>
        <v>soil</v>
      </c>
      <c r="G1267" s="392" t="str">
        <f t="shared" si="3395"/>
        <v>DE: PVC film 0,01-0,1 mm (emission to soil)</v>
      </c>
      <c r="H1267" s="465">
        <v>2.7E-2</v>
      </c>
      <c r="I1267" s="394" t="s">
        <v>1143</v>
      </c>
      <c r="J1267" s="632"/>
      <c r="K1267" s="395">
        <v>0</v>
      </c>
      <c r="L1267" s="537"/>
      <c r="M1267" s="509">
        <f t="shared" si="3259"/>
        <v>1000</v>
      </c>
      <c r="N1267" s="646"/>
      <c r="O1267" s="626"/>
      <c r="P1267" s="629"/>
      <c r="Q1267" s="629"/>
    </row>
    <row r="1268" spans="1:17" ht="15.75" hidden="1" thickBot="1">
      <c r="A1268" s="390" t="str">
        <f t="shared" ref="A1268:G1268" si="3396">A1267</f>
        <v>PVC</v>
      </c>
      <c r="B1268" s="391" t="str">
        <f t="shared" si="3396"/>
        <v>film</v>
      </c>
      <c r="C1268" s="391">
        <f t="shared" si="3396"/>
        <v>2</v>
      </c>
      <c r="D1268" s="391" t="str">
        <f t="shared" si="3396"/>
        <v>0,01-0,1</v>
      </c>
      <c r="E1268" s="391">
        <f t="shared" si="3396"/>
        <v>0.1</v>
      </c>
      <c r="F1268" s="391" t="str">
        <f t="shared" si="3396"/>
        <v>soil</v>
      </c>
      <c r="G1268" s="392" t="str">
        <f t="shared" si="3396"/>
        <v>DE: PVC film 0,01-0,1 mm (emission to soil)</v>
      </c>
      <c r="H1268" s="465">
        <v>3.0000000000000001E-3</v>
      </c>
      <c r="I1268" s="394" t="s">
        <v>1146</v>
      </c>
      <c r="J1268" s="632"/>
      <c r="K1268" s="395">
        <v>0</v>
      </c>
      <c r="L1268" s="537"/>
      <c r="M1268" s="509">
        <f t="shared" si="3259"/>
        <v>1000</v>
      </c>
      <c r="N1268" s="646"/>
      <c r="O1268" s="626"/>
      <c r="P1268" s="629"/>
      <c r="Q1268" s="629"/>
    </row>
    <row r="1269" spans="1:17" ht="15.75" hidden="1" thickBot="1">
      <c r="A1269" s="390" t="str">
        <f>A1266</f>
        <v>PVC</v>
      </c>
      <c r="B1269" s="391" t="str">
        <f>B1266</f>
        <v>film</v>
      </c>
      <c r="C1269" s="391">
        <f t="shared" ref="C1269" si="3397">C1268</f>
        <v>2</v>
      </c>
      <c r="D1269" s="391" t="str">
        <f>D1266</f>
        <v>0,01-0,1</v>
      </c>
      <c r="E1269" s="391">
        <f>E1266</f>
        <v>0.1</v>
      </c>
      <c r="F1269" s="391" t="str">
        <f>F1266</f>
        <v>soil</v>
      </c>
      <c r="G1269" s="396" t="str">
        <f t="shared" ref="G1269" si="3398">G1268</f>
        <v>DE: PVC film 0,01-0,1 mm (emission to soil)</v>
      </c>
      <c r="H1269" s="465">
        <v>0</v>
      </c>
      <c r="I1269" s="397" t="s">
        <v>1034</v>
      </c>
      <c r="J1269" s="633"/>
      <c r="K1269" s="398" t="s">
        <v>596</v>
      </c>
      <c r="L1269" s="538"/>
      <c r="M1269" s="509">
        <f t="shared" si="3259"/>
        <v>0</v>
      </c>
      <c r="N1269" s="647"/>
      <c r="O1269" s="627"/>
      <c r="P1269" s="629"/>
      <c r="Q1269" s="629"/>
    </row>
    <row r="1270" spans="1:17" ht="15.75" hidden="1" thickBot="1">
      <c r="A1270" s="390" t="str">
        <f t="shared" ref="A1270:B1270" si="3399">A1267</f>
        <v>PVC</v>
      </c>
      <c r="B1270" s="391" t="str">
        <f t="shared" si="3399"/>
        <v>film</v>
      </c>
      <c r="C1270" s="391">
        <f t="shared" ref="C1270" si="3400">C1269</f>
        <v>2</v>
      </c>
      <c r="D1270" s="399" t="str">
        <f t="shared" ref="D1270:E1270" si="3401">D1267</f>
        <v>0,01-0,1</v>
      </c>
      <c r="E1270" s="391">
        <f t="shared" si="3401"/>
        <v>0.1</v>
      </c>
      <c r="F1270" s="400" t="s">
        <v>1147</v>
      </c>
      <c r="G1270" s="386" t="str">
        <f>CONCATENATE("DE: ",A1270," ",B1270," ",D1270," mm (emission to ",F1270,")")</f>
        <v>DE: PVC film 0,01-0,1 mm (emission to fresh water)</v>
      </c>
      <c r="H1270" s="466">
        <v>0</v>
      </c>
      <c r="I1270" s="388" t="s">
        <v>1019</v>
      </c>
      <c r="J1270" s="634">
        <v>0.22800000000000001</v>
      </c>
      <c r="K1270" s="389">
        <v>0</v>
      </c>
      <c r="L1270" s="536"/>
      <c r="M1270" s="509">
        <f t="shared" si="3259"/>
        <v>1000</v>
      </c>
      <c r="N1270" s="645">
        <f t="shared" ref="N1270" si="3402">IFERROR(H1270*M1270+H1271*M1271+H1272*M1272+H1273*M1273+H1274*M1274,"N.A.")</f>
        <v>1000</v>
      </c>
      <c r="O1270" s="625"/>
      <c r="P1270" s="628">
        <f t="shared" si="3316"/>
        <v>100</v>
      </c>
      <c r="Q1270" s="628">
        <f t="shared" si="3211"/>
        <v>500</v>
      </c>
    </row>
    <row r="1271" spans="1:17" ht="15.75" hidden="1" thickBot="1">
      <c r="A1271" s="390" t="str">
        <f t="shared" ref="A1271:B1271" si="3403">A1268</f>
        <v>PVC</v>
      </c>
      <c r="B1271" s="391" t="str">
        <f t="shared" si="3403"/>
        <v>film</v>
      </c>
      <c r="C1271" s="391">
        <f t="shared" ref="C1271" si="3404">C1270</f>
        <v>2</v>
      </c>
      <c r="D1271" s="391" t="str">
        <f t="shared" ref="D1271:E1271" si="3405">D1268</f>
        <v>0,01-0,1</v>
      </c>
      <c r="E1271" s="391">
        <f t="shared" si="3405"/>
        <v>0.1</v>
      </c>
      <c r="F1271" s="391" t="str">
        <f t="shared" ref="F1271:G1271" si="3406">F1270</f>
        <v>fresh water</v>
      </c>
      <c r="G1271" s="401" t="str">
        <f t="shared" si="3406"/>
        <v>DE: PVC film 0,01-0,1 mm (emission to fresh water)</v>
      </c>
      <c r="H1271" s="465">
        <v>0</v>
      </c>
      <c r="I1271" s="394" t="s">
        <v>1097</v>
      </c>
      <c r="J1271" s="635"/>
      <c r="K1271" s="389">
        <v>0</v>
      </c>
      <c r="L1271" s="536"/>
      <c r="M1271" s="509">
        <f t="shared" si="3259"/>
        <v>1000</v>
      </c>
      <c r="N1271" s="646"/>
      <c r="O1271" s="626"/>
      <c r="P1271" s="629"/>
      <c r="Q1271" s="629"/>
    </row>
    <row r="1272" spans="1:17" ht="15.75" hidden="1" thickBot="1">
      <c r="A1272" s="390" t="str">
        <f t="shared" ref="A1272:B1272" si="3407">A1269</f>
        <v>PVC</v>
      </c>
      <c r="B1272" s="391" t="str">
        <f t="shared" si="3407"/>
        <v>film</v>
      </c>
      <c r="C1272" s="391">
        <f t="shared" ref="C1272" si="3408">C1271</f>
        <v>2</v>
      </c>
      <c r="D1272" s="391" t="str">
        <f t="shared" ref="D1272:E1272" si="3409">D1269</f>
        <v>0,01-0,1</v>
      </c>
      <c r="E1272" s="391">
        <f t="shared" si="3409"/>
        <v>0.1</v>
      </c>
      <c r="F1272" s="391" t="str">
        <f t="shared" ref="F1272:G1272" si="3410">F1271</f>
        <v>fresh water</v>
      </c>
      <c r="G1272" s="401" t="str">
        <f t="shared" si="3410"/>
        <v>DE: PVC film 0,01-0,1 mm (emission to fresh water)</v>
      </c>
      <c r="H1272" s="465">
        <v>0.89</v>
      </c>
      <c r="I1272" s="394" t="s">
        <v>1143</v>
      </c>
      <c r="J1272" s="635"/>
      <c r="K1272" s="389">
        <v>0</v>
      </c>
      <c r="L1272" s="536"/>
      <c r="M1272" s="509">
        <f t="shared" si="3259"/>
        <v>1000</v>
      </c>
      <c r="N1272" s="646"/>
      <c r="O1272" s="626"/>
      <c r="P1272" s="629"/>
      <c r="Q1272" s="629"/>
    </row>
    <row r="1273" spans="1:17" ht="15.75" hidden="1" thickBot="1">
      <c r="A1273" s="390" t="str">
        <f t="shared" ref="A1273:B1273" si="3411">A1270</f>
        <v>PVC</v>
      </c>
      <c r="B1273" s="391" t="str">
        <f t="shared" si="3411"/>
        <v>film</v>
      </c>
      <c r="C1273" s="391">
        <f t="shared" ref="C1273" si="3412">C1272</f>
        <v>2</v>
      </c>
      <c r="D1273" s="391" t="str">
        <f t="shared" ref="D1273:E1273" si="3413">D1270</f>
        <v>0,01-0,1</v>
      </c>
      <c r="E1273" s="391">
        <f t="shared" si="3413"/>
        <v>0.1</v>
      </c>
      <c r="F1273" s="391" t="str">
        <f t="shared" ref="F1273:G1273" si="3414">F1272</f>
        <v>fresh water</v>
      </c>
      <c r="G1273" s="401" t="str">
        <f t="shared" si="3414"/>
        <v>DE: PVC film 0,01-0,1 mm (emission to fresh water)</v>
      </c>
      <c r="H1273" s="465">
        <v>0.11</v>
      </c>
      <c r="I1273" s="394" t="s">
        <v>1146</v>
      </c>
      <c r="J1273" s="635"/>
      <c r="K1273" s="389">
        <v>0</v>
      </c>
      <c r="L1273" s="536"/>
      <c r="M1273" s="509">
        <f t="shared" si="3259"/>
        <v>1000</v>
      </c>
      <c r="N1273" s="646"/>
      <c r="O1273" s="626"/>
      <c r="P1273" s="629"/>
      <c r="Q1273" s="629"/>
    </row>
    <row r="1274" spans="1:17" ht="15.75" hidden="1" thickBot="1">
      <c r="A1274" s="390" t="str">
        <f t="shared" ref="A1274:B1274" si="3415">A1271</f>
        <v>PVC</v>
      </c>
      <c r="B1274" s="391" t="str">
        <f t="shared" si="3415"/>
        <v>film</v>
      </c>
      <c r="C1274" s="391">
        <f t="shared" ref="C1274" si="3416">C1273</f>
        <v>2</v>
      </c>
      <c r="D1274" s="391" t="str">
        <f t="shared" ref="D1274:E1274" si="3417">D1271</f>
        <v>0,01-0,1</v>
      </c>
      <c r="E1274" s="391">
        <f t="shared" si="3417"/>
        <v>0.1</v>
      </c>
      <c r="F1274" s="402" t="str">
        <f>F1271</f>
        <v>fresh water</v>
      </c>
      <c r="G1274" s="401" t="str">
        <f t="shared" ref="G1274" si="3418">G1273</f>
        <v>DE: PVC film 0,01-0,1 mm (emission to fresh water)</v>
      </c>
      <c r="H1274" s="465">
        <v>0</v>
      </c>
      <c r="I1274" s="397" t="s">
        <v>1034</v>
      </c>
      <c r="J1274" s="654"/>
      <c r="K1274" s="398" t="s">
        <v>596</v>
      </c>
      <c r="L1274" s="538"/>
      <c r="M1274" s="509">
        <f t="shared" si="3259"/>
        <v>0</v>
      </c>
      <c r="N1274" s="647"/>
      <c r="O1274" s="627"/>
      <c r="P1274" s="629"/>
      <c r="Q1274" s="629"/>
    </row>
    <row r="1275" spans="1:17" ht="15.75" hidden="1" thickBot="1">
      <c r="A1275" s="390" t="str">
        <f t="shared" ref="A1275:B1275" si="3419">A1272</f>
        <v>PVC</v>
      </c>
      <c r="B1275" s="391" t="str">
        <f t="shared" si="3419"/>
        <v>film</v>
      </c>
      <c r="C1275" s="391">
        <f t="shared" ref="C1275" si="3420">C1274</f>
        <v>2</v>
      </c>
      <c r="D1275" s="391" t="str">
        <f t="shared" ref="D1275:E1275" si="3421">D1272</f>
        <v>0,01-0,1</v>
      </c>
      <c r="E1275" s="391">
        <f t="shared" si="3421"/>
        <v>0.1</v>
      </c>
      <c r="F1275" s="385" t="s">
        <v>1097</v>
      </c>
      <c r="G1275" s="422" t="str">
        <f>CONCATENATE("DE: ",A1275," ",B1275," ",D1275," mm (emission to ",F1275,")")</f>
        <v>DE: PVC film 0,01-0,1 mm (emission to marine water)</v>
      </c>
      <c r="H1275" s="467">
        <v>0</v>
      </c>
      <c r="I1275" s="388" t="s">
        <v>1019</v>
      </c>
      <c r="J1275" s="634">
        <v>0.22800000000000001</v>
      </c>
      <c r="K1275" s="389">
        <v>0</v>
      </c>
      <c r="L1275" s="536"/>
      <c r="M1275" s="509">
        <f t="shared" si="3259"/>
        <v>1000</v>
      </c>
      <c r="N1275" s="645">
        <f t="shared" ref="N1275" si="3422">IFERROR(H1275*M1275+H1276*M1276+H1277*M1277+H1278*M1278+H1279*M1279,"N.A.")</f>
        <v>1000</v>
      </c>
      <c r="O1275" s="625"/>
      <c r="P1275" s="628">
        <f t="shared" si="3316"/>
        <v>100</v>
      </c>
      <c r="Q1275" s="628">
        <f t="shared" ref="Q1275:Q1335" si="3423">IFERROR(IF(H1275*M1275+H1276*M1276+H1277*M1277+H1278*M1278+H1279*M1279&gt;500,500,H1275*M1275+H1276*M1276+H1277*M1277+H1278*M1278+H1279*M1279),"N.A.")</f>
        <v>500</v>
      </c>
    </row>
    <row r="1276" spans="1:17" ht="15.75" hidden="1" thickBot="1">
      <c r="A1276" s="390" t="str">
        <f t="shared" ref="A1276:B1276" si="3424">A1273</f>
        <v>PVC</v>
      </c>
      <c r="B1276" s="391" t="str">
        <f t="shared" si="3424"/>
        <v>film</v>
      </c>
      <c r="C1276" s="391">
        <f t="shared" ref="C1276" si="3425">C1275</f>
        <v>2</v>
      </c>
      <c r="D1276" s="391" t="str">
        <f t="shared" ref="D1276:E1276" si="3426">D1273</f>
        <v>0,01-0,1</v>
      </c>
      <c r="E1276" s="391">
        <f t="shared" si="3426"/>
        <v>0.1</v>
      </c>
      <c r="F1276" s="391" t="str">
        <f t="shared" ref="F1276:G1276" si="3427">F1275</f>
        <v>marine water</v>
      </c>
      <c r="G1276" s="401" t="str">
        <f t="shared" si="3427"/>
        <v>DE: PVC film 0,01-0,1 mm (emission to marine water)</v>
      </c>
      <c r="H1276" s="465">
        <v>0</v>
      </c>
      <c r="I1276" s="394" t="s">
        <v>1097</v>
      </c>
      <c r="J1276" s="635"/>
      <c r="K1276" s="389">
        <v>0</v>
      </c>
      <c r="L1276" s="536"/>
      <c r="M1276" s="509">
        <f t="shared" si="3259"/>
        <v>1000</v>
      </c>
      <c r="N1276" s="646"/>
      <c r="O1276" s="626"/>
      <c r="P1276" s="629"/>
      <c r="Q1276" s="629"/>
    </row>
    <row r="1277" spans="1:17" ht="15.75" hidden="1" thickBot="1">
      <c r="A1277" s="390" t="str">
        <f t="shared" ref="A1277:B1277" si="3428">A1274</f>
        <v>PVC</v>
      </c>
      <c r="B1277" s="391" t="str">
        <f t="shared" si="3428"/>
        <v>film</v>
      </c>
      <c r="C1277" s="391">
        <f t="shared" ref="C1277" si="3429">C1276</f>
        <v>2</v>
      </c>
      <c r="D1277" s="391" t="str">
        <f t="shared" ref="D1277:E1277" si="3430">D1274</f>
        <v>0,01-0,1</v>
      </c>
      <c r="E1277" s="391">
        <f t="shared" si="3430"/>
        <v>0.1</v>
      </c>
      <c r="F1277" s="391" t="str">
        <f t="shared" ref="F1277:G1277" si="3431">F1276</f>
        <v>marine water</v>
      </c>
      <c r="G1277" s="401" t="str">
        <f t="shared" si="3431"/>
        <v>DE: PVC film 0,01-0,1 mm (emission to marine water)</v>
      </c>
      <c r="H1277" s="465">
        <v>0</v>
      </c>
      <c r="I1277" s="394" t="s">
        <v>1143</v>
      </c>
      <c r="J1277" s="635"/>
      <c r="K1277" s="389">
        <v>0</v>
      </c>
      <c r="L1277" s="536"/>
      <c r="M1277" s="509">
        <f t="shared" si="3259"/>
        <v>1000</v>
      </c>
      <c r="N1277" s="646"/>
      <c r="O1277" s="626"/>
      <c r="P1277" s="629"/>
      <c r="Q1277" s="629"/>
    </row>
    <row r="1278" spans="1:17" ht="15.75" hidden="1" thickBot="1">
      <c r="A1278" s="390" t="str">
        <f t="shared" ref="A1278:B1278" si="3432">A1275</f>
        <v>PVC</v>
      </c>
      <c r="B1278" s="391" t="str">
        <f t="shared" si="3432"/>
        <v>film</v>
      </c>
      <c r="C1278" s="391">
        <f t="shared" ref="C1278" si="3433">C1277</f>
        <v>2</v>
      </c>
      <c r="D1278" s="391" t="str">
        <f t="shared" ref="D1278:E1278" si="3434">D1275</f>
        <v>0,01-0,1</v>
      </c>
      <c r="E1278" s="391">
        <f t="shared" si="3434"/>
        <v>0.1</v>
      </c>
      <c r="F1278" s="391" t="str">
        <f t="shared" ref="F1278:G1278" si="3435">F1277</f>
        <v>marine water</v>
      </c>
      <c r="G1278" s="401" t="str">
        <f t="shared" si="3435"/>
        <v>DE: PVC film 0,01-0,1 mm (emission to marine water)</v>
      </c>
      <c r="H1278" s="465">
        <v>1</v>
      </c>
      <c r="I1278" s="394" t="s">
        <v>1146</v>
      </c>
      <c r="J1278" s="635"/>
      <c r="K1278" s="389">
        <v>0</v>
      </c>
      <c r="L1278" s="536"/>
      <c r="M1278" s="509">
        <f t="shared" si="3259"/>
        <v>1000</v>
      </c>
      <c r="N1278" s="646"/>
      <c r="O1278" s="626"/>
      <c r="P1278" s="629"/>
      <c r="Q1278" s="629"/>
    </row>
    <row r="1279" spans="1:17" ht="15.75" hidden="1" thickBot="1">
      <c r="A1279" s="390" t="str">
        <f t="shared" ref="A1279:B1279" si="3436">A1276</f>
        <v>PVC</v>
      </c>
      <c r="B1279" s="391" t="str">
        <f t="shared" si="3436"/>
        <v>film</v>
      </c>
      <c r="C1279" s="391">
        <f t="shared" ref="C1279" si="3437">C1278</f>
        <v>2</v>
      </c>
      <c r="D1279" s="391" t="str">
        <f t="shared" ref="D1279:E1279" si="3438">D1276</f>
        <v>0,01-0,1</v>
      </c>
      <c r="E1279" s="391">
        <f t="shared" si="3438"/>
        <v>0.1</v>
      </c>
      <c r="F1279" s="391" t="str">
        <f t="shared" ref="F1279:G1279" si="3439">F1278</f>
        <v>marine water</v>
      </c>
      <c r="G1279" s="401" t="str">
        <f t="shared" si="3439"/>
        <v>DE: PVC film 0,01-0,1 mm (emission to marine water)</v>
      </c>
      <c r="H1279" s="465">
        <v>0</v>
      </c>
      <c r="I1279" s="397" t="s">
        <v>1034</v>
      </c>
      <c r="J1279" s="654"/>
      <c r="K1279" s="398" t="s">
        <v>596</v>
      </c>
      <c r="L1279" s="538"/>
      <c r="M1279" s="509">
        <f t="shared" si="3259"/>
        <v>0</v>
      </c>
      <c r="N1279" s="647"/>
      <c r="O1279" s="627"/>
      <c r="P1279" s="629"/>
      <c r="Q1279" s="629"/>
    </row>
    <row r="1280" spans="1:17" ht="15.75" hidden="1" thickBot="1">
      <c r="A1280" s="390" t="str">
        <f t="shared" ref="A1280:B1280" si="3440">A1277</f>
        <v>PVC</v>
      </c>
      <c r="B1280" s="391" t="str">
        <f t="shared" si="3440"/>
        <v>film</v>
      </c>
      <c r="C1280" s="391">
        <f t="shared" ref="C1280" si="3441">C1279</f>
        <v>2</v>
      </c>
      <c r="D1280" s="391" t="str">
        <f t="shared" ref="D1280:E1280" si="3442">D1277</f>
        <v>0,01-0,1</v>
      </c>
      <c r="E1280" s="391">
        <f t="shared" si="3442"/>
        <v>0.1</v>
      </c>
      <c r="F1280" s="400" t="s">
        <v>1057</v>
      </c>
      <c r="G1280" s="422" t="str">
        <f>CONCATENATE("DE: ",A1280," ",B1280," ",D1280," mm (emission to ",F1280,")")</f>
        <v>DE: PVC film 0,01-0,1 mm (emission to air)</v>
      </c>
      <c r="H1280" s="467">
        <v>0.94799999999999995</v>
      </c>
      <c r="I1280" s="388" t="s">
        <v>1019</v>
      </c>
      <c r="J1280" s="634">
        <v>0.22800000000000001</v>
      </c>
      <c r="K1280" s="389">
        <v>0</v>
      </c>
      <c r="L1280" s="536"/>
      <c r="M1280" s="509">
        <f t="shared" si="3259"/>
        <v>1000</v>
      </c>
      <c r="N1280" s="645">
        <f t="shared" ref="N1280" si="3443">IFERROR(H1280*M1280+H1281*M1281+H1282*M1282+H1283*M1283+H1284*M1284,"N.A.")</f>
        <v>1000</v>
      </c>
      <c r="O1280" s="625"/>
      <c r="P1280" s="628">
        <f t="shared" si="3316"/>
        <v>100</v>
      </c>
      <c r="Q1280" s="628">
        <f t="shared" si="3423"/>
        <v>500</v>
      </c>
    </row>
    <row r="1281" spans="1:17" ht="15.75" hidden="1" thickBot="1">
      <c r="A1281" s="390" t="str">
        <f t="shared" ref="A1281:B1281" si="3444">A1278</f>
        <v>PVC</v>
      </c>
      <c r="B1281" s="391" t="str">
        <f t="shared" si="3444"/>
        <v>film</v>
      </c>
      <c r="C1281" s="391">
        <f t="shared" ref="C1281" si="3445">C1280</f>
        <v>2</v>
      </c>
      <c r="D1281" s="391" t="str">
        <f t="shared" ref="D1281:E1281" si="3446">D1278</f>
        <v>0,01-0,1</v>
      </c>
      <c r="E1281" s="391">
        <f t="shared" si="3446"/>
        <v>0.1</v>
      </c>
      <c r="F1281" s="391" t="str">
        <f t="shared" ref="F1281:G1281" si="3447">F1280</f>
        <v>air</v>
      </c>
      <c r="G1281" s="401" t="str">
        <f t="shared" si="3447"/>
        <v>DE: PVC film 0,01-0,1 mm (emission to air)</v>
      </c>
      <c r="H1281" s="465">
        <v>0</v>
      </c>
      <c r="I1281" s="394" t="s">
        <v>1097</v>
      </c>
      <c r="J1281" s="635"/>
      <c r="K1281" s="389">
        <v>0</v>
      </c>
      <c r="L1281" s="536"/>
      <c r="M1281" s="509">
        <f t="shared" si="3259"/>
        <v>1000</v>
      </c>
      <c r="N1281" s="646"/>
      <c r="O1281" s="626"/>
      <c r="P1281" s="629"/>
      <c r="Q1281" s="629"/>
    </row>
    <row r="1282" spans="1:17" ht="15.75" hidden="1" thickBot="1">
      <c r="A1282" s="390" t="str">
        <f t="shared" ref="A1282:B1282" si="3448">A1279</f>
        <v>PVC</v>
      </c>
      <c r="B1282" s="391" t="str">
        <f t="shared" si="3448"/>
        <v>film</v>
      </c>
      <c r="C1282" s="391">
        <f t="shared" ref="C1282" si="3449">C1281</f>
        <v>2</v>
      </c>
      <c r="D1282" s="391" t="str">
        <f t="shared" ref="D1282:E1282" si="3450">D1279</f>
        <v>0,01-0,1</v>
      </c>
      <c r="E1282" s="391">
        <f t="shared" si="3450"/>
        <v>0.1</v>
      </c>
      <c r="F1282" s="391" t="str">
        <f t="shared" ref="F1282:G1282" si="3451">F1281</f>
        <v>air</v>
      </c>
      <c r="G1282" s="401" t="str">
        <f t="shared" si="3451"/>
        <v>DE: PVC film 0,01-0,1 mm (emission to air)</v>
      </c>
      <c r="H1282" s="465">
        <v>4.7E-2</v>
      </c>
      <c r="I1282" s="394" t="s">
        <v>1143</v>
      </c>
      <c r="J1282" s="635"/>
      <c r="K1282" s="389">
        <v>0</v>
      </c>
      <c r="L1282" s="536"/>
      <c r="M1282" s="509">
        <f t="shared" si="3259"/>
        <v>1000</v>
      </c>
      <c r="N1282" s="646"/>
      <c r="O1282" s="626"/>
      <c r="P1282" s="629"/>
      <c r="Q1282" s="629"/>
    </row>
    <row r="1283" spans="1:17" ht="15.75" hidden="1" thickBot="1">
      <c r="A1283" s="390" t="str">
        <f t="shared" ref="A1283:B1283" si="3452">A1280</f>
        <v>PVC</v>
      </c>
      <c r="B1283" s="391" t="str">
        <f t="shared" si="3452"/>
        <v>film</v>
      </c>
      <c r="C1283" s="391">
        <f t="shared" ref="C1283" si="3453">C1282</f>
        <v>2</v>
      </c>
      <c r="D1283" s="391" t="str">
        <f t="shared" ref="D1283:E1283" si="3454">D1280</f>
        <v>0,01-0,1</v>
      </c>
      <c r="E1283" s="391">
        <f t="shared" si="3454"/>
        <v>0.1</v>
      </c>
      <c r="F1283" s="391" t="str">
        <f t="shared" ref="F1283:G1283" si="3455">F1282</f>
        <v>air</v>
      </c>
      <c r="G1283" s="401" t="str">
        <f t="shared" si="3455"/>
        <v>DE: PVC film 0,01-0,1 mm (emission to air)</v>
      </c>
      <c r="H1283" s="465">
        <v>5.0000000000000001E-3</v>
      </c>
      <c r="I1283" s="394" t="s">
        <v>1146</v>
      </c>
      <c r="J1283" s="635"/>
      <c r="K1283" s="389">
        <v>0</v>
      </c>
      <c r="L1283" s="536"/>
      <c r="M1283" s="509">
        <f t="shared" si="3259"/>
        <v>1000</v>
      </c>
      <c r="N1283" s="646"/>
      <c r="O1283" s="626"/>
      <c r="P1283" s="629"/>
      <c r="Q1283" s="629"/>
    </row>
    <row r="1284" spans="1:17" ht="15.75" hidden="1" thickBot="1">
      <c r="A1284" s="404" t="str">
        <f t="shared" ref="A1284:B1284" si="3456">A1279</f>
        <v>PVC</v>
      </c>
      <c r="B1284" s="402" t="str">
        <f t="shared" si="3456"/>
        <v>film</v>
      </c>
      <c r="C1284" s="391">
        <f t="shared" ref="C1284" si="3457">C1283</f>
        <v>2</v>
      </c>
      <c r="D1284" s="402" t="str">
        <f t="shared" ref="D1284:E1284" si="3458">D1279</f>
        <v>0,01-0,1</v>
      </c>
      <c r="E1284" s="402">
        <f t="shared" si="3458"/>
        <v>0.1</v>
      </c>
      <c r="F1284" s="391" t="str">
        <f t="shared" ref="F1284:G1284" si="3459">F1283</f>
        <v>air</v>
      </c>
      <c r="G1284" s="401" t="str">
        <f t="shared" si="3459"/>
        <v>DE: PVC film 0,01-0,1 mm (emission to air)</v>
      </c>
      <c r="H1284" s="465">
        <v>0</v>
      </c>
      <c r="I1284" s="394" t="s">
        <v>1034</v>
      </c>
      <c r="J1284" s="636"/>
      <c r="K1284" s="398" t="s">
        <v>596</v>
      </c>
      <c r="L1284" s="538"/>
      <c r="M1284" s="509">
        <f t="shared" si="3259"/>
        <v>0</v>
      </c>
      <c r="N1284" s="647"/>
      <c r="O1284" s="627"/>
      <c r="P1284" s="629"/>
      <c r="Q1284" s="629"/>
    </row>
    <row r="1285" spans="1:17" ht="16.5" hidden="1" thickTop="1" thickBot="1">
      <c r="A1285" s="405" t="s">
        <v>86</v>
      </c>
      <c r="B1285" s="406" t="s">
        <v>996</v>
      </c>
      <c r="C1285" s="407">
        <f>IF(OR(B1285="Folie", B1285="Strips", B1285="Film",B1285="Flakes",B1285="Coupon"), 2,IF(OR(B1285="Fibers",B1285="Pellets"),4,IF(OR(B1285="Particles",B1285="Shreds",B1285="Powder",B1285="Fragments",B1285="Granules"),6,"")))</f>
        <v>2</v>
      </c>
      <c r="D1285" s="423" t="s">
        <v>1028</v>
      </c>
      <c r="E1285" s="408">
        <v>1</v>
      </c>
      <c r="F1285" s="424" t="s">
        <v>1019</v>
      </c>
      <c r="G1285" s="425" t="str">
        <f>CONCATENATE("DE: ",A1285," ",B1285," ",D1285," mm (emission to ",F1285,")")</f>
        <v>DE: PVC film 0,1-1 mm (emission to soil)</v>
      </c>
      <c r="H1285" s="464">
        <v>0.97</v>
      </c>
      <c r="I1285" s="427" t="s">
        <v>1019</v>
      </c>
      <c r="J1285" s="632">
        <v>0.22800000000000001</v>
      </c>
      <c r="K1285" s="449">
        <v>0</v>
      </c>
      <c r="L1285" s="536"/>
      <c r="M1285" s="509">
        <f t="shared" si="3259"/>
        <v>1000</v>
      </c>
      <c r="N1285" s="645">
        <f t="shared" ref="N1285" si="3460">IFERROR(H1285*M1285+H1286*M1286+H1287*M1287+H1288*M1288+H1289*M1289,"N.A.")</f>
        <v>1000</v>
      </c>
      <c r="O1285" s="625"/>
      <c r="P1285" s="628">
        <f t="shared" si="3316"/>
        <v>100</v>
      </c>
      <c r="Q1285" s="628">
        <f t="shared" si="3423"/>
        <v>500</v>
      </c>
    </row>
    <row r="1286" spans="1:17" ht="15.75" hidden="1" thickBot="1">
      <c r="A1286" s="390" t="str">
        <f>A1285</f>
        <v>PVC</v>
      </c>
      <c r="B1286" s="391" t="str">
        <f>B1285</f>
        <v>film</v>
      </c>
      <c r="C1286" s="391">
        <f t="shared" ref="C1286:G1286" si="3461">C1285</f>
        <v>2</v>
      </c>
      <c r="D1286" s="391" t="str">
        <f t="shared" si="3461"/>
        <v>0,1-1</v>
      </c>
      <c r="E1286" s="391">
        <f t="shared" si="3461"/>
        <v>1</v>
      </c>
      <c r="F1286" s="391" t="str">
        <f t="shared" si="3461"/>
        <v>soil</v>
      </c>
      <c r="G1286" s="392" t="str">
        <f t="shared" si="3461"/>
        <v>DE: PVC film 0,1-1 mm (emission to soil)</v>
      </c>
      <c r="H1286" s="465">
        <v>0</v>
      </c>
      <c r="I1286" s="394" t="s">
        <v>1097</v>
      </c>
      <c r="J1286" s="632"/>
      <c r="K1286" s="395">
        <v>0</v>
      </c>
      <c r="L1286" s="537"/>
      <c r="M1286" s="509">
        <f t="shared" ref="M1286:M1349" si="3462">IFERROR(IF(K1286="--",0,IF(E1286*1000/K1286*(1-0.5)^(C1286/2)&gt;1000,1000,E1286*1000/K1286*(1-0.5)^(C1286/2))),1000)</f>
        <v>1000</v>
      </c>
      <c r="N1286" s="646"/>
      <c r="O1286" s="626"/>
      <c r="P1286" s="629"/>
      <c r="Q1286" s="629"/>
    </row>
    <row r="1287" spans="1:17" ht="15.75" hidden="1" thickBot="1">
      <c r="A1287" s="390" t="str">
        <f t="shared" ref="A1287:G1287" si="3463">A1286</f>
        <v>PVC</v>
      </c>
      <c r="B1287" s="391" t="str">
        <f t="shared" si="3463"/>
        <v>film</v>
      </c>
      <c r="C1287" s="391">
        <f t="shared" si="3463"/>
        <v>2</v>
      </c>
      <c r="D1287" s="391" t="str">
        <f t="shared" si="3463"/>
        <v>0,1-1</v>
      </c>
      <c r="E1287" s="391">
        <f t="shared" si="3463"/>
        <v>1</v>
      </c>
      <c r="F1287" s="391" t="str">
        <f t="shared" si="3463"/>
        <v>soil</v>
      </c>
      <c r="G1287" s="392" t="str">
        <f t="shared" si="3463"/>
        <v>DE: PVC film 0,1-1 mm (emission to soil)</v>
      </c>
      <c r="H1287" s="465">
        <v>2.7E-2</v>
      </c>
      <c r="I1287" s="394" t="s">
        <v>1143</v>
      </c>
      <c r="J1287" s="632"/>
      <c r="K1287" s="395">
        <v>0</v>
      </c>
      <c r="L1287" s="537"/>
      <c r="M1287" s="509">
        <f t="shared" si="3462"/>
        <v>1000</v>
      </c>
      <c r="N1287" s="646"/>
      <c r="O1287" s="626"/>
      <c r="P1287" s="629"/>
      <c r="Q1287" s="629"/>
    </row>
    <row r="1288" spans="1:17" ht="15.75" hidden="1" thickBot="1">
      <c r="A1288" s="390" t="str">
        <f t="shared" ref="A1288:G1288" si="3464">A1287</f>
        <v>PVC</v>
      </c>
      <c r="B1288" s="391" t="str">
        <f t="shared" si="3464"/>
        <v>film</v>
      </c>
      <c r="C1288" s="391">
        <f t="shared" si="3464"/>
        <v>2</v>
      </c>
      <c r="D1288" s="391" t="str">
        <f t="shared" si="3464"/>
        <v>0,1-1</v>
      </c>
      <c r="E1288" s="391">
        <f t="shared" si="3464"/>
        <v>1</v>
      </c>
      <c r="F1288" s="391" t="str">
        <f t="shared" si="3464"/>
        <v>soil</v>
      </c>
      <c r="G1288" s="392" t="str">
        <f t="shared" si="3464"/>
        <v>DE: PVC film 0,1-1 mm (emission to soil)</v>
      </c>
      <c r="H1288" s="465">
        <v>3.0000000000000001E-3</v>
      </c>
      <c r="I1288" s="394" t="s">
        <v>1146</v>
      </c>
      <c r="J1288" s="632"/>
      <c r="K1288" s="395">
        <v>0</v>
      </c>
      <c r="L1288" s="537"/>
      <c r="M1288" s="509">
        <f t="shared" si="3462"/>
        <v>1000</v>
      </c>
      <c r="N1288" s="646"/>
      <c r="O1288" s="626"/>
      <c r="P1288" s="629"/>
      <c r="Q1288" s="629"/>
    </row>
    <row r="1289" spans="1:17" ht="15.75" hidden="1" thickBot="1">
      <c r="A1289" s="390" t="str">
        <f>A1286</f>
        <v>PVC</v>
      </c>
      <c r="B1289" s="391" t="str">
        <f>B1286</f>
        <v>film</v>
      </c>
      <c r="C1289" s="391">
        <f t="shared" ref="C1289" si="3465">C1288</f>
        <v>2</v>
      </c>
      <c r="D1289" s="391" t="str">
        <f>D1286</f>
        <v>0,1-1</v>
      </c>
      <c r="E1289" s="391">
        <f>E1286</f>
        <v>1</v>
      </c>
      <c r="F1289" s="391" t="str">
        <f>F1286</f>
        <v>soil</v>
      </c>
      <c r="G1289" s="396" t="str">
        <f t="shared" ref="G1289" si="3466">G1288</f>
        <v>DE: PVC film 0,1-1 mm (emission to soil)</v>
      </c>
      <c r="H1289" s="465">
        <v>0</v>
      </c>
      <c r="I1289" s="397" t="s">
        <v>1034</v>
      </c>
      <c r="J1289" s="633"/>
      <c r="K1289" s="398" t="s">
        <v>596</v>
      </c>
      <c r="L1289" s="538"/>
      <c r="M1289" s="509">
        <f t="shared" si="3462"/>
        <v>0</v>
      </c>
      <c r="N1289" s="647"/>
      <c r="O1289" s="627"/>
      <c r="P1289" s="629"/>
      <c r="Q1289" s="629"/>
    </row>
    <row r="1290" spans="1:17" ht="15.75" hidden="1" thickBot="1">
      <c r="A1290" s="390" t="str">
        <f t="shared" ref="A1290:B1290" si="3467">A1287</f>
        <v>PVC</v>
      </c>
      <c r="B1290" s="391" t="str">
        <f t="shared" si="3467"/>
        <v>film</v>
      </c>
      <c r="C1290" s="391">
        <f t="shared" ref="C1290" si="3468">C1289</f>
        <v>2</v>
      </c>
      <c r="D1290" s="399" t="str">
        <f t="shared" ref="D1290:E1290" si="3469">D1287</f>
        <v>0,1-1</v>
      </c>
      <c r="E1290" s="391">
        <f t="shared" si="3469"/>
        <v>1</v>
      </c>
      <c r="F1290" s="400" t="s">
        <v>1147</v>
      </c>
      <c r="G1290" s="386" t="str">
        <f>CONCATENATE("DE: ",A1290," ",B1290," ",D1290," mm (emission to ",F1290,")")</f>
        <v>DE: PVC film 0,1-1 mm (emission to fresh water)</v>
      </c>
      <c r="H1290" s="466">
        <v>0</v>
      </c>
      <c r="I1290" s="388" t="s">
        <v>1019</v>
      </c>
      <c r="J1290" s="634">
        <v>0.22800000000000001</v>
      </c>
      <c r="K1290" s="389">
        <v>0</v>
      </c>
      <c r="L1290" s="536"/>
      <c r="M1290" s="509">
        <f t="shared" si="3462"/>
        <v>1000</v>
      </c>
      <c r="N1290" s="645">
        <f t="shared" ref="N1290" si="3470">IFERROR(H1290*M1290+H1291*M1291+H1292*M1292+H1293*M1293+H1294*M1294,"N.A.")</f>
        <v>1000</v>
      </c>
      <c r="O1290" s="625"/>
      <c r="P1290" s="628">
        <f t="shared" si="3316"/>
        <v>100</v>
      </c>
      <c r="Q1290" s="628">
        <f t="shared" si="3423"/>
        <v>500</v>
      </c>
    </row>
    <row r="1291" spans="1:17" ht="15.75" hidden="1" thickBot="1">
      <c r="A1291" s="390" t="str">
        <f t="shared" ref="A1291:B1291" si="3471">A1288</f>
        <v>PVC</v>
      </c>
      <c r="B1291" s="391" t="str">
        <f t="shared" si="3471"/>
        <v>film</v>
      </c>
      <c r="C1291" s="391">
        <f t="shared" ref="C1291" si="3472">C1290</f>
        <v>2</v>
      </c>
      <c r="D1291" s="391" t="str">
        <f t="shared" ref="D1291:E1291" si="3473">D1288</f>
        <v>0,1-1</v>
      </c>
      <c r="E1291" s="391">
        <f t="shared" si="3473"/>
        <v>1</v>
      </c>
      <c r="F1291" s="391" t="str">
        <f t="shared" ref="F1291:G1291" si="3474">F1290</f>
        <v>fresh water</v>
      </c>
      <c r="G1291" s="401" t="str">
        <f t="shared" si="3474"/>
        <v>DE: PVC film 0,1-1 mm (emission to fresh water)</v>
      </c>
      <c r="H1291" s="465">
        <v>0</v>
      </c>
      <c r="I1291" s="394" t="s">
        <v>1097</v>
      </c>
      <c r="J1291" s="635"/>
      <c r="K1291" s="389">
        <v>0</v>
      </c>
      <c r="L1291" s="536"/>
      <c r="M1291" s="509">
        <f t="shared" si="3462"/>
        <v>1000</v>
      </c>
      <c r="N1291" s="646"/>
      <c r="O1291" s="626"/>
      <c r="P1291" s="629"/>
      <c r="Q1291" s="629"/>
    </row>
    <row r="1292" spans="1:17" ht="15.75" hidden="1" thickBot="1">
      <c r="A1292" s="390" t="str">
        <f t="shared" ref="A1292:B1292" si="3475">A1289</f>
        <v>PVC</v>
      </c>
      <c r="B1292" s="391" t="str">
        <f t="shared" si="3475"/>
        <v>film</v>
      </c>
      <c r="C1292" s="391">
        <f t="shared" ref="C1292" si="3476">C1291</f>
        <v>2</v>
      </c>
      <c r="D1292" s="391" t="str">
        <f t="shared" ref="D1292:E1292" si="3477">D1289</f>
        <v>0,1-1</v>
      </c>
      <c r="E1292" s="391">
        <f t="shared" si="3477"/>
        <v>1</v>
      </c>
      <c r="F1292" s="391" t="str">
        <f t="shared" ref="F1292:G1292" si="3478">F1291</f>
        <v>fresh water</v>
      </c>
      <c r="G1292" s="401" t="str">
        <f t="shared" si="3478"/>
        <v>DE: PVC film 0,1-1 mm (emission to fresh water)</v>
      </c>
      <c r="H1292" s="465">
        <v>0.89</v>
      </c>
      <c r="I1292" s="394" t="s">
        <v>1143</v>
      </c>
      <c r="J1292" s="635"/>
      <c r="K1292" s="389">
        <v>0</v>
      </c>
      <c r="L1292" s="536"/>
      <c r="M1292" s="509">
        <f t="shared" si="3462"/>
        <v>1000</v>
      </c>
      <c r="N1292" s="646"/>
      <c r="O1292" s="626"/>
      <c r="P1292" s="629"/>
      <c r="Q1292" s="629"/>
    </row>
    <row r="1293" spans="1:17" ht="15.75" hidden="1" thickBot="1">
      <c r="A1293" s="390" t="str">
        <f t="shared" ref="A1293:B1293" si="3479">A1290</f>
        <v>PVC</v>
      </c>
      <c r="B1293" s="391" t="str">
        <f t="shared" si="3479"/>
        <v>film</v>
      </c>
      <c r="C1293" s="391">
        <f t="shared" ref="C1293" si="3480">C1292</f>
        <v>2</v>
      </c>
      <c r="D1293" s="391" t="str">
        <f t="shared" ref="D1293:E1293" si="3481">D1290</f>
        <v>0,1-1</v>
      </c>
      <c r="E1293" s="391">
        <f t="shared" si="3481"/>
        <v>1</v>
      </c>
      <c r="F1293" s="391" t="str">
        <f t="shared" ref="F1293:G1293" si="3482">F1292</f>
        <v>fresh water</v>
      </c>
      <c r="G1293" s="401" t="str">
        <f t="shared" si="3482"/>
        <v>DE: PVC film 0,1-1 mm (emission to fresh water)</v>
      </c>
      <c r="H1293" s="465">
        <v>0.11</v>
      </c>
      <c r="I1293" s="394" t="s">
        <v>1146</v>
      </c>
      <c r="J1293" s="635"/>
      <c r="K1293" s="389">
        <v>0</v>
      </c>
      <c r="L1293" s="536"/>
      <c r="M1293" s="509">
        <f t="shared" si="3462"/>
        <v>1000</v>
      </c>
      <c r="N1293" s="646"/>
      <c r="O1293" s="626"/>
      <c r="P1293" s="629"/>
      <c r="Q1293" s="629"/>
    </row>
    <row r="1294" spans="1:17" ht="15.75" hidden="1" thickBot="1">
      <c r="A1294" s="390" t="str">
        <f t="shared" ref="A1294:B1294" si="3483">A1291</f>
        <v>PVC</v>
      </c>
      <c r="B1294" s="391" t="str">
        <f t="shared" si="3483"/>
        <v>film</v>
      </c>
      <c r="C1294" s="391">
        <f t="shared" ref="C1294" si="3484">C1293</f>
        <v>2</v>
      </c>
      <c r="D1294" s="391" t="str">
        <f t="shared" ref="D1294:E1294" si="3485">D1291</f>
        <v>0,1-1</v>
      </c>
      <c r="E1294" s="391">
        <f t="shared" si="3485"/>
        <v>1</v>
      </c>
      <c r="F1294" s="402" t="str">
        <f>F1291</f>
        <v>fresh water</v>
      </c>
      <c r="G1294" s="401" t="str">
        <f t="shared" ref="G1294" si="3486">G1293</f>
        <v>DE: PVC film 0,1-1 mm (emission to fresh water)</v>
      </c>
      <c r="H1294" s="465">
        <v>0</v>
      </c>
      <c r="I1294" s="397" t="s">
        <v>1034</v>
      </c>
      <c r="J1294" s="654"/>
      <c r="K1294" s="398" t="s">
        <v>596</v>
      </c>
      <c r="L1294" s="538"/>
      <c r="M1294" s="509">
        <f t="shared" si="3462"/>
        <v>0</v>
      </c>
      <c r="N1294" s="647"/>
      <c r="O1294" s="627"/>
      <c r="P1294" s="629"/>
      <c r="Q1294" s="629"/>
    </row>
    <row r="1295" spans="1:17" ht="15.75" hidden="1" thickBot="1">
      <c r="A1295" s="390" t="str">
        <f t="shared" ref="A1295:B1295" si="3487">A1292</f>
        <v>PVC</v>
      </c>
      <c r="B1295" s="391" t="str">
        <f t="shared" si="3487"/>
        <v>film</v>
      </c>
      <c r="C1295" s="391">
        <f t="shared" ref="C1295" si="3488">C1294</f>
        <v>2</v>
      </c>
      <c r="D1295" s="391" t="str">
        <f t="shared" ref="D1295:E1295" si="3489">D1292</f>
        <v>0,1-1</v>
      </c>
      <c r="E1295" s="391">
        <f t="shared" si="3489"/>
        <v>1</v>
      </c>
      <c r="F1295" s="385" t="s">
        <v>1097</v>
      </c>
      <c r="G1295" s="422" t="str">
        <f>CONCATENATE("DE: ",A1295," ",B1295," ",D1295," mm (emission to ",F1295,")")</f>
        <v>DE: PVC film 0,1-1 mm (emission to marine water)</v>
      </c>
      <c r="H1295" s="467">
        <v>0</v>
      </c>
      <c r="I1295" s="388" t="s">
        <v>1019</v>
      </c>
      <c r="J1295" s="634">
        <v>0.22800000000000001</v>
      </c>
      <c r="K1295" s="389">
        <v>0</v>
      </c>
      <c r="L1295" s="536"/>
      <c r="M1295" s="509">
        <f t="shared" si="3462"/>
        <v>1000</v>
      </c>
      <c r="N1295" s="645">
        <f t="shared" ref="N1295" si="3490">IFERROR(H1295*M1295+H1296*M1296+H1297*M1297+H1298*M1298+H1299*M1299,"N.A.")</f>
        <v>1000</v>
      </c>
      <c r="O1295" s="625"/>
      <c r="P1295" s="628">
        <f t="shared" si="3316"/>
        <v>100</v>
      </c>
      <c r="Q1295" s="628">
        <f t="shared" si="3423"/>
        <v>500</v>
      </c>
    </row>
    <row r="1296" spans="1:17" ht="15.75" hidden="1" thickBot="1">
      <c r="A1296" s="390" t="str">
        <f t="shared" ref="A1296:B1296" si="3491">A1293</f>
        <v>PVC</v>
      </c>
      <c r="B1296" s="391" t="str">
        <f t="shared" si="3491"/>
        <v>film</v>
      </c>
      <c r="C1296" s="391">
        <f t="shared" ref="C1296" si="3492">C1295</f>
        <v>2</v>
      </c>
      <c r="D1296" s="391" t="str">
        <f t="shared" ref="D1296:E1296" si="3493">D1293</f>
        <v>0,1-1</v>
      </c>
      <c r="E1296" s="391">
        <f t="shared" si="3493"/>
        <v>1</v>
      </c>
      <c r="F1296" s="391" t="str">
        <f t="shared" ref="F1296:G1296" si="3494">F1295</f>
        <v>marine water</v>
      </c>
      <c r="G1296" s="401" t="str">
        <f t="shared" si="3494"/>
        <v>DE: PVC film 0,1-1 mm (emission to marine water)</v>
      </c>
      <c r="H1296" s="465">
        <v>0</v>
      </c>
      <c r="I1296" s="394" t="s">
        <v>1097</v>
      </c>
      <c r="J1296" s="635"/>
      <c r="K1296" s="389">
        <v>0</v>
      </c>
      <c r="L1296" s="536"/>
      <c r="M1296" s="509">
        <f t="shared" si="3462"/>
        <v>1000</v>
      </c>
      <c r="N1296" s="646"/>
      <c r="O1296" s="626"/>
      <c r="P1296" s="629"/>
      <c r="Q1296" s="629"/>
    </row>
    <row r="1297" spans="1:17" ht="15.75" hidden="1" thickBot="1">
      <c r="A1297" s="390" t="str">
        <f t="shared" ref="A1297:B1297" si="3495">A1294</f>
        <v>PVC</v>
      </c>
      <c r="B1297" s="391" t="str">
        <f t="shared" si="3495"/>
        <v>film</v>
      </c>
      <c r="C1297" s="391">
        <f t="shared" ref="C1297" si="3496">C1296</f>
        <v>2</v>
      </c>
      <c r="D1297" s="391" t="str">
        <f t="shared" ref="D1297:E1297" si="3497">D1294</f>
        <v>0,1-1</v>
      </c>
      <c r="E1297" s="391">
        <f t="shared" si="3497"/>
        <v>1</v>
      </c>
      <c r="F1297" s="391" t="str">
        <f t="shared" ref="F1297:G1297" si="3498">F1296</f>
        <v>marine water</v>
      </c>
      <c r="G1297" s="401" t="str">
        <f t="shared" si="3498"/>
        <v>DE: PVC film 0,1-1 mm (emission to marine water)</v>
      </c>
      <c r="H1297" s="465">
        <v>0</v>
      </c>
      <c r="I1297" s="394" t="s">
        <v>1143</v>
      </c>
      <c r="J1297" s="635"/>
      <c r="K1297" s="389">
        <v>0</v>
      </c>
      <c r="L1297" s="536"/>
      <c r="M1297" s="509">
        <f t="shared" si="3462"/>
        <v>1000</v>
      </c>
      <c r="N1297" s="646"/>
      <c r="O1297" s="626"/>
      <c r="P1297" s="629"/>
      <c r="Q1297" s="629"/>
    </row>
    <row r="1298" spans="1:17" ht="15.75" hidden="1" thickBot="1">
      <c r="A1298" s="390" t="str">
        <f t="shared" ref="A1298:B1298" si="3499">A1295</f>
        <v>PVC</v>
      </c>
      <c r="B1298" s="391" t="str">
        <f t="shared" si="3499"/>
        <v>film</v>
      </c>
      <c r="C1298" s="391">
        <f t="shared" ref="C1298" si="3500">C1297</f>
        <v>2</v>
      </c>
      <c r="D1298" s="391" t="str">
        <f t="shared" ref="D1298:E1298" si="3501">D1295</f>
        <v>0,1-1</v>
      </c>
      <c r="E1298" s="391">
        <f t="shared" si="3501"/>
        <v>1</v>
      </c>
      <c r="F1298" s="391" t="str">
        <f t="shared" ref="F1298:G1298" si="3502">F1297</f>
        <v>marine water</v>
      </c>
      <c r="G1298" s="401" t="str">
        <f t="shared" si="3502"/>
        <v>DE: PVC film 0,1-1 mm (emission to marine water)</v>
      </c>
      <c r="H1298" s="465">
        <v>1</v>
      </c>
      <c r="I1298" s="394" t="s">
        <v>1146</v>
      </c>
      <c r="J1298" s="635"/>
      <c r="K1298" s="389">
        <v>0</v>
      </c>
      <c r="L1298" s="536"/>
      <c r="M1298" s="509">
        <f t="shared" si="3462"/>
        <v>1000</v>
      </c>
      <c r="N1298" s="646"/>
      <c r="O1298" s="626"/>
      <c r="P1298" s="629"/>
      <c r="Q1298" s="629"/>
    </row>
    <row r="1299" spans="1:17" ht="15.75" hidden="1" thickBot="1">
      <c r="A1299" s="390" t="str">
        <f t="shared" ref="A1299:B1299" si="3503">A1296</f>
        <v>PVC</v>
      </c>
      <c r="B1299" s="391" t="str">
        <f t="shared" si="3503"/>
        <v>film</v>
      </c>
      <c r="C1299" s="391">
        <f t="shared" ref="C1299" si="3504">C1298</f>
        <v>2</v>
      </c>
      <c r="D1299" s="391" t="str">
        <f t="shared" ref="D1299:E1299" si="3505">D1296</f>
        <v>0,1-1</v>
      </c>
      <c r="E1299" s="391">
        <f t="shared" si="3505"/>
        <v>1</v>
      </c>
      <c r="F1299" s="391" t="str">
        <f t="shared" ref="F1299:G1299" si="3506">F1298</f>
        <v>marine water</v>
      </c>
      <c r="G1299" s="401" t="str">
        <f t="shared" si="3506"/>
        <v>DE: PVC film 0,1-1 mm (emission to marine water)</v>
      </c>
      <c r="H1299" s="465">
        <v>0</v>
      </c>
      <c r="I1299" s="397" t="s">
        <v>1034</v>
      </c>
      <c r="J1299" s="654"/>
      <c r="K1299" s="398" t="s">
        <v>596</v>
      </c>
      <c r="L1299" s="538"/>
      <c r="M1299" s="509">
        <f t="shared" si="3462"/>
        <v>0</v>
      </c>
      <c r="N1299" s="647"/>
      <c r="O1299" s="627"/>
      <c r="P1299" s="629"/>
      <c r="Q1299" s="629"/>
    </row>
    <row r="1300" spans="1:17" ht="15.75" hidden="1" thickBot="1">
      <c r="A1300" s="390" t="str">
        <f t="shared" ref="A1300:B1300" si="3507">A1297</f>
        <v>PVC</v>
      </c>
      <c r="B1300" s="391" t="str">
        <f t="shared" si="3507"/>
        <v>film</v>
      </c>
      <c r="C1300" s="391">
        <f t="shared" ref="C1300" si="3508">C1299</f>
        <v>2</v>
      </c>
      <c r="D1300" s="391" t="str">
        <f t="shared" ref="D1300:E1300" si="3509">D1297</f>
        <v>0,1-1</v>
      </c>
      <c r="E1300" s="391">
        <f t="shared" si="3509"/>
        <v>1</v>
      </c>
      <c r="F1300" s="400" t="s">
        <v>1057</v>
      </c>
      <c r="G1300" s="422" t="str">
        <f>CONCATENATE("DE: ",A1300," ",B1300," ",D1300," mm (emission to ",F1300,")")</f>
        <v>DE: PVC film 0,1-1 mm (emission to air)</v>
      </c>
      <c r="H1300" s="467">
        <v>0.94799999999999995</v>
      </c>
      <c r="I1300" s="388" t="s">
        <v>1019</v>
      </c>
      <c r="J1300" s="634">
        <v>0.22800000000000001</v>
      </c>
      <c r="K1300" s="389">
        <v>0</v>
      </c>
      <c r="L1300" s="536"/>
      <c r="M1300" s="509">
        <f t="shared" si="3462"/>
        <v>1000</v>
      </c>
      <c r="N1300" s="645">
        <f t="shared" ref="N1300" si="3510">IFERROR(H1300*M1300+H1301*M1301+H1302*M1302+H1303*M1303+H1304*M1304,"N.A.")</f>
        <v>1000</v>
      </c>
      <c r="O1300" s="625"/>
      <c r="P1300" s="628">
        <f t="shared" si="3316"/>
        <v>100</v>
      </c>
      <c r="Q1300" s="628">
        <f t="shared" si="3423"/>
        <v>500</v>
      </c>
    </row>
    <row r="1301" spans="1:17" ht="15.75" hidden="1" thickBot="1">
      <c r="A1301" s="390" t="str">
        <f t="shared" ref="A1301:B1301" si="3511">A1298</f>
        <v>PVC</v>
      </c>
      <c r="B1301" s="391" t="str">
        <f t="shared" si="3511"/>
        <v>film</v>
      </c>
      <c r="C1301" s="391">
        <f t="shared" ref="C1301" si="3512">C1300</f>
        <v>2</v>
      </c>
      <c r="D1301" s="391" t="str">
        <f t="shared" ref="D1301:E1301" si="3513">D1298</f>
        <v>0,1-1</v>
      </c>
      <c r="E1301" s="391">
        <f t="shared" si="3513"/>
        <v>1</v>
      </c>
      <c r="F1301" s="391" t="str">
        <f t="shared" ref="F1301:G1301" si="3514">F1300</f>
        <v>air</v>
      </c>
      <c r="G1301" s="401" t="str">
        <f t="shared" si="3514"/>
        <v>DE: PVC film 0,1-1 mm (emission to air)</v>
      </c>
      <c r="H1301" s="465">
        <v>0</v>
      </c>
      <c r="I1301" s="394" t="s">
        <v>1097</v>
      </c>
      <c r="J1301" s="635"/>
      <c r="K1301" s="389">
        <v>0</v>
      </c>
      <c r="L1301" s="536"/>
      <c r="M1301" s="509">
        <f t="shared" si="3462"/>
        <v>1000</v>
      </c>
      <c r="N1301" s="646"/>
      <c r="O1301" s="626"/>
      <c r="P1301" s="629"/>
      <c r="Q1301" s="629"/>
    </row>
    <row r="1302" spans="1:17" ht="15.75" hidden="1" thickBot="1">
      <c r="A1302" s="390" t="str">
        <f t="shared" ref="A1302:B1302" si="3515">A1299</f>
        <v>PVC</v>
      </c>
      <c r="B1302" s="391" t="str">
        <f t="shared" si="3515"/>
        <v>film</v>
      </c>
      <c r="C1302" s="391">
        <f t="shared" ref="C1302" si="3516">C1301</f>
        <v>2</v>
      </c>
      <c r="D1302" s="391" t="str">
        <f t="shared" ref="D1302:E1302" si="3517">D1299</f>
        <v>0,1-1</v>
      </c>
      <c r="E1302" s="391">
        <f t="shared" si="3517"/>
        <v>1</v>
      </c>
      <c r="F1302" s="391" t="str">
        <f t="shared" ref="F1302:G1302" si="3518">F1301</f>
        <v>air</v>
      </c>
      <c r="G1302" s="401" t="str">
        <f t="shared" si="3518"/>
        <v>DE: PVC film 0,1-1 mm (emission to air)</v>
      </c>
      <c r="H1302" s="465">
        <v>4.7E-2</v>
      </c>
      <c r="I1302" s="394" t="s">
        <v>1143</v>
      </c>
      <c r="J1302" s="635"/>
      <c r="K1302" s="389">
        <v>0</v>
      </c>
      <c r="L1302" s="536"/>
      <c r="M1302" s="509">
        <f t="shared" si="3462"/>
        <v>1000</v>
      </c>
      <c r="N1302" s="646"/>
      <c r="O1302" s="626"/>
      <c r="P1302" s="629"/>
      <c r="Q1302" s="629"/>
    </row>
    <row r="1303" spans="1:17" ht="15.75" hidden="1" thickBot="1">
      <c r="A1303" s="390" t="str">
        <f t="shared" ref="A1303:B1303" si="3519">A1300</f>
        <v>PVC</v>
      </c>
      <c r="B1303" s="391" t="str">
        <f t="shared" si="3519"/>
        <v>film</v>
      </c>
      <c r="C1303" s="391">
        <f t="shared" ref="C1303" si="3520">C1302</f>
        <v>2</v>
      </c>
      <c r="D1303" s="391" t="str">
        <f t="shared" ref="D1303:E1303" si="3521">D1300</f>
        <v>0,1-1</v>
      </c>
      <c r="E1303" s="391">
        <f t="shared" si="3521"/>
        <v>1</v>
      </c>
      <c r="F1303" s="391" t="str">
        <f t="shared" ref="F1303:G1303" si="3522">F1302</f>
        <v>air</v>
      </c>
      <c r="G1303" s="401" t="str">
        <f t="shared" si="3522"/>
        <v>DE: PVC film 0,1-1 mm (emission to air)</v>
      </c>
      <c r="H1303" s="465">
        <v>5.0000000000000001E-3</v>
      </c>
      <c r="I1303" s="394" t="s">
        <v>1146</v>
      </c>
      <c r="J1303" s="635"/>
      <c r="K1303" s="389">
        <v>0</v>
      </c>
      <c r="L1303" s="536"/>
      <c r="M1303" s="509">
        <f t="shared" si="3462"/>
        <v>1000</v>
      </c>
      <c r="N1303" s="646"/>
      <c r="O1303" s="626"/>
      <c r="P1303" s="629"/>
      <c r="Q1303" s="629"/>
    </row>
    <row r="1304" spans="1:17" ht="15.75" hidden="1" thickBot="1">
      <c r="A1304" s="404" t="str">
        <f t="shared" ref="A1304:B1304" si="3523">A1299</f>
        <v>PVC</v>
      </c>
      <c r="B1304" s="402" t="str">
        <f t="shared" si="3523"/>
        <v>film</v>
      </c>
      <c r="C1304" s="391">
        <f t="shared" ref="C1304" si="3524">C1303</f>
        <v>2</v>
      </c>
      <c r="D1304" s="402" t="str">
        <f t="shared" ref="D1304:E1304" si="3525">D1299</f>
        <v>0,1-1</v>
      </c>
      <c r="E1304" s="402">
        <f t="shared" si="3525"/>
        <v>1</v>
      </c>
      <c r="F1304" s="391" t="str">
        <f t="shared" ref="F1304:G1304" si="3526">F1303</f>
        <v>air</v>
      </c>
      <c r="G1304" s="401" t="str">
        <f t="shared" si="3526"/>
        <v>DE: PVC film 0,1-1 mm (emission to air)</v>
      </c>
      <c r="H1304" s="465">
        <v>0</v>
      </c>
      <c r="I1304" s="394" t="s">
        <v>1034</v>
      </c>
      <c r="J1304" s="636"/>
      <c r="K1304" s="398" t="s">
        <v>596</v>
      </c>
      <c r="L1304" s="538"/>
      <c r="M1304" s="509">
        <f t="shared" si="3462"/>
        <v>0</v>
      </c>
      <c r="N1304" s="647"/>
      <c r="O1304" s="627"/>
      <c r="P1304" s="629"/>
      <c r="Q1304" s="629"/>
    </row>
    <row r="1305" spans="1:17" ht="16.5" hidden="1" thickTop="1" thickBot="1">
      <c r="A1305" s="405" t="s">
        <v>86</v>
      </c>
      <c r="B1305" s="406" t="s">
        <v>996</v>
      </c>
      <c r="C1305" s="407">
        <f>IF(OR(B1305="Folie", B1305="Strips", B1305="Film",B1305="Flakes",B1305="Coupon"), 2,IF(OR(B1305="Fibers",B1305="Pellets"),4,IF(OR(B1305="Particles",B1305="Shreds",B1305="Powder",B1305="Fragments",B1305="Granules"),6,"")))</f>
        <v>2</v>
      </c>
      <c r="D1305" s="423" t="s">
        <v>1026</v>
      </c>
      <c r="E1305" s="408">
        <v>10</v>
      </c>
      <c r="F1305" s="424" t="s">
        <v>1019</v>
      </c>
      <c r="G1305" s="425" t="str">
        <f>CONCATENATE("DE: ",A1305," ",B1305," ",D1305," mm (emission to ",F1305,")")</f>
        <v>DE: PVC film 1-10 mm (emission to soil)</v>
      </c>
      <c r="H1305" s="464">
        <v>0.97</v>
      </c>
      <c r="I1305" s="427" t="s">
        <v>1019</v>
      </c>
      <c r="J1305" s="632">
        <v>0.22800000000000001</v>
      </c>
      <c r="K1305" s="449">
        <v>0</v>
      </c>
      <c r="L1305" s="536"/>
      <c r="M1305" s="509">
        <f t="shared" si="3462"/>
        <v>1000</v>
      </c>
      <c r="N1305" s="645">
        <f t="shared" ref="N1305" si="3527">IFERROR(H1305*M1305+H1306*M1306+H1307*M1307+H1308*M1308+H1309*M1309,"N.A.")</f>
        <v>1000</v>
      </c>
      <c r="O1305" s="625"/>
      <c r="P1305" s="628">
        <f t="shared" ref="P1305:P1365" si="3528">IFERROR(IF(H1305*M1305+H1306*M1306+H1307*M1307+H1308*M1308+H1309*M1309&gt;100,100,H1305*M1305+H1306*M1306+H1307*M1307+H1308*M1308+H1309*M1309),"N.A.")</f>
        <v>100</v>
      </c>
      <c r="Q1305" s="628">
        <f t="shared" si="3423"/>
        <v>500</v>
      </c>
    </row>
    <row r="1306" spans="1:17" ht="15.75" hidden="1" thickBot="1">
      <c r="A1306" s="390" t="str">
        <f>A1305</f>
        <v>PVC</v>
      </c>
      <c r="B1306" s="391" t="str">
        <f>B1305</f>
        <v>film</v>
      </c>
      <c r="C1306" s="391">
        <f t="shared" ref="C1306:G1306" si="3529">C1305</f>
        <v>2</v>
      </c>
      <c r="D1306" s="391" t="str">
        <f t="shared" si="3529"/>
        <v>1-10</v>
      </c>
      <c r="E1306" s="391">
        <f t="shared" si="3529"/>
        <v>10</v>
      </c>
      <c r="F1306" s="391" t="str">
        <f t="shared" si="3529"/>
        <v>soil</v>
      </c>
      <c r="G1306" s="392" t="str">
        <f t="shared" si="3529"/>
        <v>DE: PVC film 1-10 mm (emission to soil)</v>
      </c>
      <c r="H1306" s="465">
        <v>0</v>
      </c>
      <c r="I1306" s="394" t="s">
        <v>1097</v>
      </c>
      <c r="J1306" s="632"/>
      <c r="K1306" s="395">
        <v>0</v>
      </c>
      <c r="L1306" s="537"/>
      <c r="M1306" s="509">
        <f t="shared" si="3462"/>
        <v>1000</v>
      </c>
      <c r="N1306" s="646"/>
      <c r="O1306" s="626"/>
      <c r="P1306" s="629"/>
      <c r="Q1306" s="629"/>
    </row>
    <row r="1307" spans="1:17" ht="15.75" hidden="1" thickBot="1">
      <c r="A1307" s="390" t="str">
        <f t="shared" ref="A1307:G1307" si="3530">A1306</f>
        <v>PVC</v>
      </c>
      <c r="B1307" s="391" t="str">
        <f t="shared" si="3530"/>
        <v>film</v>
      </c>
      <c r="C1307" s="391">
        <f t="shared" si="3530"/>
        <v>2</v>
      </c>
      <c r="D1307" s="391" t="str">
        <f t="shared" si="3530"/>
        <v>1-10</v>
      </c>
      <c r="E1307" s="391">
        <f t="shared" si="3530"/>
        <v>10</v>
      </c>
      <c r="F1307" s="391" t="str">
        <f t="shared" si="3530"/>
        <v>soil</v>
      </c>
      <c r="G1307" s="392" t="str">
        <f t="shared" si="3530"/>
        <v>DE: PVC film 1-10 mm (emission to soil)</v>
      </c>
      <c r="H1307" s="465">
        <v>2.7E-2</v>
      </c>
      <c r="I1307" s="394" t="s">
        <v>1143</v>
      </c>
      <c r="J1307" s="632"/>
      <c r="K1307" s="395">
        <v>0</v>
      </c>
      <c r="L1307" s="537"/>
      <c r="M1307" s="509">
        <f t="shared" si="3462"/>
        <v>1000</v>
      </c>
      <c r="N1307" s="646"/>
      <c r="O1307" s="626"/>
      <c r="P1307" s="629"/>
      <c r="Q1307" s="629"/>
    </row>
    <row r="1308" spans="1:17" ht="15.75" hidden="1" thickBot="1">
      <c r="A1308" s="390" t="str">
        <f t="shared" ref="A1308:G1308" si="3531">A1307</f>
        <v>PVC</v>
      </c>
      <c r="B1308" s="391" t="str">
        <f t="shared" si="3531"/>
        <v>film</v>
      </c>
      <c r="C1308" s="391">
        <f t="shared" si="3531"/>
        <v>2</v>
      </c>
      <c r="D1308" s="391" t="str">
        <f t="shared" si="3531"/>
        <v>1-10</v>
      </c>
      <c r="E1308" s="391">
        <f t="shared" si="3531"/>
        <v>10</v>
      </c>
      <c r="F1308" s="391" t="str">
        <f t="shared" si="3531"/>
        <v>soil</v>
      </c>
      <c r="G1308" s="392" t="str">
        <f t="shared" si="3531"/>
        <v>DE: PVC film 1-10 mm (emission to soil)</v>
      </c>
      <c r="H1308" s="465">
        <v>3.0000000000000001E-3</v>
      </c>
      <c r="I1308" s="394" t="s">
        <v>1146</v>
      </c>
      <c r="J1308" s="632"/>
      <c r="K1308" s="395">
        <v>0</v>
      </c>
      <c r="L1308" s="537"/>
      <c r="M1308" s="509">
        <f t="shared" si="3462"/>
        <v>1000</v>
      </c>
      <c r="N1308" s="646"/>
      <c r="O1308" s="626"/>
      <c r="P1308" s="629"/>
      <c r="Q1308" s="629"/>
    </row>
    <row r="1309" spans="1:17" ht="15.75" hidden="1" thickBot="1">
      <c r="A1309" s="390" t="str">
        <f>A1306</f>
        <v>PVC</v>
      </c>
      <c r="B1309" s="391" t="str">
        <f>B1306</f>
        <v>film</v>
      </c>
      <c r="C1309" s="391">
        <f t="shared" ref="C1309" si="3532">C1308</f>
        <v>2</v>
      </c>
      <c r="D1309" s="391" t="str">
        <f>D1306</f>
        <v>1-10</v>
      </c>
      <c r="E1309" s="391">
        <f>E1306</f>
        <v>10</v>
      </c>
      <c r="F1309" s="391" t="str">
        <f>F1306</f>
        <v>soil</v>
      </c>
      <c r="G1309" s="396" t="str">
        <f t="shared" ref="G1309" si="3533">G1308</f>
        <v>DE: PVC film 1-10 mm (emission to soil)</v>
      </c>
      <c r="H1309" s="465">
        <v>0</v>
      </c>
      <c r="I1309" s="397" t="s">
        <v>1034</v>
      </c>
      <c r="J1309" s="633"/>
      <c r="K1309" s="398" t="s">
        <v>596</v>
      </c>
      <c r="L1309" s="538"/>
      <c r="M1309" s="509">
        <f t="shared" si="3462"/>
        <v>0</v>
      </c>
      <c r="N1309" s="647"/>
      <c r="O1309" s="627"/>
      <c r="P1309" s="629"/>
      <c r="Q1309" s="629"/>
    </row>
    <row r="1310" spans="1:17" ht="15.75" hidden="1" thickBot="1">
      <c r="A1310" s="390" t="str">
        <f t="shared" ref="A1310:B1310" si="3534">A1307</f>
        <v>PVC</v>
      </c>
      <c r="B1310" s="391" t="str">
        <f t="shared" si="3534"/>
        <v>film</v>
      </c>
      <c r="C1310" s="391">
        <f t="shared" ref="C1310" si="3535">C1309</f>
        <v>2</v>
      </c>
      <c r="D1310" s="399" t="str">
        <f t="shared" ref="D1310:E1310" si="3536">D1307</f>
        <v>1-10</v>
      </c>
      <c r="E1310" s="391">
        <f t="shared" si="3536"/>
        <v>10</v>
      </c>
      <c r="F1310" s="400" t="s">
        <v>1147</v>
      </c>
      <c r="G1310" s="386" t="str">
        <f>CONCATENATE("DE: ",A1310," ",B1310," ",D1310," mm (emission to ",F1310,")")</f>
        <v>DE: PVC film 1-10 mm (emission to fresh water)</v>
      </c>
      <c r="H1310" s="466">
        <v>0</v>
      </c>
      <c r="I1310" s="388" t="s">
        <v>1019</v>
      </c>
      <c r="J1310" s="634">
        <v>0.22800000000000001</v>
      </c>
      <c r="K1310" s="389">
        <v>0</v>
      </c>
      <c r="L1310" s="536"/>
      <c r="M1310" s="509">
        <f t="shared" si="3462"/>
        <v>1000</v>
      </c>
      <c r="N1310" s="645">
        <f t="shared" ref="N1310" si="3537">IFERROR(H1310*M1310+H1311*M1311+H1312*M1312+H1313*M1313+H1314*M1314,"N.A.")</f>
        <v>1000</v>
      </c>
      <c r="O1310" s="625"/>
      <c r="P1310" s="628">
        <f t="shared" si="3528"/>
        <v>100</v>
      </c>
      <c r="Q1310" s="628">
        <f t="shared" si="3423"/>
        <v>500</v>
      </c>
    </row>
    <row r="1311" spans="1:17" ht="15.75" hidden="1" thickBot="1">
      <c r="A1311" s="390" t="str">
        <f t="shared" ref="A1311:B1311" si="3538">A1308</f>
        <v>PVC</v>
      </c>
      <c r="B1311" s="391" t="str">
        <f t="shared" si="3538"/>
        <v>film</v>
      </c>
      <c r="C1311" s="391">
        <f t="shared" ref="C1311" si="3539">C1310</f>
        <v>2</v>
      </c>
      <c r="D1311" s="391" t="str">
        <f t="shared" ref="D1311:E1311" si="3540">D1308</f>
        <v>1-10</v>
      </c>
      <c r="E1311" s="391">
        <f t="shared" si="3540"/>
        <v>10</v>
      </c>
      <c r="F1311" s="391" t="str">
        <f t="shared" ref="F1311:G1311" si="3541">F1310</f>
        <v>fresh water</v>
      </c>
      <c r="G1311" s="401" t="str">
        <f t="shared" si="3541"/>
        <v>DE: PVC film 1-10 mm (emission to fresh water)</v>
      </c>
      <c r="H1311" s="465">
        <v>0</v>
      </c>
      <c r="I1311" s="394" t="s">
        <v>1097</v>
      </c>
      <c r="J1311" s="635"/>
      <c r="K1311" s="389">
        <v>0</v>
      </c>
      <c r="L1311" s="536"/>
      <c r="M1311" s="509">
        <f t="shared" si="3462"/>
        <v>1000</v>
      </c>
      <c r="N1311" s="646"/>
      <c r="O1311" s="626"/>
      <c r="P1311" s="629"/>
      <c r="Q1311" s="629"/>
    </row>
    <row r="1312" spans="1:17" ht="15.75" hidden="1" thickBot="1">
      <c r="A1312" s="390" t="str">
        <f t="shared" ref="A1312:B1312" si="3542">A1309</f>
        <v>PVC</v>
      </c>
      <c r="B1312" s="391" t="str">
        <f t="shared" si="3542"/>
        <v>film</v>
      </c>
      <c r="C1312" s="391">
        <f t="shared" ref="C1312" si="3543">C1311</f>
        <v>2</v>
      </c>
      <c r="D1312" s="391" t="str">
        <f t="shared" ref="D1312:E1312" si="3544">D1309</f>
        <v>1-10</v>
      </c>
      <c r="E1312" s="391">
        <f t="shared" si="3544"/>
        <v>10</v>
      </c>
      <c r="F1312" s="391" t="str">
        <f t="shared" ref="F1312:G1312" si="3545">F1311</f>
        <v>fresh water</v>
      </c>
      <c r="G1312" s="401" t="str">
        <f t="shared" si="3545"/>
        <v>DE: PVC film 1-10 mm (emission to fresh water)</v>
      </c>
      <c r="H1312" s="465">
        <v>0.89</v>
      </c>
      <c r="I1312" s="394" t="s">
        <v>1143</v>
      </c>
      <c r="J1312" s="635"/>
      <c r="K1312" s="389">
        <v>0</v>
      </c>
      <c r="L1312" s="536"/>
      <c r="M1312" s="509">
        <f t="shared" si="3462"/>
        <v>1000</v>
      </c>
      <c r="N1312" s="646"/>
      <c r="O1312" s="626"/>
      <c r="P1312" s="629"/>
      <c r="Q1312" s="629"/>
    </row>
    <row r="1313" spans="1:17" ht="15.75" hidden="1" thickBot="1">
      <c r="A1313" s="390" t="str">
        <f t="shared" ref="A1313:B1313" si="3546">A1310</f>
        <v>PVC</v>
      </c>
      <c r="B1313" s="391" t="str">
        <f t="shared" si="3546"/>
        <v>film</v>
      </c>
      <c r="C1313" s="391">
        <f t="shared" ref="C1313" si="3547">C1312</f>
        <v>2</v>
      </c>
      <c r="D1313" s="391" t="str">
        <f t="shared" ref="D1313:E1313" si="3548">D1310</f>
        <v>1-10</v>
      </c>
      <c r="E1313" s="391">
        <f t="shared" si="3548"/>
        <v>10</v>
      </c>
      <c r="F1313" s="391" t="str">
        <f t="shared" ref="F1313:G1313" si="3549">F1312</f>
        <v>fresh water</v>
      </c>
      <c r="G1313" s="401" t="str">
        <f t="shared" si="3549"/>
        <v>DE: PVC film 1-10 mm (emission to fresh water)</v>
      </c>
      <c r="H1313" s="465">
        <v>0.11</v>
      </c>
      <c r="I1313" s="394" t="s">
        <v>1146</v>
      </c>
      <c r="J1313" s="635"/>
      <c r="K1313" s="389">
        <v>0</v>
      </c>
      <c r="L1313" s="536"/>
      <c r="M1313" s="509">
        <f t="shared" si="3462"/>
        <v>1000</v>
      </c>
      <c r="N1313" s="646"/>
      <c r="O1313" s="626"/>
      <c r="P1313" s="629"/>
      <c r="Q1313" s="629"/>
    </row>
    <row r="1314" spans="1:17" ht="15.75" hidden="1" thickBot="1">
      <c r="A1314" s="390" t="str">
        <f t="shared" ref="A1314:B1314" si="3550">A1311</f>
        <v>PVC</v>
      </c>
      <c r="B1314" s="391" t="str">
        <f t="shared" si="3550"/>
        <v>film</v>
      </c>
      <c r="C1314" s="391">
        <f t="shared" ref="C1314" si="3551">C1313</f>
        <v>2</v>
      </c>
      <c r="D1314" s="391" t="str">
        <f t="shared" ref="D1314:E1314" si="3552">D1311</f>
        <v>1-10</v>
      </c>
      <c r="E1314" s="391">
        <f t="shared" si="3552"/>
        <v>10</v>
      </c>
      <c r="F1314" s="402" t="str">
        <f>F1311</f>
        <v>fresh water</v>
      </c>
      <c r="G1314" s="401" t="str">
        <f t="shared" ref="G1314" si="3553">G1313</f>
        <v>DE: PVC film 1-10 mm (emission to fresh water)</v>
      </c>
      <c r="H1314" s="465">
        <v>0</v>
      </c>
      <c r="I1314" s="397" t="s">
        <v>1034</v>
      </c>
      <c r="J1314" s="654"/>
      <c r="K1314" s="398" t="s">
        <v>596</v>
      </c>
      <c r="L1314" s="538"/>
      <c r="M1314" s="509">
        <f t="shared" si="3462"/>
        <v>0</v>
      </c>
      <c r="N1314" s="647"/>
      <c r="O1314" s="627"/>
      <c r="P1314" s="629"/>
      <c r="Q1314" s="629"/>
    </row>
    <row r="1315" spans="1:17" ht="15.75" hidden="1" thickBot="1">
      <c r="A1315" s="390" t="str">
        <f t="shared" ref="A1315:B1315" si="3554">A1312</f>
        <v>PVC</v>
      </c>
      <c r="B1315" s="391" t="str">
        <f t="shared" si="3554"/>
        <v>film</v>
      </c>
      <c r="C1315" s="391">
        <f t="shared" ref="C1315" si="3555">C1314</f>
        <v>2</v>
      </c>
      <c r="D1315" s="391" t="str">
        <f t="shared" ref="D1315:E1315" si="3556">D1312</f>
        <v>1-10</v>
      </c>
      <c r="E1315" s="391">
        <f t="shared" si="3556"/>
        <v>10</v>
      </c>
      <c r="F1315" s="385" t="s">
        <v>1097</v>
      </c>
      <c r="G1315" s="422" t="str">
        <f>CONCATENATE("DE: ",A1315," ",B1315," ",D1315," mm (emission to ",F1315,")")</f>
        <v>DE: PVC film 1-10 mm (emission to marine water)</v>
      </c>
      <c r="H1315" s="467">
        <v>0</v>
      </c>
      <c r="I1315" s="388" t="s">
        <v>1019</v>
      </c>
      <c r="J1315" s="634">
        <v>0.22800000000000001</v>
      </c>
      <c r="K1315" s="389">
        <v>0</v>
      </c>
      <c r="L1315" s="536"/>
      <c r="M1315" s="509">
        <f t="shared" si="3462"/>
        <v>1000</v>
      </c>
      <c r="N1315" s="645">
        <f t="shared" ref="N1315" si="3557">IFERROR(H1315*M1315+H1316*M1316+H1317*M1317+H1318*M1318+H1319*M1319,"N.A.")</f>
        <v>1000</v>
      </c>
      <c r="O1315" s="625"/>
      <c r="P1315" s="628">
        <f t="shared" si="3528"/>
        <v>100</v>
      </c>
      <c r="Q1315" s="628">
        <f t="shared" si="3423"/>
        <v>500</v>
      </c>
    </row>
    <row r="1316" spans="1:17" ht="15.75" hidden="1" thickBot="1">
      <c r="A1316" s="390" t="str">
        <f t="shared" ref="A1316:B1316" si="3558">A1313</f>
        <v>PVC</v>
      </c>
      <c r="B1316" s="391" t="str">
        <f t="shared" si="3558"/>
        <v>film</v>
      </c>
      <c r="C1316" s="391">
        <f t="shared" ref="C1316" si="3559">C1315</f>
        <v>2</v>
      </c>
      <c r="D1316" s="391" t="str">
        <f t="shared" ref="D1316:E1316" si="3560">D1313</f>
        <v>1-10</v>
      </c>
      <c r="E1316" s="391">
        <f t="shared" si="3560"/>
        <v>10</v>
      </c>
      <c r="F1316" s="391" t="str">
        <f t="shared" ref="F1316:G1316" si="3561">F1315</f>
        <v>marine water</v>
      </c>
      <c r="G1316" s="401" t="str">
        <f t="shared" si="3561"/>
        <v>DE: PVC film 1-10 mm (emission to marine water)</v>
      </c>
      <c r="H1316" s="465">
        <v>0</v>
      </c>
      <c r="I1316" s="394" t="s">
        <v>1097</v>
      </c>
      <c r="J1316" s="635"/>
      <c r="K1316" s="389">
        <v>0</v>
      </c>
      <c r="L1316" s="536"/>
      <c r="M1316" s="509">
        <f t="shared" si="3462"/>
        <v>1000</v>
      </c>
      <c r="N1316" s="646"/>
      <c r="O1316" s="626"/>
      <c r="P1316" s="629"/>
      <c r="Q1316" s="629"/>
    </row>
    <row r="1317" spans="1:17" ht="15.75" hidden="1" thickBot="1">
      <c r="A1317" s="390" t="str">
        <f t="shared" ref="A1317:B1317" si="3562">A1314</f>
        <v>PVC</v>
      </c>
      <c r="B1317" s="391" t="str">
        <f t="shared" si="3562"/>
        <v>film</v>
      </c>
      <c r="C1317" s="391">
        <f t="shared" ref="C1317" si="3563">C1316</f>
        <v>2</v>
      </c>
      <c r="D1317" s="391" t="str">
        <f t="shared" ref="D1317:E1317" si="3564">D1314</f>
        <v>1-10</v>
      </c>
      <c r="E1317" s="391">
        <f t="shared" si="3564"/>
        <v>10</v>
      </c>
      <c r="F1317" s="391" t="str">
        <f t="shared" ref="F1317:G1317" si="3565">F1316</f>
        <v>marine water</v>
      </c>
      <c r="G1317" s="401" t="str">
        <f t="shared" si="3565"/>
        <v>DE: PVC film 1-10 mm (emission to marine water)</v>
      </c>
      <c r="H1317" s="465">
        <v>0</v>
      </c>
      <c r="I1317" s="394" t="s">
        <v>1143</v>
      </c>
      <c r="J1317" s="635"/>
      <c r="K1317" s="389">
        <v>0</v>
      </c>
      <c r="L1317" s="536"/>
      <c r="M1317" s="509">
        <f t="shared" si="3462"/>
        <v>1000</v>
      </c>
      <c r="N1317" s="646"/>
      <c r="O1317" s="626"/>
      <c r="P1317" s="629"/>
      <c r="Q1317" s="629"/>
    </row>
    <row r="1318" spans="1:17" ht="15.75" hidden="1" thickBot="1">
      <c r="A1318" s="390" t="str">
        <f t="shared" ref="A1318:B1318" si="3566">A1315</f>
        <v>PVC</v>
      </c>
      <c r="B1318" s="391" t="str">
        <f t="shared" si="3566"/>
        <v>film</v>
      </c>
      <c r="C1318" s="391">
        <f t="shared" ref="C1318" si="3567">C1317</f>
        <v>2</v>
      </c>
      <c r="D1318" s="391" t="str">
        <f t="shared" ref="D1318:E1318" si="3568">D1315</f>
        <v>1-10</v>
      </c>
      <c r="E1318" s="391">
        <f t="shared" si="3568"/>
        <v>10</v>
      </c>
      <c r="F1318" s="391" t="str">
        <f t="shared" ref="F1318:G1318" si="3569">F1317</f>
        <v>marine water</v>
      </c>
      <c r="G1318" s="401" t="str">
        <f t="shared" si="3569"/>
        <v>DE: PVC film 1-10 mm (emission to marine water)</v>
      </c>
      <c r="H1318" s="465">
        <v>1</v>
      </c>
      <c r="I1318" s="394" t="s">
        <v>1146</v>
      </c>
      <c r="J1318" s="635"/>
      <c r="K1318" s="389">
        <v>0</v>
      </c>
      <c r="L1318" s="536"/>
      <c r="M1318" s="509">
        <f t="shared" si="3462"/>
        <v>1000</v>
      </c>
      <c r="N1318" s="646"/>
      <c r="O1318" s="626"/>
      <c r="P1318" s="629"/>
      <c r="Q1318" s="629"/>
    </row>
    <row r="1319" spans="1:17" ht="15.75" hidden="1" thickBot="1">
      <c r="A1319" s="390" t="str">
        <f t="shared" ref="A1319:B1319" si="3570">A1316</f>
        <v>PVC</v>
      </c>
      <c r="B1319" s="391" t="str">
        <f t="shared" si="3570"/>
        <v>film</v>
      </c>
      <c r="C1319" s="391">
        <f t="shared" ref="C1319" si="3571">C1318</f>
        <v>2</v>
      </c>
      <c r="D1319" s="391" t="str">
        <f t="shared" ref="D1319:E1319" si="3572">D1316</f>
        <v>1-10</v>
      </c>
      <c r="E1319" s="391">
        <f t="shared" si="3572"/>
        <v>10</v>
      </c>
      <c r="F1319" s="391" t="str">
        <f t="shared" ref="F1319:G1319" si="3573">F1318</f>
        <v>marine water</v>
      </c>
      <c r="G1319" s="401" t="str">
        <f t="shared" si="3573"/>
        <v>DE: PVC film 1-10 mm (emission to marine water)</v>
      </c>
      <c r="H1319" s="465">
        <v>0</v>
      </c>
      <c r="I1319" s="397" t="s">
        <v>1034</v>
      </c>
      <c r="J1319" s="654"/>
      <c r="K1319" s="398" t="s">
        <v>596</v>
      </c>
      <c r="L1319" s="538"/>
      <c r="M1319" s="509">
        <f t="shared" si="3462"/>
        <v>0</v>
      </c>
      <c r="N1319" s="647"/>
      <c r="O1319" s="627"/>
      <c r="P1319" s="629"/>
      <c r="Q1319" s="629"/>
    </row>
    <row r="1320" spans="1:17" ht="15.75" hidden="1" thickBot="1">
      <c r="A1320" s="390" t="str">
        <f t="shared" ref="A1320:B1320" si="3574">A1317</f>
        <v>PVC</v>
      </c>
      <c r="B1320" s="391" t="str">
        <f t="shared" si="3574"/>
        <v>film</v>
      </c>
      <c r="C1320" s="391">
        <f t="shared" ref="C1320" si="3575">C1319</f>
        <v>2</v>
      </c>
      <c r="D1320" s="391" t="str">
        <f t="shared" ref="D1320:E1320" si="3576">D1317</f>
        <v>1-10</v>
      </c>
      <c r="E1320" s="391">
        <f t="shared" si="3576"/>
        <v>10</v>
      </c>
      <c r="F1320" s="400" t="s">
        <v>1057</v>
      </c>
      <c r="G1320" s="422" t="str">
        <f>CONCATENATE("DE: ",A1320," ",B1320," ",D1320," mm (emission to ",F1320,")")</f>
        <v>DE: PVC film 1-10 mm (emission to air)</v>
      </c>
      <c r="H1320" s="467">
        <v>0.94799999999999995</v>
      </c>
      <c r="I1320" s="388" t="s">
        <v>1019</v>
      </c>
      <c r="J1320" s="634">
        <v>0.22800000000000001</v>
      </c>
      <c r="K1320" s="389">
        <v>0</v>
      </c>
      <c r="L1320" s="536"/>
      <c r="M1320" s="509">
        <f t="shared" si="3462"/>
        <v>1000</v>
      </c>
      <c r="N1320" s="645">
        <f t="shared" ref="N1320" si="3577">IFERROR(H1320*M1320+H1321*M1321+H1322*M1322+H1323*M1323+H1324*M1324,"N.A.")</f>
        <v>1000</v>
      </c>
      <c r="O1320" s="625"/>
      <c r="P1320" s="628">
        <f t="shared" si="3528"/>
        <v>100</v>
      </c>
      <c r="Q1320" s="628">
        <f t="shared" si="3423"/>
        <v>500</v>
      </c>
    </row>
    <row r="1321" spans="1:17" ht="15.75" hidden="1" thickBot="1">
      <c r="A1321" s="390" t="str">
        <f t="shared" ref="A1321:B1321" si="3578">A1318</f>
        <v>PVC</v>
      </c>
      <c r="B1321" s="391" t="str">
        <f t="shared" si="3578"/>
        <v>film</v>
      </c>
      <c r="C1321" s="391">
        <f t="shared" ref="C1321" si="3579">C1320</f>
        <v>2</v>
      </c>
      <c r="D1321" s="391" t="str">
        <f t="shared" ref="D1321:E1321" si="3580">D1318</f>
        <v>1-10</v>
      </c>
      <c r="E1321" s="391">
        <f t="shared" si="3580"/>
        <v>10</v>
      </c>
      <c r="F1321" s="391" t="str">
        <f t="shared" ref="F1321:G1321" si="3581">F1320</f>
        <v>air</v>
      </c>
      <c r="G1321" s="401" t="str">
        <f t="shared" si="3581"/>
        <v>DE: PVC film 1-10 mm (emission to air)</v>
      </c>
      <c r="H1321" s="465">
        <v>0</v>
      </c>
      <c r="I1321" s="394" t="s">
        <v>1097</v>
      </c>
      <c r="J1321" s="635"/>
      <c r="K1321" s="389">
        <v>0</v>
      </c>
      <c r="L1321" s="536"/>
      <c r="M1321" s="509">
        <f t="shared" si="3462"/>
        <v>1000</v>
      </c>
      <c r="N1321" s="646"/>
      <c r="O1321" s="626"/>
      <c r="P1321" s="629"/>
      <c r="Q1321" s="629"/>
    </row>
    <row r="1322" spans="1:17" ht="15.75" hidden="1" thickBot="1">
      <c r="A1322" s="390" t="str">
        <f t="shared" ref="A1322:B1322" si="3582">A1319</f>
        <v>PVC</v>
      </c>
      <c r="B1322" s="391" t="str">
        <f t="shared" si="3582"/>
        <v>film</v>
      </c>
      <c r="C1322" s="391">
        <f t="shared" ref="C1322" si="3583">C1321</f>
        <v>2</v>
      </c>
      <c r="D1322" s="391" t="str">
        <f t="shared" ref="D1322:E1322" si="3584">D1319</f>
        <v>1-10</v>
      </c>
      <c r="E1322" s="391">
        <f t="shared" si="3584"/>
        <v>10</v>
      </c>
      <c r="F1322" s="391" t="str">
        <f t="shared" ref="F1322:G1322" si="3585">F1321</f>
        <v>air</v>
      </c>
      <c r="G1322" s="401" t="str">
        <f t="shared" si="3585"/>
        <v>DE: PVC film 1-10 mm (emission to air)</v>
      </c>
      <c r="H1322" s="465">
        <v>4.7E-2</v>
      </c>
      <c r="I1322" s="394" t="s">
        <v>1143</v>
      </c>
      <c r="J1322" s="635"/>
      <c r="K1322" s="389">
        <v>0</v>
      </c>
      <c r="L1322" s="536"/>
      <c r="M1322" s="509">
        <f t="shared" si="3462"/>
        <v>1000</v>
      </c>
      <c r="N1322" s="646"/>
      <c r="O1322" s="626"/>
      <c r="P1322" s="629"/>
      <c r="Q1322" s="629"/>
    </row>
    <row r="1323" spans="1:17" ht="15.75" hidden="1" thickBot="1">
      <c r="A1323" s="390" t="str">
        <f t="shared" ref="A1323:B1323" si="3586">A1320</f>
        <v>PVC</v>
      </c>
      <c r="B1323" s="391" t="str">
        <f t="shared" si="3586"/>
        <v>film</v>
      </c>
      <c r="C1323" s="391">
        <f t="shared" ref="C1323" si="3587">C1322</f>
        <v>2</v>
      </c>
      <c r="D1323" s="391" t="str">
        <f t="shared" ref="D1323:E1323" si="3588">D1320</f>
        <v>1-10</v>
      </c>
      <c r="E1323" s="391">
        <f t="shared" si="3588"/>
        <v>10</v>
      </c>
      <c r="F1323" s="391" t="str">
        <f t="shared" ref="F1323:G1323" si="3589">F1322</f>
        <v>air</v>
      </c>
      <c r="G1323" s="401" t="str">
        <f t="shared" si="3589"/>
        <v>DE: PVC film 1-10 mm (emission to air)</v>
      </c>
      <c r="H1323" s="465">
        <v>5.0000000000000001E-3</v>
      </c>
      <c r="I1323" s="394" t="s">
        <v>1146</v>
      </c>
      <c r="J1323" s="635"/>
      <c r="K1323" s="389">
        <v>0</v>
      </c>
      <c r="L1323" s="536"/>
      <c r="M1323" s="509">
        <f t="shared" si="3462"/>
        <v>1000</v>
      </c>
      <c r="N1323" s="646"/>
      <c r="O1323" s="626"/>
      <c r="P1323" s="629"/>
      <c r="Q1323" s="629"/>
    </row>
    <row r="1324" spans="1:17" ht="15.75" hidden="1" thickBot="1">
      <c r="A1324" s="404" t="str">
        <f t="shared" ref="A1324:B1324" si="3590">A1319</f>
        <v>PVC</v>
      </c>
      <c r="B1324" s="402" t="str">
        <f t="shared" si="3590"/>
        <v>film</v>
      </c>
      <c r="C1324" s="391">
        <f t="shared" ref="C1324" si="3591">C1323</f>
        <v>2</v>
      </c>
      <c r="D1324" s="402" t="str">
        <f t="shared" ref="D1324:E1324" si="3592">D1319</f>
        <v>1-10</v>
      </c>
      <c r="E1324" s="402">
        <f t="shared" si="3592"/>
        <v>10</v>
      </c>
      <c r="F1324" s="391" t="str">
        <f t="shared" ref="F1324:G1324" si="3593">F1323</f>
        <v>air</v>
      </c>
      <c r="G1324" s="401" t="str">
        <f t="shared" si="3593"/>
        <v>DE: PVC film 1-10 mm (emission to air)</v>
      </c>
      <c r="H1324" s="465">
        <v>0</v>
      </c>
      <c r="I1324" s="394" t="s">
        <v>1034</v>
      </c>
      <c r="J1324" s="636"/>
      <c r="K1324" s="398" t="s">
        <v>596</v>
      </c>
      <c r="L1324" s="538"/>
      <c r="M1324" s="509">
        <f t="shared" si="3462"/>
        <v>0</v>
      </c>
      <c r="N1324" s="647"/>
      <c r="O1324" s="627"/>
      <c r="P1324" s="629"/>
      <c r="Q1324" s="629"/>
    </row>
    <row r="1325" spans="1:17" ht="16.5" hidden="1" thickTop="1" thickBot="1">
      <c r="A1325" s="405" t="s">
        <v>86</v>
      </c>
      <c r="B1325" s="406" t="s">
        <v>1151</v>
      </c>
      <c r="C1325" s="407">
        <v>4</v>
      </c>
      <c r="D1325" s="423" t="s">
        <v>1018</v>
      </c>
      <c r="E1325" s="408">
        <v>0.1</v>
      </c>
      <c r="F1325" s="424" t="s">
        <v>1019</v>
      </c>
      <c r="G1325" s="425" t="str">
        <f>CONCATENATE("DE: ",A1325," ",B1325," ",D1325," mm (emission to ",F1325,")")</f>
        <v>DE: PVC fiber 0,01-0,1 mm (emission to soil)</v>
      </c>
      <c r="H1325" s="464">
        <v>0.97</v>
      </c>
      <c r="I1325" s="427" t="s">
        <v>1019</v>
      </c>
      <c r="J1325" s="632">
        <v>0.22800000000000001</v>
      </c>
      <c r="K1325" s="449">
        <v>0</v>
      </c>
      <c r="L1325" s="536"/>
      <c r="M1325" s="509">
        <f t="shared" si="3462"/>
        <v>1000</v>
      </c>
      <c r="N1325" s="645">
        <f t="shared" ref="N1325" si="3594">IFERROR(H1325*M1325+H1326*M1326+H1327*M1327+H1328*M1328+H1329*M1329,"N.A.")</f>
        <v>1000</v>
      </c>
      <c r="O1325" s="625"/>
      <c r="P1325" s="628">
        <f t="shared" si="3528"/>
        <v>100</v>
      </c>
      <c r="Q1325" s="628">
        <f t="shared" si="3423"/>
        <v>500</v>
      </c>
    </row>
    <row r="1326" spans="1:17" ht="15.75" hidden="1" thickBot="1">
      <c r="A1326" s="390" t="str">
        <f>A1325</f>
        <v>PVC</v>
      </c>
      <c r="B1326" s="391" t="str">
        <f>B1325</f>
        <v>fiber</v>
      </c>
      <c r="C1326" s="391">
        <f t="shared" ref="C1326:G1326" si="3595">C1325</f>
        <v>4</v>
      </c>
      <c r="D1326" s="391" t="str">
        <f t="shared" si="3595"/>
        <v>0,01-0,1</v>
      </c>
      <c r="E1326" s="391">
        <f t="shared" si="3595"/>
        <v>0.1</v>
      </c>
      <c r="F1326" s="391" t="str">
        <f t="shared" si="3595"/>
        <v>soil</v>
      </c>
      <c r="G1326" s="392" t="str">
        <f t="shared" si="3595"/>
        <v>DE: PVC fiber 0,01-0,1 mm (emission to soil)</v>
      </c>
      <c r="H1326" s="465">
        <v>0</v>
      </c>
      <c r="I1326" s="394" t="s">
        <v>1097</v>
      </c>
      <c r="J1326" s="632"/>
      <c r="K1326" s="395">
        <v>0</v>
      </c>
      <c r="L1326" s="537"/>
      <c r="M1326" s="509">
        <f t="shared" si="3462"/>
        <v>1000</v>
      </c>
      <c r="N1326" s="646"/>
      <c r="O1326" s="626"/>
      <c r="P1326" s="629"/>
      <c r="Q1326" s="629"/>
    </row>
    <row r="1327" spans="1:17" ht="15.75" hidden="1" thickBot="1">
      <c r="A1327" s="390" t="str">
        <f t="shared" ref="A1327:G1327" si="3596">A1326</f>
        <v>PVC</v>
      </c>
      <c r="B1327" s="391" t="str">
        <f t="shared" si="3596"/>
        <v>fiber</v>
      </c>
      <c r="C1327" s="391">
        <f t="shared" si="3596"/>
        <v>4</v>
      </c>
      <c r="D1327" s="391" t="str">
        <f t="shared" si="3596"/>
        <v>0,01-0,1</v>
      </c>
      <c r="E1327" s="391">
        <f t="shared" si="3596"/>
        <v>0.1</v>
      </c>
      <c r="F1327" s="391" t="str">
        <f t="shared" si="3596"/>
        <v>soil</v>
      </c>
      <c r="G1327" s="392" t="str">
        <f t="shared" si="3596"/>
        <v>DE: PVC fiber 0,01-0,1 mm (emission to soil)</v>
      </c>
      <c r="H1327" s="465">
        <v>2.7E-2</v>
      </c>
      <c r="I1327" s="394" t="s">
        <v>1143</v>
      </c>
      <c r="J1327" s="632"/>
      <c r="K1327" s="395">
        <v>0</v>
      </c>
      <c r="L1327" s="537"/>
      <c r="M1327" s="509">
        <f t="shared" si="3462"/>
        <v>1000</v>
      </c>
      <c r="N1327" s="646"/>
      <c r="O1327" s="626"/>
      <c r="P1327" s="629"/>
      <c r="Q1327" s="629"/>
    </row>
    <row r="1328" spans="1:17" ht="15.75" hidden="1" thickBot="1">
      <c r="A1328" s="390" t="str">
        <f t="shared" ref="A1328:G1328" si="3597">A1327</f>
        <v>PVC</v>
      </c>
      <c r="B1328" s="391" t="str">
        <f t="shared" si="3597"/>
        <v>fiber</v>
      </c>
      <c r="C1328" s="391">
        <f t="shared" si="3597"/>
        <v>4</v>
      </c>
      <c r="D1328" s="391" t="str">
        <f t="shared" si="3597"/>
        <v>0,01-0,1</v>
      </c>
      <c r="E1328" s="391">
        <f t="shared" si="3597"/>
        <v>0.1</v>
      </c>
      <c r="F1328" s="391" t="str">
        <f t="shared" si="3597"/>
        <v>soil</v>
      </c>
      <c r="G1328" s="392" t="str">
        <f t="shared" si="3597"/>
        <v>DE: PVC fiber 0,01-0,1 mm (emission to soil)</v>
      </c>
      <c r="H1328" s="465">
        <v>3.0000000000000001E-3</v>
      </c>
      <c r="I1328" s="394" t="s">
        <v>1146</v>
      </c>
      <c r="J1328" s="632"/>
      <c r="K1328" s="395">
        <v>0</v>
      </c>
      <c r="L1328" s="537"/>
      <c r="M1328" s="509">
        <f t="shared" si="3462"/>
        <v>1000</v>
      </c>
      <c r="N1328" s="646"/>
      <c r="O1328" s="626"/>
      <c r="P1328" s="629"/>
      <c r="Q1328" s="629"/>
    </row>
    <row r="1329" spans="1:17" ht="15.75" hidden="1" thickBot="1">
      <c r="A1329" s="390" t="str">
        <f>A1326</f>
        <v>PVC</v>
      </c>
      <c r="B1329" s="391" t="str">
        <f>B1326</f>
        <v>fiber</v>
      </c>
      <c r="C1329" s="391">
        <f t="shared" ref="C1329" si="3598">C1328</f>
        <v>4</v>
      </c>
      <c r="D1329" s="391" t="str">
        <f>D1326</f>
        <v>0,01-0,1</v>
      </c>
      <c r="E1329" s="391">
        <f>E1326</f>
        <v>0.1</v>
      </c>
      <c r="F1329" s="391" t="str">
        <f>F1326</f>
        <v>soil</v>
      </c>
      <c r="G1329" s="396" t="str">
        <f t="shared" ref="G1329" si="3599">G1328</f>
        <v>DE: PVC fiber 0,01-0,1 mm (emission to soil)</v>
      </c>
      <c r="H1329" s="465">
        <v>0</v>
      </c>
      <c r="I1329" s="397" t="s">
        <v>1034</v>
      </c>
      <c r="J1329" s="633"/>
      <c r="K1329" s="398" t="s">
        <v>596</v>
      </c>
      <c r="L1329" s="538"/>
      <c r="M1329" s="509">
        <f t="shared" si="3462"/>
        <v>0</v>
      </c>
      <c r="N1329" s="647"/>
      <c r="O1329" s="627"/>
      <c r="P1329" s="629"/>
      <c r="Q1329" s="629"/>
    </row>
    <row r="1330" spans="1:17" ht="15.75" hidden="1" thickBot="1">
      <c r="A1330" s="390" t="str">
        <f t="shared" ref="A1330:B1330" si="3600">A1327</f>
        <v>PVC</v>
      </c>
      <c r="B1330" s="391" t="str">
        <f t="shared" si="3600"/>
        <v>fiber</v>
      </c>
      <c r="C1330" s="391">
        <f t="shared" ref="C1330" si="3601">C1329</f>
        <v>4</v>
      </c>
      <c r="D1330" s="399" t="str">
        <f t="shared" ref="D1330:E1330" si="3602">D1327</f>
        <v>0,01-0,1</v>
      </c>
      <c r="E1330" s="391">
        <f t="shared" si="3602"/>
        <v>0.1</v>
      </c>
      <c r="F1330" s="400" t="s">
        <v>1147</v>
      </c>
      <c r="G1330" s="386" t="str">
        <f>CONCATENATE("DE: ",A1330," ",B1330," ",D1330," mm (emission to ",F1330,")")</f>
        <v>DE: PVC fiber 0,01-0,1 mm (emission to fresh water)</v>
      </c>
      <c r="H1330" s="466">
        <v>0</v>
      </c>
      <c r="I1330" s="388" t="s">
        <v>1019</v>
      </c>
      <c r="J1330" s="634">
        <v>0.22800000000000001</v>
      </c>
      <c r="K1330" s="389">
        <v>0</v>
      </c>
      <c r="L1330" s="536"/>
      <c r="M1330" s="509">
        <f t="shared" si="3462"/>
        <v>1000</v>
      </c>
      <c r="N1330" s="645">
        <f t="shared" ref="N1330" si="3603">IFERROR(H1330*M1330+H1331*M1331+H1332*M1332+H1333*M1333+H1334*M1334,"N.A.")</f>
        <v>1000</v>
      </c>
      <c r="O1330" s="625"/>
      <c r="P1330" s="628">
        <f t="shared" si="3528"/>
        <v>100</v>
      </c>
      <c r="Q1330" s="628">
        <f t="shared" si="3423"/>
        <v>500</v>
      </c>
    </row>
    <row r="1331" spans="1:17" ht="15.75" hidden="1" thickBot="1">
      <c r="A1331" s="390" t="str">
        <f t="shared" ref="A1331:B1331" si="3604">A1328</f>
        <v>PVC</v>
      </c>
      <c r="B1331" s="391" t="str">
        <f t="shared" si="3604"/>
        <v>fiber</v>
      </c>
      <c r="C1331" s="391">
        <f t="shared" ref="C1331" si="3605">C1330</f>
        <v>4</v>
      </c>
      <c r="D1331" s="391" t="str">
        <f t="shared" ref="D1331:E1331" si="3606">D1328</f>
        <v>0,01-0,1</v>
      </c>
      <c r="E1331" s="391">
        <f t="shared" si="3606"/>
        <v>0.1</v>
      </c>
      <c r="F1331" s="391" t="str">
        <f t="shared" ref="F1331:G1331" si="3607">F1330</f>
        <v>fresh water</v>
      </c>
      <c r="G1331" s="401" t="str">
        <f t="shared" si="3607"/>
        <v>DE: PVC fiber 0,01-0,1 mm (emission to fresh water)</v>
      </c>
      <c r="H1331" s="465">
        <v>0</v>
      </c>
      <c r="I1331" s="394" t="s">
        <v>1097</v>
      </c>
      <c r="J1331" s="635"/>
      <c r="K1331" s="389">
        <v>0</v>
      </c>
      <c r="L1331" s="536"/>
      <c r="M1331" s="509">
        <f t="shared" si="3462"/>
        <v>1000</v>
      </c>
      <c r="N1331" s="646"/>
      <c r="O1331" s="626"/>
      <c r="P1331" s="629"/>
      <c r="Q1331" s="629"/>
    </row>
    <row r="1332" spans="1:17" ht="15.75" hidden="1" thickBot="1">
      <c r="A1332" s="390" t="str">
        <f t="shared" ref="A1332:B1332" si="3608">A1329</f>
        <v>PVC</v>
      </c>
      <c r="B1332" s="391" t="str">
        <f t="shared" si="3608"/>
        <v>fiber</v>
      </c>
      <c r="C1332" s="391">
        <f t="shared" ref="C1332" si="3609">C1331</f>
        <v>4</v>
      </c>
      <c r="D1332" s="391" t="str">
        <f t="shared" ref="D1332:E1332" si="3610">D1329</f>
        <v>0,01-0,1</v>
      </c>
      <c r="E1332" s="391">
        <f t="shared" si="3610"/>
        <v>0.1</v>
      </c>
      <c r="F1332" s="391" t="str">
        <f t="shared" ref="F1332:G1332" si="3611">F1331</f>
        <v>fresh water</v>
      </c>
      <c r="G1332" s="401" t="str">
        <f t="shared" si="3611"/>
        <v>DE: PVC fiber 0,01-0,1 mm (emission to fresh water)</v>
      </c>
      <c r="H1332" s="465">
        <v>0.89</v>
      </c>
      <c r="I1332" s="394" t="s">
        <v>1143</v>
      </c>
      <c r="J1332" s="635"/>
      <c r="K1332" s="389">
        <v>0</v>
      </c>
      <c r="L1332" s="536"/>
      <c r="M1332" s="509">
        <f t="shared" si="3462"/>
        <v>1000</v>
      </c>
      <c r="N1332" s="646"/>
      <c r="O1332" s="626"/>
      <c r="P1332" s="629"/>
      <c r="Q1332" s="629"/>
    </row>
    <row r="1333" spans="1:17" ht="15.75" hidden="1" thickBot="1">
      <c r="A1333" s="390" t="str">
        <f t="shared" ref="A1333:B1333" si="3612">A1330</f>
        <v>PVC</v>
      </c>
      <c r="B1333" s="391" t="str">
        <f t="shared" si="3612"/>
        <v>fiber</v>
      </c>
      <c r="C1333" s="391">
        <f t="shared" ref="C1333" si="3613">C1332</f>
        <v>4</v>
      </c>
      <c r="D1333" s="391" t="str">
        <f t="shared" ref="D1333:E1333" si="3614">D1330</f>
        <v>0,01-0,1</v>
      </c>
      <c r="E1333" s="391">
        <f t="shared" si="3614"/>
        <v>0.1</v>
      </c>
      <c r="F1333" s="391" t="str">
        <f t="shared" ref="F1333:G1333" si="3615">F1332</f>
        <v>fresh water</v>
      </c>
      <c r="G1333" s="401" t="str">
        <f t="shared" si="3615"/>
        <v>DE: PVC fiber 0,01-0,1 mm (emission to fresh water)</v>
      </c>
      <c r="H1333" s="465">
        <v>0.11</v>
      </c>
      <c r="I1333" s="394" t="s">
        <v>1146</v>
      </c>
      <c r="J1333" s="635"/>
      <c r="K1333" s="389">
        <v>0</v>
      </c>
      <c r="L1333" s="536"/>
      <c r="M1333" s="509">
        <f t="shared" si="3462"/>
        <v>1000</v>
      </c>
      <c r="N1333" s="646"/>
      <c r="O1333" s="626"/>
      <c r="P1333" s="629"/>
      <c r="Q1333" s="629"/>
    </row>
    <row r="1334" spans="1:17" ht="15.75" hidden="1" thickBot="1">
      <c r="A1334" s="390" t="str">
        <f t="shared" ref="A1334:B1334" si="3616">A1331</f>
        <v>PVC</v>
      </c>
      <c r="B1334" s="391" t="str">
        <f t="shared" si="3616"/>
        <v>fiber</v>
      </c>
      <c r="C1334" s="391">
        <f t="shared" ref="C1334" si="3617">C1333</f>
        <v>4</v>
      </c>
      <c r="D1334" s="391" t="str">
        <f t="shared" ref="D1334:E1334" si="3618">D1331</f>
        <v>0,01-0,1</v>
      </c>
      <c r="E1334" s="391">
        <f t="shared" si="3618"/>
        <v>0.1</v>
      </c>
      <c r="F1334" s="402" t="str">
        <f>F1331</f>
        <v>fresh water</v>
      </c>
      <c r="G1334" s="401" t="str">
        <f t="shared" ref="G1334" si="3619">G1333</f>
        <v>DE: PVC fiber 0,01-0,1 mm (emission to fresh water)</v>
      </c>
      <c r="H1334" s="465">
        <v>0</v>
      </c>
      <c r="I1334" s="397" t="s">
        <v>1034</v>
      </c>
      <c r="J1334" s="654"/>
      <c r="K1334" s="398" t="s">
        <v>596</v>
      </c>
      <c r="L1334" s="538"/>
      <c r="M1334" s="509">
        <f t="shared" si="3462"/>
        <v>0</v>
      </c>
      <c r="N1334" s="647"/>
      <c r="O1334" s="627"/>
      <c r="P1334" s="629"/>
      <c r="Q1334" s="629"/>
    </row>
    <row r="1335" spans="1:17" ht="15.75" hidden="1" thickBot="1">
      <c r="A1335" s="390" t="str">
        <f t="shared" ref="A1335:B1335" si="3620">A1332</f>
        <v>PVC</v>
      </c>
      <c r="B1335" s="391" t="str">
        <f t="shared" si="3620"/>
        <v>fiber</v>
      </c>
      <c r="C1335" s="391">
        <f t="shared" ref="C1335" si="3621">C1334</f>
        <v>4</v>
      </c>
      <c r="D1335" s="391" t="str">
        <f t="shared" ref="D1335:E1335" si="3622">D1332</f>
        <v>0,01-0,1</v>
      </c>
      <c r="E1335" s="391">
        <f t="shared" si="3622"/>
        <v>0.1</v>
      </c>
      <c r="F1335" s="385" t="s">
        <v>1097</v>
      </c>
      <c r="G1335" s="422" t="str">
        <f>CONCATENATE("DE: ",A1335," ",B1335," ",D1335," mm (emission to ",F1335,")")</f>
        <v>DE: PVC fiber 0,01-0,1 mm (emission to marine water)</v>
      </c>
      <c r="H1335" s="467">
        <v>0</v>
      </c>
      <c r="I1335" s="388" t="s">
        <v>1019</v>
      </c>
      <c r="J1335" s="634">
        <v>0.22800000000000001</v>
      </c>
      <c r="K1335" s="389">
        <v>0</v>
      </c>
      <c r="L1335" s="536"/>
      <c r="M1335" s="509">
        <f t="shared" si="3462"/>
        <v>1000</v>
      </c>
      <c r="N1335" s="645">
        <f t="shared" ref="N1335" si="3623">IFERROR(H1335*M1335+H1336*M1336+H1337*M1337+H1338*M1338+H1339*M1339,"N.A.")</f>
        <v>1000</v>
      </c>
      <c r="O1335" s="625"/>
      <c r="P1335" s="628">
        <f t="shared" si="3528"/>
        <v>100</v>
      </c>
      <c r="Q1335" s="628">
        <f t="shared" si="3423"/>
        <v>500</v>
      </c>
    </row>
    <row r="1336" spans="1:17" ht="15.75" hidden="1" thickBot="1">
      <c r="A1336" s="390" t="str">
        <f t="shared" ref="A1336:B1336" si="3624">A1333</f>
        <v>PVC</v>
      </c>
      <c r="B1336" s="391" t="str">
        <f t="shared" si="3624"/>
        <v>fiber</v>
      </c>
      <c r="C1336" s="391">
        <f t="shared" ref="C1336" si="3625">C1335</f>
        <v>4</v>
      </c>
      <c r="D1336" s="391" t="str">
        <f t="shared" ref="D1336:E1336" si="3626">D1333</f>
        <v>0,01-0,1</v>
      </c>
      <c r="E1336" s="391">
        <f t="shared" si="3626"/>
        <v>0.1</v>
      </c>
      <c r="F1336" s="391" t="str">
        <f t="shared" ref="F1336:G1336" si="3627">F1335</f>
        <v>marine water</v>
      </c>
      <c r="G1336" s="401" t="str">
        <f t="shared" si="3627"/>
        <v>DE: PVC fiber 0,01-0,1 mm (emission to marine water)</v>
      </c>
      <c r="H1336" s="465">
        <v>0</v>
      </c>
      <c r="I1336" s="394" t="s">
        <v>1097</v>
      </c>
      <c r="J1336" s="635"/>
      <c r="K1336" s="389">
        <v>0</v>
      </c>
      <c r="L1336" s="536"/>
      <c r="M1336" s="509">
        <f t="shared" si="3462"/>
        <v>1000</v>
      </c>
      <c r="N1336" s="646"/>
      <c r="O1336" s="626"/>
      <c r="P1336" s="629"/>
      <c r="Q1336" s="629"/>
    </row>
    <row r="1337" spans="1:17" ht="15.75" hidden="1" thickBot="1">
      <c r="A1337" s="390" t="str">
        <f t="shared" ref="A1337:B1337" si="3628">A1334</f>
        <v>PVC</v>
      </c>
      <c r="B1337" s="391" t="str">
        <f t="shared" si="3628"/>
        <v>fiber</v>
      </c>
      <c r="C1337" s="391">
        <f t="shared" ref="C1337" si="3629">C1336</f>
        <v>4</v>
      </c>
      <c r="D1337" s="391" t="str">
        <f t="shared" ref="D1337:E1337" si="3630">D1334</f>
        <v>0,01-0,1</v>
      </c>
      <c r="E1337" s="391">
        <f t="shared" si="3630"/>
        <v>0.1</v>
      </c>
      <c r="F1337" s="391" t="str">
        <f t="shared" ref="F1337:G1337" si="3631">F1336</f>
        <v>marine water</v>
      </c>
      <c r="G1337" s="401" t="str">
        <f t="shared" si="3631"/>
        <v>DE: PVC fiber 0,01-0,1 mm (emission to marine water)</v>
      </c>
      <c r="H1337" s="465">
        <v>0</v>
      </c>
      <c r="I1337" s="394" t="s">
        <v>1143</v>
      </c>
      <c r="J1337" s="635"/>
      <c r="K1337" s="389">
        <v>0</v>
      </c>
      <c r="L1337" s="536"/>
      <c r="M1337" s="509">
        <f t="shared" si="3462"/>
        <v>1000</v>
      </c>
      <c r="N1337" s="646"/>
      <c r="O1337" s="626"/>
      <c r="P1337" s="629"/>
      <c r="Q1337" s="629"/>
    </row>
    <row r="1338" spans="1:17" ht="15.75" hidden="1" thickBot="1">
      <c r="A1338" s="390" t="str">
        <f t="shared" ref="A1338:B1338" si="3632">A1335</f>
        <v>PVC</v>
      </c>
      <c r="B1338" s="391" t="str">
        <f t="shared" si="3632"/>
        <v>fiber</v>
      </c>
      <c r="C1338" s="391">
        <f t="shared" ref="C1338" si="3633">C1337</f>
        <v>4</v>
      </c>
      <c r="D1338" s="391" t="str">
        <f t="shared" ref="D1338:E1338" si="3634">D1335</f>
        <v>0,01-0,1</v>
      </c>
      <c r="E1338" s="391">
        <f t="shared" si="3634"/>
        <v>0.1</v>
      </c>
      <c r="F1338" s="391" t="str">
        <f t="shared" ref="F1338:G1338" si="3635">F1337</f>
        <v>marine water</v>
      </c>
      <c r="G1338" s="401" t="str">
        <f t="shared" si="3635"/>
        <v>DE: PVC fiber 0,01-0,1 mm (emission to marine water)</v>
      </c>
      <c r="H1338" s="465">
        <v>1</v>
      </c>
      <c r="I1338" s="394" t="s">
        <v>1146</v>
      </c>
      <c r="J1338" s="635"/>
      <c r="K1338" s="389">
        <v>0</v>
      </c>
      <c r="L1338" s="536"/>
      <c r="M1338" s="509">
        <f t="shared" si="3462"/>
        <v>1000</v>
      </c>
      <c r="N1338" s="646"/>
      <c r="O1338" s="626"/>
      <c r="P1338" s="629"/>
      <c r="Q1338" s="629"/>
    </row>
    <row r="1339" spans="1:17" ht="15.75" hidden="1" thickBot="1">
      <c r="A1339" s="390" t="str">
        <f t="shared" ref="A1339:B1339" si="3636">A1336</f>
        <v>PVC</v>
      </c>
      <c r="B1339" s="391" t="str">
        <f t="shared" si="3636"/>
        <v>fiber</v>
      </c>
      <c r="C1339" s="391">
        <f t="shared" ref="C1339" si="3637">C1338</f>
        <v>4</v>
      </c>
      <c r="D1339" s="391" t="str">
        <f t="shared" ref="D1339:E1339" si="3638">D1336</f>
        <v>0,01-0,1</v>
      </c>
      <c r="E1339" s="391">
        <f t="shared" si="3638"/>
        <v>0.1</v>
      </c>
      <c r="F1339" s="391" t="str">
        <f t="shared" ref="F1339:G1339" si="3639">F1338</f>
        <v>marine water</v>
      </c>
      <c r="G1339" s="401" t="str">
        <f t="shared" si="3639"/>
        <v>DE: PVC fiber 0,01-0,1 mm (emission to marine water)</v>
      </c>
      <c r="H1339" s="465">
        <v>0</v>
      </c>
      <c r="I1339" s="397" t="s">
        <v>1034</v>
      </c>
      <c r="J1339" s="654"/>
      <c r="K1339" s="398" t="s">
        <v>596</v>
      </c>
      <c r="L1339" s="538"/>
      <c r="M1339" s="509">
        <f t="shared" si="3462"/>
        <v>0</v>
      </c>
      <c r="N1339" s="647"/>
      <c r="O1339" s="627"/>
      <c r="P1339" s="629"/>
      <c r="Q1339" s="629"/>
    </row>
    <row r="1340" spans="1:17" ht="15.75" hidden="1" thickBot="1">
      <c r="A1340" s="390" t="str">
        <f t="shared" ref="A1340:B1340" si="3640">A1337</f>
        <v>PVC</v>
      </c>
      <c r="B1340" s="391" t="str">
        <f t="shared" si="3640"/>
        <v>fiber</v>
      </c>
      <c r="C1340" s="391">
        <f t="shared" ref="C1340" si="3641">C1339</f>
        <v>4</v>
      </c>
      <c r="D1340" s="391" t="str">
        <f t="shared" ref="D1340:E1340" si="3642">D1337</f>
        <v>0,01-0,1</v>
      </c>
      <c r="E1340" s="391">
        <f t="shared" si="3642"/>
        <v>0.1</v>
      </c>
      <c r="F1340" s="400" t="s">
        <v>1057</v>
      </c>
      <c r="G1340" s="422" t="str">
        <f>CONCATENATE("DE: ",A1340," ",B1340," ",D1340," mm (emission to ",F1340,")")</f>
        <v>DE: PVC fiber 0,01-0,1 mm (emission to air)</v>
      </c>
      <c r="H1340" s="467">
        <v>0.94799999999999995</v>
      </c>
      <c r="I1340" s="388" t="s">
        <v>1019</v>
      </c>
      <c r="J1340" s="634">
        <v>0.22800000000000001</v>
      </c>
      <c r="K1340" s="389">
        <v>0</v>
      </c>
      <c r="L1340" s="536"/>
      <c r="M1340" s="509">
        <f t="shared" si="3462"/>
        <v>1000</v>
      </c>
      <c r="N1340" s="645">
        <f t="shared" ref="N1340" si="3643">IFERROR(H1340*M1340+H1341*M1341+H1342*M1342+H1343*M1343+H1344*M1344,"N.A.")</f>
        <v>1000</v>
      </c>
      <c r="O1340" s="625"/>
      <c r="P1340" s="628">
        <f t="shared" si="3528"/>
        <v>100</v>
      </c>
      <c r="Q1340" s="628">
        <f t="shared" ref="Q1340:Q1400" si="3644">IFERROR(IF(H1340*M1340+H1341*M1341+H1342*M1342+H1343*M1343+H1344*M1344&gt;500,500,H1340*M1340+H1341*M1341+H1342*M1342+H1343*M1343+H1344*M1344),"N.A.")</f>
        <v>500</v>
      </c>
    </row>
    <row r="1341" spans="1:17" ht="15.75" hidden="1" thickBot="1">
      <c r="A1341" s="390" t="str">
        <f t="shared" ref="A1341:B1341" si="3645">A1338</f>
        <v>PVC</v>
      </c>
      <c r="B1341" s="391" t="str">
        <f t="shared" si="3645"/>
        <v>fiber</v>
      </c>
      <c r="C1341" s="391">
        <f t="shared" ref="C1341" si="3646">C1340</f>
        <v>4</v>
      </c>
      <c r="D1341" s="391" t="str">
        <f t="shared" ref="D1341:E1341" si="3647">D1338</f>
        <v>0,01-0,1</v>
      </c>
      <c r="E1341" s="391">
        <f t="shared" si="3647"/>
        <v>0.1</v>
      </c>
      <c r="F1341" s="391" t="str">
        <f t="shared" ref="F1341:G1341" si="3648">F1340</f>
        <v>air</v>
      </c>
      <c r="G1341" s="401" t="str">
        <f t="shared" si="3648"/>
        <v>DE: PVC fiber 0,01-0,1 mm (emission to air)</v>
      </c>
      <c r="H1341" s="465">
        <v>0</v>
      </c>
      <c r="I1341" s="394" t="s">
        <v>1097</v>
      </c>
      <c r="J1341" s="635"/>
      <c r="K1341" s="389">
        <v>0</v>
      </c>
      <c r="L1341" s="536"/>
      <c r="M1341" s="509">
        <f t="shared" si="3462"/>
        <v>1000</v>
      </c>
      <c r="N1341" s="646"/>
      <c r="O1341" s="626"/>
      <c r="P1341" s="629"/>
      <c r="Q1341" s="629"/>
    </row>
    <row r="1342" spans="1:17" ht="15.75" hidden="1" thickBot="1">
      <c r="A1342" s="390" t="str">
        <f t="shared" ref="A1342:B1342" si="3649">A1339</f>
        <v>PVC</v>
      </c>
      <c r="B1342" s="391" t="str">
        <f t="shared" si="3649"/>
        <v>fiber</v>
      </c>
      <c r="C1342" s="391">
        <f t="shared" ref="C1342" si="3650">C1341</f>
        <v>4</v>
      </c>
      <c r="D1342" s="391" t="str">
        <f t="shared" ref="D1342:E1342" si="3651">D1339</f>
        <v>0,01-0,1</v>
      </c>
      <c r="E1342" s="391">
        <f t="shared" si="3651"/>
        <v>0.1</v>
      </c>
      <c r="F1342" s="391" t="str">
        <f t="shared" ref="F1342:G1342" si="3652">F1341</f>
        <v>air</v>
      </c>
      <c r="G1342" s="401" t="str">
        <f t="shared" si="3652"/>
        <v>DE: PVC fiber 0,01-0,1 mm (emission to air)</v>
      </c>
      <c r="H1342" s="465">
        <v>4.7E-2</v>
      </c>
      <c r="I1342" s="394" t="s">
        <v>1143</v>
      </c>
      <c r="J1342" s="635"/>
      <c r="K1342" s="389">
        <v>0</v>
      </c>
      <c r="L1342" s="536"/>
      <c r="M1342" s="509">
        <f t="shared" si="3462"/>
        <v>1000</v>
      </c>
      <c r="N1342" s="646"/>
      <c r="O1342" s="626"/>
      <c r="P1342" s="629"/>
      <c r="Q1342" s="629"/>
    </row>
    <row r="1343" spans="1:17" ht="15.75" hidden="1" thickBot="1">
      <c r="A1343" s="390" t="str">
        <f t="shared" ref="A1343:B1343" si="3653">A1340</f>
        <v>PVC</v>
      </c>
      <c r="B1343" s="391" t="str">
        <f t="shared" si="3653"/>
        <v>fiber</v>
      </c>
      <c r="C1343" s="391">
        <f t="shared" ref="C1343" si="3654">C1342</f>
        <v>4</v>
      </c>
      <c r="D1343" s="391" t="str">
        <f t="shared" ref="D1343:E1343" si="3655">D1340</f>
        <v>0,01-0,1</v>
      </c>
      <c r="E1343" s="391">
        <f t="shared" si="3655"/>
        <v>0.1</v>
      </c>
      <c r="F1343" s="391" t="str">
        <f t="shared" ref="F1343:G1343" si="3656">F1342</f>
        <v>air</v>
      </c>
      <c r="G1343" s="401" t="str">
        <f t="shared" si="3656"/>
        <v>DE: PVC fiber 0,01-0,1 mm (emission to air)</v>
      </c>
      <c r="H1343" s="465">
        <v>5.0000000000000001E-3</v>
      </c>
      <c r="I1343" s="394" t="s">
        <v>1146</v>
      </c>
      <c r="J1343" s="635"/>
      <c r="K1343" s="389">
        <v>0</v>
      </c>
      <c r="L1343" s="536"/>
      <c r="M1343" s="509">
        <f t="shared" si="3462"/>
        <v>1000</v>
      </c>
      <c r="N1343" s="646"/>
      <c r="O1343" s="626"/>
      <c r="P1343" s="629"/>
      <c r="Q1343" s="629"/>
    </row>
    <row r="1344" spans="1:17" ht="15.75" hidden="1" thickBot="1">
      <c r="A1344" s="404" t="str">
        <f t="shared" ref="A1344:B1344" si="3657">A1339</f>
        <v>PVC</v>
      </c>
      <c r="B1344" s="402" t="str">
        <f t="shared" si="3657"/>
        <v>fiber</v>
      </c>
      <c r="C1344" s="391">
        <f t="shared" ref="C1344" si="3658">C1343</f>
        <v>4</v>
      </c>
      <c r="D1344" s="402" t="str">
        <f t="shared" ref="D1344:E1344" si="3659">D1339</f>
        <v>0,01-0,1</v>
      </c>
      <c r="E1344" s="402">
        <f t="shared" si="3659"/>
        <v>0.1</v>
      </c>
      <c r="F1344" s="391" t="str">
        <f t="shared" ref="F1344:G1344" si="3660">F1343</f>
        <v>air</v>
      </c>
      <c r="G1344" s="401" t="str">
        <f t="shared" si="3660"/>
        <v>DE: PVC fiber 0,01-0,1 mm (emission to air)</v>
      </c>
      <c r="H1344" s="465">
        <v>0</v>
      </c>
      <c r="I1344" s="394" t="s">
        <v>1034</v>
      </c>
      <c r="J1344" s="636"/>
      <c r="K1344" s="398" t="s">
        <v>596</v>
      </c>
      <c r="L1344" s="538"/>
      <c r="M1344" s="509">
        <f t="shared" si="3462"/>
        <v>0</v>
      </c>
      <c r="N1344" s="647"/>
      <c r="O1344" s="627"/>
      <c r="P1344" s="629"/>
      <c r="Q1344" s="629"/>
    </row>
    <row r="1345" spans="1:17" ht="16.5" hidden="1" thickTop="1" thickBot="1">
      <c r="A1345" s="405" t="s">
        <v>86</v>
      </c>
      <c r="B1345" s="406" t="s">
        <v>1151</v>
      </c>
      <c r="C1345" s="407">
        <v>4</v>
      </c>
      <c r="D1345" s="423" t="s">
        <v>1028</v>
      </c>
      <c r="E1345" s="408">
        <v>1</v>
      </c>
      <c r="F1345" s="424" t="s">
        <v>1019</v>
      </c>
      <c r="G1345" s="425" t="str">
        <f>CONCATENATE("DE: ",A1345," ",B1345," ",D1345," mm (emission to ",F1345,")")</f>
        <v>DE: PVC fiber 0,1-1 mm (emission to soil)</v>
      </c>
      <c r="H1345" s="464">
        <v>0.97</v>
      </c>
      <c r="I1345" s="427" t="s">
        <v>1019</v>
      </c>
      <c r="J1345" s="632">
        <v>0.22800000000000001</v>
      </c>
      <c r="K1345" s="449">
        <v>0</v>
      </c>
      <c r="L1345" s="536"/>
      <c r="M1345" s="509">
        <f t="shared" si="3462"/>
        <v>1000</v>
      </c>
      <c r="N1345" s="645">
        <f t="shared" ref="N1345" si="3661">IFERROR(H1345*M1345+H1346*M1346+H1347*M1347+H1348*M1348+H1349*M1349,"N.A.")</f>
        <v>1000</v>
      </c>
      <c r="O1345" s="625"/>
      <c r="P1345" s="628">
        <f t="shared" si="3528"/>
        <v>100</v>
      </c>
      <c r="Q1345" s="628">
        <f t="shared" si="3644"/>
        <v>500</v>
      </c>
    </row>
    <row r="1346" spans="1:17" ht="15.75" hidden="1" thickBot="1">
      <c r="A1346" s="390" t="str">
        <f>A1345</f>
        <v>PVC</v>
      </c>
      <c r="B1346" s="391" t="str">
        <f>B1345</f>
        <v>fiber</v>
      </c>
      <c r="C1346" s="391">
        <f t="shared" ref="C1346:G1346" si="3662">C1345</f>
        <v>4</v>
      </c>
      <c r="D1346" s="391" t="str">
        <f t="shared" si="3662"/>
        <v>0,1-1</v>
      </c>
      <c r="E1346" s="391">
        <f t="shared" si="3662"/>
        <v>1</v>
      </c>
      <c r="F1346" s="391" t="str">
        <f t="shared" si="3662"/>
        <v>soil</v>
      </c>
      <c r="G1346" s="392" t="str">
        <f t="shared" si="3662"/>
        <v>DE: PVC fiber 0,1-1 mm (emission to soil)</v>
      </c>
      <c r="H1346" s="465">
        <v>0</v>
      </c>
      <c r="I1346" s="394" t="s">
        <v>1097</v>
      </c>
      <c r="J1346" s="632"/>
      <c r="K1346" s="395">
        <v>0</v>
      </c>
      <c r="L1346" s="537"/>
      <c r="M1346" s="509">
        <f t="shared" si="3462"/>
        <v>1000</v>
      </c>
      <c r="N1346" s="646"/>
      <c r="O1346" s="626"/>
      <c r="P1346" s="629"/>
      <c r="Q1346" s="629"/>
    </row>
    <row r="1347" spans="1:17" ht="15.75" hidden="1" thickBot="1">
      <c r="A1347" s="390" t="str">
        <f t="shared" ref="A1347:G1347" si="3663">A1346</f>
        <v>PVC</v>
      </c>
      <c r="B1347" s="391" t="str">
        <f t="shared" si="3663"/>
        <v>fiber</v>
      </c>
      <c r="C1347" s="391">
        <f t="shared" si="3663"/>
        <v>4</v>
      </c>
      <c r="D1347" s="391" t="str">
        <f t="shared" si="3663"/>
        <v>0,1-1</v>
      </c>
      <c r="E1347" s="391">
        <f t="shared" si="3663"/>
        <v>1</v>
      </c>
      <c r="F1347" s="391" t="str">
        <f t="shared" si="3663"/>
        <v>soil</v>
      </c>
      <c r="G1347" s="392" t="str">
        <f t="shared" si="3663"/>
        <v>DE: PVC fiber 0,1-1 mm (emission to soil)</v>
      </c>
      <c r="H1347" s="465">
        <v>2.7E-2</v>
      </c>
      <c r="I1347" s="394" t="s">
        <v>1143</v>
      </c>
      <c r="J1347" s="632"/>
      <c r="K1347" s="395">
        <v>0</v>
      </c>
      <c r="L1347" s="537"/>
      <c r="M1347" s="509">
        <f t="shared" si="3462"/>
        <v>1000</v>
      </c>
      <c r="N1347" s="646"/>
      <c r="O1347" s="626"/>
      <c r="P1347" s="629"/>
      <c r="Q1347" s="629"/>
    </row>
    <row r="1348" spans="1:17" ht="15.75" hidden="1" thickBot="1">
      <c r="A1348" s="390" t="str">
        <f t="shared" ref="A1348:G1348" si="3664">A1347</f>
        <v>PVC</v>
      </c>
      <c r="B1348" s="391" t="str">
        <f t="shared" si="3664"/>
        <v>fiber</v>
      </c>
      <c r="C1348" s="391">
        <f t="shared" si="3664"/>
        <v>4</v>
      </c>
      <c r="D1348" s="391" t="str">
        <f t="shared" si="3664"/>
        <v>0,1-1</v>
      </c>
      <c r="E1348" s="391">
        <f t="shared" si="3664"/>
        <v>1</v>
      </c>
      <c r="F1348" s="391" t="str">
        <f t="shared" si="3664"/>
        <v>soil</v>
      </c>
      <c r="G1348" s="392" t="str">
        <f t="shared" si="3664"/>
        <v>DE: PVC fiber 0,1-1 mm (emission to soil)</v>
      </c>
      <c r="H1348" s="465">
        <v>3.0000000000000001E-3</v>
      </c>
      <c r="I1348" s="394" t="s">
        <v>1146</v>
      </c>
      <c r="J1348" s="632"/>
      <c r="K1348" s="395">
        <v>0</v>
      </c>
      <c r="L1348" s="537"/>
      <c r="M1348" s="509">
        <f t="shared" si="3462"/>
        <v>1000</v>
      </c>
      <c r="N1348" s="646"/>
      <c r="O1348" s="626"/>
      <c r="P1348" s="629"/>
      <c r="Q1348" s="629"/>
    </row>
    <row r="1349" spans="1:17" ht="15.75" hidden="1" thickBot="1">
      <c r="A1349" s="390" t="str">
        <f>A1346</f>
        <v>PVC</v>
      </c>
      <c r="B1349" s="391" t="str">
        <f>B1346</f>
        <v>fiber</v>
      </c>
      <c r="C1349" s="391">
        <f t="shared" ref="C1349" si="3665">C1348</f>
        <v>4</v>
      </c>
      <c r="D1349" s="391" t="str">
        <f>D1346</f>
        <v>0,1-1</v>
      </c>
      <c r="E1349" s="391">
        <f>E1346</f>
        <v>1</v>
      </c>
      <c r="F1349" s="391" t="str">
        <f>F1346</f>
        <v>soil</v>
      </c>
      <c r="G1349" s="396" t="str">
        <f t="shared" ref="G1349" si="3666">G1348</f>
        <v>DE: PVC fiber 0,1-1 mm (emission to soil)</v>
      </c>
      <c r="H1349" s="465">
        <v>0</v>
      </c>
      <c r="I1349" s="397" t="s">
        <v>1034</v>
      </c>
      <c r="J1349" s="633"/>
      <c r="K1349" s="398" t="s">
        <v>596</v>
      </c>
      <c r="L1349" s="538"/>
      <c r="M1349" s="509">
        <f t="shared" si="3462"/>
        <v>0</v>
      </c>
      <c r="N1349" s="647"/>
      <c r="O1349" s="627"/>
      <c r="P1349" s="629"/>
      <c r="Q1349" s="629"/>
    </row>
    <row r="1350" spans="1:17" ht="15.75" hidden="1" thickBot="1">
      <c r="A1350" s="390" t="str">
        <f t="shared" ref="A1350:B1350" si="3667">A1347</f>
        <v>PVC</v>
      </c>
      <c r="B1350" s="391" t="str">
        <f t="shared" si="3667"/>
        <v>fiber</v>
      </c>
      <c r="C1350" s="391">
        <f t="shared" ref="C1350" si="3668">C1349</f>
        <v>4</v>
      </c>
      <c r="D1350" s="399" t="str">
        <f t="shared" ref="D1350:E1350" si="3669">D1347</f>
        <v>0,1-1</v>
      </c>
      <c r="E1350" s="391">
        <f t="shared" si="3669"/>
        <v>1</v>
      </c>
      <c r="F1350" s="400" t="s">
        <v>1147</v>
      </c>
      <c r="G1350" s="386" t="str">
        <f>CONCATENATE("DE: ",A1350," ",B1350," ",D1350," mm (emission to ",F1350,")")</f>
        <v>DE: PVC fiber 0,1-1 mm (emission to fresh water)</v>
      </c>
      <c r="H1350" s="466">
        <v>0</v>
      </c>
      <c r="I1350" s="388" t="s">
        <v>1019</v>
      </c>
      <c r="J1350" s="634">
        <v>0.22800000000000001</v>
      </c>
      <c r="K1350" s="389">
        <v>0</v>
      </c>
      <c r="L1350" s="536"/>
      <c r="M1350" s="509">
        <f t="shared" ref="M1350:M1413" si="3670">IFERROR(IF(K1350="--",0,IF(E1350*1000/K1350*(1-0.5)^(C1350/2)&gt;1000,1000,E1350*1000/K1350*(1-0.5)^(C1350/2))),1000)</f>
        <v>1000</v>
      </c>
      <c r="N1350" s="645">
        <f t="shared" ref="N1350" si="3671">IFERROR(H1350*M1350+H1351*M1351+H1352*M1352+H1353*M1353+H1354*M1354,"N.A.")</f>
        <v>1000</v>
      </c>
      <c r="O1350" s="625"/>
      <c r="P1350" s="628">
        <f t="shared" si="3528"/>
        <v>100</v>
      </c>
      <c r="Q1350" s="628">
        <f t="shared" si="3644"/>
        <v>500</v>
      </c>
    </row>
    <row r="1351" spans="1:17" ht="15.75" hidden="1" thickBot="1">
      <c r="A1351" s="390" t="str">
        <f t="shared" ref="A1351:B1351" si="3672">A1348</f>
        <v>PVC</v>
      </c>
      <c r="B1351" s="391" t="str">
        <f t="shared" si="3672"/>
        <v>fiber</v>
      </c>
      <c r="C1351" s="391">
        <f t="shared" ref="C1351" si="3673">C1350</f>
        <v>4</v>
      </c>
      <c r="D1351" s="391" t="str">
        <f t="shared" ref="D1351:E1351" si="3674">D1348</f>
        <v>0,1-1</v>
      </c>
      <c r="E1351" s="391">
        <f t="shared" si="3674"/>
        <v>1</v>
      </c>
      <c r="F1351" s="391" t="str">
        <f t="shared" ref="F1351:G1351" si="3675">F1350</f>
        <v>fresh water</v>
      </c>
      <c r="G1351" s="401" t="str">
        <f t="shared" si="3675"/>
        <v>DE: PVC fiber 0,1-1 mm (emission to fresh water)</v>
      </c>
      <c r="H1351" s="465">
        <v>0</v>
      </c>
      <c r="I1351" s="394" t="s">
        <v>1097</v>
      </c>
      <c r="J1351" s="635"/>
      <c r="K1351" s="389">
        <v>0</v>
      </c>
      <c r="L1351" s="536"/>
      <c r="M1351" s="509">
        <f t="shared" si="3670"/>
        <v>1000</v>
      </c>
      <c r="N1351" s="646"/>
      <c r="O1351" s="626"/>
      <c r="P1351" s="629"/>
      <c r="Q1351" s="629"/>
    </row>
    <row r="1352" spans="1:17" ht="15.75" hidden="1" thickBot="1">
      <c r="A1352" s="390" t="str">
        <f t="shared" ref="A1352:B1352" si="3676">A1349</f>
        <v>PVC</v>
      </c>
      <c r="B1352" s="391" t="str">
        <f t="shared" si="3676"/>
        <v>fiber</v>
      </c>
      <c r="C1352" s="391">
        <f t="shared" ref="C1352" si="3677">C1351</f>
        <v>4</v>
      </c>
      <c r="D1352" s="391" t="str">
        <f t="shared" ref="D1352:E1352" si="3678">D1349</f>
        <v>0,1-1</v>
      </c>
      <c r="E1352" s="391">
        <f t="shared" si="3678"/>
        <v>1</v>
      </c>
      <c r="F1352" s="391" t="str">
        <f t="shared" ref="F1352:G1352" si="3679">F1351</f>
        <v>fresh water</v>
      </c>
      <c r="G1352" s="401" t="str">
        <f t="shared" si="3679"/>
        <v>DE: PVC fiber 0,1-1 mm (emission to fresh water)</v>
      </c>
      <c r="H1352" s="465">
        <v>0.89</v>
      </c>
      <c r="I1352" s="394" t="s">
        <v>1143</v>
      </c>
      <c r="J1352" s="635"/>
      <c r="K1352" s="389">
        <v>0</v>
      </c>
      <c r="L1352" s="536"/>
      <c r="M1352" s="509">
        <f t="shared" si="3670"/>
        <v>1000</v>
      </c>
      <c r="N1352" s="646"/>
      <c r="O1352" s="626"/>
      <c r="P1352" s="629"/>
      <c r="Q1352" s="629"/>
    </row>
    <row r="1353" spans="1:17" ht="15.75" hidden="1" thickBot="1">
      <c r="A1353" s="390" t="str">
        <f t="shared" ref="A1353:B1353" si="3680">A1350</f>
        <v>PVC</v>
      </c>
      <c r="B1353" s="391" t="str">
        <f t="shared" si="3680"/>
        <v>fiber</v>
      </c>
      <c r="C1353" s="391">
        <f t="shared" ref="C1353" si="3681">C1352</f>
        <v>4</v>
      </c>
      <c r="D1353" s="391" t="str">
        <f t="shared" ref="D1353:E1353" si="3682">D1350</f>
        <v>0,1-1</v>
      </c>
      <c r="E1353" s="391">
        <f t="shared" si="3682"/>
        <v>1</v>
      </c>
      <c r="F1353" s="391" t="str">
        <f t="shared" ref="F1353:G1353" si="3683">F1352</f>
        <v>fresh water</v>
      </c>
      <c r="G1353" s="401" t="str">
        <f t="shared" si="3683"/>
        <v>DE: PVC fiber 0,1-1 mm (emission to fresh water)</v>
      </c>
      <c r="H1353" s="465">
        <v>0.11</v>
      </c>
      <c r="I1353" s="394" t="s">
        <v>1146</v>
      </c>
      <c r="J1353" s="635"/>
      <c r="K1353" s="389">
        <v>0</v>
      </c>
      <c r="L1353" s="536"/>
      <c r="M1353" s="509">
        <f t="shared" si="3670"/>
        <v>1000</v>
      </c>
      <c r="N1353" s="646"/>
      <c r="O1353" s="626"/>
      <c r="P1353" s="629"/>
      <c r="Q1353" s="629"/>
    </row>
    <row r="1354" spans="1:17" ht="15.75" hidden="1" thickBot="1">
      <c r="A1354" s="390" t="str">
        <f t="shared" ref="A1354:B1354" si="3684">A1351</f>
        <v>PVC</v>
      </c>
      <c r="B1354" s="391" t="str">
        <f t="shared" si="3684"/>
        <v>fiber</v>
      </c>
      <c r="C1354" s="391">
        <f t="shared" ref="C1354" si="3685">C1353</f>
        <v>4</v>
      </c>
      <c r="D1354" s="391" t="str">
        <f t="shared" ref="D1354:E1354" si="3686">D1351</f>
        <v>0,1-1</v>
      </c>
      <c r="E1354" s="391">
        <f t="shared" si="3686"/>
        <v>1</v>
      </c>
      <c r="F1354" s="402" t="str">
        <f>F1351</f>
        <v>fresh water</v>
      </c>
      <c r="G1354" s="401" t="str">
        <f t="shared" ref="G1354" si="3687">G1353</f>
        <v>DE: PVC fiber 0,1-1 mm (emission to fresh water)</v>
      </c>
      <c r="H1354" s="465">
        <v>0</v>
      </c>
      <c r="I1354" s="397" t="s">
        <v>1034</v>
      </c>
      <c r="J1354" s="654"/>
      <c r="K1354" s="398" t="s">
        <v>596</v>
      </c>
      <c r="L1354" s="538"/>
      <c r="M1354" s="509">
        <f t="shared" si="3670"/>
        <v>0</v>
      </c>
      <c r="N1354" s="647"/>
      <c r="O1354" s="627"/>
      <c r="P1354" s="629"/>
      <c r="Q1354" s="629"/>
    </row>
    <row r="1355" spans="1:17" ht="15.75" hidden="1" thickBot="1">
      <c r="A1355" s="390" t="str">
        <f t="shared" ref="A1355:B1355" si="3688">A1352</f>
        <v>PVC</v>
      </c>
      <c r="B1355" s="391" t="str">
        <f t="shared" si="3688"/>
        <v>fiber</v>
      </c>
      <c r="C1355" s="391">
        <f t="shared" ref="C1355" si="3689">C1354</f>
        <v>4</v>
      </c>
      <c r="D1355" s="391" t="str">
        <f t="shared" ref="D1355:E1355" si="3690">D1352</f>
        <v>0,1-1</v>
      </c>
      <c r="E1355" s="391">
        <f t="shared" si="3690"/>
        <v>1</v>
      </c>
      <c r="F1355" s="385" t="s">
        <v>1097</v>
      </c>
      <c r="G1355" s="422" t="str">
        <f>CONCATENATE("DE: ",A1355," ",B1355," ",D1355," mm (emission to ",F1355,")")</f>
        <v>DE: PVC fiber 0,1-1 mm (emission to marine water)</v>
      </c>
      <c r="H1355" s="467">
        <v>0</v>
      </c>
      <c r="I1355" s="388" t="s">
        <v>1019</v>
      </c>
      <c r="J1355" s="634">
        <v>0.22800000000000001</v>
      </c>
      <c r="K1355" s="389">
        <v>0</v>
      </c>
      <c r="L1355" s="536"/>
      <c r="M1355" s="509">
        <f t="shared" si="3670"/>
        <v>1000</v>
      </c>
      <c r="N1355" s="645">
        <f t="shared" ref="N1355" si="3691">IFERROR(H1355*M1355+H1356*M1356+H1357*M1357+H1358*M1358+H1359*M1359,"N.A.")</f>
        <v>1000</v>
      </c>
      <c r="O1355" s="625"/>
      <c r="P1355" s="628">
        <f t="shared" si="3528"/>
        <v>100</v>
      </c>
      <c r="Q1355" s="628">
        <f t="shared" si="3644"/>
        <v>500</v>
      </c>
    </row>
    <row r="1356" spans="1:17" ht="15.75" hidden="1" thickBot="1">
      <c r="A1356" s="390" t="str">
        <f t="shared" ref="A1356:B1356" si="3692">A1353</f>
        <v>PVC</v>
      </c>
      <c r="B1356" s="391" t="str">
        <f t="shared" si="3692"/>
        <v>fiber</v>
      </c>
      <c r="C1356" s="391">
        <f t="shared" ref="C1356" si="3693">C1355</f>
        <v>4</v>
      </c>
      <c r="D1356" s="391" t="str">
        <f t="shared" ref="D1356:E1356" si="3694">D1353</f>
        <v>0,1-1</v>
      </c>
      <c r="E1356" s="391">
        <f t="shared" si="3694"/>
        <v>1</v>
      </c>
      <c r="F1356" s="391" t="str">
        <f t="shared" ref="F1356:G1356" si="3695">F1355</f>
        <v>marine water</v>
      </c>
      <c r="G1356" s="401" t="str">
        <f t="shared" si="3695"/>
        <v>DE: PVC fiber 0,1-1 mm (emission to marine water)</v>
      </c>
      <c r="H1356" s="465">
        <v>0</v>
      </c>
      <c r="I1356" s="394" t="s">
        <v>1097</v>
      </c>
      <c r="J1356" s="635"/>
      <c r="K1356" s="389">
        <v>0</v>
      </c>
      <c r="L1356" s="536"/>
      <c r="M1356" s="509">
        <f t="shared" si="3670"/>
        <v>1000</v>
      </c>
      <c r="N1356" s="646"/>
      <c r="O1356" s="626"/>
      <c r="P1356" s="629"/>
      <c r="Q1356" s="629"/>
    </row>
    <row r="1357" spans="1:17" ht="15.75" hidden="1" thickBot="1">
      <c r="A1357" s="390" t="str">
        <f t="shared" ref="A1357:B1357" si="3696">A1354</f>
        <v>PVC</v>
      </c>
      <c r="B1357" s="391" t="str">
        <f t="shared" si="3696"/>
        <v>fiber</v>
      </c>
      <c r="C1357" s="391">
        <f t="shared" ref="C1357" si="3697">C1356</f>
        <v>4</v>
      </c>
      <c r="D1357" s="391" t="str">
        <f t="shared" ref="D1357:E1357" si="3698">D1354</f>
        <v>0,1-1</v>
      </c>
      <c r="E1357" s="391">
        <f t="shared" si="3698"/>
        <v>1</v>
      </c>
      <c r="F1357" s="391" t="str">
        <f t="shared" ref="F1357:G1357" si="3699">F1356</f>
        <v>marine water</v>
      </c>
      <c r="G1357" s="401" t="str">
        <f t="shared" si="3699"/>
        <v>DE: PVC fiber 0,1-1 mm (emission to marine water)</v>
      </c>
      <c r="H1357" s="465">
        <v>0</v>
      </c>
      <c r="I1357" s="394" t="s">
        <v>1143</v>
      </c>
      <c r="J1357" s="635"/>
      <c r="K1357" s="389">
        <v>0</v>
      </c>
      <c r="L1357" s="536"/>
      <c r="M1357" s="509">
        <f t="shared" si="3670"/>
        <v>1000</v>
      </c>
      <c r="N1357" s="646"/>
      <c r="O1357" s="626"/>
      <c r="P1357" s="629"/>
      <c r="Q1357" s="629"/>
    </row>
    <row r="1358" spans="1:17" ht="15.75" hidden="1" thickBot="1">
      <c r="A1358" s="390" t="str">
        <f t="shared" ref="A1358:B1358" si="3700">A1355</f>
        <v>PVC</v>
      </c>
      <c r="B1358" s="391" t="str">
        <f t="shared" si="3700"/>
        <v>fiber</v>
      </c>
      <c r="C1358" s="391">
        <f t="shared" ref="C1358" si="3701">C1357</f>
        <v>4</v>
      </c>
      <c r="D1358" s="391" t="str">
        <f t="shared" ref="D1358:E1358" si="3702">D1355</f>
        <v>0,1-1</v>
      </c>
      <c r="E1358" s="391">
        <f t="shared" si="3702"/>
        <v>1</v>
      </c>
      <c r="F1358" s="391" t="str">
        <f t="shared" ref="F1358:G1358" si="3703">F1357</f>
        <v>marine water</v>
      </c>
      <c r="G1358" s="401" t="str">
        <f t="shared" si="3703"/>
        <v>DE: PVC fiber 0,1-1 mm (emission to marine water)</v>
      </c>
      <c r="H1358" s="465">
        <v>1</v>
      </c>
      <c r="I1358" s="394" t="s">
        <v>1146</v>
      </c>
      <c r="J1358" s="635"/>
      <c r="K1358" s="389">
        <v>0</v>
      </c>
      <c r="L1358" s="536"/>
      <c r="M1358" s="509">
        <f t="shared" si="3670"/>
        <v>1000</v>
      </c>
      <c r="N1358" s="646"/>
      <c r="O1358" s="626"/>
      <c r="P1358" s="629"/>
      <c r="Q1358" s="629"/>
    </row>
    <row r="1359" spans="1:17" ht="15.75" hidden="1" thickBot="1">
      <c r="A1359" s="390" t="str">
        <f t="shared" ref="A1359:B1359" si="3704">A1356</f>
        <v>PVC</v>
      </c>
      <c r="B1359" s="391" t="str">
        <f t="shared" si="3704"/>
        <v>fiber</v>
      </c>
      <c r="C1359" s="391">
        <f t="shared" ref="C1359" si="3705">C1358</f>
        <v>4</v>
      </c>
      <c r="D1359" s="391" t="str">
        <f t="shared" ref="D1359:E1359" si="3706">D1356</f>
        <v>0,1-1</v>
      </c>
      <c r="E1359" s="391">
        <f t="shared" si="3706"/>
        <v>1</v>
      </c>
      <c r="F1359" s="391" t="str">
        <f t="shared" ref="F1359:G1359" si="3707">F1358</f>
        <v>marine water</v>
      </c>
      <c r="G1359" s="401" t="str">
        <f t="shared" si="3707"/>
        <v>DE: PVC fiber 0,1-1 mm (emission to marine water)</v>
      </c>
      <c r="H1359" s="465">
        <v>0</v>
      </c>
      <c r="I1359" s="397" t="s">
        <v>1034</v>
      </c>
      <c r="J1359" s="654"/>
      <c r="K1359" s="398" t="s">
        <v>596</v>
      </c>
      <c r="L1359" s="538"/>
      <c r="M1359" s="509">
        <f t="shared" si="3670"/>
        <v>0</v>
      </c>
      <c r="N1359" s="647"/>
      <c r="O1359" s="627"/>
      <c r="P1359" s="629"/>
      <c r="Q1359" s="629"/>
    </row>
    <row r="1360" spans="1:17" ht="15.75" hidden="1" thickBot="1">
      <c r="A1360" s="390" t="str">
        <f t="shared" ref="A1360:B1360" si="3708">A1357</f>
        <v>PVC</v>
      </c>
      <c r="B1360" s="391" t="str">
        <f t="shared" si="3708"/>
        <v>fiber</v>
      </c>
      <c r="C1360" s="391">
        <f t="shared" ref="C1360" si="3709">C1359</f>
        <v>4</v>
      </c>
      <c r="D1360" s="391" t="str">
        <f t="shared" ref="D1360:E1360" si="3710">D1357</f>
        <v>0,1-1</v>
      </c>
      <c r="E1360" s="391">
        <f t="shared" si="3710"/>
        <v>1</v>
      </c>
      <c r="F1360" s="400" t="s">
        <v>1057</v>
      </c>
      <c r="G1360" s="422" t="str">
        <f>CONCATENATE("DE: ",A1360," ",B1360," ",D1360," mm (emission to ",F1360,")")</f>
        <v>DE: PVC fiber 0,1-1 mm (emission to air)</v>
      </c>
      <c r="H1360" s="467">
        <v>0.94799999999999995</v>
      </c>
      <c r="I1360" s="388" t="s">
        <v>1019</v>
      </c>
      <c r="J1360" s="634">
        <v>0.22800000000000001</v>
      </c>
      <c r="K1360" s="389">
        <v>0</v>
      </c>
      <c r="L1360" s="536"/>
      <c r="M1360" s="509">
        <f t="shared" si="3670"/>
        <v>1000</v>
      </c>
      <c r="N1360" s="645">
        <f t="shared" ref="N1360" si="3711">IFERROR(H1360*M1360+H1361*M1361+H1362*M1362+H1363*M1363+H1364*M1364,"N.A.")</f>
        <v>1000</v>
      </c>
      <c r="O1360" s="625"/>
      <c r="P1360" s="628">
        <f t="shared" si="3528"/>
        <v>100</v>
      </c>
      <c r="Q1360" s="628">
        <f t="shared" si="3644"/>
        <v>500</v>
      </c>
    </row>
    <row r="1361" spans="1:17" ht="15.75" hidden="1" thickBot="1">
      <c r="A1361" s="390" t="str">
        <f t="shared" ref="A1361:B1361" si="3712">A1358</f>
        <v>PVC</v>
      </c>
      <c r="B1361" s="391" t="str">
        <f t="shared" si="3712"/>
        <v>fiber</v>
      </c>
      <c r="C1361" s="391">
        <f t="shared" ref="C1361" si="3713">C1360</f>
        <v>4</v>
      </c>
      <c r="D1361" s="391" t="str">
        <f t="shared" ref="D1361:E1361" si="3714">D1358</f>
        <v>0,1-1</v>
      </c>
      <c r="E1361" s="391">
        <f t="shared" si="3714"/>
        <v>1</v>
      </c>
      <c r="F1361" s="391" t="str">
        <f t="shared" ref="F1361:G1361" si="3715">F1360</f>
        <v>air</v>
      </c>
      <c r="G1361" s="401" t="str">
        <f t="shared" si="3715"/>
        <v>DE: PVC fiber 0,1-1 mm (emission to air)</v>
      </c>
      <c r="H1361" s="465">
        <v>0</v>
      </c>
      <c r="I1361" s="394" t="s">
        <v>1097</v>
      </c>
      <c r="J1361" s="635"/>
      <c r="K1361" s="389">
        <v>0</v>
      </c>
      <c r="L1361" s="536"/>
      <c r="M1361" s="509">
        <f t="shared" si="3670"/>
        <v>1000</v>
      </c>
      <c r="N1361" s="646"/>
      <c r="O1361" s="626"/>
      <c r="P1361" s="629"/>
      <c r="Q1361" s="629"/>
    </row>
    <row r="1362" spans="1:17" ht="15.75" hidden="1" thickBot="1">
      <c r="A1362" s="390" t="str">
        <f t="shared" ref="A1362:B1362" si="3716">A1359</f>
        <v>PVC</v>
      </c>
      <c r="B1362" s="391" t="str">
        <f t="shared" si="3716"/>
        <v>fiber</v>
      </c>
      <c r="C1362" s="391">
        <f t="shared" ref="C1362" si="3717">C1361</f>
        <v>4</v>
      </c>
      <c r="D1362" s="391" t="str">
        <f t="shared" ref="D1362:E1362" si="3718">D1359</f>
        <v>0,1-1</v>
      </c>
      <c r="E1362" s="391">
        <f t="shared" si="3718"/>
        <v>1</v>
      </c>
      <c r="F1362" s="391" t="str">
        <f t="shared" ref="F1362:G1362" si="3719">F1361</f>
        <v>air</v>
      </c>
      <c r="G1362" s="401" t="str">
        <f t="shared" si="3719"/>
        <v>DE: PVC fiber 0,1-1 mm (emission to air)</v>
      </c>
      <c r="H1362" s="465">
        <v>4.7E-2</v>
      </c>
      <c r="I1362" s="394" t="s">
        <v>1143</v>
      </c>
      <c r="J1362" s="635"/>
      <c r="K1362" s="389">
        <v>0</v>
      </c>
      <c r="L1362" s="536"/>
      <c r="M1362" s="509">
        <f t="shared" si="3670"/>
        <v>1000</v>
      </c>
      <c r="N1362" s="646"/>
      <c r="O1362" s="626"/>
      <c r="P1362" s="629"/>
      <c r="Q1362" s="629"/>
    </row>
    <row r="1363" spans="1:17" ht="15.75" hidden="1" thickBot="1">
      <c r="A1363" s="390" t="str">
        <f t="shared" ref="A1363:B1363" si="3720">A1360</f>
        <v>PVC</v>
      </c>
      <c r="B1363" s="391" t="str">
        <f t="shared" si="3720"/>
        <v>fiber</v>
      </c>
      <c r="C1363" s="391">
        <f t="shared" ref="C1363" si="3721">C1362</f>
        <v>4</v>
      </c>
      <c r="D1363" s="391" t="str">
        <f t="shared" ref="D1363:E1363" si="3722">D1360</f>
        <v>0,1-1</v>
      </c>
      <c r="E1363" s="391">
        <f t="shared" si="3722"/>
        <v>1</v>
      </c>
      <c r="F1363" s="391" t="str">
        <f t="shared" ref="F1363:G1363" si="3723">F1362</f>
        <v>air</v>
      </c>
      <c r="G1363" s="401" t="str">
        <f t="shared" si="3723"/>
        <v>DE: PVC fiber 0,1-1 mm (emission to air)</v>
      </c>
      <c r="H1363" s="465">
        <v>5.0000000000000001E-3</v>
      </c>
      <c r="I1363" s="394" t="s">
        <v>1146</v>
      </c>
      <c r="J1363" s="635"/>
      <c r="K1363" s="389">
        <v>0</v>
      </c>
      <c r="L1363" s="536"/>
      <c r="M1363" s="509">
        <f t="shared" si="3670"/>
        <v>1000</v>
      </c>
      <c r="N1363" s="646"/>
      <c r="O1363" s="626"/>
      <c r="P1363" s="629"/>
      <c r="Q1363" s="629"/>
    </row>
    <row r="1364" spans="1:17" ht="15.75" hidden="1" thickBot="1">
      <c r="A1364" s="404" t="str">
        <f t="shared" ref="A1364:B1364" si="3724">A1359</f>
        <v>PVC</v>
      </c>
      <c r="B1364" s="402" t="str">
        <f t="shared" si="3724"/>
        <v>fiber</v>
      </c>
      <c r="C1364" s="391">
        <f t="shared" ref="C1364" si="3725">C1363</f>
        <v>4</v>
      </c>
      <c r="D1364" s="402" t="str">
        <f t="shared" ref="D1364:E1364" si="3726">D1359</f>
        <v>0,1-1</v>
      </c>
      <c r="E1364" s="402">
        <f t="shared" si="3726"/>
        <v>1</v>
      </c>
      <c r="F1364" s="391" t="str">
        <f t="shared" ref="F1364:G1364" si="3727">F1363</f>
        <v>air</v>
      </c>
      <c r="G1364" s="401" t="str">
        <f t="shared" si="3727"/>
        <v>DE: PVC fiber 0,1-1 mm (emission to air)</v>
      </c>
      <c r="H1364" s="465">
        <v>0</v>
      </c>
      <c r="I1364" s="394" t="s">
        <v>1034</v>
      </c>
      <c r="J1364" s="636"/>
      <c r="K1364" s="398" t="s">
        <v>596</v>
      </c>
      <c r="L1364" s="538"/>
      <c r="M1364" s="509">
        <f t="shared" si="3670"/>
        <v>0</v>
      </c>
      <c r="N1364" s="647"/>
      <c r="O1364" s="627"/>
      <c r="P1364" s="629"/>
      <c r="Q1364" s="629"/>
    </row>
    <row r="1365" spans="1:17" ht="16.5" hidden="1" thickTop="1" thickBot="1">
      <c r="A1365" s="405" t="s">
        <v>86</v>
      </c>
      <c r="B1365" s="406" t="s">
        <v>1151</v>
      </c>
      <c r="C1365" s="407">
        <v>4</v>
      </c>
      <c r="D1365" s="423" t="s">
        <v>1026</v>
      </c>
      <c r="E1365" s="408">
        <v>10</v>
      </c>
      <c r="F1365" s="424" t="s">
        <v>1019</v>
      </c>
      <c r="G1365" s="425" t="str">
        <f>CONCATENATE("DE: ",A1365," ",B1365," ",D1365," mm (emission to ",F1365,")")</f>
        <v>DE: PVC fiber 1-10 mm (emission to soil)</v>
      </c>
      <c r="H1365" s="464">
        <v>0.97</v>
      </c>
      <c r="I1365" s="427" t="s">
        <v>1019</v>
      </c>
      <c r="J1365" s="632">
        <v>0.22800000000000001</v>
      </c>
      <c r="K1365" s="449">
        <v>0</v>
      </c>
      <c r="L1365" s="536"/>
      <c r="M1365" s="509">
        <f t="shared" si="3670"/>
        <v>1000</v>
      </c>
      <c r="N1365" s="645">
        <f t="shared" ref="N1365" si="3728">IFERROR(H1365*M1365+H1366*M1366+H1367*M1367+H1368*M1368+H1369*M1369,"N.A.")</f>
        <v>1000</v>
      </c>
      <c r="O1365" s="625"/>
      <c r="P1365" s="628">
        <f t="shared" si="3528"/>
        <v>100</v>
      </c>
      <c r="Q1365" s="628">
        <f t="shared" si="3644"/>
        <v>500</v>
      </c>
    </row>
    <row r="1366" spans="1:17" ht="15.75" hidden="1" thickBot="1">
      <c r="A1366" s="390" t="str">
        <f>A1365</f>
        <v>PVC</v>
      </c>
      <c r="B1366" s="391" t="str">
        <f>B1365</f>
        <v>fiber</v>
      </c>
      <c r="C1366" s="391">
        <f t="shared" ref="C1366:G1366" si="3729">C1365</f>
        <v>4</v>
      </c>
      <c r="D1366" s="391" t="str">
        <f t="shared" si="3729"/>
        <v>1-10</v>
      </c>
      <c r="E1366" s="391">
        <f t="shared" si="3729"/>
        <v>10</v>
      </c>
      <c r="F1366" s="391" t="str">
        <f t="shared" si="3729"/>
        <v>soil</v>
      </c>
      <c r="G1366" s="392" t="str">
        <f t="shared" si="3729"/>
        <v>DE: PVC fiber 1-10 mm (emission to soil)</v>
      </c>
      <c r="H1366" s="465">
        <v>0</v>
      </c>
      <c r="I1366" s="394" t="s">
        <v>1097</v>
      </c>
      <c r="J1366" s="632"/>
      <c r="K1366" s="395">
        <v>0</v>
      </c>
      <c r="L1366" s="537"/>
      <c r="M1366" s="509">
        <f t="shared" si="3670"/>
        <v>1000</v>
      </c>
      <c r="N1366" s="646"/>
      <c r="O1366" s="626"/>
      <c r="P1366" s="629"/>
      <c r="Q1366" s="629"/>
    </row>
    <row r="1367" spans="1:17" ht="15.75" hidden="1" thickBot="1">
      <c r="A1367" s="390" t="str">
        <f t="shared" ref="A1367:G1367" si="3730">A1366</f>
        <v>PVC</v>
      </c>
      <c r="B1367" s="391" t="str">
        <f t="shared" si="3730"/>
        <v>fiber</v>
      </c>
      <c r="C1367" s="391">
        <f t="shared" si="3730"/>
        <v>4</v>
      </c>
      <c r="D1367" s="391" t="str">
        <f t="shared" si="3730"/>
        <v>1-10</v>
      </c>
      <c r="E1367" s="391">
        <f t="shared" si="3730"/>
        <v>10</v>
      </c>
      <c r="F1367" s="391" t="str">
        <f t="shared" si="3730"/>
        <v>soil</v>
      </c>
      <c r="G1367" s="392" t="str">
        <f t="shared" si="3730"/>
        <v>DE: PVC fiber 1-10 mm (emission to soil)</v>
      </c>
      <c r="H1367" s="465">
        <v>2.7E-2</v>
      </c>
      <c r="I1367" s="394" t="s">
        <v>1143</v>
      </c>
      <c r="J1367" s="632"/>
      <c r="K1367" s="395">
        <v>0</v>
      </c>
      <c r="L1367" s="537"/>
      <c r="M1367" s="509">
        <f t="shared" si="3670"/>
        <v>1000</v>
      </c>
      <c r="N1367" s="646"/>
      <c r="O1367" s="626"/>
      <c r="P1367" s="629"/>
      <c r="Q1367" s="629"/>
    </row>
    <row r="1368" spans="1:17" ht="15.75" hidden="1" thickBot="1">
      <c r="A1368" s="390" t="str">
        <f t="shared" ref="A1368:G1368" si="3731">A1367</f>
        <v>PVC</v>
      </c>
      <c r="B1368" s="391" t="str">
        <f t="shared" si="3731"/>
        <v>fiber</v>
      </c>
      <c r="C1368" s="391">
        <f t="shared" si="3731"/>
        <v>4</v>
      </c>
      <c r="D1368" s="391" t="str">
        <f t="shared" si="3731"/>
        <v>1-10</v>
      </c>
      <c r="E1368" s="391">
        <f t="shared" si="3731"/>
        <v>10</v>
      </c>
      <c r="F1368" s="391" t="str">
        <f t="shared" si="3731"/>
        <v>soil</v>
      </c>
      <c r="G1368" s="392" t="str">
        <f t="shared" si="3731"/>
        <v>DE: PVC fiber 1-10 mm (emission to soil)</v>
      </c>
      <c r="H1368" s="465">
        <v>3.0000000000000001E-3</v>
      </c>
      <c r="I1368" s="394" t="s">
        <v>1146</v>
      </c>
      <c r="J1368" s="632"/>
      <c r="K1368" s="395">
        <v>0</v>
      </c>
      <c r="L1368" s="537"/>
      <c r="M1368" s="509">
        <f t="shared" si="3670"/>
        <v>1000</v>
      </c>
      <c r="N1368" s="646"/>
      <c r="O1368" s="626"/>
      <c r="P1368" s="629"/>
      <c r="Q1368" s="629"/>
    </row>
    <row r="1369" spans="1:17" ht="15.75" hidden="1" thickBot="1">
      <c r="A1369" s="390" t="str">
        <f>A1366</f>
        <v>PVC</v>
      </c>
      <c r="B1369" s="391" t="str">
        <f>B1366</f>
        <v>fiber</v>
      </c>
      <c r="C1369" s="391">
        <f t="shared" ref="C1369" si="3732">C1368</f>
        <v>4</v>
      </c>
      <c r="D1369" s="391" t="str">
        <f>D1366</f>
        <v>1-10</v>
      </c>
      <c r="E1369" s="391">
        <f>E1366</f>
        <v>10</v>
      </c>
      <c r="F1369" s="391" t="str">
        <f>F1366</f>
        <v>soil</v>
      </c>
      <c r="G1369" s="396" t="str">
        <f t="shared" ref="G1369" si="3733">G1368</f>
        <v>DE: PVC fiber 1-10 mm (emission to soil)</v>
      </c>
      <c r="H1369" s="465">
        <v>0</v>
      </c>
      <c r="I1369" s="397" t="s">
        <v>1034</v>
      </c>
      <c r="J1369" s="633"/>
      <c r="K1369" s="398" t="s">
        <v>596</v>
      </c>
      <c r="L1369" s="538"/>
      <c r="M1369" s="509">
        <f t="shared" si="3670"/>
        <v>0</v>
      </c>
      <c r="N1369" s="647"/>
      <c r="O1369" s="627"/>
      <c r="P1369" s="629"/>
      <c r="Q1369" s="629"/>
    </row>
    <row r="1370" spans="1:17" ht="15.75" hidden="1" thickBot="1">
      <c r="A1370" s="390" t="str">
        <f t="shared" ref="A1370:B1370" si="3734">A1367</f>
        <v>PVC</v>
      </c>
      <c r="B1370" s="391" t="str">
        <f t="shared" si="3734"/>
        <v>fiber</v>
      </c>
      <c r="C1370" s="391">
        <f t="shared" ref="C1370" si="3735">C1369</f>
        <v>4</v>
      </c>
      <c r="D1370" s="399" t="str">
        <f t="shared" ref="D1370:E1370" si="3736">D1367</f>
        <v>1-10</v>
      </c>
      <c r="E1370" s="391">
        <f t="shared" si="3736"/>
        <v>10</v>
      </c>
      <c r="F1370" s="400" t="s">
        <v>1147</v>
      </c>
      <c r="G1370" s="386" t="str">
        <f>CONCATENATE("DE: ",A1370," ",B1370," ",D1370," mm (emission to ",F1370,")")</f>
        <v>DE: PVC fiber 1-10 mm (emission to fresh water)</v>
      </c>
      <c r="H1370" s="466">
        <v>0</v>
      </c>
      <c r="I1370" s="388" t="s">
        <v>1019</v>
      </c>
      <c r="J1370" s="634">
        <v>0.22800000000000001</v>
      </c>
      <c r="K1370" s="389">
        <v>0</v>
      </c>
      <c r="L1370" s="536"/>
      <c r="M1370" s="509">
        <f t="shared" si="3670"/>
        <v>1000</v>
      </c>
      <c r="N1370" s="645">
        <f t="shared" ref="N1370" si="3737">IFERROR(H1370*M1370+H1371*M1371+H1372*M1372+H1373*M1373+H1374*M1374,"N.A.")</f>
        <v>1000</v>
      </c>
      <c r="O1370" s="625"/>
      <c r="P1370" s="628">
        <f t="shared" ref="P1370:P1430" si="3738">IFERROR(IF(H1370*M1370+H1371*M1371+H1372*M1372+H1373*M1373+H1374*M1374&gt;100,100,H1370*M1370+H1371*M1371+H1372*M1372+H1373*M1373+H1374*M1374),"N.A.")</f>
        <v>100</v>
      </c>
      <c r="Q1370" s="628">
        <f t="shared" si="3644"/>
        <v>500</v>
      </c>
    </row>
    <row r="1371" spans="1:17" ht="15.75" hidden="1" thickBot="1">
      <c r="A1371" s="390" t="str">
        <f t="shared" ref="A1371:B1371" si="3739">A1368</f>
        <v>PVC</v>
      </c>
      <c r="B1371" s="391" t="str">
        <f t="shared" si="3739"/>
        <v>fiber</v>
      </c>
      <c r="C1371" s="391">
        <f t="shared" ref="C1371" si="3740">C1370</f>
        <v>4</v>
      </c>
      <c r="D1371" s="391" t="str">
        <f t="shared" ref="D1371:E1371" si="3741">D1368</f>
        <v>1-10</v>
      </c>
      <c r="E1371" s="391">
        <f t="shared" si="3741"/>
        <v>10</v>
      </c>
      <c r="F1371" s="391" t="str">
        <f t="shared" ref="F1371:G1371" si="3742">F1370</f>
        <v>fresh water</v>
      </c>
      <c r="G1371" s="401" t="str">
        <f t="shared" si="3742"/>
        <v>DE: PVC fiber 1-10 mm (emission to fresh water)</v>
      </c>
      <c r="H1371" s="465">
        <v>0</v>
      </c>
      <c r="I1371" s="394" t="s">
        <v>1097</v>
      </c>
      <c r="J1371" s="635"/>
      <c r="K1371" s="389">
        <v>0</v>
      </c>
      <c r="L1371" s="536"/>
      <c r="M1371" s="509">
        <f t="shared" si="3670"/>
        <v>1000</v>
      </c>
      <c r="N1371" s="646"/>
      <c r="O1371" s="626"/>
      <c r="P1371" s="629"/>
      <c r="Q1371" s="629"/>
    </row>
    <row r="1372" spans="1:17" ht="15.75" hidden="1" thickBot="1">
      <c r="A1372" s="390" t="str">
        <f t="shared" ref="A1372:B1372" si="3743">A1369</f>
        <v>PVC</v>
      </c>
      <c r="B1372" s="391" t="str">
        <f t="shared" si="3743"/>
        <v>fiber</v>
      </c>
      <c r="C1372" s="391">
        <f t="shared" ref="C1372" si="3744">C1371</f>
        <v>4</v>
      </c>
      <c r="D1372" s="391" t="str">
        <f t="shared" ref="D1372:E1372" si="3745">D1369</f>
        <v>1-10</v>
      </c>
      <c r="E1372" s="391">
        <f t="shared" si="3745"/>
        <v>10</v>
      </c>
      <c r="F1372" s="391" t="str">
        <f t="shared" ref="F1372:G1372" si="3746">F1371</f>
        <v>fresh water</v>
      </c>
      <c r="G1372" s="401" t="str">
        <f t="shared" si="3746"/>
        <v>DE: PVC fiber 1-10 mm (emission to fresh water)</v>
      </c>
      <c r="H1372" s="465">
        <v>0.89</v>
      </c>
      <c r="I1372" s="394" t="s">
        <v>1143</v>
      </c>
      <c r="J1372" s="635"/>
      <c r="K1372" s="389">
        <v>0</v>
      </c>
      <c r="L1372" s="536"/>
      <c r="M1372" s="509">
        <f t="shared" si="3670"/>
        <v>1000</v>
      </c>
      <c r="N1372" s="646"/>
      <c r="O1372" s="626"/>
      <c r="P1372" s="629"/>
      <c r="Q1372" s="629"/>
    </row>
    <row r="1373" spans="1:17" ht="15.75" hidden="1" thickBot="1">
      <c r="A1373" s="390" t="str">
        <f t="shared" ref="A1373:B1373" si="3747">A1370</f>
        <v>PVC</v>
      </c>
      <c r="B1373" s="391" t="str">
        <f t="shared" si="3747"/>
        <v>fiber</v>
      </c>
      <c r="C1373" s="391">
        <f t="shared" ref="C1373" si="3748">C1372</f>
        <v>4</v>
      </c>
      <c r="D1373" s="391" t="str">
        <f t="shared" ref="D1373:E1373" si="3749">D1370</f>
        <v>1-10</v>
      </c>
      <c r="E1373" s="391">
        <f t="shared" si="3749"/>
        <v>10</v>
      </c>
      <c r="F1373" s="391" t="str">
        <f t="shared" ref="F1373:G1373" si="3750">F1372</f>
        <v>fresh water</v>
      </c>
      <c r="G1373" s="401" t="str">
        <f t="shared" si="3750"/>
        <v>DE: PVC fiber 1-10 mm (emission to fresh water)</v>
      </c>
      <c r="H1373" s="465">
        <v>0.11</v>
      </c>
      <c r="I1373" s="394" t="s">
        <v>1146</v>
      </c>
      <c r="J1373" s="635"/>
      <c r="K1373" s="389">
        <v>0</v>
      </c>
      <c r="L1373" s="536"/>
      <c r="M1373" s="509">
        <f t="shared" si="3670"/>
        <v>1000</v>
      </c>
      <c r="N1373" s="646"/>
      <c r="O1373" s="626"/>
      <c r="P1373" s="629"/>
      <c r="Q1373" s="629"/>
    </row>
    <row r="1374" spans="1:17" ht="15.75" hidden="1" thickBot="1">
      <c r="A1374" s="390" t="str">
        <f t="shared" ref="A1374:B1374" si="3751">A1371</f>
        <v>PVC</v>
      </c>
      <c r="B1374" s="391" t="str">
        <f t="shared" si="3751"/>
        <v>fiber</v>
      </c>
      <c r="C1374" s="391">
        <f t="shared" ref="C1374" si="3752">C1373</f>
        <v>4</v>
      </c>
      <c r="D1374" s="391" t="str">
        <f t="shared" ref="D1374:E1374" si="3753">D1371</f>
        <v>1-10</v>
      </c>
      <c r="E1374" s="391">
        <f t="shared" si="3753"/>
        <v>10</v>
      </c>
      <c r="F1374" s="402" t="str">
        <f>F1371</f>
        <v>fresh water</v>
      </c>
      <c r="G1374" s="401" t="str">
        <f t="shared" ref="G1374" si="3754">G1373</f>
        <v>DE: PVC fiber 1-10 mm (emission to fresh water)</v>
      </c>
      <c r="H1374" s="465">
        <v>0</v>
      </c>
      <c r="I1374" s="397" t="s">
        <v>1034</v>
      </c>
      <c r="J1374" s="654"/>
      <c r="K1374" s="398" t="s">
        <v>596</v>
      </c>
      <c r="L1374" s="538"/>
      <c r="M1374" s="509">
        <f t="shared" si="3670"/>
        <v>0</v>
      </c>
      <c r="N1374" s="647"/>
      <c r="O1374" s="627"/>
      <c r="P1374" s="629"/>
      <c r="Q1374" s="629"/>
    </row>
    <row r="1375" spans="1:17" ht="15.75" hidden="1" thickBot="1">
      <c r="A1375" s="390" t="str">
        <f t="shared" ref="A1375:B1375" si="3755">A1372</f>
        <v>PVC</v>
      </c>
      <c r="B1375" s="391" t="str">
        <f t="shared" si="3755"/>
        <v>fiber</v>
      </c>
      <c r="C1375" s="391">
        <f t="shared" ref="C1375" si="3756">C1374</f>
        <v>4</v>
      </c>
      <c r="D1375" s="391" t="str">
        <f t="shared" ref="D1375:E1375" si="3757">D1372</f>
        <v>1-10</v>
      </c>
      <c r="E1375" s="391">
        <f t="shared" si="3757"/>
        <v>10</v>
      </c>
      <c r="F1375" s="385" t="s">
        <v>1097</v>
      </c>
      <c r="G1375" s="422" t="str">
        <f>CONCATENATE("DE: ",A1375," ",B1375," ",D1375," mm (emission to ",F1375,")")</f>
        <v>DE: PVC fiber 1-10 mm (emission to marine water)</v>
      </c>
      <c r="H1375" s="467">
        <v>0</v>
      </c>
      <c r="I1375" s="388" t="s">
        <v>1019</v>
      </c>
      <c r="J1375" s="634">
        <v>0.22800000000000001</v>
      </c>
      <c r="K1375" s="389">
        <v>0</v>
      </c>
      <c r="L1375" s="536"/>
      <c r="M1375" s="509">
        <f t="shared" si="3670"/>
        <v>1000</v>
      </c>
      <c r="N1375" s="645">
        <f t="shared" ref="N1375" si="3758">IFERROR(H1375*M1375+H1376*M1376+H1377*M1377+H1378*M1378+H1379*M1379,"N.A.")</f>
        <v>1000</v>
      </c>
      <c r="O1375" s="625"/>
      <c r="P1375" s="628">
        <f t="shared" si="3738"/>
        <v>100</v>
      </c>
      <c r="Q1375" s="628">
        <f t="shared" si="3644"/>
        <v>500</v>
      </c>
    </row>
    <row r="1376" spans="1:17" ht="15.75" hidden="1" thickBot="1">
      <c r="A1376" s="390" t="str">
        <f t="shared" ref="A1376:B1376" si="3759">A1373</f>
        <v>PVC</v>
      </c>
      <c r="B1376" s="391" t="str">
        <f t="shared" si="3759"/>
        <v>fiber</v>
      </c>
      <c r="C1376" s="391">
        <f t="shared" ref="C1376" si="3760">C1375</f>
        <v>4</v>
      </c>
      <c r="D1376" s="391" t="str">
        <f t="shared" ref="D1376:E1376" si="3761">D1373</f>
        <v>1-10</v>
      </c>
      <c r="E1376" s="391">
        <f t="shared" si="3761"/>
        <v>10</v>
      </c>
      <c r="F1376" s="391" t="str">
        <f t="shared" ref="F1376:G1376" si="3762">F1375</f>
        <v>marine water</v>
      </c>
      <c r="G1376" s="401" t="str">
        <f t="shared" si="3762"/>
        <v>DE: PVC fiber 1-10 mm (emission to marine water)</v>
      </c>
      <c r="H1376" s="465">
        <v>0</v>
      </c>
      <c r="I1376" s="394" t="s">
        <v>1097</v>
      </c>
      <c r="J1376" s="635"/>
      <c r="K1376" s="389">
        <v>0</v>
      </c>
      <c r="L1376" s="536"/>
      <c r="M1376" s="509">
        <f t="shared" si="3670"/>
        <v>1000</v>
      </c>
      <c r="N1376" s="646"/>
      <c r="O1376" s="626"/>
      <c r="P1376" s="629"/>
      <c r="Q1376" s="629"/>
    </row>
    <row r="1377" spans="1:17" ht="15.75" hidden="1" thickBot="1">
      <c r="A1377" s="390" t="str">
        <f t="shared" ref="A1377:B1377" si="3763">A1374</f>
        <v>PVC</v>
      </c>
      <c r="B1377" s="391" t="str">
        <f t="shared" si="3763"/>
        <v>fiber</v>
      </c>
      <c r="C1377" s="391">
        <f t="shared" ref="C1377" si="3764">C1376</f>
        <v>4</v>
      </c>
      <c r="D1377" s="391" t="str">
        <f t="shared" ref="D1377:E1377" si="3765">D1374</f>
        <v>1-10</v>
      </c>
      <c r="E1377" s="391">
        <f t="shared" si="3765"/>
        <v>10</v>
      </c>
      <c r="F1377" s="391" t="str">
        <f t="shared" ref="F1377:G1377" si="3766">F1376</f>
        <v>marine water</v>
      </c>
      <c r="G1377" s="401" t="str">
        <f t="shared" si="3766"/>
        <v>DE: PVC fiber 1-10 mm (emission to marine water)</v>
      </c>
      <c r="H1377" s="465">
        <v>0</v>
      </c>
      <c r="I1377" s="394" t="s">
        <v>1143</v>
      </c>
      <c r="J1377" s="635"/>
      <c r="K1377" s="389">
        <v>0</v>
      </c>
      <c r="L1377" s="536"/>
      <c r="M1377" s="509">
        <f t="shared" si="3670"/>
        <v>1000</v>
      </c>
      <c r="N1377" s="646"/>
      <c r="O1377" s="626"/>
      <c r="P1377" s="629"/>
      <c r="Q1377" s="629"/>
    </row>
    <row r="1378" spans="1:17" ht="15.75" hidden="1" thickBot="1">
      <c r="A1378" s="390" t="str">
        <f t="shared" ref="A1378:B1378" si="3767">A1375</f>
        <v>PVC</v>
      </c>
      <c r="B1378" s="391" t="str">
        <f t="shared" si="3767"/>
        <v>fiber</v>
      </c>
      <c r="C1378" s="391">
        <f t="shared" ref="C1378" si="3768">C1377</f>
        <v>4</v>
      </c>
      <c r="D1378" s="391" t="str">
        <f t="shared" ref="D1378:E1378" si="3769">D1375</f>
        <v>1-10</v>
      </c>
      <c r="E1378" s="391">
        <f t="shared" si="3769"/>
        <v>10</v>
      </c>
      <c r="F1378" s="391" t="str">
        <f t="shared" ref="F1378:G1378" si="3770">F1377</f>
        <v>marine water</v>
      </c>
      <c r="G1378" s="401" t="str">
        <f t="shared" si="3770"/>
        <v>DE: PVC fiber 1-10 mm (emission to marine water)</v>
      </c>
      <c r="H1378" s="465">
        <v>1</v>
      </c>
      <c r="I1378" s="394" t="s">
        <v>1146</v>
      </c>
      <c r="J1378" s="635"/>
      <c r="K1378" s="389">
        <v>0</v>
      </c>
      <c r="L1378" s="536"/>
      <c r="M1378" s="509">
        <f t="shared" si="3670"/>
        <v>1000</v>
      </c>
      <c r="N1378" s="646"/>
      <c r="O1378" s="626"/>
      <c r="P1378" s="629"/>
      <c r="Q1378" s="629"/>
    </row>
    <row r="1379" spans="1:17" ht="15.75" hidden="1" thickBot="1">
      <c r="A1379" s="390" t="str">
        <f t="shared" ref="A1379:B1379" si="3771">A1376</f>
        <v>PVC</v>
      </c>
      <c r="B1379" s="391" t="str">
        <f t="shared" si="3771"/>
        <v>fiber</v>
      </c>
      <c r="C1379" s="391">
        <f t="shared" ref="C1379" si="3772">C1378</f>
        <v>4</v>
      </c>
      <c r="D1379" s="391" t="str">
        <f t="shared" ref="D1379:E1379" si="3773">D1376</f>
        <v>1-10</v>
      </c>
      <c r="E1379" s="391">
        <f t="shared" si="3773"/>
        <v>10</v>
      </c>
      <c r="F1379" s="391" t="str">
        <f t="shared" ref="F1379:G1379" si="3774">F1378</f>
        <v>marine water</v>
      </c>
      <c r="G1379" s="401" t="str">
        <f t="shared" si="3774"/>
        <v>DE: PVC fiber 1-10 mm (emission to marine water)</v>
      </c>
      <c r="H1379" s="465">
        <v>0</v>
      </c>
      <c r="I1379" s="397" t="s">
        <v>1034</v>
      </c>
      <c r="J1379" s="654"/>
      <c r="K1379" s="398" t="s">
        <v>596</v>
      </c>
      <c r="L1379" s="538"/>
      <c r="M1379" s="509">
        <f t="shared" si="3670"/>
        <v>0</v>
      </c>
      <c r="N1379" s="647"/>
      <c r="O1379" s="627"/>
      <c r="P1379" s="629"/>
      <c r="Q1379" s="629"/>
    </row>
    <row r="1380" spans="1:17" ht="15.75" hidden="1" thickBot="1">
      <c r="A1380" s="390" t="str">
        <f t="shared" ref="A1380:B1380" si="3775">A1377</f>
        <v>PVC</v>
      </c>
      <c r="B1380" s="391" t="str">
        <f t="shared" si="3775"/>
        <v>fiber</v>
      </c>
      <c r="C1380" s="391">
        <f t="shared" ref="C1380" si="3776">C1379</f>
        <v>4</v>
      </c>
      <c r="D1380" s="391" t="str">
        <f t="shared" ref="D1380:E1380" si="3777">D1377</f>
        <v>1-10</v>
      </c>
      <c r="E1380" s="391">
        <f t="shared" si="3777"/>
        <v>10</v>
      </c>
      <c r="F1380" s="400" t="s">
        <v>1057</v>
      </c>
      <c r="G1380" s="422" t="str">
        <f>CONCATENATE("DE: ",A1380," ",B1380," ",D1380," mm (emission to ",F1380,")")</f>
        <v>DE: PVC fiber 1-10 mm (emission to air)</v>
      </c>
      <c r="H1380" s="467">
        <v>0.94799999999999995</v>
      </c>
      <c r="I1380" s="388" t="s">
        <v>1019</v>
      </c>
      <c r="J1380" s="634">
        <v>0.22800000000000001</v>
      </c>
      <c r="K1380" s="389">
        <v>0</v>
      </c>
      <c r="L1380" s="536"/>
      <c r="M1380" s="509">
        <f t="shared" si="3670"/>
        <v>1000</v>
      </c>
      <c r="N1380" s="645">
        <f t="shared" ref="N1380" si="3778">IFERROR(H1380*M1380+H1381*M1381+H1382*M1382+H1383*M1383+H1384*M1384,"N.A.")</f>
        <v>1000</v>
      </c>
      <c r="O1380" s="625"/>
      <c r="P1380" s="628">
        <f t="shared" si="3738"/>
        <v>100</v>
      </c>
      <c r="Q1380" s="628">
        <f t="shared" si="3644"/>
        <v>500</v>
      </c>
    </row>
    <row r="1381" spans="1:17" ht="15.75" hidden="1" thickBot="1">
      <c r="A1381" s="390" t="str">
        <f t="shared" ref="A1381:B1381" si="3779">A1378</f>
        <v>PVC</v>
      </c>
      <c r="B1381" s="391" t="str">
        <f t="shared" si="3779"/>
        <v>fiber</v>
      </c>
      <c r="C1381" s="391">
        <f t="shared" ref="C1381" si="3780">C1380</f>
        <v>4</v>
      </c>
      <c r="D1381" s="391" t="str">
        <f t="shared" ref="D1381:E1381" si="3781">D1378</f>
        <v>1-10</v>
      </c>
      <c r="E1381" s="391">
        <f t="shared" si="3781"/>
        <v>10</v>
      </c>
      <c r="F1381" s="391" t="str">
        <f t="shared" ref="F1381:G1381" si="3782">F1380</f>
        <v>air</v>
      </c>
      <c r="G1381" s="401" t="str">
        <f t="shared" si="3782"/>
        <v>DE: PVC fiber 1-10 mm (emission to air)</v>
      </c>
      <c r="H1381" s="465">
        <v>0</v>
      </c>
      <c r="I1381" s="394" t="s">
        <v>1097</v>
      </c>
      <c r="J1381" s="635"/>
      <c r="K1381" s="389">
        <v>0</v>
      </c>
      <c r="L1381" s="536"/>
      <c r="M1381" s="509">
        <f t="shared" si="3670"/>
        <v>1000</v>
      </c>
      <c r="N1381" s="646"/>
      <c r="O1381" s="626"/>
      <c r="P1381" s="629"/>
      <c r="Q1381" s="629"/>
    </row>
    <row r="1382" spans="1:17" ht="15.75" hidden="1" thickBot="1">
      <c r="A1382" s="390" t="str">
        <f t="shared" ref="A1382:B1382" si="3783">A1379</f>
        <v>PVC</v>
      </c>
      <c r="B1382" s="391" t="str">
        <f t="shared" si="3783"/>
        <v>fiber</v>
      </c>
      <c r="C1382" s="391">
        <f t="shared" ref="C1382" si="3784">C1381</f>
        <v>4</v>
      </c>
      <c r="D1382" s="391" t="str">
        <f t="shared" ref="D1382:E1382" si="3785">D1379</f>
        <v>1-10</v>
      </c>
      <c r="E1382" s="391">
        <f t="shared" si="3785"/>
        <v>10</v>
      </c>
      <c r="F1382" s="391" t="str">
        <f t="shared" ref="F1382:G1382" si="3786">F1381</f>
        <v>air</v>
      </c>
      <c r="G1382" s="401" t="str">
        <f t="shared" si="3786"/>
        <v>DE: PVC fiber 1-10 mm (emission to air)</v>
      </c>
      <c r="H1382" s="465">
        <v>4.7E-2</v>
      </c>
      <c r="I1382" s="394" t="s">
        <v>1143</v>
      </c>
      <c r="J1382" s="635"/>
      <c r="K1382" s="389">
        <v>0</v>
      </c>
      <c r="L1382" s="536"/>
      <c r="M1382" s="509">
        <f t="shared" si="3670"/>
        <v>1000</v>
      </c>
      <c r="N1382" s="646"/>
      <c r="O1382" s="626"/>
      <c r="P1382" s="629"/>
      <c r="Q1382" s="629"/>
    </row>
    <row r="1383" spans="1:17" ht="15.75" hidden="1" thickBot="1">
      <c r="A1383" s="390" t="str">
        <f t="shared" ref="A1383:B1383" si="3787">A1380</f>
        <v>PVC</v>
      </c>
      <c r="B1383" s="391" t="str">
        <f t="shared" si="3787"/>
        <v>fiber</v>
      </c>
      <c r="C1383" s="391">
        <f t="shared" ref="C1383" si="3788">C1382</f>
        <v>4</v>
      </c>
      <c r="D1383" s="391" t="str">
        <f t="shared" ref="D1383:E1383" si="3789">D1380</f>
        <v>1-10</v>
      </c>
      <c r="E1383" s="391">
        <f t="shared" si="3789"/>
        <v>10</v>
      </c>
      <c r="F1383" s="391" t="str">
        <f t="shared" ref="F1383:G1383" si="3790">F1382</f>
        <v>air</v>
      </c>
      <c r="G1383" s="401" t="str">
        <f t="shared" si="3790"/>
        <v>DE: PVC fiber 1-10 mm (emission to air)</v>
      </c>
      <c r="H1383" s="465">
        <v>5.0000000000000001E-3</v>
      </c>
      <c r="I1383" s="394" t="s">
        <v>1146</v>
      </c>
      <c r="J1383" s="635"/>
      <c r="K1383" s="389">
        <v>0</v>
      </c>
      <c r="L1383" s="536"/>
      <c r="M1383" s="509">
        <f t="shared" si="3670"/>
        <v>1000</v>
      </c>
      <c r="N1383" s="646"/>
      <c r="O1383" s="626"/>
      <c r="P1383" s="629"/>
      <c r="Q1383" s="629"/>
    </row>
    <row r="1384" spans="1:17" ht="15.75" hidden="1" thickBot="1">
      <c r="A1384" s="404" t="str">
        <f t="shared" ref="A1384:B1384" si="3791">A1379</f>
        <v>PVC</v>
      </c>
      <c r="B1384" s="402" t="str">
        <f t="shared" si="3791"/>
        <v>fiber</v>
      </c>
      <c r="C1384" s="391">
        <f t="shared" ref="C1384" si="3792">C1383</f>
        <v>4</v>
      </c>
      <c r="D1384" s="402" t="str">
        <f t="shared" ref="D1384:E1384" si="3793">D1379</f>
        <v>1-10</v>
      </c>
      <c r="E1384" s="402">
        <f t="shared" si="3793"/>
        <v>10</v>
      </c>
      <c r="F1384" s="391" t="str">
        <f t="shared" ref="F1384:G1384" si="3794">F1383</f>
        <v>air</v>
      </c>
      <c r="G1384" s="401" t="str">
        <f t="shared" si="3794"/>
        <v>DE: PVC fiber 1-10 mm (emission to air)</v>
      </c>
      <c r="H1384" s="465">
        <v>0</v>
      </c>
      <c r="I1384" s="397" t="s">
        <v>1034</v>
      </c>
      <c r="J1384" s="636"/>
      <c r="K1384" s="398" t="s">
        <v>596</v>
      </c>
      <c r="L1384" s="538"/>
      <c r="M1384" s="509">
        <f t="shared" si="3670"/>
        <v>0</v>
      </c>
      <c r="N1384" s="647"/>
      <c r="O1384" s="627"/>
      <c r="P1384" s="629"/>
      <c r="Q1384" s="629"/>
    </row>
    <row r="1385" spans="1:17" ht="16.5" hidden="1" thickTop="1" thickBot="1">
      <c r="A1385" s="405" t="s">
        <v>86</v>
      </c>
      <c r="B1385" s="406" t="s">
        <v>1152</v>
      </c>
      <c r="C1385" s="407">
        <v>6</v>
      </c>
      <c r="D1385" s="423" t="s">
        <v>1018</v>
      </c>
      <c r="E1385" s="408">
        <v>0.1</v>
      </c>
      <c r="F1385" s="424" t="s">
        <v>1019</v>
      </c>
      <c r="G1385" s="425" t="str">
        <f>CONCATENATE("DE: ",A1385," ",B1385," ",D1385," mm (emission to ",F1385,")")</f>
        <v>DE: PVC particle 0,01-0,1 mm (emission to soil)</v>
      </c>
      <c r="H1385" s="464">
        <v>0.97</v>
      </c>
      <c r="I1385" s="388" t="s">
        <v>1019</v>
      </c>
      <c r="J1385" s="632">
        <v>0.22800000000000001</v>
      </c>
      <c r="K1385" s="449">
        <v>0</v>
      </c>
      <c r="L1385" s="536"/>
      <c r="M1385" s="509">
        <f t="shared" si="3670"/>
        <v>1000</v>
      </c>
      <c r="N1385" s="645">
        <f t="shared" ref="N1385" si="3795">IFERROR(H1385*M1385+H1386*M1386+H1387*M1387+H1388*M1388+H1389*M1389,"N.A.")</f>
        <v>1000</v>
      </c>
      <c r="O1385" s="625"/>
      <c r="P1385" s="628">
        <f t="shared" si="3738"/>
        <v>100</v>
      </c>
      <c r="Q1385" s="628">
        <f t="shared" si="3644"/>
        <v>500</v>
      </c>
    </row>
    <row r="1386" spans="1:17" ht="15.75" hidden="1" thickBot="1">
      <c r="A1386" s="390" t="str">
        <f>A1385</f>
        <v>PVC</v>
      </c>
      <c r="B1386" s="391" t="str">
        <f>B1385</f>
        <v>particle</v>
      </c>
      <c r="C1386" s="391">
        <f t="shared" ref="C1386:G1386" si="3796">C1385</f>
        <v>6</v>
      </c>
      <c r="D1386" s="391" t="str">
        <f t="shared" si="3796"/>
        <v>0,01-0,1</v>
      </c>
      <c r="E1386" s="391">
        <f t="shared" si="3796"/>
        <v>0.1</v>
      </c>
      <c r="F1386" s="391" t="str">
        <f t="shared" si="3796"/>
        <v>soil</v>
      </c>
      <c r="G1386" s="392" t="str">
        <f t="shared" si="3796"/>
        <v>DE: PVC particle 0,01-0,1 mm (emission to soil)</v>
      </c>
      <c r="H1386" s="465">
        <v>0</v>
      </c>
      <c r="I1386" s="394" t="s">
        <v>1097</v>
      </c>
      <c r="J1386" s="632"/>
      <c r="K1386" s="395">
        <v>0</v>
      </c>
      <c r="L1386" s="537"/>
      <c r="M1386" s="509">
        <f t="shared" si="3670"/>
        <v>1000</v>
      </c>
      <c r="N1386" s="646"/>
      <c r="O1386" s="626"/>
      <c r="P1386" s="629"/>
      <c r="Q1386" s="629"/>
    </row>
    <row r="1387" spans="1:17" ht="15.75" hidden="1" thickBot="1">
      <c r="A1387" s="390" t="str">
        <f t="shared" ref="A1387:G1387" si="3797">A1386</f>
        <v>PVC</v>
      </c>
      <c r="B1387" s="391" t="str">
        <f t="shared" si="3797"/>
        <v>particle</v>
      </c>
      <c r="C1387" s="391">
        <f t="shared" si="3797"/>
        <v>6</v>
      </c>
      <c r="D1387" s="391" t="str">
        <f t="shared" si="3797"/>
        <v>0,01-0,1</v>
      </c>
      <c r="E1387" s="391">
        <f t="shared" si="3797"/>
        <v>0.1</v>
      </c>
      <c r="F1387" s="391" t="str">
        <f t="shared" si="3797"/>
        <v>soil</v>
      </c>
      <c r="G1387" s="392" t="str">
        <f t="shared" si="3797"/>
        <v>DE: PVC particle 0,01-0,1 mm (emission to soil)</v>
      </c>
      <c r="H1387" s="465">
        <v>2.7E-2</v>
      </c>
      <c r="I1387" s="394" t="s">
        <v>1143</v>
      </c>
      <c r="J1387" s="632"/>
      <c r="K1387" s="395">
        <v>0</v>
      </c>
      <c r="L1387" s="537"/>
      <c r="M1387" s="509">
        <f t="shared" si="3670"/>
        <v>1000</v>
      </c>
      <c r="N1387" s="646"/>
      <c r="O1387" s="626"/>
      <c r="P1387" s="629"/>
      <c r="Q1387" s="629"/>
    </row>
    <row r="1388" spans="1:17" ht="15.75" hidden="1" thickBot="1">
      <c r="A1388" s="390" t="str">
        <f t="shared" ref="A1388:G1388" si="3798">A1387</f>
        <v>PVC</v>
      </c>
      <c r="B1388" s="391" t="str">
        <f t="shared" si="3798"/>
        <v>particle</v>
      </c>
      <c r="C1388" s="391">
        <f t="shared" si="3798"/>
        <v>6</v>
      </c>
      <c r="D1388" s="391" t="str">
        <f t="shared" si="3798"/>
        <v>0,01-0,1</v>
      </c>
      <c r="E1388" s="391">
        <f t="shared" si="3798"/>
        <v>0.1</v>
      </c>
      <c r="F1388" s="391" t="str">
        <f t="shared" si="3798"/>
        <v>soil</v>
      </c>
      <c r="G1388" s="392" t="str">
        <f t="shared" si="3798"/>
        <v>DE: PVC particle 0,01-0,1 mm (emission to soil)</v>
      </c>
      <c r="H1388" s="465">
        <v>3.0000000000000001E-3</v>
      </c>
      <c r="I1388" s="394" t="s">
        <v>1146</v>
      </c>
      <c r="J1388" s="632"/>
      <c r="K1388" s="395">
        <v>0</v>
      </c>
      <c r="L1388" s="537"/>
      <c r="M1388" s="509">
        <f t="shared" si="3670"/>
        <v>1000</v>
      </c>
      <c r="N1388" s="646"/>
      <c r="O1388" s="626"/>
      <c r="P1388" s="629"/>
      <c r="Q1388" s="629"/>
    </row>
    <row r="1389" spans="1:17" ht="15.75" hidden="1" thickBot="1">
      <c r="A1389" s="390" t="str">
        <f>A1386</f>
        <v>PVC</v>
      </c>
      <c r="B1389" s="391" t="str">
        <f>B1386</f>
        <v>particle</v>
      </c>
      <c r="C1389" s="391">
        <f t="shared" ref="C1389" si="3799">C1388</f>
        <v>6</v>
      </c>
      <c r="D1389" s="391" t="str">
        <f>D1386</f>
        <v>0,01-0,1</v>
      </c>
      <c r="E1389" s="391">
        <f>E1386</f>
        <v>0.1</v>
      </c>
      <c r="F1389" s="391" t="str">
        <f>F1386</f>
        <v>soil</v>
      </c>
      <c r="G1389" s="396" t="str">
        <f t="shared" ref="G1389" si="3800">G1388</f>
        <v>DE: PVC particle 0,01-0,1 mm (emission to soil)</v>
      </c>
      <c r="H1389" s="465">
        <v>0</v>
      </c>
      <c r="I1389" s="397" t="s">
        <v>1034</v>
      </c>
      <c r="J1389" s="633"/>
      <c r="K1389" s="398" t="s">
        <v>596</v>
      </c>
      <c r="L1389" s="538"/>
      <c r="M1389" s="509">
        <f t="shared" si="3670"/>
        <v>0</v>
      </c>
      <c r="N1389" s="647"/>
      <c r="O1389" s="627"/>
      <c r="P1389" s="629"/>
      <c r="Q1389" s="629"/>
    </row>
    <row r="1390" spans="1:17" ht="15.75" hidden="1" thickBot="1">
      <c r="A1390" s="390" t="str">
        <f t="shared" ref="A1390:B1390" si="3801">A1387</f>
        <v>PVC</v>
      </c>
      <c r="B1390" s="391" t="str">
        <f t="shared" si="3801"/>
        <v>particle</v>
      </c>
      <c r="C1390" s="391">
        <f t="shared" ref="C1390" si="3802">C1389</f>
        <v>6</v>
      </c>
      <c r="D1390" s="399" t="str">
        <f t="shared" ref="D1390:E1390" si="3803">D1387</f>
        <v>0,01-0,1</v>
      </c>
      <c r="E1390" s="391">
        <f t="shared" si="3803"/>
        <v>0.1</v>
      </c>
      <c r="F1390" s="400" t="s">
        <v>1147</v>
      </c>
      <c r="G1390" s="386" t="str">
        <f>CONCATENATE("DE: ",A1390," ",B1390," ",D1390," mm (emission to ",F1390,")")</f>
        <v>DE: PVC particle 0,01-0,1 mm (emission to fresh water)</v>
      </c>
      <c r="H1390" s="466">
        <v>0</v>
      </c>
      <c r="I1390" s="388" t="s">
        <v>1019</v>
      </c>
      <c r="J1390" s="634">
        <v>0.22800000000000001</v>
      </c>
      <c r="K1390" s="389">
        <v>0</v>
      </c>
      <c r="L1390" s="536"/>
      <c r="M1390" s="509">
        <f t="shared" si="3670"/>
        <v>1000</v>
      </c>
      <c r="N1390" s="645">
        <f t="shared" ref="N1390" si="3804">IFERROR(H1390*M1390+H1391*M1391+H1392*M1392+H1393*M1393+H1394*M1394,"N.A.")</f>
        <v>1000</v>
      </c>
      <c r="O1390" s="625"/>
      <c r="P1390" s="628">
        <f t="shared" si="3738"/>
        <v>100</v>
      </c>
      <c r="Q1390" s="628">
        <f t="shared" si="3644"/>
        <v>500</v>
      </c>
    </row>
    <row r="1391" spans="1:17" ht="15.75" hidden="1" thickBot="1">
      <c r="A1391" s="390" t="str">
        <f t="shared" ref="A1391:B1391" si="3805">A1388</f>
        <v>PVC</v>
      </c>
      <c r="B1391" s="391" t="str">
        <f t="shared" si="3805"/>
        <v>particle</v>
      </c>
      <c r="C1391" s="391">
        <f t="shared" ref="C1391" si="3806">C1390</f>
        <v>6</v>
      </c>
      <c r="D1391" s="391" t="str">
        <f t="shared" ref="D1391:E1391" si="3807">D1388</f>
        <v>0,01-0,1</v>
      </c>
      <c r="E1391" s="391">
        <f t="shared" si="3807"/>
        <v>0.1</v>
      </c>
      <c r="F1391" s="391" t="str">
        <f t="shared" ref="F1391:G1391" si="3808">F1390</f>
        <v>fresh water</v>
      </c>
      <c r="G1391" s="401" t="str">
        <f t="shared" si="3808"/>
        <v>DE: PVC particle 0,01-0,1 mm (emission to fresh water)</v>
      </c>
      <c r="H1391" s="465">
        <v>0</v>
      </c>
      <c r="I1391" s="394" t="s">
        <v>1097</v>
      </c>
      <c r="J1391" s="635"/>
      <c r="K1391" s="389">
        <v>0</v>
      </c>
      <c r="L1391" s="536"/>
      <c r="M1391" s="509">
        <f t="shared" si="3670"/>
        <v>1000</v>
      </c>
      <c r="N1391" s="646"/>
      <c r="O1391" s="626"/>
      <c r="P1391" s="629"/>
      <c r="Q1391" s="629"/>
    </row>
    <row r="1392" spans="1:17" ht="15.75" hidden="1" thickBot="1">
      <c r="A1392" s="390" t="str">
        <f t="shared" ref="A1392:B1392" si="3809">A1389</f>
        <v>PVC</v>
      </c>
      <c r="B1392" s="391" t="str">
        <f t="shared" si="3809"/>
        <v>particle</v>
      </c>
      <c r="C1392" s="391">
        <f t="shared" ref="C1392" si="3810">C1391</f>
        <v>6</v>
      </c>
      <c r="D1392" s="391" t="str">
        <f t="shared" ref="D1392:E1392" si="3811">D1389</f>
        <v>0,01-0,1</v>
      </c>
      <c r="E1392" s="391">
        <f t="shared" si="3811"/>
        <v>0.1</v>
      </c>
      <c r="F1392" s="391" t="str">
        <f t="shared" ref="F1392:G1392" si="3812">F1391</f>
        <v>fresh water</v>
      </c>
      <c r="G1392" s="401" t="str">
        <f t="shared" si="3812"/>
        <v>DE: PVC particle 0,01-0,1 mm (emission to fresh water)</v>
      </c>
      <c r="H1392" s="465">
        <v>0.89</v>
      </c>
      <c r="I1392" s="394" t="s">
        <v>1143</v>
      </c>
      <c r="J1392" s="635"/>
      <c r="K1392" s="389">
        <v>0</v>
      </c>
      <c r="L1392" s="536"/>
      <c r="M1392" s="509">
        <f t="shared" si="3670"/>
        <v>1000</v>
      </c>
      <c r="N1392" s="646"/>
      <c r="O1392" s="626"/>
      <c r="P1392" s="629"/>
      <c r="Q1392" s="629"/>
    </row>
    <row r="1393" spans="1:17" ht="15.75" hidden="1" thickBot="1">
      <c r="A1393" s="390" t="str">
        <f t="shared" ref="A1393:B1393" si="3813">A1390</f>
        <v>PVC</v>
      </c>
      <c r="B1393" s="391" t="str">
        <f t="shared" si="3813"/>
        <v>particle</v>
      </c>
      <c r="C1393" s="391">
        <f t="shared" ref="C1393" si="3814">C1392</f>
        <v>6</v>
      </c>
      <c r="D1393" s="391" t="str">
        <f t="shared" ref="D1393:E1393" si="3815">D1390</f>
        <v>0,01-0,1</v>
      </c>
      <c r="E1393" s="391">
        <f t="shared" si="3815"/>
        <v>0.1</v>
      </c>
      <c r="F1393" s="391" t="str">
        <f t="shared" ref="F1393:G1393" si="3816">F1392</f>
        <v>fresh water</v>
      </c>
      <c r="G1393" s="401" t="str">
        <f t="shared" si="3816"/>
        <v>DE: PVC particle 0,01-0,1 mm (emission to fresh water)</v>
      </c>
      <c r="H1393" s="465">
        <v>0.11</v>
      </c>
      <c r="I1393" s="394" t="s">
        <v>1146</v>
      </c>
      <c r="J1393" s="635"/>
      <c r="K1393" s="389">
        <v>0</v>
      </c>
      <c r="L1393" s="536"/>
      <c r="M1393" s="509">
        <f t="shared" si="3670"/>
        <v>1000</v>
      </c>
      <c r="N1393" s="646"/>
      <c r="O1393" s="626"/>
      <c r="P1393" s="629"/>
      <c r="Q1393" s="629"/>
    </row>
    <row r="1394" spans="1:17" ht="15.75" hidden="1" thickBot="1">
      <c r="A1394" s="390" t="str">
        <f t="shared" ref="A1394:B1394" si="3817">A1391</f>
        <v>PVC</v>
      </c>
      <c r="B1394" s="391" t="str">
        <f t="shared" si="3817"/>
        <v>particle</v>
      </c>
      <c r="C1394" s="391">
        <f t="shared" ref="C1394" si="3818">C1393</f>
        <v>6</v>
      </c>
      <c r="D1394" s="391" t="str">
        <f t="shared" ref="D1394:E1394" si="3819">D1391</f>
        <v>0,01-0,1</v>
      </c>
      <c r="E1394" s="391">
        <f t="shared" si="3819"/>
        <v>0.1</v>
      </c>
      <c r="F1394" s="402" t="str">
        <f>F1391</f>
        <v>fresh water</v>
      </c>
      <c r="G1394" s="401" t="str">
        <f t="shared" ref="G1394" si="3820">G1393</f>
        <v>DE: PVC particle 0,01-0,1 mm (emission to fresh water)</v>
      </c>
      <c r="H1394" s="465">
        <v>0</v>
      </c>
      <c r="I1394" s="397" t="s">
        <v>1034</v>
      </c>
      <c r="J1394" s="654"/>
      <c r="K1394" s="398" t="s">
        <v>596</v>
      </c>
      <c r="L1394" s="538"/>
      <c r="M1394" s="509">
        <f t="shared" si="3670"/>
        <v>0</v>
      </c>
      <c r="N1394" s="647"/>
      <c r="O1394" s="627"/>
      <c r="P1394" s="629"/>
      <c r="Q1394" s="629"/>
    </row>
    <row r="1395" spans="1:17" ht="15.75" hidden="1" thickBot="1">
      <c r="A1395" s="390" t="str">
        <f t="shared" ref="A1395:B1395" si="3821">A1392</f>
        <v>PVC</v>
      </c>
      <c r="B1395" s="391" t="str">
        <f t="shared" si="3821"/>
        <v>particle</v>
      </c>
      <c r="C1395" s="391">
        <f t="shared" ref="C1395" si="3822">C1394</f>
        <v>6</v>
      </c>
      <c r="D1395" s="391" t="str">
        <f t="shared" ref="D1395:E1395" si="3823">D1392</f>
        <v>0,01-0,1</v>
      </c>
      <c r="E1395" s="391">
        <f t="shared" si="3823"/>
        <v>0.1</v>
      </c>
      <c r="F1395" s="385" t="s">
        <v>1097</v>
      </c>
      <c r="G1395" s="422" t="str">
        <f>CONCATENATE("DE: ",A1395," ",B1395," ",D1395," mm (emission to ",F1395,")")</f>
        <v>DE: PVC particle 0,01-0,1 mm (emission to marine water)</v>
      </c>
      <c r="H1395" s="467">
        <v>0</v>
      </c>
      <c r="I1395" s="388" t="s">
        <v>1019</v>
      </c>
      <c r="J1395" s="634">
        <v>0.22800000000000001</v>
      </c>
      <c r="K1395" s="389">
        <v>0</v>
      </c>
      <c r="L1395" s="536"/>
      <c r="M1395" s="509">
        <f t="shared" si="3670"/>
        <v>1000</v>
      </c>
      <c r="N1395" s="645">
        <f t="shared" ref="N1395" si="3824">IFERROR(H1395*M1395+H1396*M1396+H1397*M1397+H1398*M1398+H1399*M1399,"N.A.")</f>
        <v>1000</v>
      </c>
      <c r="O1395" s="625"/>
      <c r="P1395" s="628">
        <f t="shared" si="3738"/>
        <v>100</v>
      </c>
      <c r="Q1395" s="628">
        <f t="shared" si="3644"/>
        <v>500</v>
      </c>
    </row>
    <row r="1396" spans="1:17" ht="15.75" hidden="1" thickBot="1">
      <c r="A1396" s="390" t="str">
        <f t="shared" ref="A1396:B1396" si="3825">A1393</f>
        <v>PVC</v>
      </c>
      <c r="B1396" s="391" t="str">
        <f t="shared" si="3825"/>
        <v>particle</v>
      </c>
      <c r="C1396" s="391">
        <f t="shared" ref="C1396" si="3826">C1395</f>
        <v>6</v>
      </c>
      <c r="D1396" s="391" t="str">
        <f t="shared" ref="D1396:E1396" si="3827">D1393</f>
        <v>0,01-0,1</v>
      </c>
      <c r="E1396" s="391">
        <f t="shared" si="3827"/>
        <v>0.1</v>
      </c>
      <c r="F1396" s="391" t="str">
        <f t="shared" ref="F1396:G1396" si="3828">F1395</f>
        <v>marine water</v>
      </c>
      <c r="G1396" s="401" t="str">
        <f t="shared" si="3828"/>
        <v>DE: PVC particle 0,01-0,1 mm (emission to marine water)</v>
      </c>
      <c r="H1396" s="465">
        <v>0</v>
      </c>
      <c r="I1396" s="394" t="s">
        <v>1097</v>
      </c>
      <c r="J1396" s="635"/>
      <c r="K1396" s="389">
        <v>0</v>
      </c>
      <c r="L1396" s="536"/>
      <c r="M1396" s="509">
        <f t="shared" si="3670"/>
        <v>1000</v>
      </c>
      <c r="N1396" s="646"/>
      <c r="O1396" s="626"/>
      <c r="P1396" s="629"/>
      <c r="Q1396" s="629"/>
    </row>
    <row r="1397" spans="1:17" ht="15.75" hidden="1" thickBot="1">
      <c r="A1397" s="390" t="str">
        <f t="shared" ref="A1397:B1397" si="3829">A1394</f>
        <v>PVC</v>
      </c>
      <c r="B1397" s="391" t="str">
        <f t="shared" si="3829"/>
        <v>particle</v>
      </c>
      <c r="C1397" s="391">
        <f t="shared" ref="C1397" si="3830">C1396</f>
        <v>6</v>
      </c>
      <c r="D1397" s="391" t="str">
        <f t="shared" ref="D1397:E1397" si="3831">D1394</f>
        <v>0,01-0,1</v>
      </c>
      <c r="E1397" s="391">
        <f t="shared" si="3831"/>
        <v>0.1</v>
      </c>
      <c r="F1397" s="391" t="str">
        <f t="shared" ref="F1397:G1397" si="3832">F1396</f>
        <v>marine water</v>
      </c>
      <c r="G1397" s="401" t="str">
        <f t="shared" si="3832"/>
        <v>DE: PVC particle 0,01-0,1 mm (emission to marine water)</v>
      </c>
      <c r="H1397" s="465">
        <v>0</v>
      </c>
      <c r="I1397" s="394" t="s">
        <v>1143</v>
      </c>
      <c r="J1397" s="635"/>
      <c r="K1397" s="389">
        <v>0</v>
      </c>
      <c r="L1397" s="536"/>
      <c r="M1397" s="509">
        <f t="shared" si="3670"/>
        <v>1000</v>
      </c>
      <c r="N1397" s="646"/>
      <c r="O1397" s="626"/>
      <c r="P1397" s="629"/>
      <c r="Q1397" s="629"/>
    </row>
    <row r="1398" spans="1:17" ht="15.75" hidden="1" thickBot="1">
      <c r="A1398" s="390" t="str">
        <f t="shared" ref="A1398:B1398" si="3833">A1395</f>
        <v>PVC</v>
      </c>
      <c r="B1398" s="391" t="str">
        <f t="shared" si="3833"/>
        <v>particle</v>
      </c>
      <c r="C1398" s="391">
        <f t="shared" ref="C1398" si="3834">C1397</f>
        <v>6</v>
      </c>
      <c r="D1398" s="391" t="str">
        <f t="shared" ref="D1398:E1398" si="3835">D1395</f>
        <v>0,01-0,1</v>
      </c>
      <c r="E1398" s="391">
        <f t="shared" si="3835"/>
        <v>0.1</v>
      </c>
      <c r="F1398" s="391" t="str">
        <f t="shared" ref="F1398:G1398" si="3836">F1397</f>
        <v>marine water</v>
      </c>
      <c r="G1398" s="401" t="str">
        <f t="shared" si="3836"/>
        <v>DE: PVC particle 0,01-0,1 mm (emission to marine water)</v>
      </c>
      <c r="H1398" s="465">
        <v>1</v>
      </c>
      <c r="I1398" s="394" t="s">
        <v>1146</v>
      </c>
      <c r="J1398" s="635"/>
      <c r="K1398" s="389">
        <v>0</v>
      </c>
      <c r="L1398" s="536"/>
      <c r="M1398" s="509">
        <f t="shared" si="3670"/>
        <v>1000</v>
      </c>
      <c r="N1398" s="646"/>
      <c r="O1398" s="626"/>
      <c r="P1398" s="629"/>
      <c r="Q1398" s="629"/>
    </row>
    <row r="1399" spans="1:17" ht="15.75" hidden="1" thickBot="1">
      <c r="A1399" s="390" t="str">
        <f t="shared" ref="A1399:B1399" si="3837">A1396</f>
        <v>PVC</v>
      </c>
      <c r="B1399" s="391" t="str">
        <f t="shared" si="3837"/>
        <v>particle</v>
      </c>
      <c r="C1399" s="391">
        <f t="shared" ref="C1399" si="3838">C1398</f>
        <v>6</v>
      </c>
      <c r="D1399" s="391" t="str">
        <f t="shared" ref="D1399:E1399" si="3839">D1396</f>
        <v>0,01-0,1</v>
      </c>
      <c r="E1399" s="391">
        <f t="shared" si="3839"/>
        <v>0.1</v>
      </c>
      <c r="F1399" s="391" t="str">
        <f t="shared" ref="F1399:G1399" si="3840">F1398</f>
        <v>marine water</v>
      </c>
      <c r="G1399" s="401" t="str">
        <f t="shared" si="3840"/>
        <v>DE: PVC particle 0,01-0,1 mm (emission to marine water)</v>
      </c>
      <c r="H1399" s="465">
        <v>0</v>
      </c>
      <c r="I1399" s="397" t="s">
        <v>1034</v>
      </c>
      <c r="J1399" s="654"/>
      <c r="K1399" s="398" t="s">
        <v>596</v>
      </c>
      <c r="L1399" s="538"/>
      <c r="M1399" s="509">
        <f t="shared" si="3670"/>
        <v>0</v>
      </c>
      <c r="N1399" s="647"/>
      <c r="O1399" s="627"/>
      <c r="P1399" s="629"/>
      <c r="Q1399" s="629"/>
    </row>
    <row r="1400" spans="1:17" ht="15.75" hidden="1" thickBot="1">
      <c r="A1400" s="390" t="str">
        <f t="shared" ref="A1400:B1400" si="3841">A1397</f>
        <v>PVC</v>
      </c>
      <c r="B1400" s="391" t="str">
        <f t="shared" si="3841"/>
        <v>particle</v>
      </c>
      <c r="C1400" s="391">
        <f t="shared" ref="C1400" si="3842">C1399</f>
        <v>6</v>
      </c>
      <c r="D1400" s="391" t="str">
        <f t="shared" ref="D1400:E1400" si="3843">D1397</f>
        <v>0,01-0,1</v>
      </c>
      <c r="E1400" s="391">
        <f t="shared" si="3843"/>
        <v>0.1</v>
      </c>
      <c r="F1400" s="400" t="s">
        <v>1057</v>
      </c>
      <c r="G1400" s="422" t="str">
        <f>CONCATENATE("DE: ",A1400," ",B1400," ",D1400," mm (emission to ",F1400,")")</f>
        <v>DE: PVC particle 0,01-0,1 mm (emission to air)</v>
      </c>
      <c r="H1400" s="467">
        <v>0.94799999999999995</v>
      </c>
      <c r="I1400" s="388" t="s">
        <v>1019</v>
      </c>
      <c r="J1400" s="634">
        <v>0.22800000000000001</v>
      </c>
      <c r="K1400" s="389">
        <v>0</v>
      </c>
      <c r="L1400" s="536"/>
      <c r="M1400" s="509">
        <f t="shared" si="3670"/>
        <v>1000</v>
      </c>
      <c r="N1400" s="645">
        <f t="shared" ref="N1400" si="3844">IFERROR(H1400*M1400+H1401*M1401+H1402*M1402+H1403*M1403+H1404*M1404,"N.A.")</f>
        <v>1000</v>
      </c>
      <c r="O1400" s="625"/>
      <c r="P1400" s="628">
        <f t="shared" si="3738"/>
        <v>100</v>
      </c>
      <c r="Q1400" s="628">
        <f t="shared" si="3644"/>
        <v>500</v>
      </c>
    </row>
    <row r="1401" spans="1:17" ht="15.75" hidden="1" thickBot="1">
      <c r="A1401" s="390" t="str">
        <f t="shared" ref="A1401:B1401" si="3845">A1398</f>
        <v>PVC</v>
      </c>
      <c r="B1401" s="391" t="str">
        <f t="shared" si="3845"/>
        <v>particle</v>
      </c>
      <c r="C1401" s="391">
        <f t="shared" ref="C1401" si="3846">C1400</f>
        <v>6</v>
      </c>
      <c r="D1401" s="391" t="str">
        <f t="shared" ref="D1401:E1401" si="3847">D1398</f>
        <v>0,01-0,1</v>
      </c>
      <c r="E1401" s="391">
        <f t="shared" si="3847"/>
        <v>0.1</v>
      </c>
      <c r="F1401" s="391" t="str">
        <f t="shared" ref="F1401:G1401" si="3848">F1400</f>
        <v>air</v>
      </c>
      <c r="G1401" s="401" t="str">
        <f t="shared" si="3848"/>
        <v>DE: PVC particle 0,01-0,1 mm (emission to air)</v>
      </c>
      <c r="H1401" s="465">
        <v>0</v>
      </c>
      <c r="I1401" s="394" t="s">
        <v>1097</v>
      </c>
      <c r="J1401" s="635"/>
      <c r="K1401" s="389">
        <v>0</v>
      </c>
      <c r="L1401" s="536"/>
      <c r="M1401" s="509">
        <f t="shared" si="3670"/>
        <v>1000</v>
      </c>
      <c r="N1401" s="646"/>
      <c r="O1401" s="626"/>
      <c r="P1401" s="629"/>
      <c r="Q1401" s="629"/>
    </row>
    <row r="1402" spans="1:17" ht="15.75" hidden="1" thickBot="1">
      <c r="A1402" s="390" t="str">
        <f t="shared" ref="A1402:B1402" si="3849">A1399</f>
        <v>PVC</v>
      </c>
      <c r="B1402" s="391" t="str">
        <f t="shared" si="3849"/>
        <v>particle</v>
      </c>
      <c r="C1402" s="391">
        <f t="shared" ref="C1402" si="3850">C1401</f>
        <v>6</v>
      </c>
      <c r="D1402" s="391" t="str">
        <f t="shared" ref="D1402:E1402" si="3851">D1399</f>
        <v>0,01-0,1</v>
      </c>
      <c r="E1402" s="391">
        <f t="shared" si="3851"/>
        <v>0.1</v>
      </c>
      <c r="F1402" s="391" t="str">
        <f t="shared" ref="F1402:G1402" si="3852">F1401</f>
        <v>air</v>
      </c>
      <c r="G1402" s="401" t="str">
        <f t="shared" si="3852"/>
        <v>DE: PVC particle 0,01-0,1 mm (emission to air)</v>
      </c>
      <c r="H1402" s="465">
        <v>4.7E-2</v>
      </c>
      <c r="I1402" s="394" t="s">
        <v>1143</v>
      </c>
      <c r="J1402" s="635"/>
      <c r="K1402" s="389">
        <v>0</v>
      </c>
      <c r="L1402" s="536"/>
      <c r="M1402" s="509">
        <f t="shared" si="3670"/>
        <v>1000</v>
      </c>
      <c r="N1402" s="646"/>
      <c r="O1402" s="626"/>
      <c r="P1402" s="629"/>
      <c r="Q1402" s="629"/>
    </row>
    <row r="1403" spans="1:17" ht="15.75" hidden="1" thickBot="1">
      <c r="A1403" s="390" t="str">
        <f t="shared" ref="A1403:B1403" si="3853">A1400</f>
        <v>PVC</v>
      </c>
      <c r="B1403" s="391" t="str">
        <f t="shared" si="3853"/>
        <v>particle</v>
      </c>
      <c r="C1403" s="391">
        <f t="shared" ref="C1403" si="3854">C1402</f>
        <v>6</v>
      </c>
      <c r="D1403" s="391" t="str">
        <f t="shared" ref="D1403:E1403" si="3855">D1400</f>
        <v>0,01-0,1</v>
      </c>
      <c r="E1403" s="391">
        <f t="shared" si="3855"/>
        <v>0.1</v>
      </c>
      <c r="F1403" s="391" t="str">
        <f t="shared" ref="F1403:G1403" si="3856">F1402</f>
        <v>air</v>
      </c>
      <c r="G1403" s="401" t="str">
        <f t="shared" si="3856"/>
        <v>DE: PVC particle 0,01-0,1 mm (emission to air)</v>
      </c>
      <c r="H1403" s="465">
        <v>5.0000000000000001E-3</v>
      </c>
      <c r="I1403" s="394" t="s">
        <v>1146</v>
      </c>
      <c r="J1403" s="635"/>
      <c r="K1403" s="389">
        <v>0</v>
      </c>
      <c r="L1403" s="536"/>
      <c r="M1403" s="509">
        <f t="shared" si="3670"/>
        <v>1000</v>
      </c>
      <c r="N1403" s="646"/>
      <c r="O1403" s="626"/>
      <c r="P1403" s="629"/>
      <c r="Q1403" s="629"/>
    </row>
    <row r="1404" spans="1:17" ht="15.75" hidden="1" thickBot="1">
      <c r="A1404" s="404" t="str">
        <f t="shared" ref="A1404:B1404" si="3857">A1399</f>
        <v>PVC</v>
      </c>
      <c r="B1404" s="402" t="str">
        <f t="shared" si="3857"/>
        <v>particle</v>
      </c>
      <c r="C1404" s="391">
        <f t="shared" ref="C1404" si="3858">C1403</f>
        <v>6</v>
      </c>
      <c r="D1404" s="402" t="str">
        <f t="shared" ref="D1404:E1404" si="3859">D1399</f>
        <v>0,01-0,1</v>
      </c>
      <c r="E1404" s="402">
        <f t="shared" si="3859"/>
        <v>0.1</v>
      </c>
      <c r="F1404" s="391" t="str">
        <f t="shared" ref="F1404:G1404" si="3860">F1403</f>
        <v>air</v>
      </c>
      <c r="G1404" s="401" t="str">
        <f t="shared" si="3860"/>
        <v>DE: PVC particle 0,01-0,1 mm (emission to air)</v>
      </c>
      <c r="H1404" s="465">
        <v>0</v>
      </c>
      <c r="I1404" s="394" t="s">
        <v>1034</v>
      </c>
      <c r="J1404" s="636"/>
      <c r="K1404" s="398" t="s">
        <v>596</v>
      </c>
      <c r="L1404" s="538"/>
      <c r="M1404" s="509">
        <f t="shared" si="3670"/>
        <v>0</v>
      </c>
      <c r="N1404" s="647"/>
      <c r="O1404" s="627"/>
      <c r="P1404" s="629"/>
      <c r="Q1404" s="629"/>
    </row>
    <row r="1405" spans="1:17" ht="16.5" hidden="1" thickTop="1" thickBot="1">
      <c r="A1405" s="405" t="s">
        <v>86</v>
      </c>
      <c r="B1405" s="406" t="s">
        <v>1152</v>
      </c>
      <c r="C1405" s="407">
        <v>6</v>
      </c>
      <c r="D1405" s="423" t="s">
        <v>1028</v>
      </c>
      <c r="E1405" s="408">
        <v>1</v>
      </c>
      <c r="F1405" s="424" t="s">
        <v>1019</v>
      </c>
      <c r="G1405" s="410" t="str">
        <f>CONCATENATE("DE: ",A1405," ",B1405," ",D1405," mm (emission to ",F1405,")")</f>
        <v>DE: PVC particle 0,1-1 mm (emission to soil)</v>
      </c>
      <c r="H1405" s="470">
        <v>0.97</v>
      </c>
      <c r="I1405" s="412" t="s">
        <v>1019</v>
      </c>
      <c r="J1405" s="632">
        <v>0.22800000000000001</v>
      </c>
      <c r="K1405" s="462">
        <v>0</v>
      </c>
      <c r="L1405" s="536"/>
      <c r="M1405" s="509">
        <f t="shared" si="3670"/>
        <v>1000</v>
      </c>
      <c r="N1405" s="645">
        <f t="shared" ref="N1405" si="3861">IFERROR(H1405*M1405+H1406*M1406+H1407*M1407+H1408*M1408+H1409*M1409,"N.A.")</f>
        <v>1000</v>
      </c>
      <c r="O1405" s="625"/>
      <c r="P1405" s="628">
        <f t="shared" si="3738"/>
        <v>100</v>
      </c>
      <c r="Q1405" s="628">
        <f t="shared" ref="Q1405:Q1465" si="3862">IFERROR(IF(H1405*M1405+H1406*M1406+H1407*M1407+H1408*M1408+H1409*M1409&gt;500,500,H1405*M1405+H1406*M1406+H1407*M1407+H1408*M1408+H1409*M1409),"N.A.")</f>
        <v>500</v>
      </c>
    </row>
    <row r="1406" spans="1:17" ht="15.75" hidden="1" thickBot="1">
      <c r="A1406" s="390" t="str">
        <f>A1405</f>
        <v>PVC</v>
      </c>
      <c r="B1406" s="391" t="str">
        <f>B1405</f>
        <v>particle</v>
      </c>
      <c r="C1406" s="391">
        <f t="shared" ref="C1406:G1406" si="3863">C1405</f>
        <v>6</v>
      </c>
      <c r="D1406" s="391" t="str">
        <f t="shared" si="3863"/>
        <v>0,1-1</v>
      </c>
      <c r="E1406" s="391">
        <f t="shared" si="3863"/>
        <v>1</v>
      </c>
      <c r="F1406" s="391" t="str">
        <f t="shared" si="3863"/>
        <v>soil</v>
      </c>
      <c r="G1406" s="415" t="str">
        <f t="shared" si="3863"/>
        <v>DE: PVC particle 0,1-1 mm (emission to soil)</v>
      </c>
      <c r="H1406" s="469">
        <v>0</v>
      </c>
      <c r="I1406" s="417" t="s">
        <v>1097</v>
      </c>
      <c r="J1406" s="632"/>
      <c r="K1406" s="418">
        <v>0</v>
      </c>
      <c r="L1406" s="537"/>
      <c r="M1406" s="509">
        <f t="shared" si="3670"/>
        <v>1000</v>
      </c>
      <c r="N1406" s="646"/>
      <c r="O1406" s="626"/>
      <c r="P1406" s="629"/>
      <c r="Q1406" s="629"/>
    </row>
    <row r="1407" spans="1:17" ht="15.75" hidden="1" thickBot="1">
      <c r="A1407" s="390" t="str">
        <f t="shared" ref="A1407:G1407" si="3864">A1406</f>
        <v>PVC</v>
      </c>
      <c r="B1407" s="391" t="str">
        <f t="shared" si="3864"/>
        <v>particle</v>
      </c>
      <c r="C1407" s="391">
        <f t="shared" si="3864"/>
        <v>6</v>
      </c>
      <c r="D1407" s="391" t="str">
        <f t="shared" si="3864"/>
        <v>0,1-1</v>
      </c>
      <c r="E1407" s="391">
        <f t="shared" si="3864"/>
        <v>1</v>
      </c>
      <c r="F1407" s="391" t="str">
        <f t="shared" si="3864"/>
        <v>soil</v>
      </c>
      <c r="G1407" s="415" t="str">
        <f t="shared" si="3864"/>
        <v>DE: PVC particle 0,1-1 mm (emission to soil)</v>
      </c>
      <c r="H1407" s="469">
        <v>2.7E-2</v>
      </c>
      <c r="I1407" s="417" t="s">
        <v>1143</v>
      </c>
      <c r="J1407" s="632"/>
      <c r="K1407" s="418">
        <v>0</v>
      </c>
      <c r="L1407" s="537"/>
      <c r="M1407" s="509">
        <f t="shared" si="3670"/>
        <v>1000</v>
      </c>
      <c r="N1407" s="646"/>
      <c r="O1407" s="626"/>
      <c r="P1407" s="629"/>
      <c r="Q1407" s="629"/>
    </row>
    <row r="1408" spans="1:17" ht="15.75" hidden="1" thickBot="1">
      <c r="A1408" s="390" t="str">
        <f t="shared" ref="A1408:G1408" si="3865">A1407</f>
        <v>PVC</v>
      </c>
      <c r="B1408" s="391" t="str">
        <f t="shared" si="3865"/>
        <v>particle</v>
      </c>
      <c r="C1408" s="391">
        <f t="shared" si="3865"/>
        <v>6</v>
      </c>
      <c r="D1408" s="391" t="str">
        <f t="shared" si="3865"/>
        <v>0,1-1</v>
      </c>
      <c r="E1408" s="391">
        <f t="shared" si="3865"/>
        <v>1</v>
      </c>
      <c r="F1408" s="391" t="str">
        <f t="shared" si="3865"/>
        <v>soil</v>
      </c>
      <c r="G1408" s="415" t="str">
        <f t="shared" si="3865"/>
        <v>DE: PVC particle 0,1-1 mm (emission to soil)</v>
      </c>
      <c r="H1408" s="469">
        <v>3.0000000000000001E-3</v>
      </c>
      <c r="I1408" s="417" t="s">
        <v>1146</v>
      </c>
      <c r="J1408" s="632"/>
      <c r="K1408" s="418">
        <v>0</v>
      </c>
      <c r="L1408" s="537"/>
      <c r="M1408" s="509">
        <f t="shared" si="3670"/>
        <v>1000</v>
      </c>
      <c r="N1408" s="646"/>
      <c r="O1408" s="626"/>
      <c r="P1408" s="629"/>
      <c r="Q1408" s="629"/>
    </row>
    <row r="1409" spans="1:17" ht="15.75" hidden="1" thickBot="1">
      <c r="A1409" s="390" t="str">
        <f>A1406</f>
        <v>PVC</v>
      </c>
      <c r="B1409" s="391" t="str">
        <f>B1406</f>
        <v>particle</v>
      </c>
      <c r="C1409" s="391">
        <f t="shared" ref="C1409" si="3866">C1408</f>
        <v>6</v>
      </c>
      <c r="D1409" s="391" t="str">
        <f>D1406</f>
        <v>0,1-1</v>
      </c>
      <c r="E1409" s="391">
        <f>E1406</f>
        <v>1</v>
      </c>
      <c r="F1409" s="391" t="str">
        <f>F1406</f>
        <v>soil</v>
      </c>
      <c r="G1409" s="419" t="str">
        <f t="shared" ref="G1409" si="3867">G1408</f>
        <v>DE: PVC particle 0,1-1 mm (emission to soil)</v>
      </c>
      <c r="H1409" s="469">
        <v>0</v>
      </c>
      <c r="I1409" s="420" t="s">
        <v>1034</v>
      </c>
      <c r="J1409" s="633"/>
      <c r="K1409" s="421" t="s">
        <v>596</v>
      </c>
      <c r="L1409" s="538"/>
      <c r="M1409" s="509">
        <f t="shared" si="3670"/>
        <v>0</v>
      </c>
      <c r="N1409" s="647"/>
      <c r="O1409" s="627"/>
      <c r="P1409" s="629"/>
      <c r="Q1409" s="629"/>
    </row>
    <row r="1410" spans="1:17" ht="15.75" hidden="1" thickBot="1">
      <c r="A1410" s="390" t="str">
        <f t="shared" ref="A1410:B1410" si="3868">A1407</f>
        <v>PVC</v>
      </c>
      <c r="B1410" s="391" t="str">
        <f t="shared" si="3868"/>
        <v>particle</v>
      </c>
      <c r="C1410" s="391">
        <f t="shared" ref="C1410" si="3869">C1409</f>
        <v>6</v>
      </c>
      <c r="D1410" s="399" t="str">
        <f t="shared" ref="D1410:E1410" si="3870">D1407</f>
        <v>0,1-1</v>
      </c>
      <c r="E1410" s="391">
        <f t="shared" si="3870"/>
        <v>1</v>
      </c>
      <c r="F1410" s="400" t="s">
        <v>1147</v>
      </c>
      <c r="G1410" s="386" t="str">
        <f>CONCATENATE("DE: ",A1410," ",B1410," ",D1410," mm (emission to ",F1410,")")</f>
        <v>DE: PVC particle 0,1-1 mm (emission to fresh water)</v>
      </c>
      <c r="H1410" s="466">
        <v>0</v>
      </c>
      <c r="I1410" s="388" t="s">
        <v>1019</v>
      </c>
      <c r="J1410" s="634">
        <v>0.22800000000000001</v>
      </c>
      <c r="K1410" s="389">
        <v>0</v>
      </c>
      <c r="L1410" s="536"/>
      <c r="M1410" s="509">
        <f t="shared" si="3670"/>
        <v>1000</v>
      </c>
      <c r="N1410" s="645">
        <f t="shared" ref="N1410" si="3871">IFERROR(H1410*M1410+H1411*M1411+H1412*M1412+H1413*M1413+H1414*M1414,"N.A.")</f>
        <v>1000</v>
      </c>
      <c r="O1410" s="625"/>
      <c r="P1410" s="628">
        <f t="shared" si="3738"/>
        <v>100</v>
      </c>
      <c r="Q1410" s="628">
        <f t="shared" si="3862"/>
        <v>500</v>
      </c>
    </row>
    <row r="1411" spans="1:17" ht="15.75" hidden="1" thickBot="1">
      <c r="A1411" s="390" t="str">
        <f t="shared" ref="A1411:B1411" si="3872">A1408</f>
        <v>PVC</v>
      </c>
      <c r="B1411" s="391" t="str">
        <f t="shared" si="3872"/>
        <v>particle</v>
      </c>
      <c r="C1411" s="391">
        <f t="shared" ref="C1411" si="3873">C1410</f>
        <v>6</v>
      </c>
      <c r="D1411" s="391" t="str">
        <f t="shared" ref="D1411:E1411" si="3874">D1408</f>
        <v>0,1-1</v>
      </c>
      <c r="E1411" s="391">
        <f t="shared" si="3874"/>
        <v>1</v>
      </c>
      <c r="F1411" s="391" t="str">
        <f t="shared" ref="F1411:G1411" si="3875">F1410</f>
        <v>fresh water</v>
      </c>
      <c r="G1411" s="401" t="str">
        <f t="shared" si="3875"/>
        <v>DE: PVC particle 0,1-1 mm (emission to fresh water)</v>
      </c>
      <c r="H1411" s="465">
        <v>0</v>
      </c>
      <c r="I1411" s="394" t="s">
        <v>1097</v>
      </c>
      <c r="J1411" s="635"/>
      <c r="K1411" s="389">
        <v>0</v>
      </c>
      <c r="L1411" s="536"/>
      <c r="M1411" s="509">
        <f t="shared" si="3670"/>
        <v>1000</v>
      </c>
      <c r="N1411" s="646"/>
      <c r="O1411" s="626"/>
      <c r="P1411" s="629"/>
      <c r="Q1411" s="629"/>
    </row>
    <row r="1412" spans="1:17" ht="15.75" hidden="1" thickBot="1">
      <c r="A1412" s="390" t="str">
        <f t="shared" ref="A1412:B1412" si="3876">A1409</f>
        <v>PVC</v>
      </c>
      <c r="B1412" s="391" t="str">
        <f t="shared" si="3876"/>
        <v>particle</v>
      </c>
      <c r="C1412" s="391">
        <f t="shared" ref="C1412" si="3877">C1411</f>
        <v>6</v>
      </c>
      <c r="D1412" s="391" t="str">
        <f t="shared" ref="D1412:E1412" si="3878">D1409</f>
        <v>0,1-1</v>
      </c>
      <c r="E1412" s="391">
        <f t="shared" si="3878"/>
        <v>1</v>
      </c>
      <c r="F1412" s="391" t="str">
        <f t="shared" ref="F1412:G1412" si="3879">F1411</f>
        <v>fresh water</v>
      </c>
      <c r="G1412" s="401" t="str">
        <f t="shared" si="3879"/>
        <v>DE: PVC particle 0,1-1 mm (emission to fresh water)</v>
      </c>
      <c r="H1412" s="465">
        <v>0.89</v>
      </c>
      <c r="I1412" s="394" t="s">
        <v>1143</v>
      </c>
      <c r="J1412" s="635"/>
      <c r="K1412" s="389">
        <v>0</v>
      </c>
      <c r="L1412" s="536"/>
      <c r="M1412" s="509">
        <f t="shared" si="3670"/>
        <v>1000</v>
      </c>
      <c r="N1412" s="646"/>
      <c r="O1412" s="626"/>
      <c r="P1412" s="629"/>
      <c r="Q1412" s="629"/>
    </row>
    <row r="1413" spans="1:17" ht="15.75" hidden="1" thickBot="1">
      <c r="A1413" s="390" t="str">
        <f t="shared" ref="A1413:B1413" si="3880">A1410</f>
        <v>PVC</v>
      </c>
      <c r="B1413" s="391" t="str">
        <f t="shared" si="3880"/>
        <v>particle</v>
      </c>
      <c r="C1413" s="391">
        <f t="shared" ref="C1413" si="3881">C1412</f>
        <v>6</v>
      </c>
      <c r="D1413" s="391" t="str">
        <f t="shared" ref="D1413:E1413" si="3882">D1410</f>
        <v>0,1-1</v>
      </c>
      <c r="E1413" s="391">
        <f t="shared" si="3882"/>
        <v>1</v>
      </c>
      <c r="F1413" s="391" t="str">
        <f t="shared" ref="F1413:G1413" si="3883">F1412</f>
        <v>fresh water</v>
      </c>
      <c r="G1413" s="401" t="str">
        <f t="shared" si="3883"/>
        <v>DE: PVC particle 0,1-1 mm (emission to fresh water)</v>
      </c>
      <c r="H1413" s="465">
        <v>0.11</v>
      </c>
      <c r="I1413" s="394" t="s">
        <v>1146</v>
      </c>
      <c r="J1413" s="635"/>
      <c r="K1413" s="389">
        <v>0</v>
      </c>
      <c r="L1413" s="536"/>
      <c r="M1413" s="509">
        <f t="shared" si="3670"/>
        <v>1000</v>
      </c>
      <c r="N1413" s="646"/>
      <c r="O1413" s="626"/>
      <c r="P1413" s="629"/>
      <c r="Q1413" s="629"/>
    </row>
    <row r="1414" spans="1:17" ht="15.75" hidden="1" thickBot="1">
      <c r="A1414" s="390" t="str">
        <f t="shared" ref="A1414:B1414" si="3884">A1411</f>
        <v>PVC</v>
      </c>
      <c r="B1414" s="391" t="str">
        <f t="shared" si="3884"/>
        <v>particle</v>
      </c>
      <c r="C1414" s="391">
        <f t="shared" ref="C1414" si="3885">C1413</f>
        <v>6</v>
      </c>
      <c r="D1414" s="391" t="str">
        <f t="shared" ref="D1414:E1414" si="3886">D1411</f>
        <v>0,1-1</v>
      </c>
      <c r="E1414" s="391">
        <f t="shared" si="3886"/>
        <v>1</v>
      </c>
      <c r="F1414" s="402" t="str">
        <f>F1411</f>
        <v>fresh water</v>
      </c>
      <c r="G1414" s="401" t="str">
        <f t="shared" ref="G1414" si="3887">G1413</f>
        <v>DE: PVC particle 0,1-1 mm (emission to fresh water)</v>
      </c>
      <c r="H1414" s="465">
        <v>0</v>
      </c>
      <c r="I1414" s="397" t="s">
        <v>1034</v>
      </c>
      <c r="J1414" s="654"/>
      <c r="K1414" s="398" t="s">
        <v>596</v>
      </c>
      <c r="L1414" s="538"/>
      <c r="M1414" s="509">
        <f t="shared" ref="M1414:M1477" si="3888">IFERROR(IF(K1414="--",0,IF(E1414*1000/K1414*(1-0.5)^(C1414/2)&gt;1000,1000,E1414*1000/K1414*(1-0.5)^(C1414/2))),1000)</f>
        <v>0</v>
      </c>
      <c r="N1414" s="647"/>
      <c r="O1414" s="627"/>
      <c r="P1414" s="629"/>
      <c r="Q1414" s="629"/>
    </row>
    <row r="1415" spans="1:17" ht="15.75" hidden="1" thickBot="1">
      <c r="A1415" s="390" t="str">
        <f t="shared" ref="A1415:B1415" si="3889">A1412</f>
        <v>PVC</v>
      </c>
      <c r="B1415" s="391" t="str">
        <f t="shared" si="3889"/>
        <v>particle</v>
      </c>
      <c r="C1415" s="391">
        <f t="shared" ref="C1415" si="3890">C1414</f>
        <v>6</v>
      </c>
      <c r="D1415" s="391" t="str">
        <f t="shared" ref="D1415:E1415" si="3891">D1412</f>
        <v>0,1-1</v>
      </c>
      <c r="E1415" s="391">
        <f t="shared" si="3891"/>
        <v>1</v>
      </c>
      <c r="F1415" s="385" t="s">
        <v>1097</v>
      </c>
      <c r="G1415" s="422" t="str">
        <f>CONCATENATE("DE: ",A1415," ",B1415," ",D1415," mm (emission to ",F1415,")")</f>
        <v>DE: PVC particle 0,1-1 mm (emission to marine water)</v>
      </c>
      <c r="H1415" s="467">
        <v>0</v>
      </c>
      <c r="I1415" s="388" t="s">
        <v>1019</v>
      </c>
      <c r="J1415" s="634">
        <v>0.22800000000000001</v>
      </c>
      <c r="K1415" s="389">
        <v>0</v>
      </c>
      <c r="L1415" s="536"/>
      <c r="M1415" s="509">
        <f t="shared" si="3888"/>
        <v>1000</v>
      </c>
      <c r="N1415" s="645">
        <f t="shared" ref="N1415" si="3892">IFERROR(H1415*M1415+H1416*M1416+H1417*M1417+H1418*M1418+H1419*M1419,"N.A.")</f>
        <v>1000</v>
      </c>
      <c r="O1415" s="625"/>
      <c r="P1415" s="628">
        <f t="shared" si="3738"/>
        <v>100</v>
      </c>
      <c r="Q1415" s="628">
        <f t="shared" si="3862"/>
        <v>500</v>
      </c>
    </row>
    <row r="1416" spans="1:17" ht="15.75" hidden="1" thickBot="1">
      <c r="A1416" s="390" t="str">
        <f t="shared" ref="A1416:B1416" si="3893">A1413</f>
        <v>PVC</v>
      </c>
      <c r="B1416" s="391" t="str">
        <f t="shared" si="3893"/>
        <v>particle</v>
      </c>
      <c r="C1416" s="391">
        <f t="shared" ref="C1416" si="3894">C1415</f>
        <v>6</v>
      </c>
      <c r="D1416" s="391" t="str">
        <f t="shared" ref="D1416:E1416" si="3895">D1413</f>
        <v>0,1-1</v>
      </c>
      <c r="E1416" s="391">
        <f t="shared" si="3895"/>
        <v>1</v>
      </c>
      <c r="F1416" s="391" t="str">
        <f t="shared" ref="F1416:G1416" si="3896">F1415</f>
        <v>marine water</v>
      </c>
      <c r="G1416" s="401" t="str">
        <f t="shared" si="3896"/>
        <v>DE: PVC particle 0,1-1 mm (emission to marine water)</v>
      </c>
      <c r="H1416" s="465">
        <v>0</v>
      </c>
      <c r="I1416" s="394" t="s">
        <v>1097</v>
      </c>
      <c r="J1416" s="635"/>
      <c r="K1416" s="389">
        <v>0</v>
      </c>
      <c r="L1416" s="536"/>
      <c r="M1416" s="509">
        <f t="shared" si="3888"/>
        <v>1000</v>
      </c>
      <c r="N1416" s="646"/>
      <c r="O1416" s="626"/>
      <c r="P1416" s="629"/>
      <c r="Q1416" s="629"/>
    </row>
    <row r="1417" spans="1:17" ht="15.75" hidden="1" thickBot="1">
      <c r="A1417" s="390" t="str">
        <f t="shared" ref="A1417:B1417" si="3897">A1414</f>
        <v>PVC</v>
      </c>
      <c r="B1417" s="391" t="str">
        <f t="shared" si="3897"/>
        <v>particle</v>
      </c>
      <c r="C1417" s="391">
        <f t="shared" ref="C1417" si="3898">C1416</f>
        <v>6</v>
      </c>
      <c r="D1417" s="391" t="str">
        <f t="shared" ref="D1417:E1417" si="3899">D1414</f>
        <v>0,1-1</v>
      </c>
      <c r="E1417" s="391">
        <f t="shared" si="3899"/>
        <v>1</v>
      </c>
      <c r="F1417" s="391" t="str">
        <f t="shared" ref="F1417:G1417" si="3900">F1416</f>
        <v>marine water</v>
      </c>
      <c r="G1417" s="401" t="str">
        <f t="shared" si="3900"/>
        <v>DE: PVC particle 0,1-1 mm (emission to marine water)</v>
      </c>
      <c r="H1417" s="465">
        <v>0</v>
      </c>
      <c r="I1417" s="394" t="s">
        <v>1143</v>
      </c>
      <c r="J1417" s="635"/>
      <c r="K1417" s="389">
        <v>0</v>
      </c>
      <c r="L1417" s="536"/>
      <c r="M1417" s="509">
        <f t="shared" si="3888"/>
        <v>1000</v>
      </c>
      <c r="N1417" s="646"/>
      <c r="O1417" s="626"/>
      <c r="P1417" s="629"/>
      <c r="Q1417" s="629"/>
    </row>
    <row r="1418" spans="1:17" ht="15.75" hidden="1" thickBot="1">
      <c r="A1418" s="390" t="str">
        <f t="shared" ref="A1418:B1418" si="3901">A1415</f>
        <v>PVC</v>
      </c>
      <c r="B1418" s="391" t="str">
        <f t="shared" si="3901"/>
        <v>particle</v>
      </c>
      <c r="C1418" s="391">
        <f t="shared" ref="C1418" si="3902">C1417</f>
        <v>6</v>
      </c>
      <c r="D1418" s="391" t="str">
        <f t="shared" ref="D1418:E1418" si="3903">D1415</f>
        <v>0,1-1</v>
      </c>
      <c r="E1418" s="391">
        <f t="shared" si="3903"/>
        <v>1</v>
      </c>
      <c r="F1418" s="391" t="str">
        <f t="shared" ref="F1418:G1418" si="3904">F1417</f>
        <v>marine water</v>
      </c>
      <c r="G1418" s="401" t="str">
        <f t="shared" si="3904"/>
        <v>DE: PVC particle 0,1-1 mm (emission to marine water)</v>
      </c>
      <c r="H1418" s="465">
        <v>1</v>
      </c>
      <c r="I1418" s="394" t="s">
        <v>1146</v>
      </c>
      <c r="J1418" s="635"/>
      <c r="K1418" s="389">
        <v>0</v>
      </c>
      <c r="L1418" s="536"/>
      <c r="M1418" s="509">
        <f t="shared" si="3888"/>
        <v>1000</v>
      </c>
      <c r="N1418" s="646"/>
      <c r="O1418" s="626"/>
      <c r="P1418" s="629"/>
      <c r="Q1418" s="629"/>
    </row>
    <row r="1419" spans="1:17" ht="15.75" hidden="1" thickBot="1">
      <c r="A1419" s="390" t="str">
        <f t="shared" ref="A1419:B1419" si="3905">A1416</f>
        <v>PVC</v>
      </c>
      <c r="B1419" s="391" t="str">
        <f t="shared" si="3905"/>
        <v>particle</v>
      </c>
      <c r="C1419" s="391">
        <f t="shared" ref="C1419" si="3906">C1418</f>
        <v>6</v>
      </c>
      <c r="D1419" s="391" t="str">
        <f t="shared" ref="D1419:E1419" si="3907">D1416</f>
        <v>0,1-1</v>
      </c>
      <c r="E1419" s="391">
        <f t="shared" si="3907"/>
        <v>1</v>
      </c>
      <c r="F1419" s="391" t="str">
        <f t="shared" ref="F1419:G1419" si="3908">F1418</f>
        <v>marine water</v>
      </c>
      <c r="G1419" s="401" t="str">
        <f t="shared" si="3908"/>
        <v>DE: PVC particle 0,1-1 mm (emission to marine water)</v>
      </c>
      <c r="H1419" s="465">
        <v>0</v>
      </c>
      <c r="I1419" s="397" t="s">
        <v>1034</v>
      </c>
      <c r="J1419" s="654"/>
      <c r="K1419" s="398" t="s">
        <v>596</v>
      </c>
      <c r="L1419" s="538"/>
      <c r="M1419" s="509">
        <f t="shared" si="3888"/>
        <v>0</v>
      </c>
      <c r="N1419" s="647"/>
      <c r="O1419" s="627"/>
      <c r="P1419" s="629"/>
      <c r="Q1419" s="629"/>
    </row>
    <row r="1420" spans="1:17" ht="15.75" hidden="1" thickBot="1">
      <c r="A1420" s="390" t="str">
        <f t="shared" ref="A1420:B1420" si="3909">A1417</f>
        <v>PVC</v>
      </c>
      <c r="B1420" s="391" t="str">
        <f t="shared" si="3909"/>
        <v>particle</v>
      </c>
      <c r="C1420" s="391">
        <f t="shared" ref="C1420" si="3910">C1419</f>
        <v>6</v>
      </c>
      <c r="D1420" s="391" t="str">
        <f t="shared" ref="D1420:E1420" si="3911">D1417</f>
        <v>0,1-1</v>
      </c>
      <c r="E1420" s="391">
        <f t="shared" si="3911"/>
        <v>1</v>
      </c>
      <c r="F1420" s="400" t="s">
        <v>1057</v>
      </c>
      <c r="G1420" s="422" t="str">
        <f>CONCATENATE("DE: ",A1420," ",B1420," ",D1420," mm (emission to ",F1420,")")</f>
        <v>DE: PVC particle 0,1-1 mm (emission to air)</v>
      </c>
      <c r="H1420" s="467">
        <v>0.94799999999999995</v>
      </c>
      <c r="I1420" s="388" t="s">
        <v>1019</v>
      </c>
      <c r="J1420" s="634">
        <v>0.22800000000000001</v>
      </c>
      <c r="K1420" s="389">
        <v>0</v>
      </c>
      <c r="L1420" s="536"/>
      <c r="M1420" s="509">
        <f t="shared" si="3888"/>
        <v>1000</v>
      </c>
      <c r="N1420" s="645">
        <f t="shared" ref="N1420" si="3912">IFERROR(H1420*M1420+H1421*M1421+H1422*M1422+H1423*M1423+H1424*M1424,"N.A.")</f>
        <v>1000</v>
      </c>
      <c r="O1420" s="625"/>
      <c r="P1420" s="628">
        <f t="shared" si="3738"/>
        <v>100</v>
      </c>
      <c r="Q1420" s="628">
        <f t="shared" si="3862"/>
        <v>500</v>
      </c>
    </row>
    <row r="1421" spans="1:17" ht="15.75" hidden="1" thickBot="1">
      <c r="A1421" s="390" t="str">
        <f t="shared" ref="A1421:B1421" si="3913">A1418</f>
        <v>PVC</v>
      </c>
      <c r="B1421" s="391" t="str">
        <f t="shared" si="3913"/>
        <v>particle</v>
      </c>
      <c r="C1421" s="391">
        <f t="shared" ref="C1421" si="3914">C1420</f>
        <v>6</v>
      </c>
      <c r="D1421" s="391" t="str">
        <f t="shared" ref="D1421:E1421" si="3915">D1418</f>
        <v>0,1-1</v>
      </c>
      <c r="E1421" s="391">
        <f t="shared" si="3915"/>
        <v>1</v>
      </c>
      <c r="F1421" s="391" t="str">
        <f t="shared" ref="F1421:G1421" si="3916">F1420</f>
        <v>air</v>
      </c>
      <c r="G1421" s="401" t="str">
        <f t="shared" si="3916"/>
        <v>DE: PVC particle 0,1-1 mm (emission to air)</v>
      </c>
      <c r="H1421" s="465">
        <v>0</v>
      </c>
      <c r="I1421" s="394" t="s">
        <v>1097</v>
      </c>
      <c r="J1421" s="635"/>
      <c r="K1421" s="389">
        <v>0</v>
      </c>
      <c r="L1421" s="536"/>
      <c r="M1421" s="509">
        <f t="shared" si="3888"/>
        <v>1000</v>
      </c>
      <c r="N1421" s="646"/>
      <c r="O1421" s="626"/>
      <c r="P1421" s="629"/>
      <c r="Q1421" s="629"/>
    </row>
    <row r="1422" spans="1:17" ht="15.75" hidden="1" thickBot="1">
      <c r="A1422" s="390" t="str">
        <f t="shared" ref="A1422:B1422" si="3917">A1419</f>
        <v>PVC</v>
      </c>
      <c r="B1422" s="391" t="str">
        <f t="shared" si="3917"/>
        <v>particle</v>
      </c>
      <c r="C1422" s="391">
        <f t="shared" ref="C1422" si="3918">C1421</f>
        <v>6</v>
      </c>
      <c r="D1422" s="391" t="str">
        <f t="shared" ref="D1422:E1422" si="3919">D1419</f>
        <v>0,1-1</v>
      </c>
      <c r="E1422" s="391">
        <f t="shared" si="3919"/>
        <v>1</v>
      </c>
      <c r="F1422" s="391" t="str">
        <f t="shared" ref="F1422:G1422" si="3920">F1421</f>
        <v>air</v>
      </c>
      <c r="G1422" s="401" t="str">
        <f t="shared" si="3920"/>
        <v>DE: PVC particle 0,1-1 mm (emission to air)</v>
      </c>
      <c r="H1422" s="465">
        <v>4.7E-2</v>
      </c>
      <c r="I1422" s="394" t="s">
        <v>1143</v>
      </c>
      <c r="J1422" s="635"/>
      <c r="K1422" s="389">
        <v>0</v>
      </c>
      <c r="L1422" s="536"/>
      <c r="M1422" s="509">
        <f t="shared" si="3888"/>
        <v>1000</v>
      </c>
      <c r="N1422" s="646"/>
      <c r="O1422" s="626"/>
      <c r="P1422" s="629"/>
      <c r="Q1422" s="629"/>
    </row>
    <row r="1423" spans="1:17" ht="15.75" hidden="1" thickBot="1">
      <c r="A1423" s="390" t="str">
        <f t="shared" ref="A1423:B1423" si="3921">A1420</f>
        <v>PVC</v>
      </c>
      <c r="B1423" s="391" t="str">
        <f t="shared" si="3921"/>
        <v>particle</v>
      </c>
      <c r="C1423" s="391">
        <f t="shared" ref="C1423" si="3922">C1422</f>
        <v>6</v>
      </c>
      <c r="D1423" s="391" t="str">
        <f t="shared" ref="D1423:E1423" si="3923">D1420</f>
        <v>0,1-1</v>
      </c>
      <c r="E1423" s="391">
        <f t="shared" si="3923"/>
        <v>1</v>
      </c>
      <c r="F1423" s="391" t="str">
        <f t="shared" ref="F1423:G1423" si="3924">F1422</f>
        <v>air</v>
      </c>
      <c r="G1423" s="401" t="str">
        <f t="shared" si="3924"/>
        <v>DE: PVC particle 0,1-1 mm (emission to air)</v>
      </c>
      <c r="H1423" s="465">
        <v>5.0000000000000001E-3</v>
      </c>
      <c r="I1423" s="394" t="s">
        <v>1146</v>
      </c>
      <c r="J1423" s="635"/>
      <c r="K1423" s="389">
        <v>0</v>
      </c>
      <c r="L1423" s="536"/>
      <c r="M1423" s="509">
        <f t="shared" si="3888"/>
        <v>1000</v>
      </c>
      <c r="N1423" s="646"/>
      <c r="O1423" s="626"/>
      <c r="P1423" s="629"/>
      <c r="Q1423" s="629"/>
    </row>
    <row r="1424" spans="1:17" ht="15.75" hidden="1" thickBot="1">
      <c r="A1424" s="404" t="str">
        <f t="shared" ref="A1424:B1424" si="3925">A1419</f>
        <v>PVC</v>
      </c>
      <c r="B1424" s="402" t="str">
        <f t="shared" si="3925"/>
        <v>particle</v>
      </c>
      <c r="C1424" s="391">
        <f t="shared" ref="C1424" si="3926">C1423</f>
        <v>6</v>
      </c>
      <c r="D1424" s="402" t="str">
        <f t="shared" ref="D1424:E1424" si="3927">D1419</f>
        <v>0,1-1</v>
      </c>
      <c r="E1424" s="402">
        <f t="shared" si="3927"/>
        <v>1</v>
      </c>
      <c r="F1424" s="391" t="str">
        <f t="shared" ref="F1424:G1424" si="3928">F1423</f>
        <v>air</v>
      </c>
      <c r="G1424" s="401" t="str">
        <f t="shared" si="3928"/>
        <v>DE: PVC particle 0,1-1 mm (emission to air)</v>
      </c>
      <c r="H1424" s="465">
        <v>0</v>
      </c>
      <c r="I1424" s="394" t="s">
        <v>1034</v>
      </c>
      <c r="J1424" s="636"/>
      <c r="K1424" s="398" t="s">
        <v>596</v>
      </c>
      <c r="L1424" s="538"/>
      <c r="M1424" s="509">
        <f t="shared" si="3888"/>
        <v>0</v>
      </c>
      <c r="N1424" s="647"/>
      <c r="O1424" s="627"/>
      <c r="P1424" s="629"/>
      <c r="Q1424" s="629"/>
    </row>
    <row r="1425" spans="1:17" ht="16.5" hidden="1" thickTop="1" thickBot="1">
      <c r="A1425" s="405" t="s">
        <v>86</v>
      </c>
      <c r="B1425" s="406" t="s">
        <v>1152</v>
      </c>
      <c r="C1425" s="407">
        <v>6</v>
      </c>
      <c r="D1425" s="423" t="s">
        <v>1026</v>
      </c>
      <c r="E1425" s="408">
        <v>10</v>
      </c>
      <c r="F1425" s="424" t="s">
        <v>1019</v>
      </c>
      <c r="G1425" s="425" t="str">
        <f>CONCATENATE("DE: ",A1425," ",B1425," ",D1425," mm (emission to ",F1425,")")</f>
        <v>DE: PVC particle 1-10 mm (emission to soil)</v>
      </c>
      <c r="H1425" s="464">
        <v>0.97</v>
      </c>
      <c r="I1425" s="427" t="s">
        <v>1019</v>
      </c>
      <c r="J1425" s="632">
        <v>0.22800000000000001</v>
      </c>
      <c r="K1425" s="449">
        <v>0</v>
      </c>
      <c r="L1425" s="536"/>
      <c r="M1425" s="509">
        <f t="shared" si="3888"/>
        <v>1000</v>
      </c>
      <c r="N1425" s="645">
        <f t="shared" ref="N1425" si="3929">IFERROR(H1425*M1425+H1426*M1426+H1427*M1427+H1428*M1428+H1429*M1429,"N.A.")</f>
        <v>1000</v>
      </c>
      <c r="O1425" s="625"/>
      <c r="P1425" s="628">
        <f t="shared" si="3738"/>
        <v>100</v>
      </c>
      <c r="Q1425" s="628">
        <f t="shared" si="3862"/>
        <v>500</v>
      </c>
    </row>
    <row r="1426" spans="1:17" ht="15.75" hidden="1" thickBot="1">
      <c r="A1426" s="390" t="str">
        <f>A1425</f>
        <v>PVC</v>
      </c>
      <c r="B1426" s="391" t="str">
        <f>B1425</f>
        <v>particle</v>
      </c>
      <c r="C1426" s="391">
        <f t="shared" ref="C1426:G1426" si="3930">C1425</f>
        <v>6</v>
      </c>
      <c r="D1426" s="391" t="str">
        <f t="shared" si="3930"/>
        <v>1-10</v>
      </c>
      <c r="E1426" s="391">
        <f t="shared" si="3930"/>
        <v>10</v>
      </c>
      <c r="F1426" s="391" t="str">
        <f t="shared" si="3930"/>
        <v>soil</v>
      </c>
      <c r="G1426" s="392" t="str">
        <f t="shared" si="3930"/>
        <v>DE: PVC particle 1-10 mm (emission to soil)</v>
      </c>
      <c r="H1426" s="465">
        <v>0</v>
      </c>
      <c r="I1426" s="394" t="s">
        <v>1097</v>
      </c>
      <c r="J1426" s="632"/>
      <c r="K1426" s="395">
        <v>0</v>
      </c>
      <c r="L1426" s="537"/>
      <c r="M1426" s="509">
        <f t="shared" si="3888"/>
        <v>1000</v>
      </c>
      <c r="N1426" s="646"/>
      <c r="O1426" s="626"/>
      <c r="P1426" s="629"/>
      <c r="Q1426" s="629"/>
    </row>
    <row r="1427" spans="1:17" ht="15.75" hidden="1" thickBot="1">
      <c r="A1427" s="390" t="str">
        <f t="shared" ref="A1427:G1427" si="3931">A1426</f>
        <v>PVC</v>
      </c>
      <c r="B1427" s="391" t="str">
        <f t="shared" si="3931"/>
        <v>particle</v>
      </c>
      <c r="C1427" s="391">
        <f t="shared" si="3931"/>
        <v>6</v>
      </c>
      <c r="D1427" s="391" t="str">
        <f t="shared" si="3931"/>
        <v>1-10</v>
      </c>
      <c r="E1427" s="391">
        <f t="shared" si="3931"/>
        <v>10</v>
      </c>
      <c r="F1427" s="391" t="str">
        <f t="shared" si="3931"/>
        <v>soil</v>
      </c>
      <c r="G1427" s="392" t="str">
        <f t="shared" si="3931"/>
        <v>DE: PVC particle 1-10 mm (emission to soil)</v>
      </c>
      <c r="H1427" s="465">
        <v>2.7E-2</v>
      </c>
      <c r="I1427" s="394" t="s">
        <v>1143</v>
      </c>
      <c r="J1427" s="632"/>
      <c r="K1427" s="395">
        <v>0</v>
      </c>
      <c r="L1427" s="537"/>
      <c r="M1427" s="509">
        <f t="shared" si="3888"/>
        <v>1000</v>
      </c>
      <c r="N1427" s="646"/>
      <c r="O1427" s="626"/>
      <c r="P1427" s="629"/>
      <c r="Q1427" s="629"/>
    </row>
    <row r="1428" spans="1:17" ht="15.75" hidden="1" thickBot="1">
      <c r="A1428" s="390" t="str">
        <f t="shared" ref="A1428:G1428" si="3932">A1427</f>
        <v>PVC</v>
      </c>
      <c r="B1428" s="391" t="str">
        <f t="shared" si="3932"/>
        <v>particle</v>
      </c>
      <c r="C1428" s="391">
        <f t="shared" si="3932"/>
        <v>6</v>
      </c>
      <c r="D1428" s="391" t="str">
        <f t="shared" si="3932"/>
        <v>1-10</v>
      </c>
      <c r="E1428" s="391">
        <f t="shared" si="3932"/>
        <v>10</v>
      </c>
      <c r="F1428" s="391" t="str">
        <f t="shared" si="3932"/>
        <v>soil</v>
      </c>
      <c r="G1428" s="392" t="str">
        <f t="shared" si="3932"/>
        <v>DE: PVC particle 1-10 mm (emission to soil)</v>
      </c>
      <c r="H1428" s="465">
        <v>3.0000000000000001E-3</v>
      </c>
      <c r="I1428" s="394" t="s">
        <v>1146</v>
      </c>
      <c r="J1428" s="632"/>
      <c r="K1428" s="395">
        <v>0</v>
      </c>
      <c r="L1428" s="537"/>
      <c r="M1428" s="509">
        <f t="shared" si="3888"/>
        <v>1000</v>
      </c>
      <c r="N1428" s="646"/>
      <c r="O1428" s="626"/>
      <c r="P1428" s="629"/>
      <c r="Q1428" s="629"/>
    </row>
    <row r="1429" spans="1:17" ht="15.75" hidden="1" thickBot="1">
      <c r="A1429" s="390" t="str">
        <f>A1426</f>
        <v>PVC</v>
      </c>
      <c r="B1429" s="391" t="str">
        <f>B1426</f>
        <v>particle</v>
      </c>
      <c r="C1429" s="391">
        <f t="shared" ref="C1429" si="3933">C1428</f>
        <v>6</v>
      </c>
      <c r="D1429" s="391" t="str">
        <f>D1426</f>
        <v>1-10</v>
      </c>
      <c r="E1429" s="391">
        <f>E1426</f>
        <v>10</v>
      </c>
      <c r="F1429" s="391" t="str">
        <f>F1426</f>
        <v>soil</v>
      </c>
      <c r="G1429" s="396" t="str">
        <f t="shared" ref="G1429" si="3934">G1428</f>
        <v>DE: PVC particle 1-10 mm (emission to soil)</v>
      </c>
      <c r="H1429" s="465">
        <v>0</v>
      </c>
      <c r="I1429" s="397" t="s">
        <v>1034</v>
      </c>
      <c r="J1429" s="633"/>
      <c r="K1429" s="398" t="s">
        <v>596</v>
      </c>
      <c r="L1429" s="538"/>
      <c r="M1429" s="509">
        <f t="shared" si="3888"/>
        <v>0</v>
      </c>
      <c r="N1429" s="647"/>
      <c r="O1429" s="627"/>
      <c r="P1429" s="629"/>
      <c r="Q1429" s="629"/>
    </row>
    <row r="1430" spans="1:17" ht="15.75" hidden="1" thickBot="1">
      <c r="A1430" s="390" t="str">
        <f t="shared" ref="A1430:B1430" si="3935">A1427</f>
        <v>PVC</v>
      </c>
      <c r="B1430" s="391" t="str">
        <f t="shared" si="3935"/>
        <v>particle</v>
      </c>
      <c r="C1430" s="391">
        <f t="shared" ref="C1430" si="3936">C1429</f>
        <v>6</v>
      </c>
      <c r="D1430" s="399" t="str">
        <f t="shared" ref="D1430:E1430" si="3937">D1427</f>
        <v>1-10</v>
      </c>
      <c r="E1430" s="391">
        <f t="shared" si="3937"/>
        <v>10</v>
      </c>
      <c r="F1430" s="400" t="s">
        <v>1147</v>
      </c>
      <c r="G1430" s="386" t="str">
        <f>CONCATENATE("DE: ",A1430," ",B1430," ",D1430," mm (emission to ",F1430,")")</f>
        <v>DE: PVC particle 1-10 mm (emission to fresh water)</v>
      </c>
      <c r="H1430" s="466">
        <v>0</v>
      </c>
      <c r="I1430" s="388" t="s">
        <v>1019</v>
      </c>
      <c r="J1430" s="634">
        <v>0.22800000000000001</v>
      </c>
      <c r="K1430" s="389">
        <v>0</v>
      </c>
      <c r="L1430" s="536"/>
      <c r="M1430" s="509">
        <f t="shared" si="3888"/>
        <v>1000</v>
      </c>
      <c r="N1430" s="645">
        <f t="shared" ref="N1430" si="3938">IFERROR(H1430*M1430+H1431*M1431+H1432*M1432+H1433*M1433+H1434*M1434,"N.A.")</f>
        <v>1000</v>
      </c>
      <c r="O1430" s="625"/>
      <c r="P1430" s="628">
        <f t="shared" si="3738"/>
        <v>100</v>
      </c>
      <c r="Q1430" s="628">
        <f t="shared" si="3862"/>
        <v>500</v>
      </c>
    </row>
    <row r="1431" spans="1:17" ht="15.75" hidden="1" thickBot="1">
      <c r="A1431" s="390" t="str">
        <f t="shared" ref="A1431:B1431" si="3939">A1428</f>
        <v>PVC</v>
      </c>
      <c r="B1431" s="391" t="str">
        <f t="shared" si="3939"/>
        <v>particle</v>
      </c>
      <c r="C1431" s="391">
        <f t="shared" ref="C1431" si="3940">C1430</f>
        <v>6</v>
      </c>
      <c r="D1431" s="391" t="str">
        <f t="shared" ref="D1431:E1431" si="3941">D1428</f>
        <v>1-10</v>
      </c>
      <c r="E1431" s="391">
        <f t="shared" si="3941"/>
        <v>10</v>
      </c>
      <c r="F1431" s="391" t="str">
        <f t="shared" ref="F1431:G1431" si="3942">F1430</f>
        <v>fresh water</v>
      </c>
      <c r="G1431" s="401" t="str">
        <f t="shared" si="3942"/>
        <v>DE: PVC particle 1-10 mm (emission to fresh water)</v>
      </c>
      <c r="H1431" s="465">
        <v>0</v>
      </c>
      <c r="I1431" s="394" t="s">
        <v>1097</v>
      </c>
      <c r="J1431" s="635"/>
      <c r="K1431" s="389">
        <v>0</v>
      </c>
      <c r="L1431" s="536"/>
      <c r="M1431" s="509">
        <f t="shared" si="3888"/>
        <v>1000</v>
      </c>
      <c r="N1431" s="646"/>
      <c r="O1431" s="626"/>
      <c r="P1431" s="629"/>
      <c r="Q1431" s="629"/>
    </row>
    <row r="1432" spans="1:17" ht="15.75" hidden="1" thickBot="1">
      <c r="A1432" s="390" t="str">
        <f t="shared" ref="A1432:B1432" si="3943">A1429</f>
        <v>PVC</v>
      </c>
      <c r="B1432" s="391" t="str">
        <f t="shared" si="3943"/>
        <v>particle</v>
      </c>
      <c r="C1432" s="391">
        <f t="shared" ref="C1432" si="3944">C1431</f>
        <v>6</v>
      </c>
      <c r="D1432" s="391" t="str">
        <f t="shared" ref="D1432:E1432" si="3945">D1429</f>
        <v>1-10</v>
      </c>
      <c r="E1432" s="391">
        <f t="shared" si="3945"/>
        <v>10</v>
      </c>
      <c r="F1432" s="391" t="str">
        <f t="shared" ref="F1432:G1432" si="3946">F1431</f>
        <v>fresh water</v>
      </c>
      <c r="G1432" s="401" t="str">
        <f t="shared" si="3946"/>
        <v>DE: PVC particle 1-10 mm (emission to fresh water)</v>
      </c>
      <c r="H1432" s="465">
        <v>0.89</v>
      </c>
      <c r="I1432" s="394" t="s">
        <v>1143</v>
      </c>
      <c r="J1432" s="635"/>
      <c r="K1432" s="389">
        <v>0</v>
      </c>
      <c r="L1432" s="536"/>
      <c r="M1432" s="509">
        <f t="shared" si="3888"/>
        <v>1000</v>
      </c>
      <c r="N1432" s="646"/>
      <c r="O1432" s="626"/>
      <c r="P1432" s="629"/>
      <c r="Q1432" s="629"/>
    </row>
    <row r="1433" spans="1:17" ht="15.75" hidden="1" thickBot="1">
      <c r="A1433" s="390" t="str">
        <f t="shared" ref="A1433:B1433" si="3947">A1430</f>
        <v>PVC</v>
      </c>
      <c r="B1433" s="391" t="str">
        <f t="shared" si="3947"/>
        <v>particle</v>
      </c>
      <c r="C1433" s="391">
        <f t="shared" ref="C1433" si="3948">C1432</f>
        <v>6</v>
      </c>
      <c r="D1433" s="391" t="str">
        <f t="shared" ref="D1433:E1433" si="3949">D1430</f>
        <v>1-10</v>
      </c>
      <c r="E1433" s="391">
        <f t="shared" si="3949"/>
        <v>10</v>
      </c>
      <c r="F1433" s="391" t="str">
        <f t="shared" ref="F1433:G1433" si="3950">F1432</f>
        <v>fresh water</v>
      </c>
      <c r="G1433" s="401" t="str">
        <f t="shared" si="3950"/>
        <v>DE: PVC particle 1-10 mm (emission to fresh water)</v>
      </c>
      <c r="H1433" s="465">
        <v>0.11</v>
      </c>
      <c r="I1433" s="394" t="s">
        <v>1146</v>
      </c>
      <c r="J1433" s="635"/>
      <c r="K1433" s="389">
        <v>0</v>
      </c>
      <c r="L1433" s="536"/>
      <c r="M1433" s="509">
        <f t="shared" si="3888"/>
        <v>1000</v>
      </c>
      <c r="N1433" s="646"/>
      <c r="O1433" s="626"/>
      <c r="P1433" s="629"/>
      <c r="Q1433" s="629"/>
    </row>
    <row r="1434" spans="1:17" ht="15.75" hidden="1" thickBot="1">
      <c r="A1434" s="390" t="str">
        <f t="shared" ref="A1434:B1434" si="3951">A1431</f>
        <v>PVC</v>
      </c>
      <c r="B1434" s="391" t="str">
        <f t="shared" si="3951"/>
        <v>particle</v>
      </c>
      <c r="C1434" s="391">
        <f t="shared" ref="C1434" si="3952">C1433</f>
        <v>6</v>
      </c>
      <c r="D1434" s="391" t="str">
        <f t="shared" ref="D1434:E1434" si="3953">D1431</f>
        <v>1-10</v>
      </c>
      <c r="E1434" s="391">
        <f t="shared" si="3953"/>
        <v>10</v>
      </c>
      <c r="F1434" s="402" t="str">
        <f>F1431</f>
        <v>fresh water</v>
      </c>
      <c r="G1434" s="401" t="str">
        <f t="shared" ref="G1434" si="3954">G1433</f>
        <v>DE: PVC particle 1-10 mm (emission to fresh water)</v>
      </c>
      <c r="H1434" s="465">
        <v>0</v>
      </c>
      <c r="I1434" s="397" t="s">
        <v>1034</v>
      </c>
      <c r="J1434" s="654"/>
      <c r="K1434" s="398" t="s">
        <v>596</v>
      </c>
      <c r="L1434" s="538"/>
      <c r="M1434" s="509">
        <f t="shared" si="3888"/>
        <v>0</v>
      </c>
      <c r="N1434" s="647"/>
      <c r="O1434" s="627"/>
      <c r="P1434" s="629"/>
      <c r="Q1434" s="629"/>
    </row>
    <row r="1435" spans="1:17" ht="15.75" hidden="1" thickBot="1">
      <c r="A1435" s="390" t="str">
        <f t="shared" ref="A1435:B1435" si="3955">A1432</f>
        <v>PVC</v>
      </c>
      <c r="B1435" s="391" t="str">
        <f t="shared" si="3955"/>
        <v>particle</v>
      </c>
      <c r="C1435" s="391">
        <f t="shared" ref="C1435" si="3956">C1434</f>
        <v>6</v>
      </c>
      <c r="D1435" s="391" t="str">
        <f t="shared" ref="D1435:E1435" si="3957">D1432</f>
        <v>1-10</v>
      </c>
      <c r="E1435" s="391">
        <f t="shared" si="3957"/>
        <v>10</v>
      </c>
      <c r="F1435" s="385" t="s">
        <v>1097</v>
      </c>
      <c r="G1435" s="422" t="str">
        <f>CONCATENATE("DE: ",A1435," ",B1435," ",D1435," mm (emission to ",F1435,")")</f>
        <v>DE: PVC particle 1-10 mm (emission to marine water)</v>
      </c>
      <c r="H1435" s="467">
        <v>0</v>
      </c>
      <c r="I1435" s="388" t="s">
        <v>1019</v>
      </c>
      <c r="J1435" s="634">
        <v>0.22800000000000001</v>
      </c>
      <c r="K1435" s="389">
        <v>0</v>
      </c>
      <c r="L1435" s="536"/>
      <c r="M1435" s="509">
        <f t="shared" si="3888"/>
        <v>1000</v>
      </c>
      <c r="N1435" s="645">
        <f t="shared" ref="N1435" si="3958">IFERROR(H1435*M1435+H1436*M1436+H1437*M1437+H1438*M1438+H1439*M1439,"N.A.")</f>
        <v>1000</v>
      </c>
      <c r="O1435" s="625"/>
      <c r="P1435" s="628">
        <f t="shared" ref="P1435:P1495" si="3959">IFERROR(IF(H1435*M1435+H1436*M1436+H1437*M1437+H1438*M1438+H1439*M1439&gt;100,100,H1435*M1435+H1436*M1436+H1437*M1437+H1438*M1438+H1439*M1439),"N.A.")</f>
        <v>100</v>
      </c>
      <c r="Q1435" s="628">
        <f t="shared" si="3862"/>
        <v>500</v>
      </c>
    </row>
    <row r="1436" spans="1:17" ht="15.75" hidden="1" thickBot="1">
      <c r="A1436" s="390" t="str">
        <f t="shared" ref="A1436:B1436" si="3960">A1433</f>
        <v>PVC</v>
      </c>
      <c r="B1436" s="391" t="str">
        <f t="shared" si="3960"/>
        <v>particle</v>
      </c>
      <c r="C1436" s="391">
        <f t="shared" ref="C1436" si="3961">C1435</f>
        <v>6</v>
      </c>
      <c r="D1436" s="391" t="str">
        <f t="shared" ref="D1436:E1436" si="3962">D1433</f>
        <v>1-10</v>
      </c>
      <c r="E1436" s="391">
        <f t="shared" si="3962"/>
        <v>10</v>
      </c>
      <c r="F1436" s="391" t="str">
        <f t="shared" ref="F1436:G1436" si="3963">F1435</f>
        <v>marine water</v>
      </c>
      <c r="G1436" s="401" t="str">
        <f t="shared" si="3963"/>
        <v>DE: PVC particle 1-10 mm (emission to marine water)</v>
      </c>
      <c r="H1436" s="465">
        <v>0</v>
      </c>
      <c r="I1436" s="394" t="s">
        <v>1097</v>
      </c>
      <c r="J1436" s="635"/>
      <c r="K1436" s="389">
        <v>0</v>
      </c>
      <c r="L1436" s="536"/>
      <c r="M1436" s="509">
        <f t="shared" si="3888"/>
        <v>1000</v>
      </c>
      <c r="N1436" s="646"/>
      <c r="O1436" s="626"/>
      <c r="P1436" s="629"/>
      <c r="Q1436" s="629"/>
    </row>
    <row r="1437" spans="1:17" ht="15.75" hidden="1" thickBot="1">
      <c r="A1437" s="390" t="str">
        <f t="shared" ref="A1437:B1437" si="3964">A1434</f>
        <v>PVC</v>
      </c>
      <c r="B1437" s="391" t="str">
        <f t="shared" si="3964"/>
        <v>particle</v>
      </c>
      <c r="C1437" s="391">
        <f t="shared" ref="C1437" si="3965">C1436</f>
        <v>6</v>
      </c>
      <c r="D1437" s="391" t="str">
        <f t="shared" ref="D1437:E1437" si="3966">D1434</f>
        <v>1-10</v>
      </c>
      <c r="E1437" s="391">
        <f t="shared" si="3966"/>
        <v>10</v>
      </c>
      <c r="F1437" s="391" t="str">
        <f t="shared" ref="F1437:G1437" si="3967">F1436</f>
        <v>marine water</v>
      </c>
      <c r="G1437" s="401" t="str">
        <f t="shared" si="3967"/>
        <v>DE: PVC particle 1-10 mm (emission to marine water)</v>
      </c>
      <c r="H1437" s="465">
        <v>0</v>
      </c>
      <c r="I1437" s="394" t="s">
        <v>1143</v>
      </c>
      <c r="J1437" s="635"/>
      <c r="K1437" s="389">
        <v>0</v>
      </c>
      <c r="L1437" s="536"/>
      <c r="M1437" s="509">
        <f t="shared" si="3888"/>
        <v>1000</v>
      </c>
      <c r="N1437" s="646"/>
      <c r="O1437" s="626"/>
      <c r="P1437" s="629"/>
      <c r="Q1437" s="629"/>
    </row>
    <row r="1438" spans="1:17" ht="15.75" hidden="1" thickBot="1">
      <c r="A1438" s="390" t="str">
        <f t="shared" ref="A1438:B1438" si="3968">A1435</f>
        <v>PVC</v>
      </c>
      <c r="B1438" s="391" t="str">
        <f t="shared" si="3968"/>
        <v>particle</v>
      </c>
      <c r="C1438" s="391">
        <f t="shared" ref="C1438" si="3969">C1437</f>
        <v>6</v>
      </c>
      <c r="D1438" s="391" t="str">
        <f t="shared" ref="D1438:E1438" si="3970">D1435</f>
        <v>1-10</v>
      </c>
      <c r="E1438" s="391">
        <f t="shared" si="3970"/>
        <v>10</v>
      </c>
      <c r="F1438" s="391" t="str">
        <f t="shared" ref="F1438:G1438" si="3971">F1437</f>
        <v>marine water</v>
      </c>
      <c r="G1438" s="401" t="str">
        <f t="shared" si="3971"/>
        <v>DE: PVC particle 1-10 mm (emission to marine water)</v>
      </c>
      <c r="H1438" s="465">
        <v>1</v>
      </c>
      <c r="I1438" s="394" t="s">
        <v>1146</v>
      </c>
      <c r="J1438" s="635"/>
      <c r="K1438" s="389">
        <v>0</v>
      </c>
      <c r="L1438" s="536"/>
      <c r="M1438" s="509">
        <f t="shared" si="3888"/>
        <v>1000</v>
      </c>
      <c r="N1438" s="646"/>
      <c r="O1438" s="626"/>
      <c r="P1438" s="629"/>
      <c r="Q1438" s="629"/>
    </row>
    <row r="1439" spans="1:17" ht="15.75" hidden="1" thickBot="1">
      <c r="A1439" s="390" t="str">
        <f t="shared" ref="A1439:B1439" si="3972">A1436</f>
        <v>PVC</v>
      </c>
      <c r="B1439" s="391" t="str">
        <f t="shared" si="3972"/>
        <v>particle</v>
      </c>
      <c r="C1439" s="391">
        <f t="shared" ref="C1439" si="3973">C1438</f>
        <v>6</v>
      </c>
      <c r="D1439" s="391" t="str">
        <f t="shared" ref="D1439:E1439" si="3974">D1436</f>
        <v>1-10</v>
      </c>
      <c r="E1439" s="391">
        <f t="shared" si="3974"/>
        <v>10</v>
      </c>
      <c r="F1439" s="391" t="str">
        <f t="shared" ref="F1439:G1439" si="3975">F1438</f>
        <v>marine water</v>
      </c>
      <c r="G1439" s="401" t="str">
        <f t="shared" si="3975"/>
        <v>DE: PVC particle 1-10 mm (emission to marine water)</v>
      </c>
      <c r="H1439" s="465">
        <v>0</v>
      </c>
      <c r="I1439" s="397" t="s">
        <v>1034</v>
      </c>
      <c r="J1439" s="654"/>
      <c r="K1439" s="398" t="s">
        <v>596</v>
      </c>
      <c r="L1439" s="538"/>
      <c r="M1439" s="509">
        <f t="shared" si="3888"/>
        <v>0</v>
      </c>
      <c r="N1439" s="647"/>
      <c r="O1439" s="627"/>
      <c r="P1439" s="629"/>
      <c r="Q1439" s="629"/>
    </row>
    <row r="1440" spans="1:17" ht="15.75" hidden="1" thickBot="1">
      <c r="A1440" s="390" t="str">
        <f t="shared" ref="A1440:B1440" si="3976">A1437</f>
        <v>PVC</v>
      </c>
      <c r="B1440" s="391" t="str">
        <f t="shared" si="3976"/>
        <v>particle</v>
      </c>
      <c r="C1440" s="391">
        <f t="shared" ref="C1440" si="3977">C1439</f>
        <v>6</v>
      </c>
      <c r="D1440" s="391" t="str">
        <f t="shared" ref="D1440:E1440" si="3978">D1437</f>
        <v>1-10</v>
      </c>
      <c r="E1440" s="391">
        <f t="shared" si="3978"/>
        <v>10</v>
      </c>
      <c r="F1440" s="400" t="s">
        <v>1057</v>
      </c>
      <c r="G1440" s="422" t="str">
        <f>CONCATENATE("DE: ",A1440," ",B1440," ",D1440," mm (emission to ",F1440,")")</f>
        <v>DE: PVC particle 1-10 mm (emission to air)</v>
      </c>
      <c r="H1440" s="467">
        <v>0.94799999999999995</v>
      </c>
      <c r="I1440" s="388" t="s">
        <v>1019</v>
      </c>
      <c r="J1440" s="634">
        <v>0.22800000000000001</v>
      </c>
      <c r="K1440" s="389">
        <v>0</v>
      </c>
      <c r="L1440" s="536"/>
      <c r="M1440" s="509">
        <f t="shared" si="3888"/>
        <v>1000</v>
      </c>
      <c r="N1440" s="645">
        <f t="shared" ref="N1440" si="3979">IFERROR(H1440*M1440+H1441*M1441+H1442*M1442+H1443*M1443+H1444*M1444,"N.A.")</f>
        <v>1000</v>
      </c>
      <c r="O1440" s="625"/>
      <c r="P1440" s="628">
        <f t="shared" si="3959"/>
        <v>100</v>
      </c>
      <c r="Q1440" s="628">
        <f t="shared" si="3862"/>
        <v>500</v>
      </c>
    </row>
    <row r="1441" spans="1:17" ht="15.75" hidden="1" thickBot="1">
      <c r="A1441" s="390" t="str">
        <f t="shared" ref="A1441:B1441" si="3980">A1438</f>
        <v>PVC</v>
      </c>
      <c r="B1441" s="391" t="str">
        <f t="shared" si="3980"/>
        <v>particle</v>
      </c>
      <c r="C1441" s="391">
        <f t="shared" ref="C1441" si="3981">C1440</f>
        <v>6</v>
      </c>
      <c r="D1441" s="391" t="str">
        <f t="shared" ref="D1441:E1441" si="3982">D1438</f>
        <v>1-10</v>
      </c>
      <c r="E1441" s="391">
        <f t="shared" si="3982"/>
        <v>10</v>
      </c>
      <c r="F1441" s="391" t="str">
        <f t="shared" ref="F1441:G1441" si="3983">F1440</f>
        <v>air</v>
      </c>
      <c r="G1441" s="401" t="str">
        <f t="shared" si="3983"/>
        <v>DE: PVC particle 1-10 mm (emission to air)</v>
      </c>
      <c r="H1441" s="465">
        <v>0</v>
      </c>
      <c r="I1441" s="394" t="s">
        <v>1097</v>
      </c>
      <c r="J1441" s="635"/>
      <c r="K1441" s="389">
        <v>0</v>
      </c>
      <c r="L1441" s="536"/>
      <c r="M1441" s="509">
        <f t="shared" si="3888"/>
        <v>1000</v>
      </c>
      <c r="N1441" s="646"/>
      <c r="O1441" s="626"/>
      <c r="P1441" s="629"/>
      <c r="Q1441" s="629"/>
    </row>
    <row r="1442" spans="1:17" ht="15.75" hidden="1" thickBot="1">
      <c r="A1442" s="390" t="str">
        <f t="shared" ref="A1442:B1442" si="3984">A1439</f>
        <v>PVC</v>
      </c>
      <c r="B1442" s="391" t="str">
        <f t="shared" si="3984"/>
        <v>particle</v>
      </c>
      <c r="C1442" s="391">
        <f t="shared" ref="C1442" si="3985">C1441</f>
        <v>6</v>
      </c>
      <c r="D1442" s="391" t="str">
        <f t="shared" ref="D1442:E1442" si="3986">D1439</f>
        <v>1-10</v>
      </c>
      <c r="E1442" s="391">
        <f t="shared" si="3986"/>
        <v>10</v>
      </c>
      <c r="F1442" s="391" t="str">
        <f t="shared" ref="F1442:G1442" si="3987">F1441</f>
        <v>air</v>
      </c>
      <c r="G1442" s="401" t="str">
        <f t="shared" si="3987"/>
        <v>DE: PVC particle 1-10 mm (emission to air)</v>
      </c>
      <c r="H1442" s="465">
        <v>4.7E-2</v>
      </c>
      <c r="I1442" s="394" t="s">
        <v>1143</v>
      </c>
      <c r="J1442" s="635"/>
      <c r="K1442" s="389">
        <v>0</v>
      </c>
      <c r="L1442" s="536"/>
      <c r="M1442" s="509">
        <f t="shared" si="3888"/>
        <v>1000</v>
      </c>
      <c r="N1442" s="646"/>
      <c r="O1442" s="626"/>
      <c r="P1442" s="629"/>
      <c r="Q1442" s="629"/>
    </row>
    <row r="1443" spans="1:17" ht="15.75" hidden="1" thickBot="1">
      <c r="A1443" s="390" t="str">
        <f t="shared" ref="A1443:B1443" si="3988">A1440</f>
        <v>PVC</v>
      </c>
      <c r="B1443" s="391" t="str">
        <f t="shared" si="3988"/>
        <v>particle</v>
      </c>
      <c r="C1443" s="391">
        <f t="shared" ref="C1443" si="3989">C1442</f>
        <v>6</v>
      </c>
      <c r="D1443" s="391" t="str">
        <f t="shared" ref="D1443:E1443" si="3990">D1440</f>
        <v>1-10</v>
      </c>
      <c r="E1443" s="391">
        <f t="shared" si="3990"/>
        <v>10</v>
      </c>
      <c r="F1443" s="391" t="str">
        <f t="shared" ref="F1443:G1443" si="3991">F1442</f>
        <v>air</v>
      </c>
      <c r="G1443" s="401" t="str">
        <f t="shared" si="3991"/>
        <v>DE: PVC particle 1-10 mm (emission to air)</v>
      </c>
      <c r="H1443" s="465">
        <v>5.0000000000000001E-3</v>
      </c>
      <c r="I1443" s="394" t="s">
        <v>1146</v>
      </c>
      <c r="J1443" s="635"/>
      <c r="K1443" s="389">
        <v>0</v>
      </c>
      <c r="L1443" s="536"/>
      <c r="M1443" s="509">
        <f t="shared" si="3888"/>
        <v>1000</v>
      </c>
      <c r="N1443" s="646"/>
      <c r="O1443" s="626"/>
      <c r="P1443" s="629"/>
      <c r="Q1443" s="629"/>
    </row>
    <row r="1444" spans="1:17" ht="15.75" hidden="1" thickBot="1">
      <c r="A1444" s="404" t="str">
        <f t="shared" ref="A1444:B1444" si="3992">A1439</f>
        <v>PVC</v>
      </c>
      <c r="B1444" s="402" t="str">
        <f t="shared" si="3992"/>
        <v>particle</v>
      </c>
      <c r="C1444" s="391">
        <f t="shared" ref="C1444" si="3993">C1443</f>
        <v>6</v>
      </c>
      <c r="D1444" s="402" t="str">
        <f t="shared" ref="D1444:E1444" si="3994">D1439</f>
        <v>1-10</v>
      </c>
      <c r="E1444" s="402">
        <f t="shared" si="3994"/>
        <v>10</v>
      </c>
      <c r="F1444" s="391" t="str">
        <f t="shared" ref="F1444:G1444" si="3995">F1443</f>
        <v>air</v>
      </c>
      <c r="G1444" s="401" t="str">
        <f t="shared" si="3995"/>
        <v>DE: PVC particle 1-10 mm (emission to air)</v>
      </c>
      <c r="H1444" s="465">
        <v>0</v>
      </c>
      <c r="I1444" s="394" t="s">
        <v>1034</v>
      </c>
      <c r="J1444" s="636"/>
      <c r="K1444" s="398" t="s">
        <v>596</v>
      </c>
      <c r="L1444" s="538"/>
      <c r="M1444" s="509">
        <f t="shared" si="3888"/>
        <v>0</v>
      </c>
      <c r="N1444" s="647"/>
      <c r="O1444" s="627"/>
      <c r="P1444" s="629"/>
      <c r="Q1444" s="629"/>
    </row>
    <row r="1445" spans="1:17" ht="16.5" hidden="1" thickTop="1" thickBot="1">
      <c r="A1445" s="442" t="s">
        <v>191</v>
      </c>
      <c r="B1445" s="443" t="s">
        <v>996</v>
      </c>
      <c r="C1445" s="444">
        <f>IF(OR(B1445="Folie", B1445="Strips", B1445="Film",B1445="Flakes",B1445="Coupon"), 2,IF(OR(B1445="Fibers",B1445="Pellets"),4,IF(OR(B1445="Particles",B1445="Shreds",B1445="Powder",B1445="Fragments",B1445="Granules"),6,"")))</f>
        <v>2</v>
      </c>
      <c r="D1445" s="444" t="s">
        <v>1018</v>
      </c>
      <c r="E1445" s="445">
        <v>0.1</v>
      </c>
      <c r="F1445" s="446" t="s">
        <v>1019</v>
      </c>
      <c r="G1445" s="447" t="str">
        <f>CONCATENATE("DE: ",A1445," ",B1445," ",D1445," mm (emission to ",F1445,")")</f>
        <v>DE: NR/SBR film 0,01-0,1 mm (emission to soil)</v>
      </c>
      <c r="H1445" s="464">
        <v>0.97</v>
      </c>
      <c r="I1445" s="448" t="s">
        <v>1153</v>
      </c>
      <c r="J1445" s="632">
        <v>0.22800000000000001</v>
      </c>
      <c r="K1445" s="449">
        <v>43.650000000000013</v>
      </c>
      <c r="L1445" s="541"/>
      <c r="M1445" s="509">
        <f t="shared" si="3888"/>
        <v>1.1454753722794957</v>
      </c>
      <c r="N1445" s="645">
        <f>IFERROR(H1445*M1445+H1446*M1446+H1447*M1447+H1448*M1448+H1449*M1449,"N.A.")</f>
        <v>1.1454753722794955</v>
      </c>
      <c r="O1445" s="625"/>
      <c r="P1445" s="628">
        <f>IFERROR(IF(H1445*M1445+H1446*M1446+H1447*M1447+H1448*M1448+H1449*M1449&gt;100,100,H1445*M1445+H1446*M1446+H1447*M1447+H1448*M1448+H1449*M1449),"N.A.")</f>
        <v>1.1454753722794955</v>
      </c>
      <c r="Q1445" s="628">
        <f t="shared" si="3862"/>
        <v>1.1454753722794955</v>
      </c>
    </row>
    <row r="1446" spans="1:17" ht="15.75" hidden="1" thickBot="1">
      <c r="A1446" s="390" t="str">
        <f>A1445</f>
        <v>NR/SBR</v>
      </c>
      <c r="B1446" s="391" t="str">
        <f>B1445</f>
        <v>film</v>
      </c>
      <c r="C1446" s="391">
        <f t="shared" ref="C1446:G1446" si="3996">C1445</f>
        <v>2</v>
      </c>
      <c r="D1446" s="391" t="str">
        <f t="shared" si="3996"/>
        <v>0,01-0,1</v>
      </c>
      <c r="E1446" s="391">
        <f t="shared" si="3996"/>
        <v>0.1</v>
      </c>
      <c r="F1446" s="391" t="str">
        <f t="shared" si="3996"/>
        <v>soil</v>
      </c>
      <c r="G1446" s="392" t="str">
        <f t="shared" si="3996"/>
        <v>DE: NR/SBR film 0,01-0,1 mm (emission to soil)</v>
      </c>
      <c r="H1446" s="465">
        <v>0</v>
      </c>
      <c r="I1446" s="394" t="s">
        <v>1097</v>
      </c>
      <c r="J1446" s="632"/>
      <c r="K1446" s="395">
        <v>43.650000000000013</v>
      </c>
      <c r="L1446" s="537"/>
      <c r="M1446" s="509">
        <f>IFERROR(IF(K1446="--",0,IF(E1446*1000/K1446*(1-0.5)^(C1446/2)&gt;1000,1000,E1446*1000/K1446*(1-0.5)^(C1446/2))),1000)</f>
        <v>1.1454753722794957</v>
      </c>
      <c r="N1446" s="646"/>
      <c r="O1446" s="626"/>
      <c r="P1446" s="629"/>
      <c r="Q1446" s="629"/>
    </row>
    <row r="1447" spans="1:17" ht="15.75" hidden="1" thickBot="1">
      <c r="A1447" s="390" t="str">
        <f t="shared" ref="A1447:G1447" si="3997">A1446</f>
        <v>NR/SBR</v>
      </c>
      <c r="B1447" s="391" t="str">
        <f t="shared" si="3997"/>
        <v>film</v>
      </c>
      <c r="C1447" s="391">
        <f t="shared" si="3997"/>
        <v>2</v>
      </c>
      <c r="D1447" s="391" t="str">
        <f t="shared" si="3997"/>
        <v>0,01-0,1</v>
      </c>
      <c r="E1447" s="391">
        <f t="shared" si="3997"/>
        <v>0.1</v>
      </c>
      <c r="F1447" s="391" t="str">
        <f t="shared" si="3997"/>
        <v>soil</v>
      </c>
      <c r="G1447" s="392" t="str">
        <f t="shared" si="3997"/>
        <v>DE: NR/SBR film 0,01-0,1 mm (emission to soil)</v>
      </c>
      <c r="H1447" s="465">
        <v>2.7E-2</v>
      </c>
      <c r="I1447" s="394" t="s">
        <v>1162</v>
      </c>
      <c r="J1447" s="632"/>
      <c r="K1447" s="395">
        <v>43.650000000000013</v>
      </c>
      <c r="L1447" s="537"/>
      <c r="M1447" s="509">
        <f t="shared" si="3888"/>
        <v>1.1454753722794957</v>
      </c>
      <c r="N1447" s="646"/>
      <c r="O1447" s="626"/>
      <c r="P1447" s="629"/>
      <c r="Q1447" s="629"/>
    </row>
    <row r="1448" spans="1:17" ht="15.75" hidden="1" thickBot="1">
      <c r="A1448" s="390" t="str">
        <f t="shared" ref="A1448:G1448" si="3998">A1447</f>
        <v>NR/SBR</v>
      </c>
      <c r="B1448" s="391" t="str">
        <f t="shared" si="3998"/>
        <v>film</v>
      </c>
      <c r="C1448" s="391">
        <f t="shared" si="3998"/>
        <v>2</v>
      </c>
      <c r="D1448" s="391" t="str">
        <f t="shared" si="3998"/>
        <v>0,01-0,1</v>
      </c>
      <c r="E1448" s="391">
        <f t="shared" si="3998"/>
        <v>0.1</v>
      </c>
      <c r="F1448" s="391" t="str">
        <f t="shared" si="3998"/>
        <v>soil</v>
      </c>
      <c r="G1448" s="392" t="str">
        <f t="shared" si="3998"/>
        <v>DE: NR/SBR film 0,01-0,1 mm (emission to soil)</v>
      </c>
      <c r="H1448" s="465">
        <v>3.0000000000000001E-3</v>
      </c>
      <c r="I1448" s="394" t="s">
        <v>1163</v>
      </c>
      <c r="J1448" s="632"/>
      <c r="K1448" s="395">
        <v>43.650000000000013</v>
      </c>
      <c r="L1448" s="537"/>
      <c r="M1448" s="509">
        <f t="shared" si="3888"/>
        <v>1.1454753722794957</v>
      </c>
      <c r="N1448" s="646"/>
      <c r="O1448" s="626"/>
      <c r="P1448" s="629"/>
      <c r="Q1448" s="629"/>
    </row>
    <row r="1449" spans="1:17" ht="15.75" hidden="1" thickBot="1">
      <c r="A1449" s="390" t="str">
        <f>A1446</f>
        <v>NR/SBR</v>
      </c>
      <c r="B1449" s="391" t="str">
        <f>B1446</f>
        <v>film</v>
      </c>
      <c r="C1449" s="391">
        <f t="shared" ref="C1449" si="3999">C1448</f>
        <v>2</v>
      </c>
      <c r="D1449" s="391" t="str">
        <f>D1446</f>
        <v>0,01-0,1</v>
      </c>
      <c r="E1449" s="391">
        <f>E1446</f>
        <v>0.1</v>
      </c>
      <c r="F1449" s="391" t="str">
        <f>F1446</f>
        <v>soil</v>
      </c>
      <c r="G1449" s="396" t="str">
        <f t="shared" ref="G1449" si="4000">G1448</f>
        <v>DE: NR/SBR film 0,01-0,1 mm (emission to soil)</v>
      </c>
      <c r="H1449" s="465">
        <v>0</v>
      </c>
      <c r="I1449" s="397" t="s">
        <v>1034</v>
      </c>
      <c r="J1449" s="633"/>
      <c r="K1449" s="398" t="s">
        <v>596</v>
      </c>
      <c r="L1449" s="538"/>
      <c r="M1449" s="509">
        <f t="shared" si="3888"/>
        <v>0</v>
      </c>
      <c r="N1449" s="647"/>
      <c r="O1449" s="627"/>
      <c r="P1449" s="629"/>
      <c r="Q1449" s="629"/>
    </row>
    <row r="1450" spans="1:17" ht="15.75" hidden="1" thickBot="1">
      <c r="A1450" s="390" t="str">
        <f t="shared" ref="A1450:B1450" si="4001">A1447</f>
        <v>NR/SBR</v>
      </c>
      <c r="B1450" s="391" t="str">
        <f t="shared" si="4001"/>
        <v>film</v>
      </c>
      <c r="C1450" s="391">
        <f t="shared" ref="C1450" si="4002">C1449</f>
        <v>2</v>
      </c>
      <c r="D1450" s="399" t="str">
        <f t="shared" ref="D1450:E1450" si="4003">D1447</f>
        <v>0,01-0,1</v>
      </c>
      <c r="E1450" s="391">
        <f t="shared" si="4003"/>
        <v>0.1</v>
      </c>
      <c r="F1450" s="400" t="s">
        <v>1147</v>
      </c>
      <c r="G1450" s="386" t="str">
        <f>CONCATENATE("DE: ",A1450," ",B1450," ",D1450," mm (emission to ",F1450,")")</f>
        <v>DE: NR/SBR film 0,01-0,1 mm (emission to fresh water)</v>
      </c>
      <c r="H1450" s="466">
        <v>0</v>
      </c>
      <c r="I1450" s="388" t="s">
        <v>1153</v>
      </c>
      <c r="J1450" s="634">
        <v>0.22800000000000001</v>
      </c>
      <c r="K1450" s="389">
        <v>43.650000000000013</v>
      </c>
      <c r="L1450" s="536"/>
      <c r="M1450" s="509">
        <f t="shared" si="3888"/>
        <v>1.1454753722794957</v>
      </c>
      <c r="N1450" s="645">
        <f t="shared" ref="N1450" si="4004">IFERROR(H1450*M1450+H1451*M1451+H1452*M1452+H1453*M1453+H1454*M1454,"N.A.")</f>
        <v>1.1454753722794957</v>
      </c>
      <c r="O1450" s="625"/>
      <c r="P1450" s="628">
        <f t="shared" si="3959"/>
        <v>1.1454753722794957</v>
      </c>
      <c r="Q1450" s="628">
        <f t="shared" si="3862"/>
        <v>1.1454753722794957</v>
      </c>
    </row>
    <row r="1451" spans="1:17" ht="15.75" hidden="1" thickBot="1">
      <c r="A1451" s="390" t="str">
        <f t="shared" ref="A1451:B1451" si="4005">A1448</f>
        <v>NR/SBR</v>
      </c>
      <c r="B1451" s="391" t="str">
        <f t="shared" si="4005"/>
        <v>film</v>
      </c>
      <c r="C1451" s="391">
        <f t="shared" ref="C1451" si="4006">C1450</f>
        <v>2</v>
      </c>
      <c r="D1451" s="391" t="str">
        <f t="shared" ref="D1451:E1451" si="4007">D1448</f>
        <v>0,01-0,1</v>
      </c>
      <c r="E1451" s="391">
        <f t="shared" si="4007"/>
        <v>0.1</v>
      </c>
      <c r="F1451" s="391" t="str">
        <f t="shared" ref="F1451:G1451" si="4008">F1450</f>
        <v>fresh water</v>
      </c>
      <c r="G1451" s="401" t="str">
        <f t="shared" si="4008"/>
        <v>DE: NR/SBR film 0,01-0,1 mm (emission to fresh water)</v>
      </c>
      <c r="H1451" s="465">
        <v>0</v>
      </c>
      <c r="I1451" s="394" t="s">
        <v>1097</v>
      </c>
      <c r="J1451" s="635"/>
      <c r="K1451" s="389">
        <v>43.650000000000013</v>
      </c>
      <c r="L1451" s="536"/>
      <c r="M1451" s="509">
        <f t="shared" si="3888"/>
        <v>1.1454753722794957</v>
      </c>
      <c r="N1451" s="646"/>
      <c r="O1451" s="626"/>
      <c r="P1451" s="629"/>
      <c r="Q1451" s="629"/>
    </row>
    <row r="1452" spans="1:17" ht="15.75" hidden="1" thickBot="1">
      <c r="A1452" s="390" t="str">
        <f t="shared" ref="A1452:B1452" si="4009">A1449</f>
        <v>NR/SBR</v>
      </c>
      <c r="B1452" s="391" t="str">
        <f t="shared" si="4009"/>
        <v>film</v>
      </c>
      <c r="C1452" s="391">
        <f t="shared" ref="C1452" si="4010">C1451</f>
        <v>2</v>
      </c>
      <c r="D1452" s="391" t="str">
        <f t="shared" ref="D1452:E1452" si="4011">D1449</f>
        <v>0,01-0,1</v>
      </c>
      <c r="E1452" s="391">
        <f t="shared" si="4011"/>
        <v>0.1</v>
      </c>
      <c r="F1452" s="391" t="str">
        <f t="shared" ref="F1452:G1452" si="4012">F1451</f>
        <v>fresh water</v>
      </c>
      <c r="G1452" s="401" t="str">
        <f t="shared" si="4012"/>
        <v>DE: NR/SBR film 0,01-0,1 mm (emission to fresh water)</v>
      </c>
      <c r="H1452" s="465">
        <v>0.89</v>
      </c>
      <c r="I1452" s="394" t="s">
        <v>1162</v>
      </c>
      <c r="J1452" s="635"/>
      <c r="K1452" s="389">
        <v>43.650000000000013</v>
      </c>
      <c r="L1452" s="536"/>
      <c r="M1452" s="509">
        <f t="shared" si="3888"/>
        <v>1.1454753722794957</v>
      </c>
      <c r="N1452" s="646"/>
      <c r="O1452" s="626"/>
      <c r="P1452" s="629"/>
      <c r="Q1452" s="629"/>
    </row>
    <row r="1453" spans="1:17" ht="15.75" hidden="1" thickBot="1">
      <c r="A1453" s="390" t="str">
        <f t="shared" ref="A1453:B1453" si="4013">A1450</f>
        <v>NR/SBR</v>
      </c>
      <c r="B1453" s="391" t="str">
        <f t="shared" si="4013"/>
        <v>film</v>
      </c>
      <c r="C1453" s="391">
        <f t="shared" ref="C1453" si="4014">C1452</f>
        <v>2</v>
      </c>
      <c r="D1453" s="391" t="str">
        <f t="shared" ref="D1453:E1453" si="4015">D1450</f>
        <v>0,01-0,1</v>
      </c>
      <c r="E1453" s="391">
        <f t="shared" si="4015"/>
        <v>0.1</v>
      </c>
      <c r="F1453" s="391" t="str">
        <f t="shared" ref="F1453:G1453" si="4016">F1452</f>
        <v>fresh water</v>
      </c>
      <c r="G1453" s="401" t="str">
        <f t="shared" si="4016"/>
        <v>DE: NR/SBR film 0,01-0,1 mm (emission to fresh water)</v>
      </c>
      <c r="H1453" s="465">
        <v>0.11</v>
      </c>
      <c r="I1453" s="394" t="s">
        <v>1163</v>
      </c>
      <c r="J1453" s="635"/>
      <c r="K1453" s="389">
        <v>43.650000000000013</v>
      </c>
      <c r="L1453" s="536"/>
      <c r="M1453" s="509">
        <f t="shared" si="3888"/>
        <v>1.1454753722794957</v>
      </c>
      <c r="N1453" s="646"/>
      <c r="O1453" s="626"/>
      <c r="P1453" s="629"/>
      <c r="Q1453" s="629"/>
    </row>
    <row r="1454" spans="1:17" ht="15.75" hidden="1" thickBot="1">
      <c r="A1454" s="390" t="str">
        <f t="shared" ref="A1454:B1454" si="4017">A1451</f>
        <v>NR/SBR</v>
      </c>
      <c r="B1454" s="391" t="str">
        <f t="shared" si="4017"/>
        <v>film</v>
      </c>
      <c r="C1454" s="391">
        <f t="shared" ref="C1454" si="4018">C1453</f>
        <v>2</v>
      </c>
      <c r="D1454" s="391" t="str">
        <f t="shared" ref="D1454:E1454" si="4019">D1451</f>
        <v>0,01-0,1</v>
      </c>
      <c r="E1454" s="391">
        <f t="shared" si="4019"/>
        <v>0.1</v>
      </c>
      <c r="F1454" s="402" t="str">
        <f>F1451</f>
        <v>fresh water</v>
      </c>
      <c r="G1454" s="401" t="str">
        <f t="shared" ref="G1454" si="4020">G1453</f>
        <v>DE: NR/SBR film 0,01-0,1 mm (emission to fresh water)</v>
      </c>
      <c r="H1454" s="465">
        <v>0</v>
      </c>
      <c r="I1454" s="397" t="s">
        <v>1034</v>
      </c>
      <c r="J1454" s="654"/>
      <c r="K1454" s="398" t="s">
        <v>596</v>
      </c>
      <c r="L1454" s="538"/>
      <c r="M1454" s="509">
        <f t="shared" si="3888"/>
        <v>0</v>
      </c>
      <c r="N1454" s="647"/>
      <c r="O1454" s="627"/>
      <c r="P1454" s="629"/>
      <c r="Q1454" s="629"/>
    </row>
    <row r="1455" spans="1:17" ht="15.75" hidden="1" thickBot="1">
      <c r="A1455" s="390" t="str">
        <f t="shared" ref="A1455:B1455" si="4021">A1452</f>
        <v>NR/SBR</v>
      </c>
      <c r="B1455" s="391" t="str">
        <f t="shared" si="4021"/>
        <v>film</v>
      </c>
      <c r="C1455" s="391">
        <f t="shared" ref="C1455" si="4022">C1454</f>
        <v>2</v>
      </c>
      <c r="D1455" s="391" t="str">
        <f t="shared" ref="D1455:E1455" si="4023">D1452</f>
        <v>0,01-0,1</v>
      </c>
      <c r="E1455" s="391">
        <f t="shared" si="4023"/>
        <v>0.1</v>
      </c>
      <c r="F1455" s="385" t="s">
        <v>1097</v>
      </c>
      <c r="G1455" s="422" t="str">
        <f>CONCATENATE("DE: ",A1455," ",B1455," ",D1455," mm (emission to ",F1455,")")</f>
        <v>DE: NR/SBR film 0,01-0,1 mm (emission to marine water)</v>
      </c>
      <c r="H1455" s="467">
        <v>0</v>
      </c>
      <c r="I1455" s="388" t="s">
        <v>1153</v>
      </c>
      <c r="J1455" s="634">
        <v>0.22800000000000001</v>
      </c>
      <c r="K1455" s="389">
        <v>43.650000000000013</v>
      </c>
      <c r="L1455" s="536"/>
      <c r="M1455" s="509">
        <f t="shared" si="3888"/>
        <v>1.1454753722794957</v>
      </c>
      <c r="N1455" s="645">
        <f t="shared" ref="N1455" si="4024">IFERROR(H1455*M1455+H1456*M1456+H1457*M1457+H1458*M1458+H1459*M1459,"N.A.")</f>
        <v>1.1454753722794957</v>
      </c>
      <c r="O1455" s="625"/>
      <c r="P1455" s="628">
        <f t="shared" si="3959"/>
        <v>1.1454753722794957</v>
      </c>
      <c r="Q1455" s="628">
        <f t="shared" si="3862"/>
        <v>1.1454753722794957</v>
      </c>
    </row>
    <row r="1456" spans="1:17" ht="15.75" hidden="1" thickBot="1">
      <c r="A1456" s="390" t="str">
        <f t="shared" ref="A1456:B1456" si="4025">A1453</f>
        <v>NR/SBR</v>
      </c>
      <c r="B1456" s="391" t="str">
        <f t="shared" si="4025"/>
        <v>film</v>
      </c>
      <c r="C1456" s="391">
        <f t="shared" ref="C1456" si="4026">C1455</f>
        <v>2</v>
      </c>
      <c r="D1456" s="391" t="str">
        <f t="shared" ref="D1456:E1456" si="4027">D1453</f>
        <v>0,01-0,1</v>
      </c>
      <c r="E1456" s="391">
        <f t="shared" si="4027"/>
        <v>0.1</v>
      </c>
      <c r="F1456" s="391" t="str">
        <f t="shared" ref="F1456:G1456" si="4028">F1455</f>
        <v>marine water</v>
      </c>
      <c r="G1456" s="401" t="str">
        <f t="shared" si="4028"/>
        <v>DE: NR/SBR film 0,01-0,1 mm (emission to marine water)</v>
      </c>
      <c r="H1456" s="465">
        <v>0</v>
      </c>
      <c r="I1456" s="394" t="s">
        <v>1097</v>
      </c>
      <c r="J1456" s="635"/>
      <c r="K1456" s="389">
        <v>43.650000000000013</v>
      </c>
      <c r="L1456" s="536"/>
      <c r="M1456" s="509">
        <f t="shared" si="3888"/>
        <v>1.1454753722794957</v>
      </c>
      <c r="N1456" s="646"/>
      <c r="O1456" s="626"/>
      <c r="P1456" s="629"/>
      <c r="Q1456" s="629"/>
    </row>
    <row r="1457" spans="1:17" ht="15.75" hidden="1" thickBot="1">
      <c r="A1457" s="390" t="str">
        <f t="shared" ref="A1457:B1457" si="4029">A1454</f>
        <v>NR/SBR</v>
      </c>
      <c r="B1457" s="391" t="str">
        <f t="shared" si="4029"/>
        <v>film</v>
      </c>
      <c r="C1457" s="391">
        <f t="shared" ref="C1457" si="4030">C1456</f>
        <v>2</v>
      </c>
      <c r="D1457" s="391" t="str">
        <f t="shared" ref="D1457:E1457" si="4031">D1454</f>
        <v>0,01-0,1</v>
      </c>
      <c r="E1457" s="391">
        <f t="shared" si="4031"/>
        <v>0.1</v>
      </c>
      <c r="F1457" s="391" t="str">
        <f t="shared" ref="F1457:G1457" si="4032">F1456</f>
        <v>marine water</v>
      </c>
      <c r="G1457" s="401" t="str">
        <f t="shared" si="4032"/>
        <v>DE: NR/SBR film 0,01-0,1 mm (emission to marine water)</v>
      </c>
      <c r="H1457" s="465">
        <v>0</v>
      </c>
      <c r="I1457" s="394" t="s">
        <v>1162</v>
      </c>
      <c r="J1457" s="635"/>
      <c r="K1457" s="389">
        <v>43.650000000000013</v>
      </c>
      <c r="L1457" s="536"/>
      <c r="M1457" s="509">
        <f t="shared" si="3888"/>
        <v>1.1454753722794957</v>
      </c>
      <c r="N1457" s="646"/>
      <c r="O1457" s="626"/>
      <c r="P1457" s="629"/>
      <c r="Q1457" s="629"/>
    </row>
    <row r="1458" spans="1:17" ht="15.75" hidden="1" thickBot="1">
      <c r="A1458" s="390" t="str">
        <f t="shared" ref="A1458:B1458" si="4033">A1455</f>
        <v>NR/SBR</v>
      </c>
      <c r="B1458" s="391" t="str">
        <f t="shared" si="4033"/>
        <v>film</v>
      </c>
      <c r="C1458" s="391">
        <f t="shared" ref="C1458" si="4034">C1457</f>
        <v>2</v>
      </c>
      <c r="D1458" s="391" t="str">
        <f t="shared" ref="D1458:E1458" si="4035">D1455</f>
        <v>0,01-0,1</v>
      </c>
      <c r="E1458" s="391">
        <f t="shared" si="4035"/>
        <v>0.1</v>
      </c>
      <c r="F1458" s="391" t="str">
        <f t="shared" ref="F1458:G1458" si="4036">F1457</f>
        <v>marine water</v>
      </c>
      <c r="G1458" s="401" t="str">
        <f t="shared" si="4036"/>
        <v>DE: NR/SBR film 0,01-0,1 mm (emission to marine water)</v>
      </c>
      <c r="H1458" s="465">
        <v>1</v>
      </c>
      <c r="I1458" s="394" t="s">
        <v>1163</v>
      </c>
      <c r="J1458" s="635"/>
      <c r="K1458" s="389">
        <v>43.650000000000013</v>
      </c>
      <c r="L1458" s="536"/>
      <c r="M1458" s="509">
        <f t="shared" si="3888"/>
        <v>1.1454753722794957</v>
      </c>
      <c r="N1458" s="646"/>
      <c r="O1458" s="626"/>
      <c r="P1458" s="629"/>
      <c r="Q1458" s="629"/>
    </row>
    <row r="1459" spans="1:17" ht="15.75" hidden="1" thickBot="1">
      <c r="A1459" s="390" t="str">
        <f t="shared" ref="A1459:B1459" si="4037">A1456</f>
        <v>NR/SBR</v>
      </c>
      <c r="B1459" s="391" t="str">
        <f t="shared" si="4037"/>
        <v>film</v>
      </c>
      <c r="C1459" s="391">
        <f t="shared" ref="C1459" si="4038">C1458</f>
        <v>2</v>
      </c>
      <c r="D1459" s="391" t="str">
        <f t="shared" ref="D1459:E1459" si="4039">D1456</f>
        <v>0,01-0,1</v>
      </c>
      <c r="E1459" s="391">
        <f t="shared" si="4039"/>
        <v>0.1</v>
      </c>
      <c r="F1459" s="391" t="str">
        <f t="shared" ref="F1459:G1459" si="4040">F1458</f>
        <v>marine water</v>
      </c>
      <c r="G1459" s="401" t="str">
        <f t="shared" si="4040"/>
        <v>DE: NR/SBR film 0,01-0,1 mm (emission to marine water)</v>
      </c>
      <c r="H1459" s="465">
        <v>0</v>
      </c>
      <c r="I1459" s="397" t="s">
        <v>1034</v>
      </c>
      <c r="J1459" s="654"/>
      <c r="K1459" s="398" t="s">
        <v>596</v>
      </c>
      <c r="L1459" s="538"/>
      <c r="M1459" s="509">
        <f t="shared" si="3888"/>
        <v>0</v>
      </c>
      <c r="N1459" s="647"/>
      <c r="O1459" s="627"/>
      <c r="P1459" s="629"/>
      <c r="Q1459" s="629"/>
    </row>
    <row r="1460" spans="1:17" ht="15.75" hidden="1" thickBot="1">
      <c r="A1460" s="390" t="str">
        <f t="shared" ref="A1460:B1460" si="4041">A1457</f>
        <v>NR/SBR</v>
      </c>
      <c r="B1460" s="391" t="str">
        <f t="shared" si="4041"/>
        <v>film</v>
      </c>
      <c r="C1460" s="391">
        <f t="shared" ref="C1460" si="4042">C1459</f>
        <v>2</v>
      </c>
      <c r="D1460" s="391" t="str">
        <f t="shared" ref="D1460:E1460" si="4043">D1457</f>
        <v>0,01-0,1</v>
      </c>
      <c r="E1460" s="391">
        <f t="shared" si="4043"/>
        <v>0.1</v>
      </c>
      <c r="F1460" s="430" t="s">
        <v>1057</v>
      </c>
      <c r="G1460" s="477" t="str">
        <f>CONCATENATE("DE: ",A1460," ",B1460," ",D1460," mm (emission to ",F1460,")")</f>
        <v>DE: NR/SBR film 0,01-0,1 mm (emission to air)</v>
      </c>
      <c r="H1460" s="478">
        <v>0.94799999999999995</v>
      </c>
      <c r="I1460" s="433" t="s">
        <v>1153</v>
      </c>
      <c r="J1460" s="634">
        <v>0.22800000000000001</v>
      </c>
      <c r="K1460" s="434">
        <v>43.650000000000013</v>
      </c>
      <c r="L1460" s="536"/>
      <c r="M1460" s="509">
        <f t="shared" si="3888"/>
        <v>1.1454753722794957</v>
      </c>
      <c r="N1460" s="645">
        <f t="shared" ref="N1460" si="4044">IFERROR(H1460*M1460+H1461*M1461+H1462*M1462+H1463*M1463+H1464*M1464,"N.A.")</f>
        <v>1.1454753722794957</v>
      </c>
      <c r="O1460" s="625"/>
      <c r="P1460" s="628">
        <f t="shared" si="3959"/>
        <v>1.1454753722794957</v>
      </c>
      <c r="Q1460" s="628">
        <f t="shared" si="3862"/>
        <v>1.1454753722794957</v>
      </c>
    </row>
    <row r="1461" spans="1:17" ht="15.75" hidden="1" thickBot="1">
      <c r="A1461" s="390" t="str">
        <f t="shared" ref="A1461:B1461" si="4045">A1458</f>
        <v>NR/SBR</v>
      </c>
      <c r="B1461" s="391" t="str">
        <f t="shared" si="4045"/>
        <v>film</v>
      </c>
      <c r="C1461" s="391">
        <f t="shared" ref="C1461" si="4046">C1460</f>
        <v>2</v>
      </c>
      <c r="D1461" s="391" t="str">
        <f t="shared" ref="D1461:E1461" si="4047">D1458</f>
        <v>0,01-0,1</v>
      </c>
      <c r="E1461" s="391">
        <f t="shared" si="4047"/>
        <v>0.1</v>
      </c>
      <c r="F1461" s="414" t="str">
        <f t="shared" ref="F1461:G1461" si="4048">F1460</f>
        <v>air</v>
      </c>
      <c r="G1461" s="435" t="str">
        <f t="shared" si="4048"/>
        <v>DE: NR/SBR film 0,01-0,1 mm (emission to air)</v>
      </c>
      <c r="H1461" s="469">
        <v>0</v>
      </c>
      <c r="I1461" s="417" t="s">
        <v>1097</v>
      </c>
      <c r="J1461" s="635"/>
      <c r="K1461" s="434">
        <v>43.650000000000013</v>
      </c>
      <c r="L1461" s="536"/>
      <c r="M1461" s="509">
        <f t="shared" si="3888"/>
        <v>1.1454753722794957</v>
      </c>
      <c r="N1461" s="646"/>
      <c r="O1461" s="626"/>
      <c r="P1461" s="629"/>
      <c r="Q1461" s="629"/>
    </row>
    <row r="1462" spans="1:17" ht="15.75" hidden="1" thickBot="1">
      <c r="A1462" s="390" t="str">
        <f t="shared" ref="A1462:B1462" si="4049">A1459</f>
        <v>NR/SBR</v>
      </c>
      <c r="B1462" s="391" t="str">
        <f t="shared" si="4049"/>
        <v>film</v>
      </c>
      <c r="C1462" s="391">
        <f t="shared" ref="C1462" si="4050">C1461</f>
        <v>2</v>
      </c>
      <c r="D1462" s="391" t="str">
        <f t="shared" ref="D1462:E1462" si="4051">D1459</f>
        <v>0,01-0,1</v>
      </c>
      <c r="E1462" s="391">
        <f t="shared" si="4051"/>
        <v>0.1</v>
      </c>
      <c r="F1462" s="414" t="str">
        <f t="shared" ref="F1462:G1462" si="4052">F1461</f>
        <v>air</v>
      </c>
      <c r="G1462" s="435" t="str">
        <f t="shared" si="4052"/>
        <v>DE: NR/SBR film 0,01-0,1 mm (emission to air)</v>
      </c>
      <c r="H1462" s="469">
        <v>4.7E-2</v>
      </c>
      <c r="I1462" s="417" t="s">
        <v>1162</v>
      </c>
      <c r="J1462" s="635"/>
      <c r="K1462" s="434">
        <v>43.650000000000013</v>
      </c>
      <c r="L1462" s="536"/>
      <c r="M1462" s="509">
        <f t="shared" si="3888"/>
        <v>1.1454753722794957</v>
      </c>
      <c r="N1462" s="646"/>
      <c r="O1462" s="626"/>
      <c r="P1462" s="629"/>
      <c r="Q1462" s="629"/>
    </row>
    <row r="1463" spans="1:17" ht="15.75" hidden="1" thickBot="1">
      <c r="A1463" s="390" t="str">
        <f t="shared" ref="A1463:B1463" si="4053">A1460</f>
        <v>NR/SBR</v>
      </c>
      <c r="B1463" s="391" t="str">
        <f t="shared" si="4053"/>
        <v>film</v>
      </c>
      <c r="C1463" s="391">
        <f t="shared" ref="C1463" si="4054">C1462</f>
        <v>2</v>
      </c>
      <c r="D1463" s="391" t="str">
        <f t="shared" ref="D1463:E1463" si="4055">D1460</f>
        <v>0,01-0,1</v>
      </c>
      <c r="E1463" s="391">
        <f t="shared" si="4055"/>
        <v>0.1</v>
      </c>
      <c r="F1463" s="414" t="str">
        <f t="shared" ref="F1463:G1463" si="4056">F1462</f>
        <v>air</v>
      </c>
      <c r="G1463" s="435" t="str">
        <f t="shared" si="4056"/>
        <v>DE: NR/SBR film 0,01-0,1 mm (emission to air)</v>
      </c>
      <c r="H1463" s="469">
        <v>5.0000000000000001E-3</v>
      </c>
      <c r="I1463" s="417" t="s">
        <v>1163</v>
      </c>
      <c r="J1463" s="635"/>
      <c r="K1463" s="434">
        <v>43.650000000000013</v>
      </c>
      <c r="L1463" s="536"/>
      <c r="M1463" s="509">
        <f t="shared" si="3888"/>
        <v>1.1454753722794957</v>
      </c>
      <c r="N1463" s="646"/>
      <c r="O1463" s="626"/>
      <c r="P1463" s="629"/>
      <c r="Q1463" s="629"/>
    </row>
    <row r="1464" spans="1:17" ht="15.75" hidden="1" thickBot="1">
      <c r="A1464" s="404" t="str">
        <f t="shared" ref="A1464:B1464" si="4057">A1459</f>
        <v>NR/SBR</v>
      </c>
      <c r="B1464" s="402" t="str">
        <f t="shared" si="4057"/>
        <v>film</v>
      </c>
      <c r="C1464" s="391">
        <f t="shared" ref="C1464" si="4058">C1463</f>
        <v>2</v>
      </c>
      <c r="D1464" s="402" t="str">
        <f t="shared" ref="D1464:E1464" si="4059">D1459</f>
        <v>0,01-0,1</v>
      </c>
      <c r="E1464" s="402">
        <f t="shared" si="4059"/>
        <v>0.1</v>
      </c>
      <c r="F1464" s="414" t="str">
        <f t="shared" ref="F1464:G1464" si="4060">F1463</f>
        <v>air</v>
      </c>
      <c r="G1464" s="435" t="str">
        <f t="shared" si="4060"/>
        <v>DE: NR/SBR film 0,01-0,1 mm (emission to air)</v>
      </c>
      <c r="H1464" s="469">
        <v>0</v>
      </c>
      <c r="I1464" s="417" t="s">
        <v>1034</v>
      </c>
      <c r="J1464" s="636"/>
      <c r="K1464" s="421" t="s">
        <v>596</v>
      </c>
      <c r="L1464" s="538"/>
      <c r="M1464" s="509">
        <f t="shared" si="3888"/>
        <v>0</v>
      </c>
      <c r="N1464" s="647"/>
      <c r="O1464" s="627"/>
      <c r="P1464" s="629"/>
      <c r="Q1464" s="629"/>
    </row>
    <row r="1465" spans="1:17" ht="16.5" hidden="1" thickTop="1" thickBot="1">
      <c r="A1465" s="405" t="s">
        <v>191</v>
      </c>
      <c r="B1465" s="406" t="s">
        <v>996</v>
      </c>
      <c r="C1465" s="407">
        <f>IF(OR(B1465="Folie", B1465="Strips", B1465="Film",B1465="Flakes",B1465="Coupon"), 2,IF(OR(B1465="Fibers",B1465="Pellets"),4,IF(OR(B1465="Particles",B1465="Shreds",B1465="Powder",B1465="Fragments",B1465="Granules"),6,"")))</f>
        <v>2</v>
      </c>
      <c r="D1465" s="423" t="s">
        <v>1028</v>
      </c>
      <c r="E1465" s="408">
        <v>1</v>
      </c>
      <c r="F1465" s="424" t="s">
        <v>1019</v>
      </c>
      <c r="G1465" s="425" t="str">
        <f>CONCATENATE("DE: ",A1465," ",B1465," ",D1465," mm (emission to ",F1465,")")</f>
        <v>DE: NR/SBR film 0,1-1 mm (emission to soil)</v>
      </c>
      <c r="H1465" s="464">
        <v>0.97</v>
      </c>
      <c r="I1465" s="427" t="s">
        <v>1153</v>
      </c>
      <c r="J1465" s="632">
        <v>0.22800000000000001</v>
      </c>
      <c r="K1465" s="449">
        <v>43.650000000000013</v>
      </c>
      <c r="L1465" s="536"/>
      <c r="M1465" s="509">
        <f t="shared" si="3888"/>
        <v>11.454753722794957</v>
      </c>
      <c r="N1465" s="645">
        <f t="shared" ref="N1465" si="4061">IFERROR(H1465*M1465+H1466*M1466+H1467*M1467+H1468*M1468+H1469*M1469,"N.A.")</f>
        <v>11.454753722794957</v>
      </c>
      <c r="O1465" s="625"/>
      <c r="P1465" s="628">
        <f t="shared" si="3959"/>
        <v>11.454753722794957</v>
      </c>
      <c r="Q1465" s="628">
        <f t="shared" si="3862"/>
        <v>11.454753722794957</v>
      </c>
    </row>
    <row r="1466" spans="1:17" ht="15.75" hidden="1" thickBot="1">
      <c r="A1466" s="390" t="str">
        <f>A1465</f>
        <v>NR/SBR</v>
      </c>
      <c r="B1466" s="391" t="str">
        <f>B1465</f>
        <v>film</v>
      </c>
      <c r="C1466" s="391">
        <f t="shared" ref="C1466:G1466" si="4062">C1465</f>
        <v>2</v>
      </c>
      <c r="D1466" s="391" t="str">
        <f t="shared" si="4062"/>
        <v>0,1-1</v>
      </c>
      <c r="E1466" s="391">
        <f t="shared" si="4062"/>
        <v>1</v>
      </c>
      <c r="F1466" s="391" t="str">
        <f t="shared" si="4062"/>
        <v>soil</v>
      </c>
      <c r="G1466" s="392" t="str">
        <f t="shared" si="4062"/>
        <v>DE: NR/SBR film 0,1-1 mm (emission to soil)</v>
      </c>
      <c r="H1466" s="465">
        <v>0</v>
      </c>
      <c r="I1466" s="394" t="s">
        <v>1097</v>
      </c>
      <c r="J1466" s="632"/>
      <c r="K1466" s="395">
        <v>43.650000000000013</v>
      </c>
      <c r="L1466" s="537"/>
      <c r="M1466" s="509">
        <f t="shared" si="3888"/>
        <v>11.454753722794957</v>
      </c>
      <c r="N1466" s="646"/>
      <c r="O1466" s="626"/>
      <c r="P1466" s="629"/>
      <c r="Q1466" s="629"/>
    </row>
    <row r="1467" spans="1:17" ht="15.75" hidden="1" thickBot="1">
      <c r="A1467" s="390" t="str">
        <f t="shared" ref="A1467:G1467" si="4063">A1466</f>
        <v>NR/SBR</v>
      </c>
      <c r="B1467" s="391" t="str">
        <f t="shared" si="4063"/>
        <v>film</v>
      </c>
      <c r="C1467" s="391">
        <f t="shared" si="4063"/>
        <v>2</v>
      </c>
      <c r="D1467" s="391" t="str">
        <f t="shared" si="4063"/>
        <v>0,1-1</v>
      </c>
      <c r="E1467" s="391">
        <f t="shared" si="4063"/>
        <v>1</v>
      </c>
      <c r="F1467" s="391" t="str">
        <f t="shared" si="4063"/>
        <v>soil</v>
      </c>
      <c r="G1467" s="392" t="str">
        <f t="shared" si="4063"/>
        <v>DE: NR/SBR film 0,1-1 mm (emission to soil)</v>
      </c>
      <c r="H1467" s="465">
        <v>2.7E-2</v>
      </c>
      <c r="I1467" s="394" t="s">
        <v>1162</v>
      </c>
      <c r="J1467" s="632"/>
      <c r="K1467" s="395">
        <v>43.650000000000013</v>
      </c>
      <c r="L1467" s="537"/>
      <c r="M1467" s="509">
        <f t="shared" si="3888"/>
        <v>11.454753722794957</v>
      </c>
      <c r="N1467" s="646"/>
      <c r="O1467" s="626"/>
      <c r="P1467" s="629"/>
      <c r="Q1467" s="629"/>
    </row>
    <row r="1468" spans="1:17" ht="15.75" hidden="1" thickBot="1">
      <c r="A1468" s="390" t="str">
        <f t="shared" ref="A1468:G1468" si="4064">A1467</f>
        <v>NR/SBR</v>
      </c>
      <c r="B1468" s="391" t="str">
        <f t="shared" si="4064"/>
        <v>film</v>
      </c>
      <c r="C1468" s="391">
        <f t="shared" si="4064"/>
        <v>2</v>
      </c>
      <c r="D1468" s="391" t="str">
        <f t="shared" si="4064"/>
        <v>0,1-1</v>
      </c>
      <c r="E1468" s="391">
        <f t="shared" si="4064"/>
        <v>1</v>
      </c>
      <c r="F1468" s="391" t="str">
        <f t="shared" si="4064"/>
        <v>soil</v>
      </c>
      <c r="G1468" s="392" t="str">
        <f t="shared" si="4064"/>
        <v>DE: NR/SBR film 0,1-1 mm (emission to soil)</v>
      </c>
      <c r="H1468" s="465">
        <v>3.0000000000000001E-3</v>
      </c>
      <c r="I1468" s="394" t="s">
        <v>1163</v>
      </c>
      <c r="J1468" s="632"/>
      <c r="K1468" s="395">
        <v>43.650000000000013</v>
      </c>
      <c r="L1468" s="537"/>
      <c r="M1468" s="509">
        <f t="shared" si="3888"/>
        <v>11.454753722794957</v>
      </c>
      <c r="N1468" s="646"/>
      <c r="O1468" s="626"/>
      <c r="P1468" s="629"/>
      <c r="Q1468" s="629"/>
    </row>
    <row r="1469" spans="1:17" ht="15.75" hidden="1" thickBot="1">
      <c r="A1469" s="390" t="str">
        <f>A1466</f>
        <v>NR/SBR</v>
      </c>
      <c r="B1469" s="391" t="str">
        <f>B1466</f>
        <v>film</v>
      </c>
      <c r="C1469" s="391">
        <f t="shared" ref="C1469" si="4065">C1468</f>
        <v>2</v>
      </c>
      <c r="D1469" s="391" t="str">
        <f>D1466</f>
        <v>0,1-1</v>
      </c>
      <c r="E1469" s="391">
        <f>E1466</f>
        <v>1</v>
      </c>
      <c r="F1469" s="391" t="str">
        <f>F1466</f>
        <v>soil</v>
      </c>
      <c r="G1469" s="396" t="str">
        <f t="shared" ref="G1469" si="4066">G1468</f>
        <v>DE: NR/SBR film 0,1-1 mm (emission to soil)</v>
      </c>
      <c r="H1469" s="465">
        <v>0</v>
      </c>
      <c r="I1469" s="397" t="s">
        <v>1034</v>
      </c>
      <c r="J1469" s="633"/>
      <c r="K1469" s="398" t="s">
        <v>596</v>
      </c>
      <c r="L1469" s="538"/>
      <c r="M1469" s="509">
        <f t="shared" si="3888"/>
        <v>0</v>
      </c>
      <c r="N1469" s="647"/>
      <c r="O1469" s="627"/>
      <c r="P1469" s="629"/>
      <c r="Q1469" s="629"/>
    </row>
    <row r="1470" spans="1:17" ht="15.75" hidden="1" thickBot="1">
      <c r="A1470" s="390" t="str">
        <f t="shared" ref="A1470:B1470" si="4067">A1467</f>
        <v>NR/SBR</v>
      </c>
      <c r="B1470" s="391" t="str">
        <f t="shared" si="4067"/>
        <v>film</v>
      </c>
      <c r="C1470" s="391">
        <f t="shared" ref="C1470" si="4068">C1469</f>
        <v>2</v>
      </c>
      <c r="D1470" s="399" t="str">
        <f t="shared" ref="D1470:E1470" si="4069">D1467</f>
        <v>0,1-1</v>
      </c>
      <c r="E1470" s="391">
        <f t="shared" si="4069"/>
        <v>1</v>
      </c>
      <c r="F1470" s="400" t="s">
        <v>1147</v>
      </c>
      <c r="G1470" s="386" t="str">
        <f>CONCATENATE("DE: ",A1470," ",B1470," ",D1470," mm (emission to ",F1470,")")</f>
        <v>DE: NR/SBR film 0,1-1 mm (emission to fresh water)</v>
      </c>
      <c r="H1470" s="466">
        <v>0</v>
      </c>
      <c r="I1470" s="388" t="s">
        <v>1153</v>
      </c>
      <c r="J1470" s="634">
        <v>0.22800000000000001</v>
      </c>
      <c r="K1470" s="389">
        <v>43.650000000000013</v>
      </c>
      <c r="L1470" s="536"/>
      <c r="M1470" s="509">
        <f t="shared" si="3888"/>
        <v>11.454753722794957</v>
      </c>
      <c r="N1470" s="645">
        <f t="shared" ref="N1470" si="4070">IFERROR(H1470*M1470+H1471*M1471+H1472*M1472+H1473*M1473+H1474*M1474,"N.A.")</f>
        <v>11.454753722794957</v>
      </c>
      <c r="O1470" s="625"/>
      <c r="P1470" s="628">
        <f t="shared" si="3959"/>
        <v>11.454753722794957</v>
      </c>
      <c r="Q1470" s="628">
        <f t="shared" ref="Q1470:Q1530" si="4071">IFERROR(IF(H1470*M1470+H1471*M1471+H1472*M1472+H1473*M1473+H1474*M1474&gt;500,500,H1470*M1470+H1471*M1471+H1472*M1472+H1473*M1473+H1474*M1474),"N.A.")</f>
        <v>11.454753722794957</v>
      </c>
    </row>
    <row r="1471" spans="1:17" ht="15.75" hidden="1" thickBot="1">
      <c r="A1471" s="390" t="str">
        <f t="shared" ref="A1471:B1471" si="4072">A1468</f>
        <v>NR/SBR</v>
      </c>
      <c r="B1471" s="391" t="str">
        <f t="shared" si="4072"/>
        <v>film</v>
      </c>
      <c r="C1471" s="391">
        <f t="shared" ref="C1471" si="4073">C1470</f>
        <v>2</v>
      </c>
      <c r="D1471" s="391" t="str">
        <f t="shared" ref="D1471:E1471" si="4074">D1468</f>
        <v>0,1-1</v>
      </c>
      <c r="E1471" s="391">
        <f t="shared" si="4074"/>
        <v>1</v>
      </c>
      <c r="F1471" s="391" t="str">
        <f t="shared" ref="F1471:G1471" si="4075">F1470</f>
        <v>fresh water</v>
      </c>
      <c r="G1471" s="401" t="str">
        <f t="shared" si="4075"/>
        <v>DE: NR/SBR film 0,1-1 mm (emission to fresh water)</v>
      </c>
      <c r="H1471" s="465">
        <v>0</v>
      </c>
      <c r="I1471" s="394" t="s">
        <v>1097</v>
      </c>
      <c r="J1471" s="635"/>
      <c r="K1471" s="389">
        <v>43.650000000000013</v>
      </c>
      <c r="L1471" s="536"/>
      <c r="M1471" s="509">
        <f t="shared" si="3888"/>
        <v>11.454753722794957</v>
      </c>
      <c r="N1471" s="646"/>
      <c r="O1471" s="626"/>
      <c r="P1471" s="629"/>
      <c r="Q1471" s="629"/>
    </row>
    <row r="1472" spans="1:17" ht="15.75" hidden="1" thickBot="1">
      <c r="A1472" s="390" t="str">
        <f t="shared" ref="A1472:B1472" si="4076">A1469</f>
        <v>NR/SBR</v>
      </c>
      <c r="B1472" s="391" t="str">
        <f t="shared" si="4076"/>
        <v>film</v>
      </c>
      <c r="C1472" s="391">
        <f t="shared" ref="C1472" si="4077">C1471</f>
        <v>2</v>
      </c>
      <c r="D1472" s="391" t="str">
        <f t="shared" ref="D1472:E1472" si="4078">D1469</f>
        <v>0,1-1</v>
      </c>
      <c r="E1472" s="391">
        <f t="shared" si="4078"/>
        <v>1</v>
      </c>
      <c r="F1472" s="391" t="str">
        <f t="shared" ref="F1472:G1472" si="4079">F1471</f>
        <v>fresh water</v>
      </c>
      <c r="G1472" s="401" t="str">
        <f t="shared" si="4079"/>
        <v>DE: NR/SBR film 0,1-1 mm (emission to fresh water)</v>
      </c>
      <c r="H1472" s="465">
        <v>0.89</v>
      </c>
      <c r="I1472" s="394" t="s">
        <v>1162</v>
      </c>
      <c r="J1472" s="635"/>
      <c r="K1472" s="389">
        <v>43.650000000000013</v>
      </c>
      <c r="L1472" s="536"/>
      <c r="M1472" s="509">
        <f t="shared" si="3888"/>
        <v>11.454753722794957</v>
      </c>
      <c r="N1472" s="646"/>
      <c r="O1472" s="626"/>
      <c r="P1472" s="629"/>
      <c r="Q1472" s="629"/>
    </row>
    <row r="1473" spans="1:17" ht="15.75" hidden="1" thickBot="1">
      <c r="A1473" s="390" t="str">
        <f t="shared" ref="A1473:B1473" si="4080">A1470</f>
        <v>NR/SBR</v>
      </c>
      <c r="B1473" s="391" t="str">
        <f t="shared" si="4080"/>
        <v>film</v>
      </c>
      <c r="C1473" s="391">
        <f t="shared" ref="C1473" si="4081">C1472</f>
        <v>2</v>
      </c>
      <c r="D1473" s="391" t="str">
        <f t="shared" ref="D1473:E1473" si="4082">D1470</f>
        <v>0,1-1</v>
      </c>
      <c r="E1473" s="391">
        <f t="shared" si="4082"/>
        <v>1</v>
      </c>
      <c r="F1473" s="391" t="str">
        <f t="shared" ref="F1473:G1473" si="4083">F1472</f>
        <v>fresh water</v>
      </c>
      <c r="G1473" s="401" t="str">
        <f t="shared" si="4083"/>
        <v>DE: NR/SBR film 0,1-1 mm (emission to fresh water)</v>
      </c>
      <c r="H1473" s="465">
        <v>0.11</v>
      </c>
      <c r="I1473" s="394" t="s">
        <v>1163</v>
      </c>
      <c r="J1473" s="635"/>
      <c r="K1473" s="389">
        <v>43.650000000000013</v>
      </c>
      <c r="L1473" s="536"/>
      <c r="M1473" s="509">
        <f t="shared" si="3888"/>
        <v>11.454753722794957</v>
      </c>
      <c r="N1473" s="646"/>
      <c r="O1473" s="626"/>
      <c r="P1473" s="629"/>
      <c r="Q1473" s="629"/>
    </row>
    <row r="1474" spans="1:17" ht="15.75" hidden="1" thickBot="1">
      <c r="A1474" s="390" t="str">
        <f t="shared" ref="A1474:B1474" si="4084">A1471</f>
        <v>NR/SBR</v>
      </c>
      <c r="B1474" s="391" t="str">
        <f t="shared" si="4084"/>
        <v>film</v>
      </c>
      <c r="C1474" s="391">
        <f t="shared" ref="C1474" si="4085">C1473</f>
        <v>2</v>
      </c>
      <c r="D1474" s="391" t="str">
        <f t="shared" ref="D1474:E1474" si="4086">D1471</f>
        <v>0,1-1</v>
      </c>
      <c r="E1474" s="391">
        <f t="shared" si="4086"/>
        <v>1</v>
      </c>
      <c r="F1474" s="402" t="str">
        <f>F1471</f>
        <v>fresh water</v>
      </c>
      <c r="G1474" s="401" t="str">
        <f t="shared" ref="G1474" si="4087">G1473</f>
        <v>DE: NR/SBR film 0,1-1 mm (emission to fresh water)</v>
      </c>
      <c r="H1474" s="465">
        <v>0</v>
      </c>
      <c r="I1474" s="397" t="s">
        <v>1034</v>
      </c>
      <c r="J1474" s="654"/>
      <c r="K1474" s="398" t="s">
        <v>596</v>
      </c>
      <c r="L1474" s="538"/>
      <c r="M1474" s="509">
        <f t="shared" si="3888"/>
        <v>0</v>
      </c>
      <c r="N1474" s="647"/>
      <c r="O1474" s="627"/>
      <c r="P1474" s="629"/>
      <c r="Q1474" s="629"/>
    </row>
    <row r="1475" spans="1:17" ht="15.75" hidden="1" thickBot="1">
      <c r="A1475" s="390" t="str">
        <f t="shared" ref="A1475:B1475" si="4088">A1472</f>
        <v>NR/SBR</v>
      </c>
      <c r="B1475" s="391" t="str">
        <f t="shared" si="4088"/>
        <v>film</v>
      </c>
      <c r="C1475" s="391">
        <f t="shared" ref="C1475" si="4089">C1474</f>
        <v>2</v>
      </c>
      <c r="D1475" s="391" t="str">
        <f t="shared" ref="D1475:E1475" si="4090">D1472</f>
        <v>0,1-1</v>
      </c>
      <c r="E1475" s="391">
        <f t="shared" si="4090"/>
        <v>1</v>
      </c>
      <c r="F1475" s="385" t="s">
        <v>1097</v>
      </c>
      <c r="G1475" s="422" t="str">
        <f>CONCATENATE("DE: ",A1475," ",B1475," ",D1475," mm (emission to ",F1475,")")</f>
        <v>DE: NR/SBR film 0,1-1 mm (emission to marine water)</v>
      </c>
      <c r="H1475" s="467">
        <v>0</v>
      </c>
      <c r="I1475" s="388" t="s">
        <v>1153</v>
      </c>
      <c r="J1475" s="634">
        <v>0.22800000000000001</v>
      </c>
      <c r="K1475" s="389">
        <v>43.650000000000013</v>
      </c>
      <c r="L1475" s="536"/>
      <c r="M1475" s="509">
        <f t="shared" si="3888"/>
        <v>11.454753722794957</v>
      </c>
      <c r="N1475" s="645">
        <f t="shared" ref="N1475" si="4091">IFERROR(H1475*M1475+H1476*M1476+H1477*M1477+H1478*M1478+H1479*M1479,"N.A.")</f>
        <v>11.454753722794957</v>
      </c>
      <c r="O1475" s="625"/>
      <c r="P1475" s="628">
        <f t="shared" si="3959"/>
        <v>11.454753722794957</v>
      </c>
      <c r="Q1475" s="628">
        <f t="shared" si="4071"/>
        <v>11.454753722794957</v>
      </c>
    </row>
    <row r="1476" spans="1:17" ht="15.75" hidden="1" thickBot="1">
      <c r="A1476" s="390" t="str">
        <f t="shared" ref="A1476:B1476" si="4092">A1473</f>
        <v>NR/SBR</v>
      </c>
      <c r="B1476" s="391" t="str">
        <f t="shared" si="4092"/>
        <v>film</v>
      </c>
      <c r="C1476" s="391">
        <f t="shared" ref="C1476" si="4093">C1475</f>
        <v>2</v>
      </c>
      <c r="D1476" s="391" t="str">
        <f t="shared" ref="D1476:E1476" si="4094">D1473</f>
        <v>0,1-1</v>
      </c>
      <c r="E1476" s="391">
        <f t="shared" si="4094"/>
        <v>1</v>
      </c>
      <c r="F1476" s="391" t="str">
        <f t="shared" ref="F1476:G1476" si="4095">F1475</f>
        <v>marine water</v>
      </c>
      <c r="G1476" s="401" t="str">
        <f t="shared" si="4095"/>
        <v>DE: NR/SBR film 0,1-1 mm (emission to marine water)</v>
      </c>
      <c r="H1476" s="465">
        <v>0</v>
      </c>
      <c r="I1476" s="394" t="s">
        <v>1097</v>
      </c>
      <c r="J1476" s="635"/>
      <c r="K1476" s="389">
        <v>43.650000000000013</v>
      </c>
      <c r="L1476" s="536"/>
      <c r="M1476" s="509">
        <f t="shared" si="3888"/>
        <v>11.454753722794957</v>
      </c>
      <c r="N1476" s="646"/>
      <c r="O1476" s="626"/>
      <c r="P1476" s="629"/>
      <c r="Q1476" s="629"/>
    </row>
    <row r="1477" spans="1:17" ht="15.75" hidden="1" thickBot="1">
      <c r="A1477" s="390" t="str">
        <f t="shared" ref="A1477:B1477" si="4096">A1474</f>
        <v>NR/SBR</v>
      </c>
      <c r="B1477" s="391" t="str">
        <f t="shared" si="4096"/>
        <v>film</v>
      </c>
      <c r="C1477" s="391">
        <f t="shared" ref="C1477" si="4097">C1476</f>
        <v>2</v>
      </c>
      <c r="D1477" s="391" t="str">
        <f t="shared" ref="D1477:E1477" si="4098">D1474</f>
        <v>0,1-1</v>
      </c>
      <c r="E1477" s="391">
        <f t="shared" si="4098"/>
        <v>1</v>
      </c>
      <c r="F1477" s="391" t="str">
        <f t="shared" ref="F1477:G1477" si="4099">F1476</f>
        <v>marine water</v>
      </c>
      <c r="G1477" s="401" t="str">
        <f t="shared" si="4099"/>
        <v>DE: NR/SBR film 0,1-1 mm (emission to marine water)</v>
      </c>
      <c r="H1477" s="465">
        <v>0</v>
      </c>
      <c r="I1477" s="394" t="s">
        <v>1162</v>
      </c>
      <c r="J1477" s="635"/>
      <c r="K1477" s="389">
        <v>43.650000000000013</v>
      </c>
      <c r="L1477" s="536"/>
      <c r="M1477" s="509">
        <f t="shared" si="3888"/>
        <v>11.454753722794957</v>
      </c>
      <c r="N1477" s="646"/>
      <c r="O1477" s="626"/>
      <c r="P1477" s="629"/>
      <c r="Q1477" s="629"/>
    </row>
    <row r="1478" spans="1:17" ht="15.75" hidden="1" thickBot="1">
      <c r="A1478" s="390" t="str">
        <f t="shared" ref="A1478:B1478" si="4100">A1475</f>
        <v>NR/SBR</v>
      </c>
      <c r="B1478" s="391" t="str">
        <f t="shared" si="4100"/>
        <v>film</v>
      </c>
      <c r="C1478" s="391">
        <f t="shared" ref="C1478" si="4101">C1477</f>
        <v>2</v>
      </c>
      <c r="D1478" s="391" t="str">
        <f t="shared" ref="D1478:E1478" si="4102">D1475</f>
        <v>0,1-1</v>
      </c>
      <c r="E1478" s="391">
        <f t="shared" si="4102"/>
        <v>1</v>
      </c>
      <c r="F1478" s="391" t="str">
        <f t="shared" ref="F1478:G1478" si="4103">F1477</f>
        <v>marine water</v>
      </c>
      <c r="G1478" s="401" t="str">
        <f t="shared" si="4103"/>
        <v>DE: NR/SBR film 0,1-1 mm (emission to marine water)</v>
      </c>
      <c r="H1478" s="465">
        <v>1</v>
      </c>
      <c r="I1478" s="394" t="s">
        <v>1163</v>
      </c>
      <c r="J1478" s="635"/>
      <c r="K1478" s="389">
        <v>43.650000000000013</v>
      </c>
      <c r="L1478" s="536"/>
      <c r="M1478" s="509">
        <f t="shared" ref="M1478:M1541" si="4104">IFERROR(IF(K1478="--",0,IF(E1478*1000/K1478*(1-0.5)^(C1478/2)&gt;1000,1000,E1478*1000/K1478*(1-0.5)^(C1478/2))),1000)</f>
        <v>11.454753722794957</v>
      </c>
      <c r="N1478" s="646"/>
      <c r="O1478" s="626"/>
      <c r="P1478" s="629"/>
      <c r="Q1478" s="629"/>
    </row>
    <row r="1479" spans="1:17" ht="15.75" hidden="1" thickBot="1">
      <c r="A1479" s="390" t="str">
        <f t="shared" ref="A1479:B1479" si="4105">A1476</f>
        <v>NR/SBR</v>
      </c>
      <c r="B1479" s="391" t="str">
        <f t="shared" si="4105"/>
        <v>film</v>
      </c>
      <c r="C1479" s="391">
        <f t="shared" ref="C1479" si="4106">C1478</f>
        <v>2</v>
      </c>
      <c r="D1479" s="391" t="str">
        <f t="shared" ref="D1479:E1479" si="4107">D1476</f>
        <v>0,1-1</v>
      </c>
      <c r="E1479" s="391">
        <f t="shared" si="4107"/>
        <v>1</v>
      </c>
      <c r="F1479" s="391" t="str">
        <f t="shared" ref="F1479:G1479" si="4108">F1478</f>
        <v>marine water</v>
      </c>
      <c r="G1479" s="401" t="str">
        <f t="shared" si="4108"/>
        <v>DE: NR/SBR film 0,1-1 mm (emission to marine water)</v>
      </c>
      <c r="H1479" s="465">
        <v>0</v>
      </c>
      <c r="I1479" s="397" t="s">
        <v>1034</v>
      </c>
      <c r="J1479" s="654"/>
      <c r="K1479" s="398" t="s">
        <v>596</v>
      </c>
      <c r="L1479" s="538"/>
      <c r="M1479" s="509">
        <f t="shared" si="4104"/>
        <v>0</v>
      </c>
      <c r="N1479" s="647"/>
      <c r="O1479" s="627"/>
      <c r="P1479" s="629"/>
      <c r="Q1479" s="629"/>
    </row>
    <row r="1480" spans="1:17" ht="15.75" hidden="1" thickBot="1">
      <c r="A1480" s="390" t="str">
        <f t="shared" ref="A1480:B1480" si="4109">A1477</f>
        <v>NR/SBR</v>
      </c>
      <c r="B1480" s="391" t="str">
        <f t="shared" si="4109"/>
        <v>film</v>
      </c>
      <c r="C1480" s="391">
        <f t="shared" ref="C1480" si="4110">C1479</f>
        <v>2</v>
      </c>
      <c r="D1480" s="391" t="str">
        <f t="shared" ref="D1480:E1480" si="4111">D1477</f>
        <v>0,1-1</v>
      </c>
      <c r="E1480" s="391">
        <f t="shared" si="4111"/>
        <v>1</v>
      </c>
      <c r="F1480" s="400" t="s">
        <v>1057</v>
      </c>
      <c r="G1480" s="422" t="str">
        <f>CONCATENATE("DE: ",A1480," ",B1480," ",D1480," mm (emission to ",F1480,")")</f>
        <v>DE: NR/SBR film 0,1-1 mm (emission to air)</v>
      </c>
      <c r="H1480" s="467">
        <v>0.94799999999999995</v>
      </c>
      <c r="I1480" s="388" t="s">
        <v>1153</v>
      </c>
      <c r="J1480" s="634">
        <v>0.22800000000000001</v>
      </c>
      <c r="K1480" s="389">
        <v>43.650000000000013</v>
      </c>
      <c r="L1480" s="536"/>
      <c r="M1480" s="509">
        <f t="shared" si="4104"/>
        <v>11.454753722794957</v>
      </c>
      <c r="N1480" s="645">
        <f t="shared" ref="N1480" si="4112">IFERROR(H1480*M1480+H1481*M1481+H1482*M1482+H1483*M1483+H1484*M1484,"N.A.")</f>
        <v>11.454753722794957</v>
      </c>
      <c r="O1480" s="625"/>
      <c r="P1480" s="628">
        <f t="shared" si="3959"/>
        <v>11.454753722794957</v>
      </c>
      <c r="Q1480" s="628">
        <f t="shared" si="4071"/>
        <v>11.454753722794957</v>
      </c>
    </row>
    <row r="1481" spans="1:17" ht="15.75" hidden="1" thickBot="1">
      <c r="A1481" s="390" t="str">
        <f t="shared" ref="A1481:B1481" si="4113">A1478</f>
        <v>NR/SBR</v>
      </c>
      <c r="B1481" s="391" t="str">
        <f t="shared" si="4113"/>
        <v>film</v>
      </c>
      <c r="C1481" s="391">
        <f t="shared" ref="C1481" si="4114">C1480</f>
        <v>2</v>
      </c>
      <c r="D1481" s="391" t="str">
        <f t="shared" ref="D1481:E1481" si="4115">D1478</f>
        <v>0,1-1</v>
      </c>
      <c r="E1481" s="391">
        <f t="shared" si="4115"/>
        <v>1</v>
      </c>
      <c r="F1481" s="391" t="str">
        <f t="shared" ref="F1481:G1481" si="4116">F1480</f>
        <v>air</v>
      </c>
      <c r="G1481" s="401" t="str">
        <f t="shared" si="4116"/>
        <v>DE: NR/SBR film 0,1-1 mm (emission to air)</v>
      </c>
      <c r="H1481" s="465">
        <v>0</v>
      </c>
      <c r="I1481" s="394" t="s">
        <v>1097</v>
      </c>
      <c r="J1481" s="635"/>
      <c r="K1481" s="389">
        <v>43.650000000000013</v>
      </c>
      <c r="L1481" s="536"/>
      <c r="M1481" s="509">
        <f t="shared" si="4104"/>
        <v>11.454753722794957</v>
      </c>
      <c r="N1481" s="646"/>
      <c r="O1481" s="626"/>
      <c r="P1481" s="629"/>
      <c r="Q1481" s="629"/>
    </row>
    <row r="1482" spans="1:17" ht="15.75" hidden="1" thickBot="1">
      <c r="A1482" s="390" t="str">
        <f t="shared" ref="A1482:B1482" si="4117">A1479</f>
        <v>NR/SBR</v>
      </c>
      <c r="B1482" s="391" t="str">
        <f t="shared" si="4117"/>
        <v>film</v>
      </c>
      <c r="C1482" s="391">
        <f t="shared" ref="C1482" si="4118">C1481</f>
        <v>2</v>
      </c>
      <c r="D1482" s="391" t="str">
        <f t="shared" ref="D1482:E1482" si="4119">D1479</f>
        <v>0,1-1</v>
      </c>
      <c r="E1482" s="391">
        <f t="shared" si="4119"/>
        <v>1</v>
      </c>
      <c r="F1482" s="391" t="str">
        <f t="shared" ref="F1482:G1482" si="4120">F1481</f>
        <v>air</v>
      </c>
      <c r="G1482" s="401" t="str">
        <f t="shared" si="4120"/>
        <v>DE: NR/SBR film 0,1-1 mm (emission to air)</v>
      </c>
      <c r="H1482" s="465">
        <v>4.7E-2</v>
      </c>
      <c r="I1482" s="394" t="s">
        <v>1162</v>
      </c>
      <c r="J1482" s="635"/>
      <c r="K1482" s="389">
        <v>43.650000000000013</v>
      </c>
      <c r="L1482" s="536"/>
      <c r="M1482" s="509">
        <f t="shared" si="4104"/>
        <v>11.454753722794957</v>
      </c>
      <c r="N1482" s="646"/>
      <c r="O1482" s="626"/>
      <c r="P1482" s="629"/>
      <c r="Q1482" s="629"/>
    </row>
    <row r="1483" spans="1:17" ht="15.75" hidden="1" thickBot="1">
      <c r="A1483" s="390" t="str">
        <f t="shared" ref="A1483:B1483" si="4121">A1480</f>
        <v>NR/SBR</v>
      </c>
      <c r="B1483" s="391" t="str">
        <f t="shared" si="4121"/>
        <v>film</v>
      </c>
      <c r="C1483" s="391">
        <f t="shared" ref="C1483" si="4122">C1482</f>
        <v>2</v>
      </c>
      <c r="D1483" s="391" t="str">
        <f t="shared" ref="D1483:E1483" si="4123">D1480</f>
        <v>0,1-1</v>
      </c>
      <c r="E1483" s="391">
        <f t="shared" si="4123"/>
        <v>1</v>
      </c>
      <c r="F1483" s="391" t="str">
        <f t="shared" ref="F1483:G1483" si="4124">F1482</f>
        <v>air</v>
      </c>
      <c r="G1483" s="401" t="str">
        <f t="shared" si="4124"/>
        <v>DE: NR/SBR film 0,1-1 mm (emission to air)</v>
      </c>
      <c r="H1483" s="465">
        <v>5.0000000000000001E-3</v>
      </c>
      <c r="I1483" s="394" t="s">
        <v>1163</v>
      </c>
      <c r="J1483" s="635"/>
      <c r="K1483" s="389">
        <v>43.650000000000013</v>
      </c>
      <c r="L1483" s="536"/>
      <c r="M1483" s="509">
        <f t="shared" si="4104"/>
        <v>11.454753722794957</v>
      </c>
      <c r="N1483" s="646"/>
      <c r="O1483" s="626"/>
      <c r="P1483" s="629"/>
      <c r="Q1483" s="629"/>
    </row>
    <row r="1484" spans="1:17" ht="15.75" hidden="1" thickBot="1">
      <c r="A1484" s="404" t="str">
        <f t="shared" ref="A1484:B1484" si="4125">A1479</f>
        <v>NR/SBR</v>
      </c>
      <c r="B1484" s="402" t="str">
        <f t="shared" si="4125"/>
        <v>film</v>
      </c>
      <c r="C1484" s="391">
        <f t="shared" ref="C1484" si="4126">C1483</f>
        <v>2</v>
      </c>
      <c r="D1484" s="402" t="str">
        <f t="shared" ref="D1484:E1484" si="4127">D1479</f>
        <v>0,1-1</v>
      </c>
      <c r="E1484" s="402">
        <f t="shared" si="4127"/>
        <v>1</v>
      </c>
      <c r="F1484" s="391" t="str">
        <f t="shared" ref="F1484:G1484" si="4128">F1483</f>
        <v>air</v>
      </c>
      <c r="G1484" s="401" t="str">
        <f t="shared" si="4128"/>
        <v>DE: NR/SBR film 0,1-1 mm (emission to air)</v>
      </c>
      <c r="H1484" s="465">
        <v>0</v>
      </c>
      <c r="I1484" s="394" t="s">
        <v>1034</v>
      </c>
      <c r="J1484" s="636"/>
      <c r="K1484" s="398" t="s">
        <v>596</v>
      </c>
      <c r="L1484" s="538"/>
      <c r="M1484" s="509">
        <f t="shared" si="4104"/>
        <v>0</v>
      </c>
      <c r="N1484" s="647"/>
      <c r="O1484" s="627"/>
      <c r="P1484" s="629"/>
      <c r="Q1484" s="629"/>
    </row>
    <row r="1485" spans="1:17" ht="16.5" hidden="1" thickTop="1" thickBot="1">
      <c r="A1485" s="405" t="s">
        <v>191</v>
      </c>
      <c r="B1485" s="406" t="s">
        <v>996</v>
      </c>
      <c r="C1485" s="407">
        <f>IF(OR(B1485="Folie", B1485="Strips", B1485="Film",B1485="Flakes",B1485="Coupon"), 2,IF(OR(B1485="Fibers",B1485="Pellets"),4,IF(OR(B1485="Particles",B1485="Shreds",B1485="Powder",B1485="Fragments",B1485="Granules"),6,"")))</f>
        <v>2</v>
      </c>
      <c r="D1485" s="423" t="s">
        <v>1026</v>
      </c>
      <c r="E1485" s="408">
        <v>10</v>
      </c>
      <c r="F1485" s="424" t="s">
        <v>1019</v>
      </c>
      <c r="G1485" s="425" t="str">
        <f>CONCATENATE("DE: ",A1485," ",B1485," ",D1485," mm (emission to ",F1485,")")</f>
        <v>DE: NR/SBR film 1-10 mm (emission to soil)</v>
      </c>
      <c r="H1485" s="464">
        <v>0.97</v>
      </c>
      <c r="I1485" s="427" t="s">
        <v>1153</v>
      </c>
      <c r="J1485" s="632">
        <v>0.22800000000000001</v>
      </c>
      <c r="K1485" s="449">
        <v>43.650000000000013</v>
      </c>
      <c r="L1485" s="536"/>
      <c r="M1485" s="509">
        <f t="shared" si="4104"/>
        <v>114.54753722794956</v>
      </c>
      <c r="N1485" s="645">
        <f t="shared" ref="N1485" si="4129">IFERROR(H1485*M1485+H1486*M1486+H1487*M1487+H1488*M1488+H1489*M1489,"N.A.")</f>
        <v>114.54753722794956</v>
      </c>
      <c r="O1485" s="625"/>
      <c r="P1485" s="628">
        <f t="shared" si="3959"/>
        <v>100</v>
      </c>
      <c r="Q1485" s="628">
        <f t="shared" si="4071"/>
        <v>114.54753722794956</v>
      </c>
    </row>
    <row r="1486" spans="1:17" ht="15.75" hidden="1" thickBot="1">
      <c r="A1486" s="390" t="str">
        <f>A1485</f>
        <v>NR/SBR</v>
      </c>
      <c r="B1486" s="391" t="str">
        <f>B1485</f>
        <v>film</v>
      </c>
      <c r="C1486" s="391">
        <f t="shared" ref="C1486:G1486" si="4130">C1485</f>
        <v>2</v>
      </c>
      <c r="D1486" s="391" t="str">
        <f t="shared" si="4130"/>
        <v>1-10</v>
      </c>
      <c r="E1486" s="391">
        <f t="shared" si="4130"/>
        <v>10</v>
      </c>
      <c r="F1486" s="391" t="str">
        <f t="shared" si="4130"/>
        <v>soil</v>
      </c>
      <c r="G1486" s="392" t="str">
        <f t="shared" si="4130"/>
        <v>DE: NR/SBR film 1-10 mm (emission to soil)</v>
      </c>
      <c r="H1486" s="465">
        <v>0</v>
      </c>
      <c r="I1486" s="394" t="s">
        <v>1097</v>
      </c>
      <c r="J1486" s="632"/>
      <c r="K1486" s="395">
        <v>43.650000000000013</v>
      </c>
      <c r="L1486" s="537"/>
      <c r="M1486" s="509">
        <f t="shared" si="4104"/>
        <v>114.54753722794956</v>
      </c>
      <c r="N1486" s="646"/>
      <c r="O1486" s="626"/>
      <c r="P1486" s="629"/>
      <c r="Q1486" s="629"/>
    </row>
    <row r="1487" spans="1:17" ht="15.75" hidden="1" thickBot="1">
      <c r="A1487" s="390" t="str">
        <f t="shared" ref="A1487:G1487" si="4131">A1486</f>
        <v>NR/SBR</v>
      </c>
      <c r="B1487" s="391" t="str">
        <f t="shared" si="4131"/>
        <v>film</v>
      </c>
      <c r="C1487" s="391">
        <f t="shared" si="4131"/>
        <v>2</v>
      </c>
      <c r="D1487" s="391" t="str">
        <f t="shared" si="4131"/>
        <v>1-10</v>
      </c>
      <c r="E1487" s="391">
        <f t="shared" si="4131"/>
        <v>10</v>
      </c>
      <c r="F1487" s="391" t="str">
        <f t="shared" si="4131"/>
        <v>soil</v>
      </c>
      <c r="G1487" s="392" t="str">
        <f t="shared" si="4131"/>
        <v>DE: NR/SBR film 1-10 mm (emission to soil)</v>
      </c>
      <c r="H1487" s="465">
        <v>2.7E-2</v>
      </c>
      <c r="I1487" s="394" t="s">
        <v>1162</v>
      </c>
      <c r="J1487" s="632"/>
      <c r="K1487" s="395">
        <v>43.650000000000013</v>
      </c>
      <c r="L1487" s="537"/>
      <c r="M1487" s="509">
        <f t="shared" si="4104"/>
        <v>114.54753722794956</v>
      </c>
      <c r="N1487" s="646"/>
      <c r="O1487" s="626"/>
      <c r="P1487" s="629"/>
      <c r="Q1487" s="629"/>
    </row>
    <row r="1488" spans="1:17" ht="15.75" hidden="1" thickBot="1">
      <c r="A1488" s="390" t="str">
        <f t="shared" ref="A1488:G1488" si="4132">A1487</f>
        <v>NR/SBR</v>
      </c>
      <c r="B1488" s="391" t="str">
        <f t="shared" si="4132"/>
        <v>film</v>
      </c>
      <c r="C1488" s="391">
        <f t="shared" si="4132"/>
        <v>2</v>
      </c>
      <c r="D1488" s="391" t="str">
        <f t="shared" si="4132"/>
        <v>1-10</v>
      </c>
      <c r="E1488" s="391">
        <f t="shared" si="4132"/>
        <v>10</v>
      </c>
      <c r="F1488" s="391" t="str">
        <f t="shared" si="4132"/>
        <v>soil</v>
      </c>
      <c r="G1488" s="392" t="str">
        <f t="shared" si="4132"/>
        <v>DE: NR/SBR film 1-10 mm (emission to soil)</v>
      </c>
      <c r="H1488" s="465">
        <v>3.0000000000000001E-3</v>
      </c>
      <c r="I1488" s="394" t="s">
        <v>1163</v>
      </c>
      <c r="J1488" s="632"/>
      <c r="K1488" s="395">
        <v>43.650000000000013</v>
      </c>
      <c r="L1488" s="537"/>
      <c r="M1488" s="509">
        <f t="shared" si="4104"/>
        <v>114.54753722794956</v>
      </c>
      <c r="N1488" s="646"/>
      <c r="O1488" s="626"/>
      <c r="P1488" s="629"/>
      <c r="Q1488" s="629"/>
    </row>
    <row r="1489" spans="1:17" ht="15.75" hidden="1" thickBot="1">
      <c r="A1489" s="390" t="str">
        <f>A1486</f>
        <v>NR/SBR</v>
      </c>
      <c r="B1489" s="391" t="str">
        <f>B1486</f>
        <v>film</v>
      </c>
      <c r="C1489" s="391">
        <f t="shared" ref="C1489" si="4133">C1488</f>
        <v>2</v>
      </c>
      <c r="D1489" s="391" t="str">
        <f>D1486</f>
        <v>1-10</v>
      </c>
      <c r="E1489" s="391">
        <f>E1486</f>
        <v>10</v>
      </c>
      <c r="F1489" s="391" t="str">
        <f>F1486</f>
        <v>soil</v>
      </c>
      <c r="G1489" s="396" t="str">
        <f t="shared" ref="G1489" si="4134">G1488</f>
        <v>DE: NR/SBR film 1-10 mm (emission to soil)</v>
      </c>
      <c r="H1489" s="465">
        <v>0</v>
      </c>
      <c r="I1489" s="397" t="s">
        <v>1034</v>
      </c>
      <c r="J1489" s="633"/>
      <c r="K1489" s="398" t="s">
        <v>596</v>
      </c>
      <c r="L1489" s="538"/>
      <c r="M1489" s="509">
        <f t="shared" si="4104"/>
        <v>0</v>
      </c>
      <c r="N1489" s="647"/>
      <c r="O1489" s="627"/>
      <c r="P1489" s="629"/>
      <c r="Q1489" s="629"/>
    </row>
    <row r="1490" spans="1:17" ht="15.75" hidden="1" thickBot="1">
      <c r="A1490" s="390" t="str">
        <f t="shared" ref="A1490:B1490" si="4135">A1487</f>
        <v>NR/SBR</v>
      </c>
      <c r="B1490" s="391" t="str">
        <f t="shared" si="4135"/>
        <v>film</v>
      </c>
      <c r="C1490" s="391">
        <f t="shared" ref="C1490" si="4136">C1489</f>
        <v>2</v>
      </c>
      <c r="D1490" s="399" t="str">
        <f t="shared" ref="D1490:E1490" si="4137">D1487</f>
        <v>1-10</v>
      </c>
      <c r="E1490" s="391">
        <f t="shared" si="4137"/>
        <v>10</v>
      </c>
      <c r="F1490" s="400" t="s">
        <v>1147</v>
      </c>
      <c r="G1490" s="386" t="str">
        <f>CONCATENATE("DE: ",A1490," ",B1490," ",D1490," mm (emission to ",F1490,")")</f>
        <v>DE: NR/SBR film 1-10 mm (emission to fresh water)</v>
      </c>
      <c r="H1490" s="466">
        <v>0</v>
      </c>
      <c r="I1490" s="388" t="s">
        <v>1153</v>
      </c>
      <c r="J1490" s="634">
        <v>0.22800000000000001</v>
      </c>
      <c r="K1490" s="389">
        <v>43.650000000000013</v>
      </c>
      <c r="L1490" s="536"/>
      <c r="M1490" s="509">
        <f t="shared" si="4104"/>
        <v>114.54753722794956</v>
      </c>
      <c r="N1490" s="645">
        <f t="shared" ref="N1490" si="4138">IFERROR(H1490*M1490+H1491*M1491+H1492*M1492+H1493*M1493+H1494*M1494,"N.A.")</f>
        <v>114.54753722794956</v>
      </c>
      <c r="O1490" s="625"/>
      <c r="P1490" s="628">
        <f t="shared" si="3959"/>
        <v>100</v>
      </c>
      <c r="Q1490" s="628">
        <f t="shared" si="4071"/>
        <v>114.54753722794956</v>
      </c>
    </row>
    <row r="1491" spans="1:17" ht="15.75" hidden="1" thickBot="1">
      <c r="A1491" s="390" t="str">
        <f t="shared" ref="A1491:B1491" si="4139">A1488</f>
        <v>NR/SBR</v>
      </c>
      <c r="B1491" s="391" t="str">
        <f t="shared" si="4139"/>
        <v>film</v>
      </c>
      <c r="C1491" s="391">
        <f t="shared" ref="C1491" si="4140">C1490</f>
        <v>2</v>
      </c>
      <c r="D1491" s="391" t="str">
        <f t="shared" ref="D1491:E1491" si="4141">D1488</f>
        <v>1-10</v>
      </c>
      <c r="E1491" s="391">
        <f t="shared" si="4141"/>
        <v>10</v>
      </c>
      <c r="F1491" s="391" t="str">
        <f t="shared" ref="F1491:G1491" si="4142">F1490</f>
        <v>fresh water</v>
      </c>
      <c r="G1491" s="401" t="str">
        <f t="shared" si="4142"/>
        <v>DE: NR/SBR film 1-10 mm (emission to fresh water)</v>
      </c>
      <c r="H1491" s="465">
        <v>0</v>
      </c>
      <c r="I1491" s="394" t="s">
        <v>1097</v>
      </c>
      <c r="J1491" s="635"/>
      <c r="K1491" s="389">
        <v>43.650000000000013</v>
      </c>
      <c r="L1491" s="536"/>
      <c r="M1491" s="509">
        <f t="shared" si="4104"/>
        <v>114.54753722794956</v>
      </c>
      <c r="N1491" s="646"/>
      <c r="O1491" s="626"/>
      <c r="P1491" s="629"/>
      <c r="Q1491" s="629"/>
    </row>
    <row r="1492" spans="1:17" ht="15.75" hidden="1" thickBot="1">
      <c r="A1492" s="390" t="str">
        <f t="shared" ref="A1492:B1492" si="4143">A1489</f>
        <v>NR/SBR</v>
      </c>
      <c r="B1492" s="391" t="str">
        <f t="shared" si="4143"/>
        <v>film</v>
      </c>
      <c r="C1492" s="391">
        <f t="shared" ref="C1492" si="4144">C1491</f>
        <v>2</v>
      </c>
      <c r="D1492" s="391" t="str">
        <f t="shared" ref="D1492:E1492" si="4145">D1489</f>
        <v>1-10</v>
      </c>
      <c r="E1492" s="391">
        <f t="shared" si="4145"/>
        <v>10</v>
      </c>
      <c r="F1492" s="391" t="str">
        <f t="shared" ref="F1492:G1492" si="4146">F1491</f>
        <v>fresh water</v>
      </c>
      <c r="G1492" s="401" t="str">
        <f t="shared" si="4146"/>
        <v>DE: NR/SBR film 1-10 mm (emission to fresh water)</v>
      </c>
      <c r="H1492" s="465">
        <v>0.89</v>
      </c>
      <c r="I1492" s="394" t="s">
        <v>1162</v>
      </c>
      <c r="J1492" s="635"/>
      <c r="K1492" s="389">
        <v>43.650000000000013</v>
      </c>
      <c r="L1492" s="536"/>
      <c r="M1492" s="509">
        <f t="shared" si="4104"/>
        <v>114.54753722794956</v>
      </c>
      <c r="N1492" s="646"/>
      <c r="O1492" s="626"/>
      <c r="P1492" s="629"/>
      <c r="Q1492" s="629"/>
    </row>
    <row r="1493" spans="1:17" ht="15.75" hidden="1" thickBot="1">
      <c r="A1493" s="390" t="str">
        <f t="shared" ref="A1493:B1493" si="4147">A1490</f>
        <v>NR/SBR</v>
      </c>
      <c r="B1493" s="391" t="str">
        <f t="shared" si="4147"/>
        <v>film</v>
      </c>
      <c r="C1493" s="391">
        <f t="shared" ref="C1493" si="4148">C1492</f>
        <v>2</v>
      </c>
      <c r="D1493" s="391" t="str">
        <f t="shared" ref="D1493:E1493" si="4149">D1490</f>
        <v>1-10</v>
      </c>
      <c r="E1493" s="391">
        <f t="shared" si="4149"/>
        <v>10</v>
      </c>
      <c r="F1493" s="391" t="str">
        <f t="shared" ref="F1493:G1493" si="4150">F1492</f>
        <v>fresh water</v>
      </c>
      <c r="G1493" s="401" t="str">
        <f t="shared" si="4150"/>
        <v>DE: NR/SBR film 1-10 mm (emission to fresh water)</v>
      </c>
      <c r="H1493" s="465">
        <v>0.11</v>
      </c>
      <c r="I1493" s="394" t="s">
        <v>1163</v>
      </c>
      <c r="J1493" s="635"/>
      <c r="K1493" s="389">
        <v>43.650000000000013</v>
      </c>
      <c r="L1493" s="536"/>
      <c r="M1493" s="509">
        <f t="shared" si="4104"/>
        <v>114.54753722794956</v>
      </c>
      <c r="N1493" s="646"/>
      <c r="O1493" s="626"/>
      <c r="P1493" s="629"/>
      <c r="Q1493" s="629"/>
    </row>
    <row r="1494" spans="1:17" ht="15.75" hidden="1" thickBot="1">
      <c r="A1494" s="390" t="str">
        <f t="shared" ref="A1494:B1494" si="4151">A1491</f>
        <v>NR/SBR</v>
      </c>
      <c r="B1494" s="391" t="str">
        <f t="shared" si="4151"/>
        <v>film</v>
      </c>
      <c r="C1494" s="391">
        <f t="shared" ref="C1494" si="4152">C1493</f>
        <v>2</v>
      </c>
      <c r="D1494" s="391" t="str">
        <f t="shared" ref="D1494:E1494" si="4153">D1491</f>
        <v>1-10</v>
      </c>
      <c r="E1494" s="391">
        <f t="shared" si="4153"/>
        <v>10</v>
      </c>
      <c r="F1494" s="402" t="str">
        <f>F1491</f>
        <v>fresh water</v>
      </c>
      <c r="G1494" s="401" t="str">
        <f t="shared" ref="G1494" si="4154">G1493</f>
        <v>DE: NR/SBR film 1-10 mm (emission to fresh water)</v>
      </c>
      <c r="H1494" s="465">
        <v>0</v>
      </c>
      <c r="I1494" s="397" t="s">
        <v>1034</v>
      </c>
      <c r="J1494" s="654"/>
      <c r="K1494" s="398" t="s">
        <v>596</v>
      </c>
      <c r="L1494" s="538"/>
      <c r="M1494" s="509">
        <f t="shared" si="4104"/>
        <v>0</v>
      </c>
      <c r="N1494" s="647"/>
      <c r="O1494" s="627"/>
      <c r="P1494" s="629"/>
      <c r="Q1494" s="629"/>
    </row>
    <row r="1495" spans="1:17" ht="15.75" hidden="1" thickBot="1">
      <c r="A1495" s="390" t="str">
        <f t="shared" ref="A1495:B1495" si="4155">A1492</f>
        <v>NR/SBR</v>
      </c>
      <c r="B1495" s="391" t="str">
        <f t="shared" si="4155"/>
        <v>film</v>
      </c>
      <c r="C1495" s="391">
        <f t="shared" ref="C1495" si="4156">C1494</f>
        <v>2</v>
      </c>
      <c r="D1495" s="391" t="str">
        <f t="shared" ref="D1495:E1495" si="4157">D1492</f>
        <v>1-10</v>
      </c>
      <c r="E1495" s="391">
        <f t="shared" si="4157"/>
        <v>10</v>
      </c>
      <c r="F1495" s="385" t="s">
        <v>1097</v>
      </c>
      <c r="G1495" s="422" t="str">
        <f>CONCATENATE("DE: ",A1495," ",B1495," ",D1495," mm (emission to ",F1495,")")</f>
        <v>DE: NR/SBR film 1-10 mm (emission to marine water)</v>
      </c>
      <c r="H1495" s="467">
        <v>0</v>
      </c>
      <c r="I1495" s="388" t="s">
        <v>1153</v>
      </c>
      <c r="J1495" s="634">
        <v>0.22800000000000001</v>
      </c>
      <c r="K1495" s="389">
        <v>43.650000000000013</v>
      </c>
      <c r="L1495" s="536"/>
      <c r="M1495" s="509">
        <f t="shared" si="4104"/>
        <v>114.54753722794956</v>
      </c>
      <c r="N1495" s="645">
        <f t="shared" ref="N1495" si="4158">IFERROR(H1495*M1495+H1496*M1496+H1497*M1497+H1498*M1498+H1499*M1499,"N.A.")</f>
        <v>114.54753722794956</v>
      </c>
      <c r="O1495" s="625"/>
      <c r="P1495" s="628">
        <f t="shared" si="3959"/>
        <v>100</v>
      </c>
      <c r="Q1495" s="628">
        <f t="shared" si="4071"/>
        <v>114.54753722794956</v>
      </c>
    </row>
    <row r="1496" spans="1:17" ht="15.75" hidden="1" thickBot="1">
      <c r="A1496" s="390" t="str">
        <f t="shared" ref="A1496:B1496" si="4159">A1493</f>
        <v>NR/SBR</v>
      </c>
      <c r="B1496" s="391" t="str">
        <f t="shared" si="4159"/>
        <v>film</v>
      </c>
      <c r="C1496" s="391">
        <f t="shared" ref="C1496" si="4160">C1495</f>
        <v>2</v>
      </c>
      <c r="D1496" s="391" t="str">
        <f t="shared" ref="D1496:E1496" si="4161">D1493</f>
        <v>1-10</v>
      </c>
      <c r="E1496" s="391">
        <f t="shared" si="4161"/>
        <v>10</v>
      </c>
      <c r="F1496" s="391" t="str">
        <f t="shared" ref="F1496:G1496" si="4162">F1495</f>
        <v>marine water</v>
      </c>
      <c r="G1496" s="401" t="str">
        <f t="shared" si="4162"/>
        <v>DE: NR/SBR film 1-10 mm (emission to marine water)</v>
      </c>
      <c r="H1496" s="465">
        <v>0</v>
      </c>
      <c r="I1496" s="394" t="s">
        <v>1097</v>
      </c>
      <c r="J1496" s="635"/>
      <c r="K1496" s="389">
        <v>43.650000000000013</v>
      </c>
      <c r="L1496" s="536"/>
      <c r="M1496" s="509">
        <f t="shared" si="4104"/>
        <v>114.54753722794956</v>
      </c>
      <c r="N1496" s="646"/>
      <c r="O1496" s="626"/>
      <c r="P1496" s="629"/>
      <c r="Q1496" s="629"/>
    </row>
    <row r="1497" spans="1:17" ht="15.75" hidden="1" thickBot="1">
      <c r="A1497" s="390" t="str">
        <f t="shared" ref="A1497:B1497" si="4163">A1494</f>
        <v>NR/SBR</v>
      </c>
      <c r="B1497" s="391" t="str">
        <f t="shared" si="4163"/>
        <v>film</v>
      </c>
      <c r="C1497" s="391">
        <f t="shared" ref="C1497" si="4164">C1496</f>
        <v>2</v>
      </c>
      <c r="D1497" s="391" t="str">
        <f t="shared" ref="D1497:E1497" si="4165">D1494</f>
        <v>1-10</v>
      </c>
      <c r="E1497" s="391">
        <f t="shared" si="4165"/>
        <v>10</v>
      </c>
      <c r="F1497" s="391" t="str">
        <f t="shared" ref="F1497:G1497" si="4166">F1496</f>
        <v>marine water</v>
      </c>
      <c r="G1497" s="401" t="str">
        <f t="shared" si="4166"/>
        <v>DE: NR/SBR film 1-10 mm (emission to marine water)</v>
      </c>
      <c r="H1497" s="465">
        <v>0</v>
      </c>
      <c r="I1497" s="394" t="s">
        <v>1162</v>
      </c>
      <c r="J1497" s="635"/>
      <c r="K1497" s="389">
        <v>43.650000000000013</v>
      </c>
      <c r="L1497" s="536"/>
      <c r="M1497" s="509">
        <f t="shared" si="4104"/>
        <v>114.54753722794956</v>
      </c>
      <c r="N1497" s="646"/>
      <c r="O1497" s="626"/>
      <c r="P1497" s="629"/>
      <c r="Q1497" s="629"/>
    </row>
    <row r="1498" spans="1:17" ht="15.75" hidden="1" thickBot="1">
      <c r="A1498" s="390" t="str">
        <f t="shared" ref="A1498:B1498" si="4167">A1495</f>
        <v>NR/SBR</v>
      </c>
      <c r="B1498" s="391" t="str">
        <f t="shared" si="4167"/>
        <v>film</v>
      </c>
      <c r="C1498" s="391">
        <f t="shared" ref="C1498" si="4168">C1497</f>
        <v>2</v>
      </c>
      <c r="D1498" s="391" t="str">
        <f t="shared" ref="D1498:E1498" si="4169">D1495</f>
        <v>1-10</v>
      </c>
      <c r="E1498" s="391">
        <f t="shared" si="4169"/>
        <v>10</v>
      </c>
      <c r="F1498" s="391" t="str">
        <f t="shared" ref="F1498:G1498" si="4170">F1497</f>
        <v>marine water</v>
      </c>
      <c r="G1498" s="401" t="str">
        <f t="shared" si="4170"/>
        <v>DE: NR/SBR film 1-10 mm (emission to marine water)</v>
      </c>
      <c r="H1498" s="465">
        <v>1</v>
      </c>
      <c r="I1498" s="394" t="s">
        <v>1163</v>
      </c>
      <c r="J1498" s="635"/>
      <c r="K1498" s="389">
        <v>43.650000000000013</v>
      </c>
      <c r="L1498" s="536"/>
      <c r="M1498" s="509">
        <f t="shared" si="4104"/>
        <v>114.54753722794956</v>
      </c>
      <c r="N1498" s="646"/>
      <c r="O1498" s="626"/>
      <c r="P1498" s="629"/>
      <c r="Q1498" s="629"/>
    </row>
    <row r="1499" spans="1:17" ht="15.75" hidden="1" thickBot="1">
      <c r="A1499" s="390" t="str">
        <f t="shared" ref="A1499:B1499" si="4171">A1496</f>
        <v>NR/SBR</v>
      </c>
      <c r="B1499" s="391" t="str">
        <f t="shared" si="4171"/>
        <v>film</v>
      </c>
      <c r="C1499" s="391">
        <f t="shared" ref="C1499" si="4172">C1498</f>
        <v>2</v>
      </c>
      <c r="D1499" s="391" t="str">
        <f t="shared" ref="D1499:E1499" si="4173">D1496</f>
        <v>1-10</v>
      </c>
      <c r="E1499" s="391">
        <f t="shared" si="4173"/>
        <v>10</v>
      </c>
      <c r="F1499" s="391" t="str">
        <f t="shared" ref="F1499:G1499" si="4174">F1498</f>
        <v>marine water</v>
      </c>
      <c r="G1499" s="401" t="str">
        <f t="shared" si="4174"/>
        <v>DE: NR/SBR film 1-10 mm (emission to marine water)</v>
      </c>
      <c r="H1499" s="465">
        <v>0</v>
      </c>
      <c r="I1499" s="397" t="s">
        <v>1034</v>
      </c>
      <c r="J1499" s="654"/>
      <c r="K1499" s="398" t="s">
        <v>596</v>
      </c>
      <c r="L1499" s="538"/>
      <c r="M1499" s="509">
        <f t="shared" si="4104"/>
        <v>0</v>
      </c>
      <c r="N1499" s="647"/>
      <c r="O1499" s="627"/>
      <c r="P1499" s="629"/>
      <c r="Q1499" s="629"/>
    </row>
    <row r="1500" spans="1:17" ht="15.75" hidden="1" thickBot="1">
      <c r="A1500" s="390" t="str">
        <f t="shared" ref="A1500:B1500" si="4175">A1497</f>
        <v>NR/SBR</v>
      </c>
      <c r="B1500" s="391" t="str">
        <f t="shared" si="4175"/>
        <v>film</v>
      </c>
      <c r="C1500" s="391">
        <f t="shared" ref="C1500" si="4176">C1499</f>
        <v>2</v>
      </c>
      <c r="D1500" s="391" t="str">
        <f t="shared" ref="D1500:E1500" si="4177">D1497</f>
        <v>1-10</v>
      </c>
      <c r="E1500" s="391">
        <f t="shared" si="4177"/>
        <v>10</v>
      </c>
      <c r="F1500" s="400" t="s">
        <v>1057</v>
      </c>
      <c r="G1500" s="422" t="str">
        <f>CONCATENATE("DE: ",A1500," ",B1500," ",D1500," mm (emission to ",F1500,")")</f>
        <v>DE: NR/SBR film 1-10 mm (emission to air)</v>
      </c>
      <c r="H1500" s="467">
        <v>0.94799999999999995</v>
      </c>
      <c r="I1500" s="388" t="s">
        <v>1153</v>
      </c>
      <c r="J1500" s="634">
        <v>0.22800000000000001</v>
      </c>
      <c r="K1500" s="389">
        <v>43.650000000000013</v>
      </c>
      <c r="L1500" s="536"/>
      <c r="M1500" s="509">
        <f t="shared" si="4104"/>
        <v>114.54753722794956</v>
      </c>
      <c r="N1500" s="645">
        <f t="shared" ref="N1500" si="4178">IFERROR(H1500*M1500+H1501*M1501+H1502*M1502+H1503*M1503+H1504*M1504,"N.A.")</f>
        <v>114.54753722794955</v>
      </c>
      <c r="O1500" s="625"/>
      <c r="P1500" s="628">
        <f t="shared" ref="P1500:P1560" si="4179">IFERROR(IF(H1500*M1500+H1501*M1501+H1502*M1502+H1503*M1503+H1504*M1504&gt;100,100,H1500*M1500+H1501*M1501+H1502*M1502+H1503*M1503+H1504*M1504),"N.A.")</f>
        <v>100</v>
      </c>
      <c r="Q1500" s="628">
        <f t="shared" si="4071"/>
        <v>114.54753722794955</v>
      </c>
    </row>
    <row r="1501" spans="1:17" ht="15.75" hidden="1" thickBot="1">
      <c r="A1501" s="390" t="str">
        <f t="shared" ref="A1501:B1501" si="4180">A1498</f>
        <v>NR/SBR</v>
      </c>
      <c r="B1501" s="391" t="str">
        <f t="shared" si="4180"/>
        <v>film</v>
      </c>
      <c r="C1501" s="391">
        <f t="shared" ref="C1501" si="4181">C1500</f>
        <v>2</v>
      </c>
      <c r="D1501" s="391" t="str">
        <f t="shared" ref="D1501:E1501" si="4182">D1498</f>
        <v>1-10</v>
      </c>
      <c r="E1501" s="391">
        <f t="shared" si="4182"/>
        <v>10</v>
      </c>
      <c r="F1501" s="391" t="str">
        <f t="shared" ref="F1501:G1501" si="4183">F1500</f>
        <v>air</v>
      </c>
      <c r="G1501" s="401" t="str">
        <f t="shared" si="4183"/>
        <v>DE: NR/SBR film 1-10 mm (emission to air)</v>
      </c>
      <c r="H1501" s="465">
        <v>0</v>
      </c>
      <c r="I1501" s="394" t="s">
        <v>1097</v>
      </c>
      <c r="J1501" s="635"/>
      <c r="K1501" s="389">
        <v>43.650000000000013</v>
      </c>
      <c r="L1501" s="536"/>
      <c r="M1501" s="509">
        <f t="shared" si="4104"/>
        <v>114.54753722794956</v>
      </c>
      <c r="N1501" s="646"/>
      <c r="O1501" s="626"/>
      <c r="P1501" s="629"/>
      <c r="Q1501" s="629"/>
    </row>
    <row r="1502" spans="1:17" ht="15.75" hidden="1" thickBot="1">
      <c r="A1502" s="390" t="str">
        <f t="shared" ref="A1502:B1502" si="4184">A1499</f>
        <v>NR/SBR</v>
      </c>
      <c r="B1502" s="391" t="str">
        <f t="shared" si="4184"/>
        <v>film</v>
      </c>
      <c r="C1502" s="391">
        <f t="shared" ref="C1502" si="4185">C1501</f>
        <v>2</v>
      </c>
      <c r="D1502" s="391" t="str">
        <f t="shared" ref="D1502:E1502" si="4186">D1499</f>
        <v>1-10</v>
      </c>
      <c r="E1502" s="391">
        <f t="shared" si="4186"/>
        <v>10</v>
      </c>
      <c r="F1502" s="391" t="str">
        <f t="shared" ref="F1502:G1502" si="4187">F1501</f>
        <v>air</v>
      </c>
      <c r="G1502" s="401" t="str">
        <f t="shared" si="4187"/>
        <v>DE: NR/SBR film 1-10 mm (emission to air)</v>
      </c>
      <c r="H1502" s="465">
        <v>4.7E-2</v>
      </c>
      <c r="I1502" s="394" t="s">
        <v>1162</v>
      </c>
      <c r="J1502" s="635"/>
      <c r="K1502" s="389">
        <v>43.650000000000013</v>
      </c>
      <c r="L1502" s="536"/>
      <c r="M1502" s="509">
        <f t="shared" si="4104"/>
        <v>114.54753722794956</v>
      </c>
      <c r="N1502" s="646"/>
      <c r="O1502" s="626"/>
      <c r="P1502" s="629"/>
      <c r="Q1502" s="629"/>
    </row>
    <row r="1503" spans="1:17" ht="15.75" hidden="1" thickBot="1">
      <c r="A1503" s="390" t="str">
        <f t="shared" ref="A1503:B1503" si="4188">A1500</f>
        <v>NR/SBR</v>
      </c>
      <c r="B1503" s="391" t="str">
        <f t="shared" si="4188"/>
        <v>film</v>
      </c>
      <c r="C1503" s="391">
        <f t="shared" ref="C1503" si="4189">C1502</f>
        <v>2</v>
      </c>
      <c r="D1503" s="391" t="str">
        <f t="shared" ref="D1503:E1503" si="4190">D1500</f>
        <v>1-10</v>
      </c>
      <c r="E1503" s="391">
        <f t="shared" si="4190"/>
        <v>10</v>
      </c>
      <c r="F1503" s="391" t="str">
        <f t="shared" ref="F1503:G1503" si="4191">F1502</f>
        <v>air</v>
      </c>
      <c r="G1503" s="401" t="str">
        <f t="shared" si="4191"/>
        <v>DE: NR/SBR film 1-10 mm (emission to air)</v>
      </c>
      <c r="H1503" s="465">
        <v>5.0000000000000001E-3</v>
      </c>
      <c r="I1503" s="394" t="s">
        <v>1163</v>
      </c>
      <c r="J1503" s="635"/>
      <c r="K1503" s="389">
        <v>43.650000000000013</v>
      </c>
      <c r="L1503" s="536"/>
      <c r="M1503" s="509">
        <f t="shared" si="4104"/>
        <v>114.54753722794956</v>
      </c>
      <c r="N1503" s="646"/>
      <c r="O1503" s="626"/>
      <c r="P1503" s="629"/>
      <c r="Q1503" s="629"/>
    </row>
    <row r="1504" spans="1:17" ht="15.75" hidden="1" thickBot="1">
      <c r="A1504" s="404" t="str">
        <f t="shared" ref="A1504:B1504" si="4192">A1499</f>
        <v>NR/SBR</v>
      </c>
      <c r="B1504" s="402" t="str">
        <f t="shared" si="4192"/>
        <v>film</v>
      </c>
      <c r="C1504" s="391">
        <f t="shared" ref="C1504" si="4193">C1503</f>
        <v>2</v>
      </c>
      <c r="D1504" s="402" t="str">
        <f t="shared" ref="D1504:E1504" si="4194">D1499</f>
        <v>1-10</v>
      </c>
      <c r="E1504" s="402">
        <f t="shared" si="4194"/>
        <v>10</v>
      </c>
      <c r="F1504" s="391" t="str">
        <f t="shared" ref="F1504:G1504" si="4195">F1503</f>
        <v>air</v>
      </c>
      <c r="G1504" s="401" t="str">
        <f t="shared" si="4195"/>
        <v>DE: NR/SBR film 1-10 mm (emission to air)</v>
      </c>
      <c r="H1504" s="465">
        <v>0</v>
      </c>
      <c r="I1504" s="394" t="s">
        <v>1034</v>
      </c>
      <c r="J1504" s="636"/>
      <c r="K1504" s="398" t="s">
        <v>596</v>
      </c>
      <c r="L1504" s="538"/>
      <c r="M1504" s="509">
        <f t="shared" si="4104"/>
        <v>0</v>
      </c>
      <c r="N1504" s="647"/>
      <c r="O1504" s="627"/>
      <c r="P1504" s="629"/>
      <c r="Q1504" s="629"/>
    </row>
    <row r="1505" spans="1:17" ht="16.5" hidden="1" thickTop="1" thickBot="1">
      <c r="A1505" s="405" t="s">
        <v>191</v>
      </c>
      <c r="B1505" s="406" t="s">
        <v>1151</v>
      </c>
      <c r="C1505" s="407">
        <v>4</v>
      </c>
      <c r="D1505" s="423" t="s">
        <v>1018</v>
      </c>
      <c r="E1505" s="408">
        <v>0.1</v>
      </c>
      <c r="F1505" s="424" t="s">
        <v>1019</v>
      </c>
      <c r="G1505" s="425" t="str">
        <f>CONCATENATE("DE: ",A1505," ",B1505," ",D1505," mm (emission to ",F1505,")")</f>
        <v>DE: NR/SBR fiber 0,01-0,1 mm (emission to soil)</v>
      </c>
      <c r="H1505" s="464">
        <v>0.97</v>
      </c>
      <c r="I1505" s="427" t="s">
        <v>1153</v>
      </c>
      <c r="J1505" s="632">
        <v>0.22800000000000001</v>
      </c>
      <c r="K1505" s="449">
        <v>43.650000000000013</v>
      </c>
      <c r="L1505" s="536"/>
      <c r="M1505" s="509">
        <f t="shared" si="4104"/>
        <v>0.57273768613974785</v>
      </c>
      <c r="N1505" s="645">
        <f t="shared" ref="N1505" si="4196">IFERROR(H1505*M1505+H1506*M1506+H1507*M1507+H1508*M1508+H1509*M1509,"N.A.")</f>
        <v>0.57273768613974774</v>
      </c>
      <c r="O1505" s="625"/>
      <c r="P1505" s="628">
        <f t="shared" si="4179"/>
        <v>0.57273768613974774</v>
      </c>
      <c r="Q1505" s="628">
        <f t="shared" si="4071"/>
        <v>0.57273768613974774</v>
      </c>
    </row>
    <row r="1506" spans="1:17" ht="15.75" hidden="1" thickBot="1">
      <c r="A1506" s="390" t="str">
        <f>A1505</f>
        <v>NR/SBR</v>
      </c>
      <c r="B1506" s="391" t="str">
        <f>B1505</f>
        <v>fiber</v>
      </c>
      <c r="C1506" s="391">
        <f t="shared" ref="C1506:G1506" si="4197">C1505</f>
        <v>4</v>
      </c>
      <c r="D1506" s="391" t="str">
        <f t="shared" si="4197"/>
        <v>0,01-0,1</v>
      </c>
      <c r="E1506" s="391">
        <f t="shared" si="4197"/>
        <v>0.1</v>
      </c>
      <c r="F1506" s="391" t="str">
        <f t="shared" si="4197"/>
        <v>soil</v>
      </c>
      <c r="G1506" s="392" t="str">
        <f t="shared" si="4197"/>
        <v>DE: NR/SBR fiber 0,01-0,1 mm (emission to soil)</v>
      </c>
      <c r="H1506" s="465">
        <v>0</v>
      </c>
      <c r="I1506" s="394" t="s">
        <v>1097</v>
      </c>
      <c r="J1506" s="632"/>
      <c r="K1506" s="395">
        <v>43.650000000000013</v>
      </c>
      <c r="L1506" s="537"/>
      <c r="M1506" s="509">
        <f t="shared" si="4104"/>
        <v>0.57273768613974785</v>
      </c>
      <c r="N1506" s="646"/>
      <c r="O1506" s="626"/>
      <c r="P1506" s="629"/>
      <c r="Q1506" s="629"/>
    </row>
    <row r="1507" spans="1:17" ht="15.75" hidden="1" thickBot="1">
      <c r="A1507" s="390" t="str">
        <f t="shared" ref="A1507:G1507" si="4198">A1506</f>
        <v>NR/SBR</v>
      </c>
      <c r="B1507" s="391" t="str">
        <f t="shared" si="4198"/>
        <v>fiber</v>
      </c>
      <c r="C1507" s="391">
        <f t="shared" si="4198"/>
        <v>4</v>
      </c>
      <c r="D1507" s="391" t="str">
        <f t="shared" si="4198"/>
        <v>0,01-0,1</v>
      </c>
      <c r="E1507" s="391">
        <f t="shared" si="4198"/>
        <v>0.1</v>
      </c>
      <c r="F1507" s="391" t="str">
        <f t="shared" si="4198"/>
        <v>soil</v>
      </c>
      <c r="G1507" s="392" t="str">
        <f t="shared" si="4198"/>
        <v>DE: NR/SBR fiber 0,01-0,1 mm (emission to soil)</v>
      </c>
      <c r="H1507" s="465">
        <v>2.7E-2</v>
      </c>
      <c r="I1507" s="394" t="s">
        <v>1162</v>
      </c>
      <c r="J1507" s="632"/>
      <c r="K1507" s="395">
        <v>43.650000000000013</v>
      </c>
      <c r="L1507" s="537"/>
      <c r="M1507" s="509">
        <f t="shared" si="4104"/>
        <v>0.57273768613974785</v>
      </c>
      <c r="N1507" s="646"/>
      <c r="O1507" s="626"/>
      <c r="P1507" s="629"/>
      <c r="Q1507" s="629"/>
    </row>
    <row r="1508" spans="1:17" ht="15.75" hidden="1" thickBot="1">
      <c r="A1508" s="390" t="str">
        <f t="shared" ref="A1508:G1508" si="4199">A1507</f>
        <v>NR/SBR</v>
      </c>
      <c r="B1508" s="391" t="str">
        <f t="shared" si="4199"/>
        <v>fiber</v>
      </c>
      <c r="C1508" s="391">
        <f t="shared" si="4199"/>
        <v>4</v>
      </c>
      <c r="D1508" s="391" t="str">
        <f t="shared" si="4199"/>
        <v>0,01-0,1</v>
      </c>
      <c r="E1508" s="391">
        <f t="shared" si="4199"/>
        <v>0.1</v>
      </c>
      <c r="F1508" s="391" t="str">
        <f t="shared" si="4199"/>
        <v>soil</v>
      </c>
      <c r="G1508" s="392" t="str">
        <f t="shared" si="4199"/>
        <v>DE: NR/SBR fiber 0,01-0,1 mm (emission to soil)</v>
      </c>
      <c r="H1508" s="465">
        <v>3.0000000000000001E-3</v>
      </c>
      <c r="I1508" s="394" t="s">
        <v>1163</v>
      </c>
      <c r="J1508" s="632"/>
      <c r="K1508" s="395">
        <v>43.650000000000013</v>
      </c>
      <c r="L1508" s="537"/>
      <c r="M1508" s="509">
        <f t="shared" si="4104"/>
        <v>0.57273768613974785</v>
      </c>
      <c r="N1508" s="646"/>
      <c r="O1508" s="626"/>
      <c r="P1508" s="629"/>
      <c r="Q1508" s="629"/>
    </row>
    <row r="1509" spans="1:17" ht="15.75" hidden="1" thickBot="1">
      <c r="A1509" s="390" t="str">
        <f>A1506</f>
        <v>NR/SBR</v>
      </c>
      <c r="B1509" s="391" t="str">
        <f>B1506</f>
        <v>fiber</v>
      </c>
      <c r="C1509" s="391">
        <f t="shared" ref="C1509" si="4200">C1508</f>
        <v>4</v>
      </c>
      <c r="D1509" s="391" t="str">
        <f>D1506</f>
        <v>0,01-0,1</v>
      </c>
      <c r="E1509" s="391">
        <f>E1506</f>
        <v>0.1</v>
      </c>
      <c r="F1509" s="391" t="str">
        <f>F1506</f>
        <v>soil</v>
      </c>
      <c r="G1509" s="396" t="str">
        <f t="shared" ref="G1509" si="4201">G1508</f>
        <v>DE: NR/SBR fiber 0,01-0,1 mm (emission to soil)</v>
      </c>
      <c r="H1509" s="465">
        <v>0</v>
      </c>
      <c r="I1509" s="397" t="s">
        <v>1034</v>
      </c>
      <c r="J1509" s="633"/>
      <c r="K1509" s="398" t="s">
        <v>596</v>
      </c>
      <c r="L1509" s="538"/>
      <c r="M1509" s="509">
        <f t="shared" si="4104"/>
        <v>0</v>
      </c>
      <c r="N1509" s="647"/>
      <c r="O1509" s="627"/>
      <c r="P1509" s="629"/>
      <c r="Q1509" s="629"/>
    </row>
    <row r="1510" spans="1:17" ht="15.75" hidden="1" thickBot="1">
      <c r="A1510" s="390" t="str">
        <f t="shared" ref="A1510:B1510" si="4202">A1507</f>
        <v>NR/SBR</v>
      </c>
      <c r="B1510" s="391" t="str">
        <f t="shared" si="4202"/>
        <v>fiber</v>
      </c>
      <c r="C1510" s="391">
        <f t="shared" ref="C1510" si="4203">C1509</f>
        <v>4</v>
      </c>
      <c r="D1510" s="399" t="str">
        <f t="shared" ref="D1510:E1510" si="4204">D1507</f>
        <v>0,01-0,1</v>
      </c>
      <c r="E1510" s="391">
        <f t="shared" si="4204"/>
        <v>0.1</v>
      </c>
      <c r="F1510" s="400" t="s">
        <v>1147</v>
      </c>
      <c r="G1510" s="386" t="str">
        <f>CONCATENATE("DE: ",A1510," ",B1510," ",D1510," mm (emission to ",F1510,")")</f>
        <v>DE: NR/SBR fiber 0,01-0,1 mm (emission to fresh water)</v>
      </c>
      <c r="H1510" s="466">
        <v>0</v>
      </c>
      <c r="I1510" s="388" t="s">
        <v>1153</v>
      </c>
      <c r="J1510" s="634">
        <v>0.22800000000000001</v>
      </c>
      <c r="K1510" s="389">
        <v>43.650000000000013</v>
      </c>
      <c r="L1510" s="536"/>
      <c r="M1510" s="509">
        <f t="shared" si="4104"/>
        <v>0.57273768613974785</v>
      </c>
      <c r="N1510" s="645">
        <f t="shared" ref="N1510" si="4205">IFERROR(H1510*M1510+H1511*M1511+H1512*M1512+H1513*M1513+H1514*M1514,"N.A.")</f>
        <v>0.57273768613974785</v>
      </c>
      <c r="O1510" s="625"/>
      <c r="P1510" s="628">
        <f t="shared" si="4179"/>
        <v>0.57273768613974785</v>
      </c>
      <c r="Q1510" s="628">
        <f t="shared" si="4071"/>
        <v>0.57273768613974785</v>
      </c>
    </row>
    <row r="1511" spans="1:17" ht="15.75" hidden="1" thickBot="1">
      <c r="A1511" s="390" t="str">
        <f t="shared" ref="A1511:B1511" si="4206">A1508</f>
        <v>NR/SBR</v>
      </c>
      <c r="B1511" s="391" t="str">
        <f t="shared" si="4206"/>
        <v>fiber</v>
      </c>
      <c r="C1511" s="391">
        <f t="shared" ref="C1511" si="4207">C1510</f>
        <v>4</v>
      </c>
      <c r="D1511" s="391" t="str">
        <f t="shared" ref="D1511:E1511" si="4208">D1508</f>
        <v>0,01-0,1</v>
      </c>
      <c r="E1511" s="391">
        <f t="shared" si="4208"/>
        <v>0.1</v>
      </c>
      <c r="F1511" s="391" t="str">
        <f t="shared" ref="F1511:G1511" si="4209">F1510</f>
        <v>fresh water</v>
      </c>
      <c r="G1511" s="401" t="str">
        <f t="shared" si="4209"/>
        <v>DE: NR/SBR fiber 0,01-0,1 mm (emission to fresh water)</v>
      </c>
      <c r="H1511" s="465">
        <v>0</v>
      </c>
      <c r="I1511" s="394" t="s">
        <v>1097</v>
      </c>
      <c r="J1511" s="635"/>
      <c r="K1511" s="389">
        <v>43.650000000000013</v>
      </c>
      <c r="L1511" s="536"/>
      <c r="M1511" s="509">
        <f t="shared" si="4104"/>
        <v>0.57273768613974785</v>
      </c>
      <c r="N1511" s="646"/>
      <c r="O1511" s="626"/>
      <c r="P1511" s="629"/>
      <c r="Q1511" s="629"/>
    </row>
    <row r="1512" spans="1:17" ht="15.75" hidden="1" thickBot="1">
      <c r="A1512" s="390" t="str">
        <f t="shared" ref="A1512:B1512" si="4210">A1509</f>
        <v>NR/SBR</v>
      </c>
      <c r="B1512" s="391" t="str">
        <f t="shared" si="4210"/>
        <v>fiber</v>
      </c>
      <c r="C1512" s="391">
        <f t="shared" ref="C1512" si="4211">C1511</f>
        <v>4</v>
      </c>
      <c r="D1512" s="391" t="str">
        <f t="shared" ref="D1512:E1512" si="4212">D1509</f>
        <v>0,01-0,1</v>
      </c>
      <c r="E1512" s="391">
        <f t="shared" si="4212"/>
        <v>0.1</v>
      </c>
      <c r="F1512" s="391" t="str">
        <f t="shared" ref="F1512:G1512" si="4213">F1511</f>
        <v>fresh water</v>
      </c>
      <c r="G1512" s="401" t="str">
        <f t="shared" si="4213"/>
        <v>DE: NR/SBR fiber 0,01-0,1 mm (emission to fresh water)</v>
      </c>
      <c r="H1512" s="465">
        <v>0.89</v>
      </c>
      <c r="I1512" s="394" t="s">
        <v>1162</v>
      </c>
      <c r="J1512" s="635"/>
      <c r="K1512" s="389">
        <v>43.650000000000013</v>
      </c>
      <c r="L1512" s="536"/>
      <c r="M1512" s="509">
        <f t="shared" si="4104"/>
        <v>0.57273768613974785</v>
      </c>
      <c r="N1512" s="646"/>
      <c r="O1512" s="626"/>
      <c r="P1512" s="629"/>
      <c r="Q1512" s="629"/>
    </row>
    <row r="1513" spans="1:17" ht="15.75" hidden="1" thickBot="1">
      <c r="A1513" s="390" t="str">
        <f t="shared" ref="A1513:B1513" si="4214">A1510</f>
        <v>NR/SBR</v>
      </c>
      <c r="B1513" s="391" t="str">
        <f t="shared" si="4214"/>
        <v>fiber</v>
      </c>
      <c r="C1513" s="391">
        <f t="shared" ref="C1513" si="4215">C1512</f>
        <v>4</v>
      </c>
      <c r="D1513" s="391" t="str">
        <f t="shared" ref="D1513:E1513" si="4216">D1510</f>
        <v>0,01-0,1</v>
      </c>
      <c r="E1513" s="391">
        <f t="shared" si="4216"/>
        <v>0.1</v>
      </c>
      <c r="F1513" s="391" t="str">
        <f t="shared" ref="F1513:G1513" si="4217">F1512</f>
        <v>fresh water</v>
      </c>
      <c r="G1513" s="401" t="str">
        <f t="shared" si="4217"/>
        <v>DE: NR/SBR fiber 0,01-0,1 mm (emission to fresh water)</v>
      </c>
      <c r="H1513" s="465">
        <v>0.11</v>
      </c>
      <c r="I1513" s="394" t="s">
        <v>1163</v>
      </c>
      <c r="J1513" s="635"/>
      <c r="K1513" s="389">
        <v>43.650000000000013</v>
      </c>
      <c r="L1513" s="536"/>
      <c r="M1513" s="509">
        <f t="shared" si="4104"/>
        <v>0.57273768613974785</v>
      </c>
      <c r="N1513" s="646"/>
      <c r="O1513" s="626"/>
      <c r="P1513" s="629"/>
      <c r="Q1513" s="629"/>
    </row>
    <row r="1514" spans="1:17" ht="15.75" hidden="1" thickBot="1">
      <c r="A1514" s="390" t="str">
        <f t="shared" ref="A1514:B1514" si="4218">A1511</f>
        <v>NR/SBR</v>
      </c>
      <c r="B1514" s="391" t="str">
        <f t="shared" si="4218"/>
        <v>fiber</v>
      </c>
      <c r="C1514" s="391">
        <f t="shared" ref="C1514" si="4219">C1513</f>
        <v>4</v>
      </c>
      <c r="D1514" s="391" t="str">
        <f t="shared" ref="D1514:E1514" si="4220">D1511</f>
        <v>0,01-0,1</v>
      </c>
      <c r="E1514" s="391">
        <f t="shared" si="4220"/>
        <v>0.1</v>
      </c>
      <c r="F1514" s="402" t="str">
        <f>F1511</f>
        <v>fresh water</v>
      </c>
      <c r="G1514" s="401" t="str">
        <f t="shared" ref="G1514" si="4221">G1513</f>
        <v>DE: NR/SBR fiber 0,01-0,1 mm (emission to fresh water)</v>
      </c>
      <c r="H1514" s="465">
        <v>0</v>
      </c>
      <c r="I1514" s="397" t="s">
        <v>1034</v>
      </c>
      <c r="J1514" s="654"/>
      <c r="K1514" s="398" t="s">
        <v>596</v>
      </c>
      <c r="L1514" s="538"/>
      <c r="M1514" s="509">
        <f t="shared" si="4104"/>
        <v>0</v>
      </c>
      <c r="N1514" s="647"/>
      <c r="O1514" s="627"/>
      <c r="P1514" s="629"/>
      <c r="Q1514" s="629"/>
    </row>
    <row r="1515" spans="1:17" ht="15.75" hidden="1" thickBot="1">
      <c r="A1515" s="390" t="str">
        <f t="shared" ref="A1515:B1515" si="4222">A1512</f>
        <v>NR/SBR</v>
      </c>
      <c r="B1515" s="391" t="str">
        <f t="shared" si="4222"/>
        <v>fiber</v>
      </c>
      <c r="C1515" s="391">
        <f t="shared" ref="C1515" si="4223">C1514</f>
        <v>4</v>
      </c>
      <c r="D1515" s="391" t="str">
        <f t="shared" ref="D1515:E1515" si="4224">D1512</f>
        <v>0,01-0,1</v>
      </c>
      <c r="E1515" s="391">
        <f t="shared" si="4224"/>
        <v>0.1</v>
      </c>
      <c r="F1515" s="385" t="s">
        <v>1097</v>
      </c>
      <c r="G1515" s="422" t="str">
        <f>CONCATENATE("DE: ",A1515," ",B1515," ",D1515," mm (emission to ",F1515,")")</f>
        <v>DE: NR/SBR fiber 0,01-0,1 mm (emission to marine water)</v>
      </c>
      <c r="H1515" s="467">
        <v>0</v>
      </c>
      <c r="I1515" s="388" t="s">
        <v>1153</v>
      </c>
      <c r="J1515" s="634">
        <v>0.22800000000000001</v>
      </c>
      <c r="K1515" s="389">
        <v>43.650000000000013</v>
      </c>
      <c r="L1515" s="536"/>
      <c r="M1515" s="509">
        <f t="shared" si="4104"/>
        <v>0.57273768613974785</v>
      </c>
      <c r="N1515" s="645">
        <f t="shared" ref="N1515" si="4225">IFERROR(H1515*M1515+H1516*M1516+H1517*M1517+H1518*M1518+H1519*M1519,"N.A.")</f>
        <v>0.57273768613974785</v>
      </c>
      <c r="O1515" s="625"/>
      <c r="P1515" s="628">
        <f t="shared" si="4179"/>
        <v>0.57273768613974785</v>
      </c>
      <c r="Q1515" s="628">
        <f t="shared" si="4071"/>
        <v>0.57273768613974785</v>
      </c>
    </row>
    <row r="1516" spans="1:17" ht="15.75" hidden="1" thickBot="1">
      <c r="A1516" s="390" t="str">
        <f t="shared" ref="A1516:B1516" si="4226">A1513</f>
        <v>NR/SBR</v>
      </c>
      <c r="B1516" s="391" t="str">
        <f t="shared" si="4226"/>
        <v>fiber</v>
      </c>
      <c r="C1516" s="391">
        <f t="shared" ref="C1516" si="4227">C1515</f>
        <v>4</v>
      </c>
      <c r="D1516" s="391" t="str">
        <f t="shared" ref="D1516:E1516" si="4228">D1513</f>
        <v>0,01-0,1</v>
      </c>
      <c r="E1516" s="391">
        <f t="shared" si="4228"/>
        <v>0.1</v>
      </c>
      <c r="F1516" s="391" t="str">
        <f t="shared" ref="F1516:G1516" si="4229">F1515</f>
        <v>marine water</v>
      </c>
      <c r="G1516" s="401" t="str">
        <f t="shared" si="4229"/>
        <v>DE: NR/SBR fiber 0,01-0,1 mm (emission to marine water)</v>
      </c>
      <c r="H1516" s="465">
        <v>0</v>
      </c>
      <c r="I1516" s="394" t="s">
        <v>1097</v>
      </c>
      <c r="J1516" s="635"/>
      <c r="K1516" s="389">
        <v>43.650000000000013</v>
      </c>
      <c r="L1516" s="536"/>
      <c r="M1516" s="509">
        <f t="shared" si="4104"/>
        <v>0.57273768613974785</v>
      </c>
      <c r="N1516" s="646"/>
      <c r="O1516" s="626"/>
      <c r="P1516" s="629"/>
      <c r="Q1516" s="629"/>
    </row>
    <row r="1517" spans="1:17" ht="15.75" hidden="1" thickBot="1">
      <c r="A1517" s="390" t="str">
        <f t="shared" ref="A1517:B1517" si="4230">A1514</f>
        <v>NR/SBR</v>
      </c>
      <c r="B1517" s="391" t="str">
        <f t="shared" si="4230"/>
        <v>fiber</v>
      </c>
      <c r="C1517" s="391">
        <f t="shared" ref="C1517" si="4231">C1516</f>
        <v>4</v>
      </c>
      <c r="D1517" s="391" t="str">
        <f t="shared" ref="D1517:E1517" si="4232">D1514</f>
        <v>0,01-0,1</v>
      </c>
      <c r="E1517" s="391">
        <f t="shared" si="4232"/>
        <v>0.1</v>
      </c>
      <c r="F1517" s="391" t="str">
        <f t="shared" ref="F1517:G1517" si="4233">F1516</f>
        <v>marine water</v>
      </c>
      <c r="G1517" s="401" t="str">
        <f t="shared" si="4233"/>
        <v>DE: NR/SBR fiber 0,01-0,1 mm (emission to marine water)</v>
      </c>
      <c r="H1517" s="465">
        <v>0</v>
      </c>
      <c r="I1517" s="394" t="s">
        <v>1162</v>
      </c>
      <c r="J1517" s="635"/>
      <c r="K1517" s="389">
        <v>43.650000000000013</v>
      </c>
      <c r="L1517" s="536"/>
      <c r="M1517" s="509">
        <f t="shared" si="4104"/>
        <v>0.57273768613974785</v>
      </c>
      <c r="N1517" s="646"/>
      <c r="O1517" s="626"/>
      <c r="P1517" s="629"/>
      <c r="Q1517" s="629"/>
    </row>
    <row r="1518" spans="1:17" ht="15.75" hidden="1" thickBot="1">
      <c r="A1518" s="390" t="str">
        <f t="shared" ref="A1518:B1518" si="4234">A1515</f>
        <v>NR/SBR</v>
      </c>
      <c r="B1518" s="391" t="str">
        <f t="shared" si="4234"/>
        <v>fiber</v>
      </c>
      <c r="C1518" s="391">
        <f t="shared" ref="C1518" si="4235">C1517</f>
        <v>4</v>
      </c>
      <c r="D1518" s="391" t="str">
        <f t="shared" ref="D1518:E1518" si="4236">D1515</f>
        <v>0,01-0,1</v>
      </c>
      <c r="E1518" s="391">
        <f t="shared" si="4236"/>
        <v>0.1</v>
      </c>
      <c r="F1518" s="391" t="str">
        <f t="shared" ref="F1518:G1518" si="4237">F1517</f>
        <v>marine water</v>
      </c>
      <c r="G1518" s="401" t="str">
        <f t="shared" si="4237"/>
        <v>DE: NR/SBR fiber 0,01-0,1 mm (emission to marine water)</v>
      </c>
      <c r="H1518" s="465">
        <v>1</v>
      </c>
      <c r="I1518" s="394" t="s">
        <v>1163</v>
      </c>
      <c r="J1518" s="635"/>
      <c r="K1518" s="389">
        <v>43.650000000000013</v>
      </c>
      <c r="L1518" s="536"/>
      <c r="M1518" s="509">
        <f t="shared" si="4104"/>
        <v>0.57273768613974785</v>
      </c>
      <c r="N1518" s="646"/>
      <c r="O1518" s="626"/>
      <c r="P1518" s="629"/>
      <c r="Q1518" s="629"/>
    </row>
    <row r="1519" spans="1:17" ht="15.75" hidden="1" thickBot="1">
      <c r="A1519" s="390" t="str">
        <f t="shared" ref="A1519:B1519" si="4238">A1516</f>
        <v>NR/SBR</v>
      </c>
      <c r="B1519" s="391" t="str">
        <f t="shared" si="4238"/>
        <v>fiber</v>
      </c>
      <c r="C1519" s="391">
        <f t="shared" ref="C1519" si="4239">C1518</f>
        <v>4</v>
      </c>
      <c r="D1519" s="391" t="str">
        <f t="shared" ref="D1519:E1519" si="4240">D1516</f>
        <v>0,01-0,1</v>
      </c>
      <c r="E1519" s="391">
        <f t="shared" si="4240"/>
        <v>0.1</v>
      </c>
      <c r="F1519" s="391" t="str">
        <f t="shared" ref="F1519:G1519" si="4241">F1518</f>
        <v>marine water</v>
      </c>
      <c r="G1519" s="401" t="str">
        <f t="shared" si="4241"/>
        <v>DE: NR/SBR fiber 0,01-0,1 mm (emission to marine water)</v>
      </c>
      <c r="H1519" s="465">
        <v>0</v>
      </c>
      <c r="I1519" s="397" t="s">
        <v>1034</v>
      </c>
      <c r="J1519" s="654"/>
      <c r="K1519" s="398" t="s">
        <v>596</v>
      </c>
      <c r="L1519" s="538"/>
      <c r="M1519" s="509">
        <f t="shared" si="4104"/>
        <v>0</v>
      </c>
      <c r="N1519" s="647"/>
      <c r="O1519" s="627"/>
      <c r="P1519" s="629"/>
      <c r="Q1519" s="629"/>
    </row>
    <row r="1520" spans="1:17" ht="15.75" hidden="1" thickBot="1">
      <c r="A1520" s="390" t="str">
        <f t="shared" ref="A1520:B1520" si="4242">A1517</f>
        <v>NR/SBR</v>
      </c>
      <c r="B1520" s="391" t="str">
        <f t="shared" si="4242"/>
        <v>fiber</v>
      </c>
      <c r="C1520" s="391">
        <f t="shared" ref="C1520" si="4243">C1519</f>
        <v>4</v>
      </c>
      <c r="D1520" s="391" t="str">
        <f t="shared" ref="D1520:E1520" si="4244">D1517</f>
        <v>0,01-0,1</v>
      </c>
      <c r="E1520" s="391">
        <f t="shared" si="4244"/>
        <v>0.1</v>
      </c>
      <c r="F1520" s="400" t="s">
        <v>1057</v>
      </c>
      <c r="G1520" s="422" t="str">
        <f>CONCATENATE("DE: ",A1520," ",B1520," ",D1520," mm (emission to ",F1520,")")</f>
        <v>DE: NR/SBR fiber 0,01-0,1 mm (emission to air)</v>
      </c>
      <c r="H1520" s="467">
        <v>0.94799999999999995</v>
      </c>
      <c r="I1520" s="388" t="s">
        <v>1153</v>
      </c>
      <c r="J1520" s="634">
        <v>0.22800000000000001</v>
      </c>
      <c r="K1520" s="389">
        <v>43.650000000000013</v>
      </c>
      <c r="L1520" s="536"/>
      <c r="M1520" s="509">
        <f t="shared" si="4104"/>
        <v>0.57273768613974785</v>
      </c>
      <c r="N1520" s="645">
        <f t="shared" ref="N1520" si="4245">IFERROR(H1520*M1520+H1521*M1521+H1522*M1522+H1523*M1523+H1524*M1524,"N.A.")</f>
        <v>0.57273768613974785</v>
      </c>
      <c r="O1520" s="625"/>
      <c r="P1520" s="628">
        <f t="shared" si="4179"/>
        <v>0.57273768613974785</v>
      </c>
      <c r="Q1520" s="628">
        <f t="shared" si="4071"/>
        <v>0.57273768613974785</v>
      </c>
    </row>
    <row r="1521" spans="1:17" ht="15.75" hidden="1" thickBot="1">
      <c r="A1521" s="390" t="str">
        <f t="shared" ref="A1521:B1521" si="4246">A1518</f>
        <v>NR/SBR</v>
      </c>
      <c r="B1521" s="391" t="str">
        <f t="shared" si="4246"/>
        <v>fiber</v>
      </c>
      <c r="C1521" s="391">
        <f t="shared" ref="C1521" si="4247">C1520</f>
        <v>4</v>
      </c>
      <c r="D1521" s="391" t="str">
        <f t="shared" ref="D1521:E1521" si="4248">D1518</f>
        <v>0,01-0,1</v>
      </c>
      <c r="E1521" s="391">
        <f t="shared" si="4248"/>
        <v>0.1</v>
      </c>
      <c r="F1521" s="391" t="str">
        <f t="shared" ref="F1521:G1521" si="4249">F1520</f>
        <v>air</v>
      </c>
      <c r="G1521" s="401" t="str">
        <f t="shared" si="4249"/>
        <v>DE: NR/SBR fiber 0,01-0,1 mm (emission to air)</v>
      </c>
      <c r="H1521" s="465">
        <v>0</v>
      </c>
      <c r="I1521" s="394" t="s">
        <v>1097</v>
      </c>
      <c r="J1521" s="635"/>
      <c r="K1521" s="389">
        <v>43.650000000000013</v>
      </c>
      <c r="L1521" s="536"/>
      <c r="M1521" s="509">
        <f t="shared" si="4104"/>
        <v>0.57273768613974785</v>
      </c>
      <c r="N1521" s="646"/>
      <c r="O1521" s="626"/>
      <c r="P1521" s="629"/>
      <c r="Q1521" s="629"/>
    </row>
    <row r="1522" spans="1:17" ht="15.75" hidden="1" thickBot="1">
      <c r="A1522" s="390" t="str">
        <f t="shared" ref="A1522:B1522" si="4250">A1519</f>
        <v>NR/SBR</v>
      </c>
      <c r="B1522" s="391" t="str">
        <f t="shared" si="4250"/>
        <v>fiber</v>
      </c>
      <c r="C1522" s="391">
        <f t="shared" ref="C1522" si="4251">C1521</f>
        <v>4</v>
      </c>
      <c r="D1522" s="391" t="str">
        <f t="shared" ref="D1522:E1522" si="4252">D1519</f>
        <v>0,01-0,1</v>
      </c>
      <c r="E1522" s="391">
        <f t="shared" si="4252"/>
        <v>0.1</v>
      </c>
      <c r="F1522" s="391" t="str">
        <f t="shared" ref="F1522:G1522" si="4253">F1521</f>
        <v>air</v>
      </c>
      <c r="G1522" s="401" t="str">
        <f t="shared" si="4253"/>
        <v>DE: NR/SBR fiber 0,01-0,1 mm (emission to air)</v>
      </c>
      <c r="H1522" s="465">
        <v>4.7E-2</v>
      </c>
      <c r="I1522" s="394" t="s">
        <v>1162</v>
      </c>
      <c r="J1522" s="635"/>
      <c r="K1522" s="389">
        <v>43.650000000000013</v>
      </c>
      <c r="L1522" s="536"/>
      <c r="M1522" s="509">
        <f t="shared" si="4104"/>
        <v>0.57273768613974785</v>
      </c>
      <c r="N1522" s="646"/>
      <c r="O1522" s="626"/>
      <c r="P1522" s="629"/>
      <c r="Q1522" s="629"/>
    </row>
    <row r="1523" spans="1:17" ht="15.75" hidden="1" thickBot="1">
      <c r="A1523" s="390" t="str">
        <f t="shared" ref="A1523:B1523" si="4254">A1520</f>
        <v>NR/SBR</v>
      </c>
      <c r="B1523" s="391" t="str">
        <f t="shared" si="4254"/>
        <v>fiber</v>
      </c>
      <c r="C1523" s="391">
        <f t="shared" ref="C1523" si="4255">C1522</f>
        <v>4</v>
      </c>
      <c r="D1523" s="391" t="str">
        <f t="shared" ref="D1523:E1523" si="4256">D1520</f>
        <v>0,01-0,1</v>
      </c>
      <c r="E1523" s="391">
        <f t="shared" si="4256"/>
        <v>0.1</v>
      </c>
      <c r="F1523" s="391" t="str">
        <f t="shared" ref="F1523:G1523" si="4257">F1522</f>
        <v>air</v>
      </c>
      <c r="G1523" s="401" t="str">
        <f t="shared" si="4257"/>
        <v>DE: NR/SBR fiber 0,01-0,1 mm (emission to air)</v>
      </c>
      <c r="H1523" s="465">
        <v>5.0000000000000001E-3</v>
      </c>
      <c r="I1523" s="394" t="s">
        <v>1163</v>
      </c>
      <c r="J1523" s="635"/>
      <c r="K1523" s="389">
        <v>43.650000000000013</v>
      </c>
      <c r="L1523" s="536"/>
      <c r="M1523" s="509">
        <f t="shared" si="4104"/>
        <v>0.57273768613974785</v>
      </c>
      <c r="N1523" s="646"/>
      <c r="O1523" s="626"/>
      <c r="P1523" s="629"/>
      <c r="Q1523" s="629"/>
    </row>
    <row r="1524" spans="1:17" ht="15.75" hidden="1" thickBot="1">
      <c r="A1524" s="404" t="str">
        <f t="shared" ref="A1524:B1524" si="4258">A1519</f>
        <v>NR/SBR</v>
      </c>
      <c r="B1524" s="402" t="str">
        <f t="shared" si="4258"/>
        <v>fiber</v>
      </c>
      <c r="C1524" s="391">
        <f t="shared" ref="C1524" si="4259">C1523</f>
        <v>4</v>
      </c>
      <c r="D1524" s="402" t="str">
        <f t="shared" ref="D1524:E1524" si="4260">D1519</f>
        <v>0,01-0,1</v>
      </c>
      <c r="E1524" s="402">
        <f t="shared" si="4260"/>
        <v>0.1</v>
      </c>
      <c r="F1524" s="391" t="str">
        <f t="shared" ref="F1524:G1524" si="4261">F1523</f>
        <v>air</v>
      </c>
      <c r="G1524" s="401" t="str">
        <f t="shared" si="4261"/>
        <v>DE: NR/SBR fiber 0,01-0,1 mm (emission to air)</v>
      </c>
      <c r="H1524" s="465">
        <v>0</v>
      </c>
      <c r="I1524" s="394" t="s">
        <v>1034</v>
      </c>
      <c r="J1524" s="636"/>
      <c r="K1524" s="398" t="s">
        <v>596</v>
      </c>
      <c r="L1524" s="538"/>
      <c r="M1524" s="509">
        <f t="shared" si="4104"/>
        <v>0</v>
      </c>
      <c r="N1524" s="647"/>
      <c r="O1524" s="627"/>
      <c r="P1524" s="629"/>
      <c r="Q1524" s="629"/>
    </row>
    <row r="1525" spans="1:17" ht="16.5" hidden="1" thickTop="1" thickBot="1">
      <c r="A1525" s="405" t="s">
        <v>191</v>
      </c>
      <c r="B1525" s="406" t="s">
        <v>1151</v>
      </c>
      <c r="C1525" s="407">
        <v>4</v>
      </c>
      <c r="D1525" s="423" t="s">
        <v>1028</v>
      </c>
      <c r="E1525" s="408">
        <v>1</v>
      </c>
      <c r="F1525" s="424" t="s">
        <v>1019</v>
      </c>
      <c r="G1525" s="410" t="str">
        <f>CONCATENATE("DE: ",A1525," ",B1525," ",D1525," mm (emission to ",F1525,")")</f>
        <v>DE: NR/SBR fiber 0,1-1 mm (emission to soil)</v>
      </c>
      <c r="H1525" s="470">
        <v>0.97</v>
      </c>
      <c r="I1525" s="412" t="s">
        <v>1153</v>
      </c>
      <c r="J1525" s="632">
        <v>0.22800000000000001</v>
      </c>
      <c r="K1525" s="462">
        <v>43.650000000000013</v>
      </c>
      <c r="L1525" s="536"/>
      <c r="M1525" s="509">
        <f t="shared" si="4104"/>
        <v>5.7273768613974783</v>
      </c>
      <c r="N1525" s="645">
        <f t="shared" ref="N1525" si="4262">IFERROR(H1525*M1525+H1526*M1526+H1527*M1527+H1528*M1528+H1529*M1529,"N.A.")</f>
        <v>5.7273768613974783</v>
      </c>
      <c r="O1525" s="625"/>
      <c r="P1525" s="628">
        <f t="shared" si="4179"/>
        <v>5.7273768613974783</v>
      </c>
      <c r="Q1525" s="628">
        <f t="shared" si="4071"/>
        <v>5.7273768613974783</v>
      </c>
    </row>
    <row r="1526" spans="1:17" ht="15.75" hidden="1" thickBot="1">
      <c r="A1526" s="390" t="str">
        <f>A1525</f>
        <v>NR/SBR</v>
      </c>
      <c r="B1526" s="391" t="str">
        <f>B1525</f>
        <v>fiber</v>
      </c>
      <c r="C1526" s="391">
        <f t="shared" ref="C1526:G1526" si="4263">C1525</f>
        <v>4</v>
      </c>
      <c r="D1526" s="391" t="str">
        <f t="shared" si="4263"/>
        <v>0,1-1</v>
      </c>
      <c r="E1526" s="391">
        <f t="shared" si="4263"/>
        <v>1</v>
      </c>
      <c r="F1526" s="391" t="str">
        <f t="shared" si="4263"/>
        <v>soil</v>
      </c>
      <c r="G1526" s="415" t="str">
        <f t="shared" si="4263"/>
        <v>DE: NR/SBR fiber 0,1-1 mm (emission to soil)</v>
      </c>
      <c r="H1526" s="469">
        <v>0</v>
      </c>
      <c r="I1526" s="417" t="s">
        <v>1097</v>
      </c>
      <c r="J1526" s="632"/>
      <c r="K1526" s="418">
        <v>43.650000000000013</v>
      </c>
      <c r="L1526" s="537"/>
      <c r="M1526" s="509">
        <f t="shared" si="4104"/>
        <v>5.7273768613974783</v>
      </c>
      <c r="N1526" s="646"/>
      <c r="O1526" s="626"/>
      <c r="P1526" s="629"/>
      <c r="Q1526" s="629"/>
    </row>
    <row r="1527" spans="1:17" ht="15.75" hidden="1" thickBot="1">
      <c r="A1527" s="390" t="str">
        <f t="shared" ref="A1527:G1527" si="4264">A1526</f>
        <v>NR/SBR</v>
      </c>
      <c r="B1527" s="391" t="str">
        <f t="shared" si="4264"/>
        <v>fiber</v>
      </c>
      <c r="C1527" s="391">
        <f t="shared" si="4264"/>
        <v>4</v>
      </c>
      <c r="D1527" s="391" t="str">
        <f t="shared" si="4264"/>
        <v>0,1-1</v>
      </c>
      <c r="E1527" s="391">
        <f t="shared" si="4264"/>
        <v>1</v>
      </c>
      <c r="F1527" s="391" t="str">
        <f t="shared" si="4264"/>
        <v>soil</v>
      </c>
      <c r="G1527" s="415" t="str">
        <f t="shared" si="4264"/>
        <v>DE: NR/SBR fiber 0,1-1 mm (emission to soil)</v>
      </c>
      <c r="H1527" s="469">
        <v>2.7E-2</v>
      </c>
      <c r="I1527" s="417" t="s">
        <v>1162</v>
      </c>
      <c r="J1527" s="632"/>
      <c r="K1527" s="418">
        <v>43.650000000000013</v>
      </c>
      <c r="L1527" s="537"/>
      <c r="M1527" s="509">
        <f t="shared" si="4104"/>
        <v>5.7273768613974783</v>
      </c>
      <c r="N1527" s="646"/>
      <c r="O1527" s="626"/>
      <c r="P1527" s="629"/>
      <c r="Q1527" s="629"/>
    </row>
    <row r="1528" spans="1:17" ht="15.75" hidden="1" thickBot="1">
      <c r="A1528" s="390" t="str">
        <f t="shared" ref="A1528:G1528" si="4265">A1527</f>
        <v>NR/SBR</v>
      </c>
      <c r="B1528" s="391" t="str">
        <f t="shared" si="4265"/>
        <v>fiber</v>
      </c>
      <c r="C1528" s="391">
        <f t="shared" si="4265"/>
        <v>4</v>
      </c>
      <c r="D1528" s="391" t="str">
        <f t="shared" si="4265"/>
        <v>0,1-1</v>
      </c>
      <c r="E1528" s="391">
        <f t="shared" si="4265"/>
        <v>1</v>
      </c>
      <c r="F1528" s="391" t="str">
        <f t="shared" si="4265"/>
        <v>soil</v>
      </c>
      <c r="G1528" s="415" t="str">
        <f t="shared" si="4265"/>
        <v>DE: NR/SBR fiber 0,1-1 mm (emission to soil)</v>
      </c>
      <c r="H1528" s="469">
        <v>3.0000000000000001E-3</v>
      </c>
      <c r="I1528" s="417" t="s">
        <v>1163</v>
      </c>
      <c r="J1528" s="632"/>
      <c r="K1528" s="418">
        <v>43.650000000000013</v>
      </c>
      <c r="L1528" s="537"/>
      <c r="M1528" s="509">
        <f t="shared" si="4104"/>
        <v>5.7273768613974783</v>
      </c>
      <c r="N1528" s="646"/>
      <c r="O1528" s="626"/>
      <c r="P1528" s="629"/>
      <c r="Q1528" s="629"/>
    </row>
    <row r="1529" spans="1:17" ht="15.75" hidden="1" thickBot="1">
      <c r="A1529" s="390" t="str">
        <f>A1526</f>
        <v>NR/SBR</v>
      </c>
      <c r="B1529" s="391" t="str">
        <f>B1526</f>
        <v>fiber</v>
      </c>
      <c r="C1529" s="391">
        <f t="shared" ref="C1529" si="4266">C1528</f>
        <v>4</v>
      </c>
      <c r="D1529" s="391" t="str">
        <f>D1526</f>
        <v>0,1-1</v>
      </c>
      <c r="E1529" s="391">
        <f>E1526</f>
        <v>1</v>
      </c>
      <c r="F1529" s="391" t="str">
        <f>F1526</f>
        <v>soil</v>
      </c>
      <c r="G1529" s="419" t="str">
        <f t="shared" ref="G1529" si="4267">G1528</f>
        <v>DE: NR/SBR fiber 0,1-1 mm (emission to soil)</v>
      </c>
      <c r="H1529" s="469">
        <v>0</v>
      </c>
      <c r="I1529" s="420" t="s">
        <v>1034</v>
      </c>
      <c r="J1529" s="633"/>
      <c r="K1529" s="421" t="s">
        <v>596</v>
      </c>
      <c r="L1529" s="538"/>
      <c r="M1529" s="509">
        <f t="shared" si="4104"/>
        <v>0</v>
      </c>
      <c r="N1529" s="647"/>
      <c r="O1529" s="627"/>
      <c r="P1529" s="629"/>
      <c r="Q1529" s="629"/>
    </row>
    <row r="1530" spans="1:17" ht="15.75" hidden="1" thickBot="1">
      <c r="A1530" s="390" t="str">
        <f t="shared" ref="A1530:B1530" si="4268">A1527</f>
        <v>NR/SBR</v>
      </c>
      <c r="B1530" s="391" t="str">
        <f t="shared" si="4268"/>
        <v>fiber</v>
      </c>
      <c r="C1530" s="391">
        <f t="shared" ref="C1530" si="4269">C1529</f>
        <v>4</v>
      </c>
      <c r="D1530" s="399" t="str">
        <f t="shared" ref="D1530:E1530" si="4270">D1527</f>
        <v>0,1-1</v>
      </c>
      <c r="E1530" s="391">
        <f t="shared" si="4270"/>
        <v>1</v>
      </c>
      <c r="F1530" s="400" t="s">
        <v>1147</v>
      </c>
      <c r="G1530" s="386" t="str">
        <f>CONCATENATE("DE: ",A1530," ",B1530," ",D1530," mm (emission to ",F1530,")")</f>
        <v>DE: NR/SBR fiber 0,1-1 mm (emission to fresh water)</v>
      </c>
      <c r="H1530" s="466">
        <v>0</v>
      </c>
      <c r="I1530" s="388" t="s">
        <v>1153</v>
      </c>
      <c r="J1530" s="634">
        <v>0.22800000000000001</v>
      </c>
      <c r="K1530" s="389">
        <v>43.650000000000013</v>
      </c>
      <c r="L1530" s="536"/>
      <c r="M1530" s="509">
        <f t="shared" si="4104"/>
        <v>5.7273768613974783</v>
      </c>
      <c r="N1530" s="645">
        <f t="shared" ref="N1530" si="4271">IFERROR(H1530*M1530+H1531*M1531+H1532*M1532+H1533*M1533+H1534*M1534,"N.A.")</f>
        <v>5.7273768613974783</v>
      </c>
      <c r="O1530" s="625"/>
      <c r="P1530" s="628">
        <f t="shared" si="4179"/>
        <v>5.7273768613974783</v>
      </c>
      <c r="Q1530" s="628">
        <f t="shared" si="4071"/>
        <v>5.7273768613974783</v>
      </c>
    </row>
    <row r="1531" spans="1:17" ht="15.75" hidden="1" thickBot="1">
      <c r="A1531" s="390" t="str">
        <f t="shared" ref="A1531:B1531" si="4272">A1528</f>
        <v>NR/SBR</v>
      </c>
      <c r="B1531" s="391" t="str">
        <f t="shared" si="4272"/>
        <v>fiber</v>
      </c>
      <c r="C1531" s="391">
        <f t="shared" ref="C1531" si="4273">C1530</f>
        <v>4</v>
      </c>
      <c r="D1531" s="391" t="str">
        <f t="shared" ref="D1531:E1531" si="4274">D1528</f>
        <v>0,1-1</v>
      </c>
      <c r="E1531" s="391">
        <f t="shared" si="4274"/>
        <v>1</v>
      </c>
      <c r="F1531" s="391" t="str">
        <f t="shared" ref="F1531:G1531" si="4275">F1530</f>
        <v>fresh water</v>
      </c>
      <c r="G1531" s="401" t="str">
        <f t="shared" si="4275"/>
        <v>DE: NR/SBR fiber 0,1-1 mm (emission to fresh water)</v>
      </c>
      <c r="H1531" s="465">
        <v>0</v>
      </c>
      <c r="I1531" s="394" t="s">
        <v>1097</v>
      </c>
      <c r="J1531" s="635"/>
      <c r="K1531" s="389">
        <v>43.650000000000013</v>
      </c>
      <c r="L1531" s="536"/>
      <c r="M1531" s="509">
        <f t="shared" si="4104"/>
        <v>5.7273768613974783</v>
      </c>
      <c r="N1531" s="646"/>
      <c r="O1531" s="626"/>
      <c r="P1531" s="629"/>
      <c r="Q1531" s="629"/>
    </row>
    <row r="1532" spans="1:17" ht="15.75" hidden="1" thickBot="1">
      <c r="A1532" s="390" t="str">
        <f t="shared" ref="A1532:B1532" si="4276">A1529</f>
        <v>NR/SBR</v>
      </c>
      <c r="B1532" s="391" t="str">
        <f t="shared" si="4276"/>
        <v>fiber</v>
      </c>
      <c r="C1532" s="391">
        <f t="shared" ref="C1532" si="4277">C1531</f>
        <v>4</v>
      </c>
      <c r="D1532" s="391" t="str">
        <f t="shared" ref="D1532:E1532" si="4278">D1529</f>
        <v>0,1-1</v>
      </c>
      <c r="E1532" s="391">
        <f t="shared" si="4278"/>
        <v>1</v>
      </c>
      <c r="F1532" s="391" t="str">
        <f t="shared" ref="F1532:G1532" si="4279">F1531</f>
        <v>fresh water</v>
      </c>
      <c r="G1532" s="401" t="str">
        <f t="shared" si="4279"/>
        <v>DE: NR/SBR fiber 0,1-1 mm (emission to fresh water)</v>
      </c>
      <c r="H1532" s="465">
        <v>0.89</v>
      </c>
      <c r="I1532" s="394" t="s">
        <v>1162</v>
      </c>
      <c r="J1532" s="635"/>
      <c r="K1532" s="389">
        <v>43.650000000000013</v>
      </c>
      <c r="L1532" s="536"/>
      <c r="M1532" s="509">
        <f t="shared" si="4104"/>
        <v>5.7273768613974783</v>
      </c>
      <c r="N1532" s="646"/>
      <c r="O1532" s="626"/>
      <c r="P1532" s="629"/>
      <c r="Q1532" s="629"/>
    </row>
    <row r="1533" spans="1:17" ht="15.75" hidden="1" thickBot="1">
      <c r="A1533" s="390" t="str">
        <f t="shared" ref="A1533:B1533" si="4280">A1530</f>
        <v>NR/SBR</v>
      </c>
      <c r="B1533" s="391" t="str">
        <f t="shared" si="4280"/>
        <v>fiber</v>
      </c>
      <c r="C1533" s="391">
        <f t="shared" ref="C1533" si="4281">C1532</f>
        <v>4</v>
      </c>
      <c r="D1533" s="391" t="str">
        <f t="shared" ref="D1533:E1533" si="4282">D1530</f>
        <v>0,1-1</v>
      </c>
      <c r="E1533" s="391">
        <f t="shared" si="4282"/>
        <v>1</v>
      </c>
      <c r="F1533" s="391" t="str">
        <f t="shared" ref="F1533:G1533" si="4283">F1532</f>
        <v>fresh water</v>
      </c>
      <c r="G1533" s="401" t="str">
        <f t="shared" si="4283"/>
        <v>DE: NR/SBR fiber 0,1-1 mm (emission to fresh water)</v>
      </c>
      <c r="H1533" s="465">
        <v>0.11</v>
      </c>
      <c r="I1533" s="394" t="s">
        <v>1163</v>
      </c>
      <c r="J1533" s="635"/>
      <c r="K1533" s="389">
        <v>43.650000000000013</v>
      </c>
      <c r="L1533" s="536"/>
      <c r="M1533" s="509">
        <f t="shared" si="4104"/>
        <v>5.7273768613974783</v>
      </c>
      <c r="N1533" s="646"/>
      <c r="O1533" s="626"/>
      <c r="P1533" s="629"/>
      <c r="Q1533" s="629"/>
    </row>
    <row r="1534" spans="1:17" ht="15.75" hidden="1" thickBot="1">
      <c r="A1534" s="390" t="str">
        <f t="shared" ref="A1534:B1534" si="4284">A1531</f>
        <v>NR/SBR</v>
      </c>
      <c r="B1534" s="391" t="str">
        <f t="shared" si="4284"/>
        <v>fiber</v>
      </c>
      <c r="C1534" s="391">
        <f t="shared" ref="C1534" si="4285">C1533</f>
        <v>4</v>
      </c>
      <c r="D1534" s="391" t="str">
        <f t="shared" ref="D1534:E1534" si="4286">D1531</f>
        <v>0,1-1</v>
      </c>
      <c r="E1534" s="391">
        <f t="shared" si="4286"/>
        <v>1</v>
      </c>
      <c r="F1534" s="402" t="str">
        <f>F1531</f>
        <v>fresh water</v>
      </c>
      <c r="G1534" s="401" t="str">
        <f t="shared" ref="G1534" si="4287">G1533</f>
        <v>DE: NR/SBR fiber 0,1-1 mm (emission to fresh water)</v>
      </c>
      <c r="H1534" s="465">
        <v>0</v>
      </c>
      <c r="I1534" s="397" t="s">
        <v>1034</v>
      </c>
      <c r="J1534" s="654"/>
      <c r="K1534" s="398" t="s">
        <v>596</v>
      </c>
      <c r="L1534" s="538"/>
      <c r="M1534" s="509">
        <f t="shared" si="4104"/>
        <v>0</v>
      </c>
      <c r="N1534" s="647"/>
      <c r="O1534" s="627"/>
      <c r="P1534" s="629"/>
      <c r="Q1534" s="629"/>
    </row>
    <row r="1535" spans="1:17" ht="15.75" hidden="1" thickBot="1">
      <c r="A1535" s="390" t="str">
        <f t="shared" ref="A1535:B1535" si="4288">A1532</f>
        <v>NR/SBR</v>
      </c>
      <c r="B1535" s="391" t="str">
        <f t="shared" si="4288"/>
        <v>fiber</v>
      </c>
      <c r="C1535" s="391">
        <f t="shared" ref="C1535" si="4289">C1534</f>
        <v>4</v>
      </c>
      <c r="D1535" s="391" t="str">
        <f t="shared" ref="D1535:E1535" si="4290">D1532</f>
        <v>0,1-1</v>
      </c>
      <c r="E1535" s="391">
        <f t="shared" si="4290"/>
        <v>1</v>
      </c>
      <c r="F1535" s="385" t="s">
        <v>1097</v>
      </c>
      <c r="G1535" s="422" t="str">
        <f>CONCATENATE("DE: ",A1535," ",B1535," ",D1535," mm (emission to ",F1535,")")</f>
        <v>DE: NR/SBR fiber 0,1-1 mm (emission to marine water)</v>
      </c>
      <c r="H1535" s="467">
        <v>0</v>
      </c>
      <c r="I1535" s="388" t="s">
        <v>1153</v>
      </c>
      <c r="J1535" s="634">
        <v>0.22800000000000001</v>
      </c>
      <c r="K1535" s="389">
        <v>43.650000000000013</v>
      </c>
      <c r="L1535" s="536"/>
      <c r="M1535" s="509">
        <f t="shared" si="4104"/>
        <v>5.7273768613974783</v>
      </c>
      <c r="N1535" s="645">
        <f t="shared" ref="N1535" si="4291">IFERROR(H1535*M1535+H1536*M1536+H1537*M1537+H1538*M1538+H1539*M1539,"N.A.")</f>
        <v>5.7273768613974783</v>
      </c>
      <c r="O1535" s="625"/>
      <c r="P1535" s="628">
        <f t="shared" si="4179"/>
        <v>5.7273768613974783</v>
      </c>
      <c r="Q1535" s="628">
        <f t="shared" ref="Q1535:Q1595" si="4292">IFERROR(IF(H1535*M1535+H1536*M1536+H1537*M1537+H1538*M1538+H1539*M1539&gt;500,500,H1535*M1535+H1536*M1536+H1537*M1537+H1538*M1538+H1539*M1539),"N.A.")</f>
        <v>5.7273768613974783</v>
      </c>
    </row>
    <row r="1536" spans="1:17" ht="15.75" hidden="1" thickBot="1">
      <c r="A1536" s="390" t="str">
        <f t="shared" ref="A1536:B1536" si="4293">A1533</f>
        <v>NR/SBR</v>
      </c>
      <c r="B1536" s="391" t="str">
        <f t="shared" si="4293"/>
        <v>fiber</v>
      </c>
      <c r="C1536" s="391">
        <f t="shared" ref="C1536" si="4294">C1535</f>
        <v>4</v>
      </c>
      <c r="D1536" s="391" t="str">
        <f t="shared" ref="D1536:E1536" si="4295">D1533</f>
        <v>0,1-1</v>
      </c>
      <c r="E1536" s="391">
        <f t="shared" si="4295"/>
        <v>1</v>
      </c>
      <c r="F1536" s="391" t="str">
        <f t="shared" ref="F1536:G1536" si="4296">F1535</f>
        <v>marine water</v>
      </c>
      <c r="G1536" s="401" t="str">
        <f t="shared" si="4296"/>
        <v>DE: NR/SBR fiber 0,1-1 mm (emission to marine water)</v>
      </c>
      <c r="H1536" s="465">
        <v>0</v>
      </c>
      <c r="I1536" s="394" t="s">
        <v>1097</v>
      </c>
      <c r="J1536" s="635"/>
      <c r="K1536" s="389">
        <v>43.650000000000013</v>
      </c>
      <c r="L1536" s="536"/>
      <c r="M1536" s="509">
        <f t="shared" si="4104"/>
        <v>5.7273768613974783</v>
      </c>
      <c r="N1536" s="646"/>
      <c r="O1536" s="626"/>
      <c r="P1536" s="629"/>
      <c r="Q1536" s="629"/>
    </row>
    <row r="1537" spans="1:17" ht="15.75" hidden="1" thickBot="1">
      <c r="A1537" s="390" t="str">
        <f t="shared" ref="A1537:B1537" si="4297">A1534</f>
        <v>NR/SBR</v>
      </c>
      <c r="B1537" s="391" t="str">
        <f t="shared" si="4297"/>
        <v>fiber</v>
      </c>
      <c r="C1537" s="391">
        <f t="shared" ref="C1537" si="4298">C1536</f>
        <v>4</v>
      </c>
      <c r="D1537" s="391" t="str">
        <f t="shared" ref="D1537:E1537" si="4299">D1534</f>
        <v>0,1-1</v>
      </c>
      <c r="E1537" s="391">
        <f t="shared" si="4299"/>
        <v>1</v>
      </c>
      <c r="F1537" s="391" t="str">
        <f t="shared" ref="F1537:G1537" si="4300">F1536</f>
        <v>marine water</v>
      </c>
      <c r="G1537" s="401" t="str">
        <f t="shared" si="4300"/>
        <v>DE: NR/SBR fiber 0,1-1 mm (emission to marine water)</v>
      </c>
      <c r="H1537" s="465">
        <v>0</v>
      </c>
      <c r="I1537" s="394" t="s">
        <v>1162</v>
      </c>
      <c r="J1537" s="635"/>
      <c r="K1537" s="389">
        <v>43.650000000000013</v>
      </c>
      <c r="L1537" s="536"/>
      <c r="M1537" s="509">
        <f t="shared" si="4104"/>
        <v>5.7273768613974783</v>
      </c>
      <c r="N1537" s="646"/>
      <c r="O1537" s="626"/>
      <c r="P1537" s="629"/>
      <c r="Q1537" s="629"/>
    </row>
    <row r="1538" spans="1:17" ht="15.75" hidden="1" thickBot="1">
      <c r="A1538" s="390" t="str">
        <f t="shared" ref="A1538:B1538" si="4301">A1535</f>
        <v>NR/SBR</v>
      </c>
      <c r="B1538" s="391" t="str">
        <f t="shared" si="4301"/>
        <v>fiber</v>
      </c>
      <c r="C1538" s="391">
        <f t="shared" ref="C1538" si="4302">C1537</f>
        <v>4</v>
      </c>
      <c r="D1538" s="391" t="str">
        <f t="shared" ref="D1538:E1538" si="4303">D1535</f>
        <v>0,1-1</v>
      </c>
      <c r="E1538" s="391">
        <f t="shared" si="4303"/>
        <v>1</v>
      </c>
      <c r="F1538" s="391" t="str">
        <f t="shared" ref="F1538:G1538" si="4304">F1537</f>
        <v>marine water</v>
      </c>
      <c r="G1538" s="401" t="str">
        <f t="shared" si="4304"/>
        <v>DE: NR/SBR fiber 0,1-1 mm (emission to marine water)</v>
      </c>
      <c r="H1538" s="465">
        <v>1</v>
      </c>
      <c r="I1538" s="394" t="s">
        <v>1163</v>
      </c>
      <c r="J1538" s="635"/>
      <c r="K1538" s="389">
        <v>43.650000000000013</v>
      </c>
      <c r="L1538" s="536"/>
      <c r="M1538" s="509">
        <f t="shared" si="4104"/>
        <v>5.7273768613974783</v>
      </c>
      <c r="N1538" s="646"/>
      <c r="O1538" s="626"/>
      <c r="P1538" s="629"/>
      <c r="Q1538" s="629"/>
    </row>
    <row r="1539" spans="1:17" ht="15.75" hidden="1" thickBot="1">
      <c r="A1539" s="390" t="str">
        <f t="shared" ref="A1539:B1539" si="4305">A1536</f>
        <v>NR/SBR</v>
      </c>
      <c r="B1539" s="391" t="str">
        <f t="shared" si="4305"/>
        <v>fiber</v>
      </c>
      <c r="C1539" s="391">
        <f t="shared" ref="C1539" si="4306">C1538</f>
        <v>4</v>
      </c>
      <c r="D1539" s="391" t="str">
        <f t="shared" ref="D1539:E1539" si="4307">D1536</f>
        <v>0,1-1</v>
      </c>
      <c r="E1539" s="391">
        <f t="shared" si="4307"/>
        <v>1</v>
      </c>
      <c r="F1539" s="391" t="str">
        <f t="shared" ref="F1539:G1539" si="4308">F1538</f>
        <v>marine water</v>
      </c>
      <c r="G1539" s="401" t="str">
        <f t="shared" si="4308"/>
        <v>DE: NR/SBR fiber 0,1-1 mm (emission to marine water)</v>
      </c>
      <c r="H1539" s="465">
        <v>0</v>
      </c>
      <c r="I1539" s="397" t="s">
        <v>1034</v>
      </c>
      <c r="J1539" s="654"/>
      <c r="K1539" s="398" t="s">
        <v>596</v>
      </c>
      <c r="L1539" s="538"/>
      <c r="M1539" s="509">
        <f t="shared" si="4104"/>
        <v>0</v>
      </c>
      <c r="N1539" s="647"/>
      <c r="O1539" s="627"/>
      <c r="P1539" s="629"/>
      <c r="Q1539" s="629"/>
    </row>
    <row r="1540" spans="1:17" ht="15.75" hidden="1" thickBot="1">
      <c r="A1540" s="390" t="str">
        <f t="shared" ref="A1540:B1540" si="4309">A1537</f>
        <v>NR/SBR</v>
      </c>
      <c r="B1540" s="391" t="str">
        <f t="shared" si="4309"/>
        <v>fiber</v>
      </c>
      <c r="C1540" s="391">
        <f t="shared" ref="C1540" si="4310">C1539</f>
        <v>4</v>
      </c>
      <c r="D1540" s="391" t="str">
        <f t="shared" ref="D1540:E1540" si="4311">D1537</f>
        <v>0,1-1</v>
      </c>
      <c r="E1540" s="391">
        <f t="shared" si="4311"/>
        <v>1</v>
      </c>
      <c r="F1540" s="400" t="s">
        <v>1057</v>
      </c>
      <c r="G1540" s="422" t="str">
        <f>CONCATENATE("DE: ",A1540," ",B1540," ",D1540," mm (emission to ",F1540,")")</f>
        <v>DE: NR/SBR fiber 0,1-1 mm (emission to air)</v>
      </c>
      <c r="H1540" s="467">
        <v>0.94799999999999995</v>
      </c>
      <c r="I1540" s="388" t="s">
        <v>1153</v>
      </c>
      <c r="J1540" s="634">
        <v>0.22800000000000001</v>
      </c>
      <c r="K1540" s="389">
        <v>43.650000000000013</v>
      </c>
      <c r="L1540" s="536"/>
      <c r="M1540" s="509">
        <f t="shared" si="4104"/>
        <v>5.7273768613974783</v>
      </c>
      <c r="N1540" s="645">
        <f t="shared" ref="N1540" si="4312">IFERROR(H1540*M1540+H1541*M1541+H1542*M1542+H1543*M1543+H1544*M1544,"N.A.")</f>
        <v>5.7273768613974783</v>
      </c>
      <c r="O1540" s="625"/>
      <c r="P1540" s="628">
        <f t="shared" si="4179"/>
        <v>5.7273768613974783</v>
      </c>
      <c r="Q1540" s="628">
        <f t="shared" si="4292"/>
        <v>5.7273768613974783</v>
      </c>
    </row>
    <row r="1541" spans="1:17" ht="15.75" hidden="1" thickBot="1">
      <c r="A1541" s="390" t="str">
        <f t="shared" ref="A1541:B1541" si="4313">A1538</f>
        <v>NR/SBR</v>
      </c>
      <c r="B1541" s="391" t="str">
        <f t="shared" si="4313"/>
        <v>fiber</v>
      </c>
      <c r="C1541" s="391">
        <f t="shared" ref="C1541" si="4314">C1540</f>
        <v>4</v>
      </c>
      <c r="D1541" s="391" t="str">
        <f t="shared" ref="D1541:E1541" si="4315">D1538</f>
        <v>0,1-1</v>
      </c>
      <c r="E1541" s="391">
        <f t="shared" si="4315"/>
        <v>1</v>
      </c>
      <c r="F1541" s="391" t="str">
        <f t="shared" ref="F1541:G1541" si="4316">F1540</f>
        <v>air</v>
      </c>
      <c r="G1541" s="401" t="str">
        <f t="shared" si="4316"/>
        <v>DE: NR/SBR fiber 0,1-1 mm (emission to air)</v>
      </c>
      <c r="H1541" s="465">
        <v>0</v>
      </c>
      <c r="I1541" s="394" t="s">
        <v>1097</v>
      </c>
      <c r="J1541" s="635"/>
      <c r="K1541" s="389">
        <v>43.650000000000013</v>
      </c>
      <c r="L1541" s="536"/>
      <c r="M1541" s="509">
        <f t="shared" si="4104"/>
        <v>5.7273768613974783</v>
      </c>
      <c r="N1541" s="646"/>
      <c r="O1541" s="626"/>
      <c r="P1541" s="629"/>
      <c r="Q1541" s="629"/>
    </row>
    <row r="1542" spans="1:17" ht="15.75" hidden="1" thickBot="1">
      <c r="A1542" s="390" t="str">
        <f t="shared" ref="A1542:B1542" si="4317">A1539</f>
        <v>NR/SBR</v>
      </c>
      <c r="B1542" s="391" t="str">
        <f t="shared" si="4317"/>
        <v>fiber</v>
      </c>
      <c r="C1542" s="391">
        <f t="shared" ref="C1542" si="4318">C1541</f>
        <v>4</v>
      </c>
      <c r="D1542" s="391" t="str">
        <f t="shared" ref="D1542:E1542" si="4319">D1539</f>
        <v>0,1-1</v>
      </c>
      <c r="E1542" s="391">
        <f t="shared" si="4319"/>
        <v>1</v>
      </c>
      <c r="F1542" s="391" t="str">
        <f t="shared" ref="F1542:G1542" si="4320">F1541</f>
        <v>air</v>
      </c>
      <c r="G1542" s="401" t="str">
        <f t="shared" si="4320"/>
        <v>DE: NR/SBR fiber 0,1-1 mm (emission to air)</v>
      </c>
      <c r="H1542" s="465">
        <v>4.7E-2</v>
      </c>
      <c r="I1542" s="394" t="s">
        <v>1162</v>
      </c>
      <c r="J1542" s="635"/>
      <c r="K1542" s="389">
        <v>43.650000000000013</v>
      </c>
      <c r="L1542" s="536"/>
      <c r="M1542" s="509">
        <f t="shared" ref="M1542:M1605" si="4321">IFERROR(IF(K1542="--",0,IF(E1542*1000/K1542*(1-0.5)^(C1542/2)&gt;1000,1000,E1542*1000/K1542*(1-0.5)^(C1542/2))),1000)</f>
        <v>5.7273768613974783</v>
      </c>
      <c r="N1542" s="646"/>
      <c r="O1542" s="626"/>
      <c r="P1542" s="629"/>
      <c r="Q1542" s="629"/>
    </row>
    <row r="1543" spans="1:17" ht="15.75" hidden="1" thickBot="1">
      <c r="A1543" s="390" t="str">
        <f t="shared" ref="A1543:B1543" si="4322">A1540</f>
        <v>NR/SBR</v>
      </c>
      <c r="B1543" s="391" t="str">
        <f t="shared" si="4322"/>
        <v>fiber</v>
      </c>
      <c r="C1543" s="391">
        <f t="shared" ref="C1543" si="4323">C1542</f>
        <v>4</v>
      </c>
      <c r="D1543" s="391" t="str">
        <f t="shared" ref="D1543:E1543" si="4324">D1540</f>
        <v>0,1-1</v>
      </c>
      <c r="E1543" s="391">
        <f t="shared" si="4324"/>
        <v>1</v>
      </c>
      <c r="F1543" s="391" t="str">
        <f t="shared" ref="F1543:G1543" si="4325">F1542</f>
        <v>air</v>
      </c>
      <c r="G1543" s="401" t="str">
        <f t="shared" si="4325"/>
        <v>DE: NR/SBR fiber 0,1-1 mm (emission to air)</v>
      </c>
      <c r="H1543" s="465">
        <v>5.0000000000000001E-3</v>
      </c>
      <c r="I1543" s="394" t="s">
        <v>1163</v>
      </c>
      <c r="J1543" s="635"/>
      <c r="K1543" s="389">
        <v>43.650000000000013</v>
      </c>
      <c r="L1543" s="536"/>
      <c r="M1543" s="509">
        <f t="shared" si="4321"/>
        <v>5.7273768613974783</v>
      </c>
      <c r="N1543" s="646"/>
      <c r="O1543" s="626"/>
      <c r="P1543" s="629"/>
      <c r="Q1543" s="629"/>
    </row>
    <row r="1544" spans="1:17" ht="15.75" hidden="1" thickBot="1">
      <c r="A1544" s="404" t="str">
        <f t="shared" ref="A1544:B1544" si="4326">A1539</f>
        <v>NR/SBR</v>
      </c>
      <c r="B1544" s="402" t="str">
        <f t="shared" si="4326"/>
        <v>fiber</v>
      </c>
      <c r="C1544" s="391">
        <f t="shared" ref="C1544" si="4327">C1543</f>
        <v>4</v>
      </c>
      <c r="D1544" s="402" t="str">
        <f t="shared" ref="D1544:E1544" si="4328">D1539</f>
        <v>0,1-1</v>
      </c>
      <c r="E1544" s="402">
        <f t="shared" si="4328"/>
        <v>1</v>
      </c>
      <c r="F1544" s="391" t="str">
        <f t="shared" ref="F1544:G1544" si="4329">F1543</f>
        <v>air</v>
      </c>
      <c r="G1544" s="401" t="str">
        <f t="shared" si="4329"/>
        <v>DE: NR/SBR fiber 0,1-1 mm (emission to air)</v>
      </c>
      <c r="H1544" s="465">
        <v>0</v>
      </c>
      <c r="I1544" s="394" t="s">
        <v>1034</v>
      </c>
      <c r="J1544" s="636"/>
      <c r="K1544" s="398" t="s">
        <v>596</v>
      </c>
      <c r="L1544" s="538"/>
      <c r="M1544" s="509">
        <f t="shared" si="4321"/>
        <v>0</v>
      </c>
      <c r="N1544" s="647"/>
      <c r="O1544" s="627"/>
      <c r="P1544" s="629"/>
      <c r="Q1544" s="629"/>
    </row>
    <row r="1545" spans="1:17" ht="16.5" hidden="1" thickTop="1" thickBot="1">
      <c r="A1545" s="405" t="s">
        <v>191</v>
      </c>
      <c r="B1545" s="406" t="s">
        <v>1151</v>
      </c>
      <c r="C1545" s="407">
        <v>4</v>
      </c>
      <c r="D1545" s="423" t="s">
        <v>1026</v>
      </c>
      <c r="E1545" s="408">
        <v>10</v>
      </c>
      <c r="F1545" s="424" t="s">
        <v>1019</v>
      </c>
      <c r="G1545" s="425" t="str">
        <f>CONCATENATE("DE: ",A1545," ",B1545," ",D1545," mm (emission to ",F1545,")")</f>
        <v>DE: NR/SBR fiber 1-10 mm (emission to soil)</v>
      </c>
      <c r="H1545" s="464">
        <v>0.97</v>
      </c>
      <c r="I1545" s="427" t="s">
        <v>1153</v>
      </c>
      <c r="J1545" s="632">
        <v>0.22800000000000001</v>
      </c>
      <c r="K1545" s="449">
        <v>43.650000000000013</v>
      </c>
      <c r="L1545" s="536"/>
      <c r="M1545" s="509">
        <f t="shared" si="4321"/>
        <v>57.273768613974781</v>
      </c>
      <c r="N1545" s="645">
        <f t="shared" ref="N1545" si="4330">IFERROR(H1545*M1545+H1546*M1546+H1547*M1547+H1548*M1548+H1549*M1549,"N.A.")</f>
        <v>57.273768613974781</v>
      </c>
      <c r="O1545" s="625"/>
      <c r="P1545" s="628">
        <f t="shared" si="4179"/>
        <v>57.273768613974781</v>
      </c>
      <c r="Q1545" s="628">
        <f t="shared" si="4292"/>
        <v>57.273768613974781</v>
      </c>
    </row>
    <row r="1546" spans="1:17" ht="15.75" hidden="1" thickBot="1">
      <c r="A1546" s="390" t="str">
        <f>A1545</f>
        <v>NR/SBR</v>
      </c>
      <c r="B1546" s="391" t="str">
        <f>B1545</f>
        <v>fiber</v>
      </c>
      <c r="C1546" s="391">
        <f t="shared" ref="C1546:G1546" si="4331">C1545</f>
        <v>4</v>
      </c>
      <c r="D1546" s="391" t="str">
        <f t="shared" si="4331"/>
        <v>1-10</v>
      </c>
      <c r="E1546" s="391">
        <f t="shared" si="4331"/>
        <v>10</v>
      </c>
      <c r="F1546" s="391" t="str">
        <f t="shared" si="4331"/>
        <v>soil</v>
      </c>
      <c r="G1546" s="392" t="str">
        <f t="shared" si="4331"/>
        <v>DE: NR/SBR fiber 1-10 mm (emission to soil)</v>
      </c>
      <c r="H1546" s="465">
        <v>0</v>
      </c>
      <c r="I1546" s="394" t="s">
        <v>1097</v>
      </c>
      <c r="J1546" s="632"/>
      <c r="K1546" s="395">
        <v>43.650000000000013</v>
      </c>
      <c r="L1546" s="537"/>
      <c r="M1546" s="509">
        <f t="shared" si="4321"/>
        <v>57.273768613974781</v>
      </c>
      <c r="N1546" s="646"/>
      <c r="O1546" s="626"/>
      <c r="P1546" s="629"/>
      <c r="Q1546" s="629"/>
    </row>
    <row r="1547" spans="1:17" ht="15.75" hidden="1" thickBot="1">
      <c r="A1547" s="390" t="str">
        <f t="shared" ref="A1547:G1547" si="4332">A1546</f>
        <v>NR/SBR</v>
      </c>
      <c r="B1547" s="391" t="str">
        <f t="shared" si="4332"/>
        <v>fiber</v>
      </c>
      <c r="C1547" s="391">
        <f t="shared" si="4332"/>
        <v>4</v>
      </c>
      <c r="D1547" s="391" t="str">
        <f t="shared" si="4332"/>
        <v>1-10</v>
      </c>
      <c r="E1547" s="391">
        <f t="shared" si="4332"/>
        <v>10</v>
      </c>
      <c r="F1547" s="391" t="str">
        <f t="shared" si="4332"/>
        <v>soil</v>
      </c>
      <c r="G1547" s="392" t="str">
        <f t="shared" si="4332"/>
        <v>DE: NR/SBR fiber 1-10 mm (emission to soil)</v>
      </c>
      <c r="H1547" s="465">
        <v>2.7E-2</v>
      </c>
      <c r="I1547" s="394" t="s">
        <v>1162</v>
      </c>
      <c r="J1547" s="632"/>
      <c r="K1547" s="395">
        <v>43.650000000000013</v>
      </c>
      <c r="L1547" s="537"/>
      <c r="M1547" s="509">
        <f t="shared" si="4321"/>
        <v>57.273768613974781</v>
      </c>
      <c r="N1547" s="646"/>
      <c r="O1547" s="626"/>
      <c r="P1547" s="629"/>
      <c r="Q1547" s="629"/>
    </row>
    <row r="1548" spans="1:17" ht="15.75" hidden="1" thickBot="1">
      <c r="A1548" s="390" t="str">
        <f t="shared" ref="A1548:G1548" si="4333">A1547</f>
        <v>NR/SBR</v>
      </c>
      <c r="B1548" s="391" t="str">
        <f t="shared" si="4333"/>
        <v>fiber</v>
      </c>
      <c r="C1548" s="391">
        <f t="shared" si="4333"/>
        <v>4</v>
      </c>
      <c r="D1548" s="391" t="str">
        <f t="shared" si="4333"/>
        <v>1-10</v>
      </c>
      <c r="E1548" s="391">
        <f t="shared" si="4333"/>
        <v>10</v>
      </c>
      <c r="F1548" s="391" t="str">
        <f t="shared" si="4333"/>
        <v>soil</v>
      </c>
      <c r="G1548" s="392" t="str">
        <f t="shared" si="4333"/>
        <v>DE: NR/SBR fiber 1-10 mm (emission to soil)</v>
      </c>
      <c r="H1548" s="465">
        <v>3.0000000000000001E-3</v>
      </c>
      <c r="I1548" s="394" t="s">
        <v>1163</v>
      </c>
      <c r="J1548" s="632"/>
      <c r="K1548" s="395">
        <v>43.650000000000013</v>
      </c>
      <c r="L1548" s="537"/>
      <c r="M1548" s="509">
        <f t="shared" si="4321"/>
        <v>57.273768613974781</v>
      </c>
      <c r="N1548" s="646"/>
      <c r="O1548" s="626"/>
      <c r="P1548" s="629"/>
      <c r="Q1548" s="629"/>
    </row>
    <row r="1549" spans="1:17" ht="15.75" hidden="1" thickBot="1">
      <c r="A1549" s="390" t="str">
        <f>A1546</f>
        <v>NR/SBR</v>
      </c>
      <c r="B1549" s="391" t="str">
        <f>B1546</f>
        <v>fiber</v>
      </c>
      <c r="C1549" s="391">
        <f t="shared" ref="C1549" si="4334">C1548</f>
        <v>4</v>
      </c>
      <c r="D1549" s="391" t="str">
        <f>D1546</f>
        <v>1-10</v>
      </c>
      <c r="E1549" s="391">
        <f>E1546</f>
        <v>10</v>
      </c>
      <c r="F1549" s="391" t="str">
        <f>F1546</f>
        <v>soil</v>
      </c>
      <c r="G1549" s="396" t="str">
        <f t="shared" ref="G1549" si="4335">G1548</f>
        <v>DE: NR/SBR fiber 1-10 mm (emission to soil)</v>
      </c>
      <c r="H1549" s="465">
        <v>0</v>
      </c>
      <c r="I1549" s="397" t="s">
        <v>1034</v>
      </c>
      <c r="J1549" s="633"/>
      <c r="K1549" s="398" t="s">
        <v>596</v>
      </c>
      <c r="L1549" s="538"/>
      <c r="M1549" s="509">
        <f t="shared" si="4321"/>
        <v>0</v>
      </c>
      <c r="N1549" s="647"/>
      <c r="O1549" s="627"/>
      <c r="P1549" s="629"/>
      <c r="Q1549" s="629"/>
    </row>
    <row r="1550" spans="1:17" ht="15.75" hidden="1" thickBot="1">
      <c r="A1550" s="390" t="str">
        <f t="shared" ref="A1550:B1550" si="4336">A1547</f>
        <v>NR/SBR</v>
      </c>
      <c r="B1550" s="391" t="str">
        <f t="shared" si="4336"/>
        <v>fiber</v>
      </c>
      <c r="C1550" s="391">
        <f t="shared" ref="C1550" si="4337">C1549</f>
        <v>4</v>
      </c>
      <c r="D1550" s="399" t="str">
        <f t="shared" ref="D1550:E1550" si="4338">D1547</f>
        <v>1-10</v>
      </c>
      <c r="E1550" s="391">
        <f t="shared" si="4338"/>
        <v>10</v>
      </c>
      <c r="F1550" s="400" t="s">
        <v>1147</v>
      </c>
      <c r="G1550" s="386" t="str">
        <f>CONCATENATE("DE: ",A1550," ",B1550," ",D1550," mm (emission to ",F1550,")")</f>
        <v>DE: NR/SBR fiber 1-10 mm (emission to fresh water)</v>
      </c>
      <c r="H1550" s="466">
        <v>0</v>
      </c>
      <c r="I1550" s="388" t="s">
        <v>1153</v>
      </c>
      <c r="J1550" s="634">
        <v>0.22800000000000001</v>
      </c>
      <c r="K1550" s="389">
        <v>43.650000000000013</v>
      </c>
      <c r="L1550" s="536"/>
      <c r="M1550" s="509">
        <f t="shared" si="4321"/>
        <v>57.273768613974781</v>
      </c>
      <c r="N1550" s="645">
        <f t="shared" ref="N1550" si="4339">IFERROR(H1550*M1550+H1551*M1551+H1552*M1552+H1553*M1553+H1554*M1554,"N.A.")</f>
        <v>57.273768613974781</v>
      </c>
      <c r="O1550" s="625"/>
      <c r="P1550" s="628">
        <f t="shared" si="4179"/>
        <v>57.273768613974781</v>
      </c>
      <c r="Q1550" s="628">
        <f t="shared" si="4292"/>
        <v>57.273768613974781</v>
      </c>
    </row>
    <row r="1551" spans="1:17" ht="15.75" hidden="1" thickBot="1">
      <c r="A1551" s="390" t="str">
        <f t="shared" ref="A1551:B1551" si="4340">A1548</f>
        <v>NR/SBR</v>
      </c>
      <c r="B1551" s="391" t="str">
        <f t="shared" si="4340"/>
        <v>fiber</v>
      </c>
      <c r="C1551" s="391">
        <f t="shared" ref="C1551" si="4341">C1550</f>
        <v>4</v>
      </c>
      <c r="D1551" s="391" t="str">
        <f t="shared" ref="D1551:E1551" si="4342">D1548</f>
        <v>1-10</v>
      </c>
      <c r="E1551" s="391">
        <f t="shared" si="4342"/>
        <v>10</v>
      </c>
      <c r="F1551" s="391" t="str">
        <f t="shared" ref="F1551:G1551" si="4343">F1550</f>
        <v>fresh water</v>
      </c>
      <c r="G1551" s="401" t="str">
        <f t="shared" si="4343"/>
        <v>DE: NR/SBR fiber 1-10 mm (emission to fresh water)</v>
      </c>
      <c r="H1551" s="465">
        <v>0</v>
      </c>
      <c r="I1551" s="394" t="s">
        <v>1097</v>
      </c>
      <c r="J1551" s="635"/>
      <c r="K1551" s="389">
        <v>43.650000000000013</v>
      </c>
      <c r="L1551" s="536"/>
      <c r="M1551" s="509">
        <f t="shared" si="4321"/>
        <v>57.273768613974781</v>
      </c>
      <c r="N1551" s="646"/>
      <c r="O1551" s="626"/>
      <c r="P1551" s="629"/>
      <c r="Q1551" s="629"/>
    </row>
    <row r="1552" spans="1:17" ht="15.75" hidden="1" thickBot="1">
      <c r="A1552" s="390" t="str">
        <f t="shared" ref="A1552:B1552" si="4344">A1549</f>
        <v>NR/SBR</v>
      </c>
      <c r="B1552" s="391" t="str">
        <f t="shared" si="4344"/>
        <v>fiber</v>
      </c>
      <c r="C1552" s="391">
        <f t="shared" ref="C1552" si="4345">C1551</f>
        <v>4</v>
      </c>
      <c r="D1552" s="391" t="str">
        <f t="shared" ref="D1552:E1552" si="4346">D1549</f>
        <v>1-10</v>
      </c>
      <c r="E1552" s="391">
        <f t="shared" si="4346"/>
        <v>10</v>
      </c>
      <c r="F1552" s="391" t="str">
        <f t="shared" ref="F1552:G1552" si="4347">F1551</f>
        <v>fresh water</v>
      </c>
      <c r="G1552" s="401" t="str">
        <f t="shared" si="4347"/>
        <v>DE: NR/SBR fiber 1-10 mm (emission to fresh water)</v>
      </c>
      <c r="H1552" s="465">
        <v>0.89</v>
      </c>
      <c r="I1552" s="394" t="s">
        <v>1162</v>
      </c>
      <c r="J1552" s="635"/>
      <c r="K1552" s="389">
        <v>43.650000000000013</v>
      </c>
      <c r="L1552" s="536"/>
      <c r="M1552" s="509">
        <f t="shared" si="4321"/>
        <v>57.273768613974781</v>
      </c>
      <c r="N1552" s="646"/>
      <c r="O1552" s="626"/>
      <c r="P1552" s="629"/>
      <c r="Q1552" s="629"/>
    </row>
    <row r="1553" spans="1:17" ht="15.75" hidden="1" thickBot="1">
      <c r="A1553" s="390" t="str">
        <f t="shared" ref="A1553:B1553" si="4348">A1550</f>
        <v>NR/SBR</v>
      </c>
      <c r="B1553" s="391" t="str">
        <f t="shared" si="4348"/>
        <v>fiber</v>
      </c>
      <c r="C1553" s="391">
        <f t="shared" ref="C1553" si="4349">C1552</f>
        <v>4</v>
      </c>
      <c r="D1553" s="391" t="str">
        <f t="shared" ref="D1553:E1553" si="4350">D1550</f>
        <v>1-10</v>
      </c>
      <c r="E1553" s="391">
        <f t="shared" si="4350"/>
        <v>10</v>
      </c>
      <c r="F1553" s="391" t="str">
        <f t="shared" ref="F1553:G1553" si="4351">F1552</f>
        <v>fresh water</v>
      </c>
      <c r="G1553" s="401" t="str">
        <f t="shared" si="4351"/>
        <v>DE: NR/SBR fiber 1-10 mm (emission to fresh water)</v>
      </c>
      <c r="H1553" s="465">
        <v>0.11</v>
      </c>
      <c r="I1553" s="394" t="s">
        <v>1163</v>
      </c>
      <c r="J1553" s="635"/>
      <c r="K1553" s="389">
        <v>43.650000000000013</v>
      </c>
      <c r="L1553" s="536"/>
      <c r="M1553" s="509">
        <f t="shared" si="4321"/>
        <v>57.273768613974781</v>
      </c>
      <c r="N1553" s="646"/>
      <c r="O1553" s="626"/>
      <c r="P1553" s="629"/>
      <c r="Q1553" s="629"/>
    </row>
    <row r="1554" spans="1:17" ht="15.75" hidden="1" thickBot="1">
      <c r="A1554" s="390" t="str">
        <f t="shared" ref="A1554:B1554" si="4352">A1551</f>
        <v>NR/SBR</v>
      </c>
      <c r="B1554" s="391" t="str">
        <f t="shared" si="4352"/>
        <v>fiber</v>
      </c>
      <c r="C1554" s="391">
        <f t="shared" ref="C1554" si="4353">C1553</f>
        <v>4</v>
      </c>
      <c r="D1554" s="391" t="str">
        <f t="shared" ref="D1554:E1554" si="4354">D1551</f>
        <v>1-10</v>
      </c>
      <c r="E1554" s="391">
        <f t="shared" si="4354"/>
        <v>10</v>
      </c>
      <c r="F1554" s="402" t="str">
        <f>F1551</f>
        <v>fresh water</v>
      </c>
      <c r="G1554" s="401" t="str">
        <f t="shared" ref="G1554" si="4355">G1553</f>
        <v>DE: NR/SBR fiber 1-10 mm (emission to fresh water)</v>
      </c>
      <c r="H1554" s="465">
        <v>0</v>
      </c>
      <c r="I1554" s="397" t="s">
        <v>1034</v>
      </c>
      <c r="J1554" s="654"/>
      <c r="K1554" s="398" t="s">
        <v>596</v>
      </c>
      <c r="L1554" s="538"/>
      <c r="M1554" s="509">
        <f t="shared" si="4321"/>
        <v>0</v>
      </c>
      <c r="N1554" s="647"/>
      <c r="O1554" s="627"/>
      <c r="P1554" s="629"/>
      <c r="Q1554" s="629"/>
    </row>
    <row r="1555" spans="1:17" ht="15.75" hidden="1" thickBot="1">
      <c r="A1555" s="390" t="str">
        <f t="shared" ref="A1555:B1555" si="4356">A1552</f>
        <v>NR/SBR</v>
      </c>
      <c r="B1555" s="391" t="str">
        <f t="shared" si="4356"/>
        <v>fiber</v>
      </c>
      <c r="C1555" s="391">
        <f t="shared" ref="C1555" si="4357">C1554</f>
        <v>4</v>
      </c>
      <c r="D1555" s="391" t="str">
        <f t="shared" ref="D1555:E1555" si="4358">D1552</f>
        <v>1-10</v>
      </c>
      <c r="E1555" s="391">
        <f t="shared" si="4358"/>
        <v>10</v>
      </c>
      <c r="F1555" s="385" t="s">
        <v>1097</v>
      </c>
      <c r="G1555" s="422" t="str">
        <f>CONCATENATE("DE: ",A1555," ",B1555," ",D1555," mm (emission to ",F1555,")")</f>
        <v>DE: NR/SBR fiber 1-10 mm (emission to marine water)</v>
      </c>
      <c r="H1555" s="467">
        <v>0</v>
      </c>
      <c r="I1555" s="388" t="s">
        <v>1153</v>
      </c>
      <c r="J1555" s="634">
        <v>0.22800000000000001</v>
      </c>
      <c r="K1555" s="389">
        <v>43.650000000000013</v>
      </c>
      <c r="L1555" s="536"/>
      <c r="M1555" s="509">
        <f t="shared" si="4321"/>
        <v>57.273768613974781</v>
      </c>
      <c r="N1555" s="645">
        <f t="shared" ref="N1555" si="4359">IFERROR(H1555*M1555+H1556*M1556+H1557*M1557+H1558*M1558+H1559*M1559,"N.A.")</f>
        <v>57.273768613974781</v>
      </c>
      <c r="O1555" s="625"/>
      <c r="P1555" s="628">
        <f t="shared" si="4179"/>
        <v>57.273768613974781</v>
      </c>
      <c r="Q1555" s="628">
        <f t="shared" si="4292"/>
        <v>57.273768613974781</v>
      </c>
    </row>
    <row r="1556" spans="1:17" ht="15.75" hidden="1" thickBot="1">
      <c r="A1556" s="390" t="str">
        <f t="shared" ref="A1556:B1556" si="4360">A1553</f>
        <v>NR/SBR</v>
      </c>
      <c r="B1556" s="391" t="str">
        <f t="shared" si="4360"/>
        <v>fiber</v>
      </c>
      <c r="C1556" s="391">
        <f t="shared" ref="C1556" si="4361">C1555</f>
        <v>4</v>
      </c>
      <c r="D1556" s="391" t="str">
        <f t="shared" ref="D1556:E1556" si="4362">D1553</f>
        <v>1-10</v>
      </c>
      <c r="E1556" s="391">
        <f t="shared" si="4362"/>
        <v>10</v>
      </c>
      <c r="F1556" s="391" t="str">
        <f t="shared" ref="F1556:G1556" si="4363">F1555</f>
        <v>marine water</v>
      </c>
      <c r="G1556" s="401" t="str">
        <f t="shared" si="4363"/>
        <v>DE: NR/SBR fiber 1-10 mm (emission to marine water)</v>
      </c>
      <c r="H1556" s="465">
        <v>0</v>
      </c>
      <c r="I1556" s="394" t="s">
        <v>1097</v>
      </c>
      <c r="J1556" s="635"/>
      <c r="K1556" s="389">
        <v>43.650000000000013</v>
      </c>
      <c r="L1556" s="536"/>
      <c r="M1556" s="509">
        <f t="shared" si="4321"/>
        <v>57.273768613974781</v>
      </c>
      <c r="N1556" s="646"/>
      <c r="O1556" s="626"/>
      <c r="P1556" s="629"/>
      <c r="Q1556" s="629"/>
    </row>
    <row r="1557" spans="1:17" ht="15.75" hidden="1" thickBot="1">
      <c r="A1557" s="390" t="str">
        <f t="shared" ref="A1557:B1557" si="4364">A1554</f>
        <v>NR/SBR</v>
      </c>
      <c r="B1557" s="391" t="str">
        <f t="shared" si="4364"/>
        <v>fiber</v>
      </c>
      <c r="C1557" s="391">
        <f t="shared" ref="C1557" si="4365">C1556</f>
        <v>4</v>
      </c>
      <c r="D1557" s="391" t="str">
        <f t="shared" ref="D1557:E1557" si="4366">D1554</f>
        <v>1-10</v>
      </c>
      <c r="E1557" s="391">
        <f t="shared" si="4366"/>
        <v>10</v>
      </c>
      <c r="F1557" s="391" t="str">
        <f t="shared" ref="F1557:G1557" si="4367">F1556</f>
        <v>marine water</v>
      </c>
      <c r="G1557" s="401" t="str">
        <f t="shared" si="4367"/>
        <v>DE: NR/SBR fiber 1-10 mm (emission to marine water)</v>
      </c>
      <c r="H1557" s="465">
        <v>0</v>
      </c>
      <c r="I1557" s="394" t="s">
        <v>1162</v>
      </c>
      <c r="J1557" s="635"/>
      <c r="K1557" s="389">
        <v>43.650000000000013</v>
      </c>
      <c r="L1557" s="536"/>
      <c r="M1557" s="509">
        <f t="shared" si="4321"/>
        <v>57.273768613974781</v>
      </c>
      <c r="N1557" s="646"/>
      <c r="O1557" s="626"/>
      <c r="P1557" s="629"/>
      <c r="Q1557" s="629"/>
    </row>
    <row r="1558" spans="1:17" ht="15.75" hidden="1" thickBot="1">
      <c r="A1558" s="390" t="str">
        <f t="shared" ref="A1558:B1558" si="4368">A1555</f>
        <v>NR/SBR</v>
      </c>
      <c r="B1558" s="391" t="str">
        <f t="shared" si="4368"/>
        <v>fiber</v>
      </c>
      <c r="C1558" s="391">
        <f t="shared" ref="C1558" si="4369">C1557</f>
        <v>4</v>
      </c>
      <c r="D1558" s="391" t="str">
        <f t="shared" ref="D1558:E1558" si="4370">D1555</f>
        <v>1-10</v>
      </c>
      <c r="E1558" s="391">
        <f t="shared" si="4370"/>
        <v>10</v>
      </c>
      <c r="F1558" s="391" t="str">
        <f t="shared" ref="F1558:G1558" si="4371">F1557</f>
        <v>marine water</v>
      </c>
      <c r="G1558" s="401" t="str">
        <f t="shared" si="4371"/>
        <v>DE: NR/SBR fiber 1-10 mm (emission to marine water)</v>
      </c>
      <c r="H1558" s="465">
        <v>1</v>
      </c>
      <c r="I1558" s="394" t="s">
        <v>1163</v>
      </c>
      <c r="J1558" s="635"/>
      <c r="K1558" s="389">
        <v>43.650000000000013</v>
      </c>
      <c r="L1558" s="536"/>
      <c r="M1558" s="509">
        <f t="shared" si="4321"/>
        <v>57.273768613974781</v>
      </c>
      <c r="N1558" s="646"/>
      <c r="O1558" s="626"/>
      <c r="P1558" s="629"/>
      <c r="Q1558" s="629"/>
    </row>
    <row r="1559" spans="1:17" ht="15.75" hidden="1" thickBot="1">
      <c r="A1559" s="390" t="str">
        <f t="shared" ref="A1559:B1559" si="4372">A1556</f>
        <v>NR/SBR</v>
      </c>
      <c r="B1559" s="391" t="str">
        <f t="shared" si="4372"/>
        <v>fiber</v>
      </c>
      <c r="C1559" s="391">
        <f t="shared" ref="C1559" si="4373">C1558</f>
        <v>4</v>
      </c>
      <c r="D1559" s="391" t="str">
        <f t="shared" ref="D1559:E1559" si="4374">D1556</f>
        <v>1-10</v>
      </c>
      <c r="E1559" s="391">
        <f t="shared" si="4374"/>
        <v>10</v>
      </c>
      <c r="F1559" s="391" t="str">
        <f t="shared" ref="F1559:G1559" si="4375">F1558</f>
        <v>marine water</v>
      </c>
      <c r="G1559" s="401" t="str">
        <f t="shared" si="4375"/>
        <v>DE: NR/SBR fiber 1-10 mm (emission to marine water)</v>
      </c>
      <c r="H1559" s="465">
        <v>0</v>
      </c>
      <c r="I1559" s="397" t="s">
        <v>1034</v>
      </c>
      <c r="J1559" s="654"/>
      <c r="K1559" s="398" t="s">
        <v>596</v>
      </c>
      <c r="L1559" s="538"/>
      <c r="M1559" s="509">
        <f t="shared" si="4321"/>
        <v>0</v>
      </c>
      <c r="N1559" s="647"/>
      <c r="O1559" s="627"/>
      <c r="P1559" s="629"/>
      <c r="Q1559" s="629"/>
    </row>
    <row r="1560" spans="1:17" ht="15.75" hidden="1" thickBot="1">
      <c r="A1560" s="390" t="str">
        <f t="shared" ref="A1560:B1560" si="4376">A1557</f>
        <v>NR/SBR</v>
      </c>
      <c r="B1560" s="391" t="str">
        <f t="shared" si="4376"/>
        <v>fiber</v>
      </c>
      <c r="C1560" s="391">
        <f t="shared" ref="C1560" si="4377">C1559</f>
        <v>4</v>
      </c>
      <c r="D1560" s="391" t="str">
        <f t="shared" ref="D1560:E1560" si="4378">D1557</f>
        <v>1-10</v>
      </c>
      <c r="E1560" s="391">
        <f t="shared" si="4378"/>
        <v>10</v>
      </c>
      <c r="F1560" s="400" t="s">
        <v>1057</v>
      </c>
      <c r="G1560" s="422" t="str">
        <f>CONCATENATE("DE: ",A1560," ",B1560," ",D1560," mm (emission to ",F1560,")")</f>
        <v>DE: NR/SBR fiber 1-10 mm (emission to air)</v>
      </c>
      <c r="H1560" s="467">
        <v>0.94799999999999995</v>
      </c>
      <c r="I1560" s="388" t="s">
        <v>1153</v>
      </c>
      <c r="J1560" s="634">
        <v>0.22800000000000001</v>
      </c>
      <c r="K1560" s="389">
        <v>43.650000000000013</v>
      </c>
      <c r="L1560" s="536"/>
      <c r="M1560" s="509">
        <f t="shared" si="4321"/>
        <v>57.273768613974781</v>
      </c>
      <c r="N1560" s="645">
        <f t="shared" ref="N1560" si="4379">IFERROR(H1560*M1560+H1561*M1561+H1562*M1562+H1563*M1563+H1564*M1564,"N.A.")</f>
        <v>57.273768613974774</v>
      </c>
      <c r="O1560" s="625"/>
      <c r="P1560" s="628">
        <f t="shared" si="4179"/>
        <v>57.273768613974774</v>
      </c>
      <c r="Q1560" s="628">
        <f t="shared" si="4292"/>
        <v>57.273768613974774</v>
      </c>
    </row>
    <row r="1561" spans="1:17" ht="15.75" hidden="1" thickBot="1">
      <c r="A1561" s="390" t="str">
        <f t="shared" ref="A1561:B1561" si="4380">A1558</f>
        <v>NR/SBR</v>
      </c>
      <c r="B1561" s="391" t="str">
        <f t="shared" si="4380"/>
        <v>fiber</v>
      </c>
      <c r="C1561" s="391">
        <f t="shared" ref="C1561" si="4381">C1560</f>
        <v>4</v>
      </c>
      <c r="D1561" s="391" t="str">
        <f t="shared" ref="D1561:E1561" si="4382">D1558</f>
        <v>1-10</v>
      </c>
      <c r="E1561" s="391">
        <f t="shared" si="4382"/>
        <v>10</v>
      </c>
      <c r="F1561" s="391" t="str">
        <f t="shared" ref="F1561:G1561" si="4383">F1560</f>
        <v>air</v>
      </c>
      <c r="G1561" s="401" t="str">
        <f t="shared" si="4383"/>
        <v>DE: NR/SBR fiber 1-10 mm (emission to air)</v>
      </c>
      <c r="H1561" s="465">
        <v>0</v>
      </c>
      <c r="I1561" s="394" t="s">
        <v>1097</v>
      </c>
      <c r="J1561" s="635"/>
      <c r="K1561" s="389">
        <v>43.650000000000013</v>
      </c>
      <c r="L1561" s="536"/>
      <c r="M1561" s="509">
        <f t="shared" si="4321"/>
        <v>57.273768613974781</v>
      </c>
      <c r="N1561" s="646"/>
      <c r="O1561" s="626"/>
      <c r="P1561" s="629"/>
      <c r="Q1561" s="629"/>
    </row>
    <row r="1562" spans="1:17" ht="15.75" hidden="1" thickBot="1">
      <c r="A1562" s="390" t="str">
        <f t="shared" ref="A1562:B1562" si="4384">A1559</f>
        <v>NR/SBR</v>
      </c>
      <c r="B1562" s="391" t="str">
        <f t="shared" si="4384"/>
        <v>fiber</v>
      </c>
      <c r="C1562" s="391">
        <f t="shared" ref="C1562" si="4385">C1561</f>
        <v>4</v>
      </c>
      <c r="D1562" s="391" t="str">
        <f t="shared" ref="D1562:E1562" si="4386">D1559</f>
        <v>1-10</v>
      </c>
      <c r="E1562" s="391">
        <f t="shared" si="4386"/>
        <v>10</v>
      </c>
      <c r="F1562" s="391" t="str">
        <f t="shared" ref="F1562:G1562" si="4387">F1561</f>
        <v>air</v>
      </c>
      <c r="G1562" s="401" t="str">
        <f t="shared" si="4387"/>
        <v>DE: NR/SBR fiber 1-10 mm (emission to air)</v>
      </c>
      <c r="H1562" s="465">
        <v>4.7E-2</v>
      </c>
      <c r="I1562" s="394" t="s">
        <v>1162</v>
      </c>
      <c r="J1562" s="635"/>
      <c r="K1562" s="389">
        <v>43.650000000000013</v>
      </c>
      <c r="L1562" s="536"/>
      <c r="M1562" s="509">
        <f t="shared" si="4321"/>
        <v>57.273768613974781</v>
      </c>
      <c r="N1562" s="646"/>
      <c r="O1562" s="626"/>
      <c r="P1562" s="629"/>
      <c r="Q1562" s="629"/>
    </row>
    <row r="1563" spans="1:17" ht="15.75" hidden="1" thickBot="1">
      <c r="A1563" s="390" t="str">
        <f t="shared" ref="A1563:B1563" si="4388">A1560</f>
        <v>NR/SBR</v>
      </c>
      <c r="B1563" s="391" t="str">
        <f t="shared" si="4388"/>
        <v>fiber</v>
      </c>
      <c r="C1563" s="391">
        <f t="shared" ref="C1563" si="4389">C1562</f>
        <v>4</v>
      </c>
      <c r="D1563" s="391" t="str">
        <f t="shared" ref="D1563:E1563" si="4390">D1560</f>
        <v>1-10</v>
      </c>
      <c r="E1563" s="391">
        <f t="shared" si="4390"/>
        <v>10</v>
      </c>
      <c r="F1563" s="391" t="str">
        <f t="shared" ref="F1563:G1563" si="4391">F1562</f>
        <v>air</v>
      </c>
      <c r="G1563" s="401" t="str">
        <f t="shared" si="4391"/>
        <v>DE: NR/SBR fiber 1-10 mm (emission to air)</v>
      </c>
      <c r="H1563" s="465">
        <v>5.0000000000000001E-3</v>
      </c>
      <c r="I1563" s="394" t="s">
        <v>1163</v>
      </c>
      <c r="J1563" s="635"/>
      <c r="K1563" s="389">
        <v>43.650000000000013</v>
      </c>
      <c r="L1563" s="536"/>
      <c r="M1563" s="509">
        <f t="shared" si="4321"/>
        <v>57.273768613974781</v>
      </c>
      <c r="N1563" s="646"/>
      <c r="O1563" s="626"/>
      <c r="P1563" s="629"/>
      <c r="Q1563" s="629"/>
    </row>
    <row r="1564" spans="1:17" ht="15.75" hidden="1" thickBot="1">
      <c r="A1564" s="404" t="str">
        <f t="shared" ref="A1564:B1564" si="4392">A1559</f>
        <v>NR/SBR</v>
      </c>
      <c r="B1564" s="402" t="str">
        <f t="shared" si="4392"/>
        <v>fiber</v>
      </c>
      <c r="C1564" s="391">
        <f t="shared" ref="C1564" si="4393">C1563</f>
        <v>4</v>
      </c>
      <c r="D1564" s="402" t="str">
        <f t="shared" ref="D1564:E1564" si="4394">D1559</f>
        <v>1-10</v>
      </c>
      <c r="E1564" s="402">
        <f t="shared" si="4394"/>
        <v>10</v>
      </c>
      <c r="F1564" s="391" t="str">
        <f t="shared" ref="F1564:G1564" si="4395">F1563</f>
        <v>air</v>
      </c>
      <c r="G1564" s="401" t="str">
        <f t="shared" si="4395"/>
        <v>DE: NR/SBR fiber 1-10 mm (emission to air)</v>
      </c>
      <c r="H1564" s="465">
        <v>0</v>
      </c>
      <c r="I1564" s="397" t="s">
        <v>1034</v>
      </c>
      <c r="J1564" s="636"/>
      <c r="K1564" s="398" t="s">
        <v>596</v>
      </c>
      <c r="L1564" s="538"/>
      <c r="M1564" s="509">
        <f t="shared" si="4321"/>
        <v>0</v>
      </c>
      <c r="N1564" s="647"/>
      <c r="O1564" s="627"/>
      <c r="P1564" s="629"/>
      <c r="Q1564" s="629"/>
    </row>
    <row r="1565" spans="1:17" ht="16.5" hidden="1" thickTop="1" thickBot="1">
      <c r="A1565" s="405" t="s">
        <v>191</v>
      </c>
      <c r="B1565" s="406" t="s">
        <v>1152</v>
      </c>
      <c r="C1565" s="407">
        <v>6</v>
      </c>
      <c r="D1565" s="423" t="s">
        <v>1018</v>
      </c>
      <c r="E1565" s="408">
        <v>0.1</v>
      </c>
      <c r="F1565" s="424" t="s">
        <v>1019</v>
      </c>
      <c r="G1565" s="425" t="str">
        <f>CONCATENATE("DE: ",A1565," ",B1565," ",D1565," mm (emission to ",F1565,")")</f>
        <v>DE: NR/SBR particle 0,01-0,1 mm (emission to soil)</v>
      </c>
      <c r="H1565" s="464">
        <v>0.97</v>
      </c>
      <c r="I1565" s="388" t="s">
        <v>1153</v>
      </c>
      <c r="J1565" s="632">
        <v>0.22800000000000001</v>
      </c>
      <c r="K1565" s="449">
        <v>43.650000000000013</v>
      </c>
      <c r="L1565" s="536"/>
      <c r="M1565" s="509">
        <f>IFERROR(IF(K1565="--",0,IF(E1565*1000/K1565*(1-0.5)^(C1565/2)&gt;1000,1000,E1565*1000/K1565*(1-0.5)^(C1565/2))),1000)</f>
        <v>0.28636884306987392</v>
      </c>
      <c r="N1565" s="645">
        <f>IFERROR(H1565*M1565+H1566*M1566+H1567*M1567+H1568*M1568+H1569*M1569,"N.A.")</f>
        <v>0.28636884306987387</v>
      </c>
      <c r="O1565" s="625"/>
      <c r="P1565" s="628">
        <f t="shared" ref="P1565:P1625" si="4396">IFERROR(IF(H1565*M1565+H1566*M1566+H1567*M1567+H1568*M1568+H1569*M1569&gt;100,100,H1565*M1565+H1566*M1566+H1567*M1567+H1568*M1568+H1569*M1569),"N.A.")</f>
        <v>0.28636884306987387</v>
      </c>
      <c r="Q1565" s="628">
        <f t="shared" si="4292"/>
        <v>0.28636884306987387</v>
      </c>
    </row>
    <row r="1566" spans="1:17" ht="15.75" hidden="1" thickBot="1">
      <c r="A1566" s="390" t="str">
        <f>A1565</f>
        <v>NR/SBR</v>
      </c>
      <c r="B1566" s="391" t="str">
        <f>B1565</f>
        <v>particle</v>
      </c>
      <c r="C1566" s="391">
        <f t="shared" ref="C1566:G1566" si="4397">C1565</f>
        <v>6</v>
      </c>
      <c r="D1566" s="391" t="str">
        <f t="shared" si="4397"/>
        <v>0,01-0,1</v>
      </c>
      <c r="E1566" s="391">
        <f t="shared" si="4397"/>
        <v>0.1</v>
      </c>
      <c r="F1566" s="391" t="str">
        <f t="shared" si="4397"/>
        <v>soil</v>
      </c>
      <c r="G1566" s="392" t="str">
        <f t="shared" si="4397"/>
        <v>DE: NR/SBR particle 0,01-0,1 mm (emission to soil)</v>
      </c>
      <c r="H1566" s="465">
        <v>0</v>
      </c>
      <c r="I1566" s="394" t="s">
        <v>1097</v>
      </c>
      <c r="J1566" s="632"/>
      <c r="K1566" s="395">
        <v>43.650000000000013</v>
      </c>
      <c r="L1566" s="537"/>
      <c r="M1566" s="509">
        <f>IFERROR(IF(K1566="--",0,IF(E1566*1000/K1566*(1-0.5)^(C1566/2)&gt;1000,1000,E1566*1000/K1566*(1-0.5)^(C1566/2))),1000)</f>
        <v>0.28636884306987392</v>
      </c>
      <c r="N1566" s="646"/>
      <c r="O1566" s="626"/>
      <c r="P1566" s="629"/>
      <c r="Q1566" s="629"/>
    </row>
    <row r="1567" spans="1:17" ht="15.75" hidden="1" thickBot="1">
      <c r="A1567" s="390" t="str">
        <f t="shared" ref="A1567:G1567" si="4398">A1566</f>
        <v>NR/SBR</v>
      </c>
      <c r="B1567" s="391" t="str">
        <f t="shared" si="4398"/>
        <v>particle</v>
      </c>
      <c r="C1567" s="391">
        <f t="shared" si="4398"/>
        <v>6</v>
      </c>
      <c r="D1567" s="391" t="str">
        <f t="shared" si="4398"/>
        <v>0,01-0,1</v>
      </c>
      <c r="E1567" s="391">
        <f t="shared" si="4398"/>
        <v>0.1</v>
      </c>
      <c r="F1567" s="391" t="str">
        <f t="shared" si="4398"/>
        <v>soil</v>
      </c>
      <c r="G1567" s="392" t="str">
        <f t="shared" si="4398"/>
        <v>DE: NR/SBR particle 0,01-0,1 mm (emission to soil)</v>
      </c>
      <c r="H1567" s="465">
        <v>2.7E-2</v>
      </c>
      <c r="I1567" s="394" t="s">
        <v>1162</v>
      </c>
      <c r="J1567" s="632"/>
      <c r="K1567" s="395">
        <v>43.650000000000013</v>
      </c>
      <c r="L1567" s="537"/>
      <c r="M1567" s="509">
        <f t="shared" si="4321"/>
        <v>0.28636884306987392</v>
      </c>
      <c r="N1567" s="646"/>
      <c r="O1567" s="626"/>
      <c r="P1567" s="629"/>
      <c r="Q1567" s="629"/>
    </row>
    <row r="1568" spans="1:17" ht="15.75" hidden="1" thickBot="1">
      <c r="A1568" s="390" t="str">
        <f t="shared" ref="A1568:G1568" si="4399">A1567</f>
        <v>NR/SBR</v>
      </c>
      <c r="B1568" s="391" t="str">
        <f t="shared" si="4399"/>
        <v>particle</v>
      </c>
      <c r="C1568" s="391">
        <f t="shared" si="4399"/>
        <v>6</v>
      </c>
      <c r="D1568" s="391" t="str">
        <f t="shared" si="4399"/>
        <v>0,01-0,1</v>
      </c>
      <c r="E1568" s="391">
        <f t="shared" si="4399"/>
        <v>0.1</v>
      </c>
      <c r="F1568" s="391" t="str">
        <f t="shared" si="4399"/>
        <v>soil</v>
      </c>
      <c r="G1568" s="392" t="str">
        <f t="shared" si="4399"/>
        <v>DE: NR/SBR particle 0,01-0,1 mm (emission to soil)</v>
      </c>
      <c r="H1568" s="465">
        <v>3.0000000000000001E-3</v>
      </c>
      <c r="I1568" s="394" t="s">
        <v>1163</v>
      </c>
      <c r="J1568" s="632"/>
      <c r="K1568" s="395">
        <v>43.650000000000013</v>
      </c>
      <c r="L1568" s="537"/>
      <c r="M1568" s="509">
        <f t="shared" si="4321"/>
        <v>0.28636884306987392</v>
      </c>
      <c r="N1568" s="646"/>
      <c r="O1568" s="626"/>
      <c r="P1568" s="629"/>
      <c r="Q1568" s="629"/>
    </row>
    <row r="1569" spans="1:17" ht="15.75" hidden="1" thickBot="1">
      <c r="A1569" s="390" t="str">
        <f>A1566</f>
        <v>NR/SBR</v>
      </c>
      <c r="B1569" s="391" t="str">
        <f>B1566</f>
        <v>particle</v>
      </c>
      <c r="C1569" s="391">
        <f t="shared" ref="C1569" si="4400">C1568</f>
        <v>6</v>
      </c>
      <c r="D1569" s="391" t="str">
        <f>D1566</f>
        <v>0,01-0,1</v>
      </c>
      <c r="E1569" s="391">
        <f>E1566</f>
        <v>0.1</v>
      </c>
      <c r="F1569" s="391" t="str">
        <f>F1566</f>
        <v>soil</v>
      </c>
      <c r="G1569" s="396" t="str">
        <f t="shared" ref="G1569" si="4401">G1568</f>
        <v>DE: NR/SBR particle 0,01-0,1 mm (emission to soil)</v>
      </c>
      <c r="H1569" s="465">
        <v>0</v>
      </c>
      <c r="I1569" s="397" t="s">
        <v>1034</v>
      </c>
      <c r="J1569" s="633"/>
      <c r="K1569" s="398" t="s">
        <v>596</v>
      </c>
      <c r="L1569" s="538"/>
      <c r="M1569" s="509">
        <f t="shared" si="4321"/>
        <v>0</v>
      </c>
      <c r="N1569" s="647"/>
      <c r="O1569" s="627"/>
      <c r="P1569" s="629"/>
      <c r="Q1569" s="629"/>
    </row>
    <row r="1570" spans="1:17" ht="15.75" hidden="1" thickBot="1">
      <c r="A1570" s="390" t="str">
        <f t="shared" ref="A1570:B1570" si="4402">A1567</f>
        <v>NR/SBR</v>
      </c>
      <c r="B1570" s="391" t="str">
        <f t="shared" si="4402"/>
        <v>particle</v>
      </c>
      <c r="C1570" s="391">
        <f t="shared" ref="C1570" si="4403">C1569</f>
        <v>6</v>
      </c>
      <c r="D1570" s="399" t="str">
        <f t="shared" ref="D1570:E1570" si="4404">D1567</f>
        <v>0,01-0,1</v>
      </c>
      <c r="E1570" s="391">
        <f t="shared" si="4404"/>
        <v>0.1</v>
      </c>
      <c r="F1570" s="400" t="s">
        <v>1147</v>
      </c>
      <c r="G1570" s="386" t="str">
        <f>CONCATENATE("DE: ",A1570," ",B1570," ",D1570," mm (emission to ",F1570,")")</f>
        <v>DE: NR/SBR particle 0,01-0,1 mm (emission to fresh water)</v>
      </c>
      <c r="H1570" s="466">
        <v>0</v>
      </c>
      <c r="I1570" s="388" t="s">
        <v>1153</v>
      </c>
      <c r="J1570" s="634">
        <v>0.22800000000000001</v>
      </c>
      <c r="K1570" s="389">
        <v>43.650000000000013</v>
      </c>
      <c r="L1570" s="536"/>
      <c r="M1570" s="509">
        <f t="shared" si="4321"/>
        <v>0.28636884306987392</v>
      </c>
      <c r="N1570" s="645">
        <f t="shared" ref="N1570" si="4405">IFERROR(H1570*M1570+H1571*M1571+H1572*M1572+H1573*M1573+H1574*M1574,"N.A.")</f>
        <v>0.28636884306987392</v>
      </c>
      <c r="O1570" s="625"/>
      <c r="P1570" s="628">
        <f t="shared" si="4396"/>
        <v>0.28636884306987392</v>
      </c>
      <c r="Q1570" s="628">
        <f t="shared" si="4292"/>
        <v>0.28636884306987392</v>
      </c>
    </row>
    <row r="1571" spans="1:17" ht="15.75" hidden="1" thickBot="1">
      <c r="A1571" s="390" t="str">
        <f t="shared" ref="A1571:B1571" si="4406">A1568</f>
        <v>NR/SBR</v>
      </c>
      <c r="B1571" s="391" t="str">
        <f t="shared" si="4406"/>
        <v>particle</v>
      </c>
      <c r="C1571" s="391">
        <f t="shared" ref="C1571" si="4407">C1570</f>
        <v>6</v>
      </c>
      <c r="D1571" s="391" t="str">
        <f t="shared" ref="D1571:E1571" si="4408">D1568</f>
        <v>0,01-0,1</v>
      </c>
      <c r="E1571" s="391">
        <f t="shared" si="4408"/>
        <v>0.1</v>
      </c>
      <c r="F1571" s="391" t="str">
        <f t="shared" ref="F1571:G1571" si="4409">F1570</f>
        <v>fresh water</v>
      </c>
      <c r="G1571" s="401" t="str">
        <f t="shared" si="4409"/>
        <v>DE: NR/SBR particle 0,01-0,1 mm (emission to fresh water)</v>
      </c>
      <c r="H1571" s="465">
        <v>0</v>
      </c>
      <c r="I1571" s="394" t="s">
        <v>1097</v>
      </c>
      <c r="J1571" s="635"/>
      <c r="K1571" s="389">
        <v>43.650000000000013</v>
      </c>
      <c r="L1571" s="536"/>
      <c r="M1571" s="509">
        <f t="shared" si="4321"/>
        <v>0.28636884306987392</v>
      </c>
      <c r="N1571" s="646"/>
      <c r="O1571" s="626"/>
      <c r="P1571" s="629"/>
      <c r="Q1571" s="629"/>
    </row>
    <row r="1572" spans="1:17" ht="15.75" hidden="1" thickBot="1">
      <c r="A1572" s="390" t="str">
        <f t="shared" ref="A1572:B1572" si="4410">A1569</f>
        <v>NR/SBR</v>
      </c>
      <c r="B1572" s="391" t="str">
        <f t="shared" si="4410"/>
        <v>particle</v>
      </c>
      <c r="C1572" s="391">
        <f t="shared" ref="C1572" si="4411">C1571</f>
        <v>6</v>
      </c>
      <c r="D1572" s="391" t="str">
        <f t="shared" ref="D1572:E1572" si="4412">D1569</f>
        <v>0,01-0,1</v>
      </c>
      <c r="E1572" s="391">
        <f t="shared" si="4412"/>
        <v>0.1</v>
      </c>
      <c r="F1572" s="391" t="str">
        <f t="shared" ref="F1572:G1572" si="4413">F1571</f>
        <v>fresh water</v>
      </c>
      <c r="G1572" s="401" t="str">
        <f t="shared" si="4413"/>
        <v>DE: NR/SBR particle 0,01-0,1 mm (emission to fresh water)</v>
      </c>
      <c r="H1572" s="465">
        <v>0.89</v>
      </c>
      <c r="I1572" s="394" t="s">
        <v>1162</v>
      </c>
      <c r="J1572" s="635"/>
      <c r="K1572" s="389">
        <v>43.650000000000013</v>
      </c>
      <c r="L1572" s="536"/>
      <c r="M1572" s="509">
        <f t="shared" si="4321"/>
        <v>0.28636884306987392</v>
      </c>
      <c r="N1572" s="646"/>
      <c r="O1572" s="626"/>
      <c r="P1572" s="629"/>
      <c r="Q1572" s="629"/>
    </row>
    <row r="1573" spans="1:17" ht="15.75" hidden="1" thickBot="1">
      <c r="A1573" s="390" t="str">
        <f t="shared" ref="A1573:B1573" si="4414">A1570</f>
        <v>NR/SBR</v>
      </c>
      <c r="B1573" s="391" t="str">
        <f t="shared" si="4414"/>
        <v>particle</v>
      </c>
      <c r="C1573" s="391">
        <f t="shared" ref="C1573" si="4415">C1572</f>
        <v>6</v>
      </c>
      <c r="D1573" s="391" t="str">
        <f t="shared" ref="D1573:E1573" si="4416">D1570</f>
        <v>0,01-0,1</v>
      </c>
      <c r="E1573" s="391">
        <f t="shared" si="4416"/>
        <v>0.1</v>
      </c>
      <c r="F1573" s="391" t="str">
        <f t="shared" ref="F1573:G1573" si="4417">F1572</f>
        <v>fresh water</v>
      </c>
      <c r="G1573" s="401" t="str">
        <f t="shared" si="4417"/>
        <v>DE: NR/SBR particle 0,01-0,1 mm (emission to fresh water)</v>
      </c>
      <c r="H1573" s="465">
        <v>0.11</v>
      </c>
      <c r="I1573" s="394" t="s">
        <v>1163</v>
      </c>
      <c r="J1573" s="635"/>
      <c r="K1573" s="389">
        <v>43.650000000000013</v>
      </c>
      <c r="L1573" s="536"/>
      <c r="M1573" s="509">
        <f t="shared" si="4321"/>
        <v>0.28636884306987392</v>
      </c>
      <c r="N1573" s="646"/>
      <c r="O1573" s="626"/>
      <c r="P1573" s="629"/>
      <c r="Q1573" s="629"/>
    </row>
    <row r="1574" spans="1:17" ht="15.75" hidden="1" thickBot="1">
      <c r="A1574" s="390" t="str">
        <f t="shared" ref="A1574:B1574" si="4418">A1571</f>
        <v>NR/SBR</v>
      </c>
      <c r="B1574" s="391" t="str">
        <f t="shared" si="4418"/>
        <v>particle</v>
      </c>
      <c r="C1574" s="391">
        <f t="shared" ref="C1574" si="4419">C1573</f>
        <v>6</v>
      </c>
      <c r="D1574" s="391" t="str">
        <f t="shared" ref="D1574:E1574" si="4420">D1571</f>
        <v>0,01-0,1</v>
      </c>
      <c r="E1574" s="391">
        <f t="shared" si="4420"/>
        <v>0.1</v>
      </c>
      <c r="F1574" s="402" t="str">
        <f>F1571</f>
        <v>fresh water</v>
      </c>
      <c r="G1574" s="401" t="str">
        <f t="shared" ref="G1574" si="4421">G1573</f>
        <v>DE: NR/SBR particle 0,01-0,1 mm (emission to fresh water)</v>
      </c>
      <c r="H1574" s="465">
        <v>0</v>
      </c>
      <c r="I1574" s="397" t="s">
        <v>1034</v>
      </c>
      <c r="J1574" s="654"/>
      <c r="K1574" s="398" t="s">
        <v>596</v>
      </c>
      <c r="L1574" s="538"/>
      <c r="M1574" s="509">
        <f t="shared" si="4321"/>
        <v>0</v>
      </c>
      <c r="N1574" s="647"/>
      <c r="O1574" s="627"/>
      <c r="P1574" s="629"/>
      <c r="Q1574" s="629"/>
    </row>
    <row r="1575" spans="1:17" ht="15" hidden="1" customHeight="1">
      <c r="A1575" s="390" t="str">
        <f t="shared" ref="A1575:B1575" si="4422">A1572</f>
        <v>NR/SBR</v>
      </c>
      <c r="B1575" s="391" t="str">
        <f t="shared" si="4422"/>
        <v>particle</v>
      </c>
      <c r="C1575" s="391">
        <f t="shared" ref="C1575" si="4423">C1574</f>
        <v>6</v>
      </c>
      <c r="D1575" s="391" t="str">
        <f t="shared" ref="D1575:E1575" si="4424">D1572</f>
        <v>0,01-0,1</v>
      </c>
      <c r="E1575" s="391">
        <f t="shared" si="4424"/>
        <v>0.1</v>
      </c>
      <c r="F1575" s="385" t="s">
        <v>1097</v>
      </c>
      <c r="G1575" s="422" t="str">
        <f>CONCATENATE("DE: ",A1575," ",B1575," ",D1575," mm (emission to ",F1575,")")</f>
        <v>DE: NR/SBR particle 0,01-0,1 mm (emission to marine water)</v>
      </c>
      <c r="H1575" s="467">
        <v>0</v>
      </c>
      <c r="I1575" s="388" t="s">
        <v>1153</v>
      </c>
      <c r="J1575" s="634">
        <v>0.22800000000000001</v>
      </c>
      <c r="K1575" s="389">
        <v>43.650000000000013</v>
      </c>
      <c r="L1575" s="536"/>
      <c r="M1575" s="509">
        <f t="shared" si="4321"/>
        <v>0.28636884306987392</v>
      </c>
      <c r="N1575" s="645">
        <f t="shared" ref="N1575" si="4425">IFERROR(H1575*M1575+H1576*M1576+H1577*M1577+H1578*M1578+H1579*M1579,"N.A.")</f>
        <v>0.28636884306987392</v>
      </c>
      <c r="O1575" s="625"/>
      <c r="P1575" s="628">
        <f t="shared" si="4396"/>
        <v>0.28636884306987392</v>
      </c>
      <c r="Q1575" s="628">
        <f t="shared" si="4292"/>
        <v>0.28636884306987392</v>
      </c>
    </row>
    <row r="1576" spans="1:17" ht="15" hidden="1" customHeight="1">
      <c r="A1576" s="390" t="str">
        <f t="shared" ref="A1576:B1576" si="4426">A1573</f>
        <v>NR/SBR</v>
      </c>
      <c r="B1576" s="391" t="str">
        <f t="shared" si="4426"/>
        <v>particle</v>
      </c>
      <c r="C1576" s="391">
        <f t="shared" ref="C1576" si="4427">C1575</f>
        <v>6</v>
      </c>
      <c r="D1576" s="391" t="str">
        <f t="shared" ref="D1576:E1576" si="4428">D1573</f>
        <v>0,01-0,1</v>
      </c>
      <c r="E1576" s="391">
        <f t="shared" si="4428"/>
        <v>0.1</v>
      </c>
      <c r="F1576" s="391" t="str">
        <f t="shared" ref="F1576:G1576" si="4429">F1575</f>
        <v>marine water</v>
      </c>
      <c r="G1576" s="401" t="str">
        <f t="shared" si="4429"/>
        <v>DE: NR/SBR particle 0,01-0,1 mm (emission to marine water)</v>
      </c>
      <c r="H1576" s="465">
        <v>0</v>
      </c>
      <c r="I1576" s="394" t="s">
        <v>1097</v>
      </c>
      <c r="J1576" s="635"/>
      <c r="K1576" s="389">
        <v>43.650000000000013</v>
      </c>
      <c r="L1576" s="536"/>
      <c r="M1576" s="509">
        <f t="shared" si="4321"/>
        <v>0.28636884306987392</v>
      </c>
      <c r="N1576" s="646"/>
      <c r="O1576" s="626"/>
      <c r="P1576" s="629"/>
      <c r="Q1576" s="629"/>
    </row>
    <row r="1577" spans="1:17" ht="15" hidden="1" customHeight="1">
      <c r="A1577" s="390" t="str">
        <f t="shared" ref="A1577:B1577" si="4430">A1574</f>
        <v>NR/SBR</v>
      </c>
      <c r="B1577" s="391" t="str">
        <f t="shared" si="4430"/>
        <v>particle</v>
      </c>
      <c r="C1577" s="391">
        <f t="shared" ref="C1577" si="4431">C1576</f>
        <v>6</v>
      </c>
      <c r="D1577" s="391" t="str">
        <f t="shared" ref="D1577:E1577" si="4432">D1574</f>
        <v>0,01-0,1</v>
      </c>
      <c r="E1577" s="391">
        <f t="shared" si="4432"/>
        <v>0.1</v>
      </c>
      <c r="F1577" s="391" t="str">
        <f t="shared" ref="F1577:G1577" si="4433">F1576</f>
        <v>marine water</v>
      </c>
      <c r="G1577" s="401" t="str">
        <f t="shared" si="4433"/>
        <v>DE: NR/SBR particle 0,01-0,1 mm (emission to marine water)</v>
      </c>
      <c r="H1577" s="465">
        <v>0</v>
      </c>
      <c r="I1577" s="394" t="s">
        <v>1162</v>
      </c>
      <c r="J1577" s="635"/>
      <c r="K1577" s="389">
        <v>43.650000000000013</v>
      </c>
      <c r="L1577" s="536"/>
      <c r="M1577" s="509">
        <f t="shared" si="4321"/>
        <v>0.28636884306987392</v>
      </c>
      <c r="N1577" s="646"/>
      <c r="O1577" s="626"/>
      <c r="P1577" s="629"/>
      <c r="Q1577" s="629"/>
    </row>
    <row r="1578" spans="1:17" ht="15" hidden="1" customHeight="1">
      <c r="A1578" s="390" t="str">
        <f t="shared" ref="A1578:B1578" si="4434">A1575</f>
        <v>NR/SBR</v>
      </c>
      <c r="B1578" s="391" t="str">
        <f t="shared" si="4434"/>
        <v>particle</v>
      </c>
      <c r="C1578" s="391">
        <f t="shared" ref="C1578" si="4435">C1577</f>
        <v>6</v>
      </c>
      <c r="D1578" s="391" t="str">
        <f t="shared" ref="D1578:E1578" si="4436">D1575</f>
        <v>0,01-0,1</v>
      </c>
      <c r="E1578" s="391">
        <f t="shared" si="4436"/>
        <v>0.1</v>
      </c>
      <c r="F1578" s="391" t="str">
        <f t="shared" ref="F1578:G1578" si="4437">F1577</f>
        <v>marine water</v>
      </c>
      <c r="G1578" s="401" t="str">
        <f t="shared" si="4437"/>
        <v>DE: NR/SBR particle 0,01-0,1 mm (emission to marine water)</v>
      </c>
      <c r="H1578" s="465">
        <v>1</v>
      </c>
      <c r="I1578" s="394" t="s">
        <v>1163</v>
      </c>
      <c r="J1578" s="635"/>
      <c r="K1578" s="389">
        <v>43.650000000000013</v>
      </c>
      <c r="L1578" s="536"/>
      <c r="M1578" s="509">
        <f t="shared" si="4321"/>
        <v>0.28636884306987392</v>
      </c>
      <c r="N1578" s="646"/>
      <c r="O1578" s="626"/>
      <c r="P1578" s="629"/>
      <c r="Q1578" s="629"/>
    </row>
    <row r="1579" spans="1:17" ht="15" hidden="1" customHeight="1">
      <c r="A1579" s="390" t="str">
        <f t="shared" ref="A1579:B1579" si="4438">A1576</f>
        <v>NR/SBR</v>
      </c>
      <c r="B1579" s="391" t="str">
        <f t="shared" si="4438"/>
        <v>particle</v>
      </c>
      <c r="C1579" s="391">
        <f t="shared" ref="C1579" si="4439">C1578</f>
        <v>6</v>
      </c>
      <c r="D1579" s="391" t="str">
        <f t="shared" ref="D1579:E1579" si="4440">D1576</f>
        <v>0,01-0,1</v>
      </c>
      <c r="E1579" s="391">
        <f t="shared" si="4440"/>
        <v>0.1</v>
      </c>
      <c r="F1579" s="391" t="str">
        <f t="shared" ref="F1579:G1579" si="4441">F1578</f>
        <v>marine water</v>
      </c>
      <c r="G1579" s="401" t="str">
        <f t="shared" si="4441"/>
        <v>DE: NR/SBR particle 0,01-0,1 mm (emission to marine water)</v>
      </c>
      <c r="H1579" s="465">
        <v>0</v>
      </c>
      <c r="I1579" s="397" t="s">
        <v>1034</v>
      </c>
      <c r="J1579" s="654"/>
      <c r="K1579" s="398" t="s">
        <v>596</v>
      </c>
      <c r="L1579" s="538"/>
      <c r="M1579" s="509">
        <f t="shared" si="4321"/>
        <v>0</v>
      </c>
      <c r="N1579" s="647"/>
      <c r="O1579" s="627"/>
      <c r="P1579" s="629"/>
      <c r="Q1579" s="629"/>
    </row>
    <row r="1580" spans="1:17" ht="15.75" hidden="1" thickBot="1">
      <c r="A1580" s="390" t="str">
        <f t="shared" ref="A1580:B1580" si="4442">A1577</f>
        <v>NR/SBR</v>
      </c>
      <c r="B1580" s="391" t="str">
        <f t="shared" si="4442"/>
        <v>particle</v>
      </c>
      <c r="C1580" s="391">
        <f t="shared" ref="C1580" si="4443">C1579</f>
        <v>6</v>
      </c>
      <c r="D1580" s="391" t="str">
        <f t="shared" ref="D1580:E1580" si="4444">D1577</f>
        <v>0,01-0,1</v>
      </c>
      <c r="E1580" s="391">
        <f t="shared" si="4444"/>
        <v>0.1</v>
      </c>
      <c r="F1580" s="400" t="s">
        <v>1057</v>
      </c>
      <c r="G1580" s="422" t="str">
        <f>CONCATENATE("DE: ",A1580," ",B1580," ",D1580," mm (emission to ",F1580,")")</f>
        <v>DE: NR/SBR particle 0,01-0,1 mm (emission to air)</v>
      </c>
      <c r="H1580" s="467">
        <v>0.94799999999999995</v>
      </c>
      <c r="I1580" s="388" t="s">
        <v>1153</v>
      </c>
      <c r="J1580" s="634">
        <v>0.22800000000000001</v>
      </c>
      <c r="K1580" s="389">
        <v>43.650000000000013</v>
      </c>
      <c r="L1580" s="536"/>
      <c r="M1580" s="509">
        <f t="shared" si="4321"/>
        <v>0.28636884306987392</v>
      </c>
      <c r="N1580" s="645">
        <f t="shared" ref="N1580" si="4445">IFERROR(H1580*M1580+H1581*M1581+H1582*M1582+H1583*M1583+H1584*M1584,"N.A.")</f>
        <v>0.28636884306987392</v>
      </c>
      <c r="O1580" s="625"/>
      <c r="P1580" s="628">
        <f t="shared" si="4396"/>
        <v>0.28636884306987392</v>
      </c>
      <c r="Q1580" s="628">
        <f t="shared" si="4292"/>
        <v>0.28636884306987392</v>
      </c>
    </row>
    <row r="1581" spans="1:17" ht="15.75" hidden="1" thickBot="1">
      <c r="A1581" s="390" t="str">
        <f t="shared" ref="A1581:B1581" si="4446">A1578</f>
        <v>NR/SBR</v>
      </c>
      <c r="B1581" s="391" t="str">
        <f t="shared" si="4446"/>
        <v>particle</v>
      </c>
      <c r="C1581" s="391">
        <f t="shared" ref="C1581" si="4447">C1580</f>
        <v>6</v>
      </c>
      <c r="D1581" s="391" t="str">
        <f t="shared" ref="D1581:E1581" si="4448">D1578</f>
        <v>0,01-0,1</v>
      </c>
      <c r="E1581" s="391">
        <f t="shared" si="4448"/>
        <v>0.1</v>
      </c>
      <c r="F1581" s="391" t="str">
        <f t="shared" ref="F1581:G1581" si="4449">F1580</f>
        <v>air</v>
      </c>
      <c r="G1581" s="401" t="str">
        <f t="shared" si="4449"/>
        <v>DE: NR/SBR particle 0,01-0,1 mm (emission to air)</v>
      </c>
      <c r="H1581" s="465">
        <v>0</v>
      </c>
      <c r="I1581" s="394" t="s">
        <v>1097</v>
      </c>
      <c r="J1581" s="635"/>
      <c r="K1581" s="389">
        <v>43.650000000000013</v>
      </c>
      <c r="L1581" s="536"/>
      <c r="M1581" s="509">
        <f t="shared" si="4321"/>
        <v>0.28636884306987392</v>
      </c>
      <c r="N1581" s="646"/>
      <c r="O1581" s="626"/>
      <c r="P1581" s="629"/>
      <c r="Q1581" s="629"/>
    </row>
    <row r="1582" spans="1:17" ht="15.75" hidden="1" thickBot="1">
      <c r="A1582" s="390" t="str">
        <f t="shared" ref="A1582:B1582" si="4450">A1579</f>
        <v>NR/SBR</v>
      </c>
      <c r="B1582" s="391" t="str">
        <f t="shared" si="4450"/>
        <v>particle</v>
      </c>
      <c r="C1582" s="391">
        <f t="shared" ref="C1582" si="4451">C1581</f>
        <v>6</v>
      </c>
      <c r="D1582" s="391" t="str">
        <f t="shared" ref="D1582:E1582" si="4452">D1579</f>
        <v>0,01-0,1</v>
      </c>
      <c r="E1582" s="391">
        <f t="shared" si="4452"/>
        <v>0.1</v>
      </c>
      <c r="F1582" s="391" t="str">
        <f t="shared" ref="F1582:G1582" si="4453">F1581</f>
        <v>air</v>
      </c>
      <c r="G1582" s="401" t="str">
        <f t="shared" si="4453"/>
        <v>DE: NR/SBR particle 0,01-0,1 mm (emission to air)</v>
      </c>
      <c r="H1582" s="465">
        <v>4.7E-2</v>
      </c>
      <c r="I1582" s="394" t="s">
        <v>1162</v>
      </c>
      <c r="J1582" s="635"/>
      <c r="K1582" s="389">
        <v>43.650000000000013</v>
      </c>
      <c r="L1582" s="536"/>
      <c r="M1582" s="509">
        <f t="shared" si="4321"/>
        <v>0.28636884306987392</v>
      </c>
      <c r="N1582" s="646"/>
      <c r="O1582" s="626"/>
      <c r="P1582" s="629"/>
      <c r="Q1582" s="629"/>
    </row>
    <row r="1583" spans="1:17" ht="15.75" hidden="1" thickBot="1">
      <c r="A1583" s="390" t="str">
        <f t="shared" ref="A1583:B1583" si="4454">A1580</f>
        <v>NR/SBR</v>
      </c>
      <c r="B1583" s="391" t="str">
        <f t="shared" si="4454"/>
        <v>particle</v>
      </c>
      <c r="C1583" s="391">
        <f t="shared" ref="C1583" si="4455">C1582</f>
        <v>6</v>
      </c>
      <c r="D1583" s="391" t="str">
        <f t="shared" ref="D1583:E1583" si="4456">D1580</f>
        <v>0,01-0,1</v>
      </c>
      <c r="E1583" s="391">
        <f t="shared" si="4456"/>
        <v>0.1</v>
      </c>
      <c r="F1583" s="391" t="str">
        <f t="shared" ref="F1583:G1583" si="4457">F1582</f>
        <v>air</v>
      </c>
      <c r="G1583" s="401" t="str">
        <f t="shared" si="4457"/>
        <v>DE: NR/SBR particle 0,01-0,1 mm (emission to air)</v>
      </c>
      <c r="H1583" s="465">
        <v>5.0000000000000001E-3</v>
      </c>
      <c r="I1583" s="394" t="s">
        <v>1163</v>
      </c>
      <c r="J1583" s="635"/>
      <c r="K1583" s="389">
        <v>43.650000000000013</v>
      </c>
      <c r="L1583" s="536"/>
      <c r="M1583" s="509">
        <f t="shared" si="4321"/>
        <v>0.28636884306987392</v>
      </c>
      <c r="N1583" s="646"/>
      <c r="O1583" s="626"/>
      <c r="P1583" s="629"/>
      <c r="Q1583" s="629"/>
    </row>
    <row r="1584" spans="1:17" ht="15.75" hidden="1" thickBot="1">
      <c r="A1584" s="404" t="str">
        <f t="shared" ref="A1584:B1584" si="4458">A1579</f>
        <v>NR/SBR</v>
      </c>
      <c r="B1584" s="402" t="str">
        <f t="shared" si="4458"/>
        <v>particle</v>
      </c>
      <c r="C1584" s="391">
        <f t="shared" ref="C1584" si="4459">C1583</f>
        <v>6</v>
      </c>
      <c r="D1584" s="402" t="str">
        <f t="shared" ref="D1584:E1584" si="4460">D1579</f>
        <v>0,01-0,1</v>
      </c>
      <c r="E1584" s="402">
        <f t="shared" si="4460"/>
        <v>0.1</v>
      </c>
      <c r="F1584" s="391" t="str">
        <f t="shared" ref="F1584:G1584" si="4461">F1583</f>
        <v>air</v>
      </c>
      <c r="G1584" s="401" t="str">
        <f t="shared" si="4461"/>
        <v>DE: NR/SBR particle 0,01-0,1 mm (emission to air)</v>
      </c>
      <c r="H1584" s="465">
        <v>0</v>
      </c>
      <c r="I1584" s="394" t="s">
        <v>1034</v>
      </c>
      <c r="J1584" s="636"/>
      <c r="K1584" s="398" t="s">
        <v>596</v>
      </c>
      <c r="L1584" s="538"/>
      <c r="M1584" s="509">
        <f t="shared" si="4321"/>
        <v>0</v>
      </c>
      <c r="N1584" s="647"/>
      <c r="O1584" s="627"/>
      <c r="P1584" s="629"/>
      <c r="Q1584" s="629"/>
    </row>
    <row r="1585" spans="1:17" ht="16.5" hidden="1" thickTop="1" thickBot="1">
      <c r="A1585" s="405" t="s">
        <v>191</v>
      </c>
      <c r="B1585" s="406" t="s">
        <v>1152</v>
      </c>
      <c r="C1585" s="407">
        <v>6</v>
      </c>
      <c r="D1585" s="423" t="s">
        <v>1028</v>
      </c>
      <c r="E1585" s="408">
        <v>1</v>
      </c>
      <c r="F1585" s="424" t="s">
        <v>1019</v>
      </c>
      <c r="G1585" s="425" t="str">
        <f>CONCATENATE("DE: ",A1585," ",B1585," ",D1585," mm (emission to ",F1585,")")</f>
        <v>DE: NR/SBR particle 0,1-1 mm (emission to soil)</v>
      </c>
      <c r="H1585" s="464">
        <v>0.97</v>
      </c>
      <c r="I1585" s="427" t="s">
        <v>1153</v>
      </c>
      <c r="J1585" s="632">
        <v>0.22800000000000001</v>
      </c>
      <c r="K1585" s="449">
        <v>43.650000000000013</v>
      </c>
      <c r="L1585" s="536"/>
      <c r="M1585" s="509">
        <f t="shared" si="4321"/>
        <v>2.8636884306987391</v>
      </c>
      <c r="N1585" s="645">
        <f t="shared" ref="N1585" si="4462">IFERROR(H1585*M1585+H1586*M1586+H1587*M1587+H1588*M1588+H1589*M1589,"N.A.")</f>
        <v>2.8636884306987391</v>
      </c>
      <c r="O1585" s="625"/>
      <c r="P1585" s="628">
        <f t="shared" si="4396"/>
        <v>2.8636884306987391</v>
      </c>
      <c r="Q1585" s="628">
        <f t="shared" si="4292"/>
        <v>2.8636884306987391</v>
      </c>
    </row>
    <row r="1586" spans="1:17" ht="15.75" hidden="1" thickBot="1">
      <c r="A1586" s="390" t="str">
        <f>A1585</f>
        <v>NR/SBR</v>
      </c>
      <c r="B1586" s="391" t="str">
        <f>B1585</f>
        <v>particle</v>
      </c>
      <c r="C1586" s="391">
        <f t="shared" ref="C1586:G1586" si="4463">C1585</f>
        <v>6</v>
      </c>
      <c r="D1586" s="391" t="str">
        <f t="shared" si="4463"/>
        <v>0,1-1</v>
      </c>
      <c r="E1586" s="391">
        <f t="shared" si="4463"/>
        <v>1</v>
      </c>
      <c r="F1586" s="391" t="str">
        <f t="shared" si="4463"/>
        <v>soil</v>
      </c>
      <c r="G1586" s="392" t="str">
        <f t="shared" si="4463"/>
        <v>DE: NR/SBR particle 0,1-1 mm (emission to soil)</v>
      </c>
      <c r="H1586" s="465">
        <v>0</v>
      </c>
      <c r="I1586" s="394" t="s">
        <v>1097</v>
      </c>
      <c r="J1586" s="632"/>
      <c r="K1586" s="395">
        <v>43.650000000000013</v>
      </c>
      <c r="L1586" s="537"/>
      <c r="M1586" s="509">
        <f t="shared" si="4321"/>
        <v>2.8636884306987391</v>
      </c>
      <c r="N1586" s="646"/>
      <c r="O1586" s="626"/>
      <c r="P1586" s="629"/>
      <c r="Q1586" s="629"/>
    </row>
    <row r="1587" spans="1:17" ht="15.75" hidden="1" thickBot="1">
      <c r="A1587" s="390" t="str">
        <f t="shared" ref="A1587:G1587" si="4464">A1586</f>
        <v>NR/SBR</v>
      </c>
      <c r="B1587" s="391" t="str">
        <f t="shared" si="4464"/>
        <v>particle</v>
      </c>
      <c r="C1587" s="391">
        <f t="shared" si="4464"/>
        <v>6</v>
      </c>
      <c r="D1587" s="391" t="str">
        <f t="shared" si="4464"/>
        <v>0,1-1</v>
      </c>
      <c r="E1587" s="391">
        <f t="shared" si="4464"/>
        <v>1</v>
      </c>
      <c r="F1587" s="391" t="str">
        <f t="shared" si="4464"/>
        <v>soil</v>
      </c>
      <c r="G1587" s="392" t="str">
        <f t="shared" si="4464"/>
        <v>DE: NR/SBR particle 0,1-1 mm (emission to soil)</v>
      </c>
      <c r="H1587" s="465">
        <v>2.7E-2</v>
      </c>
      <c r="I1587" s="394" t="s">
        <v>1162</v>
      </c>
      <c r="J1587" s="632"/>
      <c r="K1587" s="395">
        <v>43.650000000000013</v>
      </c>
      <c r="L1587" s="537"/>
      <c r="M1587" s="509">
        <f t="shared" si="4321"/>
        <v>2.8636884306987391</v>
      </c>
      <c r="N1587" s="646"/>
      <c r="O1587" s="626"/>
      <c r="P1587" s="629"/>
      <c r="Q1587" s="629"/>
    </row>
    <row r="1588" spans="1:17" ht="15.75" hidden="1" thickBot="1">
      <c r="A1588" s="390" t="str">
        <f t="shared" ref="A1588:G1588" si="4465">A1587</f>
        <v>NR/SBR</v>
      </c>
      <c r="B1588" s="391" t="str">
        <f t="shared" si="4465"/>
        <v>particle</v>
      </c>
      <c r="C1588" s="391">
        <f t="shared" si="4465"/>
        <v>6</v>
      </c>
      <c r="D1588" s="391" t="str">
        <f t="shared" si="4465"/>
        <v>0,1-1</v>
      </c>
      <c r="E1588" s="391">
        <f t="shared" si="4465"/>
        <v>1</v>
      </c>
      <c r="F1588" s="391" t="str">
        <f t="shared" si="4465"/>
        <v>soil</v>
      </c>
      <c r="G1588" s="392" t="str">
        <f t="shared" si="4465"/>
        <v>DE: NR/SBR particle 0,1-1 mm (emission to soil)</v>
      </c>
      <c r="H1588" s="465">
        <v>3.0000000000000001E-3</v>
      </c>
      <c r="I1588" s="394" t="s">
        <v>1163</v>
      </c>
      <c r="J1588" s="632"/>
      <c r="K1588" s="395">
        <v>43.650000000000013</v>
      </c>
      <c r="L1588" s="537"/>
      <c r="M1588" s="509">
        <f t="shared" si="4321"/>
        <v>2.8636884306987391</v>
      </c>
      <c r="N1588" s="646"/>
      <c r="O1588" s="626"/>
      <c r="P1588" s="629"/>
      <c r="Q1588" s="629"/>
    </row>
    <row r="1589" spans="1:17" ht="15.75" hidden="1" thickBot="1">
      <c r="A1589" s="390" t="str">
        <f>A1586</f>
        <v>NR/SBR</v>
      </c>
      <c r="B1589" s="391" t="str">
        <f>B1586</f>
        <v>particle</v>
      </c>
      <c r="C1589" s="391">
        <f t="shared" ref="C1589" si="4466">C1588</f>
        <v>6</v>
      </c>
      <c r="D1589" s="391" t="str">
        <f>D1586</f>
        <v>0,1-1</v>
      </c>
      <c r="E1589" s="391">
        <f>E1586</f>
        <v>1</v>
      </c>
      <c r="F1589" s="391" t="str">
        <f>F1586</f>
        <v>soil</v>
      </c>
      <c r="G1589" s="396" t="str">
        <f t="shared" ref="G1589" si="4467">G1588</f>
        <v>DE: NR/SBR particle 0,1-1 mm (emission to soil)</v>
      </c>
      <c r="H1589" s="465">
        <v>0</v>
      </c>
      <c r="I1589" s="397" t="s">
        <v>1034</v>
      </c>
      <c r="J1589" s="633"/>
      <c r="K1589" s="398" t="s">
        <v>596</v>
      </c>
      <c r="L1589" s="538"/>
      <c r="M1589" s="509">
        <f t="shared" si="4321"/>
        <v>0</v>
      </c>
      <c r="N1589" s="647"/>
      <c r="O1589" s="627"/>
      <c r="P1589" s="629"/>
      <c r="Q1589" s="629"/>
    </row>
    <row r="1590" spans="1:17" ht="15.75" hidden="1" thickBot="1">
      <c r="A1590" s="390" t="str">
        <f t="shared" ref="A1590:B1590" si="4468">A1587</f>
        <v>NR/SBR</v>
      </c>
      <c r="B1590" s="391" t="str">
        <f t="shared" si="4468"/>
        <v>particle</v>
      </c>
      <c r="C1590" s="391">
        <f t="shared" ref="C1590" si="4469">C1589</f>
        <v>6</v>
      </c>
      <c r="D1590" s="399" t="str">
        <f t="shared" ref="D1590:E1590" si="4470">D1587</f>
        <v>0,1-1</v>
      </c>
      <c r="E1590" s="391">
        <f t="shared" si="4470"/>
        <v>1</v>
      </c>
      <c r="F1590" s="400" t="s">
        <v>1147</v>
      </c>
      <c r="G1590" s="386" t="str">
        <f>CONCATENATE("DE: ",A1590," ",B1590," ",D1590," mm (emission to ",F1590,")")</f>
        <v>DE: NR/SBR particle 0,1-1 mm (emission to fresh water)</v>
      </c>
      <c r="H1590" s="466">
        <v>0</v>
      </c>
      <c r="I1590" s="388" t="s">
        <v>1153</v>
      </c>
      <c r="J1590" s="634">
        <v>0.22800000000000001</v>
      </c>
      <c r="K1590" s="389">
        <v>43.650000000000013</v>
      </c>
      <c r="L1590" s="536"/>
      <c r="M1590" s="509">
        <f t="shared" si="4321"/>
        <v>2.8636884306987391</v>
      </c>
      <c r="N1590" s="645">
        <f t="shared" ref="N1590" si="4471">IFERROR(H1590*M1590+H1591*M1591+H1592*M1592+H1593*M1593+H1594*M1594,"N.A.")</f>
        <v>2.8636884306987391</v>
      </c>
      <c r="O1590" s="625"/>
      <c r="P1590" s="628">
        <f t="shared" si="4396"/>
        <v>2.8636884306987391</v>
      </c>
      <c r="Q1590" s="628">
        <f t="shared" si="4292"/>
        <v>2.8636884306987391</v>
      </c>
    </row>
    <row r="1591" spans="1:17" ht="15.75" hidden="1" thickBot="1">
      <c r="A1591" s="390" t="str">
        <f t="shared" ref="A1591:B1591" si="4472">A1588</f>
        <v>NR/SBR</v>
      </c>
      <c r="B1591" s="391" t="str">
        <f t="shared" si="4472"/>
        <v>particle</v>
      </c>
      <c r="C1591" s="391">
        <f t="shared" ref="C1591" si="4473">C1590</f>
        <v>6</v>
      </c>
      <c r="D1591" s="391" t="str">
        <f t="shared" ref="D1591:E1591" si="4474">D1588</f>
        <v>0,1-1</v>
      </c>
      <c r="E1591" s="391">
        <f t="shared" si="4474"/>
        <v>1</v>
      </c>
      <c r="F1591" s="391" t="str">
        <f t="shared" ref="F1591:G1591" si="4475">F1590</f>
        <v>fresh water</v>
      </c>
      <c r="G1591" s="401" t="str">
        <f t="shared" si="4475"/>
        <v>DE: NR/SBR particle 0,1-1 mm (emission to fresh water)</v>
      </c>
      <c r="H1591" s="465">
        <v>0</v>
      </c>
      <c r="I1591" s="394" t="s">
        <v>1097</v>
      </c>
      <c r="J1591" s="635"/>
      <c r="K1591" s="389">
        <v>43.650000000000013</v>
      </c>
      <c r="L1591" s="536"/>
      <c r="M1591" s="509">
        <f t="shared" si="4321"/>
        <v>2.8636884306987391</v>
      </c>
      <c r="N1591" s="646"/>
      <c r="O1591" s="626"/>
      <c r="P1591" s="629"/>
      <c r="Q1591" s="629"/>
    </row>
    <row r="1592" spans="1:17" ht="15.75" hidden="1" thickBot="1">
      <c r="A1592" s="390" t="str">
        <f t="shared" ref="A1592:B1592" si="4476">A1589</f>
        <v>NR/SBR</v>
      </c>
      <c r="B1592" s="391" t="str">
        <f t="shared" si="4476"/>
        <v>particle</v>
      </c>
      <c r="C1592" s="391">
        <f t="shared" ref="C1592" si="4477">C1591</f>
        <v>6</v>
      </c>
      <c r="D1592" s="391" t="str">
        <f t="shared" ref="D1592:E1592" si="4478">D1589</f>
        <v>0,1-1</v>
      </c>
      <c r="E1592" s="391">
        <f t="shared" si="4478"/>
        <v>1</v>
      </c>
      <c r="F1592" s="391" t="str">
        <f t="shared" ref="F1592:G1592" si="4479">F1591</f>
        <v>fresh water</v>
      </c>
      <c r="G1592" s="401" t="str">
        <f t="shared" si="4479"/>
        <v>DE: NR/SBR particle 0,1-1 mm (emission to fresh water)</v>
      </c>
      <c r="H1592" s="465">
        <v>0.89</v>
      </c>
      <c r="I1592" s="394" t="s">
        <v>1162</v>
      </c>
      <c r="J1592" s="635"/>
      <c r="K1592" s="389">
        <v>43.650000000000013</v>
      </c>
      <c r="L1592" s="536"/>
      <c r="M1592" s="509">
        <f t="shared" si="4321"/>
        <v>2.8636884306987391</v>
      </c>
      <c r="N1592" s="646"/>
      <c r="O1592" s="626"/>
      <c r="P1592" s="629"/>
      <c r="Q1592" s="629"/>
    </row>
    <row r="1593" spans="1:17" ht="15.75" hidden="1" thickBot="1">
      <c r="A1593" s="390" t="str">
        <f t="shared" ref="A1593:B1593" si="4480">A1590</f>
        <v>NR/SBR</v>
      </c>
      <c r="B1593" s="391" t="str">
        <f t="shared" si="4480"/>
        <v>particle</v>
      </c>
      <c r="C1593" s="391">
        <f t="shared" ref="C1593" si="4481">C1592</f>
        <v>6</v>
      </c>
      <c r="D1593" s="391" t="str">
        <f t="shared" ref="D1593:E1593" si="4482">D1590</f>
        <v>0,1-1</v>
      </c>
      <c r="E1593" s="391">
        <f t="shared" si="4482"/>
        <v>1</v>
      </c>
      <c r="F1593" s="391" t="str">
        <f t="shared" ref="F1593:G1593" si="4483">F1592</f>
        <v>fresh water</v>
      </c>
      <c r="G1593" s="401" t="str">
        <f t="shared" si="4483"/>
        <v>DE: NR/SBR particle 0,1-1 mm (emission to fresh water)</v>
      </c>
      <c r="H1593" s="465">
        <v>0.11</v>
      </c>
      <c r="I1593" s="394" t="s">
        <v>1163</v>
      </c>
      <c r="J1593" s="635"/>
      <c r="K1593" s="389">
        <v>43.650000000000013</v>
      </c>
      <c r="L1593" s="536"/>
      <c r="M1593" s="509">
        <f t="shared" si="4321"/>
        <v>2.8636884306987391</v>
      </c>
      <c r="N1593" s="646"/>
      <c r="O1593" s="626"/>
      <c r="P1593" s="629"/>
      <c r="Q1593" s="629"/>
    </row>
    <row r="1594" spans="1:17" ht="15.75" hidden="1" thickBot="1">
      <c r="A1594" s="390" t="str">
        <f t="shared" ref="A1594:B1594" si="4484">A1591</f>
        <v>NR/SBR</v>
      </c>
      <c r="B1594" s="391" t="str">
        <f t="shared" si="4484"/>
        <v>particle</v>
      </c>
      <c r="C1594" s="391">
        <f t="shared" ref="C1594" si="4485">C1593</f>
        <v>6</v>
      </c>
      <c r="D1594" s="391" t="str">
        <f t="shared" ref="D1594:E1594" si="4486">D1591</f>
        <v>0,1-1</v>
      </c>
      <c r="E1594" s="391">
        <f t="shared" si="4486"/>
        <v>1</v>
      </c>
      <c r="F1594" s="402" t="str">
        <f>F1591</f>
        <v>fresh water</v>
      </c>
      <c r="G1594" s="401" t="str">
        <f t="shared" ref="G1594" si="4487">G1593</f>
        <v>DE: NR/SBR particle 0,1-1 mm (emission to fresh water)</v>
      </c>
      <c r="H1594" s="465">
        <v>0</v>
      </c>
      <c r="I1594" s="397" t="s">
        <v>1034</v>
      </c>
      <c r="J1594" s="654"/>
      <c r="K1594" s="398" t="s">
        <v>596</v>
      </c>
      <c r="L1594" s="538"/>
      <c r="M1594" s="509">
        <f t="shared" si="4321"/>
        <v>0</v>
      </c>
      <c r="N1594" s="647"/>
      <c r="O1594" s="627"/>
      <c r="P1594" s="629"/>
      <c r="Q1594" s="629"/>
    </row>
    <row r="1595" spans="1:17" ht="15.75" hidden="1" thickBot="1">
      <c r="A1595" s="390" t="str">
        <f t="shared" ref="A1595:B1595" si="4488">A1592</f>
        <v>NR/SBR</v>
      </c>
      <c r="B1595" s="391" t="str">
        <f t="shared" si="4488"/>
        <v>particle</v>
      </c>
      <c r="C1595" s="391">
        <f t="shared" ref="C1595" si="4489">C1594</f>
        <v>6</v>
      </c>
      <c r="D1595" s="391" t="str">
        <f t="shared" ref="D1595:E1595" si="4490">D1592</f>
        <v>0,1-1</v>
      </c>
      <c r="E1595" s="391">
        <f t="shared" si="4490"/>
        <v>1</v>
      </c>
      <c r="F1595" s="385" t="s">
        <v>1097</v>
      </c>
      <c r="G1595" s="422" t="str">
        <f>CONCATENATE("DE: ",A1595," ",B1595," ",D1595," mm (emission to ",F1595,")")</f>
        <v>DE: NR/SBR particle 0,1-1 mm (emission to marine water)</v>
      </c>
      <c r="H1595" s="467">
        <v>0</v>
      </c>
      <c r="I1595" s="388" t="s">
        <v>1153</v>
      </c>
      <c r="J1595" s="634">
        <v>0.22800000000000001</v>
      </c>
      <c r="K1595" s="389">
        <v>43.650000000000013</v>
      </c>
      <c r="L1595" s="536"/>
      <c r="M1595" s="509">
        <f t="shared" si="4321"/>
        <v>2.8636884306987391</v>
      </c>
      <c r="N1595" s="645">
        <f t="shared" ref="N1595" si="4491">IFERROR(H1595*M1595+H1596*M1596+H1597*M1597+H1598*M1598+H1599*M1599,"N.A.")</f>
        <v>2.8636884306987391</v>
      </c>
      <c r="O1595" s="625"/>
      <c r="P1595" s="628">
        <f t="shared" si="4396"/>
        <v>2.8636884306987391</v>
      </c>
      <c r="Q1595" s="628">
        <f t="shared" si="4292"/>
        <v>2.8636884306987391</v>
      </c>
    </row>
    <row r="1596" spans="1:17" ht="15.75" hidden="1" thickBot="1">
      <c r="A1596" s="390" t="str">
        <f t="shared" ref="A1596:B1596" si="4492">A1593</f>
        <v>NR/SBR</v>
      </c>
      <c r="B1596" s="391" t="str">
        <f t="shared" si="4492"/>
        <v>particle</v>
      </c>
      <c r="C1596" s="391">
        <f t="shared" ref="C1596" si="4493">C1595</f>
        <v>6</v>
      </c>
      <c r="D1596" s="391" t="str">
        <f t="shared" ref="D1596:E1596" si="4494">D1593</f>
        <v>0,1-1</v>
      </c>
      <c r="E1596" s="391">
        <f t="shared" si="4494"/>
        <v>1</v>
      </c>
      <c r="F1596" s="391" t="str">
        <f t="shared" ref="F1596:G1596" si="4495">F1595</f>
        <v>marine water</v>
      </c>
      <c r="G1596" s="401" t="str">
        <f t="shared" si="4495"/>
        <v>DE: NR/SBR particle 0,1-1 mm (emission to marine water)</v>
      </c>
      <c r="H1596" s="465">
        <v>0</v>
      </c>
      <c r="I1596" s="394" t="s">
        <v>1097</v>
      </c>
      <c r="J1596" s="635"/>
      <c r="K1596" s="389">
        <v>43.650000000000013</v>
      </c>
      <c r="L1596" s="536"/>
      <c r="M1596" s="509">
        <f t="shared" si="4321"/>
        <v>2.8636884306987391</v>
      </c>
      <c r="N1596" s="646"/>
      <c r="O1596" s="626"/>
      <c r="P1596" s="629"/>
      <c r="Q1596" s="629"/>
    </row>
    <row r="1597" spans="1:17" ht="15.75" hidden="1" thickBot="1">
      <c r="A1597" s="390" t="str">
        <f t="shared" ref="A1597:B1597" si="4496">A1594</f>
        <v>NR/SBR</v>
      </c>
      <c r="B1597" s="391" t="str">
        <f t="shared" si="4496"/>
        <v>particle</v>
      </c>
      <c r="C1597" s="391">
        <f t="shared" ref="C1597" si="4497">C1596</f>
        <v>6</v>
      </c>
      <c r="D1597" s="391" t="str">
        <f t="shared" ref="D1597:E1597" si="4498">D1594</f>
        <v>0,1-1</v>
      </c>
      <c r="E1597" s="391">
        <f t="shared" si="4498"/>
        <v>1</v>
      </c>
      <c r="F1597" s="391" t="str">
        <f t="shared" ref="F1597:G1597" si="4499">F1596</f>
        <v>marine water</v>
      </c>
      <c r="G1597" s="401" t="str">
        <f t="shared" si="4499"/>
        <v>DE: NR/SBR particle 0,1-1 mm (emission to marine water)</v>
      </c>
      <c r="H1597" s="465">
        <v>0</v>
      </c>
      <c r="I1597" s="394" t="s">
        <v>1162</v>
      </c>
      <c r="J1597" s="635"/>
      <c r="K1597" s="389">
        <v>43.650000000000013</v>
      </c>
      <c r="L1597" s="536"/>
      <c r="M1597" s="509">
        <f t="shared" si="4321"/>
        <v>2.8636884306987391</v>
      </c>
      <c r="N1597" s="646"/>
      <c r="O1597" s="626"/>
      <c r="P1597" s="629"/>
      <c r="Q1597" s="629"/>
    </row>
    <row r="1598" spans="1:17" ht="15.75" hidden="1" thickBot="1">
      <c r="A1598" s="390" t="str">
        <f t="shared" ref="A1598:B1598" si="4500">A1595</f>
        <v>NR/SBR</v>
      </c>
      <c r="B1598" s="391" t="str">
        <f t="shared" si="4500"/>
        <v>particle</v>
      </c>
      <c r="C1598" s="391">
        <f t="shared" ref="C1598" si="4501">C1597</f>
        <v>6</v>
      </c>
      <c r="D1598" s="391" t="str">
        <f t="shared" ref="D1598:E1598" si="4502">D1595</f>
        <v>0,1-1</v>
      </c>
      <c r="E1598" s="391">
        <f t="shared" si="4502"/>
        <v>1</v>
      </c>
      <c r="F1598" s="391" t="str">
        <f t="shared" ref="F1598:G1598" si="4503">F1597</f>
        <v>marine water</v>
      </c>
      <c r="G1598" s="401" t="str">
        <f t="shared" si="4503"/>
        <v>DE: NR/SBR particle 0,1-1 mm (emission to marine water)</v>
      </c>
      <c r="H1598" s="465">
        <v>1</v>
      </c>
      <c r="I1598" s="394" t="s">
        <v>1163</v>
      </c>
      <c r="J1598" s="635"/>
      <c r="K1598" s="389">
        <v>43.650000000000013</v>
      </c>
      <c r="L1598" s="536"/>
      <c r="M1598" s="509">
        <f t="shared" si="4321"/>
        <v>2.8636884306987391</v>
      </c>
      <c r="N1598" s="646"/>
      <c r="O1598" s="626"/>
      <c r="P1598" s="629"/>
      <c r="Q1598" s="629"/>
    </row>
    <row r="1599" spans="1:17" ht="15.75" hidden="1" thickBot="1">
      <c r="A1599" s="390" t="str">
        <f t="shared" ref="A1599:B1599" si="4504">A1596</f>
        <v>NR/SBR</v>
      </c>
      <c r="B1599" s="391" t="str">
        <f t="shared" si="4504"/>
        <v>particle</v>
      </c>
      <c r="C1599" s="391">
        <f t="shared" ref="C1599" si="4505">C1598</f>
        <v>6</v>
      </c>
      <c r="D1599" s="391" t="str">
        <f t="shared" ref="D1599:E1599" si="4506">D1596</f>
        <v>0,1-1</v>
      </c>
      <c r="E1599" s="391">
        <f t="shared" si="4506"/>
        <v>1</v>
      </c>
      <c r="F1599" s="391" t="str">
        <f t="shared" ref="F1599:G1599" si="4507">F1598</f>
        <v>marine water</v>
      </c>
      <c r="G1599" s="401" t="str">
        <f t="shared" si="4507"/>
        <v>DE: NR/SBR particle 0,1-1 mm (emission to marine water)</v>
      </c>
      <c r="H1599" s="465">
        <v>0</v>
      </c>
      <c r="I1599" s="397" t="s">
        <v>1034</v>
      </c>
      <c r="J1599" s="654"/>
      <c r="K1599" s="398" t="s">
        <v>596</v>
      </c>
      <c r="L1599" s="538"/>
      <c r="M1599" s="509">
        <f t="shared" si="4321"/>
        <v>0</v>
      </c>
      <c r="N1599" s="647"/>
      <c r="O1599" s="627"/>
      <c r="P1599" s="629"/>
      <c r="Q1599" s="629"/>
    </row>
    <row r="1600" spans="1:17" ht="15.75" hidden="1" thickBot="1">
      <c r="A1600" s="390" t="str">
        <f t="shared" ref="A1600:B1600" si="4508">A1597</f>
        <v>NR/SBR</v>
      </c>
      <c r="B1600" s="391" t="str">
        <f t="shared" si="4508"/>
        <v>particle</v>
      </c>
      <c r="C1600" s="391">
        <f t="shared" ref="C1600" si="4509">C1599</f>
        <v>6</v>
      </c>
      <c r="D1600" s="391" t="str">
        <f t="shared" ref="D1600:E1600" si="4510">D1597</f>
        <v>0,1-1</v>
      </c>
      <c r="E1600" s="391">
        <f t="shared" si="4510"/>
        <v>1</v>
      </c>
      <c r="F1600" s="400" t="s">
        <v>1057</v>
      </c>
      <c r="G1600" s="422" t="str">
        <f>CONCATENATE("DE: ",A1600," ",B1600," ",D1600," mm (emission to ",F1600,")")</f>
        <v>DE: NR/SBR particle 0,1-1 mm (emission to air)</v>
      </c>
      <c r="H1600" s="467">
        <v>0.94799999999999995</v>
      </c>
      <c r="I1600" s="388" t="s">
        <v>1153</v>
      </c>
      <c r="J1600" s="634">
        <v>0.22800000000000001</v>
      </c>
      <c r="K1600" s="389">
        <v>43.650000000000013</v>
      </c>
      <c r="L1600" s="536"/>
      <c r="M1600" s="509">
        <f t="shared" si="4321"/>
        <v>2.8636884306987391</v>
      </c>
      <c r="N1600" s="645">
        <f t="shared" ref="N1600" si="4511">IFERROR(H1600*M1600+H1601*M1601+H1602*M1602+H1603*M1603+H1604*M1604,"N.A.")</f>
        <v>2.8636884306987391</v>
      </c>
      <c r="O1600" s="625"/>
      <c r="P1600" s="628">
        <f t="shared" si="4396"/>
        <v>2.8636884306987391</v>
      </c>
      <c r="Q1600" s="628">
        <f t="shared" ref="Q1600:Q1660" si="4512">IFERROR(IF(H1600*M1600+H1601*M1601+H1602*M1602+H1603*M1603+H1604*M1604&gt;500,500,H1600*M1600+H1601*M1601+H1602*M1602+H1603*M1603+H1604*M1604),"N.A.")</f>
        <v>2.8636884306987391</v>
      </c>
    </row>
    <row r="1601" spans="1:17" ht="15.75" hidden="1" thickBot="1">
      <c r="A1601" s="390" t="str">
        <f t="shared" ref="A1601:B1601" si="4513">A1598</f>
        <v>NR/SBR</v>
      </c>
      <c r="B1601" s="391" t="str">
        <f t="shared" si="4513"/>
        <v>particle</v>
      </c>
      <c r="C1601" s="391">
        <f t="shared" ref="C1601" si="4514">C1600</f>
        <v>6</v>
      </c>
      <c r="D1601" s="391" t="str">
        <f t="shared" ref="D1601:E1601" si="4515">D1598</f>
        <v>0,1-1</v>
      </c>
      <c r="E1601" s="391">
        <f t="shared" si="4515"/>
        <v>1</v>
      </c>
      <c r="F1601" s="391" t="str">
        <f t="shared" ref="F1601:G1601" si="4516">F1600</f>
        <v>air</v>
      </c>
      <c r="G1601" s="401" t="str">
        <f t="shared" si="4516"/>
        <v>DE: NR/SBR particle 0,1-1 mm (emission to air)</v>
      </c>
      <c r="H1601" s="465">
        <v>0</v>
      </c>
      <c r="I1601" s="394" t="s">
        <v>1097</v>
      </c>
      <c r="J1601" s="635"/>
      <c r="K1601" s="389">
        <v>43.650000000000013</v>
      </c>
      <c r="L1601" s="536"/>
      <c r="M1601" s="509">
        <f t="shared" si="4321"/>
        <v>2.8636884306987391</v>
      </c>
      <c r="N1601" s="646"/>
      <c r="O1601" s="626"/>
      <c r="P1601" s="629"/>
      <c r="Q1601" s="629"/>
    </row>
    <row r="1602" spans="1:17" ht="15.75" hidden="1" thickBot="1">
      <c r="A1602" s="390" t="str">
        <f t="shared" ref="A1602:B1602" si="4517">A1599</f>
        <v>NR/SBR</v>
      </c>
      <c r="B1602" s="391" t="str">
        <f t="shared" si="4517"/>
        <v>particle</v>
      </c>
      <c r="C1602" s="391">
        <f t="shared" ref="C1602" si="4518">C1601</f>
        <v>6</v>
      </c>
      <c r="D1602" s="391" t="str">
        <f t="shared" ref="D1602:E1602" si="4519">D1599</f>
        <v>0,1-1</v>
      </c>
      <c r="E1602" s="391">
        <f t="shared" si="4519"/>
        <v>1</v>
      </c>
      <c r="F1602" s="391" t="str">
        <f t="shared" ref="F1602:G1602" si="4520">F1601</f>
        <v>air</v>
      </c>
      <c r="G1602" s="401" t="str">
        <f t="shared" si="4520"/>
        <v>DE: NR/SBR particle 0,1-1 mm (emission to air)</v>
      </c>
      <c r="H1602" s="465">
        <v>4.7E-2</v>
      </c>
      <c r="I1602" s="394" t="s">
        <v>1162</v>
      </c>
      <c r="J1602" s="635"/>
      <c r="K1602" s="389">
        <v>43.650000000000013</v>
      </c>
      <c r="L1602" s="536"/>
      <c r="M1602" s="509">
        <f t="shared" si="4321"/>
        <v>2.8636884306987391</v>
      </c>
      <c r="N1602" s="646"/>
      <c r="O1602" s="626"/>
      <c r="P1602" s="629"/>
      <c r="Q1602" s="629"/>
    </row>
    <row r="1603" spans="1:17" ht="15.75" hidden="1" thickBot="1">
      <c r="A1603" s="390" t="str">
        <f t="shared" ref="A1603:B1603" si="4521">A1600</f>
        <v>NR/SBR</v>
      </c>
      <c r="B1603" s="391" t="str">
        <f t="shared" si="4521"/>
        <v>particle</v>
      </c>
      <c r="C1603" s="391">
        <f t="shared" ref="C1603" si="4522">C1602</f>
        <v>6</v>
      </c>
      <c r="D1603" s="391" t="str">
        <f t="shared" ref="D1603:E1603" si="4523">D1600</f>
        <v>0,1-1</v>
      </c>
      <c r="E1603" s="391">
        <f t="shared" si="4523"/>
        <v>1</v>
      </c>
      <c r="F1603" s="391" t="str">
        <f t="shared" ref="F1603:G1603" si="4524">F1602</f>
        <v>air</v>
      </c>
      <c r="G1603" s="401" t="str">
        <f t="shared" si="4524"/>
        <v>DE: NR/SBR particle 0,1-1 mm (emission to air)</v>
      </c>
      <c r="H1603" s="465">
        <v>5.0000000000000001E-3</v>
      </c>
      <c r="I1603" s="394" t="s">
        <v>1163</v>
      </c>
      <c r="J1603" s="635"/>
      <c r="K1603" s="389">
        <v>43.650000000000013</v>
      </c>
      <c r="L1603" s="536"/>
      <c r="M1603" s="509">
        <f t="shared" si="4321"/>
        <v>2.8636884306987391</v>
      </c>
      <c r="N1603" s="646"/>
      <c r="O1603" s="626"/>
      <c r="P1603" s="629"/>
      <c r="Q1603" s="629"/>
    </row>
    <row r="1604" spans="1:17" ht="15.75" hidden="1" thickBot="1">
      <c r="A1604" s="404" t="str">
        <f t="shared" ref="A1604:B1604" si="4525">A1599</f>
        <v>NR/SBR</v>
      </c>
      <c r="B1604" s="402" t="str">
        <f t="shared" si="4525"/>
        <v>particle</v>
      </c>
      <c r="C1604" s="391">
        <f t="shared" ref="C1604" si="4526">C1603</f>
        <v>6</v>
      </c>
      <c r="D1604" s="402" t="str">
        <f t="shared" ref="D1604:E1604" si="4527">D1599</f>
        <v>0,1-1</v>
      </c>
      <c r="E1604" s="402">
        <f t="shared" si="4527"/>
        <v>1</v>
      </c>
      <c r="F1604" s="391" t="str">
        <f t="shared" ref="F1604:G1604" si="4528">F1603</f>
        <v>air</v>
      </c>
      <c r="G1604" s="401" t="str">
        <f t="shared" si="4528"/>
        <v>DE: NR/SBR particle 0,1-1 mm (emission to air)</v>
      </c>
      <c r="H1604" s="465">
        <v>0</v>
      </c>
      <c r="I1604" s="394" t="s">
        <v>1034</v>
      </c>
      <c r="J1604" s="636"/>
      <c r="K1604" s="398" t="s">
        <v>596</v>
      </c>
      <c r="L1604" s="538"/>
      <c r="M1604" s="509">
        <f t="shared" si="4321"/>
        <v>0</v>
      </c>
      <c r="N1604" s="647"/>
      <c r="O1604" s="627"/>
      <c r="P1604" s="629"/>
      <c r="Q1604" s="629"/>
    </row>
    <row r="1605" spans="1:17" ht="16.5" hidden="1" thickTop="1" thickBot="1">
      <c r="A1605" s="405" t="s">
        <v>191</v>
      </c>
      <c r="B1605" s="406" t="s">
        <v>1152</v>
      </c>
      <c r="C1605" s="407">
        <v>6</v>
      </c>
      <c r="D1605" s="423" t="s">
        <v>1026</v>
      </c>
      <c r="E1605" s="408">
        <v>10</v>
      </c>
      <c r="F1605" s="424" t="s">
        <v>1019</v>
      </c>
      <c r="G1605" s="425" t="str">
        <f>CONCATENATE("DE: ",A1605," ",B1605," ",D1605," mm (emission to ",F1605,")")</f>
        <v>DE: NR/SBR particle 1-10 mm (emission to soil)</v>
      </c>
      <c r="H1605" s="464">
        <v>0.97</v>
      </c>
      <c r="I1605" s="427" t="s">
        <v>1153</v>
      </c>
      <c r="J1605" s="632">
        <v>0.22800000000000001</v>
      </c>
      <c r="K1605" s="449">
        <v>43.650000000000013</v>
      </c>
      <c r="L1605" s="536"/>
      <c r="M1605" s="509">
        <f t="shared" si="4321"/>
        <v>28.63688430698739</v>
      </c>
      <c r="N1605" s="645">
        <f t="shared" ref="N1605" si="4529">IFERROR(H1605*M1605+H1606*M1606+H1607*M1607+H1608*M1608+H1609*M1609,"N.A.")</f>
        <v>28.63688430698739</v>
      </c>
      <c r="O1605" s="625"/>
      <c r="P1605" s="628">
        <f t="shared" si="4396"/>
        <v>28.63688430698739</v>
      </c>
      <c r="Q1605" s="628">
        <f t="shared" si="4512"/>
        <v>28.63688430698739</v>
      </c>
    </row>
    <row r="1606" spans="1:17" ht="15.75" hidden="1" thickBot="1">
      <c r="A1606" s="390" t="str">
        <f>A1605</f>
        <v>NR/SBR</v>
      </c>
      <c r="B1606" s="391" t="str">
        <f>B1605</f>
        <v>particle</v>
      </c>
      <c r="C1606" s="391">
        <f t="shared" ref="C1606:G1606" si="4530">C1605</f>
        <v>6</v>
      </c>
      <c r="D1606" s="391" t="str">
        <f t="shared" si="4530"/>
        <v>1-10</v>
      </c>
      <c r="E1606" s="391">
        <f t="shared" si="4530"/>
        <v>10</v>
      </c>
      <c r="F1606" s="391" t="str">
        <f t="shared" si="4530"/>
        <v>soil</v>
      </c>
      <c r="G1606" s="392" t="str">
        <f t="shared" si="4530"/>
        <v>DE: NR/SBR particle 1-10 mm (emission to soil)</v>
      </c>
      <c r="H1606" s="465">
        <v>0</v>
      </c>
      <c r="I1606" s="394" t="s">
        <v>1097</v>
      </c>
      <c r="J1606" s="632"/>
      <c r="K1606" s="395">
        <v>43.650000000000013</v>
      </c>
      <c r="L1606" s="537"/>
      <c r="M1606" s="509">
        <f t="shared" ref="M1606:M1669" si="4531">IFERROR(IF(K1606="--",0,IF(E1606*1000/K1606*(1-0.5)^(C1606/2)&gt;1000,1000,E1606*1000/K1606*(1-0.5)^(C1606/2))),1000)</f>
        <v>28.63688430698739</v>
      </c>
      <c r="N1606" s="646"/>
      <c r="O1606" s="626"/>
      <c r="P1606" s="629"/>
      <c r="Q1606" s="629"/>
    </row>
    <row r="1607" spans="1:17" ht="15.75" hidden="1" thickBot="1">
      <c r="A1607" s="390" t="str">
        <f t="shared" ref="A1607:G1607" si="4532">A1606</f>
        <v>NR/SBR</v>
      </c>
      <c r="B1607" s="391" t="str">
        <f t="shared" si="4532"/>
        <v>particle</v>
      </c>
      <c r="C1607" s="391">
        <f t="shared" si="4532"/>
        <v>6</v>
      </c>
      <c r="D1607" s="391" t="str">
        <f t="shared" si="4532"/>
        <v>1-10</v>
      </c>
      <c r="E1607" s="391">
        <f t="shared" si="4532"/>
        <v>10</v>
      </c>
      <c r="F1607" s="391" t="str">
        <f t="shared" si="4532"/>
        <v>soil</v>
      </c>
      <c r="G1607" s="392" t="str">
        <f t="shared" si="4532"/>
        <v>DE: NR/SBR particle 1-10 mm (emission to soil)</v>
      </c>
      <c r="H1607" s="465">
        <v>2.7E-2</v>
      </c>
      <c r="I1607" s="394" t="s">
        <v>1162</v>
      </c>
      <c r="J1607" s="632"/>
      <c r="K1607" s="395">
        <v>43.650000000000013</v>
      </c>
      <c r="L1607" s="537"/>
      <c r="M1607" s="509">
        <f t="shared" si="4531"/>
        <v>28.63688430698739</v>
      </c>
      <c r="N1607" s="646"/>
      <c r="O1607" s="626"/>
      <c r="P1607" s="629"/>
      <c r="Q1607" s="629"/>
    </row>
    <row r="1608" spans="1:17" ht="15.75" hidden="1" thickBot="1">
      <c r="A1608" s="390" t="str">
        <f t="shared" ref="A1608:G1608" si="4533">A1607</f>
        <v>NR/SBR</v>
      </c>
      <c r="B1608" s="391" t="str">
        <f t="shared" si="4533"/>
        <v>particle</v>
      </c>
      <c r="C1608" s="391">
        <f t="shared" si="4533"/>
        <v>6</v>
      </c>
      <c r="D1608" s="391" t="str">
        <f t="shared" si="4533"/>
        <v>1-10</v>
      </c>
      <c r="E1608" s="391">
        <f t="shared" si="4533"/>
        <v>10</v>
      </c>
      <c r="F1608" s="391" t="str">
        <f t="shared" si="4533"/>
        <v>soil</v>
      </c>
      <c r="G1608" s="392" t="str">
        <f t="shared" si="4533"/>
        <v>DE: NR/SBR particle 1-10 mm (emission to soil)</v>
      </c>
      <c r="H1608" s="465">
        <v>3.0000000000000001E-3</v>
      </c>
      <c r="I1608" s="394" t="s">
        <v>1163</v>
      </c>
      <c r="J1608" s="632"/>
      <c r="K1608" s="395">
        <v>43.650000000000013</v>
      </c>
      <c r="L1608" s="537"/>
      <c r="M1608" s="509">
        <f t="shared" si="4531"/>
        <v>28.63688430698739</v>
      </c>
      <c r="N1608" s="646"/>
      <c r="O1608" s="626"/>
      <c r="P1608" s="629"/>
      <c r="Q1608" s="629"/>
    </row>
    <row r="1609" spans="1:17" ht="15.75" hidden="1" thickBot="1">
      <c r="A1609" s="390" t="str">
        <f>A1606</f>
        <v>NR/SBR</v>
      </c>
      <c r="B1609" s="391" t="str">
        <f>B1606</f>
        <v>particle</v>
      </c>
      <c r="C1609" s="391">
        <f t="shared" ref="C1609" si="4534">C1608</f>
        <v>6</v>
      </c>
      <c r="D1609" s="391" t="str">
        <f>D1606</f>
        <v>1-10</v>
      </c>
      <c r="E1609" s="391">
        <f>E1606</f>
        <v>10</v>
      </c>
      <c r="F1609" s="391" t="str">
        <f>F1606</f>
        <v>soil</v>
      </c>
      <c r="G1609" s="396" t="str">
        <f t="shared" ref="G1609" si="4535">G1608</f>
        <v>DE: NR/SBR particle 1-10 mm (emission to soil)</v>
      </c>
      <c r="H1609" s="465">
        <v>0</v>
      </c>
      <c r="I1609" s="397" t="s">
        <v>1034</v>
      </c>
      <c r="J1609" s="633"/>
      <c r="K1609" s="398" t="s">
        <v>596</v>
      </c>
      <c r="L1609" s="538"/>
      <c r="M1609" s="509">
        <f t="shared" si="4531"/>
        <v>0</v>
      </c>
      <c r="N1609" s="647"/>
      <c r="O1609" s="627"/>
      <c r="P1609" s="629"/>
      <c r="Q1609" s="629"/>
    </row>
    <row r="1610" spans="1:17" ht="15.75" hidden="1" thickBot="1">
      <c r="A1610" s="390" t="str">
        <f t="shared" ref="A1610:B1610" si="4536">A1607</f>
        <v>NR/SBR</v>
      </c>
      <c r="B1610" s="391" t="str">
        <f t="shared" si="4536"/>
        <v>particle</v>
      </c>
      <c r="C1610" s="391">
        <f t="shared" ref="C1610" si="4537">C1609</f>
        <v>6</v>
      </c>
      <c r="D1610" s="399" t="str">
        <f t="shared" ref="D1610:E1610" si="4538">D1607</f>
        <v>1-10</v>
      </c>
      <c r="E1610" s="391">
        <f t="shared" si="4538"/>
        <v>10</v>
      </c>
      <c r="F1610" s="400" t="s">
        <v>1147</v>
      </c>
      <c r="G1610" s="386" t="str">
        <f>CONCATENATE("DE: ",A1610," ",B1610," ",D1610," mm (emission to ",F1610,")")</f>
        <v>DE: NR/SBR particle 1-10 mm (emission to fresh water)</v>
      </c>
      <c r="H1610" s="466">
        <v>0</v>
      </c>
      <c r="I1610" s="388" t="s">
        <v>1153</v>
      </c>
      <c r="J1610" s="634">
        <v>0.22800000000000001</v>
      </c>
      <c r="K1610" s="389">
        <v>43.650000000000013</v>
      </c>
      <c r="L1610" s="536"/>
      <c r="M1610" s="509">
        <f t="shared" si="4531"/>
        <v>28.63688430698739</v>
      </c>
      <c r="N1610" s="645">
        <f t="shared" ref="N1610" si="4539">IFERROR(H1610*M1610+H1611*M1611+H1612*M1612+H1613*M1613+H1614*M1614,"N.A.")</f>
        <v>28.63688430698739</v>
      </c>
      <c r="O1610" s="625"/>
      <c r="P1610" s="628">
        <f t="shared" si="4396"/>
        <v>28.63688430698739</v>
      </c>
      <c r="Q1610" s="628">
        <f t="shared" si="4512"/>
        <v>28.63688430698739</v>
      </c>
    </row>
    <row r="1611" spans="1:17" ht="15.75" hidden="1" thickBot="1">
      <c r="A1611" s="390" t="str">
        <f t="shared" ref="A1611:B1611" si="4540">A1608</f>
        <v>NR/SBR</v>
      </c>
      <c r="B1611" s="391" t="str">
        <f t="shared" si="4540"/>
        <v>particle</v>
      </c>
      <c r="C1611" s="391">
        <f t="shared" ref="C1611" si="4541">C1610</f>
        <v>6</v>
      </c>
      <c r="D1611" s="391" t="str">
        <f t="shared" ref="D1611:E1611" si="4542">D1608</f>
        <v>1-10</v>
      </c>
      <c r="E1611" s="391">
        <f t="shared" si="4542"/>
        <v>10</v>
      </c>
      <c r="F1611" s="391" t="str">
        <f t="shared" ref="F1611:G1611" si="4543">F1610</f>
        <v>fresh water</v>
      </c>
      <c r="G1611" s="401" t="str">
        <f t="shared" si="4543"/>
        <v>DE: NR/SBR particle 1-10 mm (emission to fresh water)</v>
      </c>
      <c r="H1611" s="465">
        <v>0</v>
      </c>
      <c r="I1611" s="394" t="s">
        <v>1097</v>
      </c>
      <c r="J1611" s="635"/>
      <c r="K1611" s="389">
        <v>43.650000000000013</v>
      </c>
      <c r="L1611" s="536"/>
      <c r="M1611" s="509">
        <f t="shared" si="4531"/>
        <v>28.63688430698739</v>
      </c>
      <c r="N1611" s="646"/>
      <c r="O1611" s="626"/>
      <c r="P1611" s="629"/>
      <c r="Q1611" s="629"/>
    </row>
    <row r="1612" spans="1:17" ht="15.75" hidden="1" thickBot="1">
      <c r="A1612" s="390" t="str">
        <f t="shared" ref="A1612:B1612" si="4544">A1609</f>
        <v>NR/SBR</v>
      </c>
      <c r="B1612" s="391" t="str">
        <f t="shared" si="4544"/>
        <v>particle</v>
      </c>
      <c r="C1612" s="391">
        <f t="shared" ref="C1612" si="4545">C1611</f>
        <v>6</v>
      </c>
      <c r="D1612" s="391" t="str">
        <f t="shared" ref="D1612:E1612" si="4546">D1609</f>
        <v>1-10</v>
      </c>
      <c r="E1612" s="391">
        <f t="shared" si="4546"/>
        <v>10</v>
      </c>
      <c r="F1612" s="391" t="str">
        <f t="shared" ref="F1612:G1612" si="4547">F1611</f>
        <v>fresh water</v>
      </c>
      <c r="G1612" s="401" t="str">
        <f t="shared" si="4547"/>
        <v>DE: NR/SBR particle 1-10 mm (emission to fresh water)</v>
      </c>
      <c r="H1612" s="465">
        <v>0.89</v>
      </c>
      <c r="I1612" s="394" t="s">
        <v>1162</v>
      </c>
      <c r="J1612" s="635"/>
      <c r="K1612" s="389">
        <v>43.650000000000013</v>
      </c>
      <c r="L1612" s="536"/>
      <c r="M1612" s="509">
        <f t="shared" si="4531"/>
        <v>28.63688430698739</v>
      </c>
      <c r="N1612" s="646"/>
      <c r="O1612" s="626"/>
      <c r="P1612" s="629"/>
      <c r="Q1612" s="629"/>
    </row>
    <row r="1613" spans="1:17" ht="15.75" hidden="1" thickBot="1">
      <c r="A1613" s="390" t="str">
        <f t="shared" ref="A1613:B1613" si="4548">A1610</f>
        <v>NR/SBR</v>
      </c>
      <c r="B1613" s="391" t="str">
        <f t="shared" si="4548"/>
        <v>particle</v>
      </c>
      <c r="C1613" s="391">
        <f t="shared" ref="C1613" si="4549">C1612</f>
        <v>6</v>
      </c>
      <c r="D1613" s="391" t="str">
        <f t="shared" ref="D1613:E1613" si="4550">D1610</f>
        <v>1-10</v>
      </c>
      <c r="E1613" s="391">
        <f t="shared" si="4550"/>
        <v>10</v>
      </c>
      <c r="F1613" s="391" t="str">
        <f t="shared" ref="F1613:G1613" si="4551">F1612</f>
        <v>fresh water</v>
      </c>
      <c r="G1613" s="401" t="str">
        <f t="shared" si="4551"/>
        <v>DE: NR/SBR particle 1-10 mm (emission to fresh water)</v>
      </c>
      <c r="H1613" s="465">
        <v>0.11</v>
      </c>
      <c r="I1613" s="394" t="s">
        <v>1163</v>
      </c>
      <c r="J1613" s="635"/>
      <c r="K1613" s="389">
        <v>43.650000000000013</v>
      </c>
      <c r="L1613" s="536"/>
      <c r="M1613" s="509">
        <f t="shared" si="4531"/>
        <v>28.63688430698739</v>
      </c>
      <c r="N1613" s="646"/>
      <c r="O1613" s="626"/>
      <c r="P1613" s="629"/>
      <c r="Q1613" s="629"/>
    </row>
    <row r="1614" spans="1:17" ht="15.75" hidden="1" thickBot="1">
      <c r="A1614" s="390" t="str">
        <f t="shared" ref="A1614:B1614" si="4552">A1611</f>
        <v>NR/SBR</v>
      </c>
      <c r="B1614" s="391" t="str">
        <f t="shared" si="4552"/>
        <v>particle</v>
      </c>
      <c r="C1614" s="391">
        <f t="shared" ref="C1614" si="4553">C1613</f>
        <v>6</v>
      </c>
      <c r="D1614" s="391" t="str">
        <f t="shared" ref="D1614:E1614" si="4554">D1611</f>
        <v>1-10</v>
      </c>
      <c r="E1614" s="391">
        <f t="shared" si="4554"/>
        <v>10</v>
      </c>
      <c r="F1614" s="402" t="str">
        <f>F1611</f>
        <v>fresh water</v>
      </c>
      <c r="G1614" s="401" t="str">
        <f t="shared" ref="G1614" si="4555">G1613</f>
        <v>DE: NR/SBR particle 1-10 mm (emission to fresh water)</v>
      </c>
      <c r="H1614" s="465">
        <v>0</v>
      </c>
      <c r="I1614" s="397" t="s">
        <v>1034</v>
      </c>
      <c r="J1614" s="654"/>
      <c r="K1614" s="398" t="s">
        <v>596</v>
      </c>
      <c r="L1614" s="538"/>
      <c r="M1614" s="509">
        <f t="shared" si="4531"/>
        <v>0</v>
      </c>
      <c r="N1614" s="647"/>
      <c r="O1614" s="627"/>
      <c r="P1614" s="629"/>
      <c r="Q1614" s="629"/>
    </row>
    <row r="1615" spans="1:17" ht="15.75" hidden="1" thickBot="1">
      <c r="A1615" s="390" t="str">
        <f t="shared" ref="A1615:B1615" si="4556">A1612</f>
        <v>NR/SBR</v>
      </c>
      <c r="B1615" s="391" t="str">
        <f t="shared" si="4556"/>
        <v>particle</v>
      </c>
      <c r="C1615" s="391">
        <f t="shared" ref="C1615" si="4557">C1614</f>
        <v>6</v>
      </c>
      <c r="D1615" s="391" t="str">
        <f t="shared" ref="D1615:E1615" si="4558">D1612</f>
        <v>1-10</v>
      </c>
      <c r="E1615" s="391">
        <f t="shared" si="4558"/>
        <v>10</v>
      </c>
      <c r="F1615" s="385" t="s">
        <v>1097</v>
      </c>
      <c r="G1615" s="422" t="str">
        <f>CONCATENATE("DE: ",A1615," ",B1615," ",D1615," mm (emission to ",F1615,")")</f>
        <v>DE: NR/SBR particle 1-10 mm (emission to marine water)</v>
      </c>
      <c r="H1615" s="467">
        <v>0</v>
      </c>
      <c r="I1615" s="388" t="s">
        <v>1153</v>
      </c>
      <c r="J1615" s="634">
        <v>0.22800000000000001</v>
      </c>
      <c r="K1615" s="389">
        <v>43.650000000000013</v>
      </c>
      <c r="L1615" s="536"/>
      <c r="M1615" s="509">
        <f t="shared" si="4531"/>
        <v>28.63688430698739</v>
      </c>
      <c r="N1615" s="645">
        <f>IFERROR(H1615*M1615+H1616*M1616+H1617*M1617+H1618*M1618+H1619*M1619,"N.A.")</f>
        <v>28.63688430698739</v>
      </c>
      <c r="O1615" s="625"/>
      <c r="P1615" s="628">
        <f t="shared" si="4396"/>
        <v>28.63688430698739</v>
      </c>
      <c r="Q1615" s="628">
        <f t="shared" si="4512"/>
        <v>28.63688430698739</v>
      </c>
    </row>
    <row r="1616" spans="1:17" ht="15.75" hidden="1" thickBot="1">
      <c r="A1616" s="390" t="str">
        <f t="shared" ref="A1616:B1616" si="4559">A1613</f>
        <v>NR/SBR</v>
      </c>
      <c r="B1616" s="391" t="str">
        <f t="shared" si="4559"/>
        <v>particle</v>
      </c>
      <c r="C1616" s="391">
        <f t="shared" ref="C1616" si="4560">C1615</f>
        <v>6</v>
      </c>
      <c r="D1616" s="391" t="str">
        <f t="shared" ref="D1616:E1616" si="4561">D1613</f>
        <v>1-10</v>
      </c>
      <c r="E1616" s="391">
        <f t="shared" si="4561"/>
        <v>10</v>
      </c>
      <c r="F1616" s="391" t="str">
        <f t="shared" ref="F1616:G1616" si="4562">F1615</f>
        <v>marine water</v>
      </c>
      <c r="G1616" s="401" t="str">
        <f t="shared" si="4562"/>
        <v>DE: NR/SBR particle 1-10 mm (emission to marine water)</v>
      </c>
      <c r="H1616" s="465">
        <v>0</v>
      </c>
      <c r="I1616" s="394" t="s">
        <v>1097</v>
      </c>
      <c r="J1616" s="635"/>
      <c r="K1616" s="389">
        <v>43.650000000000013</v>
      </c>
      <c r="L1616" s="536"/>
      <c r="M1616" s="509">
        <f t="shared" si="4531"/>
        <v>28.63688430698739</v>
      </c>
      <c r="N1616" s="646"/>
      <c r="O1616" s="626"/>
      <c r="P1616" s="629"/>
      <c r="Q1616" s="629"/>
    </row>
    <row r="1617" spans="1:17" ht="15.75" hidden="1" thickBot="1">
      <c r="A1617" s="390" t="str">
        <f t="shared" ref="A1617:B1617" si="4563">A1614</f>
        <v>NR/SBR</v>
      </c>
      <c r="B1617" s="391" t="str">
        <f t="shared" si="4563"/>
        <v>particle</v>
      </c>
      <c r="C1617" s="391">
        <f t="shared" ref="C1617" si="4564">C1616</f>
        <v>6</v>
      </c>
      <c r="D1617" s="391" t="str">
        <f t="shared" ref="D1617:E1617" si="4565">D1614</f>
        <v>1-10</v>
      </c>
      <c r="E1617" s="391">
        <f t="shared" si="4565"/>
        <v>10</v>
      </c>
      <c r="F1617" s="391" t="str">
        <f t="shared" ref="F1617:G1617" si="4566">F1616</f>
        <v>marine water</v>
      </c>
      <c r="G1617" s="401" t="str">
        <f t="shared" si="4566"/>
        <v>DE: NR/SBR particle 1-10 mm (emission to marine water)</v>
      </c>
      <c r="H1617" s="465">
        <v>0</v>
      </c>
      <c r="I1617" s="394" t="s">
        <v>1162</v>
      </c>
      <c r="J1617" s="635"/>
      <c r="K1617" s="389">
        <v>43.650000000000013</v>
      </c>
      <c r="L1617" s="536"/>
      <c r="M1617" s="509">
        <f t="shared" si="4531"/>
        <v>28.63688430698739</v>
      </c>
      <c r="N1617" s="646"/>
      <c r="O1617" s="626"/>
      <c r="P1617" s="629"/>
      <c r="Q1617" s="629"/>
    </row>
    <row r="1618" spans="1:17" ht="15.75" hidden="1" thickBot="1">
      <c r="A1618" s="390" t="str">
        <f t="shared" ref="A1618:B1618" si="4567">A1615</f>
        <v>NR/SBR</v>
      </c>
      <c r="B1618" s="391" t="str">
        <f t="shared" si="4567"/>
        <v>particle</v>
      </c>
      <c r="C1618" s="391">
        <f t="shared" ref="C1618" si="4568">C1617</f>
        <v>6</v>
      </c>
      <c r="D1618" s="391" t="str">
        <f t="shared" ref="D1618:E1618" si="4569">D1615</f>
        <v>1-10</v>
      </c>
      <c r="E1618" s="391">
        <f t="shared" si="4569"/>
        <v>10</v>
      </c>
      <c r="F1618" s="391" t="str">
        <f t="shared" ref="F1618:G1618" si="4570">F1617</f>
        <v>marine water</v>
      </c>
      <c r="G1618" s="401" t="str">
        <f t="shared" si="4570"/>
        <v>DE: NR/SBR particle 1-10 mm (emission to marine water)</v>
      </c>
      <c r="H1618" s="465">
        <v>1</v>
      </c>
      <c r="I1618" s="394" t="s">
        <v>1163</v>
      </c>
      <c r="J1618" s="635"/>
      <c r="K1618" s="389">
        <v>43.650000000000013</v>
      </c>
      <c r="L1618" s="536"/>
      <c r="M1618" s="509">
        <f t="shared" si="4531"/>
        <v>28.63688430698739</v>
      </c>
      <c r="N1618" s="646"/>
      <c r="O1618" s="626"/>
      <c r="P1618" s="629"/>
      <c r="Q1618" s="629"/>
    </row>
    <row r="1619" spans="1:17" ht="15.75" hidden="1" thickBot="1">
      <c r="A1619" s="390" t="str">
        <f t="shared" ref="A1619:B1619" si="4571">A1616</f>
        <v>NR/SBR</v>
      </c>
      <c r="B1619" s="391" t="str">
        <f t="shared" si="4571"/>
        <v>particle</v>
      </c>
      <c r="C1619" s="391">
        <f t="shared" ref="C1619" si="4572">C1618</f>
        <v>6</v>
      </c>
      <c r="D1619" s="391" t="str">
        <f t="shared" ref="D1619:E1619" si="4573">D1616</f>
        <v>1-10</v>
      </c>
      <c r="E1619" s="391">
        <f t="shared" si="4573"/>
        <v>10</v>
      </c>
      <c r="F1619" s="391" t="str">
        <f t="shared" ref="F1619:G1619" si="4574">F1618</f>
        <v>marine water</v>
      </c>
      <c r="G1619" s="401" t="str">
        <f t="shared" si="4574"/>
        <v>DE: NR/SBR particle 1-10 mm (emission to marine water)</v>
      </c>
      <c r="H1619" s="465">
        <v>0</v>
      </c>
      <c r="I1619" s="397" t="s">
        <v>1034</v>
      </c>
      <c r="J1619" s="654"/>
      <c r="K1619" s="398" t="s">
        <v>596</v>
      </c>
      <c r="L1619" s="538"/>
      <c r="M1619" s="509">
        <f t="shared" si="4531"/>
        <v>0</v>
      </c>
      <c r="N1619" s="647"/>
      <c r="O1619" s="627"/>
      <c r="P1619" s="629"/>
      <c r="Q1619" s="629"/>
    </row>
    <row r="1620" spans="1:17" ht="15.75" hidden="1" thickBot="1">
      <c r="A1620" s="390" t="str">
        <f t="shared" ref="A1620:B1620" si="4575">A1617</f>
        <v>NR/SBR</v>
      </c>
      <c r="B1620" s="391" t="str">
        <f t="shared" si="4575"/>
        <v>particle</v>
      </c>
      <c r="C1620" s="391">
        <f t="shared" ref="C1620" si="4576">C1619</f>
        <v>6</v>
      </c>
      <c r="D1620" s="391" t="str">
        <f t="shared" ref="D1620:E1620" si="4577">D1617</f>
        <v>1-10</v>
      </c>
      <c r="E1620" s="391">
        <f t="shared" si="4577"/>
        <v>10</v>
      </c>
      <c r="F1620" s="400" t="s">
        <v>1057</v>
      </c>
      <c r="G1620" s="422" t="str">
        <f>CONCATENATE("DE: ",A1620," ",B1620," ",D1620," mm (emission to ",F1620,")")</f>
        <v>DE: NR/SBR particle 1-10 mm (emission to air)</v>
      </c>
      <c r="H1620" s="467">
        <v>0.94799999999999995</v>
      </c>
      <c r="I1620" s="388" t="s">
        <v>1153</v>
      </c>
      <c r="J1620" s="634">
        <v>0.22800000000000001</v>
      </c>
      <c r="K1620" s="389">
        <v>43.650000000000013</v>
      </c>
      <c r="L1620" s="536"/>
      <c r="M1620" s="509">
        <f t="shared" si="4531"/>
        <v>28.63688430698739</v>
      </c>
      <c r="N1620" s="645">
        <f t="shared" ref="N1620" si="4578">IFERROR(H1620*M1620+H1621*M1621+H1622*M1622+H1623*M1623+H1624*M1624,"N.A.")</f>
        <v>28.636884306987387</v>
      </c>
      <c r="O1620" s="625"/>
      <c r="P1620" s="628">
        <f t="shared" si="4396"/>
        <v>28.636884306987387</v>
      </c>
      <c r="Q1620" s="628">
        <f t="shared" si="4512"/>
        <v>28.636884306987387</v>
      </c>
    </row>
    <row r="1621" spans="1:17" ht="15.75" hidden="1" thickBot="1">
      <c r="A1621" s="390" t="str">
        <f t="shared" ref="A1621:B1621" si="4579">A1618</f>
        <v>NR/SBR</v>
      </c>
      <c r="B1621" s="391" t="str">
        <f t="shared" si="4579"/>
        <v>particle</v>
      </c>
      <c r="C1621" s="391">
        <f t="shared" ref="C1621" si="4580">C1620</f>
        <v>6</v>
      </c>
      <c r="D1621" s="391" t="str">
        <f t="shared" ref="D1621:E1621" si="4581">D1618</f>
        <v>1-10</v>
      </c>
      <c r="E1621" s="391">
        <f t="shared" si="4581"/>
        <v>10</v>
      </c>
      <c r="F1621" s="391" t="str">
        <f t="shared" ref="F1621:G1621" si="4582">F1620</f>
        <v>air</v>
      </c>
      <c r="G1621" s="401" t="str">
        <f t="shared" si="4582"/>
        <v>DE: NR/SBR particle 1-10 mm (emission to air)</v>
      </c>
      <c r="H1621" s="465">
        <v>0</v>
      </c>
      <c r="I1621" s="394" t="s">
        <v>1097</v>
      </c>
      <c r="J1621" s="635"/>
      <c r="K1621" s="389">
        <v>43.650000000000013</v>
      </c>
      <c r="L1621" s="536"/>
      <c r="M1621" s="509">
        <f t="shared" si="4531"/>
        <v>28.63688430698739</v>
      </c>
      <c r="N1621" s="646"/>
      <c r="O1621" s="626"/>
      <c r="P1621" s="629"/>
      <c r="Q1621" s="629"/>
    </row>
    <row r="1622" spans="1:17" ht="15.75" hidden="1" thickBot="1">
      <c r="A1622" s="390" t="str">
        <f t="shared" ref="A1622:B1622" si="4583">A1619</f>
        <v>NR/SBR</v>
      </c>
      <c r="B1622" s="391" t="str">
        <f t="shared" si="4583"/>
        <v>particle</v>
      </c>
      <c r="C1622" s="391">
        <f t="shared" ref="C1622" si="4584">C1621</f>
        <v>6</v>
      </c>
      <c r="D1622" s="391" t="str">
        <f t="shared" ref="D1622:E1622" si="4585">D1619</f>
        <v>1-10</v>
      </c>
      <c r="E1622" s="391">
        <f t="shared" si="4585"/>
        <v>10</v>
      </c>
      <c r="F1622" s="391" t="str">
        <f t="shared" ref="F1622:G1622" si="4586">F1621</f>
        <v>air</v>
      </c>
      <c r="G1622" s="401" t="str">
        <f t="shared" si="4586"/>
        <v>DE: NR/SBR particle 1-10 mm (emission to air)</v>
      </c>
      <c r="H1622" s="465">
        <v>4.7E-2</v>
      </c>
      <c r="I1622" s="394" t="s">
        <v>1162</v>
      </c>
      <c r="J1622" s="635"/>
      <c r="K1622" s="389">
        <v>43.650000000000013</v>
      </c>
      <c r="L1622" s="536"/>
      <c r="M1622" s="509">
        <f t="shared" si="4531"/>
        <v>28.63688430698739</v>
      </c>
      <c r="N1622" s="646"/>
      <c r="O1622" s="626"/>
      <c r="P1622" s="629"/>
      <c r="Q1622" s="629"/>
    </row>
    <row r="1623" spans="1:17" ht="15.75" hidden="1" thickBot="1">
      <c r="A1623" s="390" t="str">
        <f t="shared" ref="A1623:B1623" si="4587">A1620</f>
        <v>NR/SBR</v>
      </c>
      <c r="B1623" s="391" t="str">
        <f t="shared" si="4587"/>
        <v>particle</v>
      </c>
      <c r="C1623" s="391">
        <f t="shared" ref="C1623" si="4588">C1622</f>
        <v>6</v>
      </c>
      <c r="D1623" s="391" t="str">
        <f t="shared" ref="D1623:E1623" si="4589">D1620</f>
        <v>1-10</v>
      </c>
      <c r="E1623" s="391">
        <f t="shared" si="4589"/>
        <v>10</v>
      </c>
      <c r="F1623" s="391" t="str">
        <f t="shared" ref="F1623:G1623" si="4590">F1622</f>
        <v>air</v>
      </c>
      <c r="G1623" s="401" t="str">
        <f t="shared" si="4590"/>
        <v>DE: NR/SBR particle 1-10 mm (emission to air)</v>
      </c>
      <c r="H1623" s="465">
        <v>5.0000000000000001E-3</v>
      </c>
      <c r="I1623" s="394" t="s">
        <v>1163</v>
      </c>
      <c r="J1623" s="635"/>
      <c r="K1623" s="389">
        <v>43.650000000000013</v>
      </c>
      <c r="L1623" s="536"/>
      <c r="M1623" s="509">
        <f t="shared" si="4531"/>
        <v>28.63688430698739</v>
      </c>
      <c r="N1623" s="646"/>
      <c r="O1623" s="626"/>
      <c r="P1623" s="629"/>
      <c r="Q1623" s="629"/>
    </row>
    <row r="1624" spans="1:17" ht="15.75" hidden="1" thickBot="1">
      <c r="A1624" s="404" t="str">
        <f t="shared" ref="A1624:B1624" si="4591">A1619</f>
        <v>NR/SBR</v>
      </c>
      <c r="B1624" s="402" t="str">
        <f t="shared" si="4591"/>
        <v>particle</v>
      </c>
      <c r="C1624" s="391">
        <f t="shared" ref="C1624" si="4592">C1623</f>
        <v>6</v>
      </c>
      <c r="D1624" s="402" t="str">
        <f t="shared" ref="D1624:E1624" si="4593">D1619</f>
        <v>1-10</v>
      </c>
      <c r="E1624" s="402">
        <f t="shared" si="4593"/>
        <v>10</v>
      </c>
      <c r="F1624" s="391" t="str">
        <f t="shared" ref="F1624:G1624" si="4594">F1623</f>
        <v>air</v>
      </c>
      <c r="G1624" s="401" t="str">
        <f t="shared" si="4594"/>
        <v>DE: NR/SBR particle 1-10 mm (emission to air)</v>
      </c>
      <c r="H1624" s="465">
        <v>0</v>
      </c>
      <c r="I1624" s="394" t="s">
        <v>1034</v>
      </c>
      <c r="J1624" s="636"/>
      <c r="K1624" s="398" t="s">
        <v>596</v>
      </c>
      <c r="L1624" s="538"/>
      <c r="M1624" s="509">
        <f t="shared" si="4531"/>
        <v>0</v>
      </c>
      <c r="N1624" s="647"/>
      <c r="O1624" s="627"/>
      <c r="P1624" s="629"/>
      <c r="Q1624" s="629"/>
    </row>
    <row r="1625" spans="1:17" ht="16.5" hidden="1" thickTop="1" thickBot="1">
      <c r="A1625" s="442" t="s">
        <v>188</v>
      </c>
      <c r="B1625" s="443" t="s">
        <v>996</v>
      </c>
      <c r="C1625" s="444">
        <f>IF(OR(B1625="Folie", B1625="Strips", B1625="Film",B1625="Flakes",B1625="Coupon"), 2,IF(OR(B1625="Fibers",B1625="Pellets"),4,IF(OR(B1625="Particles",B1625="Shreds",B1625="Powder",B1625="Fragments",B1625="Granules"),6,"")))</f>
        <v>2</v>
      </c>
      <c r="D1625" s="444" t="s">
        <v>1018</v>
      </c>
      <c r="E1625" s="445">
        <v>0.1</v>
      </c>
      <c r="F1625" s="446" t="s">
        <v>1019</v>
      </c>
      <c r="G1625" s="447" t="str">
        <f>CONCATENATE("DE: ",A1625," ",B1625," ",D1625," mm (emission to ",F1625,")")</f>
        <v>DE: PA film 0,01-0,1 mm (emission to soil)</v>
      </c>
      <c r="H1625" s="464">
        <v>0.97</v>
      </c>
      <c r="I1625" s="448" t="s">
        <v>1153</v>
      </c>
      <c r="J1625" s="632">
        <v>0.22800000000000001</v>
      </c>
      <c r="K1625" s="449">
        <v>292</v>
      </c>
      <c r="L1625" s="541"/>
      <c r="M1625" s="509">
        <f t="shared" si="4531"/>
        <v>0.17123287671232876</v>
      </c>
      <c r="N1625" s="645">
        <f t="shared" ref="N1625" si="4595">IFERROR(H1625*M1625+H1626*M1626+H1627*M1627+H1628*M1628+H1629*M1629,"N.A.")</f>
        <v>0.17123287671232876</v>
      </c>
      <c r="O1625" s="625"/>
      <c r="P1625" s="628">
        <f t="shared" si="4396"/>
        <v>0.17123287671232876</v>
      </c>
      <c r="Q1625" s="628">
        <f t="shared" si="4512"/>
        <v>0.17123287671232876</v>
      </c>
    </row>
    <row r="1626" spans="1:17" ht="15.75" hidden="1" thickBot="1">
      <c r="A1626" s="390" t="str">
        <f>A1625</f>
        <v>PA</v>
      </c>
      <c r="B1626" s="391" t="str">
        <f>B1625</f>
        <v>film</v>
      </c>
      <c r="C1626" s="391">
        <f t="shared" ref="C1626:G1626" si="4596">C1625</f>
        <v>2</v>
      </c>
      <c r="D1626" s="391" t="str">
        <f t="shared" si="4596"/>
        <v>0,01-0,1</v>
      </c>
      <c r="E1626" s="391">
        <f t="shared" si="4596"/>
        <v>0.1</v>
      </c>
      <c r="F1626" s="391" t="str">
        <f t="shared" si="4596"/>
        <v>soil</v>
      </c>
      <c r="G1626" s="392" t="str">
        <f t="shared" si="4596"/>
        <v>DE: PA film 0,01-0,1 mm (emission to soil)</v>
      </c>
      <c r="H1626" s="465">
        <v>0</v>
      </c>
      <c r="I1626" s="394" t="s">
        <v>1097</v>
      </c>
      <c r="J1626" s="632"/>
      <c r="K1626" s="395">
        <v>292</v>
      </c>
      <c r="L1626" s="537"/>
      <c r="M1626" s="509">
        <f t="shared" si="4531"/>
        <v>0.17123287671232876</v>
      </c>
      <c r="N1626" s="646"/>
      <c r="O1626" s="626"/>
      <c r="P1626" s="629"/>
      <c r="Q1626" s="629"/>
    </row>
    <row r="1627" spans="1:17" ht="15.75" hidden="1" thickBot="1">
      <c r="A1627" s="390" t="str">
        <f t="shared" ref="A1627:G1627" si="4597">A1626</f>
        <v>PA</v>
      </c>
      <c r="B1627" s="391" t="str">
        <f t="shared" si="4597"/>
        <v>film</v>
      </c>
      <c r="C1627" s="391">
        <f t="shared" si="4597"/>
        <v>2</v>
      </c>
      <c r="D1627" s="391" t="str">
        <f t="shared" si="4597"/>
        <v>0,01-0,1</v>
      </c>
      <c r="E1627" s="391">
        <f t="shared" si="4597"/>
        <v>0.1</v>
      </c>
      <c r="F1627" s="391" t="str">
        <f t="shared" si="4597"/>
        <v>soil</v>
      </c>
      <c r="G1627" s="392" t="str">
        <f t="shared" si="4597"/>
        <v>DE: PA film 0,01-0,1 mm (emission to soil)</v>
      </c>
      <c r="H1627" s="465">
        <v>2.7E-2</v>
      </c>
      <c r="I1627" s="394" t="s">
        <v>1162</v>
      </c>
      <c r="J1627" s="632"/>
      <c r="K1627" s="395">
        <v>292</v>
      </c>
      <c r="L1627" s="537"/>
      <c r="M1627" s="509">
        <f t="shared" si="4531"/>
        <v>0.17123287671232876</v>
      </c>
      <c r="N1627" s="646"/>
      <c r="O1627" s="626"/>
      <c r="P1627" s="629"/>
      <c r="Q1627" s="629"/>
    </row>
    <row r="1628" spans="1:17" ht="15.75" hidden="1" thickBot="1">
      <c r="A1628" s="390" t="str">
        <f t="shared" ref="A1628:G1628" si="4598">A1627</f>
        <v>PA</v>
      </c>
      <c r="B1628" s="391" t="str">
        <f t="shared" si="4598"/>
        <v>film</v>
      </c>
      <c r="C1628" s="391">
        <f t="shared" si="4598"/>
        <v>2</v>
      </c>
      <c r="D1628" s="391" t="str">
        <f t="shared" si="4598"/>
        <v>0,01-0,1</v>
      </c>
      <c r="E1628" s="391">
        <f t="shared" si="4598"/>
        <v>0.1</v>
      </c>
      <c r="F1628" s="391" t="str">
        <f t="shared" si="4598"/>
        <v>soil</v>
      </c>
      <c r="G1628" s="392" t="str">
        <f t="shared" si="4598"/>
        <v>DE: PA film 0,01-0,1 mm (emission to soil)</v>
      </c>
      <c r="H1628" s="465">
        <v>3.0000000000000001E-3</v>
      </c>
      <c r="I1628" s="394" t="s">
        <v>1163</v>
      </c>
      <c r="J1628" s="632"/>
      <c r="K1628" s="395">
        <v>292</v>
      </c>
      <c r="L1628" s="537"/>
      <c r="M1628" s="509">
        <f t="shared" si="4531"/>
        <v>0.17123287671232876</v>
      </c>
      <c r="N1628" s="646"/>
      <c r="O1628" s="626"/>
      <c r="P1628" s="629"/>
      <c r="Q1628" s="629"/>
    </row>
    <row r="1629" spans="1:17" ht="15.75" hidden="1" thickBot="1">
      <c r="A1629" s="390" t="str">
        <f>A1626</f>
        <v>PA</v>
      </c>
      <c r="B1629" s="391" t="str">
        <f>B1626</f>
        <v>film</v>
      </c>
      <c r="C1629" s="391">
        <f t="shared" ref="C1629" si="4599">C1628</f>
        <v>2</v>
      </c>
      <c r="D1629" s="391" t="str">
        <f>D1626</f>
        <v>0,01-0,1</v>
      </c>
      <c r="E1629" s="391">
        <f>E1626</f>
        <v>0.1</v>
      </c>
      <c r="F1629" s="391" t="str">
        <f>F1626</f>
        <v>soil</v>
      </c>
      <c r="G1629" s="396" t="str">
        <f t="shared" ref="G1629" si="4600">G1628</f>
        <v>DE: PA film 0,01-0,1 mm (emission to soil)</v>
      </c>
      <c r="H1629" s="465">
        <v>0</v>
      </c>
      <c r="I1629" s="397" t="s">
        <v>1034</v>
      </c>
      <c r="J1629" s="633"/>
      <c r="K1629" s="398" t="s">
        <v>596</v>
      </c>
      <c r="L1629" s="538"/>
      <c r="M1629" s="509">
        <f t="shared" si="4531"/>
        <v>0</v>
      </c>
      <c r="N1629" s="647"/>
      <c r="O1629" s="627"/>
      <c r="P1629" s="629"/>
      <c r="Q1629" s="629"/>
    </row>
    <row r="1630" spans="1:17" ht="15.75" hidden="1" thickBot="1">
      <c r="A1630" s="390" t="str">
        <f t="shared" ref="A1630:B1630" si="4601">A1627</f>
        <v>PA</v>
      </c>
      <c r="B1630" s="391" t="str">
        <f t="shared" si="4601"/>
        <v>film</v>
      </c>
      <c r="C1630" s="391">
        <f t="shared" ref="C1630" si="4602">C1629</f>
        <v>2</v>
      </c>
      <c r="D1630" s="399" t="str">
        <f t="shared" ref="D1630:E1630" si="4603">D1627</f>
        <v>0,01-0,1</v>
      </c>
      <c r="E1630" s="391">
        <f t="shared" si="4603"/>
        <v>0.1</v>
      </c>
      <c r="F1630" s="400" t="s">
        <v>1147</v>
      </c>
      <c r="G1630" s="386" t="str">
        <f>CONCATENATE("DE: ",A1630," ",B1630," ",D1630," mm (emission to ",F1630,")")</f>
        <v>DE: PA film 0,01-0,1 mm (emission to fresh water)</v>
      </c>
      <c r="H1630" s="466">
        <v>0</v>
      </c>
      <c r="I1630" s="388" t="s">
        <v>1153</v>
      </c>
      <c r="J1630" s="634">
        <v>0.22800000000000001</v>
      </c>
      <c r="K1630" s="389">
        <v>292</v>
      </c>
      <c r="L1630" s="536"/>
      <c r="M1630" s="509">
        <f t="shared" si="4531"/>
        <v>0.17123287671232876</v>
      </c>
      <c r="N1630" s="645">
        <f t="shared" ref="N1630" si="4604">IFERROR(H1630*M1630+H1631*M1631+H1632*M1632+H1633*M1633+H1634*M1634,"N.A.")</f>
        <v>0.17123287671232876</v>
      </c>
      <c r="O1630" s="625"/>
      <c r="P1630" s="628">
        <f t="shared" ref="P1630:P1690" si="4605">IFERROR(IF(H1630*M1630+H1631*M1631+H1632*M1632+H1633*M1633+H1634*M1634&gt;100,100,H1630*M1630+H1631*M1631+H1632*M1632+H1633*M1633+H1634*M1634),"N.A.")</f>
        <v>0.17123287671232876</v>
      </c>
      <c r="Q1630" s="628">
        <f t="shared" si="4512"/>
        <v>0.17123287671232876</v>
      </c>
    </row>
    <row r="1631" spans="1:17" ht="15.75" hidden="1" thickBot="1">
      <c r="A1631" s="390" t="str">
        <f t="shared" ref="A1631:B1631" si="4606">A1628</f>
        <v>PA</v>
      </c>
      <c r="B1631" s="391" t="str">
        <f t="shared" si="4606"/>
        <v>film</v>
      </c>
      <c r="C1631" s="391">
        <f t="shared" ref="C1631" si="4607">C1630</f>
        <v>2</v>
      </c>
      <c r="D1631" s="391" t="str">
        <f t="shared" ref="D1631:E1631" si="4608">D1628</f>
        <v>0,01-0,1</v>
      </c>
      <c r="E1631" s="391">
        <f t="shared" si="4608"/>
        <v>0.1</v>
      </c>
      <c r="F1631" s="391" t="str">
        <f t="shared" ref="F1631:G1631" si="4609">F1630</f>
        <v>fresh water</v>
      </c>
      <c r="G1631" s="401" t="str">
        <f t="shared" si="4609"/>
        <v>DE: PA film 0,01-0,1 mm (emission to fresh water)</v>
      </c>
      <c r="H1631" s="465">
        <v>0</v>
      </c>
      <c r="I1631" s="394" t="s">
        <v>1097</v>
      </c>
      <c r="J1631" s="635"/>
      <c r="K1631" s="389">
        <v>292</v>
      </c>
      <c r="L1631" s="536"/>
      <c r="M1631" s="509">
        <f t="shared" si="4531"/>
        <v>0.17123287671232876</v>
      </c>
      <c r="N1631" s="646"/>
      <c r="O1631" s="626"/>
      <c r="P1631" s="629"/>
      <c r="Q1631" s="629"/>
    </row>
    <row r="1632" spans="1:17" ht="15.75" hidden="1" thickBot="1">
      <c r="A1632" s="390" t="str">
        <f t="shared" ref="A1632:B1632" si="4610">A1629</f>
        <v>PA</v>
      </c>
      <c r="B1632" s="391" t="str">
        <f t="shared" si="4610"/>
        <v>film</v>
      </c>
      <c r="C1632" s="391">
        <f t="shared" ref="C1632" si="4611">C1631</f>
        <v>2</v>
      </c>
      <c r="D1632" s="391" t="str">
        <f t="shared" ref="D1632:E1632" si="4612">D1629</f>
        <v>0,01-0,1</v>
      </c>
      <c r="E1632" s="391">
        <f t="shared" si="4612"/>
        <v>0.1</v>
      </c>
      <c r="F1632" s="391" t="str">
        <f t="shared" ref="F1632:G1632" si="4613">F1631</f>
        <v>fresh water</v>
      </c>
      <c r="G1632" s="401" t="str">
        <f t="shared" si="4613"/>
        <v>DE: PA film 0,01-0,1 mm (emission to fresh water)</v>
      </c>
      <c r="H1632" s="465">
        <v>0.89</v>
      </c>
      <c r="I1632" s="394" t="s">
        <v>1162</v>
      </c>
      <c r="J1632" s="635"/>
      <c r="K1632" s="389">
        <v>292</v>
      </c>
      <c r="L1632" s="536"/>
      <c r="M1632" s="509">
        <f t="shared" si="4531"/>
        <v>0.17123287671232876</v>
      </c>
      <c r="N1632" s="646"/>
      <c r="O1632" s="626"/>
      <c r="P1632" s="629"/>
      <c r="Q1632" s="629"/>
    </row>
    <row r="1633" spans="1:17" ht="15.75" hidden="1" thickBot="1">
      <c r="A1633" s="390" t="str">
        <f t="shared" ref="A1633:B1633" si="4614">A1630</f>
        <v>PA</v>
      </c>
      <c r="B1633" s="391" t="str">
        <f t="shared" si="4614"/>
        <v>film</v>
      </c>
      <c r="C1633" s="391">
        <f t="shared" ref="C1633" si="4615">C1632</f>
        <v>2</v>
      </c>
      <c r="D1633" s="391" t="str">
        <f t="shared" ref="D1633:E1633" si="4616">D1630</f>
        <v>0,01-0,1</v>
      </c>
      <c r="E1633" s="391">
        <f t="shared" si="4616"/>
        <v>0.1</v>
      </c>
      <c r="F1633" s="391" t="str">
        <f t="shared" ref="F1633:G1633" si="4617">F1632</f>
        <v>fresh water</v>
      </c>
      <c r="G1633" s="401" t="str">
        <f t="shared" si="4617"/>
        <v>DE: PA film 0,01-0,1 mm (emission to fresh water)</v>
      </c>
      <c r="H1633" s="465">
        <v>0.11</v>
      </c>
      <c r="I1633" s="394" t="s">
        <v>1163</v>
      </c>
      <c r="J1633" s="635"/>
      <c r="K1633" s="389">
        <v>292</v>
      </c>
      <c r="L1633" s="536"/>
      <c r="M1633" s="509">
        <f t="shared" si="4531"/>
        <v>0.17123287671232876</v>
      </c>
      <c r="N1633" s="646"/>
      <c r="O1633" s="626"/>
      <c r="P1633" s="629"/>
      <c r="Q1633" s="629"/>
    </row>
    <row r="1634" spans="1:17" ht="15.75" hidden="1" thickBot="1">
      <c r="A1634" s="390" t="str">
        <f t="shared" ref="A1634:B1634" si="4618">A1631</f>
        <v>PA</v>
      </c>
      <c r="B1634" s="391" t="str">
        <f t="shared" si="4618"/>
        <v>film</v>
      </c>
      <c r="C1634" s="391">
        <f t="shared" ref="C1634" si="4619">C1633</f>
        <v>2</v>
      </c>
      <c r="D1634" s="391" t="str">
        <f t="shared" ref="D1634:E1634" si="4620">D1631</f>
        <v>0,01-0,1</v>
      </c>
      <c r="E1634" s="391">
        <f t="shared" si="4620"/>
        <v>0.1</v>
      </c>
      <c r="F1634" s="402" t="str">
        <f>F1631</f>
        <v>fresh water</v>
      </c>
      <c r="G1634" s="401" t="str">
        <f t="shared" ref="G1634" si="4621">G1633</f>
        <v>DE: PA film 0,01-0,1 mm (emission to fresh water)</v>
      </c>
      <c r="H1634" s="465">
        <v>0</v>
      </c>
      <c r="I1634" s="397" t="s">
        <v>1034</v>
      </c>
      <c r="J1634" s="654"/>
      <c r="K1634" s="398" t="s">
        <v>596</v>
      </c>
      <c r="L1634" s="538"/>
      <c r="M1634" s="509">
        <f t="shared" si="4531"/>
        <v>0</v>
      </c>
      <c r="N1634" s="647"/>
      <c r="O1634" s="627"/>
      <c r="P1634" s="629"/>
      <c r="Q1634" s="629"/>
    </row>
    <row r="1635" spans="1:17" ht="15.75" hidden="1" thickBot="1">
      <c r="A1635" s="390" t="str">
        <f t="shared" ref="A1635:B1635" si="4622">A1632</f>
        <v>PA</v>
      </c>
      <c r="B1635" s="391" t="str">
        <f t="shared" si="4622"/>
        <v>film</v>
      </c>
      <c r="C1635" s="391">
        <f t="shared" ref="C1635" si="4623">C1634</f>
        <v>2</v>
      </c>
      <c r="D1635" s="391" t="str">
        <f t="shared" ref="D1635:E1635" si="4624">D1632</f>
        <v>0,01-0,1</v>
      </c>
      <c r="E1635" s="391">
        <f t="shared" si="4624"/>
        <v>0.1</v>
      </c>
      <c r="F1635" s="385" t="s">
        <v>1097</v>
      </c>
      <c r="G1635" s="422" t="str">
        <f>CONCATENATE("DE: ",A1635," ",B1635," ",D1635," mm (emission to ",F1635,")")</f>
        <v>DE: PA film 0,01-0,1 mm (emission to marine water)</v>
      </c>
      <c r="H1635" s="467">
        <v>0</v>
      </c>
      <c r="I1635" s="388" t="s">
        <v>1153</v>
      </c>
      <c r="J1635" s="634">
        <v>0.22800000000000001</v>
      </c>
      <c r="K1635" s="389">
        <v>292</v>
      </c>
      <c r="L1635" s="536"/>
      <c r="M1635" s="509">
        <f t="shared" si="4531"/>
        <v>0.17123287671232876</v>
      </c>
      <c r="N1635" s="645">
        <f t="shared" ref="N1635" si="4625">IFERROR(H1635*M1635+H1636*M1636+H1637*M1637+H1638*M1638+H1639*M1639,"N.A.")</f>
        <v>0.17123287671232876</v>
      </c>
      <c r="O1635" s="625"/>
      <c r="P1635" s="628">
        <f t="shared" si="4605"/>
        <v>0.17123287671232876</v>
      </c>
      <c r="Q1635" s="628">
        <f t="shared" si="4512"/>
        <v>0.17123287671232876</v>
      </c>
    </row>
    <row r="1636" spans="1:17" ht="15.75" hidden="1" thickBot="1">
      <c r="A1636" s="390" t="str">
        <f t="shared" ref="A1636:B1636" si="4626">A1633</f>
        <v>PA</v>
      </c>
      <c r="B1636" s="391" t="str">
        <f t="shared" si="4626"/>
        <v>film</v>
      </c>
      <c r="C1636" s="391">
        <f t="shared" ref="C1636" si="4627">C1635</f>
        <v>2</v>
      </c>
      <c r="D1636" s="391" t="str">
        <f t="shared" ref="D1636:E1636" si="4628">D1633</f>
        <v>0,01-0,1</v>
      </c>
      <c r="E1636" s="391">
        <f t="shared" si="4628"/>
        <v>0.1</v>
      </c>
      <c r="F1636" s="391" t="str">
        <f t="shared" ref="F1636:G1636" si="4629">F1635</f>
        <v>marine water</v>
      </c>
      <c r="G1636" s="401" t="str">
        <f t="shared" si="4629"/>
        <v>DE: PA film 0,01-0,1 mm (emission to marine water)</v>
      </c>
      <c r="H1636" s="465">
        <v>0</v>
      </c>
      <c r="I1636" s="394" t="s">
        <v>1097</v>
      </c>
      <c r="J1636" s="635"/>
      <c r="K1636" s="389">
        <v>292</v>
      </c>
      <c r="L1636" s="536"/>
      <c r="M1636" s="509">
        <f t="shared" si="4531"/>
        <v>0.17123287671232876</v>
      </c>
      <c r="N1636" s="646"/>
      <c r="O1636" s="626"/>
      <c r="P1636" s="629"/>
      <c r="Q1636" s="629"/>
    </row>
    <row r="1637" spans="1:17" ht="15.75" hidden="1" thickBot="1">
      <c r="A1637" s="390" t="str">
        <f t="shared" ref="A1637:B1637" si="4630">A1634</f>
        <v>PA</v>
      </c>
      <c r="B1637" s="391" t="str">
        <f t="shared" si="4630"/>
        <v>film</v>
      </c>
      <c r="C1637" s="391">
        <f t="shared" ref="C1637" si="4631">C1636</f>
        <v>2</v>
      </c>
      <c r="D1637" s="391" t="str">
        <f t="shared" ref="D1637:E1637" si="4632">D1634</f>
        <v>0,01-0,1</v>
      </c>
      <c r="E1637" s="391">
        <f t="shared" si="4632"/>
        <v>0.1</v>
      </c>
      <c r="F1637" s="391" t="str">
        <f t="shared" ref="F1637:G1637" si="4633">F1636</f>
        <v>marine water</v>
      </c>
      <c r="G1637" s="401" t="str">
        <f t="shared" si="4633"/>
        <v>DE: PA film 0,01-0,1 mm (emission to marine water)</v>
      </c>
      <c r="H1637" s="465">
        <v>0</v>
      </c>
      <c r="I1637" s="394" t="s">
        <v>1162</v>
      </c>
      <c r="J1637" s="635"/>
      <c r="K1637" s="389">
        <v>292</v>
      </c>
      <c r="L1637" s="536"/>
      <c r="M1637" s="509">
        <f t="shared" si="4531"/>
        <v>0.17123287671232876</v>
      </c>
      <c r="N1637" s="646"/>
      <c r="O1637" s="626"/>
      <c r="P1637" s="629"/>
      <c r="Q1637" s="629"/>
    </row>
    <row r="1638" spans="1:17" ht="15.75" hidden="1" thickBot="1">
      <c r="A1638" s="390" t="str">
        <f t="shared" ref="A1638:B1638" si="4634">A1635</f>
        <v>PA</v>
      </c>
      <c r="B1638" s="391" t="str">
        <f t="shared" si="4634"/>
        <v>film</v>
      </c>
      <c r="C1638" s="391">
        <f t="shared" ref="C1638" si="4635">C1637</f>
        <v>2</v>
      </c>
      <c r="D1638" s="391" t="str">
        <f t="shared" ref="D1638:E1638" si="4636">D1635</f>
        <v>0,01-0,1</v>
      </c>
      <c r="E1638" s="391">
        <f t="shared" si="4636"/>
        <v>0.1</v>
      </c>
      <c r="F1638" s="391" t="str">
        <f t="shared" ref="F1638:G1638" si="4637">F1637</f>
        <v>marine water</v>
      </c>
      <c r="G1638" s="401" t="str">
        <f t="shared" si="4637"/>
        <v>DE: PA film 0,01-0,1 mm (emission to marine water)</v>
      </c>
      <c r="H1638" s="465">
        <v>1</v>
      </c>
      <c r="I1638" s="394" t="s">
        <v>1163</v>
      </c>
      <c r="J1638" s="635"/>
      <c r="K1638" s="389">
        <v>292</v>
      </c>
      <c r="L1638" s="536"/>
      <c r="M1638" s="509">
        <f t="shared" si="4531"/>
        <v>0.17123287671232876</v>
      </c>
      <c r="N1638" s="646"/>
      <c r="O1638" s="626"/>
      <c r="P1638" s="629"/>
      <c r="Q1638" s="629"/>
    </row>
    <row r="1639" spans="1:17" ht="15.75" hidden="1" thickBot="1">
      <c r="A1639" s="390" t="str">
        <f t="shared" ref="A1639:B1639" si="4638">A1636</f>
        <v>PA</v>
      </c>
      <c r="B1639" s="391" t="str">
        <f t="shared" si="4638"/>
        <v>film</v>
      </c>
      <c r="C1639" s="391">
        <f t="shared" ref="C1639" si="4639">C1638</f>
        <v>2</v>
      </c>
      <c r="D1639" s="391" t="str">
        <f t="shared" ref="D1639:E1639" si="4640">D1636</f>
        <v>0,01-0,1</v>
      </c>
      <c r="E1639" s="391">
        <f t="shared" si="4640"/>
        <v>0.1</v>
      </c>
      <c r="F1639" s="391" t="str">
        <f t="shared" ref="F1639:G1639" si="4641">F1638</f>
        <v>marine water</v>
      </c>
      <c r="G1639" s="401" t="str">
        <f t="shared" si="4641"/>
        <v>DE: PA film 0,01-0,1 mm (emission to marine water)</v>
      </c>
      <c r="H1639" s="465">
        <v>0</v>
      </c>
      <c r="I1639" s="397" t="s">
        <v>1034</v>
      </c>
      <c r="J1639" s="654"/>
      <c r="K1639" s="398" t="s">
        <v>596</v>
      </c>
      <c r="L1639" s="538"/>
      <c r="M1639" s="509">
        <f t="shared" si="4531"/>
        <v>0</v>
      </c>
      <c r="N1639" s="647"/>
      <c r="O1639" s="627"/>
      <c r="P1639" s="629"/>
      <c r="Q1639" s="629"/>
    </row>
    <row r="1640" spans="1:17" ht="15.75" hidden="1" thickBot="1">
      <c r="A1640" s="390" t="str">
        <f t="shared" ref="A1640:B1640" si="4642">A1637</f>
        <v>PA</v>
      </c>
      <c r="B1640" s="391" t="str">
        <f t="shared" si="4642"/>
        <v>film</v>
      </c>
      <c r="C1640" s="391">
        <f t="shared" ref="C1640" si="4643">C1639</f>
        <v>2</v>
      </c>
      <c r="D1640" s="391" t="str">
        <f t="shared" ref="D1640:E1640" si="4644">D1637</f>
        <v>0,01-0,1</v>
      </c>
      <c r="E1640" s="391">
        <f t="shared" si="4644"/>
        <v>0.1</v>
      </c>
      <c r="F1640" s="400" t="s">
        <v>1057</v>
      </c>
      <c r="G1640" s="422" t="str">
        <f>CONCATENATE("DE: ",A1640," ",B1640," ",D1640," mm (emission to ",F1640,")")</f>
        <v>DE: PA film 0,01-0,1 mm (emission to air)</v>
      </c>
      <c r="H1640" s="467">
        <v>0.94799999999999995</v>
      </c>
      <c r="I1640" s="388" t="s">
        <v>1153</v>
      </c>
      <c r="J1640" s="634">
        <v>0.22800000000000001</v>
      </c>
      <c r="K1640" s="389">
        <v>292</v>
      </c>
      <c r="L1640" s="536"/>
      <c r="M1640" s="509">
        <f t="shared" si="4531"/>
        <v>0.17123287671232876</v>
      </c>
      <c r="N1640" s="645">
        <f t="shared" ref="N1640" si="4645">IFERROR(H1640*M1640+H1641*M1641+H1642*M1642+H1643*M1643+H1644*M1644,"N.A.")</f>
        <v>0.17123287671232873</v>
      </c>
      <c r="O1640" s="625"/>
      <c r="P1640" s="628">
        <f t="shared" si="4605"/>
        <v>0.17123287671232873</v>
      </c>
      <c r="Q1640" s="628">
        <f t="shared" si="4512"/>
        <v>0.17123287671232873</v>
      </c>
    </row>
    <row r="1641" spans="1:17" ht="15.75" hidden="1" thickBot="1">
      <c r="A1641" s="390" t="str">
        <f t="shared" ref="A1641:B1641" si="4646">A1638</f>
        <v>PA</v>
      </c>
      <c r="B1641" s="391" t="str">
        <f t="shared" si="4646"/>
        <v>film</v>
      </c>
      <c r="C1641" s="391">
        <f t="shared" ref="C1641" si="4647">C1640</f>
        <v>2</v>
      </c>
      <c r="D1641" s="391" t="str">
        <f t="shared" ref="D1641:E1641" si="4648">D1638</f>
        <v>0,01-0,1</v>
      </c>
      <c r="E1641" s="391">
        <f t="shared" si="4648"/>
        <v>0.1</v>
      </c>
      <c r="F1641" s="391" t="str">
        <f t="shared" ref="F1641:G1641" si="4649">F1640</f>
        <v>air</v>
      </c>
      <c r="G1641" s="401" t="str">
        <f t="shared" si="4649"/>
        <v>DE: PA film 0,01-0,1 mm (emission to air)</v>
      </c>
      <c r="H1641" s="465">
        <v>0</v>
      </c>
      <c r="I1641" s="394" t="s">
        <v>1097</v>
      </c>
      <c r="J1641" s="635"/>
      <c r="K1641" s="389">
        <v>292</v>
      </c>
      <c r="L1641" s="536"/>
      <c r="M1641" s="509">
        <f t="shared" si="4531"/>
        <v>0.17123287671232876</v>
      </c>
      <c r="N1641" s="646"/>
      <c r="O1641" s="626"/>
      <c r="P1641" s="629"/>
      <c r="Q1641" s="629"/>
    </row>
    <row r="1642" spans="1:17" ht="15.75" hidden="1" thickBot="1">
      <c r="A1642" s="390" t="str">
        <f t="shared" ref="A1642:B1642" si="4650">A1639</f>
        <v>PA</v>
      </c>
      <c r="B1642" s="391" t="str">
        <f t="shared" si="4650"/>
        <v>film</v>
      </c>
      <c r="C1642" s="391">
        <f t="shared" ref="C1642" si="4651">C1641</f>
        <v>2</v>
      </c>
      <c r="D1642" s="391" t="str">
        <f t="shared" ref="D1642:E1642" si="4652">D1639</f>
        <v>0,01-0,1</v>
      </c>
      <c r="E1642" s="391">
        <f t="shared" si="4652"/>
        <v>0.1</v>
      </c>
      <c r="F1642" s="391" t="str">
        <f t="shared" ref="F1642:G1642" si="4653">F1641</f>
        <v>air</v>
      </c>
      <c r="G1642" s="401" t="str">
        <f t="shared" si="4653"/>
        <v>DE: PA film 0,01-0,1 mm (emission to air)</v>
      </c>
      <c r="H1642" s="465">
        <v>4.7E-2</v>
      </c>
      <c r="I1642" s="394" t="s">
        <v>1162</v>
      </c>
      <c r="J1642" s="635"/>
      <c r="K1642" s="389">
        <v>292</v>
      </c>
      <c r="L1642" s="536"/>
      <c r="M1642" s="509">
        <f t="shared" si="4531"/>
        <v>0.17123287671232876</v>
      </c>
      <c r="N1642" s="646"/>
      <c r="O1642" s="626"/>
      <c r="P1642" s="629"/>
      <c r="Q1642" s="629"/>
    </row>
    <row r="1643" spans="1:17" ht="15.75" hidden="1" thickBot="1">
      <c r="A1643" s="390" t="str">
        <f t="shared" ref="A1643:B1643" si="4654">A1640</f>
        <v>PA</v>
      </c>
      <c r="B1643" s="391" t="str">
        <f t="shared" si="4654"/>
        <v>film</v>
      </c>
      <c r="C1643" s="391">
        <f t="shared" ref="C1643" si="4655">C1642</f>
        <v>2</v>
      </c>
      <c r="D1643" s="391" t="str">
        <f t="shared" ref="D1643:E1643" si="4656">D1640</f>
        <v>0,01-0,1</v>
      </c>
      <c r="E1643" s="391">
        <f t="shared" si="4656"/>
        <v>0.1</v>
      </c>
      <c r="F1643" s="391" t="str">
        <f t="shared" ref="F1643:G1643" si="4657">F1642</f>
        <v>air</v>
      </c>
      <c r="G1643" s="401" t="str">
        <f t="shared" si="4657"/>
        <v>DE: PA film 0,01-0,1 mm (emission to air)</v>
      </c>
      <c r="H1643" s="465">
        <v>5.0000000000000001E-3</v>
      </c>
      <c r="I1643" s="394" t="s">
        <v>1163</v>
      </c>
      <c r="J1643" s="635"/>
      <c r="K1643" s="389">
        <v>292</v>
      </c>
      <c r="L1643" s="536"/>
      <c r="M1643" s="509">
        <f t="shared" si="4531"/>
        <v>0.17123287671232876</v>
      </c>
      <c r="N1643" s="646"/>
      <c r="O1643" s="626"/>
      <c r="P1643" s="629"/>
      <c r="Q1643" s="629"/>
    </row>
    <row r="1644" spans="1:17" ht="15.75" hidden="1" thickBot="1">
      <c r="A1644" s="404" t="str">
        <f t="shared" ref="A1644:B1644" si="4658">A1639</f>
        <v>PA</v>
      </c>
      <c r="B1644" s="402" t="str">
        <f t="shared" si="4658"/>
        <v>film</v>
      </c>
      <c r="C1644" s="391">
        <f t="shared" ref="C1644" si="4659">C1643</f>
        <v>2</v>
      </c>
      <c r="D1644" s="402" t="str">
        <f t="shared" ref="D1644:E1644" si="4660">D1639</f>
        <v>0,01-0,1</v>
      </c>
      <c r="E1644" s="402">
        <f t="shared" si="4660"/>
        <v>0.1</v>
      </c>
      <c r="F1644" s="391" t="str">
        <f t="shared" ref="F1644:G1644" si="4661">F1643</f>
        <v>air</v>
      </c>
      <c r="G1644" s="401" t="str">
        <f t="shared" si="4661"/>
        <v>DE: PA film 0,01-0,1 mm (emission to air)</v>
      </c>
      <c r="H1644" s="465">
        <v>0</v>
      </c>
      <c r="I1644" s="394" t="s">
        <v>1034</v>
      </c>
      <c r="J1644" s="636"/>
      <c r="K1644" s="398" t="s">
        <v>596</v>
      </c>
      <c r="L1644" s="538"/>
      <c r="M1644" s="509">
        <f t="shared" si="4531"/>
        <v>0</v>
      </c>
      <c r="N1644" s="647"/>
      <c r="O1644" s="627"/>
      <c r="P1644" s="629"/>
      <c r="Q1644" s="629"/>
    </row>
    <row r="1645" spans="1:17" ht="16.5" hidden="1" thickTop="1" thickBot="1">
      <c r="A1645" s="405" t="s">
        <v>188</v>
      </c>
      <c r="B1645" s="406" t="s">
        <v>996</v>
      </c>
      <c r="C1645" s="407">
        <f>IF(OR(B1645="Folie", B1645="Strips", B1645="Film",B1645="Flakes",B1645="Coupon"), 2,IF(OR(B1645="Fibers",B1645="Pellets"),4,IF(OR(B1645="Particles",B1645="Shreds",B1645="Powder",B1645="Fragments",B1645="Granules"),6,"")))</f>
        <v>2</v>
      </c>
      <c r="D1645" s="423" t="s">
        <v>1028</v>
      </c>
      <c r="E1645" s="408">
        <v>1</v>
      </c>
      <c r="F1645" s="424" t="s">
        <v>1019</v>
      </c>
      <c r="G1645" s="425" t="str">
        <f>CONCATENATE("DE: ",A1645," ",B1645," ",D1645," mm (emission to ",F1645,")")</f>
        <v>DE: PA film 0,1-1 mm (emission to soil)</v>
      </c>
      <c r="H1645" s="464">
        <v>0.97</v>
      </c>
      <c r="I1645" s="427" t="s">
        <v>1153</v>
      </c>
      <c r="J1645" s="632">
        <v>0.22800000000000001</v>
      </c>
      <c r="K1645" s="449">
        <v>292</v>
      </c>
      <c r="L1645" s="536"/>
      <c r="M1645" s="509">
        <f t="shared" si="4531"/>
        <v>1.7123287671232876</v>
      </c>
      <c r="N1645" s="645">
        <f t="shared" ref="N1645" si="4662">IFERROR(H1645*M1645+H1646*M1646+H1647*M1647+H1648*M1648+H1649*M1649,"N.A.")</f>
        <v>1.7123287671232876</v>
      </c>
      <c r="O1645" s="625"/>
      <c r="P1645" s="628">
        <f t="shared" si="4605"/>
        <v>1.7123287671232876</v>
      </c>
      <c r="Q1645" s="628">
        <f t="shared" si="4512"/>
        <v>1.7123287671232876</v>
      </c>
    </row>
    <row r="1646" spans="1:17" ht="15.75" hidden="1" thickBot="1">
      <c r="A1646" s="390" t="str">
        <f>A1645</f>
        <v>PA</v>
      </c>
      <c r="B1646" s="391" t="str">
        <f>B1645</f>
        <v>film</v>
      </c>
      <c r="C1646" s="391">
        <f t="shared" ref="C1646:G1646" si="4663">C1645</f>
        <v>2</v>
      </c>
      <c r="D1646" s="391" t="str">
        <f t="shared" si="4663"/>
        <v>0,1-1</v>
      </c>
      <c r="E1646" s="391">
        <f t="shared" si="4663"/>
        <v>1</v>
      </c>
      <c r="F1646" s="391" t="str">
        <f t="shared" si="4663"/>
        <v>soil</v>
      </c>
      <c r="G1646" s="392" t="str">
        <f t="shared" si="4663"/>
        <v>DE: PA film 0,1-1 mm (emission to soil)</v>
      </c>
      <c r="H1646" s="465">
        <v>0</v>
      </c>
      <c r="I1646" s="394" t="s">
        <v>1097</v>
      </c>
      <c r="J1646" s="632"/>
      <c r="K1646" s="395">
        <v>292</v>
      </c>
      <c r="L1646" s="537"/>
      <c r="M1646" s="509">
        <f t="shared" si="4531"/>
        <v>1.7123287671232876</v>
      </c>
      <c r="N1646" s="646"/>
      <c r="O1646" s="626"/>
      <c r="P1646" s="629"/>
      <c r="Q1646" s="629"/>
    </row>
    <row r="1647" spans="1:17" ht="15.75" hidden="1" thickBot="1">
      <c r="A1647" s="390" t="str">
        <f t="shared" ref="A1647:G1647" si="4664">A1646</f>
        <v>PA</v>
      </c>
      <c r="B1647" s="391" t="str">
        <f t="shared" si="4664"/>
        <v>film</v>
      </c>
      <c r="C1647" s="391">
        <f t="shared" si="4664"/>
        <v>2</v>
      </c>
      <c r="D1647" s="391" t="str">
        <f t="shared" si="4664"/>
        <v>0,1-1</v>
      </c>
      <c r="E1647" s="391">
        <f t="shared" si="4664"/>
        <v>1</v>
      </c>
      <c r="F1647" s="391" t="str">
        <f t="shared" si="4664"/>
        <v>soil</v>
      </c>
      <c r="G1647" s="392" t="str">
        <f t="shared" si="4664"/>
        <v>DE: PA film 0,1-1 mm (emission to soil)</v>
      </c>
      <c r="H1647" s="465">
        <v>2.7E-2</v>
      </c>
      <c r="I1647" s="394" t="s">
        <v>1162</v>
      </c>
      <c r="J1647" s="632"/>
      <c r="K1647" s="395">
        <v>292</v>
      </c>
      <c r="L1647" s="537"/>
      <c r="M1647" s="509">
        <f t="shared" si="4531"/>
        <v>1.7123287671232876</v>
      </c>
      <c r="N1647" s="646"/>
      <c r="O1647" s="626"/>
      <c r="P1647" s="629"/>
      <c r="Q1647" s="629"/>
    </row>
    <row r="1648" spans="1:17" ht="15.75" hidden="1" thickBot="1">
      <c r="A1648" s="390" t="str">
        <f t="shared" ref="A1648:G1648" si="4665">A1647</f>
        <v>PA</v>
      </c>
      <c r="B1648" s="391" t="str">
        <f t="shared" si="4665"/>
        <v>film</v>
      </c>
      <c r="C1648" s="391">
        <f t="shared" si="4665"/>
        <v>2</v>
      </c>
      <c r="D1648" s="391" t="str">
        <f t="shared" si="4665"/>
        <v>0,1-1</v>
      </c>
      <c r="E1648" s="391">
        <f t="shared" si="4665"/>
        <v>1</v>
      </c>
      <c r="F1648" s="391" t="str">
        <f t="shared" si="4665"/>
        <v>soil</v>
      </c>
      <c r="G1648" s="392" t="str">
        <f t="shared" si="4665"/>
        <v>DE: PA film 0,1-1 mm (emission to soil)</v>
      </c>
      <c r="H1648" s="465">
        <v>3.0000000000000001E-3</v>
      </c>
      <c r="I1648" s="394" t="s">
        <v>1163</v>
      </c>
      <c r="J1648" s="632"/>
      <c r="K1648" s="395">
        <v>292</v>
      </c>
      <c r="L1648" s="537"/>
      <c r="M1648" s="509">
        <f t="shared" si="4531"/>
        <v>1.7123287671232876</v>
      </c>
      <c r="N1648" s="646"/>
      <c r="O1648" s="626"/>
      <c r="P1648" s="629"/>
      <c r="Q1648" s="629"/>
    </row>
    <row r="1649" spans="1:17" ht="15.75" hidden="1" thickBot="1">
      <c r="A1649" s="390" t="str">
        <f>A1646</f>
        <v>PA</v>
      </c>
      <c r="B1649" s="391" t="str">
        <f>B1646</f>
        <v>film</v>
      </c>
      <c r="C1649" s="391">
        <f t="shared" ref="C1649" si="4666">C1648</f>
        <v>2</v>
      </c>
      <c r="D1649" s="391" t="str">
        <f>D1646</f>
        <v>0,1-1</v>
      </c>
      <c r="E1649" s="391">
        <f>E1646</f>
        <v>1</v>
      </c>
      <c r="F1649" s="391" t="str">
        <f>F1646</f>
        <v>soil</v>
      </c>
      <c r="G1649" s="396" t="str">
        <f t="shared" ref="G1649" si="4667">G1648</f>
        <v>DE: PA film 0,1-1 mm (emission to soil)</v>
      </c>
      <c r="H1649" s="465">
        <v>0</v>
      </c>
      <c r="I1649" s="397" t="s">
        <v>1034</v>
      </c>
      <c r="J1649" s="633"/>
      <c r="K1649" s="398" t="s">
        <v>596</v>
      </c>
      <c r="L1649" s="538"/>
      <c r="M1649" s="509">
        <f t="shared" si="4531"/>
        <v>0</v>
      </c>
      <c r="N1649" s="647"/>
      <c r="O1649" s="627"/>
      <c r="P1649" s="629"/>
      <c r="Q1649" s="629"/>
    </row>
    <row r="1650" spans="1:17" ht="15.75" hidden="1" thickBot="1">
      <c r="A1650" s="390" t="str">
        <f t="shared" ref="A1650:B1650" si="4668">A1647</f>
        <v>PA</v>
      </c>
      <c r="B1650" s="391" t="str">
        <f t="shared" si="4668"/>
        <v>film</v>
      </c>
      <c r="C1650" s="391">
        <f t="shared" ref="C1650" si="4669">C1649</f>
        <v>2</v>
      </c>
      <c r="D1650" s="399" t="str">
        <f t="shared" ref="D1650:E1650" si="4670">D1647</f>
        <v>0,1-1</v>
      </c>
      <c r="E1650" s="391">
        <f t="shared" si="4670"/>
        <v>1</v>
      </c>
      <c r="F1650" s="400" t="s">
        <v>1147</v>
      </c>
      <c r="G1650" s="386" t="str">
        <f>CONCATENATE("DE: ",A1650," ",B1650," ",D1650," mm (emission to ",F1650,")")</f>
        <v>DE: PA film 0,1-1 mm (emission to fresh water)</v>
      </c>
      <c r="H1650" s="466">
        <v>0</v>
      </c>
      <c r="I1650" s="388" t="s">
        <v>1153</v>
      </c>
      <c r="J1650" s="634">
        <v>0.22800000000000001</v>
      </c>
      <c r="K1650" s="389">
        <v>292</v>
      </c>
      <c r="L1650" s="536"/>
      <c r="M1650" s="509">
        <f t="shared" si="4531"/>
        <v>1.7123287671232876</v>
      </c>
      <c r="N1650" s="645">
        <f t="shared" ref="N1650" si="4671">IFERROR(H1650*M1650+H1651*M1651+H1652*M1652+H1653*M1653+H1654*M1654,"N.A.")</f>
        <v>1.7123287671232876</v>
      </c>
      <c r="O1650" s="625"/>
      <c r="P1650" s="628">
        <f t="shared" si="4605"/>
        <v>1.7123287671232876</v>
      </c>
      <c r="Q1650" s="628">
        <f t="shared" si="4512"/>
        <v>1.7123287671232876</v>
      </c>
    </row>
    <row r="1651" spans="1:17" ht="15.75" hidden="1" thickBot="1">
      <c r="A1651" s="390" t="str">
        <f t="shared" ref="A1651:B1651" si="4672">A1648</f>
        <v>PA</v>
      </c>
      <c r="B1651" s="391" t="str">
        <f t="shared" si="4672"/>
        <v>film</v>
      </c>
      <c r="C1651" s="391">
        <f t="shared" ref="C1651" si="4673">C1650</f>
        <v>2</v>
      </c>
      <c r="D1651" s="391" t="str">
        <f t="shared" ref="D1651:E1651" si="4674">D1648</f>
        <v>0,1-1</v>
      </c>
      <c r="E1651" s="391">
        <f t="shared" si="4674"/>
        <v>1</v>
      </c>
      <c r="F1651" s="391" t="str">
        <f t="shared" ref="F1651:G1651" si="4675">F1650</f>
        <v>fresh water</v>
      </c>
      <c r="G1651" s="401" t="str">
        <f t="shared" si="4675"/>
        <v>DE: PA film 0,1-1 mm (emission to fresh water)</v>
      </c>
      <c r="H1651" s="465">
        <v>0</v>
      </c>
      <c r="I1651" s="394" t="s">
        <v>1097</v>
      </c>
      <c r="J1651" s="635"/>
      <c r="K1651" s="389">
        <v>292</v>
      </c>
      <c r="L1651" s="536"/>
      <c r="M1651" s="509">
        <f t="shared" si="4531"/>
        <v>1.7123287671232876</v>
      </c>
      <c r="N1651" s="646"/>
      <c r="O1651" s="626"/>
      <c r="P1651" s="629"/>
      <c r="Q1651" s="629"/>
    </row>
    <row r="1652" spans="1:17" ht="15.75" hidden="1" thickBot="1">
      <c r="A1652" s="390" t="str">
        <f t="shared" ref="A1652:B1652" si="4676">A1649</f>
        <v>PA</v>
      </c>
      <c r="B1652" s="391" t="str">
        <f t="shared" si="4676"/>
        <v>film</v>
      </c>
      <c r="C1652" s="391">
        <f t="shared" ref="C1652" si="4677">C1651</f>
        <v>2</v>
      </c>
      <c r="D1652" s="391" t="str">
        <f t="shared" ref="D1652:E1652" si="4678">D1649</f>
        <v>0,1-1</v>
      </c>
      <c r="E1652" s="391">
        <f t="shared" si="4678"/>
        <v>1</v>
      </c>
      <c r="F1652" s="391" t="str">
        <f t="shared" ref="F1652:G1652" si="4679">F1651</f>
        <v>fresh water</v>
      </c>
      <c r="G1652" s="401" t="str">
        <f t="shared" si="4679"/>
        <v>DE: PA film 0,1-1 mm (emission to fresh water)</v>
      </c>
      <c r="H1652" s="465">
        <v>0.89</v>
      </c>
      <c r="I1652" s="394" t="s">
        <v>1162</v>
      </c>
      <c r="J1652" s="635"/>
      <c r="K1652" s="389">
        <v>292</v>
      </c>
      <c r="L1652" s="536"/>
      <c r="M1652" s="509">
        <f t="shared" si="4531"/>
        <v>1.7123287671232876</v>
      </c>
      <c r="N1652" s="646"/>
      <c r="O1652" s="626"/>
      <c r="P1652" s="629"/>
      <c r="Q1652" s="629"/>
    </row>
    <row r="1653" spans="1:17" ht="15.75" hidden="1" thickBot="1">
      <c r="A1653" s="390" t="str">
        <f t="shared" ref="A1653:B1653" si="4680">A1650</f>
        <v>PA</v>
      </c>
      <c r="B1653" s="391" t="str">
        <f t="shared" si="4680"/>
        <v>film</v>
      </c>
      <c r="C1653" s="391">
        <f t="shared" ref="C1653" si="4681">C1652</f>
        <v>2</v>
      </c>
      <c r="D1653" s="391" t="str">
        <f t="shared" ref="D1653:E1653" si="4682">D1650</f>
        <v>0,1-1</v>
      </c>
      <c r="E1653" s="391">
        <f t="shared" si="4682"/>
        <v>1</v>
      </c>
      <c r="F1653" s="391" t="str">
        <f t="shared" ref="F1653:G1653" si="4683">F1652</f>
        <v>fresh water</v>
      </c>
      <c r="G1653" s="401" t="str">
        <f t="shared" si="4683"/>
        <v>DE: PA film 0,1-1 mm (emission to fresh water)</v>
      </c>
      <c r="H1653" s="465">
        <v>0.11</v>
      </c>
      <c r="I1653" s="394" t="s">
        <v>1163</v>
      </c>
      <c r="J1653" s="635"/>
      <c r="K1653" s="389">
        <v>292</v>
      </c>
      <c r="L1653" s="536"/>
      <c r="M1653" s="509">
        <f t="shared" si="4531"/>
        <v>1.7123287671232876</v>
      </c>
      <c r="N1653" s="646"/>
      <c r="O1653" s="626"/>
      <c r="P1653" s="629"/>
      <c r="Q1653" s="629"/>
    </row>
    <row r="1654" spans="1:17" ht="15.75" hidden="1" thickBot="1">
      <c r="A1654" s="390" t="str">
        <f t="shared" ref="A1654:B1654" si="4684">A1651</f>
        <v>PA</v>
      </c>
      <c r="B1654" s="391" t="str">
        <f t="shared" si="4684"/>
        <v>film</v>
      </c>
      <c r="C1654" s="391">
        <f t="shared" ref="C1654" si="4685">C1653</f>
        <v>2</v>
      </c>
      <c r="D1654" s="391" t="str">
        <f t="shared" ref="D1654:E1654" si="4686">D1651</f>
        <v>0,1-1</v>
      </c>
      <c r="E1654" s="391">
        <f t="shared" si="4686"/>
        <v>1</v>
      </c>
      <c r="F1654" s="402" t="str">
        <f>F1651</f>
        <v>fresh water</v>
      </c>
      <c r="G1654" s="401" t="str">
        <f t="shared" ref="G1654" si="4687">G1653</f>
        <v>DE: PA film 0,1-1 mm (emission to fresh water)</v>
      </c>
      <c r="H1654" s="465">
        <v>0</v>
      </c>
      <c r="I1654" s="397" t="s">
        <v>1034</v>
      </c>
      <c r="J1654" s="654"/>
      <c r="K1654" s="398" t="s">
        <v>596</v>
      </c>
      <c r="L1654" s="538"/>
      <c r="M1654" s="509">
        <f t="shared" si="4531"/>
        <v>0</v>
      </c>
      <c r="N1654" s="647"/>
      <c r="O1654" s="627"/>
      <c r="P1654" s="629"/>
      <c r="Q1654" s="629"/>
    </row>
    <row r="1655" spans="1:17" ht="15.75" hidden="1" thickBot="1">
      <c r="A1655" s="390" t="str">
        <f t="shared" ref="A1655:B1655" si="4688">A1652</f>
        <v>PA</v>
      </c>
      <c r="B1655" s="391" t="str">
        <f t="shared" si="4688"/>
        <v>film</v>
      </c>
      <c r="C1655" s="391">
        <f t="shared" ref="C1655" si="4689">C1654</f>
        <v>2</v>
      </c>
      <c r="D1655" s="391" t="str">
        <f t="shared" ref="D1655:E1655" si="4690">D1652</f>
        <v>0,1-1</v>
      </c>
      <c r="E1655" s="391">
        <f t="shared" si="4690"/>
        <v>1</v>
      </c>
      <c r="F1655" s="385" t="s">
        <v>1097</v>
      </c>
      <c r="G1655" s="422" t="str">
        <f>CONCATENATE("DE: ",A1655," ",B1655," ",D1655," mm (emission to ",F1655,")")</f>
        <v>DE: PA film 0,1-1 mm (emission to marine water)</v>
      </c>
      <c r="H1655" s="467">
        <v>0</v>
      </c>
      <c r="I1655" s="388" t="s">
        <v>1153</v>
      </c>
      <c r="J1655" s="634">
        <v>0.22800000000000001</v>
      </c>
      <c r="K1655" s="389">
        <v>292</v>
      </c>
      <c r="L1655" s="536"/>
      <c r="M1655" s="509">
        <f t="shared" si="4531"/>
        <v>1.7123287671232876</v>
      </c>
      <c r="N1655" s="645">
        <f t="shared" ref="N1655" si="4691">IFERROR(H1655*M1655+H1656*M1656+H1657*M1657+H1658*M1658+H1659*M1659,"N.A.")</f>
        <v>1.7123287671232876</v>
      </c>
      <c r="O1655" s="625"/>
      <c r="P1655" s="628">
        <f t="shared" si="4605"/>
        <v>1.7123287671232876</v>
      </c>
      <c r="Q1655" s="628">
        <f t="shared" si="4512"/>
        <v>1.7123287671232876</v>
      </c>
    </row>
    <row r="1656" spans="1:17" ht="15.75" hidden="1" thickBot="1">
      <c r="A1656" s="390" t="str">
        <f t="shared" ref="A1656:B1656" si="4692">A1653</f>
        <v>PA</v>
      </c>
      <c r="B1656" s="391" t="str">
        <f t="shared" si="4692"/>
        <v>film</v>
      </c>
      <c r="C1656" s="391">
        <f t="shared" ref="C1656" si="4693">C1655</f>
        <v>2</v>
      </c>
      <c r="D1656" s="391" t="str">
        <f t="shared" ref="D1656:E1656" si="4694">D1653</f>
        <v>0,1-1</v>
      </c>
      <c r="E1656" s="391">
        <f t="shared" si="4694"/>
        <v>1</v>
      </c>
      <c r="F1656" s="391" t="str">
        <f t="shared" ref="F1656:G1656" si="4695">F1655</f>
        <v>marine water</v>
      </c>
      <c r="G1656" s="401" t="str">
        <f t="shared" si="4695"/>
        <v>DE: PA film 0,1-1 mm (emission to marine water)</v>
      </c>
      <c r="H1656" s="465">
        <v>0</v>
      </c>
      <c r="I1656" s="394" t="s">
        <v>1097</v>
      </c>
      <c r="J1656" s="635"/>
      <c r="K1656" s="389">
        <v>292</v>
      </c>
      <c r="L1656" s="536"/>
      <c r="M1656" s="509">
        <f t="shared" si="4531"/>
        <v>1.7123287671232876</v>
      </c>
      <c r="N1656" s="646"/>
      <c r="O1656" s="626"/>
      <c r="P1656" s="629"/>
      <c r="Q1656" s="629"/>
    </row>
    <row r="1657" spans="1:17" ht="15.75" hidden="1" thickBot="1">
      <c r="A1657" s="390" t="str">
        <f t="shared" ref="A1657:B1657" si="4696">A1654</f>
        <v>PA</v>
      </c>
      <c r="B1657" s="391" t="str">
        <f t="shared" si="4696"/>
        <v>film</v>
      </c>
      <c r="C1657" s="391">
        <f t="shared" ref="C1657" si="4697">C1656</f>
        <v>2</v>
      </c>
      <c r="D1657" s="391" t="str">
        <f t="shared" ref="D1657:E1657" si="4698">D1654</f>
        <v>0,1-1</v>
      </c>
      <c r="E1657" s="391">
        <f t="shared" si="4698"/>
        <v>1</v>
      </c>
      <c r="F1657" s="391" t="str">
        <f t="shared" ref="F1657:G1657" si="4699">F1656</f>
        <v>marine water</v>
      </c>
      <c r="G1657" s="401" t="str">
        <f t="shared" si="4699"/>
        <v>DE: PA film 0,1-1 mm (emission to marine water)</v>
      </c>
      <c r="H1657" s="465">
        <v>0</v>
      </c>
      <c r="I1657" s="394" t="s">
        <v>1162</v>
      </c>
      <c r="J1657" s="635"/>
      <c r="K1657" s="389">
        <v>292</v>
      </c>
      <c r="L1657" s="536"/>
      <c r="M1657" s="509">
        <f t="shared" si="4531"/>
        <v>1.7123287671232876</v>
      </c>
      <c r="N1657" s="646"/>
      <c r="O1657" s="626"/>
      <c r="P1657" s="629"/>
      <c r="Q1657" s="629"/>
    </row>
    <row r="1658" spans="1:17" ht="15.75" hidden="1" thickBot="1">
      <c r="A1658" s="390" t="str">
        <f t="shared" ref="A1658:B1658" si="4700">A1655</f>
        <v>PA</v>
      </c>
      <c r="B1658" s="391" t="str">
        <f t="shared" si="4700"/>
        <v>film</v>
      </c>
      <c r="C1658" s="391">
        <f t="shared" ref="C1658" si="4701">C1657</f>
        <v>2</v>
      </c>
      <c r="D1658" s="391" t="str">
        <f t="shared" ref="D1658:E1658" si="4702">D1655</f>
        <v>0,1-1</v>
      </c>
      <c r="E1658" s="391">
        <f t="shared" si="4702"/>
        <v>1</v>
      </c>
      <c r="F1658" s="391" t="str">
        <f t="shared" ref="F1658:G1658" si="4703">F1657</f>
        <v>marine water</v>
      </c>
      <c r="G1658" s="401" t="str">
        <f t="shared" si="4703"/>
        <v>DE: PA film 0,1-1 mm (emission to marine water)</v>
      </c>
      <c r="H1658" s="465">
        <v>1</v>
      </c>
      <c r="I1658" s="394" t="s">
        <v>1163</v>
      </c>
      <c r="J1658" s="635"/>
      <c r="K1658" s="389">
        <v>292</v>
      </c>
      <c r="L1658" s="536"/>
      <c r="M1658" s="509">
        <f t="shared" si="4531"/>
        <v>1.7123287671232876</v>
      </c>
      <c r="N1658" s="646"/>
      <c r="O1658" s="626"/>
      <c r="P1658" s="629"/>
      <c r="Q1658" s="629"/>
    </row>
    <row r="1659" spans="1:17" ht="15.75" hidden="1" thickBot="1">
      <c r="A1659" s="390" t="str">
        <f t="shared" ref="A1659:B1659" si="4704">A1656</f>
        <v>PA</v>
      </c>
      <c r="B1659" s="391" t="str">
        <f t="shared" si="4704"/>
        <v>film</v>
      </c>
      <c r="C1659" s="391">
        <f t="shared" ref="C1659" si="4705">C1658</f>
        <v>2</v>
      </c>
      <c r="D1659" s="391" t="str">
        <f t="shared" ref="D1659:E1659" si="4706">D1656</f>
        <v>0,1-1</v>
      </c>
      <c r="E1659" s="391">
        <f t="shared" si="4706"/>
        <v>1</v>
      </c>
      <c r="F1659" s="391" t="str">
        <f t="shared" ref="F1659:G1659" si="4707">F1658</f>
        <v>marine water</v>
      </c>
      <c r="G1659" s="401" t="str">
        <f t="shared" si="4707"/>
        <v>DE: PA film 0,1-1 mm (emission to marine water)</v>
      </c>
      <c r="H1659" s="465">
        <v>0</v>
      </c>
      <c r="I1659" s="397" t="s">
        <v>1034</v>
      </c>
      <c r="J1659" s="654"/>
      <c r="K1659" s="398" t="s">
        <v>596</v>
      </c>
      <c r="L1659" s="538"/>
      <c r="M1659" s="509">
        <f t="shared" si="4531"/>
        <v>0</v>
      </c>
      <c r="N1659" s="647"/>
      <c r="O1659" s="627"/>
      <c r="P1659" s="629"/>
      <c r="Q1659" s="629"/>
    </row>
    <row r="1660" spans="1:17" ht="15.75" hidden="1" thickBot="1">
      <c r="A1660" s="390" t="str">
        <f t="shared" ref="A1660:B1660" si="4708">A1657</f>
        <v>PA</v>
      </c>
      <c r="B1660" s="391" t="str">
        <f t="shared" si="4708"/>
        <v>film</v>
      </c>
      <c r="C1660" s="391">
        <f t="shared" ref="C1660" si="4709">C1659</f>
        <v>2</v>
      </c>
      <c r="D1660" s="391" t="str">
        <f t="shared" ref="D1660:E1660" si="4710">D1657</f>
        <v>0,1-1</v>
      </c>
      <c r="E1660" s="391">
        <f t="shared" si="4710"/>
        <v>1</v>
      </c>
      <c r="F1660" s="400" t="s">
        <v>1057</v>
      </c>
      <c r="G1660" s="422" t="str">
        <f>CONCATENATE("DE: ",A1660," ",B1660," ",D1660," mm (emission to ",F1660,")")</f>
        <v>DE: PA film 0,1-1 mm (emission to air)</v>
      </c>
      <c r="H1660" s="467">
        <v>0.94799999999999995</v>
      </c>
      <c r="I1660" s="388" t="s">
        <v>1153</v>
      </c>
      <c r="J1660" s="634">
        <v>0.22800000000000001</v>
      </c>
      <c r="K1660" s="389">
        <v>292</v>
      </c>
      <c r="L1660" s="536"/>
      <c r="M1660" s="509">
        <f t="shared" si="4531"/>
        <v>1.7123287671232876</v>
      </c>
      <c r="N1660" s="645">
        <f t="shared" ref="N1660" si="4711">IFERROR(H1660*M1660+H1661*M1661+H1662*M1662+H1663*M1663+H1664*M1664,"N.A.")</f>
        <v>1.7123287671232874</v>
      </c>
      <c r="O1660" s="625"/>
      <c r="P1660" s="628">
        <f t="shared" si="4605"/>
        <v>1.7123287671232874</v>
      </c>
      <c r="Q1660" s="628">
        <f t="shared" si="4512"/>
        <v>1.7123287671232874</v>
      </c>
    </row>
    <row r="1661" spans="1:17" ht="15.75" hidden="1" thickBot="1">
      <c r="A1661" s="390" t="str">
        <f t="shared" ref="A1661:B1661" si="4712">A1658</f>
        <v>PA</v>
      </c>
      <c r="B1661" s="391" t="str">
        <f t="shared" si="4712"/>
        <v>film</v>
      </c>
      <c r="C1661" s="391">
        <f t="shared" ref="C1661" si="4713">C1660</f>
        <v>2</v>
      </c>
      <c r="D1661" s="391" t="str">
        <f t="shared" ref="D1661:E1661" si="4714">D1658</f>
        <v>0,1-1</v>
      </c>
      <c r="E1661" s="391">
        <f t="shared" si="4714"/>
        <v>1</v>
      </c>
      <c r="F1661" s="391" t="str">
        <f t="shared" ref="F1661:G1661" si="4715">F1660</f>
        <v>air</v>
      </c>
      <c r="G1661" s="401" t="str">
        <f t="shared" si="4715"/>
        <v>DE: PA film 0,1-1 mm (emission to air)</v>
      </c>
      <c r="H1661" s="465">
        <v>0</v>
      </c>
      <c r="I1661" s="394" t="s">
        <v>1097</v>
      </c>
      <c r="J1661" s="635"/>
      <c r="K1661" s="389">
        <v>292</v>
      </c>
      <c r="L1661" s="536"/>
      <c r="M1661" s="509">
        <f t="shared" si="4531"/>
        <v>1.7123287671232876</v>
      </c>
      <c r="N1661" s="646"/>
      <c r="O1661" s="626"/>
      <c r="P1661" s="629"/>
      <c r="Q1661" s="629"/>
    </row>
    <row r="1662" spans="1:17" ht="15.75" hidden="1" thickBot="1">
      <c r="A1662" s="390" t="str">
        <f t="shared" ref="A1662:B1662" si="4716">A1659</f>
        <v>PA</v>
      </c>
      <c r="B1662" s="391" t="str">
        <f t="shared" si="4716"/>
        <v>film</v>
      </c>
      <c r="C1662" s="391">
        <f t="shared" ref="C1662" si="4717">C1661</f>
        <v>2</v>
      </c>
      <c r="D1662" s="391" t="str">
        <f t="shared" ref="D1662:E1662" si="4718">D1659</f>
        <v>0,1-1</v>
      </c>
      <c r="E1662" s="391">
        <f t="shared" si="4718"/>
        <v>1</v>
      </c>
      <c r="F1662" s="391" t="str">
        <f t="shared" ref="F1662:G1662" si="4719">F1661</f>
        <v>air</v>
      </c>
      <c r="G1662" s="401" t="str">
        <f t="shared" si="4719"/>
        <v>DE: PA film 0,1-1 mm (emission to air)</v>
      </c>
      <c r="H1662" s="465">
        <v>4.7E-2</v>
      </c>
      <c r="I1662" s="394" t="s">
        <v>1162</v>
      </c>
      <c r="J1662" s="635"/>
      <c r="K1662" s="389">
        <v>292</v>
      </c>
      <c r="L1662" s="536"/>
      <c r="M1662" s="509">
        <f t="shared" si="4531"/>
        <v>1.7123287671232876</v>
      </c>
      <c r="N1662" s="646"/>
      <c r="O1662" s="626"/>
      <c r="P1662" s="629"/>
      <c r="Q1662" s="629"/>
    </row>
    <row r="1663" spans="1:17" ht="15.75" hidden="1" thickBot="1">
      <c r="A1663" s="390" t="str">
        <f t="shared" ref="A1663:B1663" si="4720">A1660</f>
        <v>PA</v>
      </c>
      <c r="B1663" s="391" t="str">
        <f t="shared" si="4720"/>
        <v>film</v>
      </c>
      <c r="C1663" s="391">
        <f t="shared" ref="C1663" si="4721">C1662</f>
        <v>2</v>
      </c>
      <c r="D1663" s="391" t="str">
        <f t="shared" ref="D1663:E1663" si="4722">D1660</f>
        <v>0,1-1</v>
      </c>
      <c r="E1663" s="391">
        <f t="shared" si="4722"/>
        <v>1</v>
      </c>
      <c r="F1663" s="391" t="str">
        <f t="shared" ref="F1663:G1663" si="4723">F1662</f>
        <v>air</v>
      </c>
      <c r="G1663" s="401" t="str">
        <f t="shared" si="4723"/>
        <v>DE: PA film 0,1-1 mm (emission to air)</v>
      </c>
      <c r="H1663" s="465">
        <v>5.0000000000000001E-3</v>
      </c>
      <c r="I1663" s="394" t="s">
        <v>1163</v>
      </c>
      <c r="J1663" s="635"/>
      <c r="K1663" s="389">
        <v>292</v>
      </c>
      <c r="L1663" s="536"/>
      <c r="M1663" s="509">
        <f t="shared" si="4531"/>
        <v>1.7123287671232876</v>
      </c>
      <c r="N1663" s="646"/>
      <c r="O1663" s="626"/>
      <c r="P1663" s="629"/>
      <c r="Q1663" s="629"/>
    </row>
    <row r="1664" spans="1:17" ht="15.75" hidden="1" thickBot="1">
      <c r="A1664" s="404" t="str">
        <f t="shared" ref="A1664:B1664" si="4724">A1659</f>
        <v>PA</v>
      </c>
      <c r="B1664" s="402" t="str">
        <f t="shared" si="4724"/>
        <v>film</v>
      </c>
      <c r="C1664" s="391">
        <f t="shared" ref="C1664" si="4725">C1663</f>
        <v>2</v>
      </c>
      <c r="D1664" s="402" t="str">
        <f t="shared" ref="D1664:E1664" si="4726">D1659</f>
        <v>0,1-1</v>
      </c>
      <c r="E1664" s="402">
        <f t="shared" si="4726"/>
        <v>1</v>
      </c>
      <c r="F1664" s="391" t="str">
        <f t="shared" ref="F1664:G1664" si="4727">F1663</f>
        <v>air</v>
      </c>
      <c r="G1664" s="401" t="str">
        <f t="shared" si="4727"/>
        <v>DE: PA film 0,1-1 mm (emission to air)</v>
      </c>
      <c r="H1664" s="465">
        <v>0</v>
      </c>
      <c r="I1664" s="394" t="s">
        <v>1034</v>
      </c>
      <c r="J1664" s="636"/>
      <c r="K1664" s="398" t="s">
        <v>596</v>
      </c>
      <c r="L1664" s="538"/>
      <c r="M1664" s="509">
        <f t="shared" si="4531"/>
        <v>0</v>
      </c>
      <c r="N1664" s="647"/>
      <c r="O1664" s="627"/>
      <c r="P1664" s="629"/>
      <c r="Q1664" s="629"/>
    </row>
    <row r="1665" spans="1:17" ht="16.5" hidden="1" thickTop="1" thickBot="1">
      <c r="A1665" s="405" t="s">
        <v>188</v>
      </c>
      <c r="B1665" s="406" t="s">
        <v>996</v>
      </c>
      <c r="C1665" s="407">
        <f>IF(OR(B1665="Folie", B1665="Strips", B1665="Film",B1665="Flakes",B1665="Coupon"), 2,IF(OR(B1665="Fibers",B1665="Pellets"),4,IF(OR(B1665="Particles",B1665="Shreds",B1665="Powder",B1665="Fragments",B1665="Granules"),6,"")))</f>
        <v>2</v>
      </c>
      <c r="D1665" s="423" t="s">
        <v>1026</v>
      </c>
      <c r="E1665" s="408">
        <v>10</v>
      </c>
      <c r="F1665" s="424" t="s">
        <v>1019</v>
      </c>
      <c r="G1665" s="425" t="str">
        <f>CONCATENATE("DE: ",A1665," ",B1665," ",D1665," mm (emission to ",F1665,")")</f>
        <v>DE: PA film 1-10 mm (emission to soil)</v>
      </c>
      <c r="H1665" s="464">
        <v>0.97</v>
      </c>
      <c r="I1665" s="427" t="s">
        <v>1153</v>
      </c>
      <c r="J1665" s="632">
        <v>0.22800000000000001</v>
      </c>
      <c r="K1665" s="449">
        <v>292</v>
      </c>
      <c r="L1665" s="536"/>
      <c r="M1665" s="509">
        <f t="shared" si="4531"/>
        <v>17.123287671232877</v>
      </c>
      <c r="N1665" s="645">
        <f t="shared" ref="N1665" si="4728">IFERROR(H1665*M1665+H1666*M1666+H1667*M1667+H1668*M1668+H1669*M1669,"N.A.")</f>
        <v>17.123287671232877</v>
      </c>
      <c r="O1665" s="625"/>
      <c r="P1665" s="628">
        <f t="shared" si="4605"/>
        <v>17.123287671232877</v>
      </c>
      <c r="Q1665" s="628">
        <f t="shared" ref="Q1665:Q1725" si="4729">IFERROR(IF(H1665*M1665+H1666*M1666+H1667*M1667+H1668*M1668+H1669*M1669&gt;500,500,H1665*M1665+H1666*M1666+H1667*M1667+H1668*M1668+H1669*M1669),"N.A.")</f>
        <v>17.123287671232877</v>
      </c>
    </row>
    <row r="1666" spans="1:17" ht="15.75" hidden="1" thickBot="1">
      <c r="A1666" s="390" t="str">
        <f>A1665</f>
        <v>PA</v>
      </c>
      <c r="B1666" s="391" t="str">
        <f>B1665</f>
        <v>film</v>
      </c>
      <c r="C1666" s="391">
        <f t="shared" ref="C1666:G1666" si="4730">C1665</f>
        <v>2</v>
      </c>
      <c r="D1666" s="391" t="str">
        <f t="shared" si="4730"/>
        <v>1-10</v>
      </c>
      <c r="E1666" s="391">
        <f t="shared" si="4730"/>
        <v>10</v>
      </c>
      <c r="F1666" s="391" t="str">
        <f t="shared" si="4730"/>
        <v>soil</v>
      </c>
      <c r="G1666" s="392" t="str">
        <f t="shared" si="4730"/>
        <v>DE: PA film 1-10 mm (emission to soil)</v>
      </c>
      <c r="H1666" s="465">
        <v>0</v>
      </c>
      <c r="I1666" s="394" t="s">
        <v>1097</v>
      </c>
      <c r="J1666" s="632"/>
      <c r="K1666" s="395">
        <v>292</v>
      </c>
      <c r="L1666" s="537"/>
      <c r="M1666" s="509">
        <f t="shared" si="4531"/>
        <v>17.123287671232877</v>
      </c>
      <c r="N1666" s="646"/>
      <c r="O1666" s="626"/>
      <c r="P1666" s="629"/>
      <c r="Q1666" s="629"/>
    </row>
    <row r="1667" spans="1:17" ht="15.75" hidden="1" thickBot="1">
      <c r="A1667" s="390" t="str">
        <f t="shared" ref="A1667:G1667" si="4731">A1666</f>
        <v>PA</v>
      </c>
      <c r="B1667" s="391" t="str">
        <f t="shared" si="4731"/>
        <v>film</v>
      </c>
      <c r="C1667" s="391">
        <f t="shared" si="4731"/>
        <v>2</v>
      </c>
      <c r="D1667" s="391" t="str">
        <f t="shared" si="4731"/>
        <v>1-10</v>
      </c>
      <c r="E1667" s="391">
        <f t="shared" si="4731"/>
        <v>10</v>
      </c>
      <c r="F1667" s="391" t="str">
        <f t="shared" si="4731"/>
        <v>soil</v>
      </c>
      <c r="G1667" s="392" t="str">
        <f t="shared" si="4731"/>
        <v>DE: PA film 1-10 mm (emission to soil)</v>
      </c>
      <c r="H1667" s="465">
        <v>2.7E-2</v>
      </c>
      <c r="I1667" s="394" t="s">
        <v>1162</v>
      </c>
      <c r="J1667" s="632"/>
      <c r="K1667" s="395">
        <v>292</v>
      </c>
      <c r="L1667" s="537"/>
      <c r="M1667" s="509">
        <f t="shared" si="4531"/>
        <v>17.123287671232877</v>
      </c>
      <c r="N1667" s="646"/>
      <c r="O1667" s="626"/>
      <c r="P1667" s="629"/>
      <c r="Q1667" s="629"/>
    </row>
    <row r="1668" spans="1:17" ht="15.75" hidden="1" thickBot="1">
      <c r="A1668" s="390" t="str">
        <f t="shared" ref="A1668:G1668" si="4732">A1667</f>
        <v>PA</v>
      </c>
      <c r="B1668" s="391" t="str">
        <f t="shared" si="4732"/>
        <v>film</v>
      </c>
      <c r="C1668" s="391">
        <f t="shared" si="4732"/>
        <v>2</v>
      </c>
      <c r="D1668" s="391" t="str">
        <f t="shared" si="4732"/>
        <v>1-10</v>
      </c>
      <c r="E1668" s="391">
        <f t="shared" si="4732"/>
        <v>10</v>
      </c>
      <c r="F1668" s="391" t="str">
        <f t="shared" si="4732"/>
        <v>soil</v>
      </c>
      <c r="G1668" s="392" t="str">
        <f t="shared" si="4732"/>
        <v>DE: PA film 1-10 mm (emission to soil)</v>
      </c>
      <c r="H1668" s="465">
        <v>3.0000000000000001E-3</v>
      </c>
      <c r="I1668" s="394" t="s">
        <v>1163</v>
      </c>
      <c r="J1668" s="632"/>
      <c r="K1668" s="395">
        <v>292</v>
      </c>
      <c r="L1668" s="537"/>
      <c r="M1668" s="509">
        <f t="shared" si="4531"/>
        <v>17.123287671232877</v>
      </c>
      <c r="N1668" s="646"/>
      <c r="O1668" s="626"/>
      <c r="P1668" s="629"/>
      <c r="Q1668" s="629"/>
    </row>
    <row r="1669" spans="1:17" ht="15.75" hidden="1" thickBot="1">
      <c r="A1669" s="390" t="str">
        <f>A1666</f>
        <v>PA</v>
      </c>
      <c r="B1669" s="391" t="str">
        <f>B1666</f>
        <v>film</v>
      </c>
      <c r="C1669" s="391">
        <f t="shared" ref="C1669" si="4733">C1668</f>
        <v>2</v>
      </c>
      <c r="D1669" s="391" t="str">
        <f>D1666</f>
        <v>1-10</v>
      </c>
      <c r="E1669" s="391">
        <f>E1666</f>
        <v>10</v>
      </c>
      <c r="F1669" s="391" t="str">
        <f>F1666</f>
        <v>soil</v>
      </c>
      <c r="G1669" s="396" t="str">
        <f t="shared" ref="G1669" si="4734">G1668</f>
        <v>DE: PA film 1-10 mm (emission to soil)</v>
      </c>
      <c r="H1669" s="465">
        <v>0</v>
      </c>
      <c r="I1669" s="397" t="s">
        <v>1034</v>
      </c>
      <c r="J1669" s="633"/>
      <c r="K1669" s="398" t="s">
        <v>596</v>
      </c>
      <c r="L1669" s="538"/>
      <c r="M1669" s="509">
        <f t="shared" si="4531"/>
        <v>0</v>
      </c>
      <c r="N1669" s="647"/>
      <c r="O1669" s="627"/>
      <c r="P1669" s="629"/>
      <c r="Q1669" s="629"/>
    </row>
    <row r="1670" spans="1:17" ht="15.75" hidden="1" thickBot="1">
      <c r="A1670" s="390" t="str">
        <f t="shared" ref="A1670:B1670" si="4735">A1667</f>
        <v>PA</v>
      </c>
      <c r="B1670" s="391" t="str">
        <f t="shared" si="4735"/>
        <v>film</v>
      </c>
      <c r="C1670" s="391">
        <f t="shared" ref="C1670" si="4736">C1669</f>
        <v>2</v>
      </c>
      <c r="D1670" s="399" t="str">
        <f t="shared" ref="D1670:E1670" si="4737">D1667</f>
        <v>1-10</v>
      </c>
      <c r="E1670" s="391">
        <f t="shared" si="4737"/>
        <v>10</v>
      </c>
      <c r="F1670" s="400" t="s">
        <v>1147</v>
      </c>
      <c r="G1670" s="386" t="str">
        <f>CONCATENATE("DE: ",A1670," ",B1670," ",D1670," mm (emission to ",F1670,")")</f>
        <v>DE: PA film 1-10 mm (emission to fresh water)</v>
      </c>
      <c r="H1670" s="466">
        <v>0</v>
      </c>
      <c r="I1670" s="388" t="s">
        <v>1153</v>
      </c>
      <c r="J1670" s="634">
        <v>0.22800000000000001</v>
      </c>
      <c r="K1670" s="389">
        <v>292</v>
      </c>
      <c r="L1670" s="536"/>
      <c r="M1670" s="509">
        <f t="shared" ref="M1670:M1733" si="4738">IFERROR(IF(K1670="--",0,IF(E1670*1000/K1670*(1-0.5)^(C1670/2)&gt;1000,1000,E1670*1000/K1670*(1-0.5)^(C1670/2))),1000)</f>
        <v>17.123287671232877</v>
      </c>
      <c r="N1670" s="645">
        <f t="shared" ref="N1670" si="4739">IFERROR(H1670*M1670+H1671*M1671+H1672*M1672+H1673*M1673+H1674*M1674,"N.A.")</f>
        <v>17.123287671232877</v>
      </c>
      <c r="O1670" s="625"/>
      <c r="P1670" s="628">
        <f t="shared" si="4605"/>
        <v>17.123287671232877</v>
      </c>
      <c r="Q1670" s="628">
        <f t="shared" si="4729"/>
        <v>17.123287671232877</v>
      </c>
    </row>
    <row r="1671" spans="1:17" ht="15.75" hidden="1" thickBot="1">
      <c r="A1671" s="390" t="str">
        <f t="shared" ref="A1671:B1671" si="4740">A1668</f>
        <v>PA</v>
      </c>
      <c r="B1671" s="391" t="str">
        <f t="shared" si="4740"/>
        <v>film</v>
      </c>
      <c r="C1671" s="391">
        <f t="shared" ref="C1671" si="4741">C1670</f>
        <v>2</v>
      </c>
      <c r="D1671" s="391" t="str">
        <f t="shared" ref="D1671:E1671" si="4742">D1668</f>
        <v>1-10</v>
      </c>
      <c r="E1671" s="391">
        <f t="shared" si="4742"/>
        <v>10</v>
      </c>
      <c r="F1671" s="391" t="str">
        <f t="shared" ref="F1671:G1671" si="4743">F1670</f>
        <v>fresh water</v>
      </c>
      <c r="G1671" s="401" t="str">
        <f t="shared" si="4743"/>
        <v>DE: PA film 1-10 mm (emission to fresh water)</v>
      </c>
      <c r="H1671" s="465">
        <v>0</v>
      </c>
      <c r="I1671" s="394" t="s">
        <v>1097</v>
      </c>
      <c r="J1671" s="635"/>
      <c r="K1671" s="389">
        <v>292</v>
      </c>
      <c r="L1671" s="536"/>
      <c r="M1671" s="509">
        <f t="shared" si="4738"/>
        <v>17.123287671232877</v>
      </c>
      <c r="N1671" s="646"/>
      <c r="O1671" s="626"/>
      <c r="P1671" s="629"/>
      <c r="Q1671" s="629"/>
    </row>
    <row r="1672" spans="1:17" ht="15.75" hidden="1" thickBot="1">
      <c r="A1672" s="390" t="str">
        <f t="shared" ref="A1672:B1672" si="4744">A1669</f>
        <v>PA</v>
      </c>
      <c r="B1672" s="391" t="str">
        <f t="shared" si="4744"/>
        <v>film</v>
      </c>
      <c r="C1672" s="391">
        <f t="shared" ref="C1672" si="4745">C1671</f>
        <v>2</v>
      </c>
      <c r="D1672" s="391" t="str">
        <f t="shared" ref="D1672:E1672" si="4746">D1669</f>
        <v>1-10</v>
      </c>
      <c r="E1672" s="391">
        <f t="shared" si="4746"/>
        <v>10</v>
      </c>
      <c r="F1672" s="391" t="str">
        <f t="shared" ref="F1672:G1672" si="4747">F1671</f>
        <v>fresh water</v>
      </c>
      <c r="G1672" s="401" t="str">
        <f t="shared" si="4747"/>
        <v>DE: PA film 1-10 mm (emission to fresh water)</v>
      </c>
      <c r="H1672" s="465">
        <v>0.89</v>
      </c>
      <c r="I1672" s="394" t="s">
        <v>1162</v>
      </c>
      <c r="J1672" s="635"/>
      <c r="K1672" s="389">
        <v>292</v>
      </c>
      <c r="L1672" s="536"/>
      <c r="M1672" s="509">
        <f t="shared" si="4738"/>
        <v>17.123287671232877</v>
      </c>
      <c r="N1672" s="646"/>
      <c r="O1672" s="626"/>
      <c r="P1672" s="629"/>
      <c r="Q1672" s="629"/>
    </row>
    <row r="1673" spans="1:17" ht="15.75" hidden="1" thickBot="1">
      <c r="A1673" s="390" t="str">
        <f t="shared" ref="A1673:B1673" si="4748">A1670</f>
        <v>PA</v>
      </c>
      <c r="B1673" s="391" t="str">
        <f t="shared" si="4748"/>
        <v>film</v>
      </c>
      <c r="C1673" s="391">
        <f t="shared" ref="C1673" si="4749">C1672</f>
        <v>2</v>
      </c>
      <c r="D1673" s="391" t="str">
        <f t="shared" ref="D1673:E1673" si="4750">D1670</f>
        <v>1-10</v>
      </c>
      <c r="E1673" s="391">
        <f t="shared" si="4750"/>
        <v>10</v>
      </c>
      <c r="F1673" s="391" t="str">
        <f t="shared" ref="F1673:G1673" si="4751">F1672</f>
        <v>fresh water</v>
      </c>
      <c r="G1673" s="401" t="str">
        <f t="shared" si="4751"/>
        <v>DE: PA film 1-10 mm (emission to fresh water)</v>
      </c>
      <c r="H1673" s="465">
        <v>0.11</v>
      </c>
      <c r="I1673" s="394" t="s">
        <v>1163</v>
      </c>
      <c r="J1673" s="635"/>
      <c r="K1673" s="389">
        <v>292</v>
      </c>
      <c r="L1673" s="536"/>
      <c r="M1673" s="509">
        <f t="shared" si="4738"/>
        <v>17.123287671232877</v>
      </c>
      <c r="N1673" s="646"/>
      <c r="O1673" s="626"/>
      <c r="P1673" s="629"/>
      <c r="Q1673" s="629"/>
    </row>
    <row r="1674" spans="1:17" ht="15.75" hidden="1" thickBot="1">
      <c r="A1674" s="390" t="str">
        <f t="shared" ref="A1674:B1674" si="4752">A1671</f>
        <v>PA</v>
      </c>
      <c r="B1674" s="391" t="str">
        <f t="shared" si="4752"/>
        <v>film</v>
      </c>
      <c r="C1674" s="391">
        <f t="shared" ref="C1674" si="4753">C1673</f>
        <v>2</v>
      </c>
      <c r="D1674" s="391" t="str">
        <f t="shared" ref="D1674:E1674" si="4754">D1671</f>
        <v>1-10</v>
      </c>
      <c r="E1674" s="391">
        <f t="shared" si="4754"/>
        <v>10</v>
      </c>
      <c r="F1674" s="402" t="str">
        <f>F1671</f>
        <v>fresh water</v>
      </c>
      <c r="G1674" s="401" t="str">
        <f t="shared" ref="G1674" si="4755">G1673</f>
        <v>DE: PA film 1-10 mm (emission to fresh water)</v>
      </c>
      <c r="H1674" s="465">
        <v>0</v>
      </c>
      <c r="I1674" s="397" t="s">
        <v>1034</v>
      </c>
      <c r="J1674" s="654"/>
      <c r="K1674" s="398" t="s">
        <v>596</v>
      </c>
      <c r="L1674" s="538"/>
      <c r="M1674" s="509">
        <f t="shared" si="4738"/>
        <v>0</v>
      </c>
      <c r="N1674" s="647"/>
      <c r="O1674" s="627"/>
      <c r="P1674" s="629"/>
      <c r="Q1674" s="629"/>
    </row>
    <row r="1675" spans="1:17" ht="15.75" hidden="1" thickBot="1">
      <c r="A1675" s="390" t="str">
        <f t="shared" ref="A1675:B1675" si="4756">A1672</f>
        <v>PA</v>
      </c>
      <c r="B1675" s="391" t="str">
        <f t="shared" si="4756"/>
        <v>film</v>
      </c>
      <c r="C1675" s="391">
        <f t="shared" ref="C1675" si="4757">C1674</f>
        <v>2</v>
      </c>
      <c r="D1675" s="391" t="str">
        <f t="shared" ref="D1675:E1675" si="4758">D1672</f>
        <v>1-10</v>
      </c>
      <c r="E1675" s="391">
        <f t="shared" si="4758"/>
        <v>10</v>
      </c>
      <c r="F1675" s="385" t="s">
        <v>1097</v>
      </c>
      <c r="G1675" s="422" t="str">
        <f>CONCATENATE("DE: ",A1675," ",B1675," ",D1675," mm (emission to ",F1675,")")</f>
        <v>DE: PA film 1-10 mm (emission to marine water)</v>
      </c>
      <c r="H1675" s="467">
        <v>0</v>
      </c>
      <c r="I1675" s="388" t="s">
        <v>1153</v>
      </c>
      <c r="J1675" s="634">
        <v>0.22800000000000001</v>
      </c>
      <c r="K1675" s="389">
        <v>292</v>
      </c>
      <c r="L1675" s="536"/>
      <c r="M1675" s="509">
        <f t="shared" si="4738"/>
        <v>17.123287671232877</v>
      </c>
      <c r="N1675" s="645">
        <f t="shared" ref="N1675" si="4759">IFERROR(H1675*M1675+H1676*M1676+H1677*M1677+H1678*M1678+H1679*M1679,"N.A.")</f>
        <v>17.123287671232877</v>
      </c>
      <c r="O1675" s="625"/>
      <c r="P1675" s="628">
        <f t="shared" si="4605"/>
        <v>17.123287671232877</v>
      </c>
      <c r="Q1675" s="628">
        <f t="shared" si="4729"/>
        <v>17.123287671232877</v>
      </c>
    </row>
    <row r="1676" spans="1:17" ht="15.75" hidden="1" thickBot="1">
      <c r="A1676" s="390" t="str">
        <f t="shared" ref="A1676:B1676" si="4760">A1673</f>
        <v>PA</v>
      </c>
      <c r="B1676" s="391" t="str">
        <f t="shared" si="4760"/>
        <v>film</v>
      </c>
      <c r="C1676" s="391">
        <f t="shared" ref="C1676" si="4761">C1675</f>
        <v>2</v>
      </c>
      <c r="D1676" s="391" t="str">
        <f t="shared" ref="D1676:E1676" si="4762">D1673</f>
        <v>1-10</v>
      </c>
      <c r="E1676" s="391">
        <f t="shared" si="4762"/>
        <v>10</v>
      </c>
      <c r="F1676" s="391" t="str">
        <f t="shared" ref="F1676:G1676" si="4763">F1675</f>
        <v>marine water</v>
      </c>
      <c r="G1676" s="401" t="str">
        <f t="shared" si="4763"/>
        <v>DE: PA film 1-10 mm (emission to marine water)</v>
      </c>
      <c r="H1676" s="465">
        <v>0</v>
      </c>
      <c r="I1676" s="394" t="s">
        <v>1097</v>
      </c>
      <c r="J1676" s="635"/>
      <c r="K1676" s="389">
        <v>292</v>
      </c>
      <c r="L1676" s="536"/>
      <c r="M1676" s="509">
        <f t="shared" si="4738"/>
        <v>17.123287671232877</v>
      </c>
      <c r="N1676" s="646"/>
      <c r="O1676" s="626"/>
      <c r="P1676" s="629"/>
      <c r="Q1676" s="629"/>
    </row>
    <row r="1677" spans="1:17" ht="15.75" hidden="1" thickBot="1">
      <c r="A1677" s="390" t="str">
        <f t="shared" ref="A1677:B1677" si="4764">A1674</f>
        <v>PA</v>
      </c>
      <c r="B1677" s="391" t="str">
        <f t="shared" si="4764"/>
        <v>film</v>
      </c>
      <c r="C1677" s="391">
        <f t="shared" ref="C1677" si="4765">C1676</f>
        <v>2</v>
      </c>
      <c r="D1677" s="391" t="str">
        <f t="shared" ref="D1677:E1677" si="4766">D1674</f>
        <v>1-10</v>
      </c>
      <c r="E1677" s="391">
        <f t="shared" si="4766"/>
        <v>10</v>
      </c>
      <c r="F1677" s="391" t="str">
        <f t="shared" ref="F1677:G1677" si="4767">F1676</f>
        <v>marine water</v>
      </c>
      <c r="G1677" s="401" t="str">
        <f t="shared" si="4767"/>
        <v>DE: PA film 1-10 mm (emission to marine water)</v>
      </c>
      <c r="H1677" s="465">
        <v>0</v>
      </c>
      <c r="I1677" s="394" t="s">
        <v>1162</v>
      </c>
      <c r="J1677" s="635"/>
      <c r="K1677" s="389">
        <v>292</v>
      </c>
      <c r="L1677" s="536"/>
      <c r="M1677" s="509">
        <f t="shared" si="4738"/>
        <v>17.123287671232877</v>
      </c>
      <c r="N1677" s="646"/>
      <c r="O1677" s="626"/>
      <c r="P1677" s="629"/>
      <c r="Q1677" s="629"/>
    </row>
    <row r="1678" spans="1:17" ht="15.75" hidden="1" thickBot="1">
      <c r="A1678" s="390" t="str">
        <f t="shared" ref="A1678:B1678" si="4768">A1675</f>
        <v>PA</v>
      </c>
      <c r="B1678" s="391" t="str">
        <f t="shared" si="4768"/>
        <v>film</v>
      </c>
      <c r="C1678" s="391">
        <f t="shared" ref="C1678" si="4769">C1677</f>
        <v>2</v>
      </c>
      <c r="D1678" s="391" t="str">
        <f t="shared" ref="D1678:E1678" si="4770">D1675</f>
        <v>1-10</v>
      </c>
      <c r="E1678" s="391">
        <f t="shared" si="4770"/>
        <v>10</v>
      </c>
      <c r="F1678" s="391" t="str">
        <f t="shared" ref="F1678:G1678" si="4771">F1677</f>
        <v>marine water</v>
      </c>
      <c r="G1678" s="401" t="str">
        <f t="shared" si="4771"/>
        <v>DE: PA film 1-10 mm (emission to marine water)</v>
      </c>
      <c r="H1678" s="465">
        <v>1</v>
      </c>
      <c r="I1678" s="394" t="s">
        <v>1163</v>
      </c>
      <c r="J1678" s="635"/>
      <c r="K1678" s="389">
        <v>292</v>
      </c>
      <c r="L1678" s="536"/>
      <c r="M1678" s="509">
        <f t="shared" si="4738"/>
        <v>17.123287671232877</v>
      </c>
      <c r="N1678" s="646"/>
      <c r="O1678" s="626"/>
      <c r="P1678" s="629"/>
      <c r="Q1678" s="629"/>
    </row>
    <row r="1679" spans="1:17" ht="15.75" hidden="1" thickBot="1">
      <c r="A1679" s="390" t="str">
        <f t="shared" ref="A1679:B1679" si="4772">A1676</f>
        <v>PA</v>
      </c>
      <c r="B1679" s="391" t="str">
        <f t="shared" si="4772"/>
        <v>film</v>
      </c>
      <c r="C1679" s="391">
        <f t="shared" ref="C1679" si="4773">C1678</f>
        <v>2</v>
      </c>
      <c r="D1679" s="391" t="str">
        <f t="shared" ref="D1679:E1679" si="4774">D1676</f>
        <v>1-10</v>
      </c>
      <c r="E1679" s="391">
        <f t="shared" si="4774"/>
        <v>10</v>
      </c>
      <c r="F1679" s="391" t="str">
        <f t="shared" ref="F1679:G1679" si="4775">F1678</f>
        <v>marine water</v>
      </c>
      <c r="G1679" s="401" t="str">
        <f t="shared" si="4775"/>
        <v>DE: PA film 1-10 mm (emission to marine water)</v>
      </c>
      <c r="H1679" s="465">
        <v>0</v>
      </c>
      <c r="I1679" s="397" t="s">
        <v>1034</v>
      </c>
      <c r="J1679" s="654"/>
      <c r="K1679" s="398" t="s">
        <v>596</v>
      </c>
      <c r="L1679" s="538"/>
      <c r="M1679" s="509">
        <f t="shared" si="4738"/>
        <v>0</v>
      </c>
      <c r="N1679" s="647"/>
      <c r="O1679" s="627"/>
      <c r="P1679" s="629"/>
      <c r="Q1679" s="629"/>
    </row>
    <row r="1680" spans="1:17" ht="15.75" hidden="1" thickBot="1">
      <c r="A1680" s="390" t="str">
        <f t="shared" ref="A1680:B1680" si="4776">A1677</f>
        <v>PA</v>
      </c>
      <c r="B1680" s="391" t="str">
        <f t="shared" si="4776"/>
        <v>film</v>
      </c>
      <c r="C1680" s="391">
        <f t="shared" ref="C1680" si="4777">C1679</f>
        <v>2</v>
      </c>
      <c r="D1680" s="391" t="str">
        <f t="shared" ref="D1680:E1680" si="4778">D1677</f>
        <v>1-10</v>
      </c>
      <c r="E1680" s="391">
        <f t="shared" si="4778"/>
        <v>10</v>
      </c>
      <c r="F1680" s="400" t="s">
        <v>1057</v>
      </c>
      <c r="G1680" s="422" t="str">
        <f>CONCATENATE("DE: ",A1680," ",B1680," ",D1680," mm (emission to ",F1680,")")</f>
        <v>DE: PA film 1-10 mm (emission to air)</v>
      </c>
      <c r="H1680" s="467">
        <v>0.94799999999999995</v>
      </c>
      <c r="I1680" s="388" t="s">
        <v>1153</v>
      </c>
      <c r="J1680" s="634">
        <v>0.22800000000000001</v>
      </c>
      <c r="K1680" s="389">
        <v>292</v>
      </c>
      <c r="L1680" s="536"/>
      <c r="M1680" s="509">
        <f t="shared" si="4738"/>
        <v>17.123287671232877</v>
      </c>
      <c r="N1680" s="645">
        <f t="shared" ref="N1680" si="4779">IFERROR(H1680*M1680+H1681*M1681+H1682*M1682+H1683*M1683+H1684*M1684,"N.A.")</f>
        <v>17.123287671232877</v>
      </c>
      <c r="O1680" s="625"/>
      <c r="P1680" s="628">
        <f t="shared" si="4605"/>
        <v>17.123287671232877</v>
      </c>
      <c r="Q1680" s="628">
        <f t="shared" si="4729"/>
        <v>17.123287671232877</v>
      </c>
    </row>
    <row r="1681" spans="1:17" ht="15.75" hidden="1" thickBot="1">
      <c r="A1681" s="390" t="str">
        <f t="shared" ref="A1681:B1681" si="4780">A1678</f>
        <v>PA</v>
      </c>
      <c r="B1681" s="391" t="str">
        <f t="shared" si="4780"/>
        <v>film</v>
      </c>
      <c r="C1681" s="391">
        <f t="shared" ref="C1681" si="4781">C1680</f>
        <v>2</v>
      </c>
      <c r="D1681" s="391" t="str">
        <f t="shared" ref="D1681:E1681" si="4782">D1678</f>
        <v>1-10</v>
      </c>
      <c r="E1681" s="391">
        <f t="shared" si="4782"/>
        <v>10</v>
      </c>
      <c r="F1681" s="391" t="str">
        <f t="shared" ref="F1681:G1681" si="4783">F1680</f>
        <v>air</v>
      </c>
      <c r="G1681" s="401" t="str">
        <f t="shared" si="4783"/>
        <v>DE: PA film 1-10 mm (emission to air)</v>
      </c>
      <c r="H1681" s="465">
        <v>0</v>
      </c>
      <c r="I1681" s="394" t="s">
        <v>1097</v>
      </c>
      <c r="J1681" s="635"/>
      <c r="K1681" s="389">
        <v>292</v>
      </c>
      <c r="L1681" s="536"/>
      <c r="M1681" s="509">
        <f t="shared" si="4738"/>
        <v>17.123287671232877</v>
      </c>
      <c r="N1681" s="646"/>
      <c r="O1681" s="626"/>
      <c r="P1681" s="629"/>
      <c r="Q1681" s="629"/>
    </row>
    <row r="1682" spans="1:17" ht="15.75" hidden="1" thickBot="1">
      <c r="A1682" s="390" t="str">
        <f t="shared" ref="A1682:B1682" si="4784">A1679</f>
        <v>PA</v>
      </c>
      <c r="B1682" s="391" t="str">
        <f t="shared" si="4784"/>
        <v>film</v>
      </c>
      <c r="C1682" s="391">
        <f t="shared" ref="C1682" si="4785">C1681</f>
        <v>2</v>
      </c>
      <c r="D1682" s="391" t="str">
        <f t="shared" ref="D1682:E1682" si="4786">D1679</f>
        <v>1-10</v>
      </c>
      <c r="E1682" s="391">
        <f t="shared" si="4786"/>
        <v>10</v>
      </c>
      <c r="F1682" s="391" t="str">
        <f t="shared" ref="F1682:G1682" si="4787">F1681</f>
        <v>air</v>
      </c>
      <c r="G1682" s="401" t="str">
        <f t="shared" si="4787"/>
        <v>DE: PA film 1-10 mm (emission to air)</v>
      </c>
      <c r="H1682" s="465">
        <v>4.7E-2</v>
      </c>
      <c r="I1682" s="394" t="s">
        <v>1162</v>
      </c>
      <c r="J1682" s="635"/>
      <c r="K1682" s="389">
        <v>292</v>
      </c>
      <c r="L1682" s="536"/>
      <c r="M1682" s="509">
        <f t="shared" si="4738"/>
        <v>17.123287671232877</v>
      </c>
      <c r="N1682" s="646"/>
      <c r="O1682" s="626"/>
      <c r="P1682" s="629"/>
      <c r="Q1682" s="629"/>
    </row>
    <row r="1683" spans="1:17" ht="15.75" hidden="1" thickBot="1">
      <c r="A1683" s="390" t="str">
        <f t="shared" ref="A1683:B1683" si="4788">A1680</f>
        <v>PA</v>
      </c>
      <c r="B1683" s="391" t="str">
        <f t="shared" si="4788"/>
        <v>film</v>
      </c>
      <c r="C1683" s="391">
        <f t="shared" ref="C1683" si="4789">C1682</f>
        <v>2</v>
      </c>
      <c r="D1683" s="391" t="str">
        <f t="shared" ref="D1683:E1683" si="4790">D1680</f>
        <v>1-10</v>
      </c>
      <c r="E1683" s="391">
        <f t="shared" si="4790"/>
        <v>10</v>
      </c>
      <c r="F1683" s="391" t="str">
        <f t="shared" ref="F1683:G1683" si="4791">F1682</f>
        <v>air</v>
      </c>
      <c r="G1683" s="401" t="str">
        <f t="shared" si="4791"/>
        <v>DE: PA film 1-10 mm (emission to air)</v>
      </c>
      <c r="H1683" s="465">
        <v>5.0000000000000001E-3</v>
      </c>
      <c r="I1683" s="394" t="s">
        <v>1163</v>
      </c>
      <c r="J1683" s="635"/>
      <c r="K1683" s="389">
        <v>292</v>
      </c>
      <c r="L1683" s="536"/>
      <c r="M1683" s="509">
        <f t="shared" si="4738"/>
        <v>17.123287671232877</v>
      </c>
      <c r="N1683" s="646"/>
      <c r="O1683" s="626"/>
      <c r="P1683" s="629"/>
      <c r="Q1683" s="629"/>
    </row>
    <row r="1684" spans="1:17" ht="15.75" hidden="1" thickBot="1">
      <c r="A1684" s="404" t="str">
        <f t="shared" ref="A1684:B1684" si="4792">A1679</f>
        <v>PA</v>
      </c>
      <c r="B1684" s="402" t="str">
        <f t="shared" si="4792"/>
        <v>film</v>
      </c>
      <c r="C1684" s="391">
        <f t="shared" ref="C1684" si="4793">C1683</f>
        <v>2</v>
      </c>
      <c r="D1684" s="402" t="str">
        <f t="shared" ref="D1684:E1684" si="4794">D1679</f>
        <v>1-10</v>
      </c>
      <c r="E1684" s="402">
        <f t="shared" si="4794"/>
        <v>10</v>
      </c>
      <c r="F1684" s="391" t="str">
        <f t="shared" ref="F1684:G1684" si="4795">F1683</f>
        <v>air</v>
      </c>
      <c r="G1684" s="401" t="str">
        <f t="shared" si="4795"/>
        <v>DE: PA film 1-10 mm (emission to air)</v>
      </c>
      <c r="H1684" s="465">
        <v>0</v>
      </c>
      <c r="I1684" s="394" t="s">
        <v>1034</v>
      </c>
      <c r="J1684" s="636"/>
      <c r="K1684" s="398" t="s">
        <v>596</v>
      </c>
      <c r="L1684" s="538"/>
      <c r="M1684" s="509">
        <f t="shared" si="4738"/>
        <v>0</v>
      </c>
      <c r="N1684" s="647"/>
      <c r="O1684" s="627"/>
      <c r="P1684" s="629"/>
      <c r="Q1684" s="629"/>
    </row>
    <row r="1685" spans="1:17" ht="16.5" hidden="1" thickTop="1" thickBot="1">
      <c r="A1685" s="405" t="s">
        <v>188</v>
      </c>
      <c r="B1685" s="406" t="s">
        <v>1151</v>
      </c>
      <c r="C1685" s="407">
        <v>4</v>
      </c>
      <c r="D1685" s="423" t="s">
        <v>1018</v>
      </c>
      <c r="E1685" s="408">
        <v>0.1</v>
      </c>
      <c r="F1685" s="424" t="s">
        <v>1019</v>
      </c>
      <c r="G1685" s="425" t="str">
        <f>CONCATENATE("DE: ",A1685," ",B1685," ",D1685," mm (emission to ",F1685,")")</f>
        <v>DE: PA fiber 0,01-0,1 mm (emission to soil)</v>
      </c>
      <c r="H1685" s="464">
        <v>0.97</v>
      </c>
      <c r="I1685" s="427" t="s">
        <v>1153</v>
      </c>
      <c r="J1685" s="632">
        <v>0.22800000000000001</v>
      </c>
      <c r="K1685" s="449">
        <v>292</v>
      </c>
      <c r="L1685" s="536"/>
      <c r="M1685" s="509">
        <f t="shared" si="4738"/>
        <v>8.5616438356164379E-2</v>
      </c>
      <c r="N1685" s="645">
        <f t="shared" ref="N1685" si="4796">IFERROR(H1685*M1685+H1686*M1686+H1687*M1687+H1688*M1688+H1689*M1689,"N.A.")</f>
        <v>8.5616438356164379E-2</v>
      </c>
      <c r="O1685" s="625"/>
      <c r="P1685" s="628">
        <f t="shared" si="4605"/>
        <v>8.5616438356164379E-2</v>
      </c>
      <c r="Q1685" s="628">
        <f t="shared" si="4729"/>
        <v>8.5616438356164379E-2</v>
      </c>
    </row>
    <row r="1686" spans="1:17" ht="15.75" hidden="1" thickBot="1">
      <c r="A1686" s="390" t="str">
        <f>A1685</f>
        <v>PA</v>
      </c>
      <c r="B1686" s="391" t="str">
        <f>B1685</f>
        <v>fiber</v>
      </c>
      <c r="C1686" s="391">
        <f t="shared" ref="C1686:G1686" si="4797">C1685</f>
        <v>4</v>
      </c>
      <c r="D1686" s="391" t="str">
        <f t="shared" si="4797"/>
        <v>0,01-0,1</v>
      </c>
      <c r="E1686" s="391">
        <f t="shared" si="4797"/>
        <v>0.1</v>
      </c>
      <c r="F1686" s="391" t="str">
        <f t="shared" si="4797"/>
        <v>soil</v>
      </c>
      <c r="G1686" s="392" t="str">
        <f t="shared" si="4797"/>
        <v>DE: PA fiber 0,01-0,1 mm (emission to soil)</v>
      </c>
      <c r="H1686" s="465">
        <v>0</v>
      </c>
      <c r="I1686" s="394" t="s">
        <v>1097</v>
      </c>
      <c r="J1686" s="632"/>
      <c r="K1686" s="395">
        <v>292</v>
      </c>
      <c r="L1686" s="537"/>
      <c r="M1686" s="509">
        <f t="shared" si="4738"/>
        <v>8.5616438356164379E-2</v>
      </c>
      <c r="N1686" s="646"/>
      <c r="O1686" s="626"/>
      <c r="P1686" s="629"/>
      <c r="Q1686" s="629"/>
    </row>
    <row r="1687" spans="1:17" ht="15.75" hidden="1" thickBot="1">
      <c r="A1687" s="390" t="str">
        <f t="shared" ref="A1687:G1687" si="4798">A1686</f>
        <v>PA</v>
      </c>
      <c r="B1687" s="391" t="str">
        <f t="shared" si="4798"/>
        <v>fiber</v>
      </c>
      <c r="C1687" s="391">
        <f t="shared" si="4798"/>
        <v>4</v>
      </c>
      <c r="D1687" s="391" t="str">
        <f t="shared" si="4798"/>
        <v>0,01-0,1</v>
      </c>
      <c r="E1687" s="391">
        <f t="shared" si="4798"/>
        <v>0.1</v>
      </c>
      <c r="F1687" s="391" t="str">
        <f t="shared" si="4798"/>
        <v>soil</v>
      </c>
      <c r="G1687" s="392" t="str">
        <f t="shared" si="4798"/>
        <v>DE: PA fiber 0,01-0,1 mm (emission to soil)</v>
      </c>
      <c r="H1687" s="465">
        <v>2.7E-2</v>
      </c>
      <c r="I1687" s="394" t="s">
        <v>1162</v>
      </c>
      <c r="J1687" s="632"/>
      <c r="K1687" s="395">
        <v>292</v>
      </c>
      <c r="L1687" s="537"/>
      <c r="M1687" s="509">
        <f t="shared" si="4738"/>
        <v>8.5616438356164379E-2</v>
      </c>
      <c r="N1687" s="646"/>
      <c r="O1687" s="626"/>
      <c r="P1687" s="629"/>
      <c r="Q1687" s="629"/>
    </row>
    <row r="1688" spans="1:17" ht="15.75" hidden="1" thickBot="1">
      <c r="A1688" s="390" t="str">
        <f t="shared" ref="A1688:G1688" si="4799">A1687</f>
        <v>PA</v>
      </c>
      <c r="B1688" s="391" t="str">
        <f t="shared" si="4799"/>
        <v>fiber</v>
      </c>
      <c r="C1688" s="391">
        <f t="shared" si="4799"/>
        <v>4</v>
      </c>
      <c r="D1688" s="391" t="str">
        <f t="shared" si="4799"/>
        <v>0,01-0,1</v>
      </c>
      <c r="E1688" s="391">
        <f t="shared" si="4799"/>
        <v>0.1</v>
      </c>
      <c r="F1688" s="391" t="str">
        <f t="shared" si="4799"/>
        <v>soil</v>
      </c>
      <c r="G1688" s="392" t="str">
        <f t="shared" si="4799"/>
        <v>DE: PA fiber 0,01-0,1 mm (emission to soil)</v>
      </c>
      <c r="H1688" s="465">
        <v>3.0000000000000001E-3</v>
      </c>
      <c r="I1688" s="394" t="s">
        <v>1163</v>
      </c>
      <c r="J1688" s="632"/>
      <c r="K1688" s="395">
        <v>292</v>
      </c>
      <c r="L1688" s="537"/>
      <c r="M1688" s="509">
        <f t="shared" si="4738"/>
        <v>8.5616438356164379E-2</v>
      </c>
      <c r="N1688" s="646"/>
      <c r="O1688" s="626"/>
      <c r="P1688" s="629"/>
      <c r="Q1688" s="629"/>
    </row>
    <row r="1689" spans="1:17" ht="15.75" hidden="1" thickBot="1">
      <c r="A1689" s="390" t="str">
        <f>A1686</f>
        <v>PA</v>
      </c>
      <c r="B1689" s="391" t="str">
        <f>B1686</f>
        <v>fiber</v>
      </c>
      <c r="C1689" s="391">
        <f t="shared" ref="C1689" si="4800">C1688</f>
        <v>4</v>
      </c>
      <c r="D1689" s="391" t="str">
        <f>D1686</f>
        <v>0,01-0,1</v>
      </c>
      <c r="E1689" s="391">
        <f>E1686</f>
        <v>0.1</v>
      </c>
      <c r="F1689" s="391" t="str">
        <f>F1686</f>
        <v>soil</v>
      </c>
      <c r="G1689" s="396" t="str">
        <f t="shared" ref="G1689" si="4801">G1688</f>
        <v>DE: PA fiber 0,01-0,1 mm (emission to soil)</v>
      </c>
      <c r="H1689" s="465">
        <v>0</v>
      </c>
      <c r="I1689" s="397" t="s">
        <v>1034</v>
      </c>
      <c r="J1689" s="633"/>
      <c r="K1689" s="398" t="s">
        <v>596</v>
      </c>
      <c r="L1689" s="538"/>
      <c r="M1689" s="509">
        <f t="shared" si="4738"/>
        <v>0</v>
      </c>
      <c r="N1689" s="647"/>
      <c r="O1689" s="627"/>
      <c r="P1689" s="629"/>
      <c r="Q1689" s="629"/>
    </row>
    <row r="1690" spans="1:17" ht="15.75" hidden="1" thickBot="1">
      <c r="A1690" s="390" t="str">
        <f t="shared" ref="A1690:B1690" si="4802">A1687</f>
        <v>PA</v>
      </c>
      <c r="B1690" s="391" t="str">
        <f t="shared" si="4802"/>
        <v>fiber</v>
      </c>
      <c r="C1690" s="391">
        <f t="shared" ref="C1690" si="4803">C1689</f>
        <v>4</v>
      </c>
      <c r="D1690" s="399" t="str">
        <f t="shared" ref="D1690:E1690" si="4804">D1687</f>
        <v>0,01-0,1</v>
      </c>
      <c r="E1690" s="391">
        <f t="shared" si="4804"/>
        <v>0.1</v>
      </c>
      <c r="F1690" s="400" t="s">
        <v>1147</v>
      </c>
      <c r="G1690" s="386" t="str">
        <f>CONCATENATE("DE: ",A1690," ",B1690," ",D1690," mm (emission to ",F1690,")")</f>
        <v>DE: PA fiber 0,01-0,1 mm (emission to fresh water)</v>
      </c>
      <c r="H1690" s="466">
        <v>0</v>
      </c>
      <c r="I1690" s="388" t="s">
        <v>1153</v>
      </c>
      <c r="J1690" s="634">
        <v>0.22800000000000001</v>
      </c>
      <c r="K1690" s="389">
        <v>292</v>
      </c>
      <c r="L1690" s="536"/>
      <c r="M1690" s="509">
        <f t="shared" si="4738"/>
        <v>8.5616438356164379E-2</v>
      </c>
      <c r="N1690" s="645">
        <f t="shared" ref="N1690" si="4805">IFERROR(H1690*M1690+H1691*M1691+H1692*M1692+H1693*M1693+H1694*M1694,"N.A.")</f>
        <v>8.5616438356164379E-2</v>
      </c>
      <c r="O1690" s="625"/>
      <c r="P1690" s="628">
        <f t="shared" si="4605"/>
        <v>8.5616438356164379E-2</v>
      </c>
      <c r="Q1690" s="628">
        <f t="shared" si="4729"/>
        <v>8.5616438356164379E-2</v>
      </c>
    </row>
    <row r="1691" spans="1:17" ht="15.75" hidden="1" thickBot="1">
      <c r="A1691" s="390" t="str">
        <f t="shared" ref="A1691:B1691" si="4806">A1688</f>
        <v>PA</v>
      </c>
      <c r="B1691" s="391" t="str">
        <f t="shared" si="4806"/>
        <v>fiber</v>
      </c>
      <c r="C1691" s="391">
        <f t="shared" ref="C1691" si="4807">C1690</f>
        <v>4</v>
      </c>
      <c r="D1691" s="391" t="str">
        <f t="shared" ref="D1691:E1691" si="4808">D1688</f>
        <v>0,01-0,1</v>
      </c>
      <c r="E1691" s="391">
        <f t="shared" si="4808"/>
        <v>0.1</v>
      </c>
      <c r="F1691" s="391" t="str">
        <f t="shared" ref="F1691:G1691" si="4809">F1690</f>
        <v>fresh water</v>
      </c>
      <c r="G1691" s="401" t="str">
        <f t="shared" si="4809"/>
        <v>DE: PA fiber 0,01-0,1 mm (emission to fresh water)</v>
      </c>
      <c r="H1691" s="465">
        <v>0</v>
      </c>
      <c r="I1691" s="394" t="s">
        <v>1097</v>
      </c>
      <c r="J1691" s="635"/>
      <c r="K1691" s="389">
        <v>292</v>
      </c>
      <c r="L1691" s="536"/>
      <c r="M1691" s="509">
        <f t="shared" si="4738"/>
        <v>8.5616438356164379E-2</v>
      </c>
      <c r="N1691" s="646"/>
      <c r="O1691" s="626"/>
      <c r="P1691" s="629"/>
      <c r="Q1691" s="629"/>
    </row>
    <row r="1692" spans="1:17" ht="15.75" hidden="1" thickBot="1">
      <c r="A1692" s="390" t="str">
        <f t="shared" ref="A1692:B1692" si="4810">A1689</f>
        <v>PA</v>
      </c>
      <c r="B1692" s="391" t="str">
        <f t="shared" si="4810"/>
        <v>fiber</v>
      </c>
      <c r="C1692" s="391">
        <f t="shared" ref="C1692" si="4811">C1691</f>
        <v>4</v>
      </c>
      <c r="D1692" s="391" t="str">
        <f t="shared" ref="D1692:E1692" si="4812">D1689</f>
        <v>0,01-0,1</v>
      </c>
      <c r="E1692" s="391">
        <f t="shared" si="4812"/>
        <v>0.1</v>
      </c>
      <c r="F1692" s="391" t="str">
        <f t="shared" ref="F1692:G1692" si="4813">F1691</f>
        <v>fresh water</v>
      </c>
      <c r="G1692" s="401" t="str">
        <f t="shared" si="4813"/>
        <v>DE: PA fiber 0,01-0,1 mm (emission to fresh water)</v>
      </c>
      <c r="H1692" s="465">
        <v>0.89</v>
      </c>
      <c r="I1692" s="394" t="s">
        <v>1162</v>
      </c>
      <c r="J1692" s="635"/>
      <c r="K1692" s="389">
        <v>292</v>
      </c>
      <c r="L1692" s="536"/>
      <c r="M1692" s="509">
        <f t="shared" si="4738"/>
        <v>8.5616438356164379E-2</v>
      </c>
      <c r="N1692" s="646"/>
      <c r="O1692" s="626"/>
      <c r="P1692" s="629"/>
      <c r="Q1692" s="629"/>
    </row>
    <row r="1693" spans="1:17" ht="15.75" hidden="1" thickBot="1">
      <c r="A1693" s="390" t="str">
        <f t="shared" ref="A1693:B1693" si="4814">A1690</f>
        <v>PA</v>
      </c>
      <c r="B1693" s="391" t="str">
        <f t="shared" si="4814"/>
        <v>fiber</v>
      </c>
      <c r="C1693" s="391">
        <f t="shared" ref="C1693" si="4815">C1692</f>
        <v>4</v>
      </c>
      <c r="D1693" s="391" t="str">
        <f t="shared" ref="D1693:E1693" si="4816">D1690</f>
        <v>0,01-0,1</v>
      </c>
      <c r="E1693" s="391">
        <f t="shared" si="4816"/>
        <v>0.1</v>
      </c>
      <c r="F1693" s="391" t="str">
        <f t="shared" ref="F1693:G1693" si="4817">F1692</f>
        <v>fresh water</v>
      </c>
      <c r="G1693" s="401" t="str">
        <f t="shared" si="4817"/>
        <v>DE: PA fiber 0,01-0,1 mm (emission to fresh water)</v>
      </c>
      <c r="H1693" s="465">
        <v>0.11</v>
      </c>
      <c r="I1693" s="394" t="s">
        <v>1163</v>
      </c>
      <c r="J1693" s="635"/>
      <c r="K1693" s="389">
        <v>292</v>
      </c>
      <c r="L1693" s="536"/>
      <c r="M1693" s="509">
        <f t="shared" si="4738"/>
        <v>8.5616438356164379E-2</v>
      </c>
      <c r="N1693" s="646"/>
      <c r="O1693" s="626"/>
      <c r="P1693" s="629"/>
      <c r="Q1693" s="629"/>
    </row>
    <row r="1694" spans="1:17" ht="15.75" hidden="1" thickBot="1">
      <c r="A1694" s="390" t="str">
        <f t="shared" ref="A1694:B1694" si="4818">A1691</f>
        <v>PA</v>
      </c>
      <c r="B1694" s="391" t="str">
        <f t="shared" si="4818"/>
        <v>fiber</v>
      </c>
      <c r="C1694" s="391">
        <f t="shared" ref="C1694" si="4819">C1693</f>
        <v>4</v>
      </c>
      <c r="D1694" s="391" t="str">
        <f t="shared" ref="D1694:E1694" si="4820">D1691</f>
        <v>0,01-0,1</v>
      </c>
      <c r="E1694" s="391">
        <f t="shared" si="4820"/>
        <v>0.1</v>
      </c>
      <c r="F1694" s="402" t="str">
        <f>F1691</f>
        <v>fresh water</v>
      </c>
      <c r="G1694" s="401" t="str">
        <f t="shared" ref="G1694" si="4821">G1693</f>
        <v>DE: PA fiber 0,01-0,1 mm (emission to fresh water)</v>
      </c>
      <c r="H1694" s="465">
        <v>0</v>
      </c>
      <c r="I1694" s="397" t="s">
        <v>1034</v>
      </c>
      <c r="J1694" s="654"/>
      <c r="K1694" s="398" t="s">
        <v>596</v>
      </c>
      <c r="L1694" s="538"/>
      <c r="M1694" s="509">
        <f t="shared" si="4738"/>
        <v>0</v>
      </c>
      <c r="N1694" s="647"/>
      <c r="O1694" s="627"/>
      <c r="P1694" s="629"/>
      <c r="Q1694" s="629"/>
    </row>
    <row r="1695" spans="1:17" ht="15.75" hidden="1" thickBot="1">
      <c r="A1695" s="390" t="str">
        <f t="shared" ref="A1695:B1695" si="4822">A1692</f>
        <v>PA</v>
      </c>
      <c r="B1695" s="391" t="str">
        <f t="shared" si="4822"/>
        <v>fiber</v>
      </c>
      <c r="C1695" s="391">
        <f t="shared" ref="C1695" si="4823">C1694</f>
        <v>4</v>
      </c>
      <c r="D1695" s="391" t="str">
        <f t="shared" ref="D1695:E1695" si="4824">D1692</f>
        <v>0,01-0,1</v>
      </c>
      <c r="E1695" s="391">
        <f t="shared" si="4824"/>
        <v>0.1</v>
      </c>
      <c r="F1695" s="385" t="s">
        <v>1097</v>
      </c>
      <c r="G1695" s="422" t="str">
        <f>CONCATENATE("DE: ",A1695," ",B1695," ",D1695," mm (emission to ",F1695,")")</f>
        <v>DE: PA fiber 0,01-0,1 mm (emission to marine water)</v>
      </c>
      <c r="H1695" s="467">
        <v>0</v>
      </c>
      <c r="I1695" s="388" t="s">
        <v>1153</v>
      </c>
      <c r="J1695" s="634">
        <v>0.22800000000000001</v>
      </c>
      <c r="K1695" s="389">
        <v>292</v>
      </c>
      <c r="L1695" s="536"/>
      <c r="M1695" s="509">
        <f t="shared" si="4738"/>
        <v>8.5616438356164379E-2</v>
      </c>
      <c r="N1695" s="645">
        <f t="shared" ref="N1695" si="4825">IFERROR(H1695*M1695+H1696*M1696+H1697*M1697+H1698*M1698+H1699*M1699,"N.A.")</f>
        <v>8.5616438356164379E-2</v>
      </c>
      <c r="O1695" s="625"/>
      <c r="P1695" s="628">
        <f t="shared" ref="P1695:P1755" si="4826">IFERROR(IF(H1695*M1695+H1696*M1696+H1697*M1697+H1698*M1698+H1699*M1699&gt;100,100,H1695*M1695+H1696*M1696+H1697*M1697+H1698*M1698+H1699*M1699),"N.A.")</f>
        <v>8.5616438356164379E-2</v>
      </c>
      <c r="Q1695" s="628">
        <f t="shared" si="4729"/>
        <v>8.5616438356164379E-2</v>
      </c>
    </row>
    <row r="1696" spans="1:17" ht="15.75" hidden="1" thickBot="1">
      <c r="A1696" s="390" t="str">
        <f t="shared" ref="A1696:B1696" si="4827">A1693</f>
        <v>PA</v>
      </c>
      <c r="B1696" s="391" t="str">
        <f t="shared" si="4827"/>
        <v>fiber</v>
      </c>
      <c r="C1696" s="391">
        <f t="shared" ref="C1696" si="4828">C1695</f>
        <v>4</v>
      </c>
      <c r="D1696" s="391" t="str">
        <f t="shared" ref="D1696:E1696" si="4829">D1693</f>
        <v>0,01-0,1</v>
      </c>
      <c r="E1696" s="391">
        <f t="shared" si="4829"/>
        <v>0.1</v>
      </c>
      <c r="F1696" s="391" t="str">
        <f t="shared" ref="F1696:G1696" si="4830">F1695</f>
        <v>marine water</v>
      </c>
      <c r="G1696" s="401" t="str">
        <f t="shared" si="4830"/>
        <v>DE: PA fiber 0,01-0,1 mm (emission to marine water)</v>
      </c>
      <c r="H1696" s="465">
        <v>0</v>
      </c>
      <c r="I1696" s="394" t="s">
        <v>1097</v>
      </c>
      <c r="J1696" s="635"/>
      <c r="K1696" s="389">
        <v>292</v>
      </c>
      <c r="L1696" s="536"/>
      <c r="M1696" s="509">
        <f t="shared" si="4738"/>
        <v>8.5616438356164379E-2</v>
      </c>
      <c r="N1696" s="646"/>
      <c r="O1696" s="626"/>
      <c r="P1696" s="629"/>
      <c r="Q1696" s="629"/>
    </row>
    <row r="1697" spans="1:17" ht="15.75" hidden="1" thickBot="1">
      <c r="A1697" s="390" t="str">
        <f t="shared" ref="A1697:B1697" si="4831">A1694</f>
        <v>PA</v>
      </c>
      <c r="B1697" s="391" t="str">
        <f t="shared" si="4831"/>
        <v>fiber</v>
      </c>
      <c r="C1697" s="391">
        <f t="shared" ref="C1697" si="4832">C1696</f>
        <v>4</v>
      </c>
      <c r="D1697" s="391" t="str">
        <f t="shared" ref="D1697:E1697" si="4833">D1694</f>
        <v>0,01-0,1</v>
      </c>
      <c r="E1697" s="391">
        <f t="shared" si="4833"/>
        <v>0.1</v>
      </c>
      <c r="F1697" s="391" t="str">
        <f t="shared" ref="F1697:G1697" si="4834">F1696</f>
        <v>marine water</v>
      </c>
      <c r="G1697" s="401" t="str">
        <f t="shared" si="4834"/>
        <v>DE: PA fiber 0,01-0,1 mm (emission to marine water)</v>
      </c>
      <c r="H1697" s="465">
        <v>0</v>
      </c>
      <c r="I1697" s="394" t="s">
        <v>1162</v>
      </c>
      <c r="J1697" s="635"/>
      <c r="K1697" s="389">
        <v>292</v>
      </c>
      <c r="L1697" s="536"/>
      <c r="M1697" s="509">
        <f t="shared" si="4738"/>
        <v>8.5616438356164379E-2</v>
      </c>
      <c r="N1697" s="646"/>
      <c r="O1697" s="626"/>
      <c r="P1697" s="629"/>
      <c r="Q1697" s="629"/>
    </row>
    <row r="1698" spans="1:17" ht="15.75" hidden="1" thickBot="1">
      <c r="A1698" s="390" t="str">
        <f t="shared" ref="A1698:B1698" si="4835">A1695</f>
        <v>PA</v>
      </c>
      <c r="B1698" s="391" t="str">
        <f t="shared" si="4835"/>
        <v>fiber</v>
      </c>
      <c r="C1698" s="391">
        <f t="shared" ref="C1698" si="4836">C1697</f>
        <v>4</v>
      </c>
      <c r="D1698" s="391" t="str">
        <f t="shared" ref="D1698:E1698" si="4837">D1695</f>
        <v>0,01-0,1</v>
      </c>
      <c r="E1698" s="391">
        <f t="shared" si="4837"/>
        <v>0.1</v>
      </c>
      <c r="F1698" s="391" t="str">
        <f t="shared" ref="F1698:G1698" si="4838">F1697</f>
        <v>marine water</v>
      </c>
      <c r="G1698" s="401" t="str">
        <f t="shared" si="4838"/>
        <v>DE: PA fiber 0,01-0,1 mm (emission to marine water)</v>
      </c>
      <c r="H1698" s="465">
        <v>1</v>
      </c>
      <c r="I1698" s="394" t="s">
        <v>1163</v>
      </c>
      <c r="J1698" s="635"/>
      <c r="K1698" s="389">
        <v>292</v>
      </c>
      <c r="L1698" s="536"/>
      <c r="M1698" s="509">
        <f t="shared" si="4738"/>
        <v>8.5616438356164379E-2</v>
      </c>
      <c r="N1698" s="646"/>
      <c r="O1698" s="626"/>
      <c r="P1698" s="629"/>
      <c r="Q1698" s="629"/>
    </row>
    <row r="1699" spans="1:17" ht="15.75" hidden="1" thickBot="1">
      <c r="A1699" s="390" t="str">
        <f t="shared" ref="A1699:B1699" si="4839">A1696</f>
        <v>PA</v>
      </c>
      <c r="B1699" s="391" t="str">
        <f t="shared" si="4839"/>
        <v>fiber</v>
      </c>
      <c r="C1699" s="391">
        <f t="shared" ref="C1699" si="4840">C1698</f>
        <v>4</v>
      </c>
      <c r="D1699" s="391" t="str">
        <f t="shared" ref="D1699:E1699" si="4841">D1696</f>
        <v>0,01-0,1</v>
      </c>
      <c r="E1699" s="391">
        <f t="shared" si="4841"/>
        <v>0.1</v>
      </c>
      <c r="F1699" s="391" t="str">
        <f t="shared" ref="F1699:G1699" si="4842">F1698</f>
        <v>marine water</v>
      </c>
      <c r="G1699" s="401" t="str">
        <f t="shared" si="4842"/>
        <v>DE: PA fiber 0,01-0,1 mm (emission to marine water)</v>
      </c>
      <c r="H1699" s="465">
        <v>0</v>
      </c>
      <c r="I1699" s="397" t="s">
        <v>1034</v>
      </c>
      <c r="J1699" s="654"/>
      <c r="K1699" s="398" t="s">
        <v>596</v>
      </c>
      <c r="L1699" s="538"/>
      <c r="M1699" s="509">
        <f t="shared" si="4738"/>
        <v>0</v>
      </c>
      <c r="N1699" s="647"/>
      <c r="O1699" s="627"/>
      <c r="P1699" s="629"/>
      <c r="Q1699" s="629"/>
    </row>
    <row r="1700" spans="1:17" ht="15.75" hidden="1" thickBot="1">
      <c r="A1700" s="390" t="str">
        <f t="shared" ref="A1700:B1700" si="4843">A1697</f>
        <v>PA</v>
      </c>
      <c r="B1700" s="391" t="str">
        <f t="shared" si="4843"/>
        <v>fiber</v>
      </c>
      <c r="C1700" s="391">
        <f t="shared" ref="C1700" si="4844">C1699</f>
        <v>4</v>
      </c>
      <c r="D1700" s="391" t="str">
        <f t="shared" ref="D1700:E1700" si="4845">D1697</f>
        <v>0,01-0,1</v>
      </c>
      <c r="E1700" s="391">
        <f t="shared" si="4845"/>
        <v>0.1</v>
      </c>
      <c r="F1700" s="400" t="s">
        <v>1057</v>
      </c>
      <c r="G1700" s="422" t="str">
        <f>CONCATENATE("DE: ",A1700," ",B1700," ",D1700," mm (emission to ",F1700,")")</f>
        <v>DE: PA fiber 0,01-0,1 mm (emission to air)</v>
      </c>
      <c r="H1700" s="467">
        <v>0.94799999999999995</v>
      </c>
      <c r="I1700" s="388" t="s">
        <v>1153</v>
      </c>
      <c r="J1700" s="634">
        <v>0.22800000000000001</v>
      </c>
      <c r="K1700" s="389">
        <v>292</v>
      </c>
      <c r="L1700" s="536"/>
      <c r="M1700" s="509">
        <f t="shared" si="4738"/>
        <v>8.5616438356164379E-2</v>
      </c>
      <c r="N1700" s="645">
        <f t="shared" ref="N1700" si="4846">IFERROR(H1700*M1700+H1701*M1701+H1702*M1702+H1703*M1703+H1704*M1704,"N.A.")</f>
        <v>8.5616438356164365E-2</v>
      </c>
      <c r="O1700" s="625"/>
      <c r="P1700" s="628">
        <f t="shared" si="4826"/>
        <v>8.5616438356164365E-2</v>
      </c>
      <c r="Q1700" s="628">
        <f t="shared" si="4729"/>
        <v>8.5616438356164365E-2</v>
      </c>
    </row>
    <row r="1701" spans="1:17" ht="15.75" hidden="1" thickBot="1">
      <c r="A1701" s="390" t="str">
        <f t="shared" ref="A1701:B1701" si="4847">A1698</f>
        <v>PA</v>
      </c>
      <c r="B1701" s="391" t="str">
        <f t="shared" si="4847"/>
        <v>fiber</v>
      </c>
      <c r="C1701" s="391">
        <f t="shared" ref="C1701" si="4848">C1700</f>
        <v>4</v>
      </c>
      <c r="D1701" s="391" t="str">
        <f t="shared" ref="D1701:E1701" si="4849">D1698</f>
        <v>0,01-0,1</v>
      </c>
      <c r="E1701" s="391">
        <f t="shared" si="4849"/>
        <v>0.1</v>
      </c>
      <c r="F1701" s="391" t="str">
        <f t="shared" ref="F1701:G1701" si="4850">F1700</f>
        <v>air</v>
      </c>
      <c r="G1701" s="401" t="str">
        <f t="shared" si="4850"/>
        <v>DE: PA fiber 0,01-0,1 mm (emission to air)</v>
      </c>
      <c r="H1701" s="465">
        <v>0</v>
      </c>
      <c r="I1701" s="394" t="s">
        <v>1097</v>
      </c>
      <c r="J1701" s="635"/>
      <c r="K1701" s="389">
        <v>292</v>
      </c>
      <c r="L1701" s="536"/>
      <c r="M1701" s="509">
        <f t="shared" si="4738"/>
        <v>8.5616438356164379E-2</v>
      </c>
      <c r="N1701" s="646"/>
      <c r="O1701" s="626"/>
      <c r="P1701" s="629"/>
      <c r="Q1701" s="629"/>
    </row>
    <row r="1702" spans="1:17" ht="15.75" hidden="1" thickBot="1">
      <c r="A1702" s="390" t="str">
        <f t="shared" ref="A1702:B1702" si="4851">A1699</f>
        <v>PA</v>
      </c>
      <c r="B1702" s="391" t="str">
        <f t="shared" si="4851"/>
        <v>fiber</v>
      </c>
      <c r="C1702" s="391">
        <f t="shared" ref="C1702" si="4852">C1701</f>
        <v>4</v>
      </c>
      <c r="D1702" s="391" t="str">
        <f t="shared" ref="D1702:E1702" si="4853">D1699</f>
        <v>0,01-0,1</v>
      </c>
      <c r="E1702" s="391">
        <f t="shared" si="4853"/>
        <v>0.1</v>
      </c>
      <c r="F1702" s="391" t="str">
        <f t="shared" ref="F1702:G1702" si="4854">F1701</f>
        <v>air</v>
      </c>
      <c r="G1702" s="401" t="str">
        <f t="shared" si="4854"/>
        <v>DE: PA fiber 0,01-0,1 mm (emission to air)</v>
      </c>
      <c r="H1702" s="465">
        <v>4.7E-2</v>
      </c>
      <c r="I1702" s="394" t="s">
        <v>1162</v>
      </c>
      <c r="J1702" s="635"/>
      <c r="K1702" s="389">
        <v>292</v>
      </c>
      <c r="L1702" s="536"/>
      <c r="M1702" s="509">
        <f t="shared" si="4738"/>
        <v>8.5616438356164379E-2</v>
      </c>
      <c r="N1702" s="646"/>
      <c r="O1702" s="626"/>
      <c r="P1702" s="629"/>
      <c r="Q1702" s="629"/>
    </row>
    <row r="1703" spans="1:17" ht="15.75" hidden="1" thickBot="1">
      <c r="A1703" s="390" t="str">
        <f t="shared" ref="A1703:B1703" si="4855">A1700</f>
        <v>PA</v>
      </c>
      <c r="B1703" s="391" t="str">
        <f t="shared" si="4855"/>
        <v>fiber</v>
      </c>
      <c r="C1703" s="391">
        <f t="shared" ref="C1703" si="4856">C1702</f>
        <v>4</v>
      </c>
      <c r="D1703" s="391" t="str">
        <f t="shared" ref="D1703:E1703" si="4857">D1700</f>
        <v>0,01-0,1</v>
      </c>
      <c r="E1703" s="391">
        <f t="shared" si="4857"/>
        <v>0.1</v>
      </c>
      <c r="F1703" s="391" t="str">
        <f t="shared" ref="F1703:G1703" si="4858">F1702</f>
        <v>air</v>
      </c>
      <c r="G1703" s="401" t="str">
        <f t="shared" si="4858"/>
        <v>DE: PA fiber 0,01-0,1 mm (emission to air)</v>
      </c>
      <c r="H1703" s="465">
        <v>5.0000000000000001E-3</v>
      </c>
      <c r="I1703" s="394" t="s">
        <v>1163</v>
      </c>
      <c r="J1703" s="635"/>
      <c r="K1703" s="389">
        <v>292</v>
      </c>
      <c r="L1703" s="536"/>
      <c r="M1703" s="509">
        <f t="shared" si="4738"/>
        <v>8.5616438356164379E-2</v>
      </c>
      <c r="N1703" s="646"/>
      <c r="O1703" s="626"/>
      <c r="P1703" s="629"/>
      <c r="Q1703" s="629"/>
    </row>
    <row r="1704" spans="1:17" ht="15.75" hidden="1" thickBot="1">
      <c r="A1704" s="404" t="str">
        <f t="shared" ref="A1704:B1704" si="4859">A1699</f>
        <v>PA</v>
      </c>
      <c r="B1704" s="402" t="str">
        <f t="shared" si="4859"/>
        <v>fiber</v>
      </c>
      <c r="C1704" s="391">
        <f t="shared" ref="C1704" si="4860">C1703</f>
        <v>4</v>
      </c>
      <c r="D1704" s="402" t="str">
        <f t="shared" ref="D1704:E1704" si="4861">D1699</f>
        <v>0,01-0,1</v>
      </c>
      <c r="E1704" s="402">
        <f t="shared" si="4861"/>
        <v>0.1</v>
      </c>
      <c r="F1704" s="391" t="str">
        <f t="shared" ref="F1704:G1704" si="4862">F1703</f>
        <v>air</v>
      </c>
      <c r="G1704" s="401" t="str">
        <f t="shared" si="4862"/>
        <v>DE: PA fiber 0,01-0,1 mm (emission to air)</v>
      </c>
      <c r="H1704" s="465">
        <v>0</v>
      </c>
      <c r="I1704" s="394" t="s">
        <v>1034</v>
      </c>
      <c r="J1704" s="636"/>
      <c r="K1704" s="398" t="s">
        <v>596</v>
      </c>
      <c r="L1704" s="538"/>
      <c r="M1704" s="509">
        <f t="shared" si="4738"/>
        <v>0</v>
      </c>
      <c r="N1704" s="647"/>
      <c r="O1704" s="627"/>
      <c r="P1704" s="629"/>
      <c r="Q1704" s="629"/>
    </row>
    <row r="1705" spans="1:17" ht="16.5" hidden="1" thickTop="1" thickBot="1">
      <c r="A1705" s="405" t="s">
        <v>188</v>
      </c>
      <c r="B1705" s="406" t="s">
        <v>1151</v>
      </c>
      <c r="C1705" s="407">
        <v>4</v>
      </c>
      <c r="D1705" s="423" t="s">
        <v>1028</v>
      </c>
      <c r="E1705" s="408">
        <v>1</v>
      </c>
      <c r="F1705" s="424" t="s">
        <v>1019</v>
      </c>
      <c r="G1705" s="425" t="str">
        <f>CONCATENATE("DE: ",A1705," ",B1705," ",D1705," mm (emission to ",F1705,")")</f>
        <v>DE: PA fiber 0,1-1 mm (emission to soil)</v>
      </c>
      <c r="H1705" s="464">
        <v>0.97</v>
      </c>
      <c r="I1705" s="427" t="s">
        <v>1153</v>
      </c>
      <c r="J1705" s="632">
        <v>0.22800000000000001</v>
      </c>
      <c r="K1705" s="449">
        <v>292</v>
      </c>
      <c r="L1705" s="536"/>
      <c r="M1705" s="509">
        <f t="shared" si="4738"/>
        <v>0.85616438356164382</v>
      </c>
      <c r="N1705" s="645">
        <f t="shared" ref="N1705" si="4863">IFERROR(H1705*M1705+H1706*M1706+H1707*M1707+H1708*M1708+H1709*M1709,"N.A.")</f>
        <v>0.85616438356164382</v>
      </c>
      <c r="O1705" s="625"/>
      <c r="P1705" s="628">
        <f t="shared" si="4826"/>
        <v>0.85616438356164382</v>
      </c>
      <c r="Q1705" s="628">
        <f t="shared" si="4729"/>
        <v>0.85616438356164382</v>
      </c>
    </row>
    <row r="1706" spans="1:17" ht="15.75" hidden="1" thickBot="1">
      <c r="A1706" s="390" t="str">
        <f>A1705</f>
        <v>PA</v>
      </c>
      <c r="B1706" s="391" t="str">
        <f>B1705</f>
        <v>fiber</v>
      </c>
      <c r="C1706" s="391">
        <f t="shared" ref="C1706:G1706" si="4864">C1705</f>
        <v>4</v>
      </c>
      <c r="D1706" s="391" t="str">
        <f t="shared" si="4864"/>
        <v>0,1-1</v>
      </c>
      <c r="E1706" s="391">
        <f t="shared" si="4864"/>
        <v>1</v>
      </c>
      <c r="F1706" s="391" t="str">
        <f t="shared" si="4864"/>
        <v>soil</v>
      </c>
      <c r="G1706" s="392" t="str">
        <f t="shared" si="4864"/>
        <v>DE: PA fiber 0,1-1 mm (emission to soil)</v>
      </c>
      <c r="H1706" s="465">
        <v>0</v>
      </c>
      <c r="I1706" s="394" t="s">
        <v>1097</v>
      </c>
      <c r="J1706" s="632"/>
      <c r="K1706" s="395">
        <v>292</v>
      </c>
      <c r="L1706" s="537"/>
      <c r="M1706" s="509">
        <f t="shared" si="4738"/>
        <v>0.85616438356164382</v>
      </c>
      <c r="N1706" s="646"/>
      <c r="O1706" s="626"/>
      <c r="P1706" s="629"/>
      <c r="Q1706" s="629"/>
    </row>
    <row r="1707" spans="1:17" ht="15.75" hidden="1" thickBot="1">
      <c r="A1707" s="390" t="str">
        <f t="shared" ref="A1707:G1707" si="4865">A1706</f>
        <v>PA</v>
      </c>
      <c r="B1707" s="391" t="str">
        <f t="shared" si="4865"/>
        <v>fiber</v>
      </c>
      <c r="C1707" s="391">
        <f t="shared" si="4865"/>
        <v>4</v>
      </c>
      <c r="D1707" s="391" t="str">
        <f t="shared" si="4865"/>
        <v>0,1-1</v>
      </c>
      <c r="E1707" s="391">
        <f t="shared" si="4865"/>
        <v>1</v>
      </c>
      <c r="F1707" s="391" t="str">
        <f t="shared" si="4865"/>
        <v>soil</v>
      </c>
      <c r="G1707" s="392" t="str">
        <f t="shared" si="4865"/>
        <v>DE: PA fiber 0,1-1 mm (emission to soil)</v>
      </c>
      <c r="H1707" s="465">
        <v>2.7E-2</v>
      </c>
      <c r="I1707" s="394" t="s">
        <v>1162</v>
      </c>
      <c r="J1707" s="632"/>
      <c r="K1707" s="395">
        <v>292</v>
      </c>
      <c r="L1707" s="537"/>
      <c r="M1707" s="509">
        <f t="shared" si="4738"/>
        <v>0.85616438356164382</v>
      </c>
      <c r="N1707" s="646"/>
      <c r="O1707" s="626"/>
      <c r="P1707" s="629"/>
      <c r="Q1707" s="629"/>
    </row>
    <row r="1708" spans="1:17" ht="15.75" hidden="1" thickBot="1">
      <c r="A1708" s="390" t="str">
        <f t="shared" ref="A1708:G1708" si="4866">A1707</f>
        <v>PA</v>
      </c>
      <c r="B1708" s="391" t="str">
        <f t="shared" si="4866"/>
        <v>fiber</v>
      </c>
      <c r="C1708" s="391">
        <f t="shared" si="4866"/>
        <v>4</v>
      </c>
      <c r="D1708" s="391" t="str">
        <f t="shared" si="4866"/>
        <v>0,1-1</v>
      </c>
      <c r="E1708" s="391">
        <f t="shared" si="4866"/>
        <v>1</v>
      </c>
      <c r="F1708" s="391" t="str">
        <f t="shared" si="4866"/>
        <v>soil</v>
      </c>
      <c r="G1708" s="392" t="str">
        <f t="shared" si="4866"/>
        <v>DE: PA fiber 0,1-1 mm (emission to soil)</v>
      </c>
      <c r="H1708" s="465">
        <v>3.0000000000000001E-3</v>
      </c>
      <c r="I1708" s="394" t="s">
        <v>1163</v>
      </c>
      <c r="J1708" s="632"/>
      <c r="K1708" s="395">
        <v>292</v>
      </c>
      <c r="L1708" s="537"/>
      <c r="M1708" s="509">
        <f t="shared" si="4738"/>
        <v>0.85616438356164382</v>
      </c>
      <c r="N1708" s="646"/>
      <c r="O1708" s="626"/>
      <c r="P1708" s="629"/>
      <c r="Q1708" s="629"/>
    </row>
    <row r="1709" spans="1:17" ht="15.75" hidden="1" thickBot="1">
      <c r="A1709" s="390" t="str">
        <f>A1706</f>
        <v>PA</v>
      </c>
      <c r="B1709" s="391" t="str">
        <f>B1706</f>
        <v>fiber</v>
      </c>
      <c r="C1709" s="391">
        <f t="shared" ref="C1709" si="4867">C1708</f>
        <v>4</v>
      </c>
      <c r="D1709" s="391" t="str">
        <f>D1706</f>
        <v>0,1-1</v>
      </c>
      <c r="E1709" s="391">
        <f>E1706</f>
        <v>1</v>
      </c>
      <c r="F1709" s="391" t="str">
        <f>F1706</f>
        <v>soil</v>
      </c>
      <c r="G1709" s="396" t="str">
        <f t="shared" ref="G1709" si="4868">G1708</f>
        <v>DE: PA fiber 0,1-1 mm (emission to soil)</v>
      </c>
      <c r="H1709" s="465">
        <v>0</v>
      </c>
      <c r="I1709" s="397" t="s">
        <v>1034</v>
      </c>
      <c r="J1709" s="633"/>
      <c r="K1709" s="398" t="s">
        <v>596</v>
      </c>
      <c r="L1709" s="538"/>
      <c r="M1709" s="509">
        <f t="shared" si="4738"/>
        <v>0</v>
      </c>
      <c r="N1709" s="647"/>
      <c r="O1709" s="627"/>
      <c r="P1709" s="629"/>
      <c r="Q1709" s="629"/>
    </row>
    <row r="1710" spans="1:17" ht="15.75" hidden="1" thickBot="1">
      <c r="A1710" s="390" t="str">
        <f t="shared" ref="A1710:B1710" si="4869">A1707</f>
        <v>PA</v>
      </c>
      <c r="B1710" s="391" t="str">
        <f t="shared" si="4869"/>
        <v>fiber</v>
      </c>
      <c r="C1710" s="391">
        <f t="shared" ref="C1710" si="4870">C1709</f>
        <v>4</v>
      </c>
      <c r="D1710" s="399" t="str">
        <f t="shared" ref="D1710:E1710" si="4871">D1707</f>
        <v>0,1-1</v>
      </c>
      <c r="E1710" s="391">
        <f t="shared" si="4871"/>
        <v>1</v>
      </c>
      <c r="F1710" s="400" t="s">
        <v>1147</v>
      </c>
      <c r="G1710" s="386" t="str">
        <f>CONCATENATE("DE: ",A1710," ",B1710," ",D1710," mm (emission to ",F1710,")")</f>
        <v>DE: PA fiber 0,1-1 mm (emission to fresh water)</v>
      </c>
      <c r="H1710" s="466">
        <v>0</v>
      </c>
      <c r="I1710" s="388" t="s">
        <v>1153</v>
      </c>
      <c r="J1710" s="634">
        <v>0.22800000000000001</v>
      </c>
      <c r="K1710" s="389">
        <v>292</v>
      </c>
      <c r="L1710" s="536"/>
      <c r="M1710" s="509">
        <f t="shared" si="4738"/>
        <v>0.85616438356164382</v>
      </c>
      <c r="N1710" s="645">
        <f t="shared" ref="N1710" si="4872">IFERROR(H1710*M1710+H1711*M1711+H1712*M1712+H1713*M1713+H1714*M1714,"N.A.")</f>
        <v>0.85616438356164382</v>
      </c>
      <c r="O1710" s="625"/>
      <c r="P1710" s="628">
        <f t="shared" si="4826"/>
        <v>0.85616438356164382</v>
      </c>
      <c r="Q1710" s="628">
        <f t="shared" si="4729"/>
        <v>0.85616438356164382</v>
      </c>
    </row>
    <row r="1711" spans="1:17" ht="15.75" hidden="1" thickBot="1">
      <c r="A1711" s="390" t="str">
        <f t="shared" ref="A1711:B1711" si="4873">A1708</f>
        <v>PA</v>
      </c>
      <c r="B1711" s="391" t="str">
        <f t="shared" si="4873"/>
        <v>fiber</v>
      </c>
      <c r="C1711" s="391">
        <f t="shared" ref="C1711" si="4874">C1710</f>
        <v>4</v>
      </c>
      <c r="D1711" s="391" t="str">
        <f t="shared" ref="D1711:E1711" si="4875">D1708</f>
        <v>0,1-1</v>
      </c>
      <c r="E1711" s="391">
        <f t="shared" si="4875"/>
        <v>1</v>
      </c>
      <c r="F1711" s="391" t="str">
        <f t="shared" ref="F1711:G1711" si="4876">F1710</f>
        <v>fresh water</v>
      </c>
      <c r="G1711" s="401" t="str">
        <f t="shared" si="4876"/>
        <v>DE: PA fiber 0,1-1 mm (emission to fresh water)</v>
      </c>
      <c r="H1711" s="465">
        <v>0</v>
      </c>
      <c r="I1711" s="394" t="s">
        <v>1097</v>
      </c>
      <c r="J1711" s="635"/>
      <c r="K1711" s="389">
        <v>292</v>
      </c>
      <c r="L1711" s="536"/>
      <c r="M1711" s="509">
        <f t="shared" si="4738"/>
        <v>0.85616438356164382</v>
      </c>
      <c r="N1711" s="646"/>
      <c r="O1711" s="626"/>
      <c r="P1711" s="629"/>
      <c r="Q1711" s="629"/>
    </row>
    <row r="1712" spans="1:17" ht="15.75" hidden="1" thickBot="1">
      <c r="A1712" s="390" t="str">
        <f t="shared" ref="A1712:B1712" si="4877">A1709</f>
        <v>PA</v>
      </c>
      <c r="B1712" s="391" t="str">
        <f t="shared" si="4877"/>
        <v>fiber</v>
      </c>
      <c r="C1712" s="391">
        <f t="shared" ref="C1712" si="4878">C1711</f>
        <v>4</v>
      </c>
      <c r="D1712" s="391" t="str">
        <f t="shared" ref="D1712:E1712" si="4879">D1709</f>
        <v>0,1-1</v>
      </c>
      <c r="E1712" s="391">
        <f t="shared" si="4879"/>
        <v>1</v>
      </c>
      <c r="F1712" s="391" t="str">
        <f t="shared" ref="F1712:G1712" si="4880">F1711</f>
        <v>fresh water</v>
      </c>
      <c r="G1712" s="401" t="str">
        <f t="shared" si="4880"/>
        <v>DE: PA fiber 0,1-1 mm (emission to fresh water)</v>
      </c>
      <c r="H1712" s="465">
        <v>0.89</v>
      </c>
      <c r="I1712" s="394" t="s">
        <v>1162</v>
      </c>
      <c r="J1712" s="635"/>
      <c r="K1712" s="389">
        <v>292</v>
      </c>
      <c r="L1712" s="536"/>
      <c r="M1712" s="509">
        <f t="shared" si="4738"/>
        <v>0.85616438356164382</v>
      </c>
      <c r="N1712" s="646"/>
      <c r="O1712" s="626"/>
      <c r="P1712" s="629"/>
      <c r="Q1712" s="629"/>
    </row>
    <row r="1713" spans="1:17" ht="15.75" hidden="1" thickBot="1">
      <c r="A1713" s="390" t="str">
        <f t="shared" ref="A1713:B1713" si="4881">A1710</f>
        <v>PA</v>
      </c>
      <c r="B1713" s="391" t="str">
        <f t="shared" si="4881"/>
        <v>fiber</v>
      </c>
      <c r="C1713" s="391">
        <f t="shared" ref="C1713" si="4882">C1712</f>
        <v>4</v>
      </c>
      <c r="D1713" s="391" t="str">
        <f t="shared" ref="D1713:E1713" si="4883">D1710</f>
        <v>0,1-1</v>
      </c>
      <c r="E1713" s="391">
        <f t="shared" si="4883"/>
        <v>1</v>
      </c>
      <c r="F1713" s="391" t="str">
        <f t="shared" ref="F1713:G1713" si="4884">F1712</f>
        <v>fresh water</v>
      </c>
      <c r="G1713" s="401" t="str">
        <f t="shared" si="4884"/>
        <v>DE: PA fiber 0,1-1 mm (emission to fresh water)</v>
      </c>
      <c r="H1713" s="465">
        <v>0.11</v>
      </c>
      <c r="I1713" s="394" t="s">
        <v>1163</v>
      </c>
      <c r="J1713" s="635"/>
      <c r="K1713" s="389">
        <v>292</v>
      </c>
      <c r="L1713" s="536"/>
      <c r="M1713" s="509">
        <f t="shared" si="4738"/>
        <v>0.85616438356164382</v>
      </c>
      <c r="N1713" s="646"/>
      <c r="O1713" s="626"/>
      <c r="P1713" s="629"/>
      <c r="Q1713" s="629"/>
    </row>
    <row r="1714" spans="1:17" ht="15.75" hidden="1" thickBot="1">
      <c r="A1714" s="390" t="str">
        <f t="shared" ref="A1714:B1714" si="4885">A1711</f>
        <v>PA</v>
      </c>
      <c r="B1714" s="391" t="str">
        <f t="shared" si="4885"/>
        <v>fiber</v>
      </c>
      <c r="C1714" s="391">
        <f t="shared" ref="C1714" si="4886">C1713</f>
        <v>4</v>
      </c>
      <c r="D1714" s="391" t="str">
        <f t="shared" ref="D1714:E1714" si="4887">D1711</f>
        <v>0,1-1</v>
      </c>
      <c r="E1714" s="391">
        <f t="shared" si="4887"/>
        <v>1</v>
      </c>
      <c r="F1714" s="402" t="str">
        <f>F1711</f>
        <v>fresh water</v>
      </c>
      <c r="G1714" s="401" t="str">
        <f t="shared" ref="G1714" si="4888">G1713</f>
        <v>DE: PA fiber 0,1-1 mm (emission to fresh water)</v>
      </c>
      <c r="H1714" s="465">
        <v>0</v>
      </c>
      <c r="I1714" s="397" t="s">
        <v>1034</v>
      </c>
      <c r="J1714" s="654"/>
      <c r="K1714" s="398" t="s">
        <v>596</v>
      </c>
      <c r="L1714" s="538"/>
      <c r="M1714" s="509">
        <f t="shared" si="4738"/>
        <v>0</v>
      </c>
      <c r="N1714" s="647"/>
      <c r="O1714" s="627"/>
      <c r="P1714" s="629"/>
      <c r="Q1714" s="629"/>
    </row>
    <row r="1715" spans="1:17" ht="15.75" hidden="1" thickBot="1">
      <c r="A1715" s="390" t="str">
        <f t="shared" ref="A1715:B1715" si="4889">A1712</f>
        <v>PA</v>
      </c>
      <c r="B1715" s="391" t="str">
        <f t="shared" si="4889"/>
        <v>fiber</v>
      </c>
      <c r="C1715" s="391">
        <f t="shared" ref="C1715" si="4890">C1714</f>
        <v>4</v>
      </c>
      <c r="D1715" s="391" t="str">
        <f t="shared" ref="D1715:E1715" si="4891">D1712</f>
        <v>0,1-1</v>
      </c>
      <c r="E1715" s="391">
        <f t="shared" si="4891"/>
        <v>1</v>
      </c>
      <c r="F1715" s="385" t="s">
        <v>1097</v>
      </c>
      <c r="G1715" s="422" t="str">
        <f>CONCATENATE("DE: ",A1715," ",B1715," ",D1715," mm (emission to ",F1715,")")</f>
        <v>DE: PA fiber 0,1-1 mm (emission to marine water)</v>
      </c>
      <c r="H1715" s="467">
        <v>0</v>
      </c>
      <c r="I1715" s="388" t="s">
        <v>1153</v>
      </c>
      <c r="J1715" s="634">
        <v>0.22800000000000001</v>
      </c>
      <c r="K1715" s="389">
        <v>292</v>
      </c>
      <c r="L1715" s="536"/>
      <c r="M1715" s="509">
        <f t="shared" si="4738"/>
        <v>0.85616438356164382</v>
      </c>
      <c r="N1715" s="645">
        <f t="shared" ref="N1715" si="4892">IFERROR(H1715*M1715+H1716*M1716+H1717*M1717+H1718*M1718+H1719*M1719,"N.A.")</f>
        <v>0.85616438356164382</v>
      </c>
      <c r="O1715" s="625"/>
      <c r="P1715" s="628">
        <f t="shared" si="4826"/>
        <v>0.85616438356164382</v>
      </c>
      <c r="Q1715" s="628">
        <f t="shared" si="4729"/>
        <v>0.85616438356164382</v>
      </c>
    </row>
    <row r="1716" spans="1:17" ht="15.75" hidden="1" thickBot="1">
      <c r="A1716" s="390" t="str">
        <f t="shared" ref="A1716:B1716" si="4893">A1713</f>
        <v>PA</v>
      </c>
      <c r="B1716" s="391" t="str">
        <f t="shared" si="4893"/>
        <v>fiber</v>
      </c>
      <c r="C1716" s="391">
        <f t="shared" ref="C1716" si="4894">C1715</f>
        <v>4</v>
      </c>
      <c r="D1716" s="391" t="str">
        <f t="shared" ref="D1716:E1716" si="4895">D1713</f>
        <v>0,1-1</v>
      </c>
      <c r="E1716" s="391">
        <f t="shared" si="4895"/>
        <v>1</v>
      </c>
      <c r="F1716" s="391" t="str">
        <f t="shared" ref="F1716:G1716" si="4896">F1715</f>
        <v>marine water</v>
      </c>
      <c r="G1716" s="401" t="str">
        <f t="shared" si="4896"/>
        <v>DE: PA fiber 0,1-1 mm (emission to marine water)</v>
      </c>
      <c r="H1716" s="465">
        <v>0</v>
      </c>
      <c r="I1716" s="394" t="s">
        <v>1097</v>
      </c>
      <c r="J1716" s="635"/>
      <c r="K1716" s="389">
        <v>292</v>
      </c>
      <c r="L1716" s="536"/>
      <c r="M1716" s="509">
        <f t="shared" si="4738"/>
        <v>0.85616438356164382</v>
      </c>
      <c r="N1716" s="646"/>
      <c r="O1716" s="626"/>
      <c r="P1716" s="629"/>
      <c r="Q1716" s="629"/>
    </row>
    <row r="1717" spans="1:17" ht="15.75" hidden="1" thickBot="1">
      <c r="A1717" s="390" t="str">
        <f t="shared" ref="A1717:B1717" si="4897">A1714</f>
        <v>PA</v>
      </c>
      <c r="B1717" s="391" t="str">
        <f t="shared" si="4897"/>
        <v>fiber</v>
      </c>
      <c r="C1717" s="391">
        <f t="shared" ref="C1717" si="4898">C1716</f>
        <v>4</v>
      </c>
      <c r="D1717" s="391" t="str">
        <f t="shared" ref="D1717:E1717" si="4899">D1714</f>
        <v>0,1-1</v>
      </c>
      <c r="E1717" s="391">
        <f t="shared" si="4899"/>
        <v>1</v>
      </c>
      <c r="F1717" s="391" t="str">
        <f t="shared" ref="F1717:G1717" si="4900">F1716</f>
        <v>marine water</v>
      </c>
      <c r="G1717" s="401" t="str">
        <f t="shared" si="4900"/>
        <v>DE: PA fiber 0,1-1 mm (emission to marine water)</v>
      </c>
      <c r="H1717" s="465">
        <v>0</v>
      </c>
      <c r="I1717" s="394" t="s">
        <v>1162</v>
      </c>
      <c r="J1717" s="635"/>
      <c r="K1717" s="389">
        <v>292</v>
      </c>
      <c r="L1717" s="536"/>
      <c r="M1717" s="509">
        <f t="shared" si="4738"/>
        <v>0.85616438356164382</v>
      </c>
      <c r="N1717" s="646"/>
      <c r="O1717" s="626"/>
      <c r="P1717" s="629"/>
      <c r="Q1717" s="629"/>
    </row>
    <row r="1718" spans="1:17" ht="15.75" hidden="1" thickBot="1">
      <c r="A1718" s="390" t="str">
        <f t="shared" ref="A1718:B1718" si="4901">A1715</f>
        <v>PA</v>
      </c>
      <c r="B1718" s="391" t="str">
        <f t="shared" si="4901"/>
        <v>fiber</v>
      </c>
      <c r="C1718" s="391">
        <f t="shared" ref="C1718" si="4902">C1717</f>
        <v>4</v>
      </c>
      <c r="D1718" s="391" t="str">
        <f t="shared" ref="D1718:E1718" si="4903">D1715</f>
        <v>0,1-1</v>
      </c>
      <c r="E1718" s="391">
        <f t="shared" si="4903"/>
        <v>1</v>
      </c>
      <c r="F1718" s="391" t="str">
        <f t="shared" ref="F1718:G1718" si="4904">F1717</f>
        <v>marine water</v>
      </c>
      <c r="G1718" s="401" t="str">
        <f t="shared" si="4904"/>
        <v>DE: PA fiber 0,1-1 mm (emission to marine water)</v>
      </c>
      <c r="H1718" s="465">
        <v>1</v>
      </c>
      <c r="I1718" s="394" t="s">
        <v>1163</v>
      </c>
      <c r="J1718" s="635"/>
      <c r="K1718" s="389">
        <v>292</v>
      </c>
      <c r="L1718" s="536"/>
      <c r="M1718" s="509">
        <f t="shared" si="4738"/>
        <v>0.85616438356164382</v>
      </c>
      <c r="N1718" s="646"/>
      <c r="O1718" s="626"/>
      <c r="P1718" s="629"/>
      <c r="Q1718" s="629"/>
    </row>
    <row r="1719" spans="1:17" ht="15.75" hidden="1" thickBot="1">
      <c r="A1719" s="390" t="str">
        <f t="shared" ref="A1719:B1719" si="4905">A1716</f>
        <v>PA</v>
      </c>
      <c r="B1719" s="391" t="str">
        <f t="shared" si="4905"/>
        <v>fiber</v>
      </c>
      <c r="C1719" s="391">
        <f t="shared" ref="C1719" si="4906">C1718</f>
        <v>4</v>
      </c>
      <c r="D1719" s="391" t="str">
        <f t="shared" ref="D1719:E1719" si="4907">D1716</f>
        <v>0,1-1</v>
      </c>
      <c r="E1719" s="391">
        <f t="shared" si="4907"/>
        <v>1</v>
      </c>
      <c r="F1719" s="391" t="str">
        <f t="shared" ref="F1719:G1719" si="4908">F1718</f>
        <v>marine water</v>
      </c>
      <c r="G1719" s="401" t="str">
        <f t="shared" si="4908"/>
        <v>DE: PA fiber 0,1-1 mm (emission to marine water)</v>
      </c>
      <c r="H1719" s="465">
        <v>0</v>
      </c>
      <c r="I1719" s="397" t="s">
        <v>1034</v>
      </c>
      <c r="J1719" s="654"/>
      <c r="K1719" s="398" t="s">
        <v>596</v>
      </c>
      <c r="L1719" s="538"/>
      <c r="M1719" s="509">
        <f t="shared" si="4738"/>
        <v>0</v>
      </c>
      <c r="N1719" s="647"/>
      <c r="O1719" s="627"/>
      <c r="P1719" s="629"/>
      <c r="Q1719" s="629"/>
    </row>
    <row r="1720" spans="1:17" ht="15.75" hidden="1" thickBot="1">
      <c r="A1720" s="390" t="str">
        <f t="shared" ref="A1720:B1720" si="4909">A1717</f>
        <v>PA</v>
      </c>
      <c r="B1720" s="391" t="str">
        <f t="shared" si="4909"/>
        <v>fiber</v>
      </c>
      <c r="C1720" s="391">
        <f t="shared" ref="C1720" si="4910">C1719</f>
        <v>4</v>
      </c>
      <c r="D1720" s="391" t="str">
        <f t="shared" ref="D1720:E1720" si="4911">D1717</f>
        <v>0,1-1</v>
      </c>
      <c r="E1720" s="391">
        <f t="shared" si="4911"/>
        <v>1</v>
      </c>
      <c r="F1720" s="400" t="s">
        <v>1057</v>
      </c>
      <c r="G1720" s="422" t="str">
        <f>CONCATENATE("DE: ",A1720," ",B1720," ",D1720," mm (emission to ",F1720,")")</f>
        <v>DE: PA fiber 0,1-1 mm (emission to air)</v>
      </c>
      <c r="H1720" s="467">
        <v>0.94799999999999995</v>
      </c>
      <c r="I1720" s="388" t="s">
        <v>1153</v>
      </c>
      <c r="J1720" s="634">
        <v>0.22800000000000001</v>
      </c>
      <c r="K1720" s="389">
        <v>292</v>
      </c>
      <c r="L1720" s="536"/>
      <c r="M1720" s="509">
        <f t="shared" si="4738"/>
        <v>0.85616438356164382</v>
      </c>
      <c r="N1720" s="645">
        <f t="shared" ref="N1720" si="4912">IFERROR(H1720*M1720+H1721*M1721+H1722*M1722+H1723*M1723+H1724*M1724,"N.A.")</f>
        <v>0.8561643835616437</v>
      </c>
      <c r="O1720" s="625"/>
      <c r="P1720" s="628">
        <f t="shared" si="4826"/>
        <v>0.8561643835616437</v>
      </c>
      <c r="Q1720" s="628">
        <f t="shared" si="4729"/>
        <v>0.8561643835616437</v>
      </c>
    </row>
    <row r="1721" spans="1:17" ht="15.75" hidden="1" thickBot="1">
      <c r="A1721" s="390" t="str">
        <f t="shared" ref="A1721:B1721" si="4913">A1718</f>
        <v>PA</v>
      </c>
      <c r="B1721" s="391" t="str">
        <f t="shared" si="4913"/>
        <v>fiber</v>
      </c>
      <c r="C1721" s="391">
        <f t="shared" ref="C1721" si="4914">C1720</f>
        <v>4</v>
      </c>
      <c r="D1721" s="391" t="str">
        <f t="shared" ref="D1721:E1721" si="4915">D1718</f>
        <v>0,1-1</v>
      </c>
      <c r="E1721" s="391">
        <f t="shared" si="4915"/>
        <v>1</v>
      </c>
      <c r="F1721" s="391" t="str">
        <f t="shared" ref="F1721:G1721" si="4916">F1720</f>
        <v>air</v>
      </c>
      <c r="G1721" s="401" t="str">
        <f t="shared" si="4916"/>
        <v>DE: PA fiber 0,1-1 mm (emission to air)</v>
      </c>
      <c r="H1721" s="465">
        <v>0</v>
      </c>
      <c r="I1721" s="394" t="s">
        <v>1097</v>
      </c>
      <c r="J1721" s="635"/>
      <c r="K1721" s="389">
        <v>292</v>
      </c>
      <c r="L1721" s="536"/>
      <c r="M1721" s="509">
        <f t="shared" si="4738"/>
        <v>0.85616438356164382</v>
      </c>
      <c r="N1721" s="646"/>
      <c r="O1721" s="626"/>
      <c r="P1721" s="629"/>
      <c r="Q1721" s="629"/>
    </row>
    <row r="1722" spans="1:17" ht="15.75" hidden="1" thickBot="1">
      <c r="A1722" s="390" t="str">
        <f t="shared" ref="A1722:B1722" si="4917">A1719</f>
        <v>PA</v>
      </c>
      <c r="B1722" s="391" t="str">
        <f t="shared" si="4917"/>
        <v>fiber</v>
      </c>
      <c r="C1722" s="391">
        <f t="shared" ref="C1722" si="4918">C1721</f>
        <v>4</v>
      </c>
      <c r="D1722" s="391" t="str">
        <f t="shared" ref="D1722:E1722" si="4919">D1719</f>
        <v>0,1-1</v>
      </c>
      <c r="E1722" s="391">
        <f t="shared" si="4919"/>
        <v>1</v>
      </c>
      <c r="F1722" s="391" t="str">
        <f t="shared" ref="F1722:G1722" si="4920">F1721</f>
        <v>air</v>
      </c>
      <c r="G1722" s="401" t="str">
        <f t="shared" si="4920"/>
        <v>DE: PA fiber 0,1-1 mm (emission to air)</v>
      </c>
      <c r="H1722" s="465">
        <v>4.7E-2</v>
      </c>
      <c r="I1722" s="394" t="s">
        <v>1162</v>
      </c>
      <c r="J1722" s="635"/>
      <c r="K1722" s="389">
        <v>292</v>
      </c>
      <c r="L1722" s="536"/>
      <c r="M1722" s="509">
        <f t="shared" si="4738"/>
        <v>0.85616438356164382</v>
      </c>
      <c r="N1722" s="646"/>
      <c r="O1722" s="626"/>
      <c r="P1722" s="629"/>
      <c r="Q1722" s="629"/>
    </row>
    <row r="1723" spans="1:17" ht="15.75" hidden="1" thickBot="1">
      <c r="A1723" s="390" t="str">
        <f t="shared" ref="A1723:B1723" si="4921">A1720</f>
        <v>PA</v>
      </c>
      <c r="B1723" s="391" t="str">
        <f t="shared" si="4921"/>
        <v>fiber</v>
      </c>
      <c r="C1723" s="391">
        <f t="shared" ref="C1723" si="4922">C1722</f>
        <v>4</v>
      </c>
      <c r="D1723" s="391" t="str">
        <f t="shared" ref="D1723:E1723" si="4923">D1720</f>
        <v>0,1-1</v>
      </c>
      <c r="E1723" s="391">
        <f t="shared" si="4923"/>
        <v>1</v>
      </c>
      <c r="F1723" s="391" t="str">
        <f t="shared" ref="F1723:G1723" si="4924">F1722</f>
        <v>air</v>
      </c>
      <c r="G1723" s="401" t="str">
        <f t="shared" si="4924"/>
        <v>DE: PA fiber 0,1-1 mm (emission to air)</v>
      </c>
      <c r="H1723" s="465">
        <v>5.0000000000000001E-3</v>
      </c>
      <c r="I1723" s="394" t="s">
        <v>1163</v>
      </c>
      <c r="J1723" s="635"/>
      <c r="K1723" s="389">
        <v>292</v>
      </c>
      <c r="L1723" s="536"/>
      <c r="M1723" s="509">
        <f t="shared" si="4738"/>
        <v>0.85616438356164382</v>
      </c>
      <c r="N1723" s="646"/>
      <c r="O1723" s="626"/>
      <c r="P1723" s="629"/>
      <c r="Q1723" s="629"/>
    </row>
    <row r="1724" spans="1:17" ht="15.75" hidden="1" thickBot="1">
      <c r="A1724" s="404" t="str">
        <f t="shared" ref="A1724:B1724" si="4925">A1719</f>
        <v>PA</v>
      </c>
      <c r="B1724" s="402" t="str">
        <f t="shared" si="4925"/>
        <v>fiber</v>
      </c>
      <c r="C1724" s="391">
        <f t="shared" ref="C1724" si="4926">C1723</f>
        <v>4</v>
      </c>
      <c r="D1724" s="402" t="str">
        <f t="shared" ref="D1724:E1724" si="4927">D1719</f>
        <v>0,1-1</v>
      </c>
      <c r="E1724" s="402">
        <f t="shared" si="4927"/>
        <v>1</v>
      </c>
      <c r="F1724" s="391" t="str">
        <f t="shared" ref="F1724:G1724" si="4928">F1723</f>
        <v>air</v>
      </c>
      <c r="G1724" s="401" t="str">
        <f t="shared" si="4928"/>
        <v>DE: PA fiber 0,1-1 mm (emission to air)</v>
      </c>
      <c r="H1724" s="465">
        <v>0</v>
      </c>
      <c r="I1724" s="394" t="s">
        <v>1034</v>
      </c>
      <c r="J1724" s="636"/>
      <c r="K1724" s="398" t="s">
        <v>596</v>
      </c>
      <c r="L1724" s="538"/>
      <c r="M1724" s="509">
        <f t="shared" si="4738"/>
        <v>0</v>
      </c>
      <c r="N1724" s="647"/>
      <c r="O1724" s="627"/>
      <c r="P1724" s="629"/>
      <c r="Q1724" s="629"/>
    </row>
    <row r="1725" spans="1:17" ht="16.5" hidden="1" thickTop="1" thickBot="1">
      <c r="A1725" s="405" t="s">
        <v>188</v>
      </c>
      <c r="B1725" s="406" t="s">
        <v>1151</v>
      </c>
      <c r="C1725" s="407">
        <v>4</v>
      </c>
      <c r="D1725" s="423" t="s">
        <v>1026</v>
      </c>
      <c r="E1725" s="408">
        <v>10</v>
      </c>
      <c r="F1725" s="424" t="s">
        <v>1019</v>
      </c>
      <c r="G1725" s="425" t="str">
        <f>CONCATENATE("DE: ",A1725," ",B1725," ",D1725," mm (emission to ",F1725,")")</f>
        <v>DE: PA fiber 1-10 mm (emission to soil)</v>
      </c>
      <c r="H1725" s="464">
        <v>0.97</v>
      </c>
      <c r="I1725" s="427" t="s">
        <v>1153</v>
      </c>
      <c r="J1725" s="632">
        <v>0.22800000000000001</v>
      </c>
      <c r="K1725" s="449">
        <v>292</v>
      </c>
      <c r="L1725" s="536"/>
      <c r="M1725" s="509">
        <f t="shared" si="4738"/>
        <v>8.5616438356164384</v>
      </c>
      <c r="N1725" s="645">
        <f t="shared" ref="N1725" si="4929">IFERROR(H1725*M1725+H1726*M1726+H1727*M1727+H1728*M1728+H1729*M1729,"N.A.")</f>
        <v>8.5616438356164384</v>
      </c>
      <c r="O1725" s="625"/>
      <c r="P1725" s="628">
        <f t="shared" si="4826"/>
        <v>8.5616438356164384</v>
      </c>
      <c r="Q1725" s="628">
        <f t="shared" si="4729"/>
        <v>8.5616438356164384</v>
      </c>
    </row>
    <row r="1726" spans="1:17" ht="15.75" hidden="1" thickBot="1">
      <c r="A1726" s="390" t="str">
        <f>A1725</f>
        <v>PA</v>
      </c>
      <c r="B1726" s="391" t="str">
        <f>B1725</f>
        <v>fiber</v>
      </c>
      <c r="C1726" s="391">
        <f t="shared" ref="C1726:G1726" si="4930">C1725</f>
        <v>4</v>
      </c>
      <c r="D1726" s="391" t="str">
        <f t="shared" si="4930"/>
        <v>1-10</v>
      </c>
      <c r="E1726" s="391">
        <f t="shared" si="4930"/>
        <v>10</v>
      </c>
      <c r="F1726" s="391" t="str">
        <f t="shared" si="4930"/>
        <v>soil</v>
      </c>
      <c r="G1726" s="392" t="str">
        <f t="shared" si="4930"/>
        <v>DE: PA fiber 1-10 mm (emission to soil)</v>
      </c>
      <c r="H1726" s="465">
        <v>0</v>
      </c>
      <c r="I1726" s="394" t="s">
        <v>1097</v>
      </c>
      <c r="J1726" s="632"/>
      <c r="K1726" s="395">
        <v>292</v>
      </c>
      <c r="L1726" s="537"/>
      <c r="M1726" s="509">
        <f t="shared" si="4738"/>
        <v>8.5616438356164384</v>
      </c>
      <c r="N1726" s="646"/>
      <c r="O1726" s="626"/>
      <c r="P1726" s="629"/>
      <c r="Q1726" s="629"/>
    </row>
    <row r="1727" spans="1:17" ht="15.75" hidden="1" thickBot="1">
      <c r="A1727" s="390" t="str">
        <f t="shared" ref="A1727:G1727" si="4931">A1726</f>
        <v>PA</v>
      </c>
      <c r="B1727" s="391" t="str">
        <f t="shared" si="4931"/>
        <v>fiber</v>
      </c>
      <c r="C1727" s="391">
        <f t="shared" si="4931"/>
        <v>4</v>
      </c>
      <c r="D1727" s="391" t="str">
        <f t="shared" si="4931"/>
        <v>1-10</v>
      </c>
      <c r="E1727" s="391">
        <f t="shared" si="4931"/>
        <v>10</v>
      </c>
      <c r="F1727" s="391" t="str">
        <f t="shared" si="4931"/>
        <v>soil</v>
      </c>
      <c r="G1727" s="392" t="str">
        <f t="shared" si="4931"/>
        <v>DE: PA fiber 1-10 mm (emission to soil)</v>
      </c>
      <c r="H1727" s="465">
        <v>2.7E-2</v>
      </c>
      <c r="I1727" s="394" t="s">
        <v>1162</v>
      </c>
      <c r="J1727" s="632"/>
      <c r="K1727" s="395">
        <v>292</v>
      </c>
      <c r="L1727" s="537"/>
      <c r="M1727" s="509">
        <f t="shared" si="4738"/>
        <v>8.5616438356164384</v>
      </c>
      <c r="N1727" s="646"/>
      <c r="O1727" s="626"/>
      <c r="P1727" s="629"/>
      <c r="Q1727" s="629"/>
    </row>
    <row r="1728" spans="1:17" ht="15.75" hidden="1" thickBot="1">
      <c r="A1728" s="390" t="str">
        <f t="shared" ref="A1728:G1728" si="4932">A1727</f>
        <v>PA</v>
      </c>
      <c r="B1728" s="391" t="str">
        <f t="shared" si="4932"/>
        <v>fiber</v>
      </c>
      <c r="C1728" s="391">
        <f t="shared" si="4932"/>
        <v>4</v>
      </c>
      <c r="D1728" s="391" t="str">
        <f t="shared" si="4932"/>
        <v>1-10</v>
      </c>
      <c r="E1728" s="391">
        <f t="shared" si="4932"/>
        <v>10</v>
      </c>
      <c r="F1728" s="391" t="str">
        <f t="shared" si="4932"/>
        <v>soil</v>
      </c>
      <c r="G1728" s="392" t="str">
        <f t="shared" si="4932"/>
        <v>DE: PA fiber 1-10 mm (emission to soil)</v>
      </c>
      <c r="H1728" s="465">
        <v>3.0000000000000001E-3</v>
      </c>
      <c r="I1728" s="394" t="s">
        <v>1163</v>
      </c>
      <c r="J1728" s="632"/>
      <c r="K1728" s="395">
        <v>292</v>
      </c>
      <c r="L1728" s="537"/>
      <c r="M1728" s="509">
        <f t="shared" si="4738"/>
        <v>8.5616438356164384</v>
      </c>
      <c r="N1728" s="646"/>
      <c r="O1728" s="626"/>
      <c r="P1728" s="629"/>
      <c r="Q1728" s="629"/>
    </row>
    <row r="1729" spans="1:17" ht="15.75" hidden="1" thickBot="1">
      <c r="A1729" s="390" t="str">
        <f>A1726</f>
        <v>PA</v>
      </c>
      <c r="B1729" s="391" t="str">
        <f>B1726</f>
        <v>fiber</v>
      </c>
      <c r="C1729" s="391">
        <f t="shared" ref="C1729" si="4933">C1728</f>
        <v>4</v>
      </c>
      <c r="D1729" s="391" t="str">
        <f>D1726</f>
        <v>1-10</v>
      </c>
      <c r="E1729" s="391">
        <f>E1726</f>
        <v>10</v>
      </c>
      <c r="F1729" s="391" t="str">
        <f>F1726</f>
        <v>soil</v>
      </c>
      <c r="G1729" s="396" t="str">
        <f t="shared" ref="G1729" si="4934">G1728</f>
        <v>DE: PA fiber 1-10 mm (emission to soil)</v>
      </c>
      <c r="H1729" s="465">
        <v>0</v>
      </c>
      <c r="I1729" s="397" t="s">
        <v>1034</v>
      </c>
      <c r="J1729" s="633"/>
      <c r="K1729" s="398" t="s">
        <v>596</v>
      </c>
      <c r="L1729" s="538"/>
      <c r="M1729" s="509">
        <f t="shared" si="4738"/>
        <v>0</v>
      </c>
      <c r="N1729" s="647"/>
      <c r="O1729" s="627"/>
      <c r="P1729" s="629"/>
      <c r="Q1729" s="629"/>
    </row>
    <row r="1730" spans="1:17" ht="15.75" hidden="1" thickBot="1">
      <c r="A1730" s="390" t="str">
        <f t="shared" ref="A1730:B1730" si="4935">A1727</f>
        <v>PA</v>
      </c>
      <c r="B1730" s="391" t="str">
        <f t="shared" si="4935"/>
        <v>fiber</v>
      </c>
      <c r="C1730" s="391">
        <f t="shared" ref="C1730" si="4936">C1729</f>
        <v>4</v>
      </c>
      <c r="D1730" s="399" t="str">
        <f t="shared" ref="D1730:E1730" si="4937">D1727</f>
        <v>1-10</v>
      </c>
      <c r="E1730" s="391">
        <f t="shared" si="4937"/>
        <v>10</v>
      </c>
      <c r="F1730" s="400" t="s">
        <v>1147</v>
      </c>
      <c r="G1730" s="386" t="str">
        <f>CONCATENATE("DE: ",A1730," ",B1730," ",D1730," mm (emission to ",F1730,")")</f>
        <v>DE: PA fiber 1-10 mm (emission to fresh water)</v>
      </c>
      <c r="H1730" s="466">
        <v>0</v>
      </c>
      <c r="I1730" s="388" t="s">
        <v>1153</v>
      </c>
      <c r="J1730" s="634">
        <v>0.22800000000000001</v>
      </c>
      <c r="K1730" s="389">
        <v>292</v>
      </c>
      <c r="L1730" s="536"/>
      <c r="M1730" s="509">
        <f t="shared" si="4738"/>
        <v>8.5616438356164384</v>
      </c>
      <c r="N1730" s="645">
        <f t="shared" ref="N1730" si="4938">IFERROR(H1730*M1730+H1731*M1731+H1732*M1732+H1733*M1733+H1734*M1734,"N.A.")</f>
        <v>8.5616438356164384</v>
      </c>
      <c r="O1730" s="625"/>
      <c r="P1730" s="628">
        <f t="shared" si="4826"/>
        <v>8.5616438356164384</v>
      </c>
      <c r="Q1730" s="628">
        <f t="shared" ref="Q1730:Q1790" si="4939">IFERROR(IF(H1730*M1730+H1731*M1731+H1732*M1732+H1733*M1733+H1734*M1734&gt;500,500,H1730*M1730+H1731*M1731+H1732*M1732+H1733*M1733+H1734*M1734),"N.A.")</f>
        <v>8.5616438356164384</v>
      </c>
    </row>
    <row r="1731" spans="1:17" ht="15.75" hidden="1" thickBot="1">
      <c r="A1731" s="390" t="str">
        <f t="shared" ref="A1731:B1731" si="4940">A1728</f>
        <v>PA</v>
      </c>
      <c r="B1731" s="391" t="str">
        <f t="shared" si="4940"/>
        <v>fiber</v>
      </c>
      <c r="C1731" s="391">
        <f t="shared" ref="C1731" si="4941">C1730</f>
        <v>4</v>
      </c>
      <c r="D1731" s="391" t="str">
        <f t="shared" ref="D1731:E1731" si="4942">D1728</f>
        <v>1-10</v>
      </c>
      <c r="E1731" s="391">
        <f t="shared" si="4942"/>
        <v>10</v>
      </c>
      <c r="F1731" s="391" t="str">
        <f t="shared" ref="F1731:G1731" si="4943">F1730</f>
        <v>fresh water</v>
      </c>
      <c r="G1731" s="401" t="str">
        <f t="shared" si="4943"/>
        <v>DE: PA fiber 1-10 mm (emission to fresh water)</v>
      </c>
      <c r="H1731" s="465">
        <v>0</v>
      </c>
      <c r="I1731" s="394" t="s">
        <v>1097</v>
      </c>
      <c r="J1731" s="635"/>
      <c r="K1731" s="389">
        <v>292</v>
      </c>
      <c r="L1731" s="536"/>
      <c r="M1731" s="509">
        <f t="shared" si="4738"/>
        <v>8.5616438356164384</v>
      </c>
      <c r="N1731" s="646"/>
      <c r="O1731" s="626"/>
      <c r="P1731" s="629"/>
      <c r="Q1731" s="629"/>
    </row>
    <row r="1732" spans="1:17" ht="15.75" hidden="1" thickBot="1">
      <c r="A1732" s="390" t="str">
        <f t="shared" ref="A1732:B1732" si="4944">A1729</f>
        <v>PA</v>
      </c>
      <c r="B1732" s="391" t="str">
        <f t="shared" si="4944"/>
        <v>fiber</v>
      </c>
      <c r="C1732" s="391">
        <f t="shared" ref="C1732" si="4945">C1731</f>
        <v>4</v>
      </c>
      <c r="D1732" s="391" t="str">
        <f t="shared" ref="D1732:E1732" si="4946">D1729</f>
        <v>1-10</v>
      </c>
      <c r="E1732" s="391">
        <f t="shared" si="4946"/>
        <v>10</v>
      </c>
      <c r="F1732" s="391" t="str">
        <f t="shared" ref="F1732:G1732" si="4947">F1731</f>
        <v>fresh water</v>
      </c>
      <c r="G1732" s="401" t="str">
        <f t="shared" si="4947"/>
        <v>DE: PA fiber 1-10 mm (emission to fresh water)</v>
      </c>
      <c r="H1732" s="465">
        <v>0.89</v>
      </c>
      <c r="I1732" s="394" t="s">
        <v>1162</v>
      </c>
      <c r="J1732" s="635"/>
      <c r="K1732" s="389">
        <v>292</v>
      </c>
      <c r="L1732" s="536"/>
      <c r="M1732" s="509">
        <f t="shared" si="4738"/>
        <v>8.5616438356164384</v>
      </c>
      <c r="N1732" s="646"/>
      <c r="O1732" s="626"/>
      <c r="P1732" s="629"/>
      <c r="Q1732" s="629"/>
    </row>
    <row r="1733" spans="1:17" ht="15.75" hidden="1" thickBot="1">
      <c r="A1733" s="390" t="str">
        <f t="shared" ref="A1733:B1733" si="4948">A1730</f>
        <v>PA</v>
      </c>
      <c r="B1733" s="391" t="str">
        <f t="shared" si="4948"/>
        <v>fiber</v>
      </c>
      <c r="C1733" s="391">
        <f t="shared" ref="C1733" si="4949">C1732</f>
        <v>4</v>
      </c>
      <c r="D1733" s="391" t="str">
        <f t="shared" ref="D1733:E1733" si="4950">D1730</f>
        <v>1-10</v>
      </c>
      <c r="E1733" s="391">
        <f t="shared" si="4950"/>
        <v>10</v>
      </c>
      <c r="F1733" s="391" t="str">
        <f t="shared" ref="F1733:G1733" si="4951">F1732</f>
        <v>fresh water</v>
      </c>
      <c r="G1733" s="401" t="str">
        <f t="shared" si="4951"/>
        <v>DE: PA fiber 1-10 mm (emission to fresh water)</v>
      </c>
      <c r="H1733" s="465">
        <v>0.11</v>
      </c>
      <c r="I1733" s="394" t="s">
        <v>1163</v>
      </c>
      <c r="J1733" s="635"/>
      <c r="K1733" s="389">
        <v>292</v>
      </c>
      <c r="L1733" s="536"/>
      <c r="M1733" s="509">
        <f t="shared" si="4738"/>
        <v>8.5616438356164384</v>
      </c>
      <c r="N1733" s="646"/>
      <c r="O1733" s="626"/>
      <c r="P1733" s="629"/>
      <c r="Q1733" s="629"/>
    </row>
    <row r="1734" spans="1:17" ht="15.75" hidden="1" thickBot="1">
      <c r="A1734" s="390" t="str">
        <f t="shared" ref="A1734:B1734" si="4952">A1731</f>
        <v>PA</v>
      </c>
      <c r="B1734" s="391" t="str">
        <f t="shared" si="4952"/>
        <v>fiber</v>
      </c>
      <c r="C1734" s="391">
        <f t="shared" ref="C1734" si="4953">C1733</f>
        <v>4</v>
      </c>
      <c r="D1734" s="391" t="str">
        <f t="shared" ref="D1734:E1734" si="4954">D1731</f>
        <v>1-10</v>
      </c>
      <c r="E1734" s="391">
        <f t="shared" si="4954"/>
        <v>10</v>
      </c>
      <c r="F1734" s="402" t="str">
        <f>F1731</f>
        <v>fresh water</v>
      </c>
      <c r="G1734" s="401" t="str">
        <f t="shared" ref="G1734" si="4955">G1733</f>
        <v>DE: PA fiber 1-10 mm (emission to fresh water)</v>
      </c>
      <c r="H1734" s="465">
        <v>0</v>
      </c>
      <c r="I1734" s="397" t="s">
        <v>1034</v>
      </c>
      <c r="J1734" s="654"/>
      <c r="K1734" s="398" t="s">
        <v>596</v>
      </c>
      <c r="L1734" s="538"/>
      <c r="M1734" s="509">
        <f t="shared" ref="M1734:M1797" si="4956">IFERROR(IF(K1734="--",0,IF(E1734*1000/K1734*(1-0.5)^(C1734/2)&gt;1000,1000,E1734*1000/K1734*(1-0.5)^(C1734/2))),1000)</f>
        <v>0</v>
      </c>
      <c r="N1734" s="647"/>
      <c r="O1734" s="627"/>
      <c r="P1734" s="629"/>
      <c r="Q1734" s="629"/>
    </row>
    <row r="1735" spans="1:17" ht="15.75" hidden="1" thickBot="1">
      <c r="A1735" s="390" t="str">
        <f t="shared" ref="A1735:B1735" si="4957">A1732</f>
        <v>PA</v>
      </c>
      <c r="B1735" s="391" t="str">
        <f t="shared" si="4957"/>
        <v>fiber</v>
      </c>
      <c r="C1735" s="391">
        <f t="shared" ref="C1735" si="4958">C1734</f>
        <v>4</v>
      </c>
      <c r="D1735" s="391" t="str">
        <f t="shared" ref="D1735:E1735" si="4959">D1732</f>
        <v>1-10</v>
      </c>
      <c r="E1735" s="391">
        <f t="shared" si="4959"/>
        <v>10</v>
      </c>
      <c r="F1735" s="385" t="s">
        <v>1097</v>
      </c>
      <c r="G1735" s="422" t="str">
        <f>CONCATENATE("DE: ",A1735," ",B1735," ",D1735," mm (emission to ",F1735,")")</f>
        <v>DE: PA fiber 1-10 mm (emission to marine water)</v>
      </c>
      <c r="H1735" s="467">
        <v>0</v>
      </c>
      <c r="I1735" s="388" t="s">
        <v>1153</v>
      </c>
      <c r="J1735" s="634">
        <v>0.22800000000000001</v>
      </c>
      <c r="K1735" s="389">
        <v>292</v>
      </c>
      <c r="L1735" s="536"/>
      <c r="M1735" s="509">
        <f t="shared" si="4956"/>
        <v>8.5616438356164384</v>
      </c>
      <c r="N1735" s="645">
        <f t="shared" ref="N1735" si="4960">IFERROR(H1735*M1735+H1736*M1736+H1737*M1737+H1738*M1738+H1739*M1739,"N.A.")</f>
        <v>8.5616438356164384</v>
      </c>
      <c r="O1735" s="625"/>
      <c r="P1735" s="628">
        <f t="shared" si="4826"/>
        <v>8.5616438356164384</v>
      </c>
      <c r="Q1735" s="628">
        <f t="shared" si="4939"/>
        <v>8.5616438356164384</v>
      </c>
    </row>
    <row r="1736" spans="1:17" ht="15.75" hidden="1" thickBot="1">
      <c r="A1736" s="390" t="str">
        <f t="shared" ref="A1736:B1736" si="4961">A1733</f>
        <v>PA</v>
      </c>
      <c r="B1736" s="391" t="str">
        <f t="shared" si="4961"/>
        <v>fiber</v>
      </c>
      <c r="C1736" s="391">
        <f t="shared" ref="C1736" si="4962">C1735</f>
        <v>4</v>
      </c>
      <c r="D1736" s="391" t="str">
        <f t="shared" ref="D1736:E1736" si="4963">D1733</f>
        <v>1-10</v>
      </c>
      <c r="E1736" s="391">
        <f t="shared" si="4963"/>
        <v>10</v>
      </c>
      <c r="F1736" s="391" t="str">
        <f t="shared" ref="F1736:G1736" si="4964">F1735</f>
        <v>marine water</v>
      </c>
      <c r="G1736" s="401" t="str">
        <f t="shared" si="4964"/>
        <v>DE: PA fiber 1-10 mm (emission to marine water)</v>
      </c>
      <c r="H1736" s="465">
        <v>0</v>
      </c>
      <c r="I1736" s="394" t="s">
        <v>1097</v>
      </c>
      <c r="J1736" s="635"/>
      <c r="K1736" s="389">
        <v>292</v>
      </c>
      <c r="L1736" s="536"/>
      <c r="M1736" s="509">
        <f t="shared" si="4956"/>
        <v>8.5616438356164384</v>
      </c>
      <c r="N1736" s="646"/>
      <c r="O1736" s="626"/>
      <c r="P1736" s="629"/>
      <c r="Q1736" s="629"/>
    </row>
    <row r="1737" spans="1:17" ht="15.75" hidden="1" thickBot="1">
      <c r="A1737" s="390" t="str">
        <f t="shared" ref="A1737:B1737" si="4965">A1734</f>
        <v>PA</v>
      </c>
      <c r="B1737" s="391" t="str">
        <f t="shared" si="4965"/>
        <v>fiber</v>
      </c>
      <c r="C1737" s="391">
        <f t="shared" ref="C1737" si="4966">C1736</f>
        <v>4</v>
      </c>
      <c r="D1737" s="391" t="str">
        <f t="shared" ref="D1737:E1737" si="4967">D1734</f>
        <v>1-10</v>
      </c>
      <c r="E1737" s="391">
        <f t="shared" si="4967"/>
        <v>10</v>
      </c>
      <c r="F1737" s="391" t="str">
        <f t="shared" ref="F1737:G1737" si="4968">F1736</f>
        <v>marine water</v>
      </c>
      <c r="G1737" s="401" t="str">
        <f t="shared" si="4968"/>
        <v>DE: PA fiber 1-10 mm (emission to marine water)</v>
      </c>
      <c r="H1737" s="465">
        <v>0</v>
      </c>
      <c r="I1737" s="394" t="s">
        <v>1162</v>
      </c>
      <c r="J1737" s="635"/>
      <c r="K1737" s="389">
        <v>292</v>
      </c>
      <c r="L1737" s="536"/>
      <c r="M1737" s="509">
        <f t="shared" si="4956"/>
        <v>8.5616438356164384</v>
      </c>
      <c r="N1737" s="646"/>
      <c r="O1737" s="626"/>
      <c r="P1737" s="629"/>
      <c r="Q1737" s="629"/>
    </row>
    <row r="1738" spans="1:17" ht="15.75" hidden="1" thickBot="1">
      <c r="A1738" s="390" t="str">
        <f t="shared" ref="A1738:B1738" si="4969">A1735</f>
        <v>PA</v>
      </c>
      <c r="B1738" s="391" t="str">
        <f t="shared" si="4969"/>
        <v>fiber</v>
      </c>
      <c r="C1738" s="391">
        <f t="shared" ref="C1738" si="4970">C1737</f>
        <v>4</v>
      </c>
      <c r="D1738" s="391" t="str">
        <f t="shared" ref="D1738:E1738" si="4971">D1735</f>
        <v>1-10</v>
      </c>
      <c r="E1738" s="391">
        <f t="shared" si="4971"/>
        <v>10</v>
      </c>
      <c r="F1738" s="391" t="str">
        <f t="shared" ref="F1738:G1738" si="4972">F1737</f>
        <v>marine water</v>
      </c>
      <c r="G1738" s="401" t="str">
        <f t="shared" si="4972"/>
        <v>DE: PA fiber 1-10 mm (emission to marine water)</v>
      </c>
      <c r="H1738" s="465">
        <v>1</v>
      </c>
      <c r="I1738" s="394" t="s">
        <v>1163</v>
      </c>
      <c r="J1738" s="635"/>
      <c r="K1738" s="389">
        <v>292</v>
      </c>
      <c r="L1738" s="536"/>
      <c r="M1738" s="509">
        <f t="shared" si="4956"/>
        <v>8.5616438356164384</v>
      </c>
      <c r="N1738" s="646"/>
      <c r="O1738" s="626"/>
      <c r="P1738" s="629"/>
      <c r="Q1738" s="629"/>
    </row>
    <row r="1739" spans="1:17" ht="15.75" hidden="1" thickBot="1">
      <c r="A1739" s="390" t="str">
        <f t="shared" ref="A1739:B1739" si="4973">A1736</f>
        <v>PA</v>
      </c>
      <c r="B1739" s="391" t="str">
        <f t="shared" si="4973"/>
        <v>fiber</v>
      </c>
      <c r="C1739" s="391">
        <f t="shared" ref="C1739" si="4974">C1738</f>
        <v>4</v>
      </c>
      <c r="D1739" s="391" t="str">
        <f t="shared" ref="D1739:E1739" si="4975">D1736</f>
        <v>1-10</v>
      </c>
      <c r="E1739" s="391">
        <f t="shared" si="4975"/>
        <v>10</v>
      </c>
      <c r="F1739" s="391" t="str">
        <f t="shared" ref="F1739:G1739" si="4976">F1738</f>
        <v>marine water</v>
      </c>
      <c r="G1739" s="401" t="str">
        <f t="shared" si="4976"/>
        <v>DE: PA fiber 1-10 mm (emission to marine water)</v>
      </c>
      <c r="H1739" s="465">
        <v>0</v>
      </c>
      <c r="I1739" s="397" t="s">
        <v>1034</v>
      </c>
      <c r="J1739" s="654"/>
      <c r="K1739" s="398" t="s">
        <v>596</v>
      </c>
      <c r="L1739" s="538"/>
      <c r="M1739" s="509">
        <f t="shared" si="4956"/>
        <v>0</v>
      </c>
      <c r="N1739" s="647"/>
      <c r="O1739" s="627"/>
      <c r="P1739" s="629"/>
      <c r="Q1739" s="629"/>
    </row>
    <row r="1740" spans="1:17" ht="15.75" hidden="1" thickBot="1">
      <c r="A1740" s="390" t="str">
        <f t="shared" ref="A1740:B1740" si="4977">A1737</f>
        <v>PA</v>
      </c>
      <c r="B1740" s="391" t="str">
        <f t="shared" si="4977"/>
        <v>fiber</v>
      </c>
      <c r="C1740" s="391">
        <f t="shared" ref="C1740" si="4978">C1739</f>
        <v>4</v>
      </c>
      <c r="D1740" s="391" t="str">
        <f t="shared" ref="D1740:E1740" si="4979">D1737</f>
        <v>1-10</v>
      </c>
      <c r="E1740" s="391">
        <f t="shared" si="4979"/>
        <v>10</v>
      </c>
      <c r="F1740" s="400" t="s">
        <v>1057</v>
      </c>
      <c r="G1740" s="422" t="str">
        <f>CONCATENATE("DE: ",A1740," ",B1740," ",D1740," mm (emission to ",F1740,")")</f>
        <v>DE: PA fiber 1-10 mm (emission to air)</v>
      </c>
      <c r="H1740" s="467">
        <v>0.94799999999999995</v>
      </c>
      <c r="I1740" s="388" t="s">
        <v>1153</v>
      </c>
      <c r="J1740" s="634">
        <v>0.22800000000000001</v>
      </c>
      <c r="K1740" s="389">
        <v>292</v>
      </c>
      <c r="L1740" s="536"/>
      <c r="M1740" s="509">
        <f t="shared" si="4956"/>
        <v>8.5616438356164384</v>
      </c>
      <c r="N1740" s="645">
        <f t="shared" ref="N1740" si="4980">IFERROR(H1740*M1740+H1741*M1741+H1742*M1742+H1743*M1743+H1744*M1744,"N.A.")</f>
        <v>8.5616438356164384</v>
      </c>
      <c r="O1740" s="625"/>
      <c r="P1740" s="628">
        <f t="shared" si="4826"/>
        <v>8.5616438356164384</v>
      </c>
      <c r="Q1740" s="628">
        <f t="shared" si="4939"/>
        <v>8.5616438356164384</v>
      </c>
    </row>
    <row r="1741" spans="1:17" ht="15.75" hidden="1" thickBot="1">
      <c r="A1741" s="390" t="str">
        <f t="shared" ref="A1741:B1741" si="4981">A1738</f>
        <v>PA</v>
      </c>
      <c r="B1741" s="391" t="str">
        <f t="shared" si="4981"/>
        <v>fiber</v>
      </c>
      <c r="C1741" s="391">
        <f t="shared" ref="C1741" si="4982">C1740</f>
        <v>4</v>
      </c>
      <c r="D1741" s="391" t="str">
        <f t="shared" ref="D1741:E1741" si="4983">D1738</f>
        <v>1-10</v>
      </c>
      <c r="E1741" s="391">
        <f t="shared" si="4983"/>
        <v>10</v>
      </c>
      <c r="F1741" s="391" t="str">
        <f t="shared" ref="F1741:G1741" si="4984">F1740</f>
        <v>air</v>
      </c>
      <c r="G1741" s="401" t="str">
        <f t="shared" si="4984"/>
        <v>DE: PA fiber 1-10 mm (emission to air)</v>
      </c>
      <c r="H1741" s="465">
        <v>0</v>
      </c>
      <c r="I1741" s="394" t="s">
        <v>1097</v>
      </c>
      <c r="J1741" s="635"/>
      <c r="K1741" s="389">
        <v>292</v>
      </c>
      <c r="L1741" s="536"/>
      <c r="M1741" s="509">
        <f t="shared" si="4956"/>
        <v>8.5616438356164384</v>
      </c>
      <c r="N1741" s="646"/>
      <c r="O1741" s="626"/>
      <c r="P1741" s="629"/>
      <c r="Q1741" s="629"/>
    </row>
    <row r="1742" spans="1:17" ht="15.75" hidden="1" thickBot="1">
      <c r="A1742" s="390" t="str">
        <f t="shared" ref="A1742:B1742" si="4985">A1739</f>
        <v>PA</v>
      </c>
      <c r="B1742" s="391" t="str">
        <f t="shared" si="4985"/>
        <v>fiber</v>
      </c>
      <c r="C1742" s="391">
        <f t="shared" ref="C1742" si="4986">C1741</f>
        <v>4</v>
      </c>
      <c r="D1742" s="391" t="str">
        <f t="shared" ref="D1742:E1742" si="4987">D1739</f>
        <v>1-10</v>
      </c>
      <c r="E1742" s="391">
        <f t="shared" si="4987"/>
        <v>10</v>
      </c>
      <c r="F1742" s="391" t="str">
        <f t="shared" ref="F1742:G1742" si="4988">F1741</f>
        <v>air</v>
      </c>
      <c r="G1742" s="401" t="str">
        <f t="shared" si="4988"/>
        <v>DE: PA fiber 1-10 mm (emission to air)</v>
      </c>
      <c r="H1742" s="465">
        <v>4.7E-2</v>
      </c>
      <c r="I1742" s="394" t="s">
        <v>1162</v>
      </c>
      <c r="J1742" s="635"/>
      <c r="K1742" s="389">
        <v>292</v>
      </c>
      <c r="L1742" s="536"/>
      <c r="M1742" s="509">
        <f t="shared" si="4956"/>
        <v>8.5616438356164384</v>
      </c>
      <c r="N1742" s="646"/>
      <c r="O1742" s="626"/>
      <c r="P1742" s="629"/>
      <c r="Q1742" s="629"/>
    </row>
    <row r="1743" spans="1:17" ht="15.75" hidden="1" thickBot="1">
      <c r="A1743" s="390" t="str">
        <f t="shared" ref="A1743:B1743" si="4989">A1740</f>
        <v>PA</v>
      </c>
      <c r="B1743" s="391" t="str">
        <f t="shared" si="4989"/>
        <v>fiber</v>
      </c>
      <c r="C1743" s="391">
        <f t="shared" ref="C1743" si="4990">C1742</f>
        <v>4</v>
      </c>
      <c r="D1743" s="391" t="str">
        <f t="shared" ref="D1743:E1743" si="4991">D1740</f>
        <v>1-10</v>
      </c>
      <c r="E1743" s="391">
        <f t="shared" si="4991"/>
        <v>10</v>
      </c>
      <c r="F1743" s="391" t="str">
        <f t="shared" ref="F1743:G1743" si="4992">F1742</f>
        <v>air</v>
      </c>
      <c r="G1743" s="401" t="str">
        <f t="shared" si="4992"/>
        <v>DE: PA fiber 1-10 mm (emission to air)</v>
      </c>
      <c r="H1743" s="465">
        <v>5.0000000000000001E-3</v>
      </c>
      <c r="I1743" s="394" t="s">
        <v>1163</v>
      </c>
      <c r="J1743" s="635"/>
      <c r="K1743" s="389">
        <v>292</v>
      </c>
      <c r="L1743" s="536"/>
      <c r="M1743" s="509">
        <f t="shared" si="4956"/>
        <v>8.5616438356164384</v>
      </c>
      <c r="N1743" s="646"/>
      <c r="O1743" s="626"/>
      <c r="P1743" s="629"/>
      <c r="Q1743" s="629"/>
    </row>
    <row r="1744" spans="1:17" ht="15.75" hidden="1" thickBot="1">
      <c r="A1744" s="404" t="str">
        <f t="shared" ref="A1744:B1744" si="4993">A1739</f>
        <v>PA</v>
      </c>
      <c r="B1744" s="402" t="str">
        <f t="shared" si="4993"/>
        <v>fiber</v>
      </c>
      <c r="C1744" s="391">
        <f t="shared" ref="C1744" si="4994">C1743</f>
        <v>4</v>
      </c>
      <c r="D1744" s="402" t="str">
        <f t="shared" ref="D1744:E1744" si="4995">D1739</f>
        <v>1-10</v>
      </c>
      <c r="E1744" s="402">
        <f t="shared" si="4995"/>
        <v>10</v>
      </c>
      <c r="F1744" s="391" t="str">
        <f t="shared" ref="F1744:G1744" si="4996">F1743</f>
        <v>air</v>
      </c>
      <c r="G1744" s="401" t="str">
        <f t="shared" si="4996"/>
        <v>DE: PA fiber 1-10 mm (emission to air)</v>
      </c>
      <c r="H1744" s="465">
        <v>0</v>
      </c>
      <c r="I1744" s="397" t="s">
        <v>1034</v>
      </c>
      <c r="J1744" s="636"/>
      <c r="K1744" s="398" t="s">
        <v>596</v>
      </c>
      <c r="L1744" s="538"/>
      <c r="M1744" s="509">
        <f t="shared" si="4956"/>
        <v>0</v>
      </c>
      <c r="N1744" s="647"/>
      <c r="O1744" s="627"/>
      <c r="P1744" s="629"/>
      <c r="Q1744" s="629"/>
    </row>
    <row r="1745" spans="1:17" ht="16.5" hidden="1" thickTop="1" thickBot="1">
      <c r="A1745" s="405" t="s">
        <v>188</v>
      </c>
      <c r="B1745" s="406" t="s">
        <v>1152</v>
      </c>
      <c r="C1745" s="407">
        <v>6</v>
      </c>
      <c r="D1745" s="423" t="s">
        <v>1018</v>
      </c>
      <c r="E1745" s="408">
        <v>0.1</v>
      </c>
      <c r="F1745" s="424" t="s">
        <v>1019</v>
      </c>
      <c r="G1745" s="410" t="str">
        <f>CONCATENATE("DE: ",A1745," ",B1745," ",D1745," mm (emission to ",F1745,")")</f>
        <v>DE: PA particle 0,01-0,1 mm (emission to soil)</v>
      </c>
      <c r="H1745" s="470">
        <v>0.97</v>
      </c>
      <c r="I1745" s="433" t="s">
        <v>1153</v>
      </c>
      <c r="J1745" s="632">
        <v>0.22800000000000001</v>
      </c>
      <c r="K1745" s="462">
        <v>292</v>
      </c>
      <c r="L1745" s="536"/>
      <c r="M1745" s="509">
        <f t="shared" si="4956"/>
        <v>4.2808219178082189E-2</v>
      </c>
      <c r="N1745" s="645">
        <f t="shared" ref="N1745" si="4997">IFERROR(H1745*M1745+H1746*M1746+H1747*M1747+H1748*M1748+H1749*M1749,"N.A.")</f>
        <v>4.2808219178082189E-2</v>
      </c>
      <c r="O1745" s="625"/>
      <c r="P1745" s="628">
        <f t="shared" si="4826"/>
        <v>4.2808219178082189E-2</v>
      </c>
      <c r="Q1745" s="628">
        <f t="shared" si="4939"/>
        <v>4.2808219178082189E-2</v>
      </c>
    </row>
    <row r="1746" spans="1:17" ht="15.75" hidden="1" thickBot="1">
      <c r="A1746" s="390" t="str">
        <f>A1745</f>
        <v>PA</v>
      </c>
      <c r="B1746" s="391" t="str">
        <f>B1745</f>
        <v>particle</v>
      </c>
      <c r="C1746" s="391">
        <f t="shared" ref="C1746:G1746" si="4998">C1745</f>
        <v>6</v>
      </c>
      <c r="D1746" s="391" t="str">
        <f t="shared" si="4998"/>
        <v>0,01-0,1</v>
      </c>
      <c r="E1746" s="391">
        <f t="shared" si="4998"/>
        <v>0.1</v>
      </c>
      <c r="F1746" s="391" t="str">
        <f t="shared" si="4998"/>
        <v>soil</v>
      </c>
      <c r="G1746" s="415" t="str">
        <f t="shared" si="4998"/>
        <v>DE: PA particle 0,01-0,1 mm (emission to soil)</v>
      </c>
      <c r="H1746" s="469">
        <v>0</v>
      </c>
      <c r="I1746" s="417" t="s">
        <v>1097</v>
      </c>
      <c r="J1746" s="632"/>
      <c r="K1746" s="418">
        <v>292</v>
      </c>
      <c r="L1746" s="537"/>
      <c r="M1746" s="509">
        <f t="shared" si="4956"/>
        <v>4.2808219178082189E-2</v>
      </c>
      <c r="N1746" s="646"/>
      <c r="O1746" s="626"/>
      <c r="P1746" s="629"/>
      <c r="Q1746" s="629"/>
    </row>
    <row r="1747" spans="1:17" ht="15.75" hidden="1" thickBot="1">
      <c r="A1747" s="390" t="str">
        <f t="shared" ref="A1747:G1747" si="4999">A1746</f>
        <v>PA</v>
      </c>
      <c r="B1747" s="391" t="str">
        <f t="shared" si="4999"/>
        <v>particle</v>
      </c>
      <c r="C1747" s="391">
        <f t="shared" si="4999"/>
        <v>6</v>
      </c>
      <c r="D1747" s="391" t="str">
        <f t="shared" si="4999"/>
        <v>0,01-0,1</v>
      </c>
      <c r="E1747" s="391">
        <f t="shared" si="4999"/>
        <v>0.1</v>
      </c>
      <c r="F1747" s="391" t="str">
        <f t="shared" si="4999"/>
        <v>soil</v>
      </c>
      <c r="G1747" s="415" t="str">
        <f t="shared" si="4999"/>
        <v>DE: PA particle 0,01-0,1 mm (emission to soil)</v>
      </c>
      <c r="H1747" s="469">
        <v>2.7E-2</v>
      </c>
      <c r="I1747" s="417" t="s">
        <v>1162</v>
      </c>
      <c r="J1747" s="632"/>
      <c r="K1747" s="418">
        <v>292</v>
      </c>
      <c r="L1747" s="537"/>
      <c r="M1747" s="509">
        <f t="shared" si="4956"/>
        <v>4.2808219178082189E-2</v>
      </c>
      <c r="N1747" s="646"/>
      <c r="O1747" s="626"/>
      <c r="P1747" s="629"/>
      <c r="Q1747" s="629"/>
    </row>
    <row r="1748" spans="1:17" ht="15.75" hidden="1" thickBot="1">
      <c r="A1748" s="390" t="str">
        <f t="shared" ref="A1748:G1748" si="5000">A1747</f>
        <v>PA</v>
      </c>
      <c r="B1748" s="391" t="str">
        <f t="shared" si="5000"/>
        <v>particle</v>
      </c>
      <c r="C1748" s="391">
        <f t="shared" si="5000"/>
        <v>6</v>
      </c>
      <c r="D1748" s="391" t="str">
        <f t="shared" si="5000"/>
        <v>0,01-0,1</v>
      </c>
      <c r="E1748" s="391">
        <f t="shared" si="5000"/>
        <v>0.1</v>
      </c>
      <c r="F1748" s="391" t="str">
        <f t="shared" si="5000"/>
        <v>soil</v>
      </c>
      <c r="G1748" s="415" t="str">
        <f t="shared" si="5000"/>
        <v>DE: PA particle 0,01-0,1 mm (emission to soil)</v>
      </c>
      <c r="H1748" s="469">
        <v>3.0000000000000001E-3</v>
      </c>
      <c r="I1748" s="417" t="s">
        <v>1163</v>
      </c>
      <c r="J1748" s="632"/>
      <c r="K1748" s="418">
        <v>292</v>
      </c>
      <c r="L1748" s="537"/>
      <c r="M1748" s="509">
        <f t="shared" si="4956"/>
        <v>4.2808219178082189E-2</v>
      </c>
      <c r="N1748" s="646"/>
      <c r="O1748" s="626"/>
      <c r="P1748" s="629"/>
      <c r="Q1748" s="629"/>
    </row>
    <row r="1749" spans="1:17" ht="15.75" hidden="1" thickBot="1">
      <c r="A1749" s="390" t="str">
        <f>A1746</f>
        <v>PA</v>
      </c>
      <c r="B1749" s="391" t="str">
        <f>B1746</f>
        <v>particle</v>
      </c>
      <c r="C1749" s="391">
        <f t="shared" ref="C1749" si="5001">C1748</f>
        <v>6</v>
      </c>
      <c r="D1749" s="391" t="str">
        <f>D1746</f>
        <v>0,01-0,1</v>
      </c>
      <c r="E1749" s="391">
        <f>E1746</f>
        <v>0.1</v>
      </c>
      <c r="F1749" s="391" t="str">
        <f>F1746</f>
        <v>soil</v>
      </c>
      <c r="G1749" s="419" t="str">
        <f t="shared" ref="G1749" si="5002">G1748</f>
        <v>DE: PA particle 0,01-0,1 mm (emission to soil)</v>
      </c>
      <c r="H1749" s="469">
        <v>0</v>
      </c>
      <c r="I1749" s="420" t="s">
        <v>1034</v>
      </c>
      <c r="J1749" s="633"/>
      <c r="K1749" s="421" t="s">
        <v>596</v>
      </c>
      <c r="L1749" s="538"/>
      <c r="M1749" s="509">
        <f t="shared" si="4956"/>
        <v>0</v>
      </c>
      <c r="N1749" s="647"/>
      <c r="O1749" s="627"/>
      <c r="P1749" s="629"/>
      <c r="Q1749" s="629"/>
    </row>
    <row r="1750" spans="1:17" ht="15.75" hidden="1" thickBot="1">
      <c r="A1750" s="390" t="str">
        <f t="shared" ref="A1750:B1750" si="5003">A1747</f>
        <v>PA</v>
      </c>
      <c r="B1750" s="391" t="str">
        <f t="shared" si="5003"/>
        <v>particle</v>
      </c>
      <c r="C1750" s="391">
        <f t="shared" ref="C1750" si="5004">C1749</f>
        <v>6</v>
      </c>
      <c r="D1750" s="399" t="str">
        <f t="shared" ref="D1750:E1750" si="5005">D1747</f>
        <v>0,01-0,1</v>
      </c>
      <c r="E1750" s="391">
        <f t="shared" si="5005"/>
        <v>0.1</v>
      </c>
      <c r="F1750" s="400" t="s">
        <v>1147</v>
      </c>
      <c r="G1750" s="386" t="str">
        <f>CONCATENATE("DE: ",A1750," ",B1750," ",D1750," mm (emission to ",F1750,")")</f>
        <v>DE: PA particle 0,01-0,1 mm (emission to fresh water)</v>
      </c>
      <c r="H1750" s="466">
        <v>0</v>
      </c>
      <c r="I1750" s="388" t="s">
        <v>1153</v>
      </c>
      <c r="J1750" s="634">
        <v>0.22800000000000001</v>
      </c>
      <c r="K1750" s="389">
        <v>292</v>
      </c>
      <c r="L1750" s="536"/>
      <c r="M1750" s="509">
        <f t="shared" si="4956"/>
        <v>4.2808219178082189E-2</v>
      </c>
      <c r="N1750" s="645">
        <f t="shared" ref="N1750" si="5006">IFERROR(H1750*M1750+H1751*M1751+H1752*M1752+H1753*M1753+H1754*M1754,"N.A.")</f>
        <v>4.2808219178082189E-2</v>
      </c>
      <c r="O1750" s="625"/>
      <c r="P1750" s="628">
        <f t="shared" si="4826"/>
        <v>4.2808219178082189E-2</v>
      </c>
      <c r="Q1750" s="628">
        <f t="shared" si="4939"/>
        <v>4.2808219178082189E-2</v>
      </c>
    </row>
    <row r="1751" spans="1:17" ht="15.75" hidden="1" thickBot="1">
      <c r="A1751" s="390" t="str">
        <f t="shared" ref="A1751:B1751" si="5007">A1748</f>
        <v>PA</v>
      </c>
      <c r="B1751" s="391" t="str">
        <f t="shared" si="5007"/>
        <v>particle</v>
      </c>
      <c r="C1751" s="391">
        <f t="shared" ref="C1751" si="5008">C1750</f>
        <v>6</v>
      </c>
      <c r="D1751" s="391" t="str">
        <f t="shared" ref="D1751:E1751" si="5009">D1748</f>
        <v>0,01-0,1</v>
      </c>
      <c r="E1751" s="391">
        <f t="shared" si="5009"/>
        <v>0.1</v>
      </c>
      <c r="F1751" s="391" t="str">
        <f t="shared" ref="F1751:G1751" si="5010">F1750</f>
        <v>fresh water</v>
      </c>
      <c r="G1751" s="401" t="str">
        <f t="shared" si="5010"/>
        <v>DE: PA particle 0,01-0,1 mm (emission to fresh water)</v>
      </c>
      <c r="H1751" s="465">
        <v>0</v>
      </c>
      <c r="I1751" s="394" t="s">
        <v>1097</v>
      </c>
      <c r="J1751" s="635"/>
      <c r="K1751" s="389">
        <v>292</v>
      </c>
      <c r="L1751" s="536"/>
      <c r="M1751" s="509">
        <f t="shared" si="4956"/>
        <v>4.2808219178082189E-2</v>
      </c>
      <c r="N1751" s="646"/>
      <c r="O1751" s="626"/>
      <c r="P1751" s="629"/>
      <c r="Q1751" s="629"/>
    </row>
    <row r="1752" spans="1:17" ht="15.75" hidden="1" thickBot="1">
      <c r="A1752" s="390" t="str">
        <f t="shared" ref="A1752:B1752" si="5011">A1749</f>
        <v>PA</v>
      </c>
      <c r="B1752" s="391" t="str">
        <f t="shared" si="5011"/>
        <v>particle</v>
      </c>
      <c r="C1752" s="391">
        <f t="shared" ref="C1752" si="5012">C1751</f>
        <v>6</v>
      </c>
      <c r="D1752" s="391" t="str">
        <f t="shared" ref="D1752:E1752" si="5013">D1749</f>
        <v>0,01-0,1</v>
      </c>
      <c r="E1752" s="391">
        <f t="shared" si="5013"/>
        <v>0.1</v>
      </c>
      <c r="F1752" s="391" t="str">
        <f t="shared" ref="F1752:G1752" si="5014">F1751</f>
        <v>fresh water</v>
      </c>
      <c r="G1752" s="401" t="str">
        <f t="shared" si="5014"/>
        <v>DE: PA particle 0,01-0,1 mm (emission to fresh water)</v>
      </c>
      <c r="H1752" s="465">
        <v>0.89</v>
      </c>
      <c r="I1752" s="394" t="s">
        <v>1162</v>
      </c>
      <c r="J1752" s="635"/>
      <c r="K1752" s="389">
        <v>292</v>
      </c>
      <c r="L1752" s="536"/>
      <c r="M1752" s="509">
        <f t="shared" si="4956"/>
        <v>4.2808219178082189E-2</v>
      </c>
      <c r="N1752" s="646"/>
      <c r="O1752" s="626"/>
      <c r="P1752" s="629"/>
      <c r="Q1752" s="629"/>
    </row>
    <row r="1753" spans="1:17" ht="15.75" hidden="1" thickBot="1">
      <c r="A1753" s="390" t="str">
        <f t="shared" ref="A1753:B1753" si="5015">A1750</f>
        <v>PA</v>
      </c>
      <c r="B1753" s="391" t="str">
        <f t="shared" si="5015"/>
        <v>particle</v>
      </c>
      <c r="C1753" s="391">
        <f t="shared" ref="C1753" si="5016">C1752</f>
        <v>6</v>
      </c>
      <c r="D1753" s="391" t="str">
        <f t="shared" ref="D1753:E1753" si="5017">D1750</f>
        <v>0,01-0,1</v>
      </c>
      <c r="E1753" s="391">
        <f t="shared" si="5017"/>
        <v>0.1</v>
      </c>
      <c r="F1753" s="391" t="str">
        <f t="shared" ref="F1753:G1753" si="5018">F1752</f>
        <v>fresh water</v>
      </c>
      <c r="G1753" s="401" t="str">
        <f t="shared" si="5018"/>
        <v>DE: PA particle 0,01-0,1 mm (emission to fresh water)</v>
      </c>
      <c r="H1753" s="465">
        <v>0.11</v>
      </c>
      <c r="I1753" s="394" t="s">
        <v>1163</v>
      </c>
      <c r="J1753" s="635"/>
      <c r="K1753" s="389">
        <v>292</v>
      </c>
      <c r="L1753" s="536"/>
      <c r="M1753" s="509">
        <f t="shared" si="4956"/>
        <v>4.2808219178082189E-2</v>
      </c>
      <c r="N1753" s="646"/>
      <c r="O1753" s="626"/>
      <c r="P1753" s="629"/>
      <c r="Q1753" s="629"/>
    </row>
    <row r="1754" spans="1:17" ht="15.75" hidden="1" thickBot="1">
      <c r="A1754" s="390" t="str">
        <f t="shared" ref="A1754:B1754" si="5019">A1751</f>
        <v>PA</v>
      </c>
      <c r="B1754" s="391" t="str">
        <f t="shared" si="5019"/>
        <v>particle</v>
      </c>
      <c r="C1754" s="391">
        <f t="shared" ref="C1754" si="5020">C1753</f>
        <v>6</v>
      </c>
      <c r="D1754" s="391" t="str">
        <f t="shared" ref="D1754:E1754" si="5021">D1751</f>
        <v>0,01-0,1</v>
      </c>
      <c r="E1754" s="391">
        <f t="shared" si="5021"/>
        <v>0.1</v>
      </c>
      <c r="F1754" s="402" t="str">
        <f>F1751</f>
        <v>fresh water</v>
      </c>
      <c r="G1754" s="401" t="str">
        <f t="shared" ref="G1754" si="5022">G1753</f>
        <v>DE: PA particle 0,01-0,1 mm (emission to fresh water)</v>
      </c>
      <c r="H1754" s="465">
        <v>0</v>
      </c>
      <c r="I1754" s="397" t="s">
        <v>1034</v>
      </c>
      <c r="J1754" s="654"/>
      <c r="K1754" s="398" t="s">
        <v>596</v>
      </c>
      <c r="L1754" s="538"/>
      <c r="M1754" s="509">
        <f t="shared" si="4956"/>
        <v>0</v>
      </c>
      <c r="N1754" s="647"/>
      <c r="O1754" s="627"/>
      <c r="P1754" s="629"/>
      <c r="Q1754" s="629"/>
    </row>
    <row r="1755" spans="1:17" ht="15.75" hidden="1" thickBot="1">
      <c r="A1755" s="390" t="str">
        <f t="shared" ref="A1755:B1755" si="5023">A1752</f>
        <v>PA</v>
      </c>
      <c r="B1755" s="391" t="str">
        <f t="shared" si="5023"/>
        <v>particle</v>
      </c>
      <c r="C1755" s="391">
        <f t="shared" ref="C1755" si="5024">C1754</f>
        <v>6</v>
      </c>
      <c r="D1755" s="391" t="str">
        <f t="shared" ref="D1755:E1755" si="5025">D1752</f>
        <v>0,01-0,1</v>
      </c>
      <c r="E1755" s="391">
        <f t="shared" si="5025"/>
        <v>0.1</v>
      </c>
      <c r="F1755" s="385" t="s">
        <v>1097</v>
      </c>
      <c r="G1755" s="422" t="str">
        <f>CONCATENATE("DE: ",A1755," ",B1755," ",D1755," mm (emission to ",F1755,")")</f>
        <v>DE: PA particle 0,01-0,1 mm (emission to marine water)</v>
      </c>
      <c r="H1755" s="467">
        <v>0</v>
      </c>
      <c r="I1755" s="388" t="s">
        <v>1153</v>
      </c>
      <c r="J1755" s="634">
        <v>0.22800000000000001</v>
      </c>
      <c r="K1755" s="389">
        <v>292</v>
      </c>
      <c r="L1755" s="536"/>
      <c r="M1755" s="509">
        <f t="shared" si="4956"/>
        <v>4.2808219178082189E-2</v>
      </c>
      <c r="N1755" s="645">
        <f t="shared" ref="N1755" si="5026">IFERROR(H1755*M1755+H1756*M1756+H1757*M1757+H1758*M1758+H1759*M1759,"N.A.")</f>
        <v>4.2808219178082189E-2</v>
      </c>
      <c r="O1755" s="625"/>
      <c r="P1755" s="628">
        <f t="shared" si="4826"/>
        <v>4.2808219178082189E-2</v>
      </c>
      <c r="Q1755" s="628">
        <f t="shared" si="4939"/>
        <v>4.2808219178082189E-2</v>
      </c>
    </row>
    <row r="1756" spans="1:17" ht="15.75" hidden="1" thickBot="1">
      <c r="A1756" s="390" t="str">
        <f t="shared" ref="A1756:B1756" si="5027">A1753</f>
        <v>PA</v>
      </c>
      <c r="B1756" s="391" t="str">
        <f t="shared" si="5027"/>
        <v>particle</v>
      </c>
      <c r="C1756" s="391">
        <f t="shared" ref="C1756" si="5028">C1755</f>
        <v>6</v>
      </c>
      <c r="D1756" s="391" t="str">
        <f t="shared" ref="D1756:E1756" si="5029">D1753</f>
        <v>0,01-0,1</v>
      </c>
      <c r="E1756" s="391">
        <f t="shared" si="5029"/>
        <v>0.1</v>
      </c>
      <c r="F1756" s="391" t="str">
        <f t="shared" ref="F1756:G1756" si="5030">F1755</f>
        <v>marine water</v>
      </c>
      <c r="G1756" s="401" t="str">
        <f t="shared" si="5030"/>
        <v>DE: PA particle 0,01-0,1 mm (emission to marine water)</v>
      </c>
      <c r="H1756" s="465">
        <v>0</v>
      </c>
      <c r="I1756" s="394" t="s">
        <v>1097</v>
      </c>
      <c r="J1756" s="635"/>
      <c r="K1756" s="389">
        <v>292</v>
      </c>
      <c r="L1756" s="536"/>
      <c r="M1756" s="509">
        <f t="shared" si="4956"/>
        <v>4.2808219178082189E-2</v>
      </c>
      <c r="N1756" s="646"/>
      <c r="O1756" s="626"/>
      <c r="P1756" s="629"/>
      <c r="Q1756" s="629"/>
    </row>
    <row r="1757" spans="1:17" ht="15.75" hidden="1" thickBot="1">
      <c r="A1757" s="390" t="str">
        <f t="shared" ref="A1757:B1757" si="5031">A1754</f>
        <v>PA</v>
      </c>
      <c r="B1757" s="391" t="str">
        <f t="shared" si="5031"/>
        <v>particle</v>
      </c>
      <c r="C1757" s="391">
        <f t="shared" ref="C1757" si="5032">C1756</f>
        <v>6</v>
      </c>
      <c r="D1757" s="391" t="str">
        <f t="shared" ref="D1757:E1757" si="5033">D1754</f>
        <v>0,01-0,1</v>
      </c>
      <c r="E1757" s="391">
        <f t="shared" si="5033"/>
        <v>0.1</v>
      </c>
      <c r="F1757" s="391" t="str">
        <f t="shared" ref="F1757:G1757" si="5034">F1756</f>
        <v>marine water</v>
      </c>
      <c r="G1757" s="401" t="str">
        <f t="shared" si="5034"/>
        <v>DE: PA particle 0,01-0,1 mm (emission to marine water)</v>
      </c>
      <c r="H1757" s="465">
        <v>0</v>
      </c>
      <c r="I1757" s="394" t="s">
        <v>1162</v>
      </c>
      <c r="J1757" s="635"/>
      <c r="K1757" s="389">
        <v>292</v>
      </c>
      <c r="L1757" s="536"/>
      <c r="M1757" s="509">
        <f t="shared" si="4956"/>
        <v>4.2808219178082189E-2</v>
      </c>
      <c r="N1757" s="646"/>
      <c r="O1757" s="626"/>
      <c r="P1757" s="629"/>
      <c r="Q1757" s="629"/>
    </row>
    <row r="1758" spans="1:17" ht="15.75" hidden="1" thickBot="1">
      <c r="A1758" s="390" t="str">
        <f t="shared" ref="A1758:B1758" si="5035">A1755</f>
        <v>PA</v>
      </c>
      <c r="B1758" s="391" t="str">
        <f t="shared" si="5035"/>
        <v>particle</v>
      </c>
      <c r="C1758" s="391">
        <f t="shared" ref="C1758" si="5036">C1757</f>
        <v>6</v>
      </c>
      <c r="D1758" s="391" t="str">
        <f t="shared" ref="D1758:E1758" si="5037">D1755</f>
        <v>0,01-0,1</v>
      </c>
      <c r="E1758" s="391">
        <f t="shared" si="5037"/>
        <v>0.1</v>
      </c>
      <c r="F1758" s="391" t="str">
        <f t="shared" ref="F1758:G1758" si="5038">F1757</f>
        <v>marine water</v>
      </c>
      <c r="G1758" s="401" t="str">
        <f t="shared" si="5038"/>
        <v>DE: PA particle 0,01-0,1 mm (emission to marine water)</v>
      </c>
      <c r="H1758" s="465">
        <v>1</v>
      </c>
      <c r="I1758" s="394" t="s">
        <v>1163</v>
      </c>
      <c r="J1758" s="635"/>
      <c r="K1758" s="389">
        <v>292</v>
      </c>
      <c r="L1758" s="536"/>
      <c r="M1758" s="509">
        <f t="shared" si="4956"/>
        <v>4.2808219178082189E-2</v>
      </c>
      <c r="N1758" s="646"/>
      <c r="O1758" s="626"/>
      <c r="P1758" s="629"/>
      <c r="Q1758" s="629"/>
    </row>
    <row r="1759" spans="1:17" ht="15.75" hidden="1" thickBot="1">
      <c r="A1759" s="390" t="str">
        <f t="shared" ref="A1759:B1759" si="5039">A1756</f>
        <v>PA</v>
      </c>
      <c r="B1759" s="391" t="str">
        <f t="shared" si="5039"/>
        <v>particle</v>
      </c>
      <c r="C1759" s="391">
        <f t="shared" ref="C1759" si="5040">C1758</f>
        <v>6</v>
      </c>
      <c r="D1759" s="391" t="str">
        <f t="shared" ref="D1759:E1759" si="5041">D1756</f>
        <v>0,01-0,1</v>
      </c>
      <c r="E1759" s="391">
        <f t="shared" si="5041"/>
        <v>0.1</v>
      </c>
      <c r="F1759" s="391" t="str">
        <f t="shared" ref="F1759:G1759" si="5042">F1758</f>
        <v>marine water</v>
      </c>
      <c r="G1759" s="401" t="str">
        <f t="shared" si="5042"/>
        <v>DE: PA particle 0,01-0,1 mm (emission to marine water)</v>
      </c>
      <c r="H1759" s="465">
        <v>0</v>
      </c>
      <c r="I1759" s="397" t="s">
        <v>1034</v>
      </c>
      <c r="J1759" s="654"/>
      <c r="K1759" s="398" t="s">
        <v>596</v>
      </c>
      <c r="L1759" s="538"/>
      <c r="M1759" s="509">
        <f t="shared" si="4956"/>
        <v>0</v>
      </c>
      <c r="N1759" s="647"/>
      <c r="O1759" s="627"/>
      <c r="P1759" s="629"/>
      <c r="Q1759" s="629"/>
    </row>
    <row r="1760" spans="1:17" ht="15.75" hidden="1" thickBot="1">
      <c r="A1760" s="390" t="str">
        <f t="shared" ref="A1760:B1760" si="5043">A1757</f>
        <v>PA</v>
      </c>
      <c r="B1760" s="391" t="str">
        <f t="shared" si="5043"/>
        <v>particle</v>
      </c>
      <c r="C1760" s="391">
        <f t="shared" ref="C1760" si="5044">C1759</f>
        <v>6</v>
      </c>
      <c r="D1760" s="391" t="str">
        <f t="shared" ref="D1760:E1760" si="5045">D1757</f>
        <v>0,01-0,1</v>
      </c>
      <c r="E1760" s="391">
        <f t="shared" si="5045"/>
        <v>0.1</v>
      </c>
      <c r="F1760" s="400" t="s">
        <v>1057</v>
      </c>
      <c r="G1760" s="422" t="str">
        <f>CONCATENATE("DE: ",A1760," ",B1760," ",D1760," mm (emission to ",F1760,")")</f>
        <v>DE: PA particle 0,01-0,1 mm (emission to air)</v>
      </c>
      <c r="H1760" s="467">
        <v>0.94799999999999995</v>
      </c>
      <c r="I1760" s="388" t="s">
        <v>1153</v>
      </c>
      <c r="J1760" s="634">
        <v>0.22800000000000001</v>
      </c>
      <c r="K1760" s="389">
        <v>292</v>
      </c>
      <c r="L1760" s="536"/>
      <c r="M1760" s="509">
        <f t="shared" si="4956"/>
        <v>4.2808219178082189E-2</v>
      </c>
      <c r="N1760" s="645">
        <f t="shared" ref="N1760" si="5046">IFERROR(H1760*M1760+H1761*M1761+H1762*M1762+H1763*M1763+H1764*M1764,"N.A.")</f>
        <v>4.2808219178082182E-2</v>
      </c>
      <c r="O1760" s="625"/>
      <c r="P1760" s="628">
        <f t="shared" ref="P1760:P1820" si="5047">IFERROR(IF(H1760*M1760+H1761*M1761+H1762*M1762+H1763*M1763+H1764*M1764&gt;100,100,H1760*M1760+H1761*M1761+H1762*M1762+H1763*M1763+H1764*M1764),"N.A.")</f>
        <v>4.2808219178082182E-2</v>
      </c>
      <c r="Q1760" s="628">
        <f t="shared" si="4939"/>
        <v>4.2808219178082182E-2</v>
      </c>
    </row>
    <row r="1761" spans="1:17" ht="15.75" hidden="1" thickBot="1">
      <c r="A1761" s="390" t="str">
        <f t="shared" ref="A1761:B1761" si="5048">A1758</f>
        <v>PA</v>
      </c>
      <c r="B1761" s="391" t="str">
        <f t="shared" si="5048"/>
        <v>particle</v>
      </c>
      <c r="C1761" s="391">
        <f t="shared" ref="C1761" si="5049">C1760</f>
        <v>6</v>
      </c>
      <c r="D1761" s="391" t="str">
        <f t="shared" ref="D1761:E1761" si="5050">D1758</f>
        <v>0,01-0,1</v>
      </c>
      <c r="E1761" s="391">
        <f t="shared" si="5050"/>
        <v>0.1</v>
      </c>
      <c r="F1761" s="391" t="str">
        <f t="shared" ref="F1761:G1761" si="5051">F1760</f>
        <v>air</v>
      </c>
      <c r="G1761" s="401" t="str">
        <f t="shared" si="5051"/>
        <v>DE: PA particle 0,01-0,1 mm (emission to air)</v>
      </c>
      <c r="H1761" s="465">
        <v>0</v>
      </c>
      <c r="I1761" s="394" t="s">
        <v>1097</v>
      </c>
      <c r="J1761" s="635"/>
      <c r="K1761" s="389">
        <v>292</v>
      </c>
      <c r="L1761" s="536"/>
      <c r="M1761" s="509">
        <f t="shared" si="4956"/>
        <v>4.2808219178082189E-2</v>
      </c>
      <c r="N1761" s="646"/>
      <c r="O1761" s="626"/>
      <c r="P1761" s="629"/>
      <c r="Q1761" s="629"/>
    </row>
    <row r="1762" spans="1:17" ht="15.75" hidden="1" thickBot="1">
      <c r="A1762" s="390" t="str">
        <f t="shared" ref="A1762:B1762" si="5052">A1759</f>
        <v>PA</v>
      </c>
      <c r="B1762" s="391" t="str">
        <f t="shared" si="5052"/>
        <v>particle</v>
      </c>
      <c r="C1762" s="391">
        <f t="shared" ref="C1762" si="5053">C1761</f>
        <v>6</v>
      </c>
      <c r="D1762" s="391" t="str">
        <f t="shared" ref="D1762:E1762" si="5054">D1759</f>
        <v>0,01-0,1</v>
      </c>
      <c r="E1762" s="391">
        <f t="shared" si="5054"/>
        <v>0.1</v>
      </c>
      <c r="F1762" s="391" t="str">
        <f t="shared" ref="F1762:G1762" si="5055">F1761</f>
        <v>air</v>
      </c>
      <c r="G1762" s="401" t="str">
        <f t="shared" si="5055"/>
        <v>DE: PA particle 0,01-0,1 mm (emission to air)</v>
      </c>
      <c r="H1762" s="465">
        <v>4.7E-2</v>
      </c>
      <c r="I1762" s="394" t="s">
        <v>1162</v>
      </c>
      <c r="J1762" s="635"/>
      <c r="K1762" s="389">
        <v>292</v>
      </c>
      <c r="L1762" s="536"/>
      <c r="M1762" s="509">
        <f t="shared" si="4956"/>
        <v>4.2808219178082189E-2</v>
      </c>
      <c r="N1762" s="646"/>
      <c r="O1762" s="626"/>
      <c r="P1762" s="629"/>
      <c r="Q1762" s="629"/>
    </row>
    <row r="1763" spans="1:17" ht="15.75" hidden="1" thickBot="1">
      <c r="A1763" s="390" t="str">
        <f t="shared" ref="A1763:B1763" si="5056">A1760</f>
        <v>PA</v>
      </c>
      <c r="B1763" s="391" t="str">
        <f t="shared" si="5056"/>
        <v>particle</v>
      </c>
      <c r="C1763" s="391">
        <f t="shared" ref="C1763" si="5057">C1762</f>
        <v>6</v>
      </c>
      <c r="D1763" s="391" t="str">
        <f t="shared" ref="D1763:E1763" si="5058">D1760</f>
        <v>0,01-0,1</v>
      </c>
      <c r="E1763" s="391">
        <f t="shared" si="5058"/>
        <v>0.1</v>
      </c>
      <c r="F1763" s="391" t="str">
        <f t="shared" ref="F1763:G1763" si="5059">F1762</f>
        <v>air</v>
      </c>
      <c r="G1763" s="401" t="str">
        <f t="shared" si="5059"/>
        <v>DE: PA particle 0,01-0,1 mm (emission to air)</v>
      </c>
      <c r="H1763" s="465">
        <v>5.0000000000000001E-3</v>
      </c>
      <c r="I1763" s="394" t="s">
        <v>1163</v>
      </c>
      <c r="J1763" s="635"/>
      <c r="K1763" s="389">
        <v>292</v>
      </c>
      <c r="L1763" s="536"/>
      <c r="M1763" s="509">
        <f t="shared" si="4956"/>
        <v>4.2808219178082189E-2</v>
      </c>
      <c r="N1763" s="646"/>
      <c r="O1763" s="626"/>
      <c r="P1763" s="629"/>
      <c r="Q1763" s="629"/>
    </row>
    <row r="1764" spans="1:17" ht="15.75" hidden="1" thickBot="1">
      <c r="A1764" s="404" t="str">
        <f t="shared" ref="A1764:B1764" si="5060">A1759</f>
        <v>PA</v>
      </c>
      <c r="B1764" s="402" t="str">
        <f t="shared" si="5060"/>
        <v>particle</v>
      </c>
      <c r="C1764" s="391">
        <f t="shared" ref="C1764" si="5061">C1763</f>
        <v>6</v>
      </c>
      <c r="D1764" s="402" t="str">
        <f t="shared" ref="D1764:E1764" si="5062">D1759</f>
        <v>0,01-0,1</v>
      </c>
      <c r="E1764" s="402">
        <f t="shared" si="5062"/>
        <v>0.1</v>
      </c>
      <c r="F1764" s="391" t="str">
        <f t="shared" ref="F1764:G1764" si="5063">F1763</f>
        <v>air</v>
      </c>
      <c r="G1764" s="401" t="str">
        <f t="shared" si="5063"/>
        <v>DE: PA particle 0,01-0,1 mm (emission to air)</v>
      </c>
      <c r="H1764" s="465">
        <v>0</v>
      </c>
      <c r="I1764" s="394" t="s">
        <v>1034</v>
      </c>
      <c r="J1764" s="636"/>
      <c r="K1764" s="398" t="s">
        <v>596</v>
      </c>
      <c r="L1764" s="538"/>
      <c r="M1764" s="509">
        <f t="shared" si="4956"/>
        <v>0</v>
      </c>
      <c r="N1764" s="647"/>
      <c r="O1764" s="627"/>
      <c r="P1764" s="629"/>
      <c r="Q1764" s="629"/>
    </row>
    <row r="1765" spans="1:17" ht="16.5" hidden="1" thickTop="1" thickBot="1">
      <c r="A1765" s="405" t="s">
        <v>188</v>
      </c>
      <c r="B1765" s="406" t="s">
        <v>1152</v>
      </c>
      <c r="C1765" s="407">
        <v>6</v>
      </c>
      <c r="D1765" s="423" t="s">
        <v>1028</v>
      </c>
      <c r="E1765" s="408">
        <v>1</v>
      </c>
      <c r="F1765" s="424" t="s">
        <v>1019</v>
      </c>
      <c r="G1765" s="425" t="str">
        <f>CONCATENATE("DE: ",A1765," ",B1765," ",D1765," mm (emission to ",F1765,")")</f>
        <v>DE: PA particle 0,1-1 mm (emission to soil)</v>
      </c>
      <c r="H1765" s="464">
        <v>0.97</v>
      </c>
      <c r="I1765" s="427" t="s">
        <v>1153</v>
      </c>
      <c r="J1765" s="632">
        <v>0.22800000000000001</v>
      </c>
      <c r="K1765" s="449">
        <v>292</v>
      </c>
      <c r="L1765" s="536"/>
      <c r="M1765" s="509">
        <f t="shared" si="4956"/>
        <v>0.42808219178082191</v>
      </c>
      <c r="N1765" s="645">
        <f t="shared" ref="N1765" si="5064">IFERROR(H1765*M1765+H1766*M1766+H1767*M1767+H1768*M1768+H1769*M1769,"N.A.")</f>
        <v>0.42808219178082191</v>
      </c>
      <c r="O1765" s="625"/>
      <c r="P1765" s="628">
        <f t="shared" si="5047"/>
        <v>0.42808219178082191</v>
      </c>
      <c r="Q1765" s="628">
        <f t="shared" si="4939"/>
        <v>0.42808219178082191</v>
      </c>
    </row>
    <row r="1766" spans="1:17" ht="15.75" hidden="1" thickBot="1">
      <c r="A1766" s="390" t="str">
        <f>A1765</f>
        <v>PA</v>
      </c>
      <c r="B1766" s="391" t="str">
        <f>B1765</f>
        <v>particle</v>
      </c>
      <c r="C1766" s="391">
        <f t="shared" ref="C1766:G1766" si="5065">C1765</f>
        <v>6</v>
      </c>
      <c r="D1766" s="391" t="str">
        <f t="shared" si="5065"/>
        <v>0,1-1</v>
      </c>
      <c r="E1766" s="391">
        <f t="shared" si="5065"/>
        <v>1</v>
      </c>
      <c r="F1766" s="391" t="str">
        <f t="shared" si="5065"/>
        <v>soil</v>
      </c>
      <c r="G1766" s="392" t="str">
        <f t="shared" si="5065"/>
        <v>DE: PA particle 0,1-1 mm (emission to soil)</v>
      </c>
      <c r="H1766" s="465">
        <v>0</v>
      </c>
      <c r="I1766" s="394" t="s">
        <v>1097</v>
      </c>
      <c r="J1766" s="632"/>
      <c r="K1766" s="395">
        <v>292</v>
      </c>
      <c r="L1766" s="537"/>
      <c r="M1766" s="509">
        <f t="shared" si="4956"/>
        <v>0.42808219178082191</v>
      </c>
      <c r="N1766" s="646"/>
      <c r="O1766" s="626"/>
      <c r="P1766" s="629"/>
      <c r="Q1766" s="629"/>
    </row>
    <row r="1767" spans="1:17" ht="15.75" hidden="1" thickBot="1">
      <c r="A1767" s="390" t="str">
        <f t="shared" ref="A1767:G1767" si="5066">A1766</f>
        <v>PA</v>
      </c>
      <c r="B1767" s="391" t="str">
        <f t="shared" si="5066"/>
        <v>particle</v>
      </c>
      <c r="C1767" s="391">
        <f t="shared" si="5066"/>
        <v>6</v>
      </c>
      <c r="D1767" s="391" t="str">
        <f t="shared" si="5066"/>
        <v>0,1-1</v>
      </c>
      <c r="E1767" s="391">
        <f t="shared" si="5066"/>
        <v>1</v>
      </c>
      <c r="F1767" s="391" t="str">
        <f t="shared" si="5066"/>
        <v>soil</v>
      </c>
      <c r="G1767" s="392" t="str">
        <f t="shared" si="5066"/>
        <v>DE: PA particle 0,1-1 mm (emission to soil)</v>
      </c>
      <c r="H1767" s="465">
        <v>2.7E-2</v>
      </c>
      <c r="I1767" s="394" t="s">
        <v>1162</v>
      </c>
      <c r="J1767" s="632"/>
      <c r="K1767" s="395">
        <v>292</v>
      </c>
      <c r="L1767" s="537"/>
      <c r="M1767" s="509">
        <f t="shared" si="4956"/>
        <v>0.42808219178082191</v>
      </c>
      <c r="N1767" s="646"/>
      <c r="O1767" s="626"/>
      <c r="P1767" s="629"/>
      <c r="Q1767" s="629"/>
    </row>
    <row r="1768" spans="1:17" ht="15.75" hidden="1" thickBot="1">
      <c r="A1768" s="390" t="str">
        <f t="shared" ref="A1768:G1768" si="5067">A1767</f>
        <v>PA</v>
      </c>
      <c r="B1768" s="391" t="str">
        <f t="shared" si="5067"/>
        <v>particle</v>
      </c>
      <c r="C1768" s="391">
        <f t="shared" si="5067"/>
        <v>6</v>
      </c>
      <c r="D1768" s="391" t="str">
        <f t="shared" si="5067"/>
        <v>0,1-1</v>
      </c>
      <c r="E1768" s="391">
        <f t="shared" si="5067"/>
        <v>1</v>
      </c>
      <c r="F1768" s="391" t="str">
        <f t="shared" si="5067"/>
        <v>soil</v>
      </c>
      <c r="G1768" s="392" t="str">
        <f t="shared" si="5067"/>
        <v>DE: PA particle 0,1-1 mm (emission to soil)</v>
      </c>
      <c r="H1768" s="465">
        <v>3.0000000000000001E-3</v>
      </c>
      <c r="I1768" s="394" t="s">
        <v>1163</v>
      </c>
      <c r="J1768" s="632"/>
      <c r="K1768" s="395">
        <v>292</v>
      </c>
      <c r="L1768" s="537"/>
      <c r="M1768" s="509">
        <f t="shared" si="4956"/>
        <v>0.42808219178082191</v>
      </c>
      <c r="N1768" s="646"/>
      <c r="O1768" s="626"/>
      <c r="P1768" s="629"/>
      <c r="Q1768" s="629"/>
    </row>
    <row r="1769" spans="1:17" ht="15.75" hidden="1" thickBot="1">
      <c r="A1769" s="390" t="str">
        <f>A1766</f>
        <v>PA</v>
      </c>
      <c r="B1769" s="391" t="str">
        <f>B1766</f>
        <v>particle</v>
      </c>
      <c r="C1769" s="391">
        <f t="shared" ref="C1769" si="5068">C1768</f>
        <v>6</v>
      </c>
      <c r="D1769" s="391" t="str">
        <f>D1766</f>
        <v>0,1-1</v>
      </c>
      <c r="E1769" s="391">
        <f>E1766</f>
        <v>1</v>
      </c>
      <c r="F1769" s="391" t="str">
        <f>F1766</f>
        <v>soil</v>
      </c>
      <c r="G1769" s="396" t="str">
        <f t="shared" ref="G1769" si="5069">G1768</f>
        <v>DE: PA particle 0,1-1 mm (emission to soil)</v>
      </c>
      <c r="H1769" s="465">
        <v>0</v>
      </c>
      <c r="I1769" s="397" t="s">
        <v>1034</v>
      </c>
      <c r="J1769" s="633"/>
      <c r="K1769" s="398" t="s">
        <v>596</v>
      </c>
      <c r="L1769" s="538"/>
      <c r="M1769" s="509">
        <f t="shared" si="4956"/>
        <v>0</v>
      </c>
      <c r="N1769" s="647"/>
      <c r="O1769" s="627"/>
      <c r="P1769" s="629"/>
      <c r="Q1769" s="629"/>
    </row>
    <row r="1770" spans="1:17" ht="15.75" hidden="1" thickBot="1">
      <c r="A1770" s="390" t="str">
        <f t="shared" ref="A1770:B1770" si="5070">A1767</f>
        <v>PA</v>
      </c>
      <c r="B1770" s="391" t="str">
        <f t="shared" si="5070"/>
        <v>particle</v>
      </c>
      <c r="C1770" s="391">
        <f t="shared" ref="C1770" si="5071">C1769</f>
        <v>6</v>
      </c>
      <c r="D1770" s="399" t="str">
        <f t="shared" ref="D1770:E1770" si="5072">D1767</f>
        <v>0,1-1</v>
      </c>
      <c r="E1770" s="391">
        <f t="shared" si="5072"/>
        <v>1</v>
      </c>
      <c r="F1770" s="400" t="s">
        <v>1147</v>
      </c>
      <c r="G1770" s="386" t="str">
        <f>CONCATENATE("DE: ",A1770," ",B1770," ",D1770," mm (emission to ",F1770,")")</f>
        <v>DE: PA particle 0,1-1 mm (emission to fresh water)</v>
      </c>
      <c r="H1770" s="466">
        <v>0</v>
      </c>
      <c r="I1770" s="388" t="s">
        <v>1153</v>
      </c>
      <c r="J1770" s="634">
        <v>0.22800000000000001</v>
      </c>
      <c r="K1770" s="389">
        <v>292</v>
      </c>
      <c r="L1770" s="536"/>
      <c r="M1770" s="509">
        <f t="shared" si="4956"/>
        <v>0.42808219178082191</v>
      </c>
      <c r="N1770" s="645">
        <f t="shared" ref="N1770" si="5073">IFERROR(H1770*M1770+H1771*M1771+H1772*M1772+H1773*M1773+H1774*M1774,"N.A.")</f>
        <v>0.42808219178082191</v>
      </c>
      <c r="O1770" s="625"/>
      <c r="P1770" s="628">
        <f t="shared" si="5047"/>
        <v>0.42808219178082191</v>
      </c>
      <c r="Q1770" s="628">
        <f t="shared" si="4939"/>
        <v>0.42808219178082191</v>
      </c>
    </row>
    <row r="1771" spans="1:17" ht="15.75" hidden="1" thickBot="1">
      <c r="A1771" s="390" t="str">
        <f t="shared" ref="A1771:B1771" si="5074">A1768</f>
        <v>PA</v>
      </c>
      <c r="B1771" s="391" t="str">
        <f t="shared" si="5074"/>
        <v>particle</v>
      </c>
      <c r="C1771" s="391">
        <f t="shared" ref="C1771" si="5075">C1770</f>
        <v>6</v>
      </c>
      <c r="D1771" s="391" t="str">
        <f t="shared" ref="D1771:E1771" si="5076">D1768</f>
        <v>0,1-1</v>
      </c>
      <c r="E1771" s="391">
        <f t="shared" si="5076"/>
        <v>1</v>
      </c>
      <c r="F1771" s="391" t="str">
        <f t="shared" ref="F1771:G1771" si="5077">F1770</f>
        <v>fresh water</v>
      </c>
      <c r="G1771" s="401" t="str">
        <f t="shared" si="5077"/>
        <v>DE: PA particle 0,1-1 mm (emission to fresh water)</v>
      </c>
      <c r="H1771" s="465">
        <v>0</v>
      </c>
      <c r="I1771" s="394" t="s">
        <v>1097</v>
      </c>
      <c r="J1771" s="635"/>
      <c r="K1771" s="389">
        <v>292</v>
      </c>
      <c r="L1771" s="536"/>
      <c r="M1771" s="509">
        <f t="shared" si="4956"/>
        <v>0.42808219178082191</v>
      </c>
      <c r="N1771" s="646"/>
      <c r="O1771" s="626"/>
      <c r="P1771" s="629"/>
      <c r="Q1771" s="629"/>
    </row>
    <row r="1772" spans="1:17" ht="15.75" hidden="1" thickBot="1">
      <c r="A1772" s="390" t="str">
        <f t="shared" ref="A1772:B1772" si="5078">A1769</f>
        <v>PA</v>
      </c>
      <c r="B1772" s="391" t="str">
        <f t="shared" si="5078"/>
        <v>particle</v>
      </c>
      <c r="C1772" s="391">
        <f t="shared" ref="C1772" si="5079">C1771</f>
        <v>6</v>
      </c>
      <c r="D1772" s="391" t="str">
        <f t="shared" ref="D1772:E1772" si="5080">D1769</f>
        <v>0,1-1</v>
      </c>
      <c r="E1772" s="391">
        <f t="shared" si="5080"/>
        <v>1</v>
      </c>
      <c r="F1772" s="391" t="str">
        <f t="shared" ref="F1772:G1772" si="5081">F1771</f>
        <v>fresh water</v>
      </c>
      <c r="G1772" s="401" t="str">
        <f t="shared" si="5081"/>
        <v>DE: PA particle 0,1-1 mm (emission to fresh water)</v>
      </c>
      <c r="H1772" s="465">
        <v>0.89</v>
      </c>
      <c r="I1772" s="394" t="s">
        <v>1162</v>
      </c>
      <c r="J1772" s="635"/>
      <c r="K1772" s="389">
        <v>292</v>
      </c>
      <c r="L1772" s="536"/>
      <c r="M1772" s="509">
        <f t="shared" si="4956"/>
        <v>0.42808219178082191</v>
      </c>
      <c r="N1772" s="646"/>
      <c r="O1772" s="626"/>
      <c r="P1772" s="629"/>
      <c r="Q1772" s="629"/>
    </row>
    <row r="1773" spans="1:17" ht="15.75" hidden="1" thickBot="1">
      <c r="A1773" s="390" t="str">
        <f t="shared" ref="A1773:B1773" si="5082">A1770</f>
        <v>PA</v>
      </c>
      <c r="B1773" s="391" t="str">
        <f t="shared" si="5082"/>
        <v>particle</v>
      </c>
      <c r="C1773" s="391">
        <f t="shared" ref="C1773" si="5083">C1772</f>
        <v>6</v>
      </c>
      <c r="D1773" s="391" t="str">
        <f t="shared" ref="D1773:E1773" si="5084">D1770</f>
        <v>0,1-1</v>
      </c>
      <c r="E1773" s="391">
        <f t="shared" si="5084"/>
        <v>1</v>
      </c>
      <c r="F1773" s="391" t="str">
        <f t="shared" ref="F1773:G1773" si="5085">F1772</f>
        <v>fresh water</v>
      </c>
      <c r="G1773" s="401" t="str">
        <f t="shared" si="5085"/>
        <v>DE: PA particle 0,1-1 mm (emission to fresh water)</v>
      </c>
      <c r="H1773" s="465">
        <v>0.11</v>
      </c>
      <c r="I1773" s="394" t="s">
        <v>1163</v>
      </c>
      <c r="J1773" s="635"/>
      <c r="K1773" s="389">
        <v>292</v>
      </c>
      <c r="L1773" s="536"/>
      <c r="M1773" s="509">
        <f t="shared" si="4956"/>
        <v>0.42808219178082191</v>
      </c>
      <c r="N1773" s="646"/>
      <c r="O1773" s="626"/>
      <c r="P1773" s="629"/>
      <c r="Q1773" s="629"/>
    </row>
    <row r="1774" spans="1:17" ht="15.75" hidden="1" thickBot="1">
      <c r="A1774" s="390" t="str">
        <f t="shared" ref="A1774:B1774" si="5086">A1771</f>
        <v>PA</v>
      </c>
      <c r="B1774" s="391" t="str">
        <f t="shared" si="5086"/>
        <v>particle</v>
      </c>
      <c r="C1774" s="391">
        <f t="shared" ref="C1774" si="5087">C1773</f>
        <v>6</v>
      </c>
      <c r="D1774" s="391" t="str">
        <f t="shared" ref="D1774:E1774" si="5088">D1771</f>
        <v>0,1-1</v>
      </c>
      <c r="E1774" s="391">
        <f t="shared" si="5088"/>
        <v>1</v>
      </c>
      <c r="F1774" s="402" t="str">
        <f>F1771</f>
        <v>fresh water</v>
      </c>
      <c r="G1774" s="401" t="str">
        <f t="shared" ref="G1774" si="5089">G1773</f>
        <v>DE: PA particle 0,1-1 mm (emission to fresh water)</v>
      </c>
      <c r="H1774" s="465">
        <v>0</v>
      </c>
      <c r="I1774" s="397" t="s">
        <v>1034</v>
      </c>
      <c r="J1774" s="654"/>
      <c r="K1774" s="398" t="s">
        <v>596</v>
      </c>
      <c r="L1774" s="538"/>
      <c r="M1774" s="509">
        <f t="shared" si="4956"/>
        <v>0</v>
      </c>
      <c r="N1774" s="647"/>
      <c r="O1774" s="627"/>
      <c r="P1774" s="629"/>
      <c r="Q1774" s="629"/>
    </row>
    <row r="1775" spans="1:17" ht="15.75" hidden="1" thickBot="1">
      <c r="A1775" s="390" t="str">
        <f t="shared" ref="A1775:B1775" si="5090">A1772</f>
        <v>PA</v>
      </c>
      <c r="B1775" s="391" t="str">
        <f t="shared" si="5090"/>
        <v>particle</v>
      </c>
      <c r="C1775" s="391">
        <f t="shared" ref="C1775" si="5091">C1774</f>
        <v>6</v>
      </c>
      <c r="D1775" s="391" t="str">
        <f t="shared" ref="D1775:E1775" si="5092">D1772</f>
        <v>0,1-1</v>
      </c>
      <c r="E1775" s="391">
        <f t="shared" si="5092"/>
        <v>1</v>
      </c>
      <c r="F1775" s="385" t="s">
        <v>1097</v>
      </c>
      <c r="G1775" s="422" t="str">
        <f>CONCATENATE("DE: ",A1775," ",B1775," ",D1775," mm (emission to ",F1775,")")</f>
        <v>DE: PA particle 0,1-1 mm (emission to marine water)</v>
      </c>
      <c r="H1775" s="467">
        <v>0</v>
      </c>
      <c r="I1775" s="388" t="s">
        <v>1153</v>
      </c>
      <c r="J1775" s="634">
        <v>0.22800000000000001</v>
      </c>
      <c r="K1775" s="389">
        <v>292</v>
      </c>
      <c r="L1775" s="536"/>
      <c r="M1775" s="509">
        <f t="shared" si="4956"/>
        <v>0.42808219178082191</v>
      </c>
      <c r="N1775" s="645">
        <f t="shared" ref="N1775" si="5093">IFERROR(H1775*M1775+H1776*M1776+H1777*M1777+H1778*M1778+H1779*M1779,"N.A.")</f>
        <v>0.42808219178082191</v>
      </c>
      <c r="O1775" s="625"/>
      <c r="P1775" s="628">
        <f t="shared" si="5047"/>
        <v>0.42808219178082191</v>
      </c>
      <c r="Q1775" s="628">
        <f t="shared" si="4939"/>
        <v>0.42808219178082191</v>
      </c>
    </row>
    <row r="1776" spans="1:17" ht="15.75" hidden="1" thickBot="1">
      <c r="A1776" s="390" t="str">
        <f t="shared" ref="A1776:B1776" si="5094">A1773</f>
        <v>PA</v>
      </c>
      <c r="B1776" s="391" t="str">
        <f t="shared" si="5094"/>
        <v>particle</v>
      </c>
      <c r="C1776" s="391">
        <f t="shared" ref="C1776" si="5095">C1775</f>
        <v>6</v>
      </c>
      <c r="D1776" s="391" t="str">
        <f t="shared" ref="D1776:E1776" si="5096">D1773</f>
        <v>0,1-1</v>
      </c>
      <c r="E1776" s="391">
        <f t="shared" si="5096"/>
        <v>1</v>
      </c>
      <c r="F1776" s="391" t="str">
        <f t="shared" ref="F1776:G1776" si="5097">F1775</f>
        <v>marine water</v>
      </c>
      <c r="G1776" s="401" t="str">
        <f t="shared" si="5097"/>
        <v>DE: PA particle 0,1-1 mm (emission to marine water)</v>
      </c>
      <c r="H1776" s="465">
        <v>0</v>
      </c>
      <c r="I1776" s="394" t="s">
        <v>1097</v>
      </c>
      <c r="J1776" s="635"/>
      <c r="K1776" s="389">
        <v>292</v>
      </c>
      <c r="L1776" s="536"/>
      <c r="M1776" s="509">
        <f t="shared" si="4956"/>
        <v>0.42808219178082191</v>
      </c>
      <c r="N1776" s="646"/>
      <c r="O1776" s="626"/>
      <c r="P1776" s="629"/>
      <c r="Q1776" s="629"/>
    </row>
    <row r="1777" spans="1:17" ht="15.75" hidden="1" thickBot="1">
      <c r="A1777" s="390" t="str">
        <f t="shared" ref="A1777:B1777" si="5098">A1774</f>
        <v>PA</v>
      </c>
      <c r="B1777" s="391" t="str">
        <f t="shared" si="5098"/>
        <v>particle</v>
      </c>
      <c r="C1777" s="391">
        <f t="shared" ref="C1777" si="5099">C1776</f>
        <v>6</v>
      </c>
      <c r="D1777" s="391" t="str">
        <f t="shared" ref="D1777:E1777" si="5100">D1774</f>
        <v>0,1-1</v>
      </c>
      <c r="E1777" s="391">
        <f t="shared" si="5100"/>
        <v>1</v>
      </c>
      <c r="F1777" s="391" t="str">
        <f t="shared" ref="F1777:G1777" si="5101">F1776</f>
        <v>marine water</v>
      </c>
      <c r="G1777" s="401" t="str">
        <f t="shared" si="5101"/>
        <v>DE: PA particle 0,1-1 mm (emission to marine water)</v>
      </c>
      <c r="H1777" s="465">
        <v>0</v>
      </c>
      <c r="I1777" s="394" t="s">
        <v>1162</v>
      </c>
      <c r="J1777" s="635"/>
      <c r="K1777" s="389">
        <v>292</v>
      </c>
      <c r="L1777" s="536"/>
      <c r="M1777" s="509">
        <f t="shared" si="4956"/>
        <v>0.42808219178082191</v>
      </c>
      <c r="N1777" s="646"/>
      <c r="O1777" s="626"/>
      <c r="P1777" s="629"/>
      <c r="Q1777" s="629"/>
    </row>
    <row r="1778" spans="1:17" ht="15.75" hidden="1" thickBot="1">
      <c r="A1778" s="390" t="str">
        <f t="shared" ref="A1778:B1778" si="5102">A1775</f>
        <v>PA</v>
      </c>
      <c r="B1778" s="391" t="str">
        <f t="shared" si="5102"/>
        <v>particle</v>
      </c>
      <c r="C1778" s="391">
        <f t="shared" ref="C1778" si="5103">C1777</f>
        <v>6</v>
      </c>
      <c r="D1778" s="391" t="str">
        <f t="shared" ref="D1778:E1778" si="5104">D1775</f>
        <v>0,1-1</v>
      </c>
      <c r="E1778" s="391">
        <f t="shared" si="5104"/>
        <v>1</v>
      </c>
      <c r="F1778" s="391" t="str">
        <f t="shared" ref="F1778:G1778" si="5105">F1777</f>
        <v>marine water</v>
      </c>
      <c r="G1778" s="401" t="str">
        <f t="shared" si="5105"/>
        <v>DE: PA particle 0,1-1 mm (emission to marine water)</v>
      </c>
      <c r="H1778" s="465">
        <v>1</v>
      </c>
      <c r="I1778" s="394" t="s">
        <v>1163</v>
      </c>
      <c r="J1778" s="635"/>
      <c r="K1778" s="389">
        <v>292</v>
      </c>
      <c r="L1778" s="536"/>
      <c r="M1778" s="509">
        <f t="shared" si="4956"/>
        <v>0.42808219178082191</v>
      </c>
      <c r="N1778" s="646"/>
      <c r="O1778" s="626"/>
      <c r="P1778" s="629"/>
      <c r="Q1778" s="629"/>
    </row>
    <row r="1779" spans="1:17" ht="15.75" hidden="1" thickBot="1">
      <c r="A1779" s="390" t="str">
        <f t="shared" ref="A1779:B1779" si="5106">A1776</f>
        <v>PA</v>
      </c>
      <c r="B1779" s="391" t="str">
        <f t="shared" si="5106"/>
        <v>particle</v>
      </c>
      <c r="C1779" s="391">
        <f t="shared" ref="C1779" si="5107">C1778</f>
        <v>6</v>
      </c>
      <c r="D1779" s="391" t="str">
        <f t="shared" ref="D1779:E1779" si="5108">D1776</f>
        <v>0,1-1</v>
      </c>
      <c r="E1779" s="391">
        <f t="shared" si="5108"/>
        <v>1</v>
      </c>
      <c r="F1779" s="391" t="str">
        <f t="shared" ref="F1779:G1779" si="5109">F1778</f>
        <v>marine water</v>
      </c>
      <c r="G1779" s="401" t="str">
        <f t="shared" si="5109"/>
        <v>DE: PA particle 0,1-1 mm (emission to marine water)</v>
      </c>
      <c r="H1779" s="465">
        <v>0</v>
      </c>
      <c r="I1779" s="397" t="s">
        <v>1034</v>
      </c>
      <c r="J1779" s="654"/>
      <c r="K1779" s="398" t="s">
        <v>596</v>
      </c>
      <c r="L1779" s="538"/>
      <c r="M1779" s="509">
        <f t="shared" si="4956"/>
        <v>0</v>
      </c>
      <c r="N1779" s="647"/>
      <c r="O1779" s="627"/>
      <c r="P1779" s="629"/>
      <c r="Q1779" s="629"/>
    </row>
    <row r="1780" spans="1:17" ht="15.75" hidden="1" thickBot="1">
      <c r="A1780" s="390" t="str">
        <f t="shared" ref="A1780:B1780" si="5110">A1777</f>
        <v>PA</v>
      </c>
      <c r="B1780" s="391" t="str">
        <f t="shared" si="5110"/>
        <v>particle</v>
      </c>
      <c r="C1780" s="391">
        <f t="shared" ref="C1780" si="5111">C1779</f>
        <v>6</v>
      </c>
      <c r="D1780" s="391" t="str">
        <f t="shared" ref="D1780:E1780" si="5112">D1777</f>
        <v>0,1-1</v>
      </c>
      <c r="E1780" s="391">
        <f t="shared" si="5112"/>
        <v>1</v>
      </c>
      <c r="F1780" s="400" t="s">
        <v>1057</v>
      </c>
      <c r="G1780" s="422" t="str">
        <f>CONCATENATE("DE: ",A1780," ",B1780," ",D1780," mm (emission to ",F1780,")")</f>
        <v>DE: PA particle 0,1-1 mm (emission to air)</v>
      </c>
      <c r="H1780" s="467">
        <v>0.94799999999999995</v>
      </c>
      <c r="I1780" s="388" t="s">
        <v>1153</v>
      </c>
      <c r="J1780" s="634">
        <v>0.22800000000000001</v>
      </c>
      <c r="K1780" s="389">
        <v>292</v>
      </c>
      <c r="L1780" s="536"/>
      <c r="M1780" s="509">
        <f t="shared" si="4956"/>
        <v>0.42808219178082191</v>
      </c>
      <c r="N1780" s="645">
        <f t="shared" ref="N1780" si="5113">IFERROR(H1780*M1780+H1781*M1781+H1782*M1782+H1783*M1783+H1784*M1784,"N.A.")</f>
        <v>0.42808219178082185</v>
      </c>
      <c r="O1780" s="625"/>
      <c r="P1780" s="628">
        <f t="shared" si="5047"/>
        <v>0.42808219178082185</v>
      </c>
      <c r="Q1780" s="628">
        <f t="shared" si="4939"/>
        <v>0.42808219178082185</v>
      </c>
    </row>
    <row r="1781" spans="1:17" ht="15.75" hidden="1" thickBot="1">
      <c r="A1781" s="390" t="str">
        <f t="shared" ref="A1781:B1781" si="5114">A1778</f>
        <v>PA</v>
      </c>
      <c r="B1781" s="391" t="str">
        <f t="shared" si="5114"/>
        <v>particle</v>
      </c>
      <c r="C1781" s="391">
        <f t="shared" ref="C1781" si="5115">C1780</f>
        <v>6</v>
      </c>
      <c r="D1781" s="391" t="str">
        <f t="shared" ref="D1781:E1781" si="5116">D1778</f>
        <v>0,1-1</v>
      </c>
      <c r="E1781" s="391">
        <f t="shared" si="5116"/>
        <v>1</v>
      </c>
      <c r="F1781" s="391" t="str">
        <f t="shared" ref="F1781:G1781" si="5117">F1780</f>
        <v>air</v>
      </c>
      <c r="G1781" s="401" t="str">
        <f t="shared" si="5117"/>
        <v>DE: PA particle 0,1-1 mm (emission to air)</v>
      </c>
      <c r="H1781" s="465">
        <v>0</v>
      </c>
      <c r="I1781" s="394" t="s">
        <v>1097</v>
      </c>
      <c r="J1781" s="635"/>
      <c r="K1781" s="389">
        <v>292</v>
      </c>
      <c r="L1781" s="536"/>
      <c r="M1781" s="509">
        <f t="shared" si="4956"/>
        <v>0.42808219178082191</v>
      </c>
      <c r="N1781" s="646"/>
      <c r="O1781" s="626"/>
      <c r="P1781" s="629"/>
      <c r="Q1781" s="629"/>
    </row>
    <row r="1782" spans="1:17" ht="15.75" hidden="1" thickBot="1">
      <c r="A1782" s="390" t="str">
        <f t="shared" ref="A1782:B1782" si="5118">A1779</f>
        <v>PA</v>
      </c>
      <c r="B1782" s="391" t="str">
        <f t="shared" si="5118"/>
        <v>particle</v>
      </c>
      <c r="C1782" s="391">
        <f t="shared" ref="C1782" si="5119">C1781</f>
        <v>6</v>
      </c>
      <c r="D1782" s="391" t="str">
        <f t="shared" ref="D1782:E1782" si="5120">D1779</f>
        <v>0,1-1</v>
      </c>
      <c r="E1782" s="391">
        <f t="shared" si="5120"/>
        <v>1</v>
      </c>
      <c r="F1782" s="391" t="str">
        <f t="shared" ref="F1782:G1782" si="5121">F1781</f>
        <v>air</v>
      </c>
      <c r="G1782" s="401" t="str">
        <f t="shared" si="5121"/>
        <v>DE: PA particle 0,1-1 mm (emission to air)</v>
      </c>
      <c r="H1782" s="465">
        <v>4.7E-2</v>
      </c>
      <c r="I1782" s="394" t="s">
        <v>1162</v>
      </c>
      <c r="J1782" s="635"/>
      <c r="K1782" s="389">
        <v>292</v>
      </c>
      <c r="L1782" s="536"/>
      <c r="M1782" s="509">
        <f t="shared" si="4956"/>
        <v>0.42808219178082191</v>
      </c>
      <c r="N1782" s="646"/>
      <c r="O1782" s="626"/>
      <c r="P1782" s="629"/>
      <c r="Q1782" s="629"/>
    </row>
    <row r="1783" spans="1:17" ht="15.75" hidden="1" thickBot="1">
      <c r="A1783" s="390" t="str">
        <f t="shared" ref="A1783:B1783" si="5122">A1780</f>
        <v>PA</v>
      </c>
      <c r="B1783" s="391" t="str">
        <f t="shared" si="5122"/>
        <v>particle</v>
      </c>
      <c r="C1783" s="391">
        <f t="shared" ref="C1783" si="5123">C1782</f>
        <v>6</v>
      </c>
      <c r="D1783" s="391" t="str">
        <f t="shared" ref="D1783:E1783" si="5124">D1780</f>
        <v>0,1-1</v>
      </c>
      <c r="E1783" s="391">
        <f t="shared" si="5124"/>
        <v>1</v>
      </c>
      <c r="F1783" s="391" t="str">
        <f t="shared" ref="F1783:G1783" si="5125">F1782</f>
        <v>air</v>
      </c>
      <c r="G1783" s="401" t="str">
        <f t="shared" si="5125"/>
        <v>DE: PA particle 0,1-1 mm (emission to air)</v>
      </c>
      <c r="H1783" s="465">
        <v>5.0000000000000001E-3</v>
      </c>
      <c r="I1783" s="394" t="s">
        <v>1163</v>
      </c>
      <c r="J1783" s="635"/>
      <c r="K1783" s="389">
        <v>292</v>
      </c>
      <c r="L1783" s="536"/>
      <c r="M1783" s="509">
        <f t="shared" si="4956"/>
        <v>0.42808219178082191</v>
      </c>
      <c r="N1783" s="646"/>
      <c r="O1783" s="626"/>
      <c r="P1783" s="629"/>
      <c r="Q1783" s="629"/>
    </row>
    <row r="1784" spans="1:17" ht="15.75" hidden="1" thickBot="1">
      <c r="A1784" s="404" t="str">
        <f t="shared" ref="A1784:B1784" si="5126">A1779</f>
        <v>PA</v>
      </c>
      <c r="B1784" s="402" t="str">
        <f t="shared" si="5126"/>
        <v>particle</v>
      </c>
      <c r="C1784" s="391">
        <f t="shared" ref="C1784" si="5127">C1783</f>
        <v>6</v>
      </c>
      <c r="D1784" s="402" t="str">
        <f t="shared" ref="D1784:E1784" si="5128">D1779</f>
        <v>0,1-1</v>
      </c>
      <c r="E1784" s="402">
        <f t="shared" si="5128"/>
        <v>1</v>
      </c>
      <c r="F1784" s="391" t="str">
        <f t="shared" ref="F1784:G1784" si="5129">F1783</f>
        <v>air</v>
      </c>
      <c r="G1784" s="401" t="str">
        <f t="shared" si="5129"/>
        <v>DE: PA particle 0,1-1 mm (emission to air)</v>
      </c>
      <c r="H1784" s="465">
        <v>0</v>
      </c>
      <c r="I1784" s="394" t="s">
        <v>1034</v>
      </c>
      <c r="J1784" s="636"/>
      <c r="K1784" s="398" t="s">
        <v>596</v>
      </c>
      <c r="L1784" s="538"/>
      <c r="M1784" s="509">
        <f t="shared" si="4956"/>
        <v>0</v>
      </c>
      <c r="N1784" s="647"/>
      <c r="O1784" s="627"/>
      <c r="P1784" s="629"/>
      <c r="Q1784" s="629"/>
    </row>
    <row r="1785" spans="1:17" ht="16.5" hidden="1" thickTop="1" thickBot="1">
      <c r="A1785" s="405" t="s">
        <v>188</v>
      </c>
      <c r="B1785" s="406" t="s">
        <v>1152</v>
      </c>
      <c r="C1785" s="407">
        <v>6</v>
      </c>
      <c r="D1785" s="423" t="s">
        <v>1026</v>
      </c>
      <c r="E1785" s="408">
        <v>10</v>
      </c>
      <c r="F1785" s="424" t="s">
        <v>1019</v>
      </c>
      <c r="G1785" s="425" t="str">
        <f>CONCATENATE("DE: ",A1785," ",B1785," ",D1785," mm (emission to ",F1785,")")</f>
        <v>DE: PA particle 1-10 mm (emission to soil)</v>
      </c>
      <c r="H1785" s="464">
        <v>0.97</v>
      </c>
      <c r="I1785" s="427" t="s">
        <v>1153</v>
      </c>
      <c r="J1785" s="632">
        <v>0.22800000000000001</v>
      </c>
      <c r="K1785" s="449">
        <v>292</v>
      </c>
      <c r="L1785" s="536"/>
      <c r="M1785" s="509">
        <f t="shared" si="4956"/>
        <v>4.2808219178082192</v>
      </c>
      <c r="N1785" s="645">
        <f t="shared" ref="N1785" si="5130">IFERROR(H1785*M1785+H1786*M1786+H1787*M1787+H1788*M1788+H1789*M1789,"N.A.")</f>
        <v>4.2808219178082192</v>
      </c>
      <c r="O1785" s="625"/>
      <c r="P1785" s="628">
        <f t="shared" si="5047"/>
        <v>4.2808219178082192</v>
      </c>
      <c r="Q1785" s="628">
        <f t="shared" si="4939"/>
        <v>4.2808219178082192</v>
      </c>
    </row>
    <row r="1786" spans="1:17" ht="15.75" hidden="1" thickBot="1">
      <c r="A1786" s="390" t="str">
        <f>A1785</f>
        <v>PA</v>
      </c>
      <c r="B1786" s="391" t="str">
        <f>B1785</f>
        <v>particle</v>
      </c>
      <c r="C1786" s="391">
        <f t="shared" ref="C1786:G1786" si="5131">C1785</f>
        <v>6</v>
      </c>
      <c r="D1786" s="391" t="str">
        <f t="shared" si="5131"/>
        <v>1-10</v>
      </c>
      <c r="E1786" s="391">
        <f t="shared" si="5131"/>
        <v>10</v>
      </c>
      <c r="F1786" s="391" t="str">
        <f t="shared" si="5131"/>
        <v>soil</v>
      </c>
      <c r="G1786" s="392" t="str">
        <f t="shared" si="5131"/>
        <v>DE: PA particle 1-10 mm (emission to soil)</v>
      </c>
      <c r="H1786" s="465">
        <v>0</v>
      </c>
      <c r="I1786" s="394" t="s">
        <v>1097</v>
      </c>
      <c r="J1786" s="632"/>
      <c r="K1786" s="395">
        <v>292</v>
      </c>
      <c r="L1786" s="537"/>
      <c r="M1786" s="509">
        <f t="shared" si="4956"/>
        <v>4.2808219178082192</v>
      </c>
      <c r="N1786" s="646"/>
      <c r="O1786" s="626"/>
      <c r="P1786" s="629"/>
      <c r="Q1786" s="629"/>
    </row>
    <row r="1787" spans="1:17" ht="15.75" hidden="1" thickBot="1">
      <c r="A1787" s="390" t="str">
        <f t="shared" ref="A1787:G1787" si="5132">A1786</f>
        <v>PA</v>
      </c>
      <c r="B1787" s="391" t="str">
        <f t="shared" si="5132"/>
        <v>particle</v>
      </c>
      <c r="C1787" s="391">
        <f t="shared" si="5132"/>
        <v>6</v>
      </c>
      <c r="D1787" s="391" t="str">
        <f t="shared" si="5132"/>
        <v>1-10</v>
      </c>
      <c r="E1787" s="391">
        <f t="shared" si="5132"/>
        <v>10</v>
      </c>
      <c r="F1787" s="391" t="str">
        <f t="shared" si="5132"/>
        <v>soil</v>
      </c>
      <c r="G1787" s="392" t="str">
        <f t="shared" si="5132"/>
        <v>DE: PA particle 1-10 mm (emission to soil)</v>
      </c>
      <c r="H1787" s="465">
        <v>2.7E-2</v>
      </c>
      <c r="I1787" s="394" t="s">
        <v>1162</v>
      </c>
      <c r="J1787" s="632"/>
      <c r="K1787" s="395">
        <v>292</v>
      </c>
      <c r="L1787" s="537"/>
      <c r="M1787" s="509">
        <f t="shared" si="4956"/>
        <v>4.2808219178082192</v>
      </c>
      <c r="N1787" s="646"/>
      <c r="O1787" s="626"/>
      <c r="P1787" s="629"/>
      <c r="Q1787" s="629"/>
    </row>
    <row r="1788" spans="1:17" ht="15.75" hidden="1" thickBot="1">
      <c r="A1788" s="390" t="str">
        <f t="shared" ref="A1788:G1788" si="5133">A1787</f>
        <v>PA</v>
      </c>
      <c r="B1788" s="391" t="str">
        <f t="shared" si="5133"/>
        <v>particle</v>
      </c>
      <c r="C1788" s="391">
        <f t="shared" si="5133"/>
        <v>6</v>
      </c>
      <c r="D1788" s="391" t="str">
        <f t="shared" si="5133"/>
        <v>1-10</v>
      </c>
      <c r="E1788" s="391">
        <f t="shared" si="5133"/>
        <v>10</v>
      </c>
      <c r="F1788" s="391" t="str">
        <f t="shared" si="5133"/>
        <v>soil</v>
      </c>
      <c r="G1788" s="392" t="str">
        <f t="shared" si="5133"/>
        <v>DE: PA particle 1-10 mm (emission to soil)</v>
      </c>
      <c r="H1788" s="465">
        <v>3.0000000000000001E-3</v>
      </c>
      <c r="I1788" s="394" t="s">
        <v>1163</v>
      </c>
      <c r="J1788" s="632"/>
      <c r="K1788" s="395">
        <v>292</v>
      </c>
      <c r="L1788" s="537"/>
      <c r="M1788" s="509">
        <f t="shared" si="4956"/>
        <v>4.2808219178082192</v>
      </c>
      <c r="N1788" s="646"/>
      <c r="O1788" s="626"/>
      <c r="P1788" s="629"/>
      <c r="Q1788" s="629"/>
    </row>
    <row r="1789" spans="1:17" ht="15.75" hidden="1" thickBot="1">
      <c r="A1789" s="390" t="str">
        <f>A1786</f>
        <v>PA</v>
      </c>
      <c r="B1789" s="391" t="str">
        <f>B1786</f>
        <v>particle</v>
      </c>
      <c r="C1789" s="391">
        <f t="shared" ref="C1789" si="5134">C1788</f>
        <v>6</v>
      </c>
      <c r="D1789" s="391" t="str">
        <f>D1786</f>
        <v>1-10</v>
      </c>
      <c r="E1789" s="391">
        <f>E1786</f>
        <v>10</v>
      </c>
      <c r="F1789" s="391" t="str">
        <f>F1786</f>
        <v>soil</v>
      </c>
      <c r="G1789" s="396" t="str">
        <f t="shared" ref="G1789" si="5135">G1788</f>
        <v>DE: PA particle 1-10 mm (emission to soil)</v>
      </c>
      <c r="H1789" s="465">
        <v>0</v>
      </c>
      <c r="I1789" s="397" t="s">
        <v>1034</v>
      </c>
      <c r="J1789" s="633"/>
      <c r="K1789" s="398" t="s">
        <v>596</v>
      </c>
      <c r="L1789" s="538"/>
      <c r="M1789" s="509">
        <f t="shared" si="4956"/>
        <v>0</v>
      </c>
      <c r="N1789" s="647"/>
      <c r="O1789" s="627"/>
      <c r="P1789" s="629"/>
      <c r="Q1789" s="629"/>
    </row>
    <row r="1790" spans="1:17" ht="15.75" hidden="1" thickBot="1">
      <c r="A1790" s="390" t="str">
        <f t="shared" ref="A1790:B1790" si="5136">A1787</f>
        <v>PA</v>
      </c>
      <c r="B1790" s="391" t="str">
        <f t="shared" si="5136"/>
        <v>particle</v>
      </c>
      <c r="C1790" s="391">
        <f t="shared" ref="C1790" si="5137">C1789</f>
        <v>6</v>
      </c>
      <c r="D1790" s="399" t="str">
        <f t="shared" ref="D1790:E1790" si="5138">D1787</f>
        <v>1-10</v>
      </c>
      <c r="E1790" s="391">
        <f t="shared" si="5138"/>
        <v>10</v>
      </c>
      <c r="F1790" s="400" t="s">
        <v>1147</v>
      </c>
      <c r="G1790" s="386" t="str">
        <f>CONCATENATE("DE: ",A1790," ",B1790," ",D1790," mm (emission to ",F1790,")")</f>
        <v>DE: PA particle 1-10 mm (emission to fresh water)</v>
      </c>
      <c r="H1790" s="466">
        <v>0</v>
      </c>
      <c r="I1790" s="388" t="s">
        <v>1153</v>
      </c>
      <c r="J1790" s="634">
        <v>0.22800000000000001</v>
      </c>
      <c r="K1790" s="389">
        <v>292</v>
      </c>
      <c r="L1790" s="536"/>
      <c r="M1790" s="509">
        <f t="shared" si="4956"/>
        <v>4.2808219178082192</v>
      </c>
      <c r="N1790" s="645">
        <f t="shared" ref="N1790" si="5139">IFERROR(H1790*M1790+H1791*M1791+H1792*M1792+H1793*M1793+H1794*M1794,"N.A.")</f>
        <v>4.2808219178082192</v>
      </c>
      <c r="O1790" s="625"/>
      <c r="P1790" s="628">
        <f t="shared" si="5047"/>
        <v>4.2808219178082192</v>
      </c>
      <c r="Q1790" s="628">
        <f t="shared" si="4939"/>
        <v>4.2808219178082192</v>
      </c>
    </row>
    <row r="1791" spans="1:17" ht="15.75" hidden="1" thickBot="1">
      <c r="A1791" s="390" t="str">
        <f t="shared" ref="A1791:B1791" si="5140">A1788</f>
        <v>PA</v>
      </c>
      <c r="B1791" s="391" t="str">
        <f t="shared" si="5140"/>
        <v>particle</v>
      </c>
      <c r="C1791" s="391">
        <f t="shared" ref="C1791" si="5141">C1790</f>
        <v>6</v>
      </c>
      <c r="D1791" s="391" t="str">
        <f t="shared" ref="D1791:E1791" si="5142">D1788</f>
        <v>1-10</v>
      </c>
      <c r="E1791" s="391">
        <f t="shared" si="5142"/>
        <v>10</v>
      </c>
      <c r="F1791" s="391" t="str">
        <f t="shared" ref="F1791:G1791" si="5143">F1790</f>
        <v>fresh water</v>
      </c>
      <c r="G1791" s="401" t="str">
        <f t="shared" si="5143"/>
        <v>DE: PA particle 1-10 mm (emission to fresh water)</v>
      </c>
      <c r="H1791" s="465">
        <v>0</v>
      </c>
      <c r="I1791" s="394" t="s">
        <v>1097</v>
      </c>
      <c r="J1791" s="635"/>
      <c r="K1791" s="389">
        <v>292</v>
      </c>
      <c r="L1791" s="536"/>
      <c r="M1791" s="509">
        <f t="shared" si="4956"/>
        <v>4.2808219178082192</v>
      </c>
      <c r="N1791" s="646"/>
      <c r="O1791" s="626"/>
      <c r="P1791" s="629"/>
      <c r="Q1791" s="629"/>
    </row>
    <row r="1792" spans="1:17" ht="15.75" hidden="1" thickBot="1">
      <c r="A1792" s="390" t="str">
        <f t="shared" ref="A1792:B1792" si="5144">A1789</f>
        <v>PA</v>
      </c>
      <c r="B1792" s="391" t="str">
        <f t="shared" si="5144"/>
        <v>particle</v>
      </c>
      <c r="C1792" s="391">
        <f t="shared" ref="C1792" si="5145">C1791</f>
        <v>6</v>
      </c>
      <c r="D1792" s="391" t="str">
        <f t="shared" ref="D1792:E1792" si="5146">D1789</f>
        <v>1-10</v>
      </c>
      <c r="E1792" s="391">
        <f t="shared" si="5146"/>
        <v>10</v>
      </c>
      <c r="F1792" s="391" t="str">
        <f t="shared" ref="F1792:G1792" si="5147">F1791</f>
        <v>fresh water</v>
      </c>
      <c r="G1792" s="401" t="str">
        <f t="shared" si="5147"/>
        <v>DE: PA particle 1-10 mm (emission to fresh water)</v>
      </c>
      <c r="H1792" s="465">
        <v>0.89</v>
      </c>
      <c r="I1792" s="394" t="s">
        <v>1162</v>
      </c>
      <c r="J1792" s="635"/>
      <c r="K1792" s="389">
        <v>292</v>
      </c>
      <c r="L1792" s="536"/>
      <c r="M1792" s="509">
        <f t="shared" si="4956"/>
        <v>4.2808219178082192</v>
      </c>
      <c r="N1792" s="646"/>
      <c r="O1792" s="626"/>
      <c r="P1792" s="629"/>
      <c r="Q1792" s="629"/>
    </row>
    <row r="1793" spans="1:17" ht="15.75" hidden="1" thickBot="1">
      <c r="A1793" s="390" t="str">
        <f t="shared" ref="A1793:B1793" si="5148">A1790</f>
        <v>PA</v>
      </c>
      <c r="B1793" s="391" t="str">
        <f t="shared" si="5148"/>
        <v>particle</v>
      </c>
      <c r="C1793" s="391">
        <f t="shared" ref="C1793" si="5149">C1792</f>
        <v>6</v>
      </c>
      <c r="D1793" s="391" t="str">
        <f t="shared" ref="D1793:E1793" si="5150">D1790</f>
        <v>1-10</v>
      </c>
      <c r="E1793" s="391">
        <f t="shared" si="5150"/>
        <v>10</v>
      </c>
      <c r="F1793" s="391" t="str">
        <f t="shared" ref="F1793:G1793" si="5151">F1792</f>
        <v>fresh water</v>
      </c>
      <c r="G1793" s="401" t="str">
        <f t="shared" si="5151"/>
        <v>DE: PA particle 1-10 mm (emission to fresh water)</v>
      </c>
      <c r="H1793" s="465">
        <v>0.11</v>
      </c>
      <c r="I1793" s="394" t="s">
        <v>1163</v>
      </c>
      <c r="J1793" s="635"/>
      <c r="K1793" s="389">
        <v>292</v>
      </c>
      <c r="L1793" s="536"/>
      <c r="M1793" s="509">
        <f t="shared" si="4956"/>
        <v>4.2808219178082192</v>
      </c>
      <c r="N1793" s="646"/>
      <c r="O1793" s="626"/>
      <c r="P1793" s="629"/>
      <c r="Q1793" s="629"/>
    </row>
    <row r="1794" spans="1:17" ht="15.75" hidden="1" thickBot="1">
      <c r="A1794" s="390" t="str">
        <f t="shared" ref="A1794:B1794" si="5152">A1791</f>
        <v>PA</v>
      </c>
      <c r="B1794" s="391" t="str">
        <f t="shared" si="5152"/>
        <v>particle</v>
      </c>
      <c r="C1794" s="391">
        <f t="shared" ref="C1794" si="5153">C1793</f>
        <v>6</v>
      </c>
      <c r="D1794" s="391" t="str">
        <f t="shared" ref="D1794:E1794" si="5154">D1791</f>
        <v>1-10</v>
      </c>
      <c r="E1794" s="391">
        <f t="shared" si="5154"/>
        <v>10</v>
      </c>
      <c r="F1794" s="402" t="str">
        <f>F1791</f>
        <v>fresh water</v>
      </c>
      <c r="G1794" s="401" t="str">
        <f t="shared" ref="G1794" si="5155">G1793</f>
        <v>DE: PA particle 1-10 mm (emission to fresh water)</v>
      </c>
      <c r="H1794" s="465">
        <v>0</v>
      </c>
      <c r="I1794" s="397" t="s">
        <v>1034</v>
      </c>
      <c r="J1794" s="654"/>
      <c r="K1794" s="398" t="s">
        <v>596</v>
      </c>
      <c r="L1794" s="538"/>
      <c r="M1794" s="509">
        <f t="shared" si="4956"/>
        <v>0</v>
      </c>
      <c r="N1794" s="647"/>
      <c r="O1794" s="627"/>
      <c r="P1794" s="629"/>
      <c r="Q1794" s="629"/>
    </row>
    <row r="1795" spans="1:17" ht="15.75" hidden="1" thickBot="1">
      <c r="A1795" s="390" t="str">
        <f t="shared" ref="A1795:B1795" si="5156">A1792</f>
        <v>PA</v>
      </c>
      <c r="B1795" s="391" t="str">
        <f t="shared" si="5156"/>
        <v>particle</v>
      </c>
      <c r="C1795" s="391">
        <f t="shared" ref="C1795" si="5157">C1794</f>
        <v>6</v>
      </c>
      <c r="D1795" s="391" t="str">
        <f t="shared" ref="D1795:E1795" si="5158">D1792</f>
        <v>1-10</v>
      </c>
      <c r="E1795" s="391">
        <f t="shared" si="5158"/>
        <v>10</v>
      </c>
      <c r="F1795" s="385" t="s">
        <v>1097</v>
      </c>
      <c r="G1795" s="422" t="str">
        <f>CONCATENATE("DE: ",A1795," ",B1795," ",D1795," mm (emission to ",F1795,")")</f>
        <v>DE: PA particle 1-10 mm (emission to marine water)</v>
      </c>
      <c r="H1795" s="467">
        <v>0</v>
      </c>
      <c r="I1795" s="388" t="s">
        <v>1153</v>
      </c>
      <c r="J1795" s="634">
        <v>0.22800000000000001</v>
      </c>
      <c r="K1795" s="389">
        <v>292</v>
      </c>
      <c r="L1795" s="536"/>
      <c r="M1795" s="509">
        <f t="shared" si="4956"/>
        <v>4.2808219178082192</v>
      </c>
      <c r="N1795" s="645">
        <f t="shared" ref="N1795" si="5159">IFERROR(H1795*M1795+H1796*M1796+H1797*M1797+H1798*M1798+H1799*M1799,"N.A.")</f>
        <v>4.2808219178082192</v>
      </c>
      <c r="O1795" s="625"/>
      <c r="P1795" s="628">
        <f t="shared" si="5047"/>
        <v>4.2808219178082192</v>
      </c>
      <c r="Q1795" s="628">
        <f t="shared" ref="Q1795:Q1855" si="5160">IFERROR(IF(H1795*M1795+H1796*M1796+H1797*M1797+H1798*M1798+H1799*M1799&gt;500,500,H1795*M1795+H1796*M1796+H1797*M1797+H1798*M1798+H1799*M1799),"N.A.")</f>
        <v>4.2808219178082192</v>
      </c>
    </row>
    <row r="1796" spans="1:17" ht="15.75" hidden="1" thickBot="1">
      <c r="A1796" s="390" t="str">
        <f t="shared" ref="A1796:B1796" si="5161">A1793</f>
        <v>PA</v>
      </c>
      <c r="B1796" s="391" t="str">
        <f t="shared" si="5161"/>
        <v>particle</v>
      </c>
      <c r="C1796" s="391">
        <f t="shared" ref="C1796" si="5162">C1795</f>
        <v>6</v>
      </c>
      <c r="D1796" s="391" t="str">
        <f t="shared" ref="D1796:E1796" si="5163">D1793</f>
        <v>1-10</v>
      </c>
      <c r="E1796" s="391">
        <f t="shared" si="5163"/>
        <v>10</v>
      </c>
      <c r="F1796" s="391" t="str">
        <f t="shared" ref="F1796:G1796" si="5164">F1795</f>
        <v>marine water</v>
      </c>
      <c r="G1796" s="401" t="str">
        <f t="shared" si="5164"/>
        <v>DE: PA particle 1-10 mm (emission to marine water)</v>
      </c>
      <c r="H1796" s="465">
        <v>0</v>
      </c>
      <c r="I1796" s="394" t="s">
        <v>1097</v>
      </c>
      <c r="J1796" s="635"/>
      <c r="K1796" s="389">
        <v>292</v>
      </c>
      <c r="L1796" s="536"/>
      <c r="M1796" s="509">
        <f t="shared" si="4956"/>
        <v>4.2808219178082192</v>
      </c>
      <c r="N1796" s="646"/>
      <c r="O1796" s="626"/>
      <c r="P1796" s="629"/>
      <c r="Q1796" s="629"/>
    </row>
    <row r="1797" spans="1:17" ht="15.75" hidden="1" thickBot="1">
      <c r="A1797" s="390" t="str">
        <f t="shared" ref="A1797:B1797" si="5165">A1794</f>
        <v>PA</v>
      </c>
      <c r="B1797" s="391" t="str">
        <f t="shared" si="5165"/>
        <v>particle</v>
      </c>
      <c r="C1797" s="391">
        <f t="shared" ref="C1797" si="5166">C1796</f>
        <v>6</v>
      </c>
      <c r="D1797" s="391" t="str">
        <f t="shared" ref="D1797:E1797" si="5167">D1794</f>
        <v>1-10</v>
      </c>
      <c r="E1797" s="391">
        <f t="shared" si="5167"/>
        <v>10</v>
      </c>
      <c r="F1797" s="391" t="str">
        <f t="shared" ref="F1797:G1797" si="5168">F1796</f>
        <v>marine water</v>
      </c>
      <c r="G1797" s="401" t="str">
        <f t="shared" si="5168"/>
        <v>DE: PA particle 1-10 mm (emission to marine water)</v>
      </c>
      <c r="H1797" s="465">
        <v>0</v>
      </c>
      <c r="I1797" s="394" t="s">
        <v>1162</v>
      </c>
      <c r="J1797" s="635"/>
      <c r="K1797" s="389">
        <v>292</v>
      </c>
      <c r="L1797" s="536"/>
      <c r="M1797" s="509">
        <f t="shared" si="4956"/>
        <v>4.2808219178082192</v>
      </c>
      <c r="N1797" s="646"/>
      <c r="O1797" s="626"/>
      <c r="P1797" s="629"/>
      <c r="Q1797" s="629"/>
    </row>
    <row r="1798" spans="1:17" ht="15.75" hidden="1" thickBot="1">
      <c r="A1798" s="390" t="str">
        <f t="shared" ref="A1798:B1798" si="5169">A1795</f>
        <v>PA</v>
      </c>
      <c r="B1798" s="391" t="str">
        <f t="shared" si="5169"/>
        <v>particle</v>
      </c>
      <c r="C1798" s="391">
        <f t="shared" ref="C1798" si="5170">C1797</f>
        <v>6</v>
      </c>
      <c r="D1798" s="391" t="str">
        <f t="shared" ref="D1798:E1798" si="5171">D1795</f>
        <v>1-10</v>
      </c>
      <c r="E1798" s="391">
        <f t="shared" si="5171"/>
        <v>10</v>
      </c>
      <c r="F1798" s="391" t="str">
        <f t="shared" ref="F1798:G1798" si="5172">F1797</f>
        <v>marine water</v>
      </c>
      <c r="G1798" s="401" t="str">
        <f t="shared" si="5172"/>
        <v>DE: PA particle 1-10 mm (emission to marine water)</v>
      </c>
      <c r="H1798" s="465">
        <v>1</v>
      </c>
      <c r="I1798" s="394" t="s">
        <v>1163</v>
      </c>
      <c r="J1798" s="635"/>
      <c r="K1798" s="389">
        <v>292</v>
      </c>
      <c r="L1798" s="536"/>
      <c r="M1798" s="509">
        <f t="shared" ref="M1798:M1861" si="5173">IFERROR(IF(K1798="--",0,IF(E1798*1000/K1798*(1-0.5)^(C1798/2)&gt;1000,1000,E1798*1000/K1798*(1-0.5)^(C1798/2))),1000)</f>
        <v>4.2808219178082192</v>
      </c>
      <c r="N1798" s="646"/>
      <c r="O1798" s="626"/>
      <c r="P1798" s="629"/>
      <c r="Q1798" s="629"/>
    </row>
    <row r="1799" spans="1:17" ht="15.75" hidden="1" thickBot="1">
      <c r="A1799" s="390" t="str">
        <f t="shared" ref="A1799:B1799" si="5174">A1796</f>
        <v>PA</v>
      </c>
      <c r="B1799" s="391" t="str">
        <f t="shared" si="5174"/>
        <v>particle</v>
      </c>
      <c r="C1799" s="391">
        <f t="shared" ref="C1799" si="5175">C1798</f>
        <v>6</v>
      </c>
      <c r="D1799" s="391" t="str">
        <f t="shared" ref="D1799:E1799" si="5176">D1796</f>
        <v>1-10</v>
      </c>
      <c r="E1799" s="391">
        <f t="shared" si="5176"/>
        <v>10</v>
      </c>
      <c r="F1799" s="391" t="str">
        <f t="shared" ref="F1799:G1799" si="5177">F1798</f>
        <v>marine water</v>
      </c>
      <c r="G1799" s="401" t="str">
        <f t="shared" si="5177"/>
        <v>DE: PA particle 1-10 mm (emission to marine water)</v>
      </c>
      <c r="H1799" s="465">
        <v>0</v>
      </c>
      <c r="I1799" s="397" t="s">
        <v>1034</v>
      </c>
      <c r="J1799" s="654"/>
      <c r="K1799" s="398" t="s">
        <v>596</v>
      </c>
      <c r="L1799" s="538"/>
      <c r="M1799" s="509">
        <f t="shared" si="5173"/>
        <v>0</v>
      </c>
      <c r="N1799" s="647"/>
      <c r="O1799" s="627"/>
      <c r="P1799" s="629"/>
      <c r="Q1799" s="629"/>
    </row>
    <row r="1800" spans="1:17" ht="15.75" hidden="1" thickBot="1">
      <c r="A1800" s="390" t="str">
        <f t="shared" ref="A1800:B1800" si="5178">A1797</f>
        <v>PA</v>
      </c>
      <c r="B1800" s="391" t="str">
        <f t="shared" si="5178"/>
        <v>particle</v>
      </c>
      <c r="C1800" s="391">
        <f t="shared" ref="C1800" si="5179">C1799</f>
        <v>6</v>
      </c>
      <c r="D1800" s="391" t="str">
        <f t="shared" ref="D1800:E1800" si="5180">D1797</f>
        <v>1-10</v>
      </c>
      <c r="E1800" s="391">
        <f t="shared" si="5180"/>
        <v>10</v>
      </c>
      <c r="F1800" s="400" t="s">
        <v>1057</v>
      </c>
      <c r="G1800" s="422" t="str">
        <f>CONCATENATE("DE: ",A1800," ",B1800," ",D1800," mm (emission to ",F1800,")")</f>
        <v>DE: PA particle 1-10 mm (emission to air)</v>
      </c>
      <c r="H1800" s="467">
        <v>0.94799999999999995</v>
      </c>
      <c r="I1800" s="388" t="s">
        <v>1153</v>
      </c>
      <c r="J1800" s="634">
        <v>0.22800000000000001</v>
      </c>
      <c r="K1800" s="389">
        <v>292</v>
      </c>
      <c r="L1800" s="536"/>
      <c r="M1800" s="509">
        <f t="shared" si="5173"/>
        <v>4.2808219178082192</v>
      </c>
      <c r="N1800" s="645">
        <f t="shared" ref="N1800" si="5181">IFERROR(H1800*M1800+H1801*M1801+H1802*M1802+H1803*M1803+H1804*M1804,"N.A.")</f>
        <v>4.2808219178082192</v>
      </c>
      <c r="O1800" s="625"/>
      <c r="P1800" s="628">
        <f t="shared" si="5047"/>
        <v>4.2808219178082192</v>
      </c>
      <c r="Q1800" s="628">
        <f t="shared" si="5160"/>
        <v>4.2808219178082192</v>
      </c>
    </row>
    <row r="1801" spans="1:17" ht="15.75" hidden="1" thickBot="1">
      <c r="A1801" s="390" t="str">
        <f t="shared" ref="A1801:B1801" si="5182">A1798</f>
        <v>PA</v>
      </c>
      <c r="B1801" s="391" t="str">
        <f t="shared" si="5182"/>
        <v>particle</v>
      </c>
      <c r="C1801" s="391">
        <f t="shared" ref="C1801" si="5183">C1800</f>
        <v>6</v>
      </c>
      <c r="D1801" s="391" t="str">
        <f t="shared" ref="D1801:E1801" si="5184">D1798</f>
        <v>1-10</v>
      </c>
      <c r="E1801" s="391">
        <f t="shared" si="5184"/>
        <v>10</v>
      </c>
      <c r="F1801" s="391" t="str">
        <f t="shared" ref="F1801:G1801" si="5185">F1800</f>
        <v>air</v>
      </c>
      <c r="G1801" s="401" t="str">
        <f t="shared" si="5185"/>
        <v>DE: PA particle 1-10 mm (emission to air)</v>
      </c>
      <c r="H1801" s="465">
        <v>0</v>
      </c>
      <c r="I1801" s="394" t="s">
        <v>1097</v>
      </c>
      <c r="J1801" s="635"/>
      <c r="K1801" s="389">
        <v>292</v>
      </c>
      <c r="L1801" s="536"/>
      <c r="M1801" s="509">
        <f t="shared" si="5173"/>
        <v>4.2808219178082192</v>
      </c>
      <c r="N1801" s="646"/>
      <c r="O1801" s="626"/>
      <c r="P1801" s="629"/>
      <c r="Q1801" s="629"/>
    </row>
    <row r="1802" spans="1:17" ht="15.75" hidden="1" thickBot="1">
      <c r="A1802" s="390" t="str">
        <f t="shared" ref="A1802:B1802" si="5186">A1799</f>
        <v>PA</v>
      </c>
      <c r="B1802" s="391" t="str">
        <f t="shared" si="5186"/>
        <v>particle</v>
      </c>
      <c r="C1802" s="391">
        <f t="shared" ref="C1802" si="5187">C1801</f>
        <v>6</v>
      </c>
      <c r="D1802" s="391" t="str">
        <f t="shared" ref="D1802:E1802" si="5188">D1799</f>
        <v>1-10</v>
      </c>
      <c r="E1802" s="391">
        <f t="shared" si="5188"/>
        <v>10</v>
      </c>
      <c r="F1802" s="391" t="str">
        <f t="shared" ref="F1802:G1802" si="5189">F1801</f>
        <v>air</v>
      </c>
      <c r="G1802" s="401" t="str">
        <f t="shared" si="5189"/>
        <v>DE: PA particle 1-10 mm (emission to air)</v>
      </c>
      <c r="H1802" s="465">
        <v>4.7E-2</v>
      </c>
      <c r="I1802" s="394" t="s">
        <v>1162</v>
      </c>
      <c r="J1802" s="635"/>
      <c r="K1802" s="389">
        <v>292</v>
      </c>
      <c r="L1802" s="536"/>
      <c r="M1802" s="509">
        <f t="shared" si="5173"/>
        <v>4.2808219178082192</v>
      </c>
      <c r="N1802" s="646"/>
      <c r="O1802" s="626"/>
      <c r="P1802" s="629"/>
      <c r="Q1802" s="629"/>
    </row>
    <row r="1803" spans="1:17" ht="15.75" hidden="1" thickBot="1">
      <c r="A1803" s="390" t="str">
        <f t="shared" ref="A1803:B1803" si="5190">A1800</f>
        <v>PA</v>
      </c>
      <c r="B1803" s="391" t="str">
        <f t="shared" si="5190"/>
        <v>particle</v>
      </c>
      <c r="C1803" s="391">
        <f t="shared" ref="C1803" si="5191">C1802</f>
        <v>6</v>
      </c>
      <c r="D1803" s="391" t="str">
        <f t="shared" ref="D1803:E1803" si="5192">D1800</f>
        <v>1-10</v>
      </c>
      <c r="E1803" s="391">
        <f t="shared" si="5192"/>
        <v>10</v>
      </c>
      <c r="F1803" s="391" t="str">
        <f t="shared" ref="F1803:G1803" si="5193">F1802</f>
        <v>air</v>
      </c>
      <c r="G1803" s="401" t="str">
        <f t="shared" si="5193"/>
        <v>DE: PA particle 1-10 mm (emission to air)</v>
      </c>
      <c r="H1803" s="465">
        <v>5.0000000000000001E-3</v>
      </c>
      <c r="I1803" s="394" t="s">
        <v>1163</v>
      </c>
      <c r="J1803" s="635"/>
      <c r="K1803" s="389">
        <v>292</v>
      </c>
      <c r="L1803" s="536"/>
      <c r="M1803" s="509">
        <f t="shared" si="5173"/>
        <v>4.2808219178082192</v>
      </c>
      <c r="N1803" s="646"/>
      <c r="O1803" s="626"/>
      <c r="P1803" s="629"/>
      <c r="Q1803" s="629"/>
    </row>
    <row r="1804" spans="1:17" ht="15.75" hidden="1" thickBot="1">
      <c r="A1804" s="404" t="str">
        <f t="shared" ref="A1804:B1804" si="5194">A1799</f>
        <v>PA</v>
      </c>
      <c r="B1804" s="402" t="str">
        <f t="shared" si="5194"/>
        <v>particle</v>
      </c>
      <c r="C1804" s="391">
        <f t="shared" ref="C1804" si="5195">C1803</f>
        <v>6</v>
      </c>
      <c r="D1804" s="402" t="str">
        <f t="shared" ref="D1804:E1804" si="5196">D1799</f>
        <v>1-10</v>
      </c>
      <c r="E1804" s="402">
        <f t="shared" si="5196"/>
        <v>10</v>
      </c>
      <c r="F1804" s="391" t="str">
        <f t="shared" ref="F1804:G1804" si="5197">F1803</f>
        <v>air</v>
      </c>
      <c r="G1804" s="401" t="str">
        <f t="shared" si="5197"/>
        <v>DE: PA particle 1-10 mm (emission to air)</v>
      </c>
      <c r="H1804" s="465">
        <v>0</v>
      </c>
      <c r="I1804" s="394" t="s">
        <v>1034</v>
      </c>
      <c r="J1804" s="636"/>
      <c r="K1804" s="398" t="s">
        <v>596</v>
      </c>
      <c r="L1804" s="538"/>
      <c r="M1804" s="509">
        <f t="shared" si="5173"/>
        <v>0</v>
      </c>
      <c r="N1804" s="647"/>
      <c r="O1804" s="627"/>
      <c r="P1804" s="629"/>
      <c r="Q1804" s="629"/>
    </row>
    <row r="1805" spans="1:17" ht="16.5" hidden="1" thickTop="1" thickBot="1">
      <c r="A1805" s="442" t="s">
        <v>18</v>
      </c>
      <c r="B1805" s="443" t="s">
        <v>996</v>
      </c>
      <c r="C1805" s="444">
        <f>IF(OR(B1805="Folie", B1805="Strips", B1805="Film",B1805="Flakes",B1805="Coupon"), 2,IF(OR(B1805="Fibers",B1805="Pellets"),4,IF(OR(B1805="Particles",B1805="Shreds",B1805="Powder",B1805="Fragments",B1805="Granules"),6,"")))</f>
        <v>2</v>
      </c>
      <c r="D1805" s="444" t="s">
        <v>1018</v>
      </c>
      <c r="E1805" s="445">
        <v>0.1</v>
      </c>
      <c r="F1805" s="446" t="s">
        <v>1019</v>
      </c>
      <c r="G1805" s="447" t="str">
        <f>CONCATENATE("DE: ",A1805," ",B1805," ",D1805," mm (emission to ",F1805,")")</f>
        <v>DE: PHB film 0,01-0,1 mm (emission to soil)</v>
      </c>
      <c r="H1805" s="464">
        <v>0.97</v>
      </c>
      <c r="I1805" s="448" t="s">
        <v>1019</v>
      </c>
      <c r="J1805" s="632">
        <v>0.22800000000000001</v>
      </c>
      <c r="K1805" s="449">
        <v>789.99</v>
      </c>
      <c r="L1805" s="541"/>
      <c r="M1805" s="509">
        <f t="shared" si="5173"/>
        <v>6.3291940404308911E-2</v>
      </c>
      <c r="N1805" s="645">
        <f t="shared" ref="N1805" si="5198">IFERROR(H1805*M1805+H1806*M1806+H1807*M1807+H1808*M1808+H1809*M1809,"N.A.")</f>
        <v>6.4269894520946766E-2</v>
      </c>
      <c r="O1805" s="625"/>
      <c r="P1805" s="628">
        <f t="shared" si="5047"/>
        <v>6.4269894520946766E-2</v>
      </c>
      <c r="Q1805" s="628">
        <f t="shared" si="5160"/>
        <v>6.4269894520946766E-2</v>
      </c>
    </row>
    <row r="1806" spans="1:17" ht="15.75" hidden="1" thickBot="1">
      <c r="A1806" s="390" t="str">
        <f>A1805</f>
        <v>PHB</v>
      </c>
      <c r="B1806" s="391" t="str">
        <f>B1805</f>
        <v>film</v>
      </c>
      <c r="C1806" s="391">
        <f t="shared" ref="C1806:G1806" si="5199">C1805</f>
        <v>2</v>
      </c>
      <c r="D1806" s="391" t="str">
        <f t="shared" si="5199"/>
        <v>0,01-0,1</v>
      </c>
      <c r="E1806" s="391">
        <f t="shared" si="5199"/>
        <v>0.1</v>
      </c>
      <c r="F1806" s="391" t="str">
        <f t="shared" si="5199"/>
        <v>soil</v>
      </c>
      <c r="G1806" s="392" t="str">
        <f t="shared" si="5199"/>
        <v>DE: PHB film 0,01-0,1 mm (emission to soil)</v>
      </c>
      <c r="H1806" s="465">
        <v>0</v>
      </c>
      <c r="I1806" s="394" t="s">
        <v>1097</v>
      </c>
      <c r="J1806" s="632"/>
      <c r="K1806" s="395">
        <v>521.42857142857144</v>
      </c>
      <c r="L1806" s="537"/>
      <c r="M1806" s="509">
        <f t="shared" si="5173"/>
        <v>9.5890410958904104E-2</v>
      </c>
      <c r="N1806" s="646"/>
      <c r="O1806" s="626"/>
      <c r="P1806" s="629"/>
      <c r="Q1806" s="629"/>
    </row>
    <row r="1807" spans="1:17" ht="15.75" hidden="1" thickBot="1">
      <c r="A1807" s="390" t="str">
        <f t="shared" ref="A1807:G1807" si="5200">A1806</f>
        <v>PHB</v>
      </c>
      <c r="B1807" s="391" t="str">
        <f t="shared" si="5200"/>
        <v>film</v>
      </c>
      <c r="C1807" s="391">
        <f t="shared" si="5200"/>
        <v>2</v>
      </c>
      <c r="D1807" s="391" t="str">
        <f t="shared" si="5200"/>
        <v>0,01-0,1</v>
      </c>
      <c r="E1807" s="391">
        <f t="shared" si="5200"/>
        <v>0.1</v>
      </c>
      <c r="F1807" s="391" t="str">
        <f t="shared" si="5200"/>
        <v>soil</v>
      </c>
      <c r="G1807" s="392" t="str">
        <f t="shared" si="5200"/>
        <v>DE: PHB film 0,01-0,1 mm (emission to soil)</v>
      </c>
      <c r="H1807" s="465">
        <v>2.7E-2</v>
      </c>
      <c r="I1807" s="394" t="s">
        <v>1162</v>
      </c>
      <c r="J1807" s="632"/>
      <c r="K1807" s="395">
        <v>521.42857142857144</v>
      </c>
      <c r="L1807" s="537"/>
      <c r="M1807" s="509">
        <f t="shared" si="5173"/>
        <v>9.5890410958904104E-2</v>
      </c>
      <c r="N1807" s="646"/>
      <c r="O1807" s="626"/>
      <c r="P1807" s="629"/>
      <c r="Q1807" s="629"/>
    </row>
    <row r="1808" spans="1:17" ht="15.75" hidden="1" thickBot="1">
      <c r="A1808" s="390" t="str">
        <f t="shared" ref="A1808:G1808" si="5201">A1807</f>
        <v>PHB</v>
      </c>
      <c r="B1808" s="391" t="str">
        <f t="shared" si="5201"/>
        <v>film</v>
      </c>
      <c r="C1808" s="391">
        <f t="shared" si="5201"/>
        <v>2</v>
      </c>
      <c r="D1808" s="391" t="str">
        <f t="shared" si="5201"/>
        <v>0,01-0,1</v>
      </c>
      <c r="E1808" s="391">
        <f t="shared" si="5201"/>
        <v>0.1</v>
      </c>
      <c r="F1808" s="391" t="str">
        <f t="shared" si="5201"/>
        <v>soil</v>
      </c>
      <c r="G1808" s="392" t="str">
        <f t="shared" si="5201"/>
        <v>DE: PHB film 0,01-0,1 mm (emission to soil)</v>
      </c>
      <c r="H1808" s="465">
        <v>3.0000000000000001E-3</v>
      </c>
      <c r="I1808" s="394" t="s">
        <v>1163</v>
      </c>
      <c r="J1808" s="632"/>
      <c r="K1808" s="395">
        <v>521.42857142857144</v>
      </c>
      <c r="L1808" s="537"/>
      <c r="M1808" s="509">
        <f t="shared" si="5173"/>
        <v>9.5890410958904104E-2</v>
      </c>
      <c r="N1808" s="646"/>
      <c r="O1808" s="626"/>
      <c r="P1808" s="629"/>
      <c r="Q1808" s="629"/>
    </row>
    <row r="1809" spans="1:17" ht="15.75" hidden="1" thickBot="1">
      <c r="A1809" s="390" t="str">
        <f>A1806</f>
        <v>PHB</v>
      </c>
      <c r="B1809" s="391" t="str">
        <f>B1806</f>
        <v>film</v>
      </c>
      <c r="C1809" s="391">
        <f t="shared" ref="C1809" si="5202">C1808</f>
        <v>2</v>
      </c>
      <c r="D1809" s="391" t="str">
        <f>D1806</f>
        <v>0,01-0,1</v>
      </c>
      <c r="E1809" s="391">
        <f>E1806</f>
        <v>0.1</v>
      </c>
      <c r="F1809" s="391" t="str">
        <f>F1806</f>
        <v>soil</v>
      </c>
      <c r="G1809" s="396" t="str">
        <f t="shared" ref="G1809" si="5203">G1808</f>
        <v>DE: PHB film 0,01-0,1 mm (emission to soil)</v>
      </c>
      <c r="H1809" s="465">
        <v>0</v>
      </c>
      <c r="I1809" s="397" t="s">
        <v>1034</v>
      </c>
      <c r="J1809" s="633"/>
      <c r="K1809" s="398" t="s">
        <v>596</v>
      </c>
      <c r="L1809" s="538"/>
      <c r="M1809" s="509">
        <f t="shared" si="5173"/>
        <v>0</v>
      </c>
      <c r="N1809" s="647"/>
      <c r="O1809" s="627"/>
      <c r="P1809" s="629"/>
      <c r="Q1809" s="629"/>
    </row>
    <row r="1810" spans="1:17" ht="15.75" hidden="1" thickBot="1">
      <c r="A1810" s="390" t="str">
        <f t="shared" ref="A1810:B1810" si="5204">A1807</f>
        <v>PHB</v>
      </c>
      <c r="B1810" s="391" t="str">
        <f t="shared" si="5204"/>
        <v>film</v>
      </c>
      <c r="C1810" s="391">
        <f t="shared" ref="C1810" si="5205">C1809</f>
        <v>2</v>
      </c>
      <c r="D1810" s="399" t="str">
        <f t="shared" ref="D1810:E1810" si="5206">D1807</f>
        <v>0,01-0,1</v>
      </c>
      <c r="E1810" s="391">
        <f t="shared" si="5206"/>
        <v>0.1</v>
      </c>
      <c r="F1810" s="400" t="s">
        <v>1147</v>
      </c>
      <c r="G1810" s="386" t="str">
        <f>CONCATENATE("DE: ",A1810," ",B1810," ",D1810," mm (emission to ",F1810,")")</f>
        <v>DE: PHB film 0,01-0,1 mm (emission to fresh water)</v>
      </c>
      <c r="H1810" s="466">
        <v>0</v>
      </c>
      <c r="I1810" s="388" t="s">
        <v>1019</v>
      </c>
      <c r="J1810" s="634">
        <v>0.22800000000000001</v>
      </c>
      <c r="K1810" s="389">
        <v>789.99</v>
      </c>
      <c r="L1810" s="536"/>
      <c r="M1810" s="509">
        <f t="shared" si="5173"/>
        <v>6.3291940404308911E-2</v>
      </c>
      <c r="N1810" s="645">
        <f t="shared" ref="N1810" si="5207">IFERROR(H1810*M1810+H1811*M1811+H1812*M1812+H1813*M1813+H1814*M1814,"N.A.")</f>
        <v>9.5890410958904104E-2</v>
      </c>
      <c r="O1810" s="625"/>
      <c r="P1810" s="628">
        <f t="shared" si="5047"/>
        <v>9.5890410958904104E-2</v>
      </c>
      <c r="Q1810" s="628">
        <f t="shared" si="5160"/>
        <v>9.5890410958904104E-2</v>
      </c>
    </row>
    <row r="1811" spans="1:17" ht="15.75" hidden="1" thickBot="1">
      <c r="A1811" s="390" t="str">
        <f t="shared" ref="A1811:B1811" si="5208">A1808</f>
        <v>PHB</v>
      </c>
      <c r="B1811" s="391" t="str">
        <f t="shared" si="5208"/>
        <v>film</v>
      </c>
      <c r="C1811" s="391">
        <f t="shared" ref="C1811" si="5209">C1810</f>
        <v>2</v>
      </c>
      <c r="D1811" s="391" t="str">
        <f t="shared" ref="D1811:E1811" si="5210">D1808</f>
        <v>0,01-0,1</v>
      </c>
      <c r="E1811" s="391">
        <f t="shared" si="5210"/>
        <v>0.1</v>
      </c>
      <c r="F1811" s="391" t="str">
        <f t="shared" ref="F1811:G1811" si="5211">F1810</f>
        <v>fresh water</v>
      </c>
      <c r="G1811" s="401" t="str">
        <f t="shared" si="5211"/>
        <v>DE: PHB film 0,01-0,1 mm (emission to fresh water)</v>
      </c>
      <c r="H1811" s="465">
        <v>0</v>
      </c>
      <c r="I1811" s="394" t="s">
        <v>1097</v>
      </c>
      <c r="J1811" s="635"/>
      <c r="K1811" s="389">
        <v>521.42857142857144</v>
      </c>
      <c r="L1811" s="536"/>
      <c r="M1811" s="509">
        <f t="shared" si="5173"/>
        <v>9.5890410958904104E-2</v>
      </c>
      <c r="N1811" s="646"/>
      <c r="O1811" s="626"/>
      <c r="P1811" s="629"/>
      <c r="Q1811" s="629"/>
    </row>
    <row r="1812" spans="1:17" ht="15.75" hidden="1" thickBot="1">
      <c r="A1812" s="390" t="str">
        <f t="shared" ref="A1812:B1812" si="5212">A1809</f>
        <v>PHB</v>
      </c>
      <c r="B1812" s="391" t="str">
        <f t="shared" si="5212"/>
        <v>film</v>
      </c>
      <c r="C1812" s="391">
        <f t="shared" ref="C1812" si="5213">C1811</f>
        <v>2</v>
      </c>
      <c r="D1812" s="391" t="str">
        <f t="shared" ref="D1812:E1812" si="5214">D1809</f>
        <v>0,01-0,1</v>
      </c>
      <c r="E1812" s="391">
        <f t="shared" si="5214"/>
        <v>0.1</v>
      </c>
      <c r="F1812" s="391" t="str">
        <f t="shared" ref="F1812:G1812" si="5215">F1811</f>
        <v>fresh water</v>
      </c>
      <c r="G1812" s="401" t="str">
        <f t="shared" si="5215"/>
        <v>DE: PHB film 0,01-0,1 mm (emission to fresh water)</v>
      </c>
      <c r="H1812" s="465">
        <v>0.89</v>
      </c>
      <c r="I1812" s="394" t="s">
        <v>1162</v>
      </c>
      <c r="J1812" s="635"/>
      <c r="K1812" s="389">
        <v>521.42857142857144</v>
      </c>
      <c r="L1812" s="536"/>
      <c r="M1812" s="509">
        <f t="shared" si="5173"/>
        <v>9.5890410958904104E-2</v>
      </c>
      <c r="N1812" s="646"/>
      <c r="O1812" s="626"/>
      <c r="P1812" s="629"/>
      <c r="Q1812" s="629"/>
    </row>
    <row r="1813" spans="1:17" ht="15.75" hidden="1" thickBot="1">
      <c r="A1813" s="390" t="str">
        <f t="shared" ref="A1813:B1813" si="5216">A1810</f>
        <v>PHB</v>
      </c>
      <c r="B1813" s="391" t="str">
        <f t="shared" si="5216"/>
        <v>film</v>
      </c>
      <c r="C1813" s="391">
        <f t="shared" ref="C1813" si="5217">C1812</f>
        <v>2</v>
      </c>
      <c r="D1813" s="391" t="str">
        <f t="shared" ref="D1813:E1813" si="5218">D1810</f>
        <v>0,01-0,1</v>
      </c>
      <c r="E1813" s="391">
        <f t="shared" si="5218"/>
        <v>0.1</v>
      </c>
      <c r="F1813" s="391" t="str">
        <f t="shared" ref="F1813:G1813" si="5219">F1812</f>
        <v>fresh water</v>
      </c>
      <c r="G1813" s="401" t="str">
        <f t="shared" si="5219"/>
        <v>DE: PHB film 0,01-0,1 mm (emission to fresh water)</v>
      </c>
      <c r="H1813" s="465">
        <v>0.11</v>
      </c>
      <c r="I1813" s="394" t="s">
        <v>1163</v>
      </c>
      <c r="J1813" s="635"/>
      <c r="K1813" s="389">
        <v>521.42857142857144</v>
      </c>
      <c r="L1813" s="536"/>
      <c r="M1813" s="509">
        <f t="shared" si="5173"/>
        <v>9.5890410958904104E-2</v>
      </c>
      <c r="N1813" s="646"/>
      <c r="O1813" s="626"/>
      <c r="P1813" s="629"/>
      <c r="Q1813" s="629"/>
    </row>
    <row r="1814" spans="1:17" ht="15.75" hidden="1" thickBot="1">
      <c r="A1814" s="390" t="str">
        <f t="shared" ref="A1814:B1814" si="5220">A1811</f>
        <v>PHB</v>
      </c>
      <c r="B1814" s="391" t="str">
        <f t="shared" si="5220"/>
        <v>film</v>
      </c>
      <c r="C1814" s="391">
        <f t="shared" ref="C1814" si="5221">C1813</f>
        <v>2</v>
      </c>
      <c r="D1814" s="391" t="str">
        <f t="shared" ref="D1814:E1814" si="5222">D1811</f>
        <v>0,01-0,1</v>
      </c>
      <c r="E1814" s="391">
        <f t="shared" si="5222"/>
        <v>0.1</v>
      </c>
      <c r="F1814" s="402" t="str">
        <f>F1811</f>
        <v>fresh water</v>
      </c>
      <c r="G1814" s="401" t="str">
        <f t="shared" ref="G1814" si="5223">G1813</f>
        <v>DE: PHB film 0,01-0,1 mm (emission to fresh water)</v>
      </c>
      <c r="H1814" s="465">
        <v>0</v>
      </c>
      <c r="I1814" s="397" t="s">
        <v>1034</v>
      </c>
      <c r="J1814" s="654"/>
      <c r="K1814" s="398" t="s">
        <v>596</v>
      </c>
      <c r="L1814" s="538"/>
      <c r="M1814" s="509">
        <f t="shared" si="5173"/>
        <v>0</v>
      </c>
      <c r="N1814" s="647"/>
      <c r="O1814" s="627"/>
      <c r="P1814" s="629"/>
      <c r="Q1814" s="629"/>
    </row>
    <row r="1815" spans="1:17" ht="15.75" hidden="1" thickBot="1">
      <c r="A1815" s="390" t="str">
        <f t="shared" ref="A1815:B1815" si="5224">A1812</f>
        <v>PHB</v>
      </c>
      <c r="B1815" s="391" t="str">
        <f t="shared" si="5224"/>
        <v>film</v>
      </c>
      <c r="C1815" s="391">
        <f t="shared" ref="C1815" si="5225">C1814</f>
        <v>2</v>
      </c>
      <c r="D1815" s="391" t="str">
        <f t="shared" ref="D1815:E1815" si="5226">D1812</f>
        <v>0,01-0,1</v>
      </c>
      <c r="E1815" s="391">
        <f t="shared" si="5226"/>
        <v>0.1</v>
      </c>
      <c r="F1815" s="385" t="s">
        <v>1097</v>
      </c>
      <c r="G1815" s="422" t="str">
        <f>CONCATENATE("DE: ",A1815," ",B1815," ",D1815," mm (emission to ",F1815,")")</f>
        <v>DE: PHB film 0,01-0,1 mm (emission to marine water)</v>
      </c>
      <c r="H1815" s="467">
        <v>0</v>
      </c>
      <c r="I1815" s="388" t="s">
        <v>1019</v>
      </c>
      <c r="J1815" s="634">
        <v>0.22800000000000001</v>
      </c>
      <c r="K1815" s="389">
        <v>789.99</v>
      </c>
      <c r="L1815" s="536"/>
      <c r="M1815" s="509">
        <f t="shared" si="5173"/>
        <v>6.3291940404308911E-2</v>
      </c>
      <c r="N1815" s="645">
        <f t="shared" ref="N1815" si="5227">IFERROR(H1815*M1815+H1816*M1816+H1817*M1817+H1818*M1818+H1819*M1819,"N.A.")</f>
        <v>9.5890410958904104E-2</v>
      </c>
      <c r="O1815" s="625"/>
      <c r="P1815" s="628">
        <f t="shared" si="5047"/>
        <v>9.5890410958904104E-2</v>
      </c>
      <c r="Q1815" s="628">
        <f t="shared" si="5160"/>
        <v>9.5890410958904104E-2</v>
      </c>
    </row>
    <row r="1816" spans="1:17" ht="15.75" hidden="1" thickBot="1">
      <c r="A1816" s="390" t="str">
        <f t="shared" ref="A1816:B1816" si="5228">A1813</f>
        <v>PHB</v>
      </c>
      <c r="B1816" s="391" t="str">
        <f t="shared" si="5228"/>
        <v>film</v>
      </c>
      <c r="C1816" s="391">
        <f t="shared" ref="C1816" si="5229">C1815</f>
        <v>2</v>
      </c>
      <c r="D1816" s="391" t="str">
        <f t="shared" ref="D1816:E1816" si="5230">D1813</f>
        <v>0,01-0,1</v>
      </c>
      <c r="E1816" s="391">
        <f t="shared" si="5230"/>
        <v>0.1</v>
      </c>
      <c r="F1816" s="391" t="str">
        <f t="shared" ref="F1816:G1816" si="5231">F1815</f>
        <v>marine water</v>
      </c>
      <c r="G1816" s="401" t="str">
        <f t="shared" si="5231"/>
        <v>DE: PHB film 0,01-0,1 mm (emission to marine water)</v>
      </c>
      <c r="H1816" s="465">
        <v>0</v>
      </c>
      <c r="I1816" s="394" t="s">
        <v>1097</v>
      </c>
      <c r="J1816" s="635"/>
      <c r="K1816" s="389">
        <v>521.42857142857144</v>
      </c>
      <c r="L1816" s="536"/>
      <c r="M1816" s="509">
        <f t="shared" si="5173"/>
        <v>9.5890410958904104E-2</v>
      </c>
      <c r="N1816" s="646"/>
      <c r="O1816" s="626"/>
      <c r="P1816" s="629"/>
      <c r="Q1816" s="629"/>
    </row>
    <row r="1817" spans="1:17" ht="15.75" hidden="1" thickBot="1">
      <c r="A1817" s="390" t="str">
        <f t="shared" ref="A1817:B1817" si="5232">A1814</f>
        <v>PHB</v>
      </c>
      <c r="B1817" s="391" t="str">
        <f t="shared" si="5232"/>
        <v>film</v>
      </c>
      <c r="C1817" s="391">
        <f t="shared" ref="C1817" si="5233">C1816</f>
        <v>2</v>
      </c>
      <c r="D1817" s="391" t="str">
        <f t="shared" ref="D1817:E1817" si="5234">D1814</f>
        <v>0,01-0,1</v>
      </c>
      <c r="E1817" s="391">
        <f t="shared" si="5234"/>
        <v>0.1</v>
      </c>
      <c r="F1817" s="391" t="str">
        <f t="shared" ref="F1817:G1817" si="5235">F1816</f>
        <v>marine water</v>
      </c>
      <c r="G1817" s="401" t="str">
        <f t="shared" si="5235"/>
        <v>DE: PHB film 0,01-0,1 mm (emission to marine water)</v>
      </c>
      <c r="H1817" s="465">
        <v>0</v>
      </c>
      <c r="I1817" s="394" t="s">
        <v>1162</v>
      </c>
      <c r="J1817" s="635"/>
      <c r="K1817" s="389">
        <v>521.42857142857144</v>
      </c>
      <c r="L1817" s="536"/>
      <c r="M1817" s="509">
        <f t="shared" si="5173"/>
        <v>9.5890410958904104E-2</v>
      </c>
      <c r="N1817" s="646"/>
      <c r="O1817" s="626"/>
      <c r="P1817" s="629"/>
      <c r="Q1817" s="629"/>
    </row>
    <row r="1818" spans="1:17" ht="15.75" hidden="1" thickBot="1">
      <c r="A1818" s="390" t="str">
        <f t="shared" ref="A1818:B1818" si="5236">A1815</f>
        <v>PHB</v>
      </c>
      <c r="B1818" s="391" t="str">
        <f t="shared" si="5236"/>
        <v>film</v>
      </c>
      <c r="C1818" s="391">
        <f t="shared" ref="C1818" si="5237">C1817</f>
        <v>2</v>
      </c>
      <c r="D1818" s="391" t="str">
        <f t="shared" ref="D1818:E1818" si="5238">D1815</f>
        <v>0,01-0,1</v>
      </c>
      <c r="E1818" s="391">
        <f t="shared" si="5238"/>
        <v>0.1</v>
      </c>
      <c r="F1818" s="391" t="str">
        <f t="shared" ref="F1818:G1818" si="5239">F1817</f>
        <v>marine water</v>
      </c>
      <c r="G1818" s="401" t="str">
        <f t="shared" si="5239"/>
        <v>DE: PHB film 0,01-0,1 mm (emission to marine water)</v>
      </c>
      <c r="H1818" s="465">
        <v>1</v>
      </c>
      <c r="I1818" s="394" t="s">
        <v>1163</v>
      </c>
      <c r="J1818" s="635"/>
      <c r="K1818" s="389">
        <v>521.42857142857144</v>
      </c>
      <c r="L1818" s="536"/>
      <c r="M1818" s="509">
        <f t="shared" si="5173"/>
        <v>9.5890410958904104E-2</v>
      </c>
      <c r="N1818" s="646"/>
      <c r="O1818" s="626"/>
      <c r="P1818" s="629"/>
      <c r="Q1818" s="629"/>
    </row>
    <row r="1819" spans="1:17" ht="15.75" hidden="1" thickBot="1">
      <c r="A1819" s="390" t="str">
        <f t="shared" ref="A1819:B1819" si="5240">A1816</f>
        <v>PHB</v>
      </c>
      <c r="B1819" s="391" t="str">
        <f t="shared" si="5240"/>
        <v>film</v>
      </c>
      <c r="C1819" s="391">
        <f t="shared" ref="C1819" si="5241">C1818</f>
        <v>2</v>
      </c>
      <c r="D1819" s="391" t="str">
        <f t="shared" ref="D1819:E1819" si="5242">D1816</f>
        <v>0,01-0,1</v>
      </c>
      <c r="E1819" s="391">
        <f t="shared" si="5242"/>
        <v>0.1</v>
      </c>
      <c r="F1819" s="391" t="str">
        <f t="shared" ref="F1819:G1819" si="5243">F1818</f>
        <v>marine water</v>
      </c>
      <c r="G1819" s="401" t="str">
        <f t="shared" si="5243"/>
        <v>DE: PHB film 0,01-0,1 mm (emission to marine water)</v>
      </c>
      <c r="H1819" s="465">
        <v>0</v>
      </c>
      <c r="I1819" s="397" t="s">
        <v>1034</v>
      </c>
      <c r="J1819" s="654"/>
      <c r="K1819" s="398" t="s">
        <v>596</v>
      </c>
      <c r="L1819" s="538"/>
      <c r="M1819" s="509">
        <f t="shared" si="5173"/>
        <v>0</v>
      </c>
      <c r="N1819" s="647"/>
      <c r="O1819" s="627"/>
      <c r="P1819" s="629"/>
      <c r="Q1819" s="629"/>
    </row>
    <row r="1820" spans="1:17" ht="15.75" hidden="1" thickBot="1">
      <c r="A1820" s="390" t="str">
        <f t="shared" ref="A1820:B1820" si="5244">A1817</f>
        <v>PHB</v>
      </c>
      <c r="B1820" s="391" t="str">
        <f t="shared" si="5244"/>
        <v>film</v>
      </c>
      <c r="C1820" s="391">
        <f t="shared" ref="C1820" si="5245">C1819</f>
        <v>2</v>
      </c>
      <c r="D1820" s="391" t="str">
        <f t="shared" ref="D1820:E1820" si="5246">D1817</f>
        <v>0,01-0,1</v>
      </c>
      <c r="E1820" s="391">
        <f t="shared" si="5246"/>
        <v>0.1</v>
      </c>
      <c r="F1820" s="400" t="s">
        <v>1057</v>
      </c>
      <c r="G1820" s="422" t="str">
        <f>CONCATENATE("DE: ",A1820," ",B1820," ",D1820," mm (emission to ",F1820,")")</f>
        <v>DE: PHB film 0,01-0,1 mm (emission to air)</v>
      </c>
      <c r="H1820" s="467">
        <v>0.94799999999999995</v>
      </c>
      <c r="I1820" s="388" t="s">
        <v>1019</v>
      </c>
      <c r="J1820" s="634">
        <v>0.22800000000000001</v>
      </c>
      <c r="K1820" s="389">
        <v>789.99</v>
      </c>
      <c r="L1820" s="536"/>
      <c r="M1820" s="509">
        <f t="shared" si="5173"/>
        <v>6.3291940404308911E-2</v>
      </c>
      <c r="N1820" s="645">
        <f t="shared" ref="N1820" si="5247">IFERROR(H1820*M1820+H1821*M1821+H1822*M1822+H1823*M1823+H1824*M1824,"N.A.")</f>
        <v>6.4987060873147859E-2</v>
      </c>
      <c r="O1820" s="625"/>
      <c r="P1820" s="628">
        <f t="shared" si="5047"/>
        <v>6.4987060873147859E-2</v>
      </c>
      <c r="Q1820" s="628">
        <f t="shared" si="5160"/>
        <v>6.4987060873147859E-2</v>
      </c>
    </row>
    <row r="1821" spans="1:17" ht="15.75" hidden="1" thickBot="1">
      <c r="A1821" s="390" t="str">
        <f t="shared" ref="A1821:B1821" si="5248">A1818</f>
        <v>PHB</v>
      </c>
      <c r="B1821" s="391" t="str">
        <f t="shared" si="5248"/>
        <v>film</v>
      </c>
      <c r="C1821" s="391">
        <f t="shared" ref="C1821" si="5249">C1820</f>
        <v>2</v>
      </c>
      <c r="D1821" s="391" t="str">
        <f t="shared" ref="D1821:E1821" si="5250">D1818</f>
        <v>0,01-0,1</v>
      </c>
      <c r="E1821" s="391">
        <f t="shared" si="5250"/>
        <v>0.1</v>
      </c>
      <c r="F1821" s="391" t="str">
        <f t="shared" ref="F1821:G1821" si="5251">F1820</f>
        <v>air</v>
      </c>
      <c r="G1821" s="401" t="str">
        <f t="shared" si="5251"/>
        <v>DE: PHB film 0,01-0,1 mm (emission to air)</v>
      </c>
      <c r="H1821" s="465">
        <v>0</v>
      </c>
      <c r="I1821" s="394" t="s">
        <v>1097</v>
      </c>
      <c r="J1821" s="635"/>
      <c r="K1821" s="389">
        <v>521.42857142857144</v>
      </c>
      <c r="L1821" s="536"/>
      <c r="M1821" s="509">
        <f t="shared" si="5173"/>
        <v>9.5890410958904104E-2</v>
      </c>
      <c r="N1821" s="646"/>
      <c r="O1821" s="626"/>
      <c r="P1821" s="629"/>
      <c r="Q1821" s="629"/>
    </row>
    <row r="1822" spans="1:17" ht="15.75" hidden="1" thickBot="1">
      <c r="A1822" s="390" t="str">
        <f t="shared" ref="A1822:B1822" si="5252">A1819</f>
        <v>PHB</v>
      </c>
      <c r="B1822" s="391" t="str">
        <f t="shared" si="5252"/>
        <v>film</v>
      </c>
      <c r="C1822" s="391">
        <f t="shared" ref="C1822" si="5253">C1821</f>
        <v>2</v>
      </c>
      <c r="D1822" s="391" t="str">
        <f t="shared" ref="D1822:E1822" si="5254">D1819</f>
        <v>0,01-0,1</v>
      </c>
      <c r="E1822" s="391">
        <f t="shared" si="5254"/>
        <v>0.1</v>
      </c>
      <c r="F1822" s="391" t="str">
        <f t="shared" ref="F1822:G1822" si="5255">F1821</f>
        <v>air</v>
      </c>
      <c r="G1822" s="401" t="str">
        <f t="shared" si="5255"/>
        <v>DE: PHB film 0,01-0,1 mm (emission to air)</v>
      </c>
      <c r="H1822" s="465">
        <v>4.7E-2</v>
      </c>
      <c r="I1822" s="394" t="s">
        <v>1162</v>
      </c>
      <c r="J1822" s="635"/>
      <c r="K1822" s="389">
        <v>521.42857142857144</v>
      </c>
      <c r="L1822" s="536"/>
      <c r="M1822" s="509">
        <f t="shared" si="5173"/>
        <v>9.5890410958904104E-2</v>
      </c>
      <c r="N1822" s="646"/>
      <c r="O1822" s="626"/>
      <c r="P1822" s="629"/>
      <c r="Q1822" s="629"/>
    </row>
    <row r="1823" spans="1:17" ht="15.75" hidden="1" thickBot="1">
      <c r="A1823" s="390" t="str">
        <f t="shared" ref="A1823:B1823" si="5256">A1820</f>
        <v>PHB</v>
      </c>
      <c r="B1823" s="391" t="str">
        <f t="shared" si="5256"/>
        <v>film</v>
      </c>
      <c r="C1823" s="391">
        <f t="shared" ref="C1823" si="5257">C1822</f>
        <v>2</v>
      </c>
      <c r="D1823" s="391" t="str">
        <f t="shared" ref="D1823:E1823" si="5258">D1820</f>
        <v>0,01-0,1</v>
      </c>
      <c r="E1823" s="391">
        <f t="shared" si="5258"/>
        <v>0.1</v>
      </c>
      <c r="F1823" s="391" t="str">
        <f t="shared" ref="F1823:G1823" si="5259">F1822</f>
        <v>air</v>
      </c>
      <c r="G1823" s="401" t="str">
        <f t="shared" si="5259"/>
        <v>DE: PHB film 0,01-0,1 mm (emission to air)</v>
      </c>
      <c r="H1823" s="465">
        <v>5.0000000000000001E-3</v>
      </c>
      <c r="I1823" s="394" t="s">
        <v>1163</v>
      </c>
      <c r="J1823" s="635"/>
      <c r="K1823" s="389">
        <v>521.42857142857144</v>
      </c>
      <c r="L1823" s="536"/>
      <c r="M1823" s="509">
        <f t="shared" si="5173"/>
        <v>9.5890410958904104E-2</v>
      </c>
      <c r="N1823" s="646"/>
      <c r="O1823" s="626"/>
      <c r="P1823" s="629"/>
      <c r="Q1823" s="629"/>
    </row>
    <row r="1824" spans="1:17" ht="15.75" hidden="1" thickBot="1">
      <c r="A1824" s="390" t="str">
        <f t="shared" ref="A1824:B1824" si="5260">A1819</f>
        <v>PHB</v>
      </c>
      <c r="B1824" s="391" t="str">
        <f t="shared" si="5260"/>
        <v>film</v>
      </c>
      <c r="C1824" s="391">
        <f t="shared" ref="C1824" si="5261">C1823</f>
        <v>2</v>
      </c>
      <c r="D1824" s="391" t="str">
        <f t="shared" ref="D1824:E1824" si="5262">D1819</f>
        <v>0,01-0,1</v>
      </c>
      <c r="E1824" s="391">
        <f t="shared" si="5262"/>
        <v>0.1</v>
      </c>
      <c r="F1824" s="391" t="str">
        <f t="shared" ref="F1824:G1824" si="5263">F1823</f>
        <v>air</v>
      </c>
      <c r="G1824" s="401" t="str">
        <f t="shared" si="5263"/>
        <v>DE: PHB film 0,01-0,1 mm (emission to air)</v>
      </c>
      <c r="H1824" s="471">
        <v>0</v>
      </c>
      <c r="I1824" s="422" t="s">
        <v>1034</v>
      </c>
      <c r="J1824" s="636"/>
      <c r="K1824" s="451" t="s">
        <v>596</v>
      </c>
      <c r="L1824" s="542"/>
      <c r="M1824" s="509">
        <f t="shared" si="5173"/>
        <v>0</v>
      </c>
      <c r="N1824" s="647"/>
      <c r="O1824" s="627"/>
      <c r="P1824" s="629"/>
      <c r="Q1824" s="629"/>
    </row>
    <row r="1825" spans="1:17" ht="15.75" hidden="1" thickBot="1">
      <c r="A1825" s="405" t="s">
        <v>18</v>
      </c>
      <c r="B1825" s="406" t="s">
        <v>996</v>
      </c>
      <c r="C1825" s="407">
        <f>IF(OR(B1825="Folie", B1825="Strips", B1825="Film",B1825="Flakes",B1825="Coupon"), 2,IF(OR(B1825="Fibers",B1825="Pellets"),4,IF(OR(B1825="Particles",B1825="Shreds",B1825="Powder",B1825="Fragments",B1825="Granules"),6,"")))</f>
        <v>2</v>
      </c>
      <c r="D1825" s="423" t="s">
        <v>1028</v>
      </c>
      <c r="E1825" s="408">
        <v>1</v>
      </c>
      <c r="F1825" s="424" t="s">
        <v>1019</v>
      </c>
      <c r="G1825" s="425" t="str">
        <f>CONCATENATE("DE: ",A1825," ",B1825," ",D1825," mm (emission to ",F1825,")")</f>
        <v>DE: PHB film 0,1-1 mm (emission to soil)</v>
      </c>
      <c r="H1825" s="474">
        <v>0.97</v>
      </c>
      <c r="I1825" s="427" t="s">
        <v>1019</v>
      </c>
      <c r="J1825" s="632">
        <v>0.22800000000000001</v>
      </c>
      <c r="K1825" s="428">
        <v>789.99</v>
      </c>
      <c r="L1825" s="539"/>
      <c r="M1825" s="509">
        <f t="shared" si="5173"/>
        <v>0.63291940404308911</v>
      </c>
      <c r="N1825" s="645">
        <f t="shared" ref="N1825" si="5264">IFERROR(H1825*M1825+H1826*M1826+H1827*M1827+H1828*M1828+H1829*M1829,"N.A.")</f>
        <v>0.64269894520946758</v>
      </c>
      <c r="O1825" s="625"/>
      <c r="P1825" s="628">
        <f t="shared" ref="P1825:P1885" si="5265">IFERROR(IF(H1825*M1825+H1826*M1826+H1827*M1827+H1828*M1828+H1829*M1829&gt;100,100,H1825*M1825+H1826*M1826+H1827*M1827+H1828*M1828+H1829*M1829),"N.A.")</f>
        <v>0.64269894520946758</v>
      </c>
      <c r="Q1825" s="628">
        <f t="shared" si="5160"/>
        <v>0.64269894520946758</v>
      </c>
    </row>
    <row r="1826" spans="1:17" ht="15.75" hidden="1" thickBot="1">
      <c r="A1826" s="390" t="str">
        <f>A1825</f>
        <v>PHB</v>
      </c>
      <c r="B1826" s="391" t="str">
        <f>B1825</f>
        <v>film</v>
      </c>
      <c r="C1826" s="391">
        <f t="shared" ref="C1826:G1826" si="5266">C1825</f>
        <v>2</v>
      </c>
      <c r="D1826" s="391" t="str">
        <f t="shared" si="5266"/>
        <v>0,1-1</v>
      </c>
      <c r="E1826" s="391">
        <f t="shared" si="5266"/>
        <v>1</v>
      </c>
      <c r="F1826" s="391" t="str">
        <f t="shared" si="5266"/>
        <v>soil</v>
      </c>
      <c r="G1826" s="392" t="str">
        <f t="shared" si="5266"/>
        <v>DE: PHB film 0,1-1 mm (emission to soil)</v>
      </c>
      <c r="H1826" s="465">
        <v>0</v>
      </c>
      <c r="I1826" s="394" t="s">
        <v>1097</v>
      </c>
      <c r="J1826" s="632"/>
      <c r="K1826" s="395">
        <v>521.42857142857144</v>
      </c>
      <c r="L1826" s="537"/>
      <c r="M1826" s="509">
        <f t="shared" si="5173"/>
        <v>0.95890410958904104</v>
      </c>
      <c r="N1826" s="646"/>
      <c r="O1826" s="626"/>
      <c r="P1826" s="629"/>
      <c r="Q1826" s="629"/>
    </row>
    <row r="1827" spans="1:17" ht="15.75" hidden="1" thickBot="1">
      <c r="A1827" s="390" t="str">
        <f t="shared" ref="A1827:G1827" si="5267">A1826</f>
        <v>PHB</v>
      </c>
      <c r="B1827" s="391" t="str">
        <f t="shared" si="5267"/>
        <v>film</v>
      </c>
      <c r="C1827" s="391">
        <f t="shared" si="5267"/>
        <v>2</v>
      </c>
      <c r="D1827" s="391" t="str">
        <f t="shared" si="5267"/>
        <v>0,1-1</v>
      </c>
      <c r="E1827" s="391">
        <f t="shared" si="5267"/>
        <v>1</v>
      </c>
      <c r="F1827" s="391" t="str">
        <f t="shared" si="5267"/>
        <v>soil</v>
      </c>
      <c r="G1827" s="392" t="str">
        <f t="shared" si="5267"/>
        <v>DE: PHB film 0,1-1 mm (emission to soil)</v>
      </c>
      <c r="H1827" s="465">
        <v>2.7E-2</v>
      </c>
      <c r="I1827" s="394" t="s">
        <v>1162</v>
      </c>
      <c r="J1827" s="632"/>
      <c r="K1827" s="395">
        <v>521.42857142857144</v>
      </c>
      <c r="L1827" s="537"/>
      <c r="M1827" s="509">
        <f t="shared" si="5173"/>
        <v>0.95890410958904104</v>
      </c>
      <c r="N1827" s="646"/>
      <c r="O1827" s="626"/>
      <c r="P1827" s="629"/>
      <c r="Q1827" s="629"/>
    </row>
    <row r="1828" spans="1:17" ht="15.75" hidden="1" thickBot="1">
      <c r="A1828" s="390" t="str">
        <f t="shared" ref="A1828:G1828" si="5268">A1827</f>
        <v>PHB</v>
      </c>
      <c r="B1828" s="391" t="str">
        <f t="shared" si="5268"/>
        <v>film</v>
      </c>
      <c r="C1828" s="391">
        <f t="shared" si="5268"/>
        <v>2</v>
      </c>
      <c r="D1828" s="391" t="str">
        <f t="shared" si="5268"/>
        <v>0,1-1</v>
      </c>
      <c r="E1828" s="391">
        <f t="shared" si="5268"/>
        <v>1</v>
      </c>
      <c r="F1828" s="391" t="str">
        <f t="shared" si="5268"/>
        <v>soil</v>
      </c>
      <c r="G1828" s="392" t="str">
        <f t="shared" si="5268"/>
        <v>DE: PHB film 0,1-1 mm (emission to soil)</v>
      </c>
      <c r="H1828" s="465">
        <v>3.0000000000000001E-3</v>
      </c>
      <c r="I1828" s="394" t="s">
        <v>1163</v>
      </c>
      <c r="J1828" s="632"/>
      <c r="K1828" s="395">
        <v>521.42857142857144</v>
      </c>
      <c r="L1828" s="537"/>
      <c r="M1828" s="509">
        <f t="shared" si="5173"/>
        <v>0.95890410958904104</v>
      </c>
      <c r="N1828" s="646"/>
      <c r="O1828" s="626"/>
      <c r="P1828" s="629"/>
      <c r="Q1828" s="629"/>
    </row>
    <row r="1829" spans="1:17" ht="15.75" hidden="1" thickBot="1">
      <c r="A1829" s="390" t="str">
        <f>A1826</f>
        <v>PHB</v>
      </c>
      <c r="B1829" s="391" t="str">
        <f>B1826</f>
        <v>film</v>
      </c>
      <c r="C1829" s="391">
        <f t="shared" ref="C1829" si="5269">C1828</f>
        <v>2</v>
      </c>
      <c r="D1829" s="391" t="str">
        <f>D1826</f>
        <v>0,1-1</v>
      </c>
      <c r="E1829" s="391">
        <f>E1826</f>
        <v>1</v>
      </c>
      <c r="F1829" s="391" t="str">
        <f>F1826</f>
        <v>soil</v>
      </c>
      <c r="G1829" s="396" t="str">
        <f t="shared" ref="G1829" si="5270">G1828</f>
        <v>DE: PHB film 0,1-1 mm (emission to soil)</v>
      </c>
      <c r="H1829" s="465">
        <v>0</v>
      </c>
      <c r="I1829" s="397" t="s">
        <v>1034</v>
      </c>
      <c r="J1829" s="633"/>
      <c r="K1829" s="398" t="s">
        <v>596</v>
      </c>
      <c r="L1829" s="538"/>
      <c r="M1829" s="509">
        <f t="shared" si="5173"/>
        <v>0</v>
      </c>
      <c r="N1829" s="647"/>
      <c r="O1829" s="627"/>
      <c r="P1829" s="629"/>
      <c r="Q1829" s="629"/>
    </row>
    <row r="1830" spans="1:17" ht="15.75" hidden="1" thickBot="1">
      <c r="A1830" s="390" t="str">
        <f t="shared" ref="A1830:B1830" si="5271">A1827</f>
        <v>PHB</v>
      </c>
      <c r="B1830" s="391" t="str">
        <f t="shared" si="5271"/>
        <v>film</v>
      </c>
      <c r="C1830" s="391">
        <f t="shared" ref="C1830" si="5272">C1829</f>
        <v>2</v>
      </c>
      <c r="D1830" s="399" t="str">
        <f t="shared" ref="D1830:E1830" si="5273">D1827</f>
        <v>0,1-1</v>
      </c>
      <c r="E1830" s="391">
        <f t="shared" si="5273"/>
        <v>1</v>
      </c>
      <c r="F1830" s="400" t="s">
        <v>1147</v>
      </c>
      <c r="G1830" s="386" t="str">
        <f>CONCATENATE("DE: ",A1830," ",B1830," ",D1830," mm (emission to ",F1830,")")</f>
        <v>DE: PHB film 0,1-1 mm (emission to fresh water)</v>
      </c>
      <c r="H1830" s="466">
        <v>0</v>
      </c>
      <c r="I1830" s="388" t="s">
        <v>1019</v>
      </c>
      <c r="J1830" s="634">
        <v>0.22800000000000001</v>
      </c>
      <c r="K1830" s="389">
        <v>789.99</v>
      </c>
      <c r="L1830" s="536"/>
      <c r="M1830" s="509">
        <f t="shared" si="5173"/>
        <v>0.63291940404308911</v>
      </c>
      <c r="N1830" s="645">
        <f t="shared" ref="N1830" si="5274">IFERROR(H1830*M1830+H1831*M1831+H1832*M1832+H1833*M1833+H1834*M1834,"N.A.")</f>
        <v>0.95890410958904104</v>
      </c>
      <c r="O1830" s="625"/>
      <c r="P1830" s="628">
        <f t="shared" si="5265"/>
        <v>0.95890410958904104</v>
      </c>
      <c r="Q1830" s="628">
        <f t="shared" si="5160"/>
        <v>0.95890410958904104</v>
      </c>
    </row>
    <row r="1831" spans="1:17" ht="15.75" hidden="1" thickBot="1">
      <c r="A1831" s="390" t="str">
        <f t="shared" ref="A1831:B1831" si="5275">A1828</f>
        <v>PHB</v>
      </c>
      <c r="B1831" s="391" t="str">
        <f t="shared" si="5275"/>
        <v>film</v>
      </c>
      <c r="C1831" s="391">
        <f t="shared" ref="C1831" si="5276">C1830</f>
        <v>2</v>
      </c>
      <c r="D1831" s="391" t="str">
        <f t="shared" ref="D1831:E1831" si="5277">D1828</f>
        <v>0,1-1</v>
      </c>
      <c r="E1831" s="391">
        <f t="shared" si="5277"/>
        <v>1</v>
      </c>
      <c r="F1831" s="391" t="str">
        <f t="shared" ref="F1831:G1831" si="5278">F1830</f>
        <v>fresh water</v>
      </c>
      <c r="G1831" s="401" t="str">
        <f t="shared" si="5278"/>
        <v>DE: PHB film 0,1-1 mm (emission to fresh water)</v>
      </c>
      <c r="H1831" s="465">
        <v>0</v>
      </c>
      <c r="I1831" s="394" t="s">
        <v>1097</v>
      </c>
      <c r="J1831" s="635"/>
      <c r="K1831" s="389">
        <v>521.42857142857144</v>
      </c>
      <c r="L1831" s="536"/>
      <c r="M1831" s="509">
        <f t="shared" si="5173"/>
        <v>0.95890410958904104</v>
      </c>
      <c r="N1831" s="646"/>
      <c r="O1831" s="626"/>
      <c r="P1831" s="629"/>
      <c r="Q1831" s="629"/>
    </row>
    <row r="1832" spans="1:17" ht="15.75" hidden="1" thickBot="1">
      <c r="A1832" s="390" t="str">
        <f t="shared" ref="A1832:B1832" si="5279">A1829</f>
        <v>PHB</v>
      </c>
      <c r="B1832" s="391" t="str">
        <f t="shared" si="5279"/>
        <v>film</v>
      </c>
      <c r="C1832" s="391">
        <f t="shared" ref="C1832" si="5280">C1831</f>
        <v>2</v>
      </c>
      <c r="D1832" s="391" t="str">
        <f t="shared" ref="D1832:E1832" si="5281">D1829</f>
        <v>0,1-1</v>
      </c>
      <c r="E1832" s="391">
        <f t="shared" si="5281"/>
        <v>1</v>
      </c>
      <c r="F1832" s="391" t="str">
        <f t="shared" ref="F1832:G1832" si="5282">F1831</f>
        <v>fresh water</v>
      </c>
      <c r="G1832" s="401" t="str">
        <f t="shared" si="5282"/>
        <v>DE: PHB film 0,1-1 mm (emission to fresh water)</v>
      </c>
      <c r="H1832" s="465">
        <v>0.89</v>
      </c>
      <c r="I1832" s="394" t="s">
        <v>1162</v>
      </c>
      <c r="J1832" s="635"/>
      <c r="K1832" s="389">
        <v>521.42857142857144</v>
      </c>
      <c r="L1832" s="536"/>
      <c r="M1832" s="509">
        <f t="shared" si="5173"/>
        <v>0.95890410958904104</v>
      </c>
      <c r="N1832" s="646"/>
      <c r="O1832" s="626"/>
      <c r="P1832" s="629"/>
      <c r="Q1832" s="629"/>
    </row>
    <row r="1833" spans="1:17" ht="15.75" hidden="1" thickBot="1">
      <c r="A1833" s="390" t="str">
        <f t="shared" ref="A1833:B1833" si="5283">A1830</f>
        <v>PHB</v>
      </c>
      <c r="B1833" s="391" t="str">
        <f t="shared" si="5283"/>
        <v>film</v>
      </c>
      <c r="C1833" s="391">
        <f t="shared" ref="C1833" si="5284">C1832</f>
        <v>2</v>
      </c>
      <c r="D1833" s="391" t="str">
        <f t="shared" ref="D1833:E1833" si="5285">D1830</f>
        <v>0,1-1</v>
      </c>
      <c r="E1833" s="391">
        <f t="shared" si="5285"/>
        <v>1</v>
      </c>
      <c r="F1833" s="391" t="str">
        <f t="shared" ref="F1833:G1833" si="5286">F1832</f>
        <v>fresh water</v>
      </c>
      <c r="G1833" s="401" t="str">
        <f t="shared" si="5286"/>
        <v>DE: PHB film 0,1-1 mm (emission to fresh water)</v>
      </c>
      <c r="H1833" s="465">
        <v>0.11</v>
      </c>
      <c r="I1833" s="394" t="s">
        <v>1163</v>
      </c>
      <c r="J1833" s="635"/>
      <c r="K1833" s="389">
        <v>521.42857142857144</v>
      </c>
      <c r="L1833" s="536"/>
      <c r="M1833" s="509">
        <f t="shared" si="5173"/>
        <v>0.95890410958904104</v>
      </c>
      <c r="N1833" s="646"/>
      <c r="O1833" s="626"/>
      <c r="P1833" s="629"/>
      <c r="Q1833" s="629"/>
    </row>
    <row r="1834" spans="1:17" ht="15.75" hidden="1" thickBot="1">
      <c r="A1834" s="390" t="str">
        <f t="shared" ref="A1834:B1834" si="5287">A1831</f>
        <v>PHB</v>
      </c>
      <c r="B1834" s="391" t="str">
        <f t="shared" si="5287"/>
        <v>film</v>
      </c>
      <c r="C1834" s="391">
        <f t="shared" ref="C1834" si="5288">C1833</f>
        <v>2</v>
      </c>
      <c r="D1834" s="391" t="str">
        <f t="shared" ref="D1834:E1834" si="5289">D1831</f>
        <v>0,1-1</v>
      </c>
      <c r="E1834" s="391">
        <f t="shared" si="5289"/>
        <v>1</v>
      </c>
      <c r="F1834" s="402" t="str">
        <f>F1831</f>
        <v>fresh water</v>
      </c>
      <c r="G1834" s="401" t="str">
        <f t="shared" ref="G1834" si="5290">G1833</f>
        <v>DE: PHB film 0,1-1 mm (emission to fresh water)</v>
      </c>
      <c r="H1834" s="465">
        <v>0</v>
      </c>
      <c r="I1834" s="397" t="s">
        <v>1034</v>
      </c>
      <c r="J1834" s="654"/>
      <c r="K1834" s="398" t="s">
        <v>596</v>
      </c>
      <c r="L1834" s="538"/>
      <c r="M1834" s="509">
        <f t="shared" si="5173"/>
        <v>0</v>
      </c>
      <c r="N1834" s="647"/>
      <c r="O1834" s="627"/>
      <c r="P1834" s="629"/>
      <c r="Q1834" s="629"/>
    </row>
    <row r="1835" spans="1:17" ht="15.75" hidden="1" thickBot="1">
      <c r="A1835" s="390" t="str">
        <f t="shared" ref="A1835:B1835" si="5291">A1832</f>
        <v>PHB</v>
      </c>
      <c r="B1835" s="391" t="str">
        <f t="shared" si="5291"/>
        <v>film</v>
      </c>
      <c r="C1835" s="391">
        <f t="shared" ref="C1835" si="5292">C1834</f>
        <v>2</v>
      </c>
      <c r="D1835" s="391" t="str">
        <f t="shared" ref="D1835:E1835" si="5293">D1832</f>
        <v>0,1-1</v>
      </c>
      <c r="E1835" s="391">
        <f t="shared" si="5293"/>
        <v>1</v>
      </c>
      <c r="F1835" s="385" t="s">
        <v>1097</v>
      </c>
      <c r="G1835" s="422" t="str">
        <f>CONCATENATE("DE: ",A1835," ",B1835," ",D1835," mm (emission to ",F1835,")")</f>
        <v>DE: PHB film 0,1-1 mm (emission to marine water)</v>
      </c>
      <c r="H1835" s="467">
        <v>0</v>
      </c>
      <c r="I1835" s="388" t="s">
        <v>1019</v>
      </c>
      <c r="J1835" s="634">
        <v>0.22800000000000001</v>
      </c>
      <c r="K1835" s="389">
        <v>789.99</v>
      </c>
      <c r="L1835" s="536"/>
      <c r="M1835" s="509">
        <f t="shared" si="5173"/>
        <v>0.63291940404308911</v>
      </c>
      <c r="N1835" s="645">
        <f t="shared" ref="N1835" si="5294">IFERROR(H1835*M1835+H1836*M1836+H1837*M1837+H1838*M1838+H1839*M1839,"N.A.")</f>
        <v>0.95890410958904104</v>
      </c>
      <c r="O1835" s="625"/>
      <c r="P1835" s="628">
        <f t="shared" si="5265"/>
        <v>0.95890410958904104</v>
      </c>
      <c r="Q1835" s="628">
        <f t="shared" si="5160"/>
        <v>0.95890410958904104</v>
      </c>
    </row>
    <row r="1836" spans="1:17" ht="15.75" hidden="1" thickBot="1">
      <c r="A1836" s="390" t="str">
        <f t="shared" ref="A1836:B1836" si="5295">A1833</f>
        <v>PHB</v>
      </c>
      <c r="B1836" s="391" t="str">
        <f t="shared" si="5295"/>
        <v>film</v>
      </c>
      <c r="C1836" s="391">
        <f t="shared" ref="C1836" si="5296">C1835</f>
        <v>2</v>
      </c>
      <c r="D1836" s="391" t="str">
        <f t="shared" ref="D1836:E1836" si="5297">D1833</f>
        <v>0,1-1</v>
      </c>
      <c r="E1836" s="391">
        <f t="shared" si="5297"/>
        <v>1</v>
      </c>
      <c r="F1836" s="391" t="str">
        <f t="shared" ref="F1836:G1836" si="5298">F1835</f>
        <v>marine water</v>
      </c>
      <c r="G1836" s="401" t="str">
        <f t="shared" si="5298"/>
        <v>DE: PHB film 0,1-1 mm (emission to marine water)</v>
      </c>
      <c r="H1836" s="465">
        <v>0</v>
      </c>
      <c r="I1836" s="394" t="s">
        <v>1097</v>
      </c>
      <c r="J1836" s="635"/>
      <c r="K1836" s="389">
        <v>521.42857142857144</v>
      </c>
      <c r="L1836" s="536"/>
      <c r="M1836" s="509">
        <f t="shared" si="5173"/>
        <v>0.95890410958904104</v>
      </c>
      <c r="N1836" s="646"/>
      <c r="O1836" s="626"/>
      <c r="P1836" s="629"/>
      <c r="Q1836" s="629"/>
    </row>
    <row r="1837" spans="1:17" ht="15.75" hidden="1" thickBot="1">
      <c r="A1837" s="390" t="str">
        <f t="shared" ref="A1837:B1837" si="5299">A1834</f>
        <v>PHB</v>
      </c>
      <c r="B1837" s="391" t="str">
        <f t="shared" si="5299"/>
        <v>film</v>
      </c>
      <c r="C1837" s="391">
        <f t="shared" ref="C1837" si="5300">C1836</f>
        <v>2</v>
      </c>
      <c r="D1837" s="391" t="str">
        <f t="shared" ref="D1837:E1837" si="5301">D1834</f>
        <v>0,1-1</v>
      </c>
      <c r="E1837" s="391">
        <f t="shared" si="5301"/>
        <v>1</v>
      </c>
      <c r="F1837" s="391" t="str">
        <f t="shared" ref="F1837:G1837" si="5302">F1836</f>
        <v>marine water</v>
      </c>
      <c r="G1837" s="401" t="str">
        <f t="shared" si="5302"/>
        <v>DE: PHB film 0,1-1 mm (emission to marine water)</v>
      </c>
      <c r="H1837" s="465">
        <v>0</v>
      </c>
      <c r="I1837" s="394" t="s">
        <v>1162</v>
      </c>
      <c r="J1837" s="635"/>
      <c r="K1837" s="389">
        <v>521.42857142857144</v>
      </c>
      <c r="L1837" s="536"/>
      <c r="M1837" s="509">
        <f t="shared" si="5173"/>
        <v>0.95890410958904104</v>
      </c>
      <c r="N1837" s="646"/>
      <c r="O1837" s="626"/>
      <c r="P1837" s="629"/>
      <c r="Q1837" s="629"/>
    </row>
    <row r="1838" spans="1:17" ht="15.75" hidden="1" thickBot="1">
      <c r="A1838" s="390" t="str">
        <f t="shared" ref="A1838:B1838" si="5303">A1835</f>
        <v>PHB</v>
      </c>
      <c r="B1838" s="391" t="str">
        <f t="shared" si="5303"/>
        <v>film</v>
      </c>
      <c r="C1838" s="391">
        <f t="shared" ref="C1838" si="5304">C1837</f>
        <v>2</v>
      </c>
      <c r="D1838" s="391" t="str">
        <f t="shared" ref="D1838:E1838" si="5305">D1835</f>
        <v>0,1-1</v>
      </c>
      <c r="E1838" s="391">
        <f t="shared" si="5305"/>
        <v>1</v>
      </c>
      <c r="F1838" s="391" t="str">
        <f t="shared" ref="F1838:G1838" si="5306">F1837</f>
        <v>marine water</v>
      </c>
      <c r="G1838" s="401" t="str">
        <f t="shared" si="5306"/>
        <v>DE: PHB film 0,1-1 mm (emission to marine water)</v>
      </c>
      <c r="H1838" s="465">
        <v>1</v>
      </c>
      <c r="I1838" s="394" t="s">
        <v>1163</v>
      </c>
      <c r="J1838" s="635"/>
      <c r="K1838" s="389">
        <v>521.42857142857144</v>
      </c>
      <c r="L1838" s="536"/>
      <c r="M1838" s="509">
        <f t="shared" si="5173"/>
        <v>0.95890410958904104</v>
      </c>
      <c r="N1838" s="646"/>
      <c r="O1838" s="626"/>
      <c r="P1838" s="629"/>
      <c r="Q1838" s="629"/>
    </row>
    <row r="1839" spans="1:17" ht="15.75" hidden="1" thickBot="1">
      <c r="A1839" s="390" t="str">
        <f t="shared" ref="A1839:B1839" si="5307">A1836</f>
        <v>PHB</v>
      </c>
      <c r="B1839" s="391" t="str">
        <f t="shared" si="5307"/>
        <v>film</v>
      </c>
      <c r="C1839" s="391">
        <f t="shared" ref="C1839" si="5308">C1838</f>
        <v>2</v>
      </c>
      <c r="D1839" s="391" t="str">
        <f t="shared" ref="D1839:E1839" si="5309">D1836</f>
        <v>0,1-1</v>
      </c>
      <c r="E1839" s="391">
        <f t="shared" si="5309"/>
        <v>1</v>
      </c>
      <c r="F1839" s="391" t="str">
        <f t="shared" ref="F1839:G1839" si="5310">F1838</f>
        <v>marine water</v>
      </c>
      <c r="G1839" s="401" t="str">
        <f t="shared" si="5310"/>
        <v>DE: PHB film 0,1-1 mm (emission to marine water)</v>
      </c>
      <c r="H1839" s="465">
        <v>0</v>
      </c>
      <c r="I1839" s="397" t="s">
        <v>1034</v>
      </c>
      <c r="J1839" s="654"/>
      <c r="K1839" s="398" t="s">
        <v>596</v>
      </c>
      <c r="L1839" s="538"/>
      <c r="M1839" s="509">
        <f t="shared" si="5173"/>
        <v>0</v>
      </c>
      <c r="N1839" s="647"/>
      <c r="O1839" s="627"/>
      <c r="P1839" s="629"/>
      <c r="Q1839" s="629"/>
    </row>
    <row r="1840" spans="1:17" ht="15.75" hidden="1" thickBot="1">
      <c r="A1840" s="390" t="str">
        <f t="shared" ref="A1840:B1840" si="5311">A1837</f>
        <v>PHB</v>
      </c>
      <c r="B1840" s="391" t="str">
        <f t="shared" si="5311"/>
        <v>film</v>
      </c>
      <c r="C1840" s="391">
        <f t="shared" ref="C1840" si="5312">C1839</f>
        <v>2</v>
      </c>
      <c r="D1840" s="391" t="str">
        <f t="shared" ref="D1840:E1840" si="5313">D1837</f>
        <v>0,1-1</v>
      </c>
      <c r="E1840" s="391">
        <f t="shared" si="5313"/>
        <v>1</v>
      </c>
      <c r="F1840" s="400" t="s">
        <v>1057</v>
      </c>
      <c r="G1840" s="422" t="str">
        <f>CONCATENATE("DE: ",A1840," ",B1840," ",D1840," mm (emission to ",F1840,")")</f>
        <v>DE: PHB film 0,1-1 mm (emission to air)</v>
      </c>
      <c r="H1840" s="467">
        <v>0.94799999999999995</v>
      </c>
      <c r="I1840" s="388" t="s">
        <v>1019</v>
      </c>
      <c r="J1840" s="634">
        <v>0.22800000000000001</v>
      </c>
      <c r="K1840" s="389">
        <v>789.99</v>
      </c>
      <c r="L1840" s="536"/>
      <c r="M1840" s="509">
        <f t="shared" si="5173"/>
        <v>0.63291940404308911</v>
      </c>
      <c r="N1840" s="645">
        <f t="shared" ref="N1840" si="5314">IFERROR(H1840*M1840+H1841*M1841+H1842*M1842+H1843*M1843+H1844*M1844,"N.A.")</f>
        <v>0.64987060873147851</v>
      </c>
      <c r="O1840" s="625"/>
      <c r="P1840" s="628">
        <f t="shared" si="5265"/>
        <v>0.64987060873147851</v>
      </c>
      <c r="Q1840" s="628">
        <f t="shared" si="5160"/>
        <v>0.64987060873147851</v>
      </c>
    </row>
    <row r="1841" spans="1:17" ht="15.75" hidden="1" thickBot="1">
      <c r="A1841" s="390" t="str">
        <f t="shared" ref="A1841:B1841" si="5315">A1838</f>
        <v>PHB</v>
      </c>
      <c r="B1841" s="391" t="str">
        <f t="shared" si="5315"/>
        <v>film</v>
      </c>
      <c r="C1841" s="391">
        <f t="shared" ref="C1841" si="5316">C1840</f>
        <v>2</v>
      </c>
      <c r="D1841" s="391" t="str">
        <f t="shared" ref="D1841:E1841" si="5317">D1838</f>
        <v>0,1-1</v>
      </c>
      <c r="E1841" s="391">
        <f t="shared" si="5317"/>
        <v>1</v>
      </c>
      <c r="F1841" s="391" t="str">
        <f t="shared" ref="F1841:G1841" si="5318">F1840</f>
        <v>air</v>
      </c>
      <c r="G1841" s="401" t="str">
        <f t="shared" si="5318"/>
        <v>DE: PHB film 0,1-1 mm (emission to air)</v>
      </c>
      <c r="H1841" s="465">
        <v>0</v>
      </c>
      <c r="I1841" s="394" t="s">
        <v>1097</v>
      </c>
      <c r="J1841" s="635"/>
      <c r="K1841" s="389">
        <v>521.42857142857144</v>
      </c>
      <c r="L1841" s="536"/>
      <c r="M1841" s="509">
        <f t="shared" si="5173"/>
        <v>0.95890410958904104</v>
      </c>
      <c r="N1841" s="646"/>
      <c r="O1841" s="626"/>
      <c r="P1841" s="629"/>
      <c r="Q1841" s="629"/>
    </row>
    <row r="1842" spans="1:17" ht="15.75" hidden="1" thickBot="1">
      <c r="A1842" s="390" t="str">
        <f t="shared" ref="A1842:B1842" si="5319">A1839</f>
        <v>PHB</v>
      </c>
      <c r="B1842" s="391" t="str">
        <f t="shared" si="5319"/>
        <v>film</v>
      </c>
      <c r="C1842" s="391">
        <f t="shared" ref="C1842" si="5320">C1841</f>
        <v>2</v>
      </c>
      <c r="D1842" s="391" t="str">
        <f t="shared" ref="D1842:E1842" si="5321">D1839</f>
        <v>0,1-1</v>
      </c>
      <c r="E1842" s="391">
        <f t="shared" si="5321"/>
        <v>1</v>
      </c>
      <c r="F1842" s="391" t="str">
        <f t="shared" ref="F1842:G1842" si="5322">F1841</f>
        <v>air</v>
      </c>
      <c r="G1842" s="401" t="str">
        <f t="shared" si="5322"/>
        <v>DE: PHB film 0,1-1 mm (emission to air)</v>
      </c>
      <c r="H1842" s="465">
        <v>4.7E-2</v>
      </c>
      <c r="I1842" s="394" t="s">
        <v>1162</v>
      </c>
      <c r="J1842" s="635"/>
      <c r="K1842" s="389">
        <v>521.42857142857144</v>
      </c>
      <c r="L1842" s="536"/>
      <c r="M1842" s="509">
        <f t="shared" si="5173"/>
        <v>0.95890410958904104</v>
      </c>
      <c r="N1842" s="646"/>
      <c r="O1842" s="626"/>
      <c r="P1842" s="629"/>
      <c r="Q1842" s="629"/>
    </row>
    <row r="1843" spans="1:17" ht="15.75" hidden="1" thickBot="1">
      <c r="A1843" s="390" t="str">
        <f t="shared" ref="A1843:B1843" si="5323">A1840</f>
        <v>PHB</v>
      </c>
      <c r="B1843" s="391" t="str">
        <f t="shared" si="5323"/>
        <v>film</v>
      </c>
      <c r="C1843" s="391">
        <f t="shared" ref="C1843" si="5324">C1842</f>
        <v>2</v>
      </c>
      <c r="D1843" s="391" t="str">
        <f t="shared" ref="D1843:E1843" si="5325">D1840</f>
        <v>0,1-1</v>
      </c>
      <c r="E1843" s="391">
        <f t="shared" si="5325"/>
        <v>1</v>
      </c>
      <c r="F1843" s="391" t="str">
        <f t="shared" ref="F1843:G1843" si="5326">F1842</f>
        <v>air</v>
      </c>
      <c r="G1843" s="401" t="str">
        <f t="shared" si="5326"/>
        <v>DE: PHB film 0,1-1 mm (emission to air)</v>
      </c>
      <c r="H1843" s="465">
        <v>5.0000000000000001E-3</v>
      </c>
      <c r="I1843" s="394" t="s">
        <v>1163</v>
      </c>
      <c r="J1843" s="635"/>
      <c r="K1843" s="389">
        <v>521.42857142857144</v>
      </c>
      <c r="L1843" s="536"/>
      <c r="M1843" s="509">
        <f t="shared" si="5173"/>
        <v>0.95890410958904104</v>
      </c>
      <c r="N1843" s="646"/>
      <c r="O1843" s="626"/>
      <c r="P1843" s="629"/>
      <c r="Q1843" s="629"/>
    </row>
    <row r="1844" spans="1:17" ht="15.75" hidden="1" thickBot="1">
      <c r="A1844" s="452" t="str">
        <f t="shared" ref="A1844:B1844" si="5327">A1839</f>
        <v>PHB</v>
      </c>
      <c r="B1844" s="453" t="str">
        <f t="shared" si="5327"/>
        <v>film</v>
      </c>
      <c r="C1844" s="453">
        <f t="shared" ref="C1844" si="5328">C1843</f>
        <v>2</v>
      </c>
      <c r="D1844" s="453" t="str">
        <f t="shared" ref="D1844:E1844" si="5329">D1839</f>
        <v>0,1-1</v>
      </c>
      <c r="E1844" s="453">
        <f t="shared" si="5329"/>
        <v>1</v>
      </c>
      <c r="F1844" s="453" t="str">
        <f t="shared" ref="F1844:G1844" si="5330">F1843</f>
        <v>air</v>
      </c>
      <c r="G1844" s="454" t="str">
        <f t="shared" si="5330"/>
        <v>DE: PHB film 0,1-1 mm (emission to air)</v>
      </c>
      <c r="H1844" s="473">
        <v>0</v>
      </c>
      <c r="I1844" s="456" t="s">
        <v>1034</v>
      </c>
      <c r="J1844" s="636"/>
      <c r="K1844" s="457" t="s">
        <v>596</v>
      </c>
      <c r="L1844" s="543"/>
      <c r="M1844" s="509">
        <f t="shared" si="5173"/>
        <v>0</v>
      </c>
      <c r="N1844" s="647"/>
      <c r="O1844" s="627"/>
      <c r="P1844" s="629"/>
      <c r="Q1844" s="629"/>
    </row>
    <row r="1845" spans="1:17" ht="15.75" hidden="1" thickBot="1">
      <c r="A1845" s="381" t="s">
        <v>18</v>
      </c>
      <c r="B1845" s="382" t="s">
        <v>996</v>
      </c>
      <c r="C1845" s="383">
        <f>IF(OR(B1845="Folie", B1845="Strips", B1845="Film",B1845="Flakes",B1845="Coupon"), 2,IF(OR(B1845="Fibers",B1845="Pellets"),4,IF(OR(B1845="Particles",B1845="Shreds",B1845="Powder",B1845="Fragments",B1845="Granules"),6,"")))</f>
        <v>2</v>
      </c>
      <c r="D1845" s="475" t="s">
        <v>1026</v>
      </c>
      <c r="E1845" s="384">
        <v>10</v>
      </c>
      <c r="F1845" s="385" t="s">
        <v>1019</v>
      </c>
      <c r="G1845" s="386" t="str">
        <f>CONCATENATE("DE: ",A1845," ",B1845," ",D1845," mm (emission to ",F1845,")")</f>
        <v>DE: PHB film 1-10 mm (emission to soil)</v>
      </c>
      <c r="H1845" s="466">
        <v>0.97</v>
      </c>
      <c r="I1845" s="388" t="s">
        <v>1019</v>
      </c>
      <c r="J1845" s="632">
        <v>0.22800000000000001</v>
      </c>
      <c r="K1845" s="389">
        <v>789.99</v>
      </c>
      <c r="L1845" s="536"/>
      <c r="M1845" s="509">
        <f t="shared" si="5173"/>
        <v>6.3291940404308917</v>
      </c>
      <c r="N1845" s="645">
        <f t="shared" ref="N1845" si="5331">IFERROR(H1845*M1845+H1846*M1846+H1847*M1847+H1848*M1848+H1849*M1849,"N.A.")</f>
        <v>6.4269894520946771</v>
      </c>
      <c r="O1845" s="625"/>
      <c r="P1845" s="628">
        <f t="shared" si="5265"/>
        <v>6.4269894520946771</v>
      </c>
      <c r="Q1845" s="628">
        <f t="shared" si="5160"/>
        <v>6.4269894520946771</v>
      </c>
    </row>
    <row r="1846" spans="1:17" ht="15.75" hidden="1" thickBot="1">
      <c r="A1846" s="390" t="str">
        <f>A1845</f>
        <v>PHB</v>
      </c>
      <c r="B1846" s="391" t="str">
        <f>B1845</f>
        <v>film</v>
      </c>
      <c r="C1846" s="391">
        <f t="shared" ref="C1846:G1846" si="5332">C1845</f>
        <v>2</v>
      </c>
      <c r="D1846" s="391" t="str">
        <f t="shared" si="5332"/>
        <v>1-10</v>
      </c>
      <c r="E1846" s="391">
        <f t="shared" si="5332"/>
        <v>10</v>
      </c>
      <c r="F1846" s="391" t="str">
        <f t="shared" si="5332"/>
        <v>soil</v>
      </c>
      <c r="G1846" s="392" t="str">
        <f t="shared" si="5332"/>
        <v>DE: PHB film 1-10 mm (emission to soil)</v>
      </c>
      <c r="H1846" s="465">
        <v>0</v>
      </c>
      <c r="I1846" s="394" t="s">
        <v>1097</v>
      </c>
      <c r="J1846" s="632"/>
      <c r="K1846" s="389">
        <v>521.42857142857144</v>
      </c>
      <c r="L1846" s="537"/>
      <c r="M1846" s="509">
        <f t="shared" si="5173"/>
        <v>9.5890410958904102</v>
      </c>
      <c r="N1846" s="646"/>
      <c r="O1846" s="626"/>
      <c r="P1846" s="629"/>
      <c r="Q1846" s="629"/>
    </row>
    <row r="1847" spans="1:17" ht="15.75" hidden="1" thickBot="1">
      <c r="A1847" s="390" t="str">
        <f t="shared" ref="A1847:G1847" si="5333">A1846</f>
        <v>PHB</v>
      </c>
      <c r="B1847" s="391" t="str">
        <f t="shared" si="5333"/>
        <v>film</v>
      </c>
      <c r="C1847" s="391">
        <f t="shared" si="5333"/>
        <v>2</v>
      </c>
      <c r="D1847" s="391" t="str">
        <f t="shared" si="5333"/>
        <v>1-10</v>
      </c>
      <c r="E1847" s="391">
        <f t="shared" si="5333"/>
        <v>10</v>
      </c>
      <c r="F1847" s="391" t="str">
        <f t="shared" si="5333"/>
        <v>soil</v>
      </c>
      <c r="G1847" s="392" t="str">
        <f t="shared" si="5333"/>
        <v>DE: PHB film 1-10 mm (emission to soil)</v>
      </c>
      <c r="H1847" s="465">
        <v>2.7E-2</v>
      </c>
      <c r="I1847" s="394" t="s">
        <v>1162</v>
      </c>
      <c r="J1847" s="632"/>
      <c r="K1847" s="389">
        <v>521.42857142857144</v>
      </c>
      <c r="L1847" s="537"/>
      <c r="M1847" s="509">
        <f t="shared" si="5173"/>
        <v>9.5890410958904102</v>
      </c>
      <c r="N1847" s="646"/>
      <c r="O1847" s="626"/>
      <c r="P1847" s="629"/>
      <c r="Q1847" s="629"/>
    </row>
    <row r="1848" spans="1:17" ht="15.75" hidden="1" thickBot="1">
      <c r="A1848" s="390" t="str">
        <f t="shared" ref="A1848:G1848" si="5334">A1847</f>
        <v>PHB</v>
      </c>
      <c r="B1848" s="391" t="str">
        <f t="shared" si="5334"/>
        <v>film</v>
      </c>
      <c r="C1848" s="391">
        <f t="shared" si="5334"/>
        <v>2</v>
      </c>
      <c r="D1848" s="391" t="str">
        <f t="shared" si="5334"/>
        <v>1-10</v>
      </c>
      <c r="E1848" s="391">
        <f t="shared" si="5334"/>
        <v>10</v>
      </c>
      <c r="F1848" s="391" t="str">
        <f t="shared" si="5334"/>
        <v>soil</v>
      </c>
      <c r="G1848" s="392" t="str">
        <f t="shared" si="5334"/>
        <v>DE: PHB film 1-10 mm (emission to soil)</v>
      </c>
      <c r="H1848" s="465">
        <v>3.0000000000000001E-3</v>
      </c>
      <c r="I1848" s="394" t="s">
        <v>1163</v>
      </c>
      <c r="J1848" s="632"/>
      <c r="K1848" s="389">
        <v>521.42857142857144</v>
      </c>
      <c r="L1848" s="537"/>
      <c r="M1848" s="509">
        <f t="shared" si="5173"/>
        <v>9.5890410958904102</v>
      </c>
      <c r="N1848" s="646"/>
      <c r="O1848" s="626"/>
      <c r="P1848" s="629"/>
      <c r="Q1848" s="629"/>
    </row>
    <row r="1849" spans="1:17" ht="15.75" hidden="1" thickBot="1">
      <c r="A1849" s="390" t="str">
        <f>A1846</f>
        <v>PHB</v>
      </c>
      <c r="B1849" s="391" t="str">
        <f>B1846</f>
        <v>film</v>
      </c>
      <c r="C1849" s="391">
        <f t="shared" ref="C1849" si="5335">C1848</f>
        <v>2</v>
      </c>
      <c r="D1849" s="391" t="str">
        <f>D1846</f>
        <v>1-10</v>
      </c>
      <c r="E1849" s="391">
        <f>E1846</f>
        <v>10</v>
      </c>
      <c r="F1849" s="391" t="str">
        <f>F1846</f>
        <v>soil</v>
      </c>
      <c r="G1849" s="396" t="str">
        <f t="shared" ref="G1849" si="5336">G1848</f>
        <v>DE: PHB film 1-10 mm (emission to soil)</v>
      </c>
      <c r="H1849" s="465">
        <v>0</v>
      </c>
      <c r="I1849" s="397" t="s">
        <v>1034</v>
      </c>
      <c r="J1849" s="633"/>
      <c r="K1849" s="398" t="s">
        <v>596</v>
      </c>
      <c r="L1849" s="538"/>
      <c r="M1849" s="509">
        <f t="shared" si="5173"/>
        <v>0</v>
      </c>
      <c r="N1849" s="647"/>
      <c r="O1849" s="627"/>
      <c r="P1849" s="629"/>
      <c r="Q1849" s="629"/>
    </row>
    <row r="1850" spans="1:17" ht="15.75" hidden="1" thickBot="1">
      <c r="A1850" s="390" t="str">
        <f t="shared" ref="A1850:B1850" si="5337">A1847</f>
        <v>PHB</v>
      </c>
      <c r="B1850" s="391" t="str">
        <f t="shared" si="5337"/>
        <v>film</v>
      </c>
      <c r="C1850" s="391">
        <f t="shared" ref="C1850" si="5338">C1849</f>
        <v>2</v>
      </c>
      <c r="D1850" s="399" t="str">
        <f t="shared" ref="D1850:E1850" si="5339">D1847</f>
        <v>1-10</v>
      </c>
      <c r="E1850" s="391">
        <f t="shared" si="5339"/>
        <v>10</v>
      </c>
      <c r="F1850" s="400" t="s">
        <v>1147</v>
      </c>
      <c r="G1850" s="386" t="str">
        <f>CONCATENATE("DE: ",A1850," ",B1850," ",D1850," mm (emission to ",F1850,")")</f>
        <v>DE: PHB film 1-10 mm (emission to fresh water)</v>
      </c>
      <c r="H1850" s="466">
        <v>0</v>
      </c>
      <c r="I1850" s="388" t="s">
        <v>1019</v>
      </c>
      <c r="J1850" s="634">
        <v>0.22800000000000001</v>
      </c>
      <c r="K1850" s="389">
        <v>789.99</v>
      </c>
      <c r="L1850" s="536"/>
      <c r="M1850" s="509">
        <f t="shared" si="5173"/>
        <v>6.3291940404308917</v>
      </c>
      <c r="N1850" s="645">
        <f t="shared" ref="N1850" si="5340">IFERROR(H1850*M1850+H1851*M1851+H1852*M1852+H1853*M1853+H1854*M1854,"N.A.")</f>
        <v>9.5890410958904102</v>
      </c>
      <c r="O1850" s="625"/>
      <c r="P1850" s="628">
        <f t="shared" si="5265"/>
        <v>9.5890410958904102</v>
      </c>
      <c r="Q1850" s="628">
        <f t="shared" si="5160"/>
        <v>9.5890410958904102</v>
      </c>
    </row>
    <row r="1851" spans="1:17" ht="15.75" hidden="1" thickBot="1">
      <c r="A1851" s="390" t="str">
        <f t="shared" ref="A1851:B1851" si="5341">A1848</f>
        <v>PHB</v>
      </c>
      <c r="B1851" s="391" t="str">
        <f t="shared" si="5341"/>
        <v>film</v>
      </c>
      <c r="C1851" s="391">
        <f t="shared" ref="C1851" si="5342">C1850</f>
        <v>2</v>
      </c>
      <c r="D1851" s="391" t="str">
        <f t="shared" ref="D1851:E1851" si="5343">D1848</f>
        <v>1-10</v>
      </c>
      <c r="E1851" s="391">
        <f t="shared" si="5343"/>
        <v>10</v>
      </c>
      <c r="F1851" s="391" t="str">
        <f t="shared" ref="F1851:G1851" si="5344">F1850</f>
        <v>fresh water</v>
      </c>
      <c r="G1851" s="401" t="str">
        <f t="shared" si="5344"/>
        <v>DE: PHB film 1-10 mm (emission to fresh water)</v>
      </c>
      <c r="H1851" s="465">
        <v>0</v>
      </c>
      <c r="I1851" s="394" t="s">
        <v>1097</v>
      </c>
      <c r="J1851" s="635"/>
      <c r="K1851" s="389">
        <v>521.42857142857144</v>
      </c>
      <c r="L1851" s="536"/>
      <c r="M1851" s="509">
        <f t="shared" si="5173"/>
        <v>9.5890410958904102</v>
      </c>
      <c r="N1851" s="646"/>
      <c r="O1851" s="626"/>
      <c r="P1851" s="629"/>
      <c r="Q1851" s="629"/>
    </row>
    <row r="1852" spans="1:17" ht="15.75" hidden="1" thickBot="1">
      <c r="A1852" s="390" t="str">
        <f t="shared" ref="A1852:B1852" si="5345">A1849</f>
        <v>PHB</v>
      </c>
      <c r="B1852" s="391" t="str">
        <f t="shared" si="5345"/>
        <v>film</v>
      </c>
      <c r="C1852" s="391">
        <f t="shared" ref="C1852" si="5346">C1851</f>
        <v>2</v>
      </c>
      <c r="D1852" s="391" t="str">
        <f t="shared" ref="D1852:E1852" si="5347">D1849</f>
        <v>1-10</v>
      </c>
      <c r="E1852" s="391">
        <f t="shared" si="5347"/>
        <v>10</v>
      </c>
      <c r="F1852" s="391" t="str">
        <f t="shared" ref="F1852:G1852" si="5348">F1851</f>
        <v>fresh water</v>
      </c>
      <c r="G1852" s="401" t="str">
        <f t="shared" si="5348"/>
        <v>DE: PHB film 1-10 mm (emission to fresh water)</v>
      </c>
      <c r="H1852" s="465">
        <v>0.89</v>
      </c>
      <c r="I1852" s="394" t="s">
        <v>1162</v>
      </c>
      <c r="J1852" s="635"/>
      <c r="K1852" s="389">
        <v>521.42857142857144</v>
      </c>
      <c r="L1852" s="536"/>
      <c r="M1852" s="509">
        <f t="shared" si="5173"/>
        <v>9.5890410958904102</v>
      </c>
      <c r="N1852" s="646"/>
      <c r="O1852" s="626"/>
      <c r="P1852" s="629"/>
      <c r="Q1852" s="629"/>
    </row>
    <row r="1853" spans="1:17" ht="15.75" hidden="1" thickBot="1">
      <c r="A1853" s="390" t="str">
        <f t="shared" ref="A1853:B1853" si="5349">A1850</f>
        <v>PHB</v>
      </c>
      <c r="B1853" s="391" t="str">
        <f t="shared" si="5349"/>
        <v>film</v>
      </c>
      <c r="C1853" s="391">
        <f t="shared" ref="C1853" si="5350">C1852</f>
        <v>2</v>
      </c>
      <c r="D1853" s="391" t="str">
        <f t="shared" ref="D1853:E1853" si="5351">D1850</f>
        <v>1-10</v>
      </c>
      <c r="E1853" s="391">
        <f t="shared" si="5351"/>
        <v>10</v>
      </c>
      <c r="F1853" s="391" t="str">
        <f t="shared" ref="F1853:G1853" si="5352">F1852</f>
        <v>fresh water</v>
      </c>
      <c r="G1853" s="401" t="str">
        <f t="shared" si="5352"/>
        <v>DE: PHB film 1-10 mm (emission to fresh water)</v>
      </c>
      <c r="H1853" s="465">
        <v>0.11</v>
      </c>
      <c r="I1853" s="394" t="s">
        <v>1163</v>
      </c>
      <c r="J1853" s="635"/>
      <c r="K1853" s="389">
        <v>521.42857142857144</v>
      </c>
      <c r="L1853" s="536"/>
      <c r="M1853" s="509">
        <f t="shared" si="5173"/>
        <v>9.5890410958904102</v>
      </c>
      <c r="N1853" s="646"/>
      <c r="O1853" s="626"/>
      <c r="P1853" s="629"/>
      <c r="Q1853" s="629"/>
    </row>
    <row r="1854" spans="1:17" ht="15.75" hidden="1" thickBot="1">
      <c r="A1854" s="390" t="str">
        <f t="shared" ref="A1854:B1854" si="5353">A1851</f>
        <v>PHB</v>
      </c>
      <c r="B1854" s="391" t="str">
        <f t="shared" si="5353"/>
        <v>film</v>
      </c>
      <c r="C1854" s="391">
        <f t="shared" ref="C1854" si="5354">C1853</f>
        <v>2</v>
      </c>
      <c r="D1854" s="391" t="str">
        <f t="shared" ref="D1854:E1854" si="5355">D1851</f>
        <v>1-10</v>
      </c>
      <c r="E1854" s="391">
        <f t="shared" si="5355"/>
        <v>10</v>
      </c>
      <c r="F1854" s="402" t="str">
        <f>F1851</f>
        <v>fresh water</v>
      </c>
      <c r="G1854" s="401" t="str">
        <f t="shared" ref="G1854" si="5356">G1853</f>
        <v>DE: PHB film 1-10 mm (emission to fresh water)</v>
      </c>
      <c r="H1854" s="465">
        <v>0</v>
      </c>
      <c r="I1854" s="397" t="s">
        <v>1034</v>
      </c>
      <c r="J1854" s="654"/>
      <c r="K1854" s="398" t="s">
        <v>596</v>
      </c>
      <c r="L1854" s="538"/>
      <c r="M1854" s="509">
        <f t="shared" si="5173"/>
        <v>0</v>
      </c>
      <c r="N1854" s="647"/>
      <c r="O1854" s="627"/>
      <c r="P1854" s="629"/>
      <c r="Q1854" s="629"/>
    </row>
    <row r="1855" spans="1:17" ht="15.75" hidden="1" thickBot="1">
      <c r="A1855" s="390" t="str">
        <f t="shared" ref="A1855:B1855" si="5357">A1852</f>
        <v>PHB</v>
      </c>
      <c r="B1855" s="391" t="str">
        <f t="shared" si="5357"/>
        <v>film</v>
      </c>
      <c r="C1855" s="391">
        <f t="shared" ref="C1855" si="5358">C1854</f>
        <v>2</v>
      </c>
      <c r="D1855" s="391" t="str">
        <f t="shared" ref="D1855:E1855" si="5359">D1852</f>
        <v>1-10</v>
      </c>
      <c r="E1855" s="391">
        <f t="shared" si="5359"/>
        <v>10</v>
      </c>
      <c r="F1855" s="385" t="s">
        <v>1097</v>
      </c>
      <c r="G1855" s="422" t="str">
        <f>CONCATENATE("DE: ",A1855," ",B1855," ",D1855," mm (emission to ",F1855,")")</f>
        <v>DE: PHB film 1-10 mm (emission to marine water)</v>
      </c>
      <c r="H1855" s="467">
        <v>0</v>
      </c>
      <c r="I1855" s="388" t="s">
        <v>1019</v>
      </c>
      <c r="J1855" s="634">
        <v>0.22800000000000001</v>
      </c>
      <c r="K1855" s="389">
        <v>789.99</v>
      </c>
      <c r="L1855" s="536"/>
      <c r="M1855" s="509">
        <f t="shared" si="5173"/>
        <v>6.3291940404308917</v>
      </c>
      <c r="N1855" s="645">
        <f t="shared" ref="N1855" si="5360">IFERROR(H1855*M1855+H1856*M1856+H1857*M1857+H1858*M1858+H1859*M1859,"N.A.")</f>
        <v>9.5890410958904102</v>
      </c>
      <c r="O1855" s="625"/>
      <c r="P1855" s="628">
        <f t="shared" si="5265"/>
        <v>9.5890410958904102</v>
      </c>
      <c r="Q1855" s="628">
        <f t="shared" si="5160"/>
        <v>9.5890410958904102</v>
      </c>
    </row>
    <row r="1856" spans="1:17" ht="15.75" hidden="1" thickBot="1">
      <c r="A1856" s="390" t="str">
        <f t="shared" ref="A1856:B1856" si="5361">A1853</f>
        <v>PHB</v>
      </c>
      <c r="B1856" s="391" t="str">
        <f t="shared" si="5361"/>
        <v>film</v>
      </c>
      <c r="C1856" s="391">
        <f t="shared" ref="C1856" si="5362">C1855</f>
        <v>2</v>
      </c>
      <c r="D1856" s="391" t="str">
        <f t="shared" ref="D1856:E1856" si="5363">D1853</f>
        <v>1-10</v>
      </c>
      <c r="E1856" s="391">
        <f t="shared" si="5363"/>
        <v>10</v>
      </c>
      <c r="F1856" s="391" t="str">
        <f t="shared" ref="F1856:G1856" si="5364">F1855</f>
        <v>marine water</v>
      </c>
      <c r="G1856" s="401" t="str">
        <f t="shared" si="5364"/>
        <v>DE: PHB film 1-10 mm (emission to marine water)</v>
      </c>
      <c r="H1856" s="465">
        <v>0</v>
      </c>
      <c r="I1856" s="394" t="s">
        <v>1097</v>
      </c>
      <c r="J1856" s="635"/>
      <c r="K1856" s="389">
        <v>521.42857142857144</v>
      </c>
      <c r="L1856" s="536"/>
      <c r="M1856" s="509">
        <f t="shared" si="5173"/>
        <v>9.5890410958904102</v>
      </c>
      <c r="N1856" s="646"/>
      <c r="O1856" s="626"/>
      <c r="P1856" s="629"/>
      <c r="Q1856" s="629"/>
    </row>
    <row r="1857" spans="1:17" ht="15.75" hidden="1" thickBot="1">
      <c r="A1857" s="390" t="str">
        <f t="shared" ref="A1857:B1857" si="5365">A1854</f>
        <v>PHB</v>
      </c>
      <c r="B1857" s="391" t="str">
        <f t="shared" si="5365"/>
        <v>film</v>
      </c>
      <c r="C1857" s="391">
        <f t="shared" ref="C1857" si="5366">C1856</f>
        <v>2</v>
      </c>
      <c r="D1857" s="391" t="str">
        <f t="shared" ref="D1857:E1857" si="5367">D1854</f>
        <v>1-10</v>
      </c>
      <c r="E1857" s="391">
        <f t="shared" si="5367"/>
        <v>10</v>
      </c>
      <c r="F1857" s="391" t="str">
        <f t="shared" ref="F1857:G1857" si="5368">F1856</f>
        <v>marine water</v>
      </c>
      <c r="G1857" s="401" t="str">
        <f t="shared" si="5368"/>
        <v>DE: PHB film 1-10 mm (emission to marine water)</v>
      </c>
      <c r="H1857" s="465">
        <v>0</v>
      </c>
      <c r="I1857" s="394" t="s">
        <v>1162</v>
      </c>
      <c r="J1857" s="635"/>
      <c r="K1857" s="389">
        <v>521.42857142857144</v>
      </c>
      <c r="L1857" s="536"/>
      <c r="M1857" s="509">
        <f t="shared" si="5173"/>
        <v>9.5890410958904102</v>
      </c>
      <c r="N1857" s="646"/>
      <c r="O1857" s="626"/>
      <c r="P1857" s="629"/>
      <c r="Q1857" s="629"/>
    </row>
    <row r="1858" spans="1:17" ht="15.75" hidden="1" thickBot="1">
      <c r="A1858" s="390" t="str">
        <f t="shared" ref="A1858:B1858" si="5369">A1855</f>
        <v>PHB</v>
      </c>
      <c r="B1858" s="391" t="str">
        <f t="shared" si="5369"/>
        <v>film</v>
      </c>
      <c r="C1858" s="391">
        <f t="shared" ref="C1858" si="5370">C1857</f>
        <v>2</v>
      </c>
      <c r="D1858" s="391" t="str">
        <f t="shared" ref="D1858:E1858" si="5371">D1855</f>
        <v>1-10</v>
      </c>
      <c r="E1858" s="391">
        <f t="shared" si="5371"/>
        <v>10</v>
      </c>
      <c r="F1858" s="391" t="str">
        <f t="shared" ref="F1858:G1858" si="5372">F1857</f>
        <v>marine water</v>
      </c>
      <c r="G1858" s="401" t="str">
        <f t="shared" si="5372"/>
        <v>DE: PHB film 1-10 mm (emission to marine water)</v>
      </c>
      <c r="H1858" s="465">
        <v>1</v>
      </c>
      <c r="I1858" s="394" t="s">
        <v>1163</v>
      </c>
      <c r="J1858" s="635"/>
      <c r="K1858" s="389">
        <v>521.42857142857144</v>
      </c>
      <c r="L1858" s="536"/>
      <c r="M1858" s="509">
        <f t="shared" si="5173"/>
        <v>9.5890410958904102</v>
      </c>
      <c r="N1858" s="646"/>
      <c r="O1858" s="626"/>
      <c r="P1858" s="629"/>
      <c r="Q1858" s="629"/>
    </row>
    <row r="1859" spans="1:17" ht="15.75" hidden="1" thickBot="1">
      <c r="A1859" s="390" t="str">
        <f t="shared" ref="A1859:B1859" si="5373">A1856</f>
        <v>PHB</v>
      </c>
      <c r="B1859" s="391" t="str">
        <f t="shared" si="5373"/>
        <v>film</v>
      </c>
      <c r="C1859" s="391">
        <f t="shared" ref="C1859" si="5374">C1858</f>
        <v>2</v>
      </c>
      <c r="D1859" s="391" t="str">
        <f t="shared" ref="D1859:E1859" si="5375">D1856</f>
        <v>1-10</v>
      </c>
      <c r="E1859" s="391">
        <f t="shared" si="5375"/>
        <v>10</v>
      </c>
      <c r="F1859" s="391" t="str">
        <f t="shared" ref="F1859:G1859" si="5376">F1858</f>
        <v>marine water</v>
      </c>
      <c r="G1859" s="401" t="str">
        <f t="shared" si="5376"/>
        <v>DE: PHB film 1-10 mm (emission to marine water)</v>
      </c>
      <c r="H1859" s="465">
        <v>0</v>
      </c>
      <c r="I1859" s="397" t="s">
        <v>1034</v>
      </c>
      <c r="J1859" s="654"/>
      <c r="K1859" s="398" t="s">
        <v>596</v>
      </c>
      <c r="L1859" s="538"/>
      <c r="M1859" s="509">
        <f t="shared" si="5173"/>
        <v>0</v>
      </c>
      <c r="N1859" s="647"/>
      <c r="O1859" s="627"/>
      <c r="P1859" s="629"/>
      <c r="Q1859" s="629"/>
    </row>
    <row r="1860" spans="1:17" ht="15.75" hidden="1" thickBot="1">
      <c r="A1860" s="390" t="str">
        <f t="shared" ref="A1860:B1860" si="5377">A1857</f>
        <v>PHB</v>
      </c>
      <c r="B1860" s="391" t="str">
        <f t="shared" si="5377"/>
        <v>film</v>
      </c>
      <c r="C1860" s="391">
        <f t="shared" ref="C1860" si="5378">C1859</f>
        <v>2</v>
      </c>
      <c r="D1860" s="391" t="str">
        <f t="shared" ref="D1860:E1860" si="5379">D1857</f>
        <v>1-10</v>
      </c>
      <c r="E1860" s="391">
        <f t="shared" si="5379"/>
        <v>10</v>
      </c>
      <c r="F1860" s="400" t="s">
        <v>1057</v>
      </c>
      <c r="G1860" s="422" t="str">
        <f>CONCATENATE("DE: ",A1860," ",B1860," ",D1860," mm (emission to ",F1860,")")</f>
        <v>DE: PHB film 1-10 mm (emission to air)</v>
      </c>
      <c r="H1860" s="467">
        <v>0.94799999999999995</v>
      </c>
      <c r="I1860" s="388" t="s">
        <v>1019</v>
      </c>
      <c r="J1860" s="634">
        <v>0.22800000000000001</v>
      </c>
      <c r="K1860" s="389">
        <v>789.99</v>
      </c>
      <c r="L1860" s="536"/>
      <c r="M1860" s="509">
        <f t="shared" si="5173"/>
        <v>6.3291940404308917</v>
      </c>
      <c r="N1860" s="645">
        <f t="shared" ref="N1860" si="5380">IFERROR(H1860*M1860+H1861*M1861+H1862*M1862+H1863*M1863+H1864*M1864,"N.A.")</f>
        <v>6.4987060873147868</v>
      </c>
      <c r="O1860" s="625"/>
      <c r="P1860" s="628">
        <f t="shared" si="5265"/>
        <v>6.4987060873147868</v>
      </c>
      <c r="Q1860" s="628">
        <f t="shared" ref="Q1860:Q1920" si="5381">IFERROR(IF(H1860*M1860+H1861*M1861+H1862*M1862+H1863*M1863+H1864*M1864&gt;500,500,H1860*M1860+H1861*M1861+H1862*M1862+H1863*M1863+H1864*M1864),"N.A.")</f>
        <v>6.4987060873147868</v>
      </c>
    </row>
    <row r="1861" spans="1:17" ht="15.75" hidden="1" thickBot="1">
      <c r="A1861" s="390" t="str">
        <f t="shared" ref="A1861:B1861" si="5382">A1858</f>
        <v>PHB</v>
      </c>
      <c r="B1861" s="391" t="str">
        <f t="shared" si="5382"/>
        <v>film</v>
      </c>
      <c r="C1861" s="391">
        <f t="shared" ref="C1861" si="5383">C1860</f>
        <v>2</v>
      </c>
      <c r="D1861" s="391" t="str">
        <f t="shared" ref="D1861:E1861" si="5384">D1858</f>
        <v>1-10</v>
      </c>
      <c r="E1861" s="391">
        <f t="shared" si="5384"/>
        <v>10</v>
      </c>
      <c r="F1861" s="391" t="str">
        <f t="shared" ref="F1861:G1861" si="5385">F1860</f>
        <v>air</v>
      </c>
      <c r="G1861" s="401" t="str">
        <f t="shared" si="5385"/>
        <v>DE: PHB film 1-10 mm (emission to air)</v>
      </c>
      <c r="H1861" s="465">
        <v>0</v>
      </c>
      <c r="I1861" s="394" t="s">
        <v>1097</v>
      </c>
      <c r="J1861" s="635"/>
      <c r="K1861" s="389">
        <v>521.42857142857144</v>
      </c>
      <c r="L1861" s="536"/>
      <c r="M1861" s="509">
        <f t="shared" si="5173"/>
        <v>9.5890410958904102</v>
      </c>
      <c r="N1861" s="646"/>
      <c r="O1861" s="626"/>
      <c r="P1861" s="629"/>
      <c r="Q1861" s="629"/>
    </row>
    <row r="1862" spans="1:17" ht="15.75" hidden="1" thickBot="1">
      <c r="A1862" s="390" t="str">
        <f t="shared" ref="A1862:B1862" si="5386">A1859</f>
        <v>PHB</v>
      </c>
      <c r="B1862" s="391" t="str">
        <f t="shared" si="5386"/>
        <v>film</v>
      </c>
      <c r="C1862" s="391">
        <f t="shared" ref="C1862" si="5387">C1861</f>
        <v>2</v>
      </c>
      <c r="D1862" s="391" t="str">
        <f t="shared" ref="D1862:E1862" si="5388">D1859</f>
        <v>1-10</v>
      </c>
      <c r="E1862" s="391">
        <f t="shared" si="5388"/>
        <v>10</v>
      </c>
      <c r="F1862" s="391" t="str">
        <f t="shared" ref="F1862:G1862" si="5389">F1861</f>
        <v>air</v>
      </c>
      <c r="G1862" s="401" t="str">
        <f t="shared" si="5389"/>
        <v>DE: PHB film 1-10 mm (emission to air)</v>
      </c>
      <c r="H1862" s="465">
        <v>4.7E-2</v>
      </c>
      <c r="I1862" s="394" t="s">
        <v>1162</v>
      </c>
      <c r="J1862" s="635"/>
      <c r="K1862" s="389">
        <v>521.42857142857144</v>
      </c>
      <c r="L1862" s="536"/>
      <c r="M1862" s="509">
        <f t="shared" ref="M1862:M1925" si="5390">IFERROR(IF(K1862="--",0,IF(E1862*1000/K1862*(1-0.5)^(C1862/2)&gt;1000,1000,E1862*1000/K1862*(1-0.5)^(C1862/2))),1000)</f>
        <v>9.5890410958904102</v>
      </c>
      <c r="N1862" s="646"/>
      <c r="O1862" s="626"/>
      <c r="P1862" s="629"/>
      <c r="Q1862" s="629"/>
    </row>
    <row r="1863" spans="1:17" ht="15.75" hidden="1" thickBot="1">
      <c r="A1863" s="390" t="str">
        <f t="shared" ref="A1863:B1863" si="5391">A1860</f>
        <v>PHB</v>
      </c>
      <c r="B1863" s="391" t="str">
        <f t="shared" si="5391"/>
        <v>film</v>
      </c>
      <c r="C1863" s="391">
        <f t="shared" ref="C1863" si="5392">C1862</f>
        <v>2</v>
      </c>
      <c r="D1863" s="391" t="str">
        <f t="shared" ref="D1863:E1863" si="5393">D1860</f>
        <v>1-10</v>
      </c>
      <c r="E1863" s="391">
        <f t="shared" si="5393"/>
        <v>10</v>
      </c>
      <c r="F1863" s="391" t="str">
        <f t="shared" ref="F1863:G1863" si="5394">F1862</f>
        <v>air</v>
      </c>
      <c r="G1863" s="401" t="str">
        <f t="shared" si="5394"/>
        <v>DE: PHB film 1-10 mm (emission to air)</v>
      </c>
      <c r="H1863" s="465">
        <v>5.0000000000000001E-3</v>
      </c>
      <c r="I1863" s="394" t="s">
        <v>1163</v>
      </c>
      <c r="J1863" s="635"/>
      <c r="K1863" s="389">
        <v>521.42857142857144</v>
      </c>
      <c r="L1863" s="536"/>
      <c r="M1863" s="509">
        <f t="shared" si="5390"/>
        <v>9.5890410958904102</v>
      </c>
      <c r="N1863" s="646"/>
      <c r="O1863" s="626"/>
      <c r="P1863" s="629"/>
      <c r="Q1863" s="629"/>
    </row>
    <row r="1864" spans="1:17" ht="15.75" hidden="1" thickBot="1">
      <c r="A1864" s="390" t="str">
        <f t="shared" ref="A1864:B1864" si="5395">A1859</f>
        <v>PHB</v>
      </c>
      <c r="B1864" s="391" t="str">
        <f t="shared" si="5395"/>
        <v>film</v>
      </c>
      <c r="C1864" s="391">
        <f t="shared" ref="C1864" si="5396">C1863</f>
        <v>2</v>
      </c>
      <c r="D1864" s="391" t="str">
        <f t="shared" ref="D1864:E1864" si="5397">D1859</f>
        <v>1-10</v>
      </c>
      <c r="E1864" s="391">
        <f t="shared" si="5397"/>
        <v>10</v>
      </c>
      <c r="F1864" s="391" t="str">
        <f t="shared" ref="F1864:G1864" si="5398">F1863</f>
        <v>air</v>
      </c>
      <c r="G1864" s="401" t="str">
        <f t="shared" si="5398"/>
        <v>DE: PHB film 1-10 mm (emission to air)</v>
      </c>
      <c r="H1864" s="471">
        <v>0</v>
      </c>
      <c r="I1864" s="422" t="s">
        <v>1034</v>
      </c>
      <c r="J1864" s="636"/>
      <c r="K1864" s="451" t="s">
        <v>596</v>
      </c>
      <c r="L1864" s="542"/>
      <c r="M1864" s="509">
        <f t="shared" si="5390"/>
        <v>0</v>
      </c>
      <c r="N1864" s="647"/>
      <c r="O1864" s="627"/>
      <c r="P1864" s="629"/>
      <c r="Q1864" s="629"/>
    </row>
    <row r="1865" spans="1:17" ht="15.75" hidden="1" thickBot="1">
      <c r="A1865" s="405" t="s">
        <v>18</v>
      </c>
      <c r="B1865" s="406" t="s">
        <v>1151</v>
      </c>
      <c r="C1865" s="407">
        <v>4</v>
      </c>
      <c r="D1865" s="423" t="s">
        <v>1018</v>
      </c>
      <c r="E1865" s="408">
        <v>0.1</v>
      </c>
      <c r="F1865" s="424" t="s">
        <v>1019</v>
      </c>
      <c r="G1865" s="425" t="str">
        <f>CONCATENATE("DE: ",A1865," ",B1865," ",D1865," mm (emission to ",F1865,")")</f>
        <v>DE: PHB fiber 0,01-0,1 mm (emission to soil)</v>
      </c>
      <c r="H1865" s="474">
        <v>0.97</v>
      </c>
      <c r="I1865" s="427" t="s">
        <v>1019</v>
      </c>
      <c r="J1865" s="632">
        <v>0.22800000000000001</v>
      </c>
      <c r="K1865" s="428">
        <v>789.99</v>
      </c>
      <c r="L1865" s="539"/>
      <c r="M1865" s="509">
        <f t="shared" si="5390"/>
        <v>3.1645970202154455E-2</v>
      </c>
      <c r="N1865" s="645">
        <f t="shared" ref="N1865" si="5399">IFERROR(H1865*M1865+H1866*M1866+H1867*M1867+H1868*M1868+H1869*M1869,"N.A.")</f>
        <v>3.2134947260473383E-2</v>
      </c>
      <c r="O1865" s="625"/>
      <c r="P1865" s="628">
        <f t="shared" si="5265"/>
        <v>3.2134947260473383E-2</v>
      </c>
      <c r="Q1865" s="628">
        <f t="shared" si="5381"/>
        <v>3.2134947260473383E-2</v>
      </c>
    </row>
    <row r="1866" spans="1:17" ht="15.75" hidden="1" thickBot="1">
      <c r="A1866" s="390" t="str">
        <f>A1865</f>
        <v>PHB</v>
      </c>
      <c r="B1866" s="391" t="str">
        <f>B1865</f>
        <v>fiber</v>
      </c>
      <c r="C1866" s="391">
        <f t="shared" ref="C1866:G1866" si="5400">C1865</f>
        <v>4</v>
      </c>
      <c r="D1866" s="391" t="str">
        <f t="shared" si="5400"/>
        <v>0,01-0,1</v>
      </c>
      <c r="E1866" s="391">
        <f t="shared" si="5400"/>
        <v>0.1</v>
      </c>
      <c r="F1866" s="391" t="str">
        <f t="shared" si="5400"/>
        <v>soil</v>
      </c>
      <c r="G1866" s="392" t="str">
        <f t="shared" si="5400"/>
        <v>DE: PHB fiber 0,01-0,1 mm (emission to soil)</v>
      </c>
      <c r="H1866" s="465">
        <v>0</v>
      </c>
      <c r="I1866" s="394" t="s">
        <v>1097</v>
      </c>
      <c r="J1866" s="632"/>
      <c r="K1866" s="395">
        <v>521.42857142857144</v>
      </c>
      <c r="L1866" s="537"/>
      <c r="M1866" s="509">
        <f t="shared" si="5390"/>
        <v>4.7945205479452052E-2</v>
      </c>
      <c r="N1866" s="646"/>
      <c r="O1866" s="626"/>
      <c r="P1866" s="629"/>
      <c r="Q1866" s="629"/>
    </row>
    <row r="1867" spans="1:17" ht="15.75" hidden="1" thickBot="1">
      <c r="A1867" s="390" t="str">
        <f t="shared" ref="A1867:G1867" si="5401">A1866</f>
        <v>PHB</v>
      </c>
      <c r="B1867" s="391" t="str">
        <f t="shared" si="5401"/>
        <v>fiber</v>
      </c>
      <c r="C1867" s="391">
        <f t="shared" si="5401"/>
        <v>4</v>
      </c>
      <c r="D1867" s="391" t="str">
        <f t="shared" si="5401"/>
        <v>0,01-0,1</v>
      </c>
      <c r="E1867" s="391">
        <f t="shared" si="5401"/>
        <v>0.1</v>
      </c>
      <c r="F1867" s="391" t="str">
        <f t="shared" si="5401"/>
        <v>soil</v>
      </c>
      <c r="G1867" s="392" t="str">
        <f t="shared" si="5401"/>
        <v>DE: PHB fiber 0,01-0,1 mm (emission to soil)</v>
      </c>
      <c r="H1867" s="465">
        <v>2.7E-2</v>
      </c>
      <c r="I1867" s="394" t="s">
        <v>1162</v>
      </c>
      <c r="J1867" s="632"/>
      <c r="K1867" s="395">
        <v>521.42857142857144</v>
      </c>
      <c r="L1867" s="537"/>
      <c r="M1867" s="509">
        <f t="shared" si="5390"/>
        <v>4.7945205479452052E-2</v>
      </c>
      <c r="N1867" s="646"/>
      <c r="O1867" s="626"/>
      <c r="P1867" s="629"/>
      <c r="Q1867" s="629"/>
    </row>
    <row r="1868" spans="1:17" ht="15.75" hidden="1" thickBot="1">
      <c r="A1868" s="390" t="str">
        <f t="shared" ref="A1868:G1868" si="5402">A1867</f>
        <v>PHB</v>
      </c>
      <c r="B1868" s="391" t="str">
        <f t="shared" si="5402"/>
        <v>fiber</v>
      </c>
      <c r="C1868" s="391">
        <f t="shared" si="5402"/>
        <v>4</v>
      </c>
      <c r="D1868" s="391" t="str">
        <f t="shared" si="5402"/>
        <v>0,01-0,1</v>
      </c>
      <c r="E1868" s="391">
        <f t="shared" si="5402"/>
        <v>0.1</v>
      </c>
      <c r="F1868" s="391" t="str">
        <f t="shared" si="5402"/>
        <v>soil</v>
      </c>
      <c r="G1868" s="392" t="str">
        <f t="shared" si="5402"/>
        <v>DE: PHB fiber 0,01-0,1 mm (emission to soil)</v>
      </c>
      <c r="H1868" s="465">
        <v>3.0000000000000001E-3</v>
      </c>
      <c r="I1868" s="394" t="s">
        <v>1163</v>
      </c>
      <c r="J1868" s="632"/>
      <c r="K1868" s="395">
        <v>521.42857142857144</v>
      </c>
      <c r="L1868" s="537"/>
      <c r="M1868" s="509">
        <f t="shared" si="5390"/>
        <v>4.7945205479452052E-2</v>
      </c>
      <c r="N1868" s="646"/>
      <c r="O1868" s="626"/>
      <c r="P1868" s="629"/>
      <c r="Q1868" s="629"/>
    </row>
    <row r="1869" spans="1:17" ht="15.75" hidden="1" thickBot="1">
      <c r="A1869" s="390" t="str">
        <f>A1866</f>
        <v>PHB</v>
      </c>
      <c r="B1869" s="391" t="str">
        <f>B1866</f>
        <v>fiber</v>
      </c>
      <c r="C1869" s="391">
        <f t="shared" ref="C1869" si="5403">C1868</f>
        <v>4</v>
      </c>
      <c r="D1869" s="391" t="str">
        <f>D1866</f>
        <v>0,01-0,1</v>
      </c>
      <c r="E1869" s="391">
        <f>E1866</f>
        <v>0.1</v>
      </c>
      <c r="F1869" s="391" t="str">
        <f>F1866</f>
        <v>soil</v>
      </c>
      <c r="G1869" s="396" t="str">
        <f t="shared" ref="G1869" si="5404">G1868</f>
        <v>DE: PHB fiber 0,01-0,1 mm (emission to soil)</v>
      </c>
      <c r="H1869" s="465">
        <v>0</v>
      </c>
      <c r="I1869" s="397" t="s">
        <v>1034</v>
      </c>
      <c r="J1869" s="633"/>
      <c r="K1869" s="398" t="s">
        <v>596</v>
      </c>
      <c r="L1869" s="538"/>
      <c r="M1869" s="509">
        <f t="shared" si="5390"/>
        <v>0</v>
      </c>
      <c r="N1869" s="647"/>
      <c r="O1869" s="627"/>
      <c r="P1869" s="629"/>
      <c r="Q1869" s="629"/>
    </row>
    <row r="1870" spans="1:17" ht="15.75" hidden="1" thickBot="1">
      <c r="A1870" s="390" t="str">
        <f t="shared" ref="A1870:B1870" si="5405">A1867</f>
        <v>PHB</v>
      </c>
      <c r="B1870" s="391" t="str">
        <f t="shared" si="5405"/>
        <v>fiber</v>
      </c>
      <c r="C1870" s="391">
        <f t="shared" ref="C1870" si="5406">C1869</f>
        <v>4</v>
      </c>
      <c r="D1870" s="399" t="str">
        <f t="shared" ref="D1870:E1870" si="5407">D1867</f>
        <v>0,01-0,1</v>
      </c>
      <c r="E1870" s="391">
        <f t="shared" si="5407"/>
        <v>0.1</v>
      </c>
      <c r="F1870" s="400" t="s">
        <v>1147</v>
      </c>
      <c r="G1870" s="386" t="str">
        <f>CONCATENATE("DE: ",A1870," ",B1870," ",D1870," mm (emission to ",F1870,")")</f>
        <v>DE: PHB fiber 0,01-0,1 mm (emission to fresh water)</v>
      </c>
      <c r="H1870" s="466">
        <v>0</v>
      </c>
      <c r="I1870" s="388" t="s">
        <v>1019</v>
      </c>
      <c r="J1870" s="634">
        <v>0.22800000000000001</v>
      </c>
      <c r="K1870" s="389">
        <v>789.99</v>
      </c>
      <c r="L1870" s="536"/>
      <c r="M1870" s="509">
        <f t="shared" si="5390"/>
        <v>3.1645970202154455E-2</v>
      </c>
      <c r="N1870" s="645">
        <f t="shared" ref="N1870" si="5408">IFERROR(H1870*M1870+H1871*M1871+H1872*M1872+H1873*M1873+H1874*M1874,"N.A.")</f>
        <v>4.7945205479452052E-2</v>
      </c>
      <c r="O1870" s="625"/>
      <c r="P1870" s="628">
        <f t="shared" si="5265"/>
        <v>4.7945205479452052E-2</v>
      </c>
      <c r="Q1870" s="628">
        <f t="shared" si="5381"/>
        <v>4.7945205479452052E-2</v>
      </c>
    </row>
    <row r="1871" spans="1:17" ht="15.75" hidden="1" thickBot="1">
      <c r="A1871" s="390" t="str">
        <f t="shared" ref="A1871:B1871" si="5409">A1868</f>
        <v>PHB</v>
      </c>
      <c r="B1871" s="391" t="str">
        <f t="shared" si="5409"/>
        <v>fiber</v>
      </c>
      <c r="C1871" s="391">
        <f t="shared" ref="C1871" si="5410">C1870</f>
        <v>4</v>
      </c>
      <c r="D1871" s="391" t="str">
        <f t="shared" ref="D1871:E1871" si="5411">D1868</f>
        <v>0,01-0,1</v>
      </c>
      <c r="E1871" s="391">
        <f t="shared" si="5411"/>
        <v>0.1</v>
      </c>
      <c r="F1871" s="391" t="str">
        <f t="shared" ref="F1871:G1871" si="5412">F1870</f>
        <v>fresh water</v>
      </c>
      <c r="G1871" s="401" t="str">
        <f t="shared" si="5412"/>
        <v>DE: PHB fiber 0,01-0,1 mm (emission to fresh water)</v>
      </c>
      <c r="H1871" s="465">
        <v>0</v>
      </c>
      <c r="I1871" s="394" t="s">
        <v>1097</v>
      </c>
      <c r="J1871" s="635"/>
      <c r="K1871" s="389">
        <v>521.42857142857144</v>
      </c>
      <c r="L1871" s="536"/>
      <c r="M1871" s="509">
        <f t="shared" si="5390"/>
        <v>4.7945205479452052E-2</v>
      </c>
      <c r="N1871" s="646"/>
      <c r="O1871" s="626"/>
      <c r="P1871" s="629"/>
      <c r="Q1871" s="629"/>
    </row>
    <row r="1872" spans="1:17" ht="15.75" hidden="1" thickBot="1">
      <c r="A1872" s="390" t="str">
        <f t="shared" ref="A1872:B1872" si="5413">A1869</f>
        <v>PHB</v>
      </c>
      <c r="B1872" s="391" t="str">
        <f t="shared" si="5413"/>
        <v>fiber</v>
      </c>
      <c r="C1872" s="391">
        <f t="shared" ref="C1872" si="5414">C1871</f>
        <v>4</v>
      </c>
      <c r="D1872" s="391" t="str">
        <f t="shared" ref="D1872:E1872" si="5415">D1869</f>
        <v>0,01-0,1</v>
      </c>
      <c r="E1872" s="391">
        <f t="shared" si="5415"/>
        <v>0.1</v>
      </c>
      <c r="F1872" s="391" t="str">
        <f t="shared" ref="F1872:G1872" si="5416">F1871</f>
        <v>fresh water</v>
      </c>
      <c r="G1872" s="401" t="str">
        <f t="shared" si="5416"/>
        <v>DE: PHB fiber 0,01-0,1 mm (emission to fresh water)</v>
      </c>
      <c r="H1872" s="465">
        <v>0.89</v>
      </c>
      <c r="I1872" s="394" t="s">
        <v>1162</v>
      </c>
      <c r="J1872" s="635"/>
      <c r="K1872" s="389">
        <v>521.42857142857144</v>
      </c>
      <c r="L1872" s="536"/>
      <c r="M1872" s="509">
        <f t="shared" si="5390"/>
        <v>4.7945205479452052E-2</v>
      </c>
      <c r="N1872" s="646"/>
      <c r="O1872" s="626"/>
      <c r="P1872" s="629"/>
      <c r="Q1872" s="629"/>
    </row>
    <row r="1873" spans="1:17" ht="15.75" hidden="1" thickBot="1">
      <c r="A1873" s="390" t="str">
        <f t="shared" ref="A1873:B1873" si="5417">A1870</f>
        <v>PHB</v>
      </c>
      <c r="B1873" s="391" t="str">
        <f t="shared" si="5417"/>
        <v>fiber</v>
      </c>
      <c r="C1873" s="391">
        <f t="shared" ref="C1873" si="5418">C1872</f>
        <v>4</v>
      </c>
      <c r="D1873" s="391" t="str">
        <f t="shared" ref="D1873:E1873" si="5419">D1870</f>
        <v>0,01-0,1</v>
      </c>
      <c r="E1873" s="391">
        <f t="shared" si="5419"/>
        <v>0.1</v>
      </c>
      <c r="F1873" s="391" t="str">
        <f t="shared" ref="F1873:G1873" si="5420">F1872</f>
        <v>fresh water</v>
      </c>
      <c r="G1873" s="401" t="str">
        <f t="shared" si="5420"/>
        <v>DE: PHB fiber 0,01-0,1 mm (emission to fresh water)</v>
      </c>
      <c r="H1873" s="465">
        <v>0.11</v>
      </c>
      <c r="I1873" s="394" t="s">
        <v>1163</v>
      </c>
      <c r="J1873" s="635"/>
      <c r="K1873" s="389">
        <v>521.42857142857144</v>
      </c>
      <c r="L1873" s="536"/>
      <c r="M1873" s="509">
        <f t="shared" si="5390"/>
        <v>4.7945205479452052E-2</v>
      </c>
      <c r="N1873" s="646"/>
      <c r="O1873" s="626"/>
      <c r="P1873" s="629"/>
      <c r="Q1873" s="629"/>
    </row>
    <row r="1874" spans="1:17" ht="15.75" hidden="1" thickBot="1">
      <c r="A1874" s="390" t="str">
        <f t="shared" ref="A1874:B1874" si="5421">A1871</f>
        <v>PHB</v>
      </c>
      <c r="B1874" s="391" t="str">
        <f t="shared" si="5421"/>
        <v>fiber</v>
      </c>
      <c r="C1874" s="391">
        <f t="shared" ref="C1874" si="5422">C1873</f>
        <v>4</v>
      </c>
      <c r="D1874" s="391" t="str">
        <f t="shared" ref="D1874:E1874" si="5423">D1871</f>
        <v>0,01-0,1</v>
      </c>
      <c r="E1874" s="391">
        <f t="shared" si="5423"/>
        <v>0.1</v>
      </c>
      <c r="F1874" s="402" t="str">
        <f>F1871</f>
        <v>fresh water</v>
      </c>
      <c r="G1874" s="401" t="str">
        <f t="shared" ref="G1874" si="5424">G1873</f>
        <v>DE: PHB fiber 0,01-0,1 mm (emission to fresh water)</v>
      </c>
      <c r="H1874" s="465">
        <v>0</v>
      </c>
      <c r="I1874" s="397" t="s">
        <v>1034</v>
      </c>
      <c r="J1874" s="654"/>
      <c r="K1874" s="398" t="s">
        <v>596</v>
      </c>
      <c r="L1874" s="538"/>
      <c r="M1874" s="509">
        <f t="shared" si="5390"/>
        <v>0</v>
      </c>
      <c r="N1874" s="647"/>
      <c r="O1874" s="627"/>
      <c r="P1874" s="629"/>
      <c r="Q1874" s="629"/>
    </row>
    <row r="1875" spans="1:17" ht="15.75" hidden="1" thickBot="1">
      <c r="A1875" s="390" t="str">
        <f t="shared" ref="A1875:B1875" si="5425">A1872</f>
        <v>PHB</v>
      </c>
      <c r="B1875" s="391" t="str">
        <f t="shared" si="5425"/>
        <v>fiber</v>
      </c>
      <c r="C1875" s="391">
        <f t="shared" ref="C1875" si="5426">C1874</f>
        <v>4</v>
      </c>
      <c r="D1875" s="391" t="str">
        <f t="shared" ref="D1875:E1875" si="5427">D1872</f>
        <v>0,01-0,1</v>
      </c>
      <c r="E1875" s="391">
        <f t="shared" si="5427"/>
        <v>0.1</v>
      </c>
      <c r="F1875" s="385" t="s">
        <v>1097</v>
      </c>
      <c r="G1875" s="422" t="str">
        <f>CONCATENATE("DE: ",A1875," ",B1875," ",D1875," mm (emission to ",F1875,")")</f>
        <v>DE: PHB fiber 0,01-0,1 mm (emission to marine water)</v>
      </c>
      <c r="H1875" s="467">
        <v>0</v>
      </c>
      <c r="I1875" s="388" t="s">
        <v>1019</v>
      </c>
      <c r="J1875" s="634">
        <v>0.22800000000000001</v>
      </c>
      <c r="K1875" s="389">
        <v>789.99</v>
      </c>
      <c r="L1875" s="536"/>
      <c r="M1875" s="509">
        <f t="shared" si="5390"/>
        <v>3.1645970202154455E-2</v>
      </c>
      <c r="N1875" s="645">
        <f t="shared" ref="N1875" si="5428">IFERROR(H1875*M1875+H1876*M1876+H1877*M1877+H1878*M1878+H1879*M1879,"N.A.")</f>
        <v>4.7945205479452052E-2</v>
      </c>
      <c r="O1875" s="625"/>
      <c r="P1875" s="628">
        <f t="shared" si="5265"/>
        <v>4.7945205479452052E-2</v>
      </c>
      <c r="Q1875" s="628">
        <f t="shared" si="5381"/>
        <v>4.7945205479452052E-2</v>
      </c>
    </row>
    <row r="1876" spans="1:17" ht="15.75" hidden="1" thickBot="1">
      <c r="A1876" s="390" t="str">
        <f t="shared" ref="A1876:B1876" si="5429">A1873</f>
        <v>PHB</v>
      </c>
      <c r="B1876" s="391" t="str">
        <f t="shared" si="5429"/>
        <v>fiber</v>
      </c>
      <c r="C1876" s="391">
        <f t="shared" ref="C1876" si="5430">C1875</f>
        <v>4</v>
      </c>
      <c r="D1876" s="391" t="str">
        <f t="shared" ref="D1876:E1876" si="5431">D1873</f>
        <v>0,01-0,1</v>
      </c>
      <c r="E1876" s="391">
        <f t="shared" si="5431"/>
        <v>0.1</v>
      </c>
      <c r="F1876" s="391" t="str">
        <f t="shared" ref="F1876:G1876" si="5432">F1875</f>
        <v>marine water</v>
      </c>
      <c r="G1876" s="401" t="str">
        <f t="shared" si="5432"/>
        <v>DE: PHB fiber 0,01-0,1 mm (emission to marine water)</v>
      </c>
      <c r="H1876" s="465">
        <v>0</v>
      </c>
      <c r="I1876" s="394" t="s">
        <v>1097</v>
      </c>
      <c r="J1876" s="635"/>
      <c r="K1876" s="389">
        <v>521.42857142857144</v>
      </c>
      <c r="L1876" s="536"/>
      <c r="M1876" s="509">
        <f t="shared" si="5390"/>
        <v>4.7945205479452052E-2</v>
      </c>
      <c r="N1876" s="646"/>
      <c r="O1876" s="626"/>
      <c r="P1876" s="629"/>
      <c r="Q1876" s="629"/>
    </row>
    <row r="1877" spans="1:17" ht="15.75" hidden="1" thickBot="1">
      <c r="A1877" s="390" t="str">
        <f t="shared" ref="A1877:B1877" si="5433">A1874</f>
        <v>PHB</v>
      </c>
      <c r="B1877" s="391" t="str">
        <f t="shared" si="5433"/>
        <v>fiber</v>
      </c>
      <c r="C1877" s="391">
        <f t="shared" ref="C1877" si="5434">C1876</f>
        <v>4</v>
      </c>
      <c r="D1877" s="391" t="str">
        <f t="shared" ref="D1877:E1877" si="5435">D1874</f>
        <v>0,01-0,1</v>
      </c>
      <c r="E1877" s="391">
        <f t="shared" si="5435"/>
        <v>0.1</v>
      </c>
      <c r="F1877" s="391" t="str">
        <f t="shared" ref="F1877:G1877" si="5436">F1876</f>
        <v>marine water</v>
      </c>
      <c r="G1877" s="401" t="str">
        <f t="shared" si="5436"/>
        <v>DE: PHB fiber 0,01-0,1 mm (emission to marine water)</v>
      </c>
      <c r="H1877" s="465">
        <v>0</v>
      </c>
      <c r="I1877" s="394" t="s">
        <v>1162</v>
      </c>
      <c r="J1877" s="635"/>
      <c r="K1877" s="389">
        <v>521.42857142857144</v>
      </c>
      <c r="L1877" s="536"/>
      <c r="M1877" s="509">
        <f t="shared" si="5390"/>
        <v>4.7945205479452052E-2</v>
      </c>
      <c r="N1877" s="646"/>
      <c r="O1877" s="626"/>
      <c r="P1877" s="629"/>
      <c r="Q1877" s="629"/>
    </row>
    <row r="1878" spans="1:17" ht="15.75" hidden="1" thickBot="1">
      <c r="A1878" s="390" t="str">
        <f t="shared" ref="A1878:B1878" si="5437">A1875</f>
        <v>PHB</v>
      </c>
      <c r="B1878" s="391" t="str">
        <f t="shared" si="5437"/>
        <v>fiber</v>
      </c>
      <c r="C1878" s="391">
        <f t="shared" ref="C1878" si="5438">C1877</f>
        <v>4</v>
      </c>
      <c r="D1878" s="391" t="str">
        <f t="shared" ref="D1878:E1878" si="5439">D1875</f>
        <v>0,01-0,1</v>
      </c>
      <c r="E1878" s="391">
        <f t="shared" si="5439"/>
        <v>0.1</v>
      </c>
      <c r="F1878" s="391" t="str">
        <f t="shared" ref="F1878:G1878" si="5440">F1877</f>
        <v>marine water</v>
      </c>
      <c r="G1878" s="401" t="str">
        <f t="shared" si="5440"/>
        <v>DE: PHB fiber 0,01-0,1 mm (emission to marine water)</v>
      </c>
      <c r="H1878" s="465">
        <v>1</v>
      </c>
      <c r="I1878" s="394" t="s">
        <v>1163</v>
      </c>
      <c r="J1878" s="635"/>
      <c r="K1878" s="389">
        <v>521.42857142857144</v>
      </c>
      <c r="L1878" s="536"/>
      <c r="M1878" s="509">
        <f t="shared" si="5390"/>
        <v>4.7945205479452052E-2</v>
      </c>
      <c r="N1878" s="646"/>
      <c r="O1878" s="626"/>
      <c r="P1878" s="629"/>
      <c r="Q1878" s="629"/>
    </row>
    <row r="1879" spans="1:17" ht="15.75" hidden="1" thickBot="1">
      <c r="A1879" s="390" t="str">
        <f t="shared" ref="A1879:B1879" si="5441">A1876</f>
        <v>PHB</v>
      </c>
      <c r="B1879" s="391" t="str">
        <f t="shared" si="5441"/>
        <v>fiber</v>
      </c>
      <c r="C1879" s="391">
        <f t="shared" ref="C1879" si="5442">C1878</f>
        <v>4</v>
      </c>
      <c r="D1879" s="391" t="str">
        <f t="shared" ref="D1879:E1879" si="5443">D1876</f>
        <v>0,01-0,1</v>
      </c>
      <c r="E1879" s="391">
        <f t="shared" si="5443"/>
        <v>0.1</v>
      </c>
      <c r="F1879" s="391" t="str">
        <f t="shared" ref="F1879:G1879" si="5444">F1878</f>
        <v>marine water</v>
      </c>
      <c r="G1879" s="401" t="str">
        <f t="shared" si="5444"/>
        <v>DE: PHB fiber 0,01-0,1 mm (emission to marine water)</v>
      </c>
      <c r="H1879" s="465">
        <v>0</v>
      </c>
      <c r="I1879" s="397" t="s">
        <v>1034</v>
      </c>
      <c r="J1879" s="654"/>
      <c r="K1879" s="398" t="s">
        <v>596</v>
      </c>
      <c r="L1879" s="538"/>
      <c r="M1879" s="509">
        <f t="shared" si="5390"/>
        <v>0</v>
      </c>
      <c r="N1879" s="647"/>
      <c r="O1879" s="627"/>
      <c r="P1879" s="629"/>
      <c r="Q1879" s="629"/>
    </row>
    <row r="1880" spans="1:17" ht="15.75" hidden="1" thickBot="1">
      <c r="A1880" s="390" t="str">
        <f t="shared" ref="A1880:B1880" si="5445">A1877</f>
        <v>PHB</v>
      </c>
      <c r="B1880" s="391" t="str">
        <f t="shared" si="5445"/>
        <v>fiber</v>
      </c>
      <c r="C1880" s="391">
        <f t="shared" ref="C1880" si="5446">C1879</f>
        <v>4</v>
      </c>
      <c r="D1880" s="391" t="str">
        <f t="shared" ref="D1880:E1880" si="5447">D1877</f>
        <v>0,01-0,1</v>
      </c>
      <c r="E1880" s="391">
        <f t="shared" si="5447"/>
        <v>0.1</v>
      </c>
      <c r="F1880" s="400" t="s">
        <v>1057</v>
      </c>
      <c r="G1880" s="422" t="str">
        <f>CONCATENATE("DE: ",A1880," ",B1880," ",D1880," mm (emission to ",F1880,")")</f>
        <v>DE: PHB fiber 0,01-0,1 mm (emission to air)</v>
      </c>
      <c r="H1880" s="467">
        <v>0.94799999999999995</v>
      </c>
      <c r="I1880" s="388" t="s">
        <v>1019</v>
      </c>
      <c r="J1880" s="634">
        <v>0.22800000000000001</v>
      </c>
      <c r="K1880" s="389">
        <v>789.99</v>
      </c>
      <c r="L1880" s="536"/>
      <c r="M1880" s="509">
        <f t="shared" si="5390"/>
        <v>3.1645970202154455E-2</v>
      </c>
      <c r="N1880" s="645">
        <f t="shared" ref="N1880" si="5448">IFERROR(H1880*M1880+H1881*M1881+H1882*M1882+H1883*M1883+H1884*M1884,"N.A.")</f>
        <v>3.2493530436573929E-2</v>
      </c>
      <c r="O1880" s="625"/>
      <c r="P1880" s="628">
        <f t="shared" si="5265"/>
        <v>3.2493530436573929E-2</v>
      </c>
      <c r="Q1880" s="628">
        <f t="shared" si="5381"/>
        <v>3.2493530436573929E-2</v>
      </c>
    </row>
    <row r="1881" spans="1:17" ht="15.75" hidden="1" thickBot="1">
      <c r="A1881" s="390" t="str">
        <f t="shared" ref="A1881:B1881" si="5449">A1878</f>
        <v>PHB</v>
      </c>
      <c r="B1881" s="391" t="str">
        <f t="shared" si="5449"/>
        <v>fiber</v>
      </c>
      <c r="C1881" s="391">
        <f t="shared" ref="C1881" si="5450">C1880</f>
        <v>4</v>
      </c>
      <c r="D1881" s="391" t="str">
        <f t="shared" ref="D1881:E1881" si="5451">D1878</f>
        <v>0,01-0,1</v>
      </c>
      <c r="E1881" s="391">
        <f t="shared" si="5451"/>
        <v>0.1</v>
      </c>
      <c r="F1881" s="391" t="str">
        <f t="shared" ref="F1881:G1881" si="5452">F1880</f>
        <v>air</v>
      </c>
      <c r="G1881" s="401" t="str">
        <f t="shared" si="5452"/>
        <v>DE: PHB fiber 0,01-0,1 mm (emission to air)</v>
      </c>
      <c r="H1881" s="465">
        <v>0</v>
      </c>
      <c r="I1881" s="394" t="s">
        <v>1097</v>
      </c>
      <c r="J1881" s="635"/>
      <c r="K1881" s="389">
        <v>521.42857142857144</v>
      </c>
      <c r="L1881" s="536"/>
      <c r="M1881" s="509">
        <f t="shared" si="5390"/>
        <v>4.7945205479452052E-2</v>
      </c>
      <c r="N1881" s="646"/>
      <c r="O1881" s="626"/>
      <c r="P1881" s="629"/>
      <c r="Q1881" s="629"/>
    </row>
    <row r="1882" spans="1:17" ht="15.75" hidden="1" thickBot="1">
      <c r="A1882" s="390" t="str">
        <f t="shared" ref="A1882:B1882" si="5453">A1879</f>
        <v>PHB</v>
      </c>
      <c r="B1882" s="391" t="str">
        <f t="shared" si="5453"/>
        <v>fiber</v>
      </c>
      <c r="C1882" s="391">
        <f t="shared" ref="C1882" si="5454">C1881</f>
        <v>4</v>
      </c>
      <c r="D1882" s="391" t="str">
        <f t="shared" ref="D1882:E1882" si="5455">D1879</f>
        <v>0,01-0,1</v>
      </c>
      <c r="E1882" s="391">
        <f t="shared" si="5455"/>
        <v>0.1</v>
      </c>
      <c r="F1882" s="391" t="str">
        <f t="shared" ref="F1882:G1882" si="5456">F1881</f>
        <v>air</v>
      </c>
      <c r="G1882" s="401" t="str">
        <f t="shared" si="5456"/>
        <v>DE: PHB fiber 0,01-0,1 mm (emission to air)</v>
      </c>
      <c r="H1882" s="465">
        <v>4.7E-2</v>
      </c>
      <c r="I1882" s="394" t="s">
        <v>1162</v>
      </c>
      <c r="J1882" s="635"/>
      <c r="K1882" s="389">
        <v>521.42857142857144</v>
      </c>
      <c r="L1882" s="536"/>
      <c r="M1882" s="509">
        <f t="shared" si="5390"/>
        <v>4.7945205479452052E-2</v>
      </c>
      <c r="N1882" s="646"/>
      <c r="O1882" s="626"/>
      <c r="P1882" s="629"/>
      <c r="Q1882" s="629"/>
    </row>
    <row r="1883" spans="1:17" ht="15.75" hidden="1" thickBot="1">
      <c r="A1883" s="390" t="str">
        <f t="shared" ref="A1883:B1883" si="5457">A1880</f>
        <v>PHB</v>
      </c>
      <c r="B1883" s="391" t="str">
        <f t="shared" si="5457"/>
        <v>fiber</v>
      </c>
      <c r="C1883" s="391">
        <f t="shared" ref="C1883" si="5458">C1882</f>
        <v>4</v>
      </c>
      <c r="D1883" s="391" t="str">
        <f t="shared" ref="D1883:E1883" si="5459">D1880</f>
        <v>0,01-0,1</v>
      </c>
      <c r="E1883" s="391">
        <f t="shared" si="5459"/>
        <v>0.1</v>
      </c>
      <c r="F1883" s="391" t="str">
        <f t="shared" ref="F1883:G1883" si="5460">F1882</f>
        <v>air</v>
      </c>
      <c r="G1883" s="401" t="str">
        <f t="shared" si="5460"/>
        <v>DE: PHB fiber 0,01-0,1 mm (emission to air)</v>
      </c>
      <c r="H1883" s="465">
        <v>5.0000000000000001E-3</v>
      </c>
      <c r="I1883" s="394" t="s">
        <v>1163</v>
      </c>
      <c r="J1883" s="635"/>
      <c r="K1883" s="389">
        <v>521.42857142857144</v>
      </c>
      <c r="L1883" s="536"/>
      <c r="M1883" s="509">
        <f t="shared" si="5390"/>
        <v>4.7945205479452052E-2</v>
      </c>
      <c r="N1883" s="646"/>
      <c r="O1883" s="626"/>
      <c r="P1883" s="629"/>
      <c r="Q1883" s="629"/>
    </row>
    <row r="1884" spans="1:17" ht="15.75" hidden="1" thickBot="1">
      <c r="A1884" s="452" t="str">
        <f t="shared" ref="A1884:B1884" si="5461">A1879</f>
        <v>PHB</v>
      </c>
      <c r="B1884" s="453" t="str">
        <f t="shared" si="5461"/>
        <v>fiber</v>
      </c>
      <c r="C1884" s="453">
        <f t="shared" ref="C1884" si="5462">C1883</f>
        <v>4</v>
      </c>
      <c r="D1884" s="453" t="str">
        <f t="shared" ref="D1884:E1884" si="5463">D1879</f>
        <v>0,01-0,1</v>
      </c>
      <c r="E1884" s="453">
        <f t="shared" si="5463"/>
        <v>0.1</v>
      </c>
      <c r="F1884" s="453" t="str">
        <f t="shared" ref="F1884:G1884" si="5464">F1883</f>
        <v>air</v>
      </c>
      <c r="G1884" s="454" t="str">
        <f t="shared" si="5464"/>
        <v>DE: PHB fiber 0,01-0,1 mm (emission to air)</v>
      </c>
      <c r="H1884" s="473">
        <v>0</v>
      </c>
      <c r="I1884" s="456" t="s">
        <v>1034</v>
      </c>
      <c r="J1884" s="636"/>
      <c r="K1884" s="457" t="s">
        <v>596</v>
      </c>
      <c r="L1884" s="543"/>
      <c r="M1884" s="509">
        <f t="shared" si="5390"/>
        <v>0</v>
      </c>
      <c r="N1884" s="647"/>
      <c r="O1884" s="627"/>
      <c r="P1884" s="629"/>
      <c r="Q1884" s="629"/>
    </row>
    <row r="1885" spans="1:17" ht="15.75" hidden="1" thickBot="1">
      <c r="A1885" s="381" t="s">
        <v>18</v>
      </c>
      <c r="B1885" s="382" t="s">
        <v>1151</v>
      </c>
      <c r="C1885" s="383">
        <v>4</v>
      </c>
      <c r="D1885" s="475" t="s">
        <v>1028</v>
      </c>
      <c r="E1885" s="384">
        <v>1</v>
      </c>
      <c r="F1885" s="385" t="s">
        <v>1019</v>
      </c>
      <c r="G1885" s="386" t="str">
        <f>CONCATENATE("DE: ",A1885," ",B1885," ",D1885," mm (emission to ",F1885,")")</f>
        <v>DE: PHB fiber 0,1-1 mm (emission to soil)</v>
      </c>
      <c r="H1885" s="466">
        <v>0.97</v>
      </c>
      <c r="I1885" s="388" t="s">
        <v>1019</v>
      </c>
      <c r="J1885" s="632">
        <v>0.22800000000000001</v>
      </c>
      <c r="K1885" s="389">
        <v>789.99</v>
      </c>
      <c r="L1885" s="536"/>
      <c r="M1885" s="509">
        <f t="shared" si="5390"/>
        <v>0.31645970202154455</v>
      </c>
      <c r="N1885" s="645">
        <f t="shared" ref="N1885" si="5465">IFERROR(H1885*M1885+H1886*M1886+H1887*M1887+H1888*M1888+H1889*M1889,"N.A.")</f>
        <v>0.32134947260473379</v>
      </c>
      <c r="O1885" s="625"/>
      <c r="P1885" s="628">
        <f t="shared" si="5265"/>
        <v>0.32134947260473379</v>
      </c>
      <c r="Q1885" s="628">
        <f t="shared" si="5381"/>
        <v>0.32134947260473379</v>
      </c>
    </row>
    <row r="1886" spans="1:17" ht="15.75" hidden="1" thickBot="1">
      <c r="A1886" s="390" t="str">
        <f>A1885</f>
        <v>PHB</v>
      </c>
      <c r="B1886" s="391" t="str">
        <f>B1885</f>
        <v>fiber</v>
      </c>
      <c r="C1886" s="391">
        <f t="shared" ref="C1886:G1886" si="5466">C1885</f>
        <v>4</v>
      </c>
      <c r="D1886" s="391" t="str">
        <f t="shared" si="5466"/>
        <v>0,1-1</v>
      </c>
      <c r="E1886" s="391">
        <f t="shared" si="5466"/>
        <v>1</v>
      </c>
      <c r="F1886" s="391" t="str">
        <f t="shared" si="5466"/>
        <v>soil</v>
      </c>
      <c r="G1886" s="392" t="str">
        <f t="shared" si="5466"/>
        <v>DE: PHB fiber 0,1-1 mm (emission to soil)</v>
      </c>
      <c r="H1886" s="465">
        <v>0</v>
      </c>
      <c r="I1886" s="394" t="s">
        <v>1097</v>
      </c>
      <c r="J1886" s="632"/>
      <c r="K1886" s="395">
        <v>521.42857142857144</v>
      </c>
      <c r="L1886" s="537"/>
      <c r="M1886" s="509">
        <f t="shared" si="5390"/>
        <v>0.47945205479452052</v>
      </c>
      <c r="N1886" s="646"/>
      <c r="O1886" s="626"/>
      <c r="P1886" s="629"/>
      <c r="Q1886" s="629"/>
    </row>
    <row r="1887" spans="1:17" ht="15.75" hidden="1" thickBot="1">
      <c r="A1887" s="390" t="str">
        <f t="shared" ref="A1887:G1887" si="5467">A1886</f>
        <v>PHB</v>
      </c>
      <c r="B1887" s="391" t="str">
        <f t="shared" si="5467"/>
        <v>fiber</v>
      </c>
      <c r="C1887" s="391">
        <f t="shared" si="5467"/>
        <v>4</v>
      </c>
      <c r="D1887" s="391" t="str">
        <f t="shared" si="5467"/>
        <v>0,1-1</v>
      </c>
      <c r="E1887" s="391">
        <f t="shared" si="5467"/>
        <v>1</v>
      </c>
      <c r="F1887" s="391" t="str">
        <f t="shared" si="5467"/>
        <v>soil</v>
      </c>
      <c r="G1887" s="392" t="str">
        <f t="shared" si="5467"/>
        <v>DE: PHB fiber 0,1-1 mm (emission to soil)</v>
      </c>
      <c r="H1887" s="465">
        <v>2.7E-2</v>
      </c>
      <c r="I1887" s="394" t="s">
        <v>1162</v>
      </c>
      <c r="J1887" s="632"/>
      <c r="K1887" s="395">
        <v>521.42857142857144</v>
      </c>
      <c r="L1887" s="537"/>
      <c r="M1887" s="509">
        <f t="shared" si="5390"/>
        <v>0.47945205479452052</v>
      </c>
      <c r="N1887" s="646"/>
      <c r="O1887" s="626"/>
      <c r="P1887" s="629"/>
      <c r="Q1887" s="629"/>
    </row>
    <row r="1888" spans="1:17" ht="15.75" hidden="1" thickBot="1">
      <c r="A1888" s="390" t="str">
        <f t="shared" ref="A1888:G1888" si="5468">A1887</f>
        <v>PHB</v>
      </c>
      <c r="B1888" s="391" t="str">
        <f t="shared" si="5468"/>
        <v>fiber</v>
      </c>
      <c r="C1888" s="391">
        <f t="shared" si="5468"/>
        <v>4</v>
      </c>
      <c r="D1888" s="391" t="str">
        <f t="shared" si="5468"/>
        <v>0,1-1</v>
      </c>
      <c r="E1888" s="391">
        <f t="shared" si="5468"/>
        <v>1</v>
      </c>
      <c r="F1888" s="391" t="str">
        <f t="shared" si="5468"/>
        <v>soil</v>
      </c>
      <c r="G1888" s="392" t="str">
        <f t="shared" si="5468"/>
        <v>DE: PHB fiber 0,1-1 mm (emission to soil)</v>
      </c>
      <c r="H1888" s="465">
        <v>3.0000000000000001E-3</v>
      </c>
      <c r="I1888" s="394" t="s">
        <v>1163</v>
      </c>
      <c r="J1888" s="632"/>
      <c r="K1888" s="395">
        <v>521.42857142857144</v>
      </c>
      <c r="L1888" s="537"/>
      <c r="M1888" s="509">
        <f t="shared" si="5390"/>
        <v>0.47945205479452052</v>
      </c>
      <c r="N1888" s="646"/>
      <c r="O1888" s="626"/>
      <c r="P1888" s="629"/>
      <c r="Q1888" s="629"/>
    </row>
    <row r="1889" spans="1:17" ht="15.75" hidden="1" thickBot="1">
      <c r="A1889" s="390" t="str">
        <f>A1886</f>
        <v>PHB</v>
      </c>
      <c r="B1889" s="391" t="str">
        <f>B1886</f>
        <v>fiber</v>
      </c>
      <c r="C1889" s="391">
        <f t="shared" ref="C1889" si="5469">C1888</f>
        <v>4</v>
      </c>
      <c r="D1889" s="391" t="str">
        <f>D1886</f>
        <v>0,1-1</v>
      </c>
      <c r="E1889" s="391">
        <f>E1886</f>
        <v>1</v>
      </c>
      <c r="F1889" s="391" t="str">
        <f>F1886</f>
        <v>soil</v>
      </c>
      <c r="G1889" s="396" t="str">
        <f t="shared" ref="G1889" si="5470">G1888</f>
        <v>DE: PHB fiber 0,1-1 mm (emission to soil)</v>
      </c>
      <c r="H1889" s="465">
        <v>0</v>
      </c>
      <c r="I1889" s="397" t="s">
        <v>1034</v>
      </c>
      <c r="J1889" s="633"/>
      <c r="K1889" s="398" t="s">
        <v>596</v>
      </c>
      <c r="L1889" s="538"/>
      <c r="M1889" s="509">
        <f t="shared" si="5390"/>
        <v>0</v>
      </c>
      <c r="N1889" s="647"/>
      <c r="O1889" s="627"/>
      <c r="P1889" s="629"/>
      <c r="Q1889" s="629"/>
    </row>
    <row r="1890" spans="1:17" ht="15.75" hidden="1" thickBot="1">
      <c r="A1890" s="390" t="str">
        <f t="shared" ref="A1890:B1890" si="5471">A1887</f>
        <v>PHB</v>
      </c>
      <c r="B1890" s="391" t="str">
        <f t="shared" si="5471"/>
        <v>fiber</v>
      </c>
      <c r="C1890" s="391">
        <f t="shared" ref="C1890" si="5472">C1889</f>
        <v>4</v>
      </c>
      <c r="D1890" s="399" t="str">
        <f t="shared" ref="D1890:E1890" si="5473">D1887</f>
        <v>0,1-1</v>
      </c>
      <c r="E1890" s="391">
        <f t="shared" si="5473"/>
        <v>1</v>
      </c>
      <c r="F1890" s="400" t="s">
        <v>1147</v>
      </c>
      <c r="G1890" s="386" t="str">
        <f>CONCATENATE("DE: ",A1890," ",B1890," ",D1890," mm (emission to ",F1890,")")</f>
        <v>DE: PHB fiber 0,1-1 mm (emission to fresh water)</v>
      </c>
      <c r="H1890" s="466">
        <v>0</v>
      </c>
      <c r="I1890" s="388" t="s">
        <v>1019</v>
      </c>
      <c r="J1890" s="634">
        <v>0.22800000000000001</v>
      </c>
      <c r="K1890" s="389">
        <v>789.99</v>
      </c>
      <c r="L1890" s="536"/>
      <c r="M1890" s="509">
        <f t="shared" si="5390"/>
        <v>0.31645970202154455</v>
      </c>
      <c r="N1890" s="645">
        <f t="shared" ref="N1890" si="5474">IFERROR(H1890*M1890+H1891*M1891+H1892*M1892+H1893*M1893+H1894*M1894,"N.A.")</f>
        <v>0.47945205479452052</v>
      </c>
      <c r="O1890" s="625"/>
      <c r="P1890" s="628">
        <f t="shared" ref="P1890:P1950" si="5475">IFERROR(IF(H1890*M1890+H1891*M1891+H1892*M1892+H1893*M1893+H1894*M1894&gt;100,100,H1890*M1890+H1891*M1891+H1892*M1892+H1893*M1893+H1894*M1894),"N.A.")</f>
        <v>0.47945205479452052</v>
      </c>
      <c r="Q1890" s="628">
        <f t="shared" si="5381"/>
        <v>0.47945205479452052</v>
      </c>
    </row>
    <row r="1891" spans="1:17" ht="15.75" hidden="1" thickBot="1">
      <c r="A1891" s="390" t="str">
        <f t="shared" ref="A1891:B1891" si="5476">A1888</f>
        <v>PHB</v>
      </c>
      <c r="B1891" s="391" t="str">
        <f t="shared" si="5476"/>
        <v>fiber</v>
      </c>
      <c r="C1891" s="391">
        <f t="shared" ref="C1891" si="5477">C1890</f>
        <v>4</v>
      </c>
      <c r="D1891" s="391" t="str">
        <f t="shared" ref="D1891:E1891" si="5478">D1888</f>
        <v>0,1-1</v>
      </c>
      <c r="E1891" s="391">
        <f t="shared" si="5478"/>
        <v>1</v>
      </c>
      <c r="F1891" s="391" t="str">
        <f t="shared" ref="F1891:G1891" si="5479">F1890</f>
        <v>fresh water</v>
      </c>
      <c r="G1891" s="401" t="str">
        <f t="shared" si="5479"/>
        <v>DE: PHB fiber 0,1-1 mm (emission to fresh water)</v>
      </c>
      <c r="H1891" s="465">
        <v>0</v>
      </c>
      <c r="I1891" s="394" t="s">
        <v>1097</v>
      </c>
      <c r="J1891" s="635"/>
      <c r="K1891" s="389">
        <v>521.42857142857144</v>
      </c>
      <c r="L1891" s="536"/>
      <c r="M1891" s="509">
        <f t="shared" si="5390"/>
        <v>0.47945205479452052</v>
      </c>
      <c r="N1891" s="646"/>
      <c r="O1891" s="626"/>
      <c r="P1891" s="629"/>
      <c r="Q1891" s="629"/>
    </row>
    <row r="1892" spans="1:17" ht="15.75" hidden="1" thickBot="1">
      <c r="A1892" s="390" t="str">
        <f t="shared" ref="A1892:B1892" si="5480">A1889</f>
        <v>PHB</v>
      </c>
      <c r="B1892" s="391" t="str">
        <f t="shared" si="5480"/>
        <v>fiber</v>
      </c>
      <c r="C1892" s="391">
        <f t="shared" ref="C1892" si="5481">C1891</f>
        <v>4</v>
      </c>
      <c r="D1892" s="391" t="str">
        <f t="shared" ref="D1892:E1892" si="5482">D1889</f>
        <v>0,1-1</v>
      </c>
      <c r="E1892" s="391">
        <f t="shared" si="5482"/>
        <v>1</v>
      </c>
      <c r="F1892" s="391" t="str">
        <f t="shared" ref="F1892:G1892" si="5483">F1891</f>
        <v>fresh water</v>
      </c>
      <c r="G1892" s="401" t="str">
        <f t="shared" si="5483"/>
        <v>DE: PHB fiber 0,1-1 mm (emission to fresh water)</v>
      </c>
      <c r="H1892" s="465">
        <v>0.89</v>
      </c>
      <c r="I1892" s="394" t="s">
        <v>1162</v>
      </c>
      <c r="J1892" s="635"/>
      <c r="K1892" s="389">
        <v>521.42857142857144</v>
      </c>
      <c r="L1892" s="536"/>
      <c r="M1892" s="509">
        <f t="shared" si="5390"/>
        <v>0.47945205479452052</v>
      </c>
      <c r="N1892" s="646"/>
      <c r="O1892" s="626"/>
      <c r="P1892" s="629"/>
      <c r="Q1892" s="629"/>
    </row>
    <row r="1893" spans="1:17" ht="15.75" hidden="1" thickBot="1">
      <c r="A1893" s="390" t="str">
        <f t="shared" ref="A1893:B1893" si="5484">A1890</f>
        <v>PHB</v>
      </c>
      <c r="B1893" s="391" t="str">
        <f t="shared" si="5484"/>
        <v>fiber</v>
      </c>
      <c r="C1893" s="391">
        <f t="shared" ref="C1893" si="5485">C1892</f>
        <v>4</v>
      </c>
      <c r="D1893" s="391" t="str">
        <f t="shared" ref="D1893:E1893" si="5486">D1890</f>
        <v>0,1-1</v>
      </c>
      <c r="E1893" s="391">
        <f t="shared" si="5486"/>
        <v>1</v>
      </c>
      <c r="F1893" s="391" t="str">
        <f t="shared" ref="F1893:G1893" si="5487">F1892</f>
        <v>fresh water</v>
      </c>
      <c r="G1893" s="401" t="str">
        <f t="shared" si="5487"/>
        <v>DE: PHB fiber 0,1-1 mm (emission to fresh water)</v>
      </c>
      <c r="H1893" s="465">
        <v>0.11</v>
      </c>
      <c r="I1893" s="394" t="s">
        <v>1163</v>
      </c>
      <c r="J1893" s="635"/>
      <c r="K1893" s="389">
        <v>521.42857142857144</v>
      </c>
      <c r="L1893" s="536"/>
      <c r="M1893" s="509">
        <f t="shared" si="5390"/>
        <v>0.47945205479452052</v>
      </c>
      <c r="N1893" s="646"/>
      <c r="O1893" s="626"/>
      <c r="P1893" s="629"/>
      <c r="Q1893" s="629"/>
    </row>
    <row r="1894" spans="1:17" ht="15.75" hidden="1" thickBot="1">
      <c r="A1894" s="390" t="str">
        <f t="shared" ref="A1894:B1894" si="5488">A1891</f>
        <v>PHB</v>
      </c>
      <c r="B1894" s="391" t="str">
        <f t="shared" si="5488"/>
        <v>fiber</v>
      </c>
      <c r="C1894" s="391">
        <f t="shared" ref="C1894" si="5489">C1893</f>
        <v>4</v>
      </c>
      <c r="D1894" s="391" t="str">
        <f t="shared" ref="D1894:E1894" si="5490">D1891</f>
        <v>0,1-1</v>
      </c>
      <c r="E1894" s="391">
        <f t="shared" si="5490"/>
        <v>1</v>
      </c>
      <c r="F1894" s="402" t="str">
        <f>F1891</f>
        <v>fresh water</v>
      </c>
      <c r="G1894" s="401" t="str">
        <f t="shared" ref="G1894" si="5491">G1893</f>
        <v>DE: PHB fiber 0,1-1 mm (emission to fresh water)</v>
      </c>
      <c r="H1894" s="465">
        <v>0</v>
      </c>
      <c r="I1894" s="397" t="s">
        <v>1034</v>
      </c>
      <c r="J1894" s="654"/>
      <c r="K1894" s="398" t="s">
        <v>596</v>
      </c>
      <c r="L1894" s="538"/>
      <c r="M1894" s="509">
        <f t="shared" si="5390"/>
        <v>0</v>
      </c>
      <c r="N1894" s="647"/>
      <c r="O1894" s="627"/>
      <c r="P1894" s="629"/>
      <c r="Q1894" s="629"/>
    </row>
    <row r="1895" spans="1:17" ht="15.75" hidden="1" thickBot="1">
      <c r="A1895" s="390" t="str">
        <f t="shared" ref="A1895:B1895" si="5492">A1892</f>
        <v>PHB</v>
      </c>
      <c r="B1895" s="391" t="str">
        <f t="shared" si="5492"/>
        <v>fiber</v>
      </c>
      <c r="C1895" s="391">
        <f t="shared" ref="C1895" si="5493">C1894</f>
        <v>4</v>
      </c>
      <c r="D1895" s="391" t="str">
        <f t="shared" ref="D1895:E1895" si="5494">D1892</f>
        <v>0,1-1</v>
      </c>
      <c r="E1895" s="391">
        <f t="shared" si="5494"/>
        <v>1</v>
      </c>
      <c r="F1895" s="385" t="s">
        <v>1097</v>
      </c>
      <c r="G1895" s="422" t="str">
        <f>CONCATENATE("DE: ",A1895," ",B1895," ",D1895," mm (emission to ",F1895,")")</f>
        <v>DE: PHB fiber 0,1-1 mm (emission to marine water)</v>
      </c>
      <c r="H1895" s="467">
        <v>0</v>
      </c>
      <c r="I1895" s="388" t="s">
        <v>1019</v>
      </c>
      <c r="J1895" s="634">
        <v>0.22800000000000001</v>
      </c>
      <c r="K1895" s="389">
        <v>789.99</v>
      </c>
      <c r="L1895" s="536"/>
      <c r="M1895" s="509">
        <f t="shared" si="5390"/>
        <v>0.31645970202154455</v>
      </c>
      <c r="N1895" s="645">
        <f t="shared" ref="N1895" si="5495">IFERROR(H1895*M1895+H1896*M1896+H1897*M1897+H1898*M1898+H1899*M1899,"N.A.")</f>
        <v>0.47945205479452052</v>
      </c>
      <c r="O1895" s="625"/>
      <c r="P1895" s="628">
        <f t="shared" si="5475"/>
        <v>0.47945205479452052</v>
      </c>
      <c r="Q1895" s="628">
        <f t="shared" si="5381"/>
        <v>0.47945205479452052</v>
      </c>
    </row>
    <row r="1896" spans="1:17" ht="15.75" hidden="1" thickBot="1">
      <c r="A1896" s="390" t="str">
        <f t="shared" ref="A1896:B1896" si="5496">A1893</f>
        <v>PHB</v>
      </c>
      <c r="B1896" s="391" t="str">
        <f t="shared" si="5496"/>
        <v>fiber</v>
      </c>
      <c r="C1896" s="391">
        <f t="shared" ref="C1896" si="5497">C1895</f>
        <v>4</v>
      </c>
      <c r="D1896" s="391" t="str">
        <f t="shared" ref="D1896:E1896" si="5498">D1893</f>
        <v>0,1-1</v>
      </c>
      <c r="E1896" s="391">
        <f t="shared" si="5498"/>
        <v>1</v>
      </c>
      <c r="F1896" s="391" t="str">
        <f t="shared" ref="F1896:G1896" si="5499">F1895</f>
        <v>marine water</v>
      </c>
      <c r="G1896" s="401" t="str">
        <f t="shared" si="5499"/>
        <v>DE: PHB fiber 0,1-1 mm (emission to marine water)</v>
      </c>
      <c r="H1896" s="465">
        <v>0</v>
      </c>
      <c r="I1896" s="394" t="s">
        <v>1097</v>
      </c>
      <c r="J1896" s="635"/>
      <c r="K1896" s="389">
        <v>521.42857142857144</v>
      </c>
      <c r="L1896" s="536"/>
      <c r="M1896" s="509">
        <f t="shared" si="5390"/>
        <v>0.47945205479452052</v>
      </c>
      <c r="N1896" s="646"/>
      <c r="O1896" s="626"/>
      <c r="P1896" s="629"/>
      <c r="Q1896" s="629"/>
    </row>
    <row r="1897" spans="1:17" ht="15.75" hidden="1" thickBot="1">
      <c r="A1897" s="390" t="str">
        <f t="shared" ref="A1897:B1897" si="5500">A1894</f>
        <v>PHB</v>
      </c>
      <c r="B1897" s="391" t="str">
        <f t="shared" si="5500"/>
        <v>fiber</v>
      </c>
      <c r="C1897" s="391">
        <f t="shared" ref="C1897" si="5501">C1896</f>
        <v>4</v>
      </c>
      <c r="D1897" s="391" t="str">
        <f t="shared" ref="D1897:E1897" si="5502">D1894</f>
        <v>0,1-1</v>
      </c>
      <c r="E1897" s="391">
        <f t="shared" si="5502"/>
        <v>1</v>
      </c>
      <c r="F1897" s="391" t="str">
        <f t="shared" ref="F1897:G1897" si="5503">F1896</f>
        <v>marine water</v>
      </c>
      <c r="G1897" s="401" t="str">
        <f t="shared" si="5503"/>
        <v>DE: PHB fiber 0,1-1 mm (emission to marine water)</v>
      </c>
      <c r="H1897" s="465">
        <v>0</v>
      </c>
      <c r="I1897" s="394" t="s">
        <v>1162</v>
      </c>
      <c r="J1897" s="635"/>
      <c r="K1897" s="389">
        <v>521.42857142857144</v>
      </c>
      <c r="L1897" s="536"/>
      <c r="M1897" s="509">
        <f t="shared" si="5390"/>
        <v>0.47945205479452052</v>
      </c>
      <c r="N1897" s="646"/>
      <c r="O1897" s="626"/>
      <c r="P1897" s="629"/>
      <c r="Q1897" s="629"/>
    </row>
    <row r="1898" spans="1:17" ht="15.75" hidden="1" thickBot="1">
      <c r="A1898" s="390" t="str">
        <f t="shared" ref="A1898:B1898" si="5504">A1895</f>
        <v>PHB</v>
      </c>
      <c r="B1898" s="391" t="str">
        <f t="shared" si="5504"/>
        <v>fiber</v>
      </c>
      <c r="C1898" s="391">
        <f t="shared" ref="C1898" si="5505">C1897</f>
        <v>4</v>
      </c>
      <c r="D1898" s="391" t="str">
        <f t="shared" ref="D1898:E1898" si="5506">D1895</f>
        <v>0,1-1</v>
      </c>
      <c r="E1898" s="391">
        <f t="shared" si="5506"/>
        <v>1</v>
      </c>
      <c r="F1898" s="391" t="str">
        <f t="shared" ref="F1898:G1898" si="5507">F1897</f>
        <v>marine water</v>
      </c>
      <c r="G1898" s="401" t="str">
        <f t="shared" si="5507"/>
        <v>DE: PHB fiber 0,1-1 mm (emission to marine water)</v>
      </c>
      <c r="H1898" s="465">
        <v>1</v>
      </c>
      <c r="I1898" s="394" t="s">
        <v>1163</v>
      </c>
      <c r="J1898" s="635"/>
      <c r="K1898" s="389">
        <v>521.42857142857144</v>
      </c>
      <c r="L1898" s="536"/>
      <c r="M1898" s="509">
        <f t="shared" si="5390"/>
        <v>0.47945205479452052</v>
      </c>
      <c r="N1898" s="646"/>
      <c r="O1898" s="626"/>
      <c r="P1898" s="629"/>
      <c r="Q1898" s="629"/>
    </row>
    <row r="1899" spans="1:17" ht="15.75" hidden="1" thickBot="1">
      <c r="A1899" s="390" t="str">
        <f t="shared" ref="A1899:B1899" si="5508">A1896</f>
        <v>PHB</v>
      </c>
      <c r="B1899" s="391" t="str">
        <f t="shared" si="5508"/>
        <v>fiber</v>
      </c>
      <c r="C1899" s="391">
        <f t="shared" ref="C1899" si="5509">C1898</f>
        <v>4</v>
      </c>
      <c r="D1899" s="391" t="str">
        <f t="shared" ref="D1899:E1899" si="5510">D1896</f>
        <v>0,1-1</v>
      </c>
      <c r="E1899" s="391">
        <f t="shared" si="5510"/>
        <v>1</v>
      </c>
      <c r="F1899" s="391" t="str">
        <f t="shared" ref="F1899:G1899" si="5511">F1898</f>
        <v>marine water</v>
      </c>
      <c r="G1899" s="401" t="str">
        <f t="shared" si="5511"/>
        <v>DE: PHB fiber 0,1-1 mm (emission to marine water)</v>
      </c>
      <c r="H1899" s="465">
        <v>0</v>
      </c>
      <c r="I1899" s="397" t="s">
        <v>1034</v>
      </c>
      <c r="J1899" s="654"/>
      <c r="K1899" s="398" t="s">
        <v>596</v>
      </c>
      <c r="L1899" s="538"/>
      <c r="M1899" s="509">
        <f t="shared" si="5390"/>
        <v>0</v>
      </c>
      <c r="N1899" s="647"/>
      <c r="O1899" s="627"/>
      <c r="P1899" s="629"/>
      <c r="Q1899" s="629"/>
    </row>
    <row r="1900" spans="1:17" ht="15.75" hidden="1" thickBot="1">
      <c r="A1900" s="390" t="str">
        <f t="shared" ref="A1900:B1900" si="5512">A1897</f>
        <v>PHB</v>
      </c>
      <c r="B1900" s="391" t="str">
        <f t="shared" si="5512"/>
        <v>fiber</v>
      </c>
      <c r="C1900" s="391">
        <f t="shared" ref="C1900" si="5513">C1899</f>
        <v>4</v>
      </c>
      <c r="D1900" s="391" t="str">
        <f t="shared" ref="D1900:E1900" si="5514">D1897</f>
        <v>0,1-1</v>
      </c>
      <c r="E1900" s="391">
        <f t="shared" si="5514"/>
        <v>1</v>
      </c>
      <c r="F1900" s="400" t="s">
        <v>1057</v>
      </c>
      <c r="G1900" s="422" t="str">
        <f>CONCATENATE("DE: ",A1900," ",B1900," ",D1900," mm (emission to ",F1900,")")</f>
        <v>DE: PHB fiber 0,1-1 mm (emission to air)</v>
      </c>
      <c r="H1900" s="467">
        <v>0.94799999999999995</v>
      </c>
      <c r="I1900" s="388" t="s">
        <v>1019</v>
      </c>
      <c r="J1900" s="634">
        <v>0.22800000000000001</v>
      </c>
      <c r="K1900" s="389">
        <v>789.99</v>
      </c>
      <c r="L1900" s="536"/>
      <c r="M1900" s="509">
        <f t="shared" si="5390"/>
        <v>0.31645970202154455</v>
      </c>
      <c r="N1900" s="645">
        <f t="shared" ref="N1900" si="5515">IFERROR(H1900*M1900+H1901*M1901+H1902*M1902+H1903*M1903+H1904*M1904,"N.A.")</f>
        <v>0.32493530436573925</v>
      </c>
      <c r="O1900" s="625"/>
      <c r="P1900" s="628">
        <f t="shared" si="5475"/>
        <v>0.32493530436573925</v>
      </c>
      <c r="Q1900" s="628">
        <f t="shared" si="5381"/>
        <v>0.32493530436573925</v>
      </c>
    </row>
    <row r="1901" spans="1:17" ht="15.75" hidden="1" thickBot="1">
      <c r="A1901" s="390" t="str">
        <f t="shared" ref="A1901:B1901" si="5516">A1898</f>
        <v>PHB</v>
      </c>
      <c r="B1901" s="391" t="str">
        <f t="shared" si="5516"/>
        <v>fiber</v>
      </c>
      <c r="C1901" s="391">
        <f t="shared" ref="C1901" si="5517">C1900</f>
        <v>4</v>
      </c>
      <c r="D1901" s="391" t="str">
        <f t="shared" ref="D1901:E1901" si="5518">D1898</f>
        <v>0,1-1</v>
      </c>
      <c r="E1901" s="391">
        <f t="shared" si="5518"/>
        <v>1</v>
      </c>
      <c r="F1901" s="391" t="str">
        <f t="shared" ref="F1901:G1901" si="5519">F1900</f>
        <v>air</v>
      </c>
      <c r="G1901" s="401" t="str">
        <f t="shared" si="5519"/>
        <v>DE: PHB fiber 0,1-1 mm (emission to air)</v>
      </c>
      <c r="H1901" s="465">
        <v>0</v>
      </c>
      <c r="I1901" s="394" t="s">
        <v>1097</v>
      </c>
      <c r="J1901" s="635"/>
      <c r="K1901" s="389">
        <v>521.42857142857144</v>
      </c>
      <c r="L1901" s="536"/>
      <c r="M1901" s="509">
        <f t="shared" si="5390"/>
        <v>0.47945205479452052</v>
      </c>
      <c r="N1901" s="646"/>
      <c r="O1901" s="626"/>
      <c r="P1901" s="629"/>
      <c r="Q1901" s="629"/>
    </row>
    <row r="1902" spans="1:17" ht="15.75" hidden="1" thickBot="1">
      <c r="A1902" s="390" t="str">
        <f t="shared" ref="A1902:B1902" si="5520">A1899</f>
        <v>PHB</v>
      </c>
      <c r="B1902" s="391" t="str">
        <f t="shared" si="5520"/>
        <v>fiber</v>
      </c>
      <c r="C1902" s="391">
        <f t="shared" ref="C1902" si="5521">C1901</f>
        <v>4</v>
      </c>
      <c r="D1902" s="391" t="str">
        <f t="shared" ref="D1902:E1902" si="5522">D1899</f>
        <v>0,1-1</v>
      </c>
      <c r="E1902" s="391">
        <f t="shared" si="5522"/>
        <v>1</v>
      </c>
      <c r="F1902" s="391" t="str">
        <f t="shared" ref="F1902:G1902" si="5523">F1901</f>
        <v>air</v>
      </c>
      <c r="G1902" s="401" t="str">
        <f t="shared" si="5523"/>
        <v>DE: PHB fiber 0,1-1 mm (emission to air)</v>
      </c>
      <c r="H1902" s="465">
        <v>4.7E-2</v>
      </c>
      <c r="I1902" s="394" t="s">
        <v>1162</v>
      </c>
      <c r="J1902" s="635"/>
      <c r="K1902" s="389">
        <v>521.42857142857144</v>
      </c>
      <c r="L1902" s="536"/>
      <c r="M1902" s="509">
        <f t="shared" si="5390"/>
        <v>0.47945205479452052</v>
      </c>
      <c r="N1902" s="646"/>
      <c r="O1902" s="626"/>
      <c r="P1902" s="629"/>
      <c r="Q1902" s="629"/>
    </row>
    <row r="1903" spans="1:17" ht="15.75" hidden="1" thickBot="1">
      <c r="A1903" s="390" t="str">
        <f t="shared" ref="A1903:B1903" si="5524">A1900</f>
        <v>PHB</v>
      </c>
      <c r="B1903" s="391" t="str">
        <f t="shared" si="5524"/>
        <v>fiber</v>
      </c>
      <c r="C1903" s="391">
        <f t="shared" ref="C1903" si="5525">C1902</f>
        <v>4</v>
      </c>
      <c r="D1903" s="391" t="str">
        <f t="shared" ref="D1903:E1903" si="5526">D1900</f>
        <v>0,1-1</v>
      </c>
      <c r="E1903" s="391">
        <f t="shared" si="5526"/>
        <v>1</v>
      </c>
      <c r="F1903" s="391" t="str">
        <f t="shared" ref="F1903:G1903" si="5527">F1902</f>
        <v>air</v>
      </c>
      <c r="G1903" s="401" t="str">
        <f t="shared" si="5527"/>
        <v>DE: PHB fiber 0,1-1 mm (emission to air)</v>
      </c>
      <c r="H1903" s="465">
        <v>5.0000000000000001E-3</v>
      </c>
      <c r="I1903" s="394" t="s">
        <v>1163</v>
      </c>
      <c r="J1903" s="635"/>
      <c r="K1903" s="389">
        <v>521.42857142857144</v>
      </c>
      <c r="L1903" s="536"/>
      <c r="M1903" s="509">
        <f t="shared" si="5390"/>
        <v>0.47945205479452052</v>
      </c>
      <c r="N1903" s="646"/>
      <c r="O1903" s="626"/>
      <c r="P1903" s="629"/>
      <c r="Q1903" s="629"/>
    </row>
    <row r="1904" spans="1:17" ht="15.75" hidden="1" thickBot="1">
      <c r="A1904" s="390" t="str">
        <f t="shared" ref="A1904:B1904" si="5528">A1899</f>
        <v>PHB</v>
      </c>
      <c r="B1904" s="391" t="str">
        <f t="shared" si="5528"/>
        <v>fiber</v>
      </c>
      <c r="C1904" s="391">
        <f t="shared" ref="C1904" si="5529">C1903</f>
        <v>4</v>
      </c>
      <c r="D1904" s="391" t="str">
        <f t="shared" ref="D1904:E1904" si="5530">D1899</f>
        <v>0,1-1</v>
      </c>
      <c r="E1904" s="391">
        <f t="shared" si="5530"/>
        <v>1</v>
      </c>
      <c r="F1904" s="391" t="str">
        <f t="shared" ref="F1904:G1904" si="5531">F1903</f>
        <v>air</v>
      </c>
      <c r="G1904" s="401" t="str">
        <f t="shared" si="5531"/>
        <v>DE: PHB fiber 0,1-1 mm (emission to air)</v>
      </c>
      <c r="H1904" s="471">
        <v>0</v>
      </c>
      <c r="I1904" s="422" t="s">
        <v>1034</v>
      </c>
      <c r="J1904" s="636"/>
      <c r="K1904" s="451" t="s">
        <v>596</v>
      </c>
      <c r="L1904" s="542"/>
      <c r="M1904" s="509">
        <f t="shared" si="5390"/>
        <v>0</v>
      </c>
      <c r="N1904" s="647"/>
      <c r="O1904" s="627"/>
      <c r="P1904" s="629"/>
      <c r="Q1904" s="629"/>
    </row>
    <row r="1905" spans="1:17" ht="15.75" hidden="1" thickBot="1">
      <c r="A1905" s="405" t="s">
        <v>18</v>
      </c>
      <c r="B1905" s="406" t="s">
        <v>1151</v>
      </c>
      <c r="C1905" s="407">
        <v>4</v>
      </c>
      <c r="D1905" s="423" t="s">
        <v>1026</v>
      </c>
      <c r="E1905" s="408">
        <v>10</v>
      </c>
      <c r="F1905" s="424" t="s">
        <v>1019</v>
      </c>
      <c r="G1905" s="425" t="str">
        <f>CONCATENATE("DE: ",A1905," ",B1905," ",D1905," mm (emission to ",F1905,")")</f>
        <v>DE: PHB fiber 1-10 mm (emission to soil)</v>
      </c>
      <c r="H1905" s="474">
        <v>0.97</v>
      </c>
      <c r="I1905" s="427" t="s">
        <v>1019</v>
      </c>
      <c r="J1905" s="632">
        <v>0.22800000000000001</v>
      </c>
      <c r="K1905" s="428">
        <v>789.99</v>
      </c>
      <c r="L1905" s="539"/>
      <c r="M1905" s="509">
        <f t="shared" si="5390"/>
        <v>3.1645970202154459</v>
      </c>
      <c r="N1905" s="645">
        <f t="shared" ref="N1905" si="5532">IFERROR(H1905*M1905+H1906*M1906+H1907*M1907+H1908*M1908+H1909*M1909,"N.A.")</f>
        <v>3.2134947260473385</v>
      </c>
      <c r="O1905" s="625"/>
      <c r="P1905" s="628">
        <f t="shared" si="5475"/>
        <v>3.2134947260473385</v>
      </c>
      <c r="Q1905" s="628">
        <f t="shared" si="5381"/>
        <v>3.2134947260473385</v>
      </c>
    </row>
    <row r="1906" spans="1:17" ht="15.75" hidden="1" thickBot="1">
      <c r="A1906" s="390" t="str">
        <f>A1905</f>
        <v>PHB</v>
      </c>
      <c r="B1906" s="391" t="str">
        <f>B1905</f>
        <v>fiber</v>
      </c>
      <c r="C1906" s="391">
        <f t="shared" ref="C1906:G1906" si="5533">C1905</f>
        <v>4</v>
      </c>
      <c r="D1906" s="391" t="str">
        <f t="shared" si="5533"/>
        <v>1-10</v>
      </c>
      <c r="E1906" s="391">
        <f t="shared" si="5533"/>
        <v>10</v>
      </c>
      <c r="F1906" s="391" t="str">
        <f t="shared" si="5533"/>
        <v>soil</v>
      </c>
      <c r="G1906" s="392" t="str">
        <f t="shared" si="5533"/>
        <v>DE: PHB fiber 1-10 mm (emission to soil)</v>
      </c>
      <c r="H1906" s="465">
        <v>0</v>
      </c>
      <c r="I1906" s="394" t="s">
        <v>1097</v>
      </c>
      <c r="J1906" s="632"/>
      <c r="K1906" s="395">
        <v>521.42857142857144</v>
      </c>
      <c r="L1906" s="537"/>
      <c r="M1906" s="509">
        <f t="shared" si="5390"/>
        <v>4.7945205479452051</v>
      </c>
      <c r="N1906" s="646"/>
      <c r="O1906" s="626"/>
      <c r="P1906" s="629"/>
      <c r="Q1906" s="629"/>
    </row>
    <row r="1907" spans="1:17" ht="15.75" hidden="1" thickBot="1">
      <c r="A1907" s="390" t="str">
        <f t="shared" ref="A1907:G1907" si="5534">A1906</f>
        <v>PHB</v>
      </c>
      <c r="B1907" s="391" t="str">
        <f t="shared" si="5534"/>
        <v>fiber</v>
      </c>
      <c r="C1907" s="391">
        <f t="shared" si="5534"/>
        <v>4</v>
      </c>
      <c r="D1907" s="391" t="str">
        <f t="shared" si="5534"/>
        <v>1-10</v>
      </c>
      <c r="E1907" s="391">
        <f t="shared" si="5534"/>
        <v>10</v>
      </c>
      <c r="F1907" s="391" t="str">
        <f t="shared" si="5534"/>
        <v>soil</v>
      </c>
      <c r="G1907" s="392" t="str">
        <f t="shared" si="5534"/>
        <v>DE: PHB fiber 1-10 mm (emission to soil)</v>
      </c>
      <c r="H1907" s="465">
        <v>2.7E-2</v>
      </c>
      <c r="I1907" s="394" t="s">
        <v>1162</v>
      </c>
      <c r="J1907" s="632"/>
      <c r="K1907" s="395">
        <v>521.42857142857144</v>
      </c>
      <c r="L1907" s="537"/>
      <c r="M1907" s="509">
        <f t="shared" si="5390"/>
        <v>4.7945205479452051</v>
      </c>
      <c r="N1907" s="646"/>
      <c r="O1907" s="626"/>
      <c r="P1907" s="629"/>
      <c r="Q1907" s="629"/>
    </row>
    <row r="1908" spans="1:17" ht="15.75" hidden="1" thickBot="1">
      <c r="A1908" s="390" t="str">
        <f t="shared" ref="A1908:G1908" si="5535">A1907</f>
        <v>PHB</v>
      </c>
      <c r="B1908" s="391" t="str">
        <f t="shared" si="5535"/>
        <v>fiber</v>
      </c>
      <c r="C1908" s="391">
        <f t="shared" si="5535"/>
        <v>4</v>
      </c>
      <c r="D1908" s="391" t="str">
        <f t="shared" si="5535"/>
        <v>1-10</v>
      </c>
      <c r="E1908" s="391">
        <f t="shared" si="5535"/>
        <v>10</v>
      </c>
      <c r="F1908" s="391" t="str">
        <f t="shared" si="5535"/>
        <v>soil</v>
      </c>
      <c r="G1908" s="392" t="str">
        <f t="shared" si="5535"/>
        <v>DE: PHB fiber 1-10 mm (emission to soil)</v>
      </c>
      <c r="H1908" s="465">
        <v>3.0000000000000001E-3</v>
      </c>
      <c r="I1908" s="394" t="s">
        <v>1163</v>
      </c>
      <c r="J1908" s="632"/>
      <c r="K1908" s="395">
        <v>521.42857142857144</v>
      </c>
      <c r="L1908" s="537"/>
      <c r="M1908" s="509">
        <f t="shared" si="5390"/>
        <v>4.7945205479452051</v>
      </c>
      <c r="N1908" s="646"/>
      <c r="O1908" s="626"/>
      <c r="P1908" s="629"/>
      <c r="Q1908" s="629"/>
    </row>
    <row r="1909" spans="1:17" ht="15.75" hidden="1" thickBot="1">
      <c r="A1909" s="390" t="str">
        <f>A1906</f>
        <v>PHB</v>
      </c>
      <c r="B1909" s="391" t="str">
        <f>B1906</f>
        <v>fiber</v>
      </c>
      <c r="C1909" s="391">
        <f t="shared" ref="C1909" si="5536">C1908</f>
        <v>4</v>
      </c>
      <c r="D1909" s="391" t="str">
        <f>D1906</f>
        <v>1-10</v>
      </c>
      <c r="E1909" s="391">
        <f>E1906</f>
        <v>10</v>
      </c>
      <c r="F1909" s="391" t="str">
        <f>F1906</f>
        <v>soil</v>
      </c>
      <c r="G1909" s="396" t="str">
        <f t="shared" ref="G1909" si="5537">G1908</f>
        <v>DE: PHB fiber 1-10 mm (emission to soil)</v>
      </c>
      <c r="H1909" s="465">
        <v>0</v>
      </c>
      <c r="I1909" s="397" t="s">
        <v>1034</v>
      </c>
      <c r="J1909" s="633"/>
      <c r="K1909" s="398" t="s">
        <v>596</v>
      </c>
      <c r="L1909" s="538"/>
      <c r="M1909" s="509">
        <f t="shared" si="5390"/>
        <v>0</v>
      </c>
      <c r="N1909" s="647"/>
      <c r="O1909" s="627"/>
      <c r="P1909" s="629"/>
      <c r="Q1909" s="629"/>
    </row>
    <row r="1910" spans="1:17" ht="15.75" hidden="1" thickBot="1">
      <c r="A1910" s="390" t="str">
        <f t="shared" ref="A1910:B1910" si="5538">A1907</f>
        <v>PHB</v>
      </c>
      <c r="B1910" s="391" t="str">
        <f t="shared" si="5538"/>
        <v>fiber</v>
      </c>
      <c r="C1910" s="391">
        <f t="shared" ref="C1910" si="5539">C1909</f>
        <v>4</v>
      </c>
      <c r="D1910" s="399" t="str">
        <f t="shared" ref="D1910:E1910" si="5540">D1907</f>
        <v>1-10</v>
      </c>
      <c r="E1910" s="391">
        <f t="shared" si="5540"/>
        <v>10</v>
      </c>
      <c r="F1910" s="400" t="s">
        <v>1147</v>
      </c>
      <c r="G1910" s="386" t="str">
        <f>CONCATENATE("DE: ",A1910," ",B1910," ",D1910," mm (emission to ",F1910,")")</f>
        <v>DE: PHB fiber 1-10 mm (emission to fresh water)</v>
      </c>
      <c r="H1910" s="466">
        <v>0</v>
      </c>
      <c r="I1910" s="388" t="s">
        <v>1019</v>
      </c>
      <c r="J1910" s="634">
        <v>0.22800000000000001</v>
      </c>
      <c r="K1910" s="389">
        <v>789.99</v>
      </c>
      <c r="L1910" s="536"/>
      <c r="M1910" s="509">
        <f t="shared" si="5390"/>
        <v>3.1645970202154459</v>
      </c>
      <c r="N1910" s="645">
        <f t="shared" ref="N1910" si="5541">IFERROR(H1910*M1910+H1911*M1911+H1912*M1912+H1913*M1913+H1914*M1914,"N.A.")</f>
        <v>4.7945205479452051</v>
      </c>
      <c r="O1910" s="625"/>
      <c r="P1910" s="628">
        <f t="shared" si="5475"/>
        <v>4.7945205479452051</v>
      </c>
      <c r="Q1910" s="628">
        <f t="shared" si="5381"/>
        <v>4.7945205479452051</v>
      </c>
    </row>
    <row r="1911" spans="1:17" ht="15.75" hidden="1" thickBot="1">
      <c r="A1911" s="390" t="str">
        <f t="shared" ref="A1911:B1911" si="5542">A1908</f>
        <v>PHB</v>
      </c>
      <c r="B1911" s="391" t="str">
        <f t="shared" si="5542"/>
        <v>fiber</v>
      </c>
      <c r="C1911" s="391">
        <f t="shared" ref="C1911" si="5543">C1910</f>
        <v>4</v>
      </c>
      <c r="D1911" s="391" t="str">
        <f t="shared" ref="D1911:E1911" si="5544">D1908</f>
        <v>1-10</v>
      </c>
      <c r="E1911" s="391">
        <f t="shared" si="5544"/>
        <v>10</v>
      </c>
      <c r="F1911" s="391" t="str">
        <f t="shared" ref="F1911:G1911" si="5545">F1910</f>
        <v>fresh water</v>
      </c>
      <c r="G1911" s="401" t="str">
        <f t="shared" si="5545"/>
        <v>DE: PHB fiber 1-10 mm (emission to fresh water)</v>
      </c>
      <c r="H1911" s="465">
        <v>0</v>
      </c>
      <c r="I1911" s="394" t="s">
        <v>1097</v>
      </c>
      <c r="J1911" s="635"/>
      <c r="K1911" s="389">
        <v>521.42857142857144</v>
      </c>
      <c r="L1911" s="536"/>
      <c r="M1911" s="509">
        <f t="shared" si="5390"/>
        <v>4.7945205479452051</v>
      </c>
      <c r="N1911" s="646"/>
      <c r="O1911" s="626"/>
      <c r="P1911" s="629"/>
      <c r="Q1911" s="629"/>
    </row>
    <row r="1912" spans="1:17" ht="15.75" hidden="1" thickBot="1">
      <c r="A1912" s="390" t="str">
        <f t="shared" ref="A1912:B1912" si="5546">A1909</f>
        <v>PHB</v>
      </c>
      <c r="B1912" s="391" t="str">
        <f t="shared" si="5546"/>
        <v>fiber</v>
      </c>
      <c r="C1912" s="391">
        <f t="shared" ref="C1912" si="5547">C1911</f>
        <v>4</v>
      </c>
      <c r="D1912" s="391" t="str">
        <f t="shared" ref="D1912:E1912" si="5548">D1909</f>
        <v>1-10</v>
      </c>
      <c r="E1912" s="391">
        <f t="shared" si="5548"/>
        <v>10</v>
      </c>
      <c r="F1912" s="391" t="str">
        <f t="shared" ref="F1912:G1912" si="5549">F1911</f>
        <v>fresh water</v>
      </c>
      <c r="G1912" s="401" t="str">
        <f t="shared" si="5549"/>
        <v>DE: PHB fiber 1-10 mm (emission to fresh water)</v>
      </c>
      <c r="H1912" s="465">
        <v>0.89</v>
      </c>
      <c r="I1912" s="394" t="s">
        <v>1162</v>
      </c>
      <c r="J1912" s="635"/>
      <c r="K1912" s="389">
        <v>521.42857142857144</v>
      </c>
      <c r="L1912" s="536"/>
      <c r="M1912" s="509">
        <f t="shared" si="5390"/>
        <v>4.7945205479452051</v>
      </c>
      <c r="N1912" s="646"/>
      <c r="O1912" s="626"/>
      <c r="P1912" s="629"/>
      <c r="Q1912" s="629"/>
    </row>
    <row r="1913" spans="1:17" ht="15.75" hidden="1" thickBot="1">
      <c r="A1913" s="390" t="str">
        <f t="shared" ref="A1913:B1913" si="5550">A1910</f>
        <v>PHB</v>
      </c>
      <c r="B1913" s="391" t="str">
        <f t="shared" si="5550"/>
        <v>fiber</v>
      </c>
      <c r="C1913" s="391">
        <f t="shared" ref="C1913" si="5551">C1912</f>
        <v>4</v>
      </c>
      <c r="D1913" s="391" t="str">
        <f t="shared" ref="D1913:E1913" si="5552">D1910</f>
        <v>1-10</v>
      </c>
      <c r="E1913" s="391">
        <f t="shared" si="5552"/>
        <v>10</v>
      </c>
      <c r="F1913" s="391" t="str">
        <f t="shared" ref="F1913:G1913" si="5553">F1912</f>
        <v>fresh water</v>
      </c>
      <c r="G1913" s="401" t="str">
        <f t="shared" si="5553"/>
        <v>DE: PHB fiber 1-10 mm (emission to fresh water)</v>
      </c>
      <c r="H1913" s="465">
        <v>0.11</v>
      </c>
      <c r="I1913" s="394" t="s">
        <v>1163</v>
      </c>
      <c r="J1913" s="635"/>
      <c r="K1913" s="389">
        <v>521.42857142857144</v>
      </c>
      <c r="L1913" s="536"/>
      <c r="M1913" s="509">
        <f t="shared" si="5390"/>
        <v>4.7945205479452051</v>
      </c>
      <c r="N1913" s="646"/>
      <c r="O1913" s="626"/>
      <c r="P1913" s="629"/>
      <c r="Q1913" s="629"/>
    </row>
    <row r="1914" spans="1:17" ht="15.75" hidden="1" thickBot="1">
      <c r="A1914" s="390" t="str">
        <f t="shared" ref="A1914:B1914" si="5554">A1911</f>
        <v>PHB</v>
      </c>
      <c r="B1914" s="391" t="str">
        <f t="shared" si="5554"/>
        <v>fiber</v>
      </c>
      <c r="C1914" s="391">
        <f t="shared" ref="C1914" si="5555">C1913</f>
        <v>4</v>
      </c>
      <c r="D1914" s="391" t="str">
        <f t="shared" ref="D1914:E1914" si="5556">D1911</f>
        <v>1-10</v>
      </c>
      <c r="E1914" s="391">
        <f t="shared" si="5556"/>
        <v>10</v>
      </c>
      <c r="F1914" s="402" t="str">
        <f>F1911</f>
        <v>fresh water</v>
      </c>
      <c r="G1914" s="401" t="str">
        <f t="shared" ref="G1914" si="5557">G1913</f>
        <v>DE: PHB fiber 1-10 mm (emission to fresh water)</v>
      </c>
      <c r="H1914" s="465">
        <v>0</v>
      </c>
      <c r="I1914" s="397" t="s">
        <v>1034</v>
      </c>
      <c r="J1914" s="654"/>
      <c r="K1914" s="398" t="s">
        <v>596</v>
      </c>
      <c r="L1914" s="538"/>
      <c r="M1914" s="509">
        <f t="shared" si="5390"/>
        <v>0</v>
      </c>
      <c r="N1914" s="647"/>
      <c r="O1914" s="627"/>
      <c r="P1914" s="629"/>
      <c r="Q1914" s="629"/>
    </row>
    <row r="1915" spans="1:17" ht="15.75" hidden="1" thickBot="1">
      <c r="A1915" s="390" t="str">
        <f t="shared" ref="A1915:B1915" si="5558">A1912</f>
        <v>PHB</v>
      </c>
      <c r="B1915" s="391" t="str">
        <f t="shared" si="5558"/>
        <v>fiber</v>
      </c>
      <c r="C1915" s="391">
        <f t="shared" ref="C1915" si="5559">C1914</f>
        <v>4</v>
      </c>
      <c r="D1915" s="391" t="str">
        <f t="shared" ref="D1915:E1915" si="5560">D1912</f>
        <v>1-10</v>
      </c>
      <c r="E1915" s="391">
        <f t="shared" si="5560"/>
        <v>10</v>
      </c>
      <c r="F1915" s="385" t="s">
        <v>1097</v>
      </c>
      <c r="G1915" s="422" t="str">
        <f>CONCATENATE("DE: ",A1915," ",B1915," ",D1915," mm (emission to ",F1915,")")</f>
        <v>DE: PHB fiber 1-10 mm (emission to marine water)</v>
      </c>
      <c r="H1915" s="467">
        <v>0</v>
      </c>
      <c r="I1915" s="388" t="s">
        <v>1019</v>
      </c>
      <c r="J1915" s="634">
        <v>0.22800000000000001</v>
      </c>
      <c r="K1915" s="389">
        <v>789.99</v>
      </c>
      <c r="L1915" s="536"/>
      <c r="M1915" s="509">
        <f t="shared" si="5390"/>
        <v>3.1645970202154459</v>
      </c>
      <c r="N1915" s="645">
        <f t="shared" ref="N1915" si="5561">IFERROR(H1915*M1915+H1916*M1916+H1917*M1917+H1918*M1918+H1919*M1919,"N.A.")</f>
        <v>4.7945205479452051</v>
      </c>
      <c r="O1915" s="625"/>
      <c r="P1915" s="628">
        <f t="shared" si="5475"/>
        <v>4.7945205479452051</v>
      </c>
      <c r="Q1915" s="628">
        <f t="shared" si="5381"/>
        <v>4.7945205479452051</v>
      </c>
    </row>
    <row r="1916" spans="1:17" ht="15.75" hidden="1" thickBot="1">
      <c r="A1916" s="390" t="str">
        <f t="shared" ref="A1916:B1916" si="5562">A1913</f>
        <v>PHB</v>
      </c>
      <c r="B1916" s="391" t="str">
        <f t="shared" si="5562"/>
        <v>fiber</v>
      </c>
      <c r="C1916" s="391">
        <f t="shared" ref="C1916" si="5563">C1915</f>
        <v>4</v>
      </c>
      <c r="D1916" s="391" t="str">
        <f t="shared" ref="D1916:E1916" si="5564">D1913</f>
        <v>1-10</v>
      </c>
      <c r="E1916" s="391">
        <f t="shared" si="5564"/>
        <v>10</v>
      </c>
      <c r="F1916" s="391" t="str">
        <f t="shared" ref="F1916:G1916" si="5565">F1915</f>
        <v>marine water</v>
      </c>
      <c r="G1916" s="401" t="str">
        <f t="shared" si="5565"/>
        <v>DE: PHB fiber 1-10 mm (emission to marine water)</v>
      </c>
      <c r="H1916" s="465">
        <v>0</v>
      </c>
      <c r="I1916" s="394" t="s">
        <v>1097</v>
      </c>
      <c r="J1916" s="635"/>
      <c r="K1916" s="389">
        <v>521.42857142857144</v>
      </c>
      <c r="L1916" s="536"/>
      <c r="M1916" s="509">
        <f t="shared" si="5390"/>
        <v>4.7945205479452051</v>
      </c>
      <c r="N1916" s="646"/>
      <c r="O1916" s="626"/>
      <c r="P1916" s="629"/>
      <c r="Q1916" s="629"/>
    </row>
    <row r="1917" spans="1:17" ht="15.75" hidden="1" thickBot="1">
      <c r="A1917" s="390" t="str">
        <f t="shared" ref="A1917:B1917" si="5566">A1914</f>
        <v>PHB</v>
      </c>
      <c r="B1917" s="391" t="str">
        <f t="shared" si="5566"/>
        <v>fiber</v>
      </c>
      <c r="C1917" s="391">
        <f t="shared" ref="C1917" si="5567">C1916</f>
        <v>4</v>
      </c>
      <c r="D1917" s="391" t="str">
        <f t="shared" ref="D1917:E1917" si="5568">D1914</f>
        <v>1-10</v>
      </c>
      <c r="E1917" s="391">
        <f t="shared" si="5568"/>
        <v>10</v>
      </c>
      <c r="F1917" s="391" t="str">
        <f t="shared" ref="F1917:G1917" si="5569">F1916</f>
        <v>marine water</v>
      </c>
      <c r="G1917" s="401" t="str">
        <f t="shared" si="5569"/>
        <v>DE: PHB fiber 1-10 mm (emission to marine water)</v>
      </c>
      <c r="H1917" s="465">
        <v>0</v>
      </c>
      <c r="I1917" s="394" t="s">
        <v>1162</v>
      </c>
      <c r="J1917" s="635"/>
      <c r="K1917" s="389">
        <v>521.42857142857144</v>
      </c>
      <c r="L1917" s="536"/>
      <c r="M1917" s="509">
        <f t="shared" si="5390"/>
        <v>4.7945205479452051</v>
      </c>
      <c r="N1917" s="646"/>
      <c r="O1917" s="626"/>
      <c r="P1917" s="629"/>
      <c r="Q1917" s="629"/>
    </row>
    <row r="1918" spans="1:17" ht="15.75" hidden="1" thickBot="1">
      <c r="A1918" s="390" t="str">
        <f t="shared" ref="A1918:B1918" si="5570">A1915</f>
        <v>PHB</v>
      </c>
      <c r="B1918" s="391" t="str">
        <f t="shared" si="5570"/>
        <v>fiber</v>
      </c>
      <c r="C1918" s="391">
        <f t="shared" ref="C1918" si="5571">C1917</f>
        <v>4</v>
      </c>
      <c r="D1918" s="391" t="str">
        <f t="shared" ref="D1918:E1918" si="5572">D1915</f>
        <v>1-10</v>
      </c>
      <c r="E1918" s="391">
        <f t="shared" si="5572"/>
        <v>10</v>
      </c>
      <c r="F1918" s="391" t="str">
        <f t="shared" ref="F1918:G1918" si="5573">F1917</f>
        <v>marine water</v>
      </c>
      <c r="G1918" s="401" t="str">
        <f t="shared" si="5573"/>
        <v>DE: PHB fiber 1-10 mm (emission to marine water)</v>
      </c>
      <c r="H1918" s="465">
        <v>1</v>
      </c>
      <c r="I1918" s="394" t="s">
        <v>1163</v>
      </c>
      <c r="J1918" s="635"/>
      <c r="K1918" s="389">
        <v>521.42857142857144</v>
      </c>
      <c r="L1918" s="536"/>
      <c r="M1918" s="509">
        <f t="shared" si="5390"/>
        <v>4.7945205479452051</v>
      </c>
      <c r="N1918" s="646"/>
      <c r="O1918" s="626"/>
      <c r="P1918" s="629"/>
      <c r="Q1918" s="629"/>
    </row>
    <row r="1919" spans="1:17" ht="15.75" hidden="1" thickBot="1">
      <c r="A1919" s="390" t="str">
        <f t="shared" ref="A1919:B1919" si="5574">A1916</f>
        <v>PHB</v>
      </c>
      <c r="B1919" s="391" t="str">
        <f t="shared" si="5574"/>
        <v>fiber</v>
      </c>
      <c r="C1919" s="391">
        <f t="shared" ref="C1919" si="5575">C1918</f>
        <v>4</v>
      </c>
      <c r="D1919" s="391" t="str">
        <f t="shared" ref="D1919:E1919" si="5576">D1916</f>
        <v>1-10</v>
      </c>
      <c r="E1919" s="391">
        <f t="shared" si="5576"/>
        <v>10</v>
      </c>
      <c r="F1919" s="391" t="str">
        <f t="shared" ref="F1919:G1919" si="5577">F1918</f>
        <v>marine water</v>
      </c>
      <c r="G1919" s="401" t="str">
        <f t="shared" si="5577"/>
        <v>DE: PHB fiber 1-10 mm (emission to marine water)</v>
      </c>
      <c r="H1919" s="465">
        <v>0</v>
      </c>
      <c r="I1919" s="397" t="s">
        <v>1034</v>
      </c>
      <c r="J1919" s="654"/>
      <c r="K1919" s="398" t="s">
        <v>596</v>
      </c>
      <c r="L1919" s="538"/>
      <c r="M1919" s="509">
        <f t="shared" si="5390"/>
        <v>0</v>
      </c>
      <c r="N1919" s="647"/>
      <c r="O1919" s="627"/>
      <c r="P1919" s="629"/>
      <c r="Q1919" s="629"/>
    </row>
    <row r="1920" spans="1:17" ht="15.75" hidden="1" thickBot="1">
      <c r="A1920" s="390" t="str">
        <f t="shared" ref="A1920:B1920" si="5578">A1917</f>
        <v>PHB</v>
      </c>
      <c r="B1920" s="391" t="str">
        <f t="shared" si="5578"/>
        <v>fiber</v>
      </c>
      <c r="C1920" s="391">
        <f t="shared" ref="C1920" si="5579">C1919</f>
        <v>4</v>
      </c>
      <c r="D1920" s="391" t="str">
        <f t="shared" ref="D1920:E1920" si="5580">D1917</f>
        <v>1-10</v>
      </c>
      <c r="E1920" s="391">
        <f t="shared" si="5580"/>
        <v>10</v>
      </c>
      <c r="F1920" s="400" t="s">
        <v>1057</v>
      </c>
      <c r="G1920" s="422" t="str">
        <f>CONCATENATE("DE: ",A1920," ",B1920," ",D1920," mm (emission to ",F1920,")")</f>
        <v>DE: PHB fiber 1-10 mm (emission to air)</v>
      </c>
      <c r="H1920" s="467">
        <v>0.94799999999999995</v>
      </c>
      <c r="I1920" s="388" t="s">
        <v>1019</v>
      </c>
      <c r="J1920" s="634">
        <v>0.22800000000000001</v>
      </c>
      <c r="K1920" s="389">
        <v>789.99</v>
      </c>
      <c r="L1920" s="536"/>
      <c r="M1920" s="509">
        <f t="shared" si="5390"/>
        <v>3.1645970202154459</v>
      </c>
      <c r="N1920" s="645">
        <f t="shared" ref="N1920" si="5581">IFERROR(H1920*M1920+H1921*M1921+H1922*M1922+H1923*M1923+H1924*M1924,"N.A.")</f>
        <v>3.2493530436573934</v>
      </c>
      <c r="O1920" s="625"/>
      <c r="P1920" s="628">
        <f t="shared" si="5475"/>
        <v>3.2493530436573934</v>
      </c>
      <c r="Q1920" s="628">
        <f t="shared" si="5381"/>
        <v>3.2493530436573934</v>
      </c>
    </row>
    <row r="1921" spans="1:17" ht="15.75" hidden="1" thickBot="1">
      <c r="A1921" s="390" t="str">
        <f t="shared" ref="A1921:B1921" si="5582">A1918</f>
        <v>PHB</v>
      </c>
      <c r="B1921" s="391" t="str">
        <f t="shared" si="5582"/>
        <v>fiber</v>
      </c>
      <c r="C1921" s="391">
        <f t="shared" ref="C1921" si="5583">C1920</f>
        <v>4</v>
      </c>
      <c r="D1921" s="391" t="str">
        <f t="shared" ref="D1921:E1921" si="5584">D1918</f>
        <v>1-10</v>
      </c>
      <c r="E1921" s="391">
        <f t="shared" si="5584"/>
        <v>10</v>
      </c>
      <c r="F1921" s="391" t="str">
        <f t="shared" ref="F1921:G1921" si="5585">F1920</f>
        <v>air</v>
      </c>
      <c r="G1921" s="401" t="str">
        <f t="shared" si="5585"/>
        <v>DE: PHB fiber 1-10 mm (emission to air)</v>
      </c>
      <c r="H1921" s="465">
        <v>0</v>
      </c>
      <c r="I1921" s="394" t="s">
        <v>1097</v>
      </c>
      <c r="J1921" s="635"/>
      <c r="K1921" s="389">
        <v>521.42857142857144</v>
      </c>
      <c r="L1921" s="536"/>
      <c r="M1921" s="509">
        <f t="shared" si="5390"/>
        <v>4.7945205479452051</v>
      </c>
      <c r="N1921" s="646"/>
      <c r="O1921" s="626"/>
      <c r="P1921" s="629"/>
      <c r="Q1921" s="629"/>
    </row>
    <row r="1922" spans="1:17" ht="15.75" hidden="1" thickBot="1">
      <c r="A1922" s="390" t="str">
        <f t="shared" ref="A1922:B1922" si="5586">A1919</f>
        <v>PHB</v>
      </c>
      <c r="B1922" s="391" t="str">
        <f t="shared" si="5586"/>
        <v>fiber</v>
      </c>
      <c r="C1922" s="391">
        <f t="shared" ref="C1922" si="5587">C1921</f>
        <v>4</v>
      </c>
      <c r="D1922" s="391" t="str">
        <f t="shared" ref="D1922:E1922" si="5588">D1919</f>
        <v>1-10</v>
      </c>
      <c r="E1922" s="391">
        <f t="shared" si="5588"/>
        <v>10</v>
      </c>
      <c r="F1922" s="391" t="str">
        <f t="shared" ref="F1922:G1922" si="5589">F1921</f>
        <v>air</v>
      </c>
      <c r="G1922" s="401" t="str">
        <f t="shared" si="5589"/>
        <v>DE: PHB fiber 1-10 mm (emission to air)</v>
      </c>
      <c r="H1922" s="465">
        <v>4.7E-2</v>
      </c>
      <c r="I1922" s="394" t="s">
        <v>1162</v>
      </c>
      <c r="J1922" s="635"/>
      <c r="K1922" s="389">
        <v>521.42857142857144</v>
      </c>
      <c r="L1922" s="536"/>
      <c r="M1922" s="509">
        <f t="shared" si="5390"/>
        <v>4.7945205479452051</v>
      </c>
      <c r="N1922" s="646"/>
      <c r="O1922" s="626"/>
      <c r="P1922" s="629"/>
      <c r="Q1922" s="629"/>
    </row>
    <row r="1923" spans="1:17" ht="15.75" hidden="1" thickBot="1">
      <c r="A1923" s="390" t="str">
        <f t="shared" ref="A1923:B1923" si="5590">A1920</f>
        <v>PHB</v>
      </c>
      <c r="B1923" s="391" t="str">
        <f t="shared" si="5590"/>
        <v>fiber</v>
      </c>
      <c r="C1923" s="391">
        <f t="shared" ref="C1923" si="5591">C1922</f>
        <v>4</v>
      </c>
      <c r="D1923" s="391" t="str">
        <f t="shared" ref="D1923:E1923" si="5592">D1920</f>
        <v>1-10</v>
      </c>
      <c r="E1923" s="391">
        <f t="shared" si="5592"/>
        <v>10</v>
      </c>
      <c r="F1923" s="391" t="str">
        <f t="shared" ref="F1923:G1923" si="5593">F1922</f>
        <v>air</v>
      </c>
      <c r="G1923" s="401" t="str">
        <f t="shared" si="5593"/>
        <v>DE: PHB fiber 1-10 mm (emission to air)</v>
      </c>
      <c r="H1923" s="465">
        <v>5.0000000000000001E-3</v>
      </c>
      <c r="I1923" s="394" t="s">
        <v>1163</v>
      </c>
      <c r="J1923" s="635"/>
      <c r="K1923" s="389">
        <v>521.42857142857144</v>
      </c>
      <c r="L1923" s="536"/>
      <c r="M1923" s="509">
        <f t="shared" si="5390"/>
        <v>4.7945205479452051</v>
      </c>
      <c r="N1923" s="646"/>
      <c r="O1923" s="626"/>
      <c r="P1923" s="629"/>
      <c r="Q1923" s="629"/>
    </row>
    <row r="1924" spans="1:17" ht="15.75" hidden="1" thickBot="1">
      <c r="A1924" s="452" t="str">
        <f t="shared" ref="A1924:B1924" si="5594">A1919</f>
        <v>PHB</v>
      </c>
      <c r="B1924" s="453" t="str">
        <f t="shared" si="5594"/>
        <v>fiber</v>
      </c>
      <c r="C1924" s="453">
        <f t="shared" ref="C1924" si="5595">C1923</f>
        <v>4</v>
      </c>
      <c r="D1924" s="453" t="str">
        <f t="shared" ref="D1924:E1924" si="5596">D1919</f>
        <v>1-10</v>
      </c>
      <c r="E1924" s="453">
        <f t="shared" si="5596"/>
        <v>10</v>
      </c>
      <c r="F1924" s="453" t="str">
        <f t="shared" ref="F1924:G1924" si="5597">F1923</f>
        <v>air</v>
      </c>
      <c r="G1924" s="454" t="str">
        <f t="shared" si="5597"/>
        <v>DE: PHB fiber 1-10 mm (emission to air)</v>
      </c>
      <c r="H1924" s="473">
        <v>0</v>
      </c>
      <c r="I1924" s="479" t="s">
        <v>1034</v>
      </c>
      <c r="J1924" s="636"/>
      <c r="K1924" s="457" t="s">
        <v>596</v>
      </c>
      <c r="L1924" s="543"/>
      <c r="M1924" s="509">
        <f t="shared" si="5390"/>
        <v>0</v>
      </c>
      <c r="N1924" s="647"/>
      <c r="O1924" s="627"/>
      <c r="P1924" s="629"/>
      <c r="Q1924" s="629"/>
    </row>
    <row r="1925" spans="1:17" ht="15.75" hidden="1" thickBot="1">
      <c r="A1925" s="381" t="s">
        <v>18</v>
      </c>
      <c r="B1925" s="382" t="s">
        <v>1152</v>
      </c>
      <c r="C1925" s="383">
        <v>6</v>
      </c>
      <c r="D1925" s="475" t="s">
        <v>1018</v>
      </c>
      <c r="E1925" s="384">
        <v>0.1</v>
      </c>
      <c r="F1925" s="385" t="s">
        <v>1019</v>
      </c>
      <c r="G1925" s="386" t="str">
        <f>CONCATENATE("DE: ",A1925," ",B1925," ",D1925," mm (emission to ",F1925,")")</f>
        <v>DE: PHB particle 0,01-0,1 mm (emission to soil)</v>
      </c>
      <c r="H1925" s="466">
        <v>0.97</v>
      </c>
      <c r="I1925" s="388" t="s">
        <v>1019</v>
      </c>
      <c r="J1925" s="632">
        <v>0.22800000000000001</v>
      </c>
      <c r="K1925" s="389">
        <v>789.99</v>
      </c>
      <c r="L1925" s="536"/>
      <c r="M1925" s="509">
        <f t="shared" si="5390"/>
        <v>1.5822985101077228E-2</v>
      </c>
      <c r="N1925" s="645">
        <f t="shared" ref="N1925" si="5598">IFERROR(H1925*M1925+H1926*M1926+H1927*M1927+H1928*M1928+H1929*M1929,"N.A.")</f>
        <v>1.6067473630236691E-2</v>
      </c>
      <c r="O1925" s="625"/>
      <c r="P1925" s="628">
        <f t="shared" si="5475"/>
        <v>1.6067473630236691E-2</v>
      </c>
      <c r="Q1925" s="628">
        <f t="shared" ref="Q1925:Q1985" si="5599">IFERROR(IF(H1925*M1925+H1926*M1926+H1927*M1927+H1928*M1928+H1929*M1929&gt;500,500,H1925*M1925+H1926*M1926+H1927*M1927+H1928*M1928+H1929*M1929),"N.A.")</f>
        <v>1.6067473630236691E-2</v>
      </c>
    </row>
    <row r="1926" spans="1:17" ht="15.75" hidden="1" thickBot="1">
      <c r="A1926" s="390" t="str">
        <f>A1925</f>
        <v>PHB</v>
      </c>
      <c r="B1926" s="391" t="str">
        <f>B1925</f>
        <v>particle</v>
      </c>
      <c r="C1926" s="391">
        <f t="shared" ref="C1926:G1926" si="5600">C1925</f>
        <v>6</v>
      </c>
      <c r="D1926" s="391" t="str">
        <f t="shared" si="5600"/>
        <v>0,01-0,1</v>
      </c>
      <c r="E1926" s="391">
        <f t="shared" si="5600"/>
        <v>0.1</v>
      </c>
      <c r="F1926" s="391" t="str">
        <f t="shared" si="5600"/>
        <v>soil</v>
      </c>
      <c r="G1926" s="392" t="str">
        <f t="shared" si="5600"/>
        <v>DE: PHB particle 0,01-0,1 mm (emission to soil)</v>
      </c>
      <c r="H1926" s="465">
        <v>0</v>
      </c>
      <c r="I1926" s="394" t="s">
        <v>1097</v>
      </c>
      <c r="J1926" s="632"/>
      <c r="K1926" s="395">
        <v>521.42857142857144</v>
      </c>
      <c r="L1926" s="537"/>
      <c r="M1926" s="509">
        <f t="shared" ref="M1926:M1989" si="5601">IFERROR(IF(K1926="--",0,IF(E1926*1000/K1926*(1-0.5)^(C1926/2)&gt;1000,1000,E1926*1000/K1926*(1-0.5)^(C1926/2))),1000)</f>
        <v>2.3972602739726026E-2</v>
      </c>
      <c r="N1926" s="646"/>
      <c r="O1926" s="626"/>
      <c r="P1926" s="629"/>
      <c r="Q1926" s="629"/>
    </row>
    <row r="1927" spans="1:17" ht="15.75" hidden="1" thickBot="1">
      <c r="A1927" s="390" t="str">
        <f t="shared" ref="A1927:G1927" si="5602">A1926</f>
        <v>PHB</v>
      </c>
      <c r="B1927" s="391" t="str">
        <f t="shared" si="5602"/>
        <v>particle</v>
      </c>
      <c r="C1927" s="391">
        <f t="shared" si="5602"/>
        <v>6</v>
      </c>
      <c r="D1927" s="391" t="str">
        <f t="shared" si="5602"/>
        <v>0,01-0,1</v>
      </c>
      <c r="E1927" s="391">
        <f t="shared" si="5602"/>
        <v>0.1</v>
      </c>
      <c r="F1927" s="391" t="str">
        <f t="shared" si="5602"/>
        <v>soil</v>
      </c>
      <c r="G1927" s="392" t="str">
        <f t="shared" si="5602"/>
        <v>DE: PHB particle 0,01-0,1 mm (emission to soil)</v>
      </c>
      <c r="H1927" s="465">
        <v>2.7E-2</v>
      </c>
      <c r="I1927" s="394" t="s">
        <v>1162</v>
      </c>
      <c r="J1927" s="632"/>
      <c r="K1927" s="395">
        <v>521.42857142857144</v>
      </c>
      <c r="L1927" s="537"/>
      <c r="M1927" s="509">
        <f t="shared" si="5601"/>
        <v>2.3972602739726026E-2</v>
      </c>
      <c r="N1927" s="646"/>
      <c r="O1927" s="626"/>
      <c r="P1927" s="629"/>
      <c r="Q1927" s="629"/>
    </row>
    <row r="1928" spans="1:17" ht="15.75" hidden="1" thickBot="1">
      <c r="A1928" s="390" t="str">
        <f t="shared" ref="A1928:G1928" si="5603">A1927</f>
        <v>PHB</v>
      </c>
      <c r="B1928" s="391" t="str">
        <f t="shared" si="5603"/>
        <v>particle</v>
      </c>
      <c r="C1928" s="391">
        <f t="shared" si="5603"/>
        <v>6</v>
      </c>
      <c r="D1928" s="391" t="str">
        <f t="shared" si="5603"/>
        <v>0,01-0,1</v>
      </c>
      <c r="E1928" s="391">
        <f t="shared" si="5603"/>
        <v>0.1</v>
      </c>
      <c r="F1928" s="391" t="str">
        <f t="shared" si="5603"/>
        <v>soil</v>
      </c>
      <c r="G1928" s="392" t="str">
        <f t="shared" si="5603"/>
        <v>DE: PHB particle 0,01-0,1 mm (emission to soil)</v>
      </c>
      <c r="H1928" s="465">
        <v>3.0000000000000001E-3</v>
      </c>
      <c r="I1928" s="394" t="s">
        <v>1163</v>
      </c>
      <c r="J1928" s="632"/>
      <c r="K1928" s="395">
        <v>521.42857142857144</v>
      </c>
      <c r="L1928" s="537"/>
      <c r="M1928" s="509">
        <f t="shared" si="5601"/>
        <v>2.3972602739726026E-2</v>
      </c>
      <c r="N1928" s="646"/>
      <c r="O1928" s="626"/>
      <c r="P1928" s="629"/>
      <c r="Q1928" s="629"/>
    </row>
    <row r="1929" spans="1:17" ht="15.75" hidden="1" thickBot="1">
      <c r="A1929" s="390" t="str">
        <f>A1926</f>
        <v>PHB</v>
      </c>
      <c r="B1929" s="391" t="str">
        <f>B1926</f>
        <v>particle</v>
      </c>
      <c r="C1929" s="391">
        <f t="shared" ref="C1929" si="5604">C1928</f>
        <v>6</v>
      </c>
      <c r="D1929" s="391" t="str">
        <f>D1926</f>
        <v>0,01-0,1</v>
      </c>
      <c r="E1929" s="391">
        <f>E1926</f>
        <v>0.1</v>
      </c>
      <c r="F1929" s="391" t="str">
        <f>F1926</f>
        <v>soil</v>
      </c>
      <c r="G1929" s="396" t="str">
        <f t="shared" ref="G1929" si="5605">G1928</f>
        <v>DE: PHB particle 0,01-0,1 mm (emission to soil)</v>
      </c>
      <c r="H1929" s="465">
        <v>0</v>
      </c>
      <c r="I1929" s="397" t="s">
        <v>1034</v>
      </c>
      <c r="J1929" s="633"/>
      <c r="K1929" s="398" t="s">
        <v>596</v>
      </c>
      <c r="L1929" s="538"/>
      <c r="M1929" s="509">
        <f t="shared" si="5601"/>
        <v>0</v>
      </c>
      <c r="N1929" s="647"/>
      <c r="O1929" s="627"/>
      <c r="P1929" s="629"/>
      <c r="Q1929" s="629"/>
    </row>
    <row r="1930" spans="1:17" ht="15.75" hidden="1" thickBot="1">
      <c r="A1930" s="390" t="str">
        <f t="shared" ref="A1930:B1930" si="5606">A1927</f>
        <v>PHB</v>
      </c>
      <c r="B1930" s="391" t="str">
        <f t="shared" si="5606"/>
        <v>particle</v>
      </c>
      <c r="C1930" s="391">
        <f t="shared" ref="C1930" si="5607">C1929</f>
        <v>6</v>
      </c>
      <c r="D1930" s="399" t="str">
        <f t="shared" ref="D1930:E1930" si="5608">D1927</f>
        <v>0,01-0,1</v>
      </c>
      <c r="E1930" s="391">
        <f t="shared" si="5608"/>
        <v>0.1</v>
      </c>
      <c r="F1930" s="400" t="s">
        <v>1147</v>
      </c>
      <c r="G1930" s="386" t="str">
        <f>CONCATENATE("DE: ",A1930," ",B1930," ",D1930," mm (emission to ",F1930,")")</f>
        <v>DE: PHB particle 0,01-0,1 mm (emission to fresh water)</v>
      </c>
      <c r="H1930" s="466">
        <v>0</v>
      </c>
      <c r="I1930" s="388" t="s">
        <v>1019</v>
      </c>
      <c r="J1930" s="634">
        <v>0.22800000000000001</v>
      </c>
      <c r="K1930" s="389">
        <v>789.99</v>
      </c>
      <c r="L1930" s="536"/>
      <c r="M1930" s="509">
        <f t="shared" si="5601"/>
        <v>1.5822985101077228E-2</v>
      </c>
      <c r="N1930" s="645">
        <f t="shared" ref="N1930" si="5609">IFERROR(H1930*M1930+H1931*M1931+H1932*M1932+H1933*M1933+H1934*M1934,"N.A.")</f>
        <v>2.3972602739726026E-2</v>
      </c>
      <c r="O1930" s="625"/>
      <c r="P1930" s="628">
        <f t="shared" si="5475"/>
        <v>2.3972602739726026E-2</v>
      </c>
      <c r="Q1930" s="628">
        <f t="shared" si="5599"/>
        <v>2.3972602739726026E-2</v>
      </c>
    </row>
    <row r="1931" spans="1:17" ht="15.75" hidden="1" thickBot="1">
      <c r="A1931" s="390" t="str">
        <f t="shared" ref="A1931:B1931" si="5610">A1928</f>
        <v>PHB</v>
      </c>
      <c r="B1931" s="391" t="str">
        <f t="shared" si="5610"/>
        <v>particle</v>
      </c>
      <c r="C1931" s="391">
        <f t="shared" ref="C1931" si="5611">C1930</f>
        <v>6</v>
      </c>
      <c r="D1931" s="391" t="str">
        <f t="shared" ref="D1931:E1931" si="5612">D1928</f>
        <v>0,01-0,1</v>
      </c>
      <c r="E1931" s="391">
        <f t="shared" si="5612"/>
        <v>0.1</v>
      </c>
      <c r="F1931" s="391" t="str">
        <f t="shared" ref="F1931:G1931" si="5613">F1930</f>
        <v>fresh water</v>
      </c>
      <c r="G1931" s="401" t="str">
        <f t="shared" si="5613"/>
        <v>DE: PHB particle 0,01-0,1 mm (emission to fresh water)</v>
      </c>
      <c r="H1931" s="465">
        <v>0</v>
      </c>
      <c r="I1931" s="394" t="s">
        <v>1097</v>
      </c>
      <c r="J1931" s="635"/>
      <c r="K1931" s="389">
        <v>521.42857142857144</v>
      </c>
      <c r="L1931" s="536"/>
      <c r="M1931" s="509">
        <f t="shared" si="5601"/>
        <v>2.3972602739726026E-2</v>
      </c>
      <c r="N1931" s="646"/>
      <c r="O1931" s="626"/>
      <c r="P1931" s="629"/>
      <c r="Q1931" s="629"/>
    </row>
    <row r="1932" spans="1:17" ht="15.75" hidden="1" thickBot="1">
      <c r="A1932" s="390" t="str">
        <f t="shared" ref="A1932:B1932" si="5614">A1929</f>
        <v>PHB</v>
      </c>
      <c r="B1932" s="391" t="str">
        <f t="shared" si="5614"/>
        <v>particle</v>
      </c>
      <c r="C1932" s="391">
        <f t="shared" ref="C1932" si="5615">C1931</f>
        <v>6</v>
      </c>
      <c r="D1932" s="391" t="str">
        <f t="shared" ref="D1932:E1932" si="5616">D1929</f>
        <v>0,01-0,1</v>
      </c>
      <c r="E1932" s="391">
        <f t="shared" si="5616"/>
        <v>0.1</v>
      </c>
      <c r="F1932" s="391" t="str">
        <f t="shared" ref="F1932:G1932" si="5617">F1931</f>
        <v>fresh water</v>
      </c>
      <c r="G1932" s="401" t="str">
        <f t="shared" si="5617"/>
        <v>DE: PHB particle 0,01-0,1 mm (emission to fresh water)</v>
      </c>
      <c r="H1932" s="465">
        <v>0.89</v>
      </c>
      <c r="I1932" s="394" t="s">
        <v>1162</v>
      </c>
      <c r="J1932" s="635"/>
      <c r="K1932" s="389">
        <v>521.42857142857144</v>
      </c>
      <c r="L1932" s="536"/>
      <c r="M1932" s="509">
        <f t="shared" si="5601"/>
        <v>2.3972602739726026E-2</v>
      </c>
      <c r="N1932" s="646"/>
      <c r="O1932" s="626"/>
      <c r="P1932" s="629"/>
      <c r="Q1932" s="629"/>
    </row>
    <row r="1933" spans="1:17" ht="15.75" hidden="1" thickBot="1">
      <c r="A1933" s="390" t="str">
        <f t="shared" ref="A1933:B1933" si="5618">A1930</f>
        <v>PHB</v>
      </c>
      <c r="B1933" s="391" t="str">
        <f t="shared" si="5618"/>
        <v>particle</v>
      </c>
      <c r="C1933" s="391">
        <f t="shared" ref="C1933" si="5619">C1932</f>
        <v>6</v>
      </c>
      <c r="D1933" s="391" t="str">
        <f t="shared" ref="D1933:E1933" si="5620">D1930</f>
        <v>0,01-0,1</v>
      </c>
      <c r="E1933" s="391">
        <f t="shared" si="5620"/>
        <v>0.1</v>
      </c>
      <c r="F1933" s="391" t="str">
        <f t="shared" ref="F1933:G1933" si="5621">F1932</f>
        <v>fresh water</v>
      </c>
      <c r="G1933" s="401" t="str">
        <f t="shared" si="5621"/>
        <v>DE: PHB particle 0,01-0,1 mm (emission to fresh water)</v>
      </c>
      <c r="H1933" s="465">
        <v>0.11</v>
      </c>
      <c r="I1933" s="394" t="s">
        <v>1163</v>
      </c>
      <c r="J1933" s="635"/>
      <c r="K1933" s="389">
        <v>521.42857142857144</v>
      </c>
      <c r="L1933" s="536"/>
      <c r="M1933" s="509">
        <f t="shared" si="5601"/>
        <v>2.3972602739726026E-2</v>
      </c>
      <c r="N1933" s="646"/>
      <c r="O1933" s="626"/>
      <c r="P1933" s="629"/>
      <c r="Q1933" s="629"/>
    </row>
    <row r="1934" spans="1:17" ht="15.75" hidden="1" thickBot="1">
      <c r="A1934" s="390" t="str">
        <f t="shared" ref="A1934:B1934" si="5622">A1931</f>
        <v>PHB</v>
      </c>
      <c r="B1934" s="391" t="str">
        <f t="shared" si="5622"/>
        <v>particle</v>
      </c>
      <c r="C1934" s="391">
        <f t="shared" ref="C1934" si="5623">C1933</f>
        <v>6</v>
      </c>
      <c r="D1934" s="391" t="str">
        <f t="shared" ref="D1934:E1934" si="5624">D1931</f>
        <v>0,01-0,1</v>
      </c>
      <c r="E1934" s="391">
        <f t="shared" si="5624"/>
        <v>0.1</v>
      </c>
      <c r="F1934" s="402" t="str">
        <f>F1931</f>
        <v>fresh water</v>
      </c>
      <c r="G1934" s="401" t="str">
        <f t="shared" ref="G1934" si="5625">G1933</f>
        <v>DE: PHB particle 0,01-0,1 mm (emission to fresh water)</v>
      </c>
      <c r="H1934" s="465">
        <v>0</v>
      </c>
      <c r="I1934" s="397" t="s">
        <v>1034</v>
      </c>
      <c r="J1934" s="654"/>
      <c r="K1934" s="398" t="s">
        <v>596</v>
      </c>
      <c r="L1934" s="538"/>
      <c r="M1934" s="509">
        <f t="shared" si="5601"/>
        <v>0</v>
      </c>
      <c r="N1934" s="647"/>
      <c r="O1934" s="627"/>
      <c r="P1934" s="629"/>
      <c r="Q1934" s="629"/>
    </row>
    <row r="1935" spans="1:17" ht="15.75" hidden="1" thickBot="1">
      <c r="A1935" s="390" t="str">
        <f t="shared" ref="A1935:B1935" si="5626">A1932</f>
        <v>PHB</v>
      </c>
      <c r="B1935" s="391" t="str">
        <f t="shared" si="5626"/>
        <v>particle</v>
      </c>
      <c r="C1935" s="391">
        <f t="shared" ref="C1935" si="5627">C1934</f>
        <v>6</v>
      </c>
      <c r="D1935" s="391" t="str">
        <f t="shared" ref="D1935:E1935" si="5628">D1932</f>
        <v>0,01-0,1</v>
      </c>
      <c r="E1935" s="391">
        <f t="shared" si="5628"/>
        <v>0.1</v>
      </c>
      <c r="F1935" s="385" t="s">
        <v>1097</v>
      </c>
      <c r="G1935" s="422" t="str">
        <f>CONCATENATE("DE: ",A1935," ",B1935," ",D1935," mm (emission to ",F1935,")")</f>
        <v>DE: PHB particle 0,01-0,1 mm (emission to marine water)</v>
      </c>
      <c r="H1935" s="467">
        <v>0</v>
      </c>
      <c r="I1935" s="388" t="s">
        <v>1019</v>
      </c>
      <c r="J1935" s="634">
        <v>0.22800000000000001</v>
      </c>
      <c r="K1935" s="389">
        <v>789.99</v>
      </c>
      <c r="L1935" s="536"/>
      <c r="M1935" s="509">
        <f t="shared" si="5601"/>
        <v>1.5822985101077228E-2</v>
      </c>
      <c r="N1935" s="645">
        <f t="shared" ref="N1935" si="5629">IFERROR(H1935*M1935+H1936*M1936+H1937*M1937+H1938*M1938+H1939*M1939,"N.A.")</f>
        <v>2.3972602739726026E-2</v>
      </c>
      <c r="O1935" s="625"/>
      <c r="P1935" s="628">
        <f t="shared" si="5475"/>
        <v>2.3972602739726026E-2</v>
      </c>
      <c r="Q1935" s="628">
        <f t="shared" si="5599"/>
        <v>2.3972602739726026E-2</v>
      </c>
    </row>
    <row r="1936" spans="1:17" ht="15.75" hidden="1" thickBot="1">
      <c r="A1936" s="390" t="str">
        <f t="shared" ref="A1936:B1936" si="5630">A1933</f>
        <v>PHB</v>
      </c>
      <c r="B1936" s="391" t="str">
        <f t="shared" si="5630"/>
        <v>particle</v>
      </c>
      <c r="C1936" s="391">
        <f t="shared" ref="C1936" si="5631">C1935</f>
        <v>6</v>
      </c>
      <c r="D1936" s="391" t="str">
        <f t="shared" ref="D1936:E1936" si="5632">D1933</f>
        <v>0,01-0,1</v>
      </c>
      <c r="E1936" s="391">
        <f t="shared" si="5632"/>
        <v>0.1</v>
      </c>
      <c r="F1936" s="391" t="str">
        <f t="shared" ref="F1936:G1936" si="5633">F1935</f>
        <v>marine water</v>
      </c>
      <c r="G1936" s="401" t="str">
        <f t="shared" si="5633"/>
        <v>DE: PHB particle 0,01-0,1 mm (emission to marine water)</v>
      </c>
      <c r="H1936" s="465">
        <v>0</v>
      </c>
      <c r="I1936" s="394" t="s">
        <v>1097</v>
      </c>
      <c r="J1936" s="635"/>
      <c r="K1936" s="389">
        <v>521.42857142857144</v>
      </c>
      <c r="L1936" s="536"/>
      <c r="M1936" s="509">
        <f t="shared" si="5601"/>
        <v>2.3972602739726026E-2</v>
      </c>
      <c r="N1936" s="646"/>
      <c r="O1936" s="626"/>
      <c r="P1936" s="629"/>
      <c r="Q1936" s="629"/>
    </row>
    <row r="1937" spans="1:17" ht="15.75" hidden="1" thickBot="1">
      <c r="A1937" s="390" t="str">
        <f t="shared" ref="A1937:B1937" si="5634">A1934</f>
        <v>PHB</v>
      </c>
      <c r="B1937" s="391" t="str">
        <f t="shared" si="5634"/>
        <v>particle</v>
      </c>
      <c r="C1937" s="391">
        <f t="shared" ref="C1937" si="5635">C1936</f>
        <v>6</v>
      </c>
      <c r="D1937" s="391" t="str">
        <f t="shared" ref="D1937:E1937" si="5636">D1934</f>
        <v>0,01-0,1</v>
      </c>
      <c r="E1937" s="391">
        <f t="shared" si="5636"/>
        <v>0.1</v>
      </c>
      <c r="F1937" s="391" t="str">
        <f t="shared" ref="F1937:G1937" si="5637">F1936</f>
        <v>marine water</v>
      </c>
      <c r="G1937" s="401" t="str">
        <f t="shared" si="5637"/>
        <v>DE: PHB particle 0,01-0,1 mm (emission to marine water)</v>
      </c>
      <c r="H1937" s="465">
        <v>0</v>
      </c>
      <c r="I1937" s="394" t="s">
        <v>1162</v>
      </c>
      <c r="J1937" s="635"/>
      <c r="K1937" s="389">
        <v>521.42857142857144</v>
      </c>
      <c r="L1937" s="536"/>
      <c r="M1937" s="509">
        <f t="shared" si="5601"/>
        <v>2.3972602739726026E-2</v>
      </c>
      <c r="N1937" s="646"/>
      <c r="O1937" s="626"/>
      <c r="P1937" s="629"/>
      <c r="Q1937" s="629"/>
    </row>
    <row r="1938" spans="1:17" ht="15.75" hidden="1" thickBot="1">
      <c r="A1938" s="390" t="str">
        <f t="shared" ref="A1938:B1938" si="5638">A1935</f>
        <v>PHB</v>
      </c>
      <c r="B1938" s="391" t="str">
        <f t="shared" si="5638"/>
        <v>particle</v>
      </c>
      <c r="C1938" s="391">
        <f t="shared" ref="C1938" si="5639">C1937</f>
        <v>6</v>
      </c>
      <c r="D1938" s="391" t="str">
        <f t="shared" ref="D1938:E1938" si="5640">D1935</f>
        <v>0,01-0,1</v>
      </c>
      <c r="E1938" s="391">
        <f t="shared" si="5640"/>
        <v>0.1</v>
      </c>
      <c r="F1938" s="391" t="str">
        <f t="shared" ref="F1938:G1938" si="5641">F1937</f>
        <v>marine water</v>
      </c>
      <c r="G1938" s="401" t="str">
        <f t="shared" si="5641"/>
        <v>DE: PHB particle 0,01-0,1 mm (emission to marine water)</v>
      </c>
      <c r="H1938" s="465">
        <v>1</v>
      </c>
      <c r="I1938" s="394" t="s">
        <v>1163</v>
      </c>
      <c r="J1938" s="635"/>
      <c r="K1938" s="389">
        <v>521.42857142857144</v>
      </c>
      <c r="L1938" s="536"/>
      <c r="M1938" s="509">
        <f t="shared" si="5601"/>
        <v>2.3972602739726026E-2</v>
      </c>
      <c r="N1938" s="646"/>
      <c r="O1938" s="626"/>
      <c r="P1938" s="629"/>
      <c r="Q1938" s="629"/>
    </row>
    <row r="1939" spans="1:17" ht="15.75" hidden="1" thickBot="1">
      <c r="A1939" s="390" t="str">
        <f t="shared" ref="A1939:B1939" si="5642">A1936</f>
        <v>PHB</v>
      </c>
      <c r="B1939" s="391" t="str">
        <f t="shared" si="5642"/>
        <v>particle</v>
      </c>
      <c r="C1939" s="391">
        <f t="shared" ref="C1939" si="5643">C1938</f>
        <v>6</v>
      </c>
      <c r="D1939" s="391" t="str">
        <f t="shared" ref="D1939:E1939" si="5644">D1936</f>
        <v>0,01-0,1</v>
      </c>
      <c r="E1939" s="391">
        <f t="shared" si="5644"/>
        <v>0.1</v>
      </c>
      <c r="F1939" s="391" t="str">
        <f t="shared" ref="F1939:G1939" si="5645">F1938</f>
        <v>marine water</v>
      </c>
      <c r="G1939" s="401" t="str">
        <f t="shared" si="5645"/>
        <v>DE: PHB particle 0,01-0,1 mm (emission to marine water)</v>
      </c>
      <c r="H1939" s="465">
        <v>0</v>
      </c>
      <c r="I1939" s="397" t="s">
        <v>1034</v>
      </c>
      <c r="J1939" s="654"/>
      <c r="K1939" s="398" t="s">
        <v>596</v>
      </c>
      <c r="L1939" s="538"/>
      <c r="M1939" s="509">
        <f t="shared" si="5601"/>
        <v>0</v>
      </c>
      <c r="N1939" s="647"/>
      <c r="O1939" s="627"/>
      <c r="P1939" s="629"/>
      <c r="Q1939" s="629"/>
    </row>
    <row r="1940" spans="1:17" ht="15.75" hidden="1" thickBot="1">
      <c r="A1940" s="390" t="str">
        <f t="shared" ref="A1940:B1940" si="5646">A1937</f>
        <v>PHB</v>
      </c>
      <c r="B1940" s="391" t="str">
        <f t="shared" si="5646"/>
        <v>particle</v>
      </c>
      <c r="C1940" s="391">
        <f t="shared" ref="C1940" si="5647">C1939</f>
        <v>6</v>
      </c>
      <c r="D1940" s="391" t="str">
        <f t="shared" ref="D1940:E1940" si="5648">D1937</f>
        <v>0,01-0,1</v>
      </c>
      <c r="E1940" s="391">
        <f t="shared" si="5648"/>
        <v>0.1</v>
      </c>
      <c r="F1940" s="400" t="s">
        <v>1057</v>
      </c>
      <c r="G1940" s="422" t="str">
        <f>CONCATENATE("DE: ",A1940," ",B1940," ",D1940," mm (emission to ",F1940,")")</f>
        <v>DE: PHB particle 0,01-0,1 mm (emission to air)</v>
      </c>
      <c r="H1940" s="467">
        <v>0.94799999999999995</v>
      </c>
      <c r="I1940" s="388" t="s">
        <v>1019</v>
      </c>
      <c r="J1940" s="634">
        <v>0.22800000000000001</v>
      </c>
      <c r="K1940" s="389">
        <v>789.99</v>
      </c>
      <c r="L1940" s="536"/>
      <c r="M1940" s="509">
        <f t="shared" si="5601"/>
        <v>1.5822985101077228E-2</v>
      </c>
      <c r="N1940" s="645">
        <f t="shared" ref="N1940" si="5649">IFERROR(H1940*M1940+H1941*M1941+H1942*M1942+H1943*M1943+H1944*M1944,"N.A.")</f>
        <v>1.6246765218286965E-2</v>
      </c>
      <c r="O1940" s="625"/>
      <c r="P1940" s="628">
        <f t="shared" si="5475"/>
        <v>1.6246765218286965E-2</v>
      </c>
      <c r="Q1940" s="628">
        <f t="shared" si="5599"/>
        <v>1.6246765218286965E-2</v>
      </c>
    </row>
    <row r="1941" spans="1:17" ht="15.75" hidden="1" thickBot="1">
      <c r="A1941" s="390" t="str">
        <f t="shared" ref="A1941:B1941" si="5650">A1938</f>
        <v>PHB</v>
      </c>
      <c r="B1941" s="391" t="str">
        <f t="shared" si="5650"/>
        <v>particle</v>
      </c>
      <c r="C1941" s="391">
        <f t="shared" ref="C1941" si="5651">C1940</f>
        <v>6</v>
      </c>
      <c r="D1941" s="391" t="str">
        <f t="shared" ref="D1941:E1941" si="5652">D1938</f>
        <v>0,01-0,1</v>
      </c>
      <c r="E1941" s="391">
        <f t="shared" si="5652"/>
        <v>0.1</v>
      </c>
      <c r="F1941" s="391" t="str">
        <f t="shared" ref="F1941:G1941" si="5653">F1940</f>
        <v>air</v>
      </c>
      <c r="G1941" s="401" t="str">
        <f t="shared" si="5653"/>
        <v>DE: PHB particle 0,01-0,1 mm (emission to air)</v>
      </c>
      <c r="H1941" s="465">
        <v>0</v>
      </c>
      <c r="I1941" s="394" t="s">
        <v>1097</v>
      </c>
      <c r="J1941" s="635"/>
      <c r="K1941" s="389">
        <v>521.42857142857144</v>
      </c>
      <c r="L1941" s="536"/>
      <c r="M1941" s="509">
        <f t="shared" si="5601"/>
        <v>2.3972602739726026E-2</v>
      </c>
      <c r="N1941" s="646"/>
      <c r="O1941" s="626"/>
      <c r="P1941" s="629"/>
      <c r="Q1941" s="629"/>
    </row>
    <row r="1942" spans="1:17" ht="15.75" hidden="1" thickBot="1">
      <c r="A1942" s="390" t="str">
        <f t="shared" ref="A1942:B1942" si="5654">A1939</f>
        <v>PHB</v>
      </c>
      <c r="B1942" s="391" t="str">
        <f t="shared" si="5654"/>
        <v>particle</v>
      </c>
      <c r="C1942" s="391">
        <f t="shared" ref="C1942" si="5655">C1941</f>
        <v>6</v>
      </c>
      <c r="D1942" s="391" t="str">
        <f t="shared" ref="D1942:E1942" si="5656">D1939</f>
        <v>0,01-0,1</v>
      </c>
      <c r="E1942" s="391">
        <f t="shared" si="5656"/>
        <v>0.1</v>
      </c>
      <c r="F1942" s="391" t="str">
        <f t="shared" ref="F1942:G1942" si="5657">F1941</f>
        <v>air</v>
      </c>
      <c r="G1942" s="401" t="str">
        <f t="shared" si="5657"/>
        <v>DE: PHB particle 0,01-0,1 mm (emission to air)</v>
      </c>
      <c r="H1942" s="465">
        <v>4.7E-2</v>
      </c>
      <c r="I1942" s="394" t="s">
        <v>1162</v>
      </c>
      <c r="J1942" s="635"/>
      <c r="K1942" s="389">
        <v>521.42857142857144</v>
      </c>
      <c r="L1942" s="536"/>
      <c r="M1942" s="509">
        <f t="shared" si="5601"/>
        <v>2.3972602739726026E-2</v>
      </c>
      <c r="N1942" s="646"/>
      <c r="O1942" s="626"/>
      <c r="P1942" s="629"/>
      <c r="Q1942" s="629"/>
    </row>
    <row r="1943" spans="1:17" ht="15.75" hidden="1" thickBot="1">
      <c r="A1943" s="390" t="str">
        <f t="shared" ref="A1943:B1943" si="5658">A1940</f>
        <v>PHB</v>
      </c>
      <c r="B1943" s="391" t="str">
        <f t="shared" si="5658"/>
        <v>particle</v>
      </c>
      <c r="C1943" s="391">
        <f t="shared" ref="C1943" si="5659">C1942</f>
        <v>6</v>
      </c>
      <c r="D1943" s="391" t="str">
        <f t="shared" ref="D1943:E1943" si="5660">D1940</f>
        <v>0,01-0,1</v>
      </c>
      <c r="E1943" s="391">
        <f t="shared" si="5660"/>
        <v>0.1</v>
      </c>
      <c r="F1943" s="391" t="str">
        <f t="shared" ref="F1943:G1943" si="5661">F1942</f>
        <v>air</v>
      </c>
      <c r="G1943" s="401" t="str">
        <f t="shared" si="5661"/>
        <v>DE: PHB particle 0,01-0,1 mm (emission to air)</v>
      </c>
      <c r="H1943" s="465">
        <v>5.0000000000000001E-3</v>
      </c>
      <c r="I1943" s="394" t="s">
        <v>1163</v>
      </c>
      <c r="J1943" s="635"/>
      <c r="K1943" s="389">
        <v>521.42857142857144</v>
      </c>
      <c r="L1943" s="536"/>
      <c r="M1943" s="509">
        <f t="shared" si="5601"/>
        <v>2.3972602739726026E-2</v>
      </c>
      <c r="N1943" s="646"/>
      <c r="O1943" s="626"/>
      <c r="P1943" s="629"/>
      <c r="Q1943" s="629"/>
    </row>
    <row r="1944" spans="1:17" ht="15.75" hidden="1" thickBot="1">
      <c r="A1944" s="390" t="str">
        <f t="shared" ref="A1944:B1944" si="5662">A1939</f>
        <v>PHB</v>
      </c>
      <c r="B1944" s="391" t="str">
        <f t="shared" si="5662"/>
        <v>particle</v>
      </c>
      <c r="C1944" s="391">
        <f t="shared" ref="C1944" si="5663">C1943</f>
        <v>6</v>
      </c>
      <c r="D1944" s="391" t="str">
        <f t="shared" ref="D1944:E1944" si="5664">D1939</f>
        <v>0,01-0,1</v>
      </c>
      <c r="E1944" s="391">
        <f t="shared" si="5664"/>
        <v>0.1</v>
      </c>
      <c r="F1944" s="391" t="str">
        <f t="shared" ref="F1944:G1944" si="5665">F1943</f>
        <v>air</v>
      </c>
      <c r="G1944" s="401" t="str">
        <f t="shared" si="5665"/>
        <v>DE: PHB particle 0,01-0,1 mm (emission to air)</v>
      </c>
      <c r="H1944" s="471">
        <v>0</v>
      </c>
      <c r="I1944" s="422" t="s">
        <v>1034</v>
      </c>
      <c r="J1944" s="636"/>
      <c r="K1944" s="451" t="s">
        <v>596</v>
      </c>
      <c r="L1944" s="542"/>
      <c r="M1944" s="509">
        <f t="shared" si="5601"/>
        <v>0</v>
      </c>
      <c r="N1944" s="647"/>
      <c r="O1944" s="627"/>
      <c r="P1944" s="629"/>
      <c r="Q1944" s="629"/>
    </row>
    <row r="1945" spans="1:17" ht="15.75" hidden="1" thickBot="1">
      <c r="A1945" s="405" t="s">
        <v>18</v>
      </c>
      <c r="B1945" s="406" t="s">
        <v>1152</v>
      </c>
      <c r="C1945" s="407">
        <v>6</v>
      </c>
      <c r="D1945" s="423" t="s">
        <v>1028</v>
      </c>
      <c r="E1945" s="408">
        <v>1</v>
      </c>
      <c r="F1945" s="424" t="s">
        <v>1019</v>
      </c>
      <c r="G1945" s="425" t="str">
        <f>CONCATENATE("DE: ",A1945," ",B1945," ",D1945," mm (emission to ",F1945,")")</f>
        <v>DE: PHB particle 0,1-1 mm (emission to soil)</v>
      </c>
      <c r="H1945" s="474">
        <v>0.97</v>
      </c>
      <c r="I1945" s="427" t="s">
        <v>1019</v>
      </c>
      <c r="J1945" s="632">
        <v>0.22800000000000001</v>
      </c>
      <c r="K1945" s="428">
        <v>789.99</v>
      </c>
      <c r="L1945" s="539"/>
      <c r="M1945" s="509">
        <f t="shared" si="5601"/>
        <v>0.15822985101077228</v>
      </c>
      <c r="N1945" s="645">
        <f t="shared" ref="N1945" si="5666">IFERROR(H1945*M1945+H1946*M1946+H1947*M1947+H1948*M1948+H1949*M1949,"N.A.")</f>
        <v>0.16067473630236689</v>
      </c>
      <c r="O1945" s="625"/>
      <c r="P1945" s="628">
        <f t="shared" si="5475"/>
        <v>0.16067473630236689</v>
      </c>
      <c r="Q1945" s="628">
        <f t="shared" si="5599"/>
        <v>0.16067473630236689</v>
      </c>
    </row>
    <row r="1946" spans="1:17" ht="15.75" hidden="1" thickBot="1">
      <c r="A1946" s="390" t="str">
        <f>A1945</f>
        <v>PHB</v>
      </c>
      <c r="B1946" s="391" t="str">
        <f>B1945</f>
        <v>particle</v>
      </c>
      <c r="C1946" s="391">
        <f t="shared" ref="C1946:G1946" si="5667">C1945</f>
        <v>6</v>
      </c>
      <c r="D1946" s="391" t="str">
        <f t="shared" si="5667"/>
        <v>0,1-1</v>
      </c>
      <c r="E1946" s="391">
        <f t="shared" si="5667"/>
        <v>1</v>
      </c>
      <c r="F1946" s="391" t="str">
        <f t="shared" si="5667"/>
        <v>soil</v>
      </c>
      <c r="G1946" s="392" t="str">
        <f t="shared" si="5667"/>
        <v>DE: PHB particle 0,1-1 mm (emission to soil)</v>
      </c>
      <c r="H1946" s="465">
        <v>0</v>
      </c>
      <c r="I1946" s="394" t="s">
        <v>1097</v>
      </c>
      <c r="J1946" s="632"/>
      <c r="K1946" s="395">
        <v>521.42857142857144</v>
      </c>
      <c r="L1946" s="537"/>
      <c r="M1946" s="509">
        <f t="shared" si="5601"/>
        <v>0.23972602739726026</v>
      </c>
      <c r="N1946" s="646"/>
      <c r="O1946" s="626"/>
      <c r="P1946" s="629"/>
      <c r="Q1946" s="629"/>
    </row>
    <row r="1947" spans="1:17" ht="15.75" hidden="1" thickBot="1">
      <c r="A1947" s="390" t="str">
        <f t="shared" ref="A1947:G1947" si="5668">A1946</f>
        <v>PHB</v>
      </c>
      <c r="B1947" s="391" t="str">
        <f t="shared" si="5668"/>
        <v>particle</v>
      </c>
      <c r="C1947" s="391">
        <f t="shared" si="5668"/>
        <v>6</v>
      </c>
      <c r="D1947" s="391" t="str">
        <f t="shared" si="5668"/>
        <v>0,1-1</v>
      </c>
      <c r="E1947" s="391">
        <f t="shared" si="5668"/>
        <v>1</v>
      </c>
      <c r="F1947" s="391" t="str">
        <f t="shared" si="5668"/>
        <v>soil</v>
      </c>
      <c r="G1947" s="392" t="str">
        <f t="shared" si="5668"/>
        <v>DE: PHB particle 0,1-1 mm (emission to soil)</v>
      </c>
      <c r="H1947" s="465">
        <v>2.7E-2</v>
      </c>
      <c r="I1947" s="394" t="s">
        <v>1162</v>
      </c>
      <c r="J1947" s="632"/>
      <c r="K1947" s="395">
        <v>521.42857142857144</v>
      </c>
      <c r="L1947" s="537"/>
      <c r="M1947" s="509">
        <f t="shared" si="5601"/>
        <v>0.23972602739726026</v>
      </c>
      <c r="N1947" s="646"/>
      <c r="O1947" s="626"/>
      <c r="P1947" s="629"/>
      <c r="Q1947" s="629"/>
    </row>
    <row r="1948" spans="1:17" ht="15.75" hidden="1" thickBot="1">
      <c r="A1948" s="390" t="str">
        <f t="shared" ref="A1948:G1948" si="5669">A1947</f>
        <v>PHB</v>
      </c>
      <c r="B1948" s="391" t="str">
        <f t="shared" si="5669"/>
        <v>particle</v>
      </c>
      <c r="C1948" s="391">
        <f t="shared" si="5669"/>
        <v>6</v>
      </c>
      <c r="D1948" s="391" t="str">
        <f t="shared" si="5669"/>
        <v>0,1-1</v>
      </c>
      <c r="E1948" s="391">
        <f t="shared" si="5669"/>
        <v>1</v>
      </c>
      <c r="F1948" s="391" t="str">
        <f t="shared" si="5669"/>
        <v>soil</v>
      </c>
      <c r="G1948" s="392" t="str">
        <f t="shared" si="5669"/>
        <v>DE: PHB particle 0,1-1 mm (emission to soil)</v>
      </c>
      <c r="H1948" s="465">
        <v>3.0000000000000001E-3</v>
      </c>
      <c r="I1948" s="394" t="s">
        <v>1163</v>
      </c>
      <c r="J1948" s="632"/>
      <c r="K1948" s="395">
        <v>521.42857142857144</v>
      </c>
      <c r="L1948" s="537"/>
      <c r="M1948" s="509">
        <f t="shared" si="5601"/>
        <v>0.23972602739726026</v>
      </c>
      <c r="N1948" s="646"/>
      <c r="O1948" s="626"/>
      <c r="P1948" s="629"/>
      <c r="Q1948" s="629"/>
    </row>
    <row r="1949" spans="1:17" ht="15.75" hidden="1" thickBot="1">
      <c r="A1949" s="390" t="str">
        <f>A1946</f>
        <v>PHB</v>
      </c>
      <c r="B1949" s="391" t="str">
        <f>B1946</f>
        <v>particle</v>
      </c>
      <c r="C1949" s="391">
        <f t="shared" ref="C1949" si="5670">C1948</f>
        <v>6</v>
      </c>
      <c r="D1949" s="391" t="str">
        <f>D1946</f>
        <v>0,1-1</v>
      </c>
      <c r="E1949" s="391">
        <f>E1946</f>
        <v>1</v>
      </c>
      <c r="F1949" s="391" t="str">
        <f>F1946</f>
        <v>soil</v>
      </c>
      <c r="G1949" s="396" t="str">
        <f t="shared" ref="G1949" si="5671">G1948</f>
        <v>DE: PHB particle 0,1-1 mm (emission to soil)</v>
      </c>
      <c r="H1949" s="465">
        <v>0</v>
      </c>
      <c r="I1949" s="397" t="s">
        <v>1034</v>
      </c>
      <c r="J1949" s="633"/>
      <c r="K1949" s="398" t="s">
        <v>596</v>
      </c>
      <c r="L1949" s="538"/>
      <c r="M1949" s="509">
        <f t="shared" si="5601"/>
        <v>0</v>
      </c>
      <c r="N1949" s="647"/>
      <c r="O1949" s="627"/>
      <c r="P1949" s="629"/>
      <c r="Q1949" s="629"/>
    </row>
    <row r="1950" spans="1:17" ht="15.75" hidden="1" thickBot="1">
      <c r="A1950" s="390" t="str">
        <f t="shared" ref="A1950:B1950" si="5672">A1947</f>
        <v>PHB</v>
      </c>
      <c r="B1950" s="391" t="str">
        <f t="shared" si="5672"/>
        <v>particle</v>
      </c>
      <c r="C1950" s="391">
        <f t="shared" ref="C1950" si="5673">C1949</f>
        <v>6</v>
      </c>
      <c r="D1950" s="399" t="str">
        <f t="shared" ref="D1950:E1950" si="5674">D1947</f>
        <v>0,1-1</v>
      </c>
      <c r="E1950" s="391">
        <f t="shared" si="5674"/>
        <v>1</v>
      </c>
      <c r="F1950" s="400" t="s">
        <v>1147</v>
      </c>
      <c r="G1950" s="386" t="str">
        <f>CONCATENATE("DE: ",A1950," ",B1950," ",D1950," mm (emission to ",F1950,")")</f>
        <v>DE: PHB particle 0,1-1 mm (emission to fresh water)</v>
      </c>
      <c r="H1950" s="466">
        <v>0</v>
      </c>
      <c r="I1950" s="388" t="s">
        <v>1019</v>
      </c>
      <c r="J1950" s="634">
        <v>0.22800000000000001</v>
      </c>
      <c r="K1950" s="389">
        <v>789.99</v>
      </c>
      <c r="L1950" s="536"/>
      <c r="M1950" s="509">
        <f t="shared" si="5601"/>
        <v>0.15822985101077228</v>
      </c>
      <c r="N1950" s="645">
        <f t="shared" ref="N1950" si="5675">IFERROR(H1950*M1950+H1951*M1951+H1952*M1952+H1953*M1953+H1954*M1954,"N.A.")</f>
        <v>0.23972602739726026</v>
      </c>
      <c r="O1950" s="625"/>
      <c r="P1950" s="628">
        <f t="shared" si="5475"/>
        <v>0.23972602739726026</v>
      </c>
      <c r="Q1950" s="628">
        <f t="shared" si="5599"/>
        <v>0.23972602739726026</v>
      </c>
    </row>
    <row r="1951" spans="1:17" ht="15.75" hidden="1" thickBot="1">
      <c r="A1951" s="390" t="str">
        <f t="shared" ref="A1951:B1951" si="5676">A1948</f>
        <v>PHB</v>
      </c>
      <c r="B1951" s="391" t="str">
        <f t="shared" si="5676"/>
        <v>particle</v>
      </c>
      <c r="C1951" s="391">
        <f t="shared" ref="C1951" si="5677">C1950</f>
        <v>6</v>
      </c>
      <c r="D1951" s="391" t="str">
        <f t="shared" ref="D1951:E1951" si="5678">D1948</f>
        <v>0,1-1</v>
      </c>
      <c r="E1951" s="391">
        <f t="shared" si="5678"/>
        <v>1</v>
      </c>
      <c r="F1951" s="391" t="str">
        <f t="shared" ref="F1951:G1951" si="5679">F1950</f>
        <v>fresh water</v>
      </c>
      <c r="G1951" s="401" t="str">
        <f t="shared" si="5679"/>
        <v>DE: PHB particle 0,1-1 mm (emission to fresh water)</v>
      </c>
      <c r="H1951" s="465">
        <v>0</v>
      </c>
      <c r="I1951" s="394" t="s">
        <v>1097</v>
      </c>
      <c r="J1951" s="635"/>
      <c r="K1951" s="389">
        <v>521.42857142857144</v>
      </c>
      <c r="L1951" s="536"/>
      <c r="M1951" s="509">
        <f t="shared" si="5601"/>
        <v>0.23972602739726026</v>
      </c>
      <c r="N1951" s="646"/>
      <c r="O1951" s="626"/>
      <c r="P1951" s="629"/>
      <c r="Q1951" s="629"/>
    </row>
    <row r="1952" spans="1:17" ht="15.75" hidden="1" thickBot="1">
      <c r="A1952" s="390" t="str">
        <f t="shared" ref="A1952:B1952" si="5680">A1949</f>
        <v>PHB</v>
      </c>
      <c r="B1952" s="391" t="str">
        <f t="shared" si="5680"/>
        <v>particle</v>
      </c>
      <c r="C1952" s="391">
        <f t="shared" ref="C1952" si="5681">C1951</f>
        <v>6</v>
      </c>
      <c r="D1952" s="391" t="str">
        <f t="shared" ref="D1952:E1952" si="5682">D1949</f>
        <v>0,1-1</v>
      </c>
      <c r="E1952" s="391">
        <f t="shared" si="5682"/>
        <v>1</v>
      </c>
      <c r="F1952" s="391" t="str">
        <f t="shared" ref="F1952:G1952" si="5683">F1951</f>
        <v>fresh water</v>
      </c>
      <c r="G1952" s="401" t="str">
        <f t="shared" si="5683"/>
        <v>DE: PHB particle 0,1-1 mm (emission to fresh water)</v>
      </c>
      <c r="H1952" s="465">
        <v>0.89</v>
      </c>
      <c r="I1952" s="394" t="s">
        <v>1162</v>
      </c>
      <c r="J1952" s="635"/>
      <c r="K1952" s="389">
        <v>521.42857142857144</v>
      </c>
      <c r="L1952" s="536"/>
      <c r="M1952" s="509">
        <f t="shared" si="5601"/>
        <v>0.23972602739726026</v>
      </c>
      <c r="N1952" s="646"/>
      <c r="O1952" s="626"/>
      <c r="P1952" s="629"/>
      <c r="Q1952" s="629"/>
    </row>
    <row r="1953" spans="1:17" ht="15.75" hidden="1" thickBot="1">
      <c r="A1953" s="390" t="str">
        <f t="shared" ref="A1953:B1953" si="5684">A1950</f>
        <v>PHB</v>
      </c>
      <c r="B1953" s="391" t="str">
        <f t="shared" si="5684"/>
        <v>particle</v>
      </c>
      <c r="C1953" s="391">
        <f t="shared" ref="C1953" si="5685">C1952</f>
        <v>6</v>
      </c>
      <c r="D1953" s="391" t="str">
        <f t="shared" ref="D1953:E1953" si="5686">D1950</f>
        <v>0,1-1</v>
      </c>
      <c r="E1953" s="391">
        <f t="shared" si="5686"/>
        <v>1</v>
      </c>
      <c r="F1953" s="391" t="str">
        <f t="shared" ref="F1953:G1953" si="5687">F1952</f>
        <v>fresh water</v>
      </c>
      <c r="G1953" s="401" t="str">
        <f t="shared" si="5687"/>
        <v>DE: PHB particle 0,1-1 mm (emission to fresh water)</v>
      </c>
      <c r="H1953" s="465">
        <v>0.11</v>
      </c>
      <c r="I1953" s="394" t="s">
        <v>1163</v>
      </c>
      <c r="J1953" s="635"/>
      <c r="K1953" s="389">
        <v>521.42857142857144</v>
      </c>
      <c r="L1953" s="536"/>
      <c r="M1953" s="509">
        <f t="shared" si="5601"/>
        <v>0.23972602739726026</v>
      </c>
      <c r="N1953" s="646"/>
      <c r="O1953" s="626"/>
      <c r="P1953" s="629"/>
      <c r="Q1953" s="629"/>
    </row>
    <row r="1954" spans="1:17" ht="15.75" hidden="1" thickBot="1">
      <c r="A1954" s="390" t="str">
        <f t="shared" ref="A1954:B1954" si="5688">A1951</f>
        <v>PHB</v>
      </c>
      <c r="B1954" s="391" t="str">
        <f t="shared" si="5688"/>
        <v>particle</v>
      </c>
      <c r="C1954" s="391">
        <f t="shared" ref="C1954" si="5689">C1953</f>
        <v>6</v>
      </c>
      <c r="D1954" s="391" t="str">
        <f t="shared" ref="D1954:E1954" si="5690">D1951</f>
        <v>0,1-1</v>
      </c>
      <c r="E1954" s="391">
        <f t="shared" si="5690"/>
        <v>1</v>
      </c>
      <c r="F1954" s="402" t="str">
        <f>F1951</f>
        <v>fresh water</v>
      </c>
      <c r="G1954" s="401" t="str">
        <f t="shared" ref="G1954" si="5691">G1953</f>
        <v>DE: PHB particle 0,1-1 mm (emission to fresh water)</v>
      </c>
      <c r="H1954" s="465">
        <v>0</v>
      </c>
      <c r="I1954" s="397" t="s">
        <v>1034</v>
      </c>
      <c r="J1954" s="654"/>
      <c r="K1954" s="398" t="s">
        <v>596</v>
      </c>
      <c r="L1954" s="538"/>
      <c r="M1954" s="509">
        <f t="shared" si="5601"/>
        <v>0</v>
      </c>
      <c r="N1954" s="647"/>
      <c r="O1954" s="627"/>
      <c r="P1954" s="629"/>
      <c r="Q1954" s="629"/>
    </row>
    <row r="1955" spans="1:17" ht="15.75" hidden="1" thickBot="1">
      <c r="A1955" s="390" t="str">
        <f t="shared" ref="A1955:B1955" si="5692">A1952</f>
        <v>PHB</v>
      </c>
      <c r="B1955" s="391" t="str">
        <f t="shared" si="5692"/>
        <v>particle</v>
      </c>
      <c r="C1955" s="391">
        <f t="shared" ref="C1955" si="5693">C1954</f>
        <v>6</v>
      </c>
      <c r="D1955" s="391" t="str">
        <f t="shared" ref="D1955:E1955" si="5694">D1952</f>
        <v>0,1-1</v>
      </c>
      <c r="E1955" s="391">
        <f t="shared" si="5694"/>
        <v>1</v>
      </c>
      <c r="F1955" s="385" t="s">
        <v>1097</v>
      </c>
      <c r="G1955" s="422" t="str">
        <f>CONCATENATE("DE: ",A1955," ",B1955," ",D1955," mm (emission to ",F1955,")")</f>
        <v>DE: PHB particle 0,1-1 mm (emission to marine water)</v>
      </c>
      <c r="H1955" s="467">
        <v>0</v>
      </c>
      <c r="I1955" s="388" t="s">
        <v>1019</v>
      </c>
      <c r="J1955" s="634">
        <v>0.22800000000000001</v>
      </c>
      <c r="K1955" s="389">
        <v>789.99</v>
      </c>
      <c r="L1955" s="536"/>
      <c r="M1955" s="509">
        <f t="shared" si="5601"/>
        <v>0.15822985101077228</v>
      </c>
      <c r="N1955" s="645">
        <f t="shared" ref="N1955" si="5695">IFERROR(H1955*M1955+H1956*M1956+H1957*M1957+H1958*M1958+H1959*M1959,"N.A.")</f>
        <v>0.23972602739726026</v>
      </c>
      <c r="O1955" s="625"/>
      <c r="P1955" s="628">
        <f t="shared" ref="P1955:P2015" si="5696">IFERROR(IF(H1955*M1955+H1956*M1956+H1957*M1957+H1958*M1958+H1959*M1959&gt;100,100,H1955*M1955+H1956*M1956+H1957*M1957+H1958*M1958+H1959*M1959),"N.A.")</f>
        <v>0.23972602739726026</v>
      </c>
      <c r="Q1955" s="628">
        <f t="shared" si="5599"/>
        <v>0.23972602739726026</v>
      </c>
    </row>
    <row r="1956" spans="1:17" ht="15.75" hidden="1" thickBot="1">
      <c r="A1956" s="390" t="str">
        <f t="shared" ref="A1956:B1956" si="5697">A1953</f>
        <v>PHB</v>
      </c>
      <c r="B1956" s="391" t="str">
        <f t="shared" si="5697"/>
        <v>particle</v>
      </c>
      <c r="C1956" s="391">
        <f t="shared" ref="C1956" si="5698">C1955</f>
        <v>6</v>
      </c>
      <c r="D1956" s="391" t="str">
        <f t="shared" ref="D1956:E1956" si="5699">D1953</f>
        <v>0,1-1</v>
      </c>
      <c r="E1956" s="391">
        <f t="shared" si="5699"/>
        <v>1</v>
      </c>
      <c r="F1956" s="391" t="str">
        <f t="shared" ref="F1956:G1956" si="5700">F1955</f>
        <v>marine water</v>
      </c>
      <c r="G1956" s="401" t="str">
        <f t="shared" si="5700"/>
        <v>DE: PHB particle 0,1-1 mm (emission to marine water)</v>
      </c>
      <c r="H1956" s="465">
        <v>0</v>
      </c>
      <c r="I1956" s="394" t="s">
        <v>1097</v>
      </c>
      <c r="J1956" s="635"/>
      <c r="K1956" s="389">
        <v>521.42857142857144</v>
      </c>
      <c r="L1956" s="536"/>
      <c r="M1956" s="509">
        <f t="shared" si="5601"/>
        <v>0.23972602739726026</v>
      </c>
      <c r="N1956" s="646"/>
      <c r="O1956" s="626"/>
      <c r="P1956" s="629"/>
      <c r="Q1956" s="629"/>
    </row>
    <row r="1957" spans="1:17" ht="15.75" hidden="1" thickBot="1">
      <c r="A1957" s="390" t="str">
        <f t="shared" ref="A1957:B1957" si="5701">A1954</f>
        <v>PHB</v>
      </c>
      <c r="B1957" s="391" t="str">
        <f t="shared" si="5701"/>
        <v>particle</v>
      </c>
      <c r="C1957" s="391">
        <f t="shared" ref="C1957" si="5702">C1956</f>
        <v>6</v>
      </c>
      <c r="D1957" s="391" t="str">
        <f t="shared" ref="D1957:E1957" si="5703">D1954</f>
        <v>0,1-1</v>
      </c>
      <c r="E1957" s="391">
        <f t="shared" si="5703"/>
        <v>1</v>
      </c>
      <c r="F1957" s="391" t="str">
        <f t="shared" ref="F1957:G1957" si="5704">F1956</f>
        <v>marine water</v>
      </c>
      <c r="G1957" s="401" t="str">
        <f t="shared" si="5704"/>
        <v>DE: PHB particle 0,1-1 mm (emission to marine water)</v>
      </c>
      <c r="H1957" s="465">
        <v>0</v>
      </c>
      <c r="I1957" s="394" t="s">
        <v>1162</v>
      </c>
      <c r="J1957" s="635"/>
      <c r="K1957" s="389">
        <v>521.42857142857144</v>
      </c>
      <c r="L1957" s="536"/>
      <c r="M1957" s="509">
        <f t="shared" si="5601"/>
        <v>0.23972602739726026</v>
      </c>
      <c r="N1957" s="646"/>
      <c r="O1957" s="626"/>
      <c r="P1957" s="629"/>
      <c r="Q1957" s="629"/>
    </row>
    <row r="1958" spans="1:17" ht="15.75" hidden="1" thickBot="1">
      <c r="A1958" s="390" t="str">
        <f t="shared" ref="A1958:B1958" si="5705">A1955</f>
        <v>PHB</v>
      </c>
      <c r="B1958" s="391" t="str">
        <f t="shared" si="5705"/>
        <v>particle</v>
      </c>
      <c r="C1958" s="391">
        <f t="shared" ref="C1958" si="5706">C1957</f>
        <v>6</v>
      </c>
      <c r="D1958" s="391" t="str">
        <f t="shared" ref="D1958:E1958" si="5707">D1955</f>
        <v>0,1-1</v>
      </c>
      <c r="E1958" s="391">
        <f t="shared" si="5707"/>
        <v>1</v>
      </c>
      <c r="F1958" s="391" t="str">
        <f t="shared" ref="F1958:G1958" si="5708">F1957</f>
        <v>marine water</v>
      </c>
      <c r="G1958" s="401" t="str">
        <f t="shared" si="5708"/>
        <v>DE: PHB particle 0,1-1 mm (emission to marine water)</v>
      </c>
      <c r="H1958" s="465">
        <v>1</v>
      </c>
      <c r="I1958" s="394" t="s">
        <v>1163</v>
      </c>
      <c r="J1958" s="635"/>
      <c r="K1958" s="389">
        <v>521.42857142857144</v>
      </c>
      <c r="L1958" s="536"/>
      <c r="M1958" s="509">
        <f t="shared" si="5601"/>
        <v>0.23972602739726026</v>
      </c>
      <c r="N1958" s="646"/>
      <c r="O1958" s="626"/>
      <c r="P1958" s="629"/>
      <c r="Q1958" s="629"/>
    </row>
    <row r="1959" spans="1:17" ht="15.75" hidden="1" thickBot="1">
      <c r="A1959" s="390" t="str">
        <f t="shared" ref="A1959:B1959" si="5709">A1956</f>
        <v>PHB</v>
      </c>
      <c r="B1959" s="391" t="str">
        <f t="shared" si="5709"/>
        <v>particle</v>
      </c>
      <c r="C1959" s="391">
        <f t="shared" ref="C1959" si="5710">C1958</f>
        <v>6</v>
      </c>
      <c r="D1959" s="391" t="str">
        <f t="shared" ref="D1959:E1959" si="5711">D1956</f>
        <v>0,1-1</v>
      </c>
      <c r="E1959" s="391">
        <f t="shared" si="5711"/>
        <v>1</v>
      </c>
      <c r="F1959" s="391" t="str">
        <f t="shared" ref="F1959:G1959" si="5712">F1958</f>
        <v>marine water</v>
      </c>
      <c r="G1959" s="401" t="str">
        <f t="shared" si="5712"/>
        <v>DE: PHB particle 0,1-1 mm (emission to marine water)</v>
      </c>
      <c r="H1959" s="465">
        <v>0</v>
      </c>
      <c r="I1959" s="397" t="s">
        <v>1034</v>
      </c>
      <c r="J1959" s="654"/>
      <c r="K1959" s="398" t="s">
        <v>596</v>
      </c>
      <c r="L1959" s="538"/>
      <c r="M1959" s="509">
        <f t="shared" si="5601"/>
        <v>0</v>
      </c>
      <c r="N1959" s="647"/>
      <c r="O1959" s="627"/>
      <c r="P1959" s="629"/>
      <c r="Q1959" s="629"/>
    </row>
    <row r="1960" spans="1:17" ht="15.75" hidden="1" thickBot="1">
      <c r="A1960" s="390" t="str">
        <f t="shared" ref="A1960:B1960" si="5713">A1957</f>
        <v>PHB</v>
      </c>
      <c r="B1960" s="391" t="str">
        <f t="shared" si="5713"/>
        <v>particle</v>
      </c>
      <c r="C1960" s="391">
        <f t="shared" ref="C1960" si="5714">C1959</f>
        <v>6</v>
      </c>
      <c r="D1960" s="391" t="str">
        <f t="shared" ref="D1960:E1960" si="5715">D1957</f>
        <v>0,1-1</v>
      </c>
      <c r="E1960" s="391">
        <f t="shared" si="5715"/>
        <v>1</v>
      </c>
      <c r="F1960" s="400" t="s">
        <v>1057</v>
      </c>
      <c r="G1960" s="422" t="str">
        <f>CONCATENATE("DE: ",A1960," ",B1960," ",D1960," mm (emission to ",F1960,")")</f>
        <v>DE: PHB particle 0,1-1 mm (emission to air)</v>
      </c>
      <c r="H1960" s="467">
        <v>0.94799999999999995</v>
      </c>
      <c r="I1960" s="388" t="s">
        <v>1019</v>
      </c>
      <c r="J1960" s="634">
        <v>0.22800000000000001</v>
      </c>
      <c r="K1960" s="389">
        <v>789.99</v>
      </c>
      <c r="L1960" s="536"/>
      <c r="M1960" s="509">
        <f t="shared" si="5601"/>
        <v>0.15822985101077228</v>
      </c>
      <c r="N1960" s="645">
        <f t="shared" ref="N1960" si="5716">IFERROR(H1960*M1960+H1961*M1961+H1962*M1962+H1963*M1963+H1964*M1964,"N.A.")</f>
        <v>0.16246765218286963</v>
      </c>
      <c r="O1960" s="625"/>
      <c r="P1960" s="628">
        <f t="shared" si="5696"/>
        <v>0.16246765218286963</v>
      </c>
      <c r="Q1960" s="628">
        <f t="shared" si="5599"/>
        <v>0.16246765218286963</v>
      </c>
    </row>
    <row r="1961" spans="1:17" ht="15.75" hidden="1" thickBot="1">
      <c r="A1961" s="390" t="str">
        <f t="shared" ref="A1961:B1961" si="5717">A1958</f>
        <v>PHB</v>
      </c>
      <c r="B1961" s="391" t="str">
        <f t="shared" si="5717"/>
        <v>particle</v>
      </c>
      <c r="C1961" s="391">
        <f t="shared" ref="C1961" si="5718">C1960</f>
        <v>6</v>
      </c>
      <c r="D1961" s="391" t="str">
        <f t="shared" ref="D1961:E1961" si="5719">D1958</f>
        <v>0,1-1</v>
      </c>
      <c r="E1961" s="391">
        <f t="shared" si="5719"/>
        <v>1</v>
      </c>
      <c r="F1961" s="391" t="str">
        <f t="shared" ref="F1961:G1961" si="5720">F1960</f>
        <v>air</v>
      </c>
      <c r="G1961" s="401" t="str">
        <f t="shared" si="5720"/>
        <v>DE: PHB particle 0,1-1 mm (emission to air)</v>
      </c>
      <c r="H1961" s="465">
        <v>0</v>
      </c>
      <c r="I1961" s="394" t="s">
        <v>1097</v>
      </c>
      <c r="J1961" s="635"/>
      <c r="K1961" s="389">
        <v>521.42857142857144</v>
      </c>
      <c r="L1961" s="536"/>
      <c r="M1961" s="509">
        <f t="shared" si="5601"/>
        <v>0.23972602739726026</v>
      </c>
      <c r="N1961" s="646"/>
      <c r="O1961" s="626"/>
      <c r="P1961" s="629"/>
      <c r="Q1961" s="629"/>
    </row>
    <row r="1962" spans="1:17" ht="15.75" hidden="1" thickBot="1">
      <c r="A1962" s="390" t="str">
        <f t="shared" ref="A1962:B1962" si="5721">A1959</f>
        <v>PHB</v>
      </c>
      <c r="B1962" s="391" t="str">
        <f t="shared" si="5721"/>
        <v>particle</v>
      </c>
      <c r="C1962" s="391">
        <f t="shared" ref="C1962" si="5722">C1961</f>
        <v>6</v>
      </c>
      <c r="D1962" s="391" t="str">
        <f t="shared" ref="D1962:E1962" si="5723">D1959</f>
        <v>0,1-1</v>
      </c>
      <c r="E1962" s="391">
        <f t="shared" si="5723"/>
        <v>1</v>
      </c>
      <c r="F1962" s="391" t="str">
        <f t="shared" ref="F1962:G1962" si="5724">F1961</f>
        <v>air</v>
      </c>
      <c r="G1962" s="401" t="str">
        <f t="shared" si="5724"/>
        <v>DE: PHB particle 0,1-1 mm (emission to air)</v>
      </c>
      <c r="H1962" s="465">
        <v>4.7E-2</v>
      </c>
      <c r="I1962" s="394" t="s">
        <v>1162</v>
      </c>
      <c r="J1962" s="635"/>
      <c r="K1962" s="389">
        <v>521.42857142857144</v>
      </c>
      <c r="L1962" s="536"/>
      <c r="M1962" s="509">
        <f t="shared" si="5601"/>
        <v>0.23972602739726026</v>
      </c>
      <c r="N1962" s="646"/>
      <c r="O1962" s="626"/>
      <c r="P1962" s="629"/>
      <c r="Q1962" s="629"/>
    </row>
    <row r="1963" spans="1:17" ht="15.75" hidden="1" thickBot="1">
      <c r="A1963" s="390" t="str">
        <f t="shared" ref="A1963:B1963" si="5725">A1960</f>
        <v>PHB</v>
      </c>
      <c r="B1963" s="391" t="str">
        <f t="shared" si="5725"/>
        <v>particle</v>
      </c>
      <c r="C1963" s="391">
        <f t="shared" ref="C1963" si="5726">C1962</f>
        <v>6</v>
      </c>
      <c r="D1963" s="391" t="str">
        <f t="shared" ref="D1963:E1963" si="5727">D1960</f>
        <v>0,1-1</v>
      </c>
      <c r="E1963" s="391">
        <f t="shared" si="5727"/>
        <v>1</v>
      </c>
      <c r="F1963" s="391" t="str">
        <f t="shared" ref="F1963:G1963" si="5728">F1962</f>
        <v>air</v>
      </c>
      <c r="G1963" s="401" t="str">
        <f t="shared" si="5728"/>
        <v>DE: PHB particle 0,1-1 mm (emission to air)</v>
      </c>
      <c r="H1963" s="465">
        <v>5.0000000000000001E-3</v>
      </c>
      <c r="I1963" s="394" t="s">
        <v>1163</v>
      </c>
      <c r="J1963" s="635"/>
      <c r="K1963" s="389">
        <v>521.42857142857144</v>
      </c>
      <c r="L1963" s="536"/>
      <c r="M1963" s="509">
        <f t="shared" si="5601"/>
        <v>0.23972602739726026</v>
      </c>
      <c r="N1963" s="646"/>
      <c r="O1963" s="626"/>
      <c r="P1963" s="629"/>
      <c r="Q1963" s="629"/>
    </row>
    <row r="1964" spans="1:17" ht="15.75" hidden="1" thickBot="1">
      <c r="A1964" s="452" t="str">
        <f t="shared" ref="A1964:B1964" si="5729">A1959</f>
        <v>PHB</v>
      </c>
      <c r="B1964" s="453" t="str">
        <f t="shared" si="5729"/>
        <v>particle</v>
      </c>
      <c r="C1964" s="453">
        <f t="shared" ref="C1964" si="5730">C1963</f>
        <v>6</v>
      </c>
      <c r="D1964" s="453" t="str">
        <f t="shared" ref="D1964:E1964" si="5731">D1959</f>
        <v>0,1-1</v>
      </c>
      <c r="E1964" s="453">
        <f t="shared" si="5731"/>
        <v>1</v>
      </c>
      <c r="F1964" s="453" t="str">
        <f t="shared" ref="F1964:G1964" si="5732">F1963</f>
        <v>air</v>
      </c>
      <c r="G1964" s="454" t="str">
        <f t="shared" si="5732"/>
        <v>DE: PHB particle 0,1-1 mm (emission to air)</v>
      </c>
      <c r="H1964" s="473">
        <v>0</v>
      </c>
      <c r="I1964" s="456" t="s">
        <v>1034</v>
      </c>
      <c r="J1964" s="636"/>
      <c r="K1964" s="457" t="s">
        <v>596</v>
      </c>
      <c r="L1964" s="543"/>
      <c r="M1964" s="509">
        <f t="shared" si="5601"/>
        <v>0</v>
      </c>
      <c r="N1964" s="647"/>
      <c r="O1964" s="627"/>
      <c r="P1964" s="629"/>
      <c r="Q1964" s="629"/>
    </row>
    <row r="1965" spans="1:17" ht="15.75" hidden="1" thickBot="1">
      <c r="A1965" s="405" t="s">
        <v>18</v>
      </c>
      <c r="B1965" s="406" t="s">
        <v>1152</v>
      </c>
      <c r="C1965" s="407">
        <v>6</v>
      </c>
      <c r="D1965" s="423" t="s">
        <v>1026</v>
      </c>
      <c r="E1965" s="408">
        <v>10</v>
      </c>
      <c r="F1965" s="424" t="s">
        <v>1019</v>
      </c>
      <c r="G1965" s="425" t="str">
        <f>CONCATENATE("DE: ",A1965," ",B1965," ",D1965," mm (emission to ",F1965,")")</f>
        <v>DE: PHB particle 1-10 mm (emission to soil)</v>
      </c>
      <c r="H1965" s="474">
        <v>0.97</v>
      </c>
      <c r="I1965" s="427" t="s">
        <v>1019</v>
      </c>
      <c r="J1965" s="632">
        <v>0.22800000000000001</v>
      </c>
      <c r="K1965" s="428">
        <v>789.99</v>
      </c>
      <c r="L1965" s="539"/>
      <c r="M1965" s="509">
        <f t="shared" si="5601"/>
        <v>1.5822985101077229</v>
      </c>
      <c r="N1965" s="645">
        <f t="shared" ref="N1965" si="5733">IFERROR(H1965*M1965+H1966*M1966+H1967*M1967+H1968*M1968+H1969*M1969,"N.A.")</f>
        <v>1.6067473630236693</v>
      </c>
      <c r="O1965" s="625"/>
      <c r="P1965" s="628">
        <f t="shared" si="5696"/>
        <v>1.6067473630236693</v>
      </c>
      <c r="Q1965" s="628">
        <f t="shared" si="5599"/>
        <v>1.6067473630236693</v>
      </c>
    </row>
    <row r="1966" spans="1:17" ht="15.75" hidden="1" thickBot="1">
      <c r="A1966" s="390" t="str">
        <f>A1965</f>
        <v>PHB</v>
      </c>
      <c r="B1966" s="391" t="str">
        <f>B1965</f>
        <v>particle</v>
      </c>
      <c r="C1966" s="391">
        <f t="shared" ref="C1966:G1966" si="5734">C1965</f>
        <v>6</v>
      </c>
      <c r="D1966" s="391" t="str">
        <f t="shared" si="5734"/>
        <v>1-10</v>
      </c>
      <c r="E1966" s="391">
        <f t="shared" si="5734"/>
        <v>10</v>
      </c>
      <c r="F1966" s="391" t="str">
        <f t="shared" si="5734"/>
        <v>soil</v>
      </c>
      <c r="G1966" s="392" t="str">
        <f t="shared" si="5734"/>
        <v>DE: PHB particle 1-10 mm (emission to soil)</v>
      </c>
      <c r="H1966" s="465">
        <v>0</v>
      </c>
      <c r="I1966" s="394" t="s">
        <v>1097</v>
      </c>
      <c r="J1966" s="632"/>
      <c r="K1966" s="395">
        <v>521.42857142857144</v>
      </c>
      <c r="L1966" s="537"/>
      <c r="M1966" s="509">
        <f t="shared" si="5601"/>
        <v>2.3972602739726026</v>
      </c>
      <c r="N1966" s="646"/>
      <c r="O1966" s="626"/>
      <c r="P1966" s="629"/>
      <c r="Q1966" s="629"/>
    </row>
    <row r="1967" spans="1:17" ht="15.75" hidden="1" thickBot="1">
      <c r="A1967" s="390" t="str">
        <f t="shared" ref="A1967:G1967" si="5735">A1966</f>
        <v>PHB</v>
      </c>
      <c r="B1967" s="391" t="str">
        <f t="shared" si="5735"/>
        <v>particle</v>
      </c>
      <c r="C1967" s="391">
        <f t="shared" si="5735"/>
        <v>6</v>
      </c>
      <c r="D1967" s="391" t="str">
        <f t="shared" si="5735"/>
        <v>1-10</v>
      </c>
      <c r="E1967" s="391">
        <f t="shared" si="5735"/>
        <v>10</v>
      </c>
      <c r="F1967" s="391" t="str">
        <f t="shared" si="5735"/>
        <v>soil</v>
      </c>
      <c r="G1967" s="392" t="str">
        <f t="shared" si="5735"/>
        <v>DE: PHB particle 1-10 mm (emission to soil)</v>
      </c>
      <c r="H1967" s="465">
        <v>2.7E-2</v>
      </c>
      <c r="I1967" s="394" t="s">
        <v>1162</v>
      </c>
      <c r="J1967" s="632"/>
      <c r="K1967" s="395">
        <v>521.42857142857144</v>
      </c>
      <c r="L1967" s="537"/>
      <c r="M1967" s="509">
        <f t="shared" si="5601"/>
        <v>2.3972602739726026</v>
      </c>
      <c r="N1967" s="646"/>
      <c r="O1967" s="626"/>
      <c r="P1967" s="629"/>
      <c r="Q1967" s="629"/>
    </row>
    <row r="1968" spans="1:17" ht="15.75" hidden="1" thickBot="1">
      <c r="A1968" s="390" t="str">
        <f t="shared" ref="A1968:G1968" si="5736">A1967</f>
        <v>PHB</v>
      </c>
      <c r="B1968" s="391" t="str">
        <f t="shared" si="5736"/>
        <v>particle</v>
      </c>
      <c r="C1968" s="391">
        <f t="shared" si="5736"/>
        <v>6</v>
      </c>
      <c r="D1968" s="391" t="str">
        <f t="shared" si="5736"/>
        <v>1-10</v>
      </c>
      <c r="E1968" s="391">
        <f t="shared" si="5736"/>
        <v>10</v>
      </c>
      <c r="F1968" s="391" t="str">
        <f t="shared" si="5736"/>
        <v>soil</v>
      </c>
      <c r="G1968" s="392" t="str">
        <f t="shared" si="5736"/>
        <v>DE: PHB particle 1-10 mm (emission to soil)</v>
      </c>
      <c r="H1968" s="465">
        <v>3.0000000000000001E-3</v>
      </c>
      <c r="I1968" s="394" t="s">
        <v>1163</v>
      </c>
      <c r="J1968" s="632"/>
      <c r="K1968" s="395">
        <v>521.42857142857144</v>
      </c>
      <c r="L1968" s="537"/>
      <c r="M1968" s="509">
        <f t="shared" si="5601"/>
        <v>2.3972602739726026</v>
      </c>
      <c r="N1968" s="646"/>
      <c r="O1968" s="626"/>
      <c r="P1968" s="629"/>
      <c r="Q1968" s="629"/>
    </row>
    <row r="1969" spans="1:17" ht="15.75" hidden="1" thickBot="1">
      <c r="A1969" s="390" t="str">
        <f>A1966</f>
        <v>PHB</v>
      </c>
      <c r="B1969" s="391" t="str">
        <f>B1966</f>
        <v>particle</v>
      </c>
      <c r="C1969" s="391">
        <f t="shared" ref="C1969" si="5737">C1968</f>
        <v>6</v>
      </c>
      <c r="D1969" s="391" t="str">
        <f>D1966</f>
        <v>1-10</v>
      </c>
      <c r="E1969" s="391">
        <f>E1966</f>
        <v>10</v>
      </c>
      <c r="F1969" s="391" t="str">
        <f>F1966</f>
        <v>soil</v>
      </c>
      <c r="G1969" s="396" t="str">
        <f t="shared" ref="G1969" si="5738">G1968</f>
        <v>DE: PHB particle 1-10 mm (emission to soil)</v>
      </c>
      <c r="H1969" s="465">
        <v>0</v>
      </c>
      <c r="I1969" s="397" t="s">
        <v>1034</v>
      </c>
      <c r="J1969" s="633"/>
      <c r="K1969" s="398" t="s">
        <v>596</v>
      </c>
      <c r="L1969" s="538"/>
      <c r="M1969" s="509">
        <f t="shared" si="5601"/>
        <v>0</v>
      </c>
      <c r="N1969" s="647"/>
      <c r="O1969" s="627"/>
      <c r="P1969" s="629"/>
      <c r="Q1969" s="629"/>
    </row>
    <row r="1970" spans="1:17" ht="15.75" hidden="1" thickBot="1">
      <c r="A1970" s="390" t="str">
        <f t="shared" ref="A1970:B1970" si="5739">A1967</f>
        <v>PHB</v>
      </c>
      <c r="B1970" s="391" t="str">
        <f t="shared" si="5739"/>
        <v>particle</v>
      </c>
      <c r="C1970" s="391">
        <f t="shared" ref="C1970" si="5740">C1969</f>
        <v>6</v>
      </c>
      <c r="D1970" s="399" t="str">
        <f t="shared" ref="D1970:E1970" si="5741">D1967</f>
        <v>1-10</v>
      </c>
      <c r="E1970" s="391">
        <f t="shared" si="5741"/>
        <v>10</v>
      </c>
      <c r="F1970" s="400" t="s">
        <v>1147</v>
      </c>
      <c r="G1970" s="386" t="str">
        <f>CONCATENATE("DE: ",A1970," ",B1970," ",D1970," mm (emission to ",F1970,")")</f>
        <v>DE: PHB particle 1-10 mm (emission to fresh water)</v>
      </c>
      <c r="H1970" s="466">
        <v>0</v>
      </c>
      <c r="I1970" s="388" t="s">
        <v>1019</v>
      </c>
      <c r="J1970" s="634">
        <v>0.22800000000000001</v>
      </c>
      <c r="K1970" s="389">
        <v>789.99</v>
      </c>
      <c r="L1970" s="536"/>
      <c r="M1970" s="509">
        <f t="shared" si="5601"/>
        <v>1.5822985101077229</v>
      </c>
      <c r="N1970" s="645">
        <f t="shared" ref="N1970" si="5742">IFERROR(H1970*M1970+H1971*M1971+H1972*M1972+H1973*M1973+H1974*M1974,"N.A.")</f>
        <v>2.3972602739726026</v>
      </c>
      <c r="O1970" s="625"/>
      <c r="P1970" s="628">
        <f t="shared" si="5696"/>
        <v>2.3972602739726026</v>
      </c>
      <c r="Q1970" s="628">
        <f t="shared" si="5599"/>
        <v>2.3972602739726026</v>
      </c>
    </row>
    <row r="1971" spans="1:17" ht="15.75" hidden="1" thickBot="1">
      <c r="A1971" s="390" t="str">
        <f t="shared" ref="A1971:B1971" si="5743">A1968</f>
        <v>PHB</v>
      </c>
      <c r="B1971" s="391" t="str">
        <f t="shared" si="5743"/>
        <v>particle</v>
      </c>
      <c r="C1971" s="391">
        <f t="shared" ref="C1971" si="5744">C1970</f>
        <v>6</v>
      </c>
      <c r="D1971" s="391" t="str">
        <f t="shared" ref="D1971:E1971" si="5745">D1968</f>
        <v>1-10</v>
      </c>
      <c r="E1971" s="391">
        <f t="shared" si="5745"/>
        <v>10</v>
      </c>
      <c r="F1971" s="391" t="str">
        <f t="shared" ref="F1971:G1971" si="5746">F1970</f>
        <v>fresh water</v>
      </c>
      <c r="G1971" s="401" t="str">
        <f t="shared" si="5746"/>
        <v>DE: PHB particle 1-10 mm (emission to fresh water)</v>
      </c>
      <c r="H1971" s="465">
        <v>0</v>
      </c>
      <c r="I1971" s="394" t="s">
        <v>1097</v>
      </c>
      <c r="J1971" s="635"/>
      <c r="K1971" s="389">
        <v>521.42857142857144</v>
      </c>
      <c r="L1971" s="536"/>
      <c r="M1971" s="509">
        <f t="shared" si="5601"/>
        <v>2.3972602739726026</v>
      </c>
      <c r="N1971" s="646"/>
      <c r="O1971" s="626"/>
      <c r="P1971" s="629"/>
      <c r="Q1971" s="629"/>
    </row>
    <row r="1972" spans="1:17" ht="15.75" hidden="1" thickBot="1">
      <c r="A1972" s="390" t="str">
        <f t="shared" ref="A1972:B1972" si="5747">A1969</f>
        <v>PHB</v>
      </c>
      <c r="B1972" s="391" t="str">
        <f t="shared" si="5747"/>
        <v>particle</v>
      </c>
      <c r="C1972" s="391">
        <f t="shared" ref="C1972" si="5748">C1971</f>
        <v>6</v>
      </c>
      <c r="D1972" s="391" t="str">
        <f t="shared" ref="D1972:E1972" si="5749">D1969</f>
        <v>1-10</v>
      </c>
      <c r="E1972" s="391">
        <f t="shared" si="5749"/>
        <v>10</v>
      </c>
      <c r="F1972" s="391" t="str">
        <f t="shared" ref="F1972:G1972" si="5750">F1971</f>
        <v>fresh water</v>
      </c>
      <c r="G1972" s="401" t="str">
        <f t="shared" si="5750"/>
        <v>DE: PHB particle 1-10 mm (emission to fresh water)</v>
      </c>
      <c r="H1972" s="465">
        <v>0.89</v>
      </c>
      <c r="I1972" s="394" t="s">
        <v>1162</v>
      </c>
      <c r="J1972" s="635"/>
      <c r="K1972" s="389">
        <v>521.42857142857144</v>
      </c>
      <c r="L1972" s="536"/>
      <c r="M1972" s="509">
        <f t="shared" si="5601"/>
        <v>2.3972602739726026</v>
      </c>
      <c r="N1972" s="646"/>
      <c r="O1972" s="626"/>
      <c r="P1972" s="629"/>
      <c r="Q1972" s="629"/>
    </row>
    <row r="1973" spans="1:17" ht="15.75" hidden="1" thickBot="1">
      <c r="A1973" s="390" t="str">
        <f t="shared" ref="A1973:B1973" si="5751">A1970</f>
        <v>PHB</v>
      </c>
      <c r="B1973" s="391" t="str">
        <f t="shared" si="5751"/>
        <v>particle</v>
      </c>
      <c r="C1973" s="391">
        <f t="shared" ref="C1973" si="5752">C1972</f>
        <v>6</v>
      </c>
      <c r="D1973" s="391" t="str">
        <f t="shared" ref="D1973:E1973" si="5753">D1970</f>
        <v>1-10</v>
      </c>
      <c r="E1973" s="391">
        <f t="shared" si="5753"/>
        <v>10</v>
      </c>
      <c r="F1973" s="391" t="str">
        <f t="shared" ref="F1973:G1973" si="5754">F1972</f>
        <v>fresh water</v>
      </c>
      <c r="G1973" s="401" t="str">
        <f t="shared" si="5754"/>
        <v>DE: PHB particle 1-10 mm (emission to fresh water)</v>
      </c>
      <c r="H1973" s="465">
        <v>0.11</v>
      </c>
      <c r="I1973" s="394" t="s">
        <v>1163</v>
      </c>
      <c r="J1973" s="635"/>
      <c r="K1973" s="389">
        <v>521.42857142857144</v>
      </c>
      <c r="L1973" s="536"/>
      <c r="M1973" s="509">
        <f t="shared" si="5601"/>
        <v>2.3972602739726026</v>
      </c>
      <c r="N1973" s="646"/>
      <c r="O1973" s="626"/>
      <c r="P1973" s="629"/>
      <c r="Q1973" s="629"/>
    </row>
    <row r="1974" spans="1:17" ht="15.75" hidden="1" thickBot="1">
      <c r="A1974" s="390" t="str">
        <f t="shared" ref="A1974:B1974" si="5755">A1971</f>
        <v>PHB</v>
      </c>
      <c r="B1974" s="391" t="str">
        <f t="shared" si="5755"/>
        <v>particle</v>
      </c>
      <c r="C1974" s="391">
        <f t="shared" ref="C1974" si="5756">C1973</f>
        <v>6</v>
      </c>
      <c r="D1974" s="391" t="str">
        <f t="shared" ref="D1974:E1974" si="5757">D1971</f>
        <v>1-10</v>
      </c>
      <c r="E1974" s="391">
        <f t="shared" si="5757"/>
        <v>10</v>
      </c>
      <c r="F1974" s="402" t="str">
        <f>F1971</f>
        <v>fresh water</v>
      </c>
      <c r="G1974" s="401" t="str">
        <f t="shared" ref="G1974" si="5758">G1973</f>
        <v>DE: PHB particle 1-10 mm (emission to fresh water)</v>
      </c>
      <c r="H1974" s="465">
        <v>0</v>
      </c>
      <c r="I1974" s="397" t="s">
        <v>1034</v>
      </c>
      <c r="J1974" s="654"/>
      <c r="K1974" s="398" t="s">
        <v>596</v>
      </c>
      <c r="L1974" s="538"/>
      <c r="M1974" s="509">
        <f t="shared" si="5601"/>
        <v>0</v>
      </c>
      <c r="N1974" s="647"/>
      <c r="O1974" s="627"/>
      <c r="P1974" s="629"/>
      <c r="Q1974" s="629"/>
    </row>
    <row r="1975" spans="1:17" ht="15.75" hidden="1" thickBot="1">
      <c r="A1975" s="390" t="str">
        <f t="shared" ref="A1975:B1975" si="5759">A1972</f>
        <v>PHB</v>
      </c>
      <c r="B1975" s="391" t="str">
        <f t="shared" si="5759"/>
        <v>particle</v>
      </c>
      <c r="C1975" s="391">
        <f t="shared" ref="C1975" si="5760">C1974</f>
        <v>6</v>
      </c>
      <c r="D1975" s="391" t="str">
        <f t="shared" ref="D1975:E1975" si="5761">D1972</f>
        <v>1-10</v>
      </c>
      <c r="E1975" s="391">
        <f t="shared" si="5761"/>
        <v>10</v>
      </c>
      <c r="F1975" s="385" t="s">
        <v>1097</v>
      </c>
      <c r="G1975" s="422" t="str">
        <f>CONCATENATE("DE: ",A1975," ",B1975," ",D1975," mm (emission to ",F1975,")")</f>
        <v>DE: PHB particle 1-10 mm (emission to marine water)</v>
      </c>
      <c r="H1975" s="467">
        <v>0</v>
      </c>
      <c r="I1975" s="388" t="s">
        <v>1019</v>
      </c>
      <c r="J1975" s="634">
        <v>0.22800000000000001</v>
      </c>
      <c r="K1975" s="389">
        <v>789.99</v>
      </c>
      <c r="L1975" s="536"/>
      <c r="M1975" s="509">
        <f t="shared" si="5601"/>
        <v>1.5822985101077229</v>
      </c>
      <c r="N1975" s="645">
        <f t="shared" ref="N1975" si="5762">IFERROR(H1975*M1975+H1976*M1976+H1977*M1977+H1978*M1978+H1979*M1979,"N.A.")</f>
        <v>2.3972602739726026</v>
      </c>
      <c r="O1975" s="625"/>
      <c r="P1975" s="628">
        <f t="shared" si="5696"/>
        <v>2.3972602739726026</v>
      </c>
      <c r="Q1975" s="628">
        <f t="shared" si="5599"/>
        <v>2.3972602739726026</v>
      </c>
    </row>
    <row r="1976" spans="1:17" ht="15.75" hidden="1" thickBot="1">
      <c r="A1976" s="390" t="str">
        <f t="shared" ref="A1976:B1976" si="5763">A1973</f>
        <v>PHB</v>
      </c>
      <c r="B1976" s="391" t="str">
        <f t="shared" si="5763"/>
        <v>particle</v>
      </c>
      <c r="C1976" s="391">
        <f t="shared" ref="C1976" si="5764">C1975</f>
        <v>6</v>
      </c>
      <c r="D1976" s="391" t="str">
        <f t="shared" ref="D1976:E1976" si="5765">D1973</f>
        <v>1-10</v>
      </c>
      <c r="E1976" s="391">
        <f t="shared" si="5765"/>
        <v>10</v>
      </c>
      <c r="F1976" s="391" t="str">
        <f t="shared" ref="F1976:G1976" si="5766">F1975</f>
        <v>marine water</v>
      </c>
      <c r="G1976" s="401" t="str">
        <f t="shared" si="5766"/>
        <v>DE: PHB particle 1-10 mm (emission to marine water)</v>
      </c>
      <c r="H1976" s="465">
        <v>0</v>
      </c>
      <c r="I1976" s="394" t="s">
        <v>1097</v>
      </c>
      <c r="J1976" s="635"/>
      <c r="K1976" s="389">
        <v>521.42857142857144</v>
      </c>
      <c r="L1976" s="536"/>
      <c r="M1976" s="509">
        <f t="shared" si="5601"/>
        <v>2.3972602739726026</v>
      </c>
      <c r="N1976" s="646"/>
      <c r="O1976" s="626"/>
      <c r="P1976" s="629"/>
      <c r="Q1976" s="629"/>
    </row>
    <row r="1977" spans="1:17" ht="15.75" hidden="1" thickBot="1">
      <c r="A1977" s="390" t="str">
        <f t="shared" ref="A1977:B1977" si="5767">A1974</f>
        <v>PHB</v>
      </c>
      <c r="B1977" s="391" t="str">
        <f t="shared" si="5767"/>
        <v>particle</v>
      </c>
      <c r="C1977" s="391">
        <f t="shared" ref="C1977" si="5768">C1976</f>
        <v>6</v>
      </c>
      <c r="D1977" s="391" t="str">
        <f t="shared" ref="D1977:E1977" si="5769">D1974</f>
        <v>1-10</v>
      </c>
      <c r="E1977" s="391">
        <f t="shared" si="5769"/>
        <v>10</v>
      </c>
      <c r="F1977" s="391" t="str">
        <f t="shared" ref="F1977:G1977" si="5770">F1976</f>
        <v>marine water</v>
      </c>
      <c r="G1977" s="401" t="str">
        <f t="shared" si="5770"/>
        <v>DE: PHB particle 1-10 mm (emission to marine water)</v>
      </c>
      <c r="H1977" s="465">
        <v>0</v>
      </c>
      <c r="I1977" s="394" t="s">
        <v>1162</v>
      </c>
      <c r="J1977" s="635"/>
      <c r="K1977" s="389">
        <v>521.42857142857144</v>
      </c>
      <c r="L1977" s="536"/>
      <c r="M1977" s="509">
        <f t="shared" si="5601"/>
        <v>2.3972602739726026</v>
      </c>
      <c r="N1977" s="646"/>
      <c r="O1977" s="626"/>
      <c r="P1977" s="629"/>
      <c r="Q1977" s="629"/>
    </row>
    <row r="1978" spans="1:17" ht="15.75" hidden="1" thickBot="1">
      <c r="A1978" s="390" t="str">
        <f t="shared" ref="A1978:B1978" si="5771">A1975</f>
        <v>PHB</v>
      </c>
      <c r="B1978" s="391" t="str">
        <f t="shared" si="5771"/>
        <v>particle</v>
      </c>
      <c r="C1978" s="391">
        <f t="shared" ref="C1978" si="5772">C1977</f>
        <v>6</v>
      </c>
      <c r="D1978" s="391" t="str">
        <f t="shared" ref="D1978:E1978" si="5773">D1975</f>
        <v>1-10</v>
      </c>
      <c r="E1978" s="391">
        <f t="shared" si="5773"/>
        <v>10</v>
      </c>
      <c r="F1978" s="391" t="str">
        <f t="shared" ref="F1978:G1978" si="5774">F1977</f>
        <v>marine water</v>
      </c>
      <c r="G1978" s="401" t="str">
        <f t="shared" si="5774"/>
        <v>DE: PHB particle 1-10 mm (emission to marine water)</v>
      </c>
      <c r="H1978" s="465">
        <v>1</v>
      </c>
      <c r="I1978" s="394" t="s">
        <v>1163</v>
      </c>
      <c r="J1978" s="635"/>
      <c r="K1978" s="389">
        <v>521.42857142857144</v>
      </c>
      <c r="L1978" s="536"/>
      <c r="M1978" s="509">
        <f t="shared" si="5601"/>
        <v>2.3972602739726026</v>
      </c>
      <c r="N1978" s="646"/>
      <c r="O1978" s="626"/>
      <c r="P1978" s="629"/>
      <c r="Q1978" s="629"/>
    </row>
    <row r="1979" spans="1:17" ht="15.75" hidden="1" thickBot="1">
      <c r="A1979" s="390" t="str">
        <f t="shared" ref="A1979:B1979" si="5775">A1976</f>
        <v>PHB</v>
      </c>
      <c r="B1979" s="391" t="str">
        <f t="shared" si="5775"/>
        <v>particle</v>
      </c>
      <c r="C1979" s="391">
        <f t="shared" ref="C1979" si="5776">C1978</f>
        <v>6</v>
      </c>
      <c r="D1979" s="391" t="str">
        <f t="shared" ref="D1979:E1979" si="5777">D1976</f>
        <v>1-10</v>
      </c>
      <c r="E1979" s="391">
        <f t="shared" si="5777"/>
        <v>10</v>
      </c>
      <c r="F1979" s="391" t="str">
        <f t="shared" ref="F1979:G1979" si="5778">F1978</f>
        <v>marine water</v>
      </c>
      <c r="G1979" s="401" t="str">
        <f t="shared" si="5778"/>
        <v>DE: PHB particle 1-10 mm (emission to marine water)</v>
      </c>
      <c r="H1979" s="465">
        <v>0</v>
      </c>
      <c r="I1979" s="397" t="s">
        <v>1034</v>
      </c>
      <c r="J1979" s="654"/>
      <c r="K1979" s="398" t="s">
        <v>596</v>
      </c>
      <c r="L1979" s="538"/>
      <c r="M1979" s="509">
        <f t="shared" si="5601"/>
        <v>0</v>
      </c>
      <c r="N1979" s="647"/>
      <c r="O1979" s="627"/>
      <c r="P1979" s="629"/>
      <c r="Q1979" s="629"/>
    </row>
    <row r="1980" spans="1:17" ht="15.75" hidden="1" thickBot="1">
      <c r="A1980" s="390" t="str">
        <f t="shared" ref="A1980:B1980" si="5779">A1977</f>
        <v>PHB</v>
      </c>
      <c r="B1980" s="391" t="str">
        <f t="shared" si="5779"/>
        <v>particle</v>
      </c>
      <c r="C1980" s="391">
        <f t="shared" ref="C1980" si="5780">C1979</f>
        <v>6</v>
      </c>
      <c r="D1980" s="391" t="str">
        <f t="shared" ref="D1980:E1980" si="5781">D1977</f>
        <v>1-10</v>
      </c>
      <c r="E1980" s="391">
        <f t="shared" si="5781"/>
        <v>10</v>
      </c>
      <c r="F1980" s="400" t="s">
        <v>1057</v>
      </c>
      <c r="G1980" s="422" t="str">
        <f>CONCATENATE("DE: ",A1980," ",B1980," ",D1980," mm (emission to ",F1980,")")</f>
        <v>DE: PHB particle 1-10 mm (emission to air)</v>
      </c>
      <c r="H1980" s="467">
        <v>0.94799999999999995</v>
      </c>
      <c r="I1980" s="388" t="s">
        <v>1019</v>
      </c>
      <c r="J1980" s="634">
        <v>0.22800000000000001</v>
      </c>
      <c r="K1980" s="389">
        <v>789.99</v>
      </c>
      <c r="L1980" s="536"/>
      <c r="M1980" s="509">
        <f t="shared" si="5601"/>
        <v>1.5822985101077229</v>
      </c>
      <c r="N1980" s="645">
        <f t="shared" ref="N1980" si="5782">IFERROR(H1980*M1980+H1981*M1981+H1982*M1982+H1983*M1983+H1984*M1984,"N.A.")</f>
        <v>1.6246765218286967</v>
      </c>
      <c r="O1980" s="625"/>
      <c r="P1980" s="628">
        <f t="shared" si="5696"/>
        <v>1.6246765218286967</v>
      </c>
      <c r="Q1980" s="628">
        <f t="shared" si="5599"/>
        <v>1.6246765218286967</v>
      </c>
    </row>
    <row r="1981" spans="1:17" ht="15.75" hidden="1" thickBot="1">
      <c r="A1981" s="390" t="str">
        <f t="shared" ref="A1981:B1981" si="5783">A1978</f>
        <v>PHB</v>
      </c>
      <c r="B1981" s="391" t="str">
        <f t="shared" si="5783"/>
        <v>particle</v>
      </c>
      <c r="C1981" s="391">
        <f t="shared" ref="C1981" si="5784">C1980</f>
        <v>6</v>
      </c>
      <c r="D1981" s="391" t="str">
        <f t="shared" ref="D1981:E1981" si="5785">D1978</f>
        <v>1-10</v>
      </c>
      <c r="E1981" s="391">
        <f t="shared" si="5785"/>
        <v>10</v>
      </c>
      <c r="F1981" s="391" t="str">
        <f t="shared" ref="F1981:G1981" si="5786">F1980</f>
        <v>air</v>
      </c>
      <c r="G1981" s="401" t="str">
        <f t="shared" si="5786"/>
        <v>DE: PHB particle 1-10 mm (emission to air)</v>
      </c>
      <c r="H1981" s="465">
        <v>0</v>
      </c>
      <c r="I1981" s="394" t="s">
        <v>1097</v>
      </c>
      <c r="J1981" s="635"/>
      <c r="K1981" s="389">
        <v>521.42857142857144</v>
      </c>
      <c r="L1981" s="536"/>
      <c r="M1981" s="509">
        <f t="shared" si="5601"/>
        <v>2.3972602739726026</v>
      </c>
      <c r="N1981" s="646"/>
      <c r="O1981" s="626"/>
      <c r="P1981" s="629"/>
      <c r="Q1981" s="629"/>
    </row>
    <row r="1982" spans="1:17" ht="15.75" hidden="1" thickBot="1">
      <c r="A1982" s="390" t="str">
        <f t="shared" ref="A1982:B1982" si="5787">A1979</f>
        <v>PHB</v>
      </c>
      <c r="B1982" s="391" t="str">
        <f t="shared" si="5787"/>
        <v>particle</v>
      </c>
      <c r="C1982" s="391">
        <f t="shared" ref="C1982" si="5788">C1981</f>
        <v>6</v>
      </c>
      <c r="D1982" s="391" t="str">
        <f t="shared" ref="D1982:E1982" si="5789">D1979</f>
        <v>1-10</v>
      </c>
      <c r="E1982" s="391">
        <f t="shared" si="5789"/>
        <v>10</v>
      </c>
      <c r="F1982" s="391" t="str">
        <f t="shared" ref="F1982:G1982" si="5790">F1981</f>
        <v>air</v>
      </c>
      <c r="G1982" s="401" t="str">
        <f t="shared" si="5790"/>
        <v>DE: PHB particle 1-10 mm (emission to air)</v>
      </c>
      <c r="H1982" s="465">
        <v>4.7E-2</v>
      </c>
      <c r="I1982" s="394" t="s">
        <v>1162</v>
      </c>
      <c r="J1982" s="635"/>
      <c r="K1982" s="389">
        <v>521.42857142857144</v>
      </c>
      <c r="L1982" s="536"/>
      <c r="M1982" s="509">
        <f t="shared" si="5601"/>
        <v>2.3972602739726026</v>
      </c>
      <c r="N1982" s="646"/>
      <c r="O1982" s="626"/>
      <c r="P1982" s="629"/>
      <c r="Q1982" s="629"/>
    </row>
    <row r="1983" spans="1:17" ht="15.75" hidden="1" thickBot="1">
      <c r="A1983" s="390" t="str">
        <f t="shared" ref="A1983:B1983" si="5791">A1980</f>
        <v>PHB</v>
      </c>
      <c r="B1983" s="391" t="str">
        <f t="shared" si="5791"/>
        <v>particle</v>
      </c>
      <c r="C1983" s="391">
        <f t="shared" ref="C1983" si="5792">C1982</f>
        <v>6</v>
      </c>
      <c r="D1983" s="391" t="str">
        <f t="shared" ref="D1983:E1983" si="5793">D1980</f>
        <v>1-10</v>
      </c>
      <c r="E1983" s="391">
        <f t="shared" si="5793"/>
        <v>10</v>
      </c>
      <c r="F1983" s="391" t="str">
        <f t="shared" ref="F1983:G1983" si="5794">F1982</f>
        <v>air</v>
      </c>
      <c r="G1983" s="401" t="str">
        <f t="shared" si="5794"/>
        <v>DE: PHB particle 1-10 mm (emission to air)</v>
      </c>
      <c r="H1983" s="465">
        <v>5.0000000000000001E-3</v>
      </c>
      <c r="I1983" s="394" t="s">
        <v>1163</v>
      </c>
      <c r="J1983" s="635"/>
      <c r="K1983" s="389">
        <v>521.42857142857144</v>
      </c>
      <c r="L1983" s="536"/>
      <c r="M1983" s="509">
        <f t="shared" si="5601"/>
        <v>2.3972602739726026</v>
      </c>
      <c r="N1983" s="646"/>
      <c r="O1983" s="626"/>
      <c r="P1983" s="629"/>
      <c r="Q1983" s="629"/>
    </row>
    <row r="1984" spans="1:17" ht="15.75" hidden="1" thickBot="1">
      <c r="A1984" s="452" t="str">
        <f t="shared" ref="A1984:B1984" si="5795">A1979</f>
        <v>PHB</v>
      </c>
      <c r="B1984" s="453" t="str">
        <f t="shared" si="5795"/>
        <v>particle</v>
      </c>
      <c r="C1984" s="453">
        <f t="shared" ref="C1984" si="5796">C1983</f>
        <v>6</v>
      </c>
      <c r="D1984" s="453" t="str">
        <f t="shared" ref="D1984:E1984" si="5797">D1979</f>
        <v>1-10</v>
      </c>
      <c r="E1984" s="453">
        <f t="shared" si="5797"/>
        <v>10</v>
      </c>
      <c r="F1984" s="453" t="str">
        <f t="shared" ref="F1984:G1984" si="5798">F1983</f>
        <v>air</v>
      </c>
      <c r="G1984" s="454" t="str">
        <f t="shared" si="5798"/>
        <v>DE: PHB particle 1-10 mm (emission to air)</v>
      </c>
      <c r="H1984" s="473">
        <v>0</v>
      </c>
      <c r="I1984" s="456" t="s">
        <v>1034</v>
      </c>
      <c r="J1984" s="636"/>
      <c r="K1984" s="457" t="s">
        <v>596</v>
      </c>
      <c r="L1984" s="543"/>
      <c r="M1984" s="509">
        <f t="shared" si="5601"/>
        <v>0</v>
      </c>
      <c r="N1984" s="647"/>
      <c r="O1984" s="627"/>
      <c r="P1984" s="629"/>
      <c r="Q1984" s="629"/>
    </row>
    <row r="1985" spans="1:17" ht="16.5" hidden="1" thickTop="1" thickBot="1">
      <c r="A1985" s="442" t="s">
        <v>19</v>
      </c>
      <c r="B1985" s="443" t="s">
        <v>996</v>
      </c>
      <c r="C1985" s="444">
        <f>IF(OR(B1985="Folie", B1985="Strips", B1985="Film",B1985="Flakes",B1985="Coupon"), 2,IF(OR(B1985="Fibers",B1985="Pellets"),4,IF(OR(B1985="Particles",B1985="Shreds",B1985="Powder",B1985="Fragments",B1985="Granules"),6,"")))</f>
        <v>2</v>
      </c>
      <c r="D1985" s="444" t="s">
        <v>1018</v>
      </c>
      <c r="E1985" s="445">
        <v>0.1</v>
      </c>
      <c r="F1985" s="446" t="s">
        <v>1019</v>
      </c>
      <c r="G1985" s="447" t="str">
        <f>CONCATENATE("DE: ",A1985," ",B1985," ",D1985," mm (emission to ",F1985,")")</f>
        <v>DE: PHBV film 0,01-0,1 mm (emission to soil)</v>
      </c>
      <c r="H1985" s="464">
        <v>0.97</v>
      </c>
      <c r="I1985" s="448" t="s">
        <v>1019</v>
      </c>
      <c r="J1985" s="632">
        <v>0.22800000000000001</v>
      </c>
      <c r="K1985" s="449">
        <v>50.46</v>
      </c>
      <c r="L1985" s="541"/>
      <c r="M1985" s="509">
        <f t="shared" si="5601"/>
        <v>0.99088386841062226</v>
      </c>
      <c r="N1985" s="645">
        <f t="shared" ref="N1985" si="5799">IFERROR(H1985*M1985+H1986*M1986+H1987*M1987+H1988*M1988+H1989*M1989,"N.A.")</f>
        <v>0.99088386841062226</v>
      </c>
      <c r="O1985" s="625"/>
      <c r="P1985" s="628">
        <f t="shared" si="5696"/>
        <v>0.99088386841062226</v>
      </c>
      <c r="Q1985" s="628">
        <f t="shared" si="5599"/>
        <v>0.99088386841062226</v>
      </c>
    </row>
    <row r="1986" spans="1:17" ht="15.75" hidden="1" thickBot="1">
      <c r="A1986" s="390" t="str">
        <f>A1985</f>
        <v>PHBV</v>
      </c>
      <c r="B1986" s="391" t="str">
        <f>B1985</f>
        <v>film</v>
      </c>
      <c r="C1986" s="391">
        <f t="shared" ref="C1986:G1986" si="5800">C1985</f>
        <v>2</v>
      </c>
      <c r="D1986" s="391" t="str">
        <f t="shared" si="5800"/>
        <v>0,01-0,1</v>
      </c>
      <c r="E1986" s="391">
        <f t="shared" si="5800"/>
        <v>0.1</v>
      </c>
      <c r="F1986" s="391" t="str">
        <f t="shared" si="5800"/>
        <v>soil</v>
      </c>
      <c r="G1986" s="392" t="str">
        <f t="shared" si="5800"/>
        <v>DE: PHBV film 0,01-0,1 mm (emission to soil)</v>
      </c>
      <c r="H1986" s="465">
        <v>0</v>
      </c>
      <c r="I1986" s="394" t="s">
        <v>1097</v>
      </c>
      <c r="J1986" s="632"/>
      <c r="K1986" s="395">
        <v>416.77</v>
      </c>
      <c r="L1986" s="537"/>
      <c r="M1986" s="509">
        <f t="shared" si="5601"/>
        <v>0.1199702473786501</v>
      </c>
      <c r="N1986" s="646"/>
      <c r="O1986" s="626"/>
      <c r="P1986" s="629"/>
      <c r="Q1986" s="629"/>
    </row>
    <row r="1987" spans="1:17" ht="15.75" hidden="1" thickBot="1">
      <c r="A1987" s="390" t="str">
        <f t="shared" ref="A1987:G1987" si="5801">A1986</f>
        <v>PHBV</v>
      </c>
      <c r="B1987" s="391" t="str">
        <f t="shared" si="5801"/>
        <v>film</v>
      </c>
      <c r="C1987" s="391">
        <f t="shared" si="5801"/>
        <v>2</v>
      </c>
      <c r="D1987" s="391" t="str">
        <f t="shared" si="5801"/>
        <v>0,01-0,1</v>
      </c>
      <c r="E1987" s="391">
        <f t="shared" si="5801"/>
        <v>0.1</v>
      </c>
      <c r="F1987" s="391" t="str">
        <f t="shared" si="5801"/>
        <v>soil</v>
      </c>
      <c r="G1987" s="392" t="str">
        <f t="shared" si="5801"/>
        <v>DE: PHBV film 0,01-0,1 mm (emission to soil)</v>
      </c>
      <c r="H1987" s="465">
        <v>2.7E-2</v>
      </c>
      <c r="I1987" s="394" t="s">
        <v>1162</v>
      </c>
      <c r="J1987" s="632"/>
      <c r="K1987" s="395">
        <v>50.46</v>
      </c>
      <c r="L1987" s="537"/>
      <c r="M1987" s="509">
        <f t="shared" si="5601"/>
        <v>0.99088386841062226</v>
      </c>
      <c r="N1987" s="646"/>
      <c r="O1987" s="626"/>
      <c r="P1987" s="629"/>
      <c r="Q1987" s="629"/>
    </row>
    <row r="1988" spans="1:17" ht="15.75" hidden="1" thickBot="1">
      <c r="A1988" s="390" t="str">
        <f t="shared" ref="A1988:G1988" si="5802">A1987</f>
        <v>PHBV</v>
      </c>
      <c r="B1988" s="391" t="str">
        <f t="shared" si="5802"/>
        <v>film</v>
      </c>
      <c r="C1988" s="391">
        <f t="shared" si="5802"/>
        <v>2</v>
      </c>
      <c r="D1988" s="391" t="str">
        <f t="shared" si="5802"/>
        <v>0,01-0,1</v>
      </c>
      <c r="E1988" s="391">
        <f t="shared" si="5802"/>
        <v>0.1</v>
      </c>
      <c r="F1988" s="391" t="str">
        <f t="shared" si="5802"/>
        <v>soil</v>
      </c>
      <c r="G1988" s="392" t="str">
        <f t="shared" si="5802"/>
        <v>DE: PHBV film 0,01-0,1 mm (emission to soil)</v>
      </c>
      <c r="H1988" s="465">
        <v>3.0000000000000001E-3</v>
      </c>
      <c r="I1988" s="394" t="s">
        <v>1163</v>
      </c>
      <c r="J1988" s="632"/>
      <c r="K1988" s="395">
        <v>50.46</v>
      </c>
      <c r="L1988" s="537"/>
      <c r="M1988" s="509">
        <f t="shared" si="5601"/>
        <v>0.99088386841062226</v>
      </c>
      <c r="N1988" s="646"/>
      <c r="O1988" s="626"/>
      <c r="P1988" s="629"/>
      <c r="Q1988" s="629"/>
    </row>
    <row r="1989" spans="1:17" ht="15.75" hidden="1" thickBot="1">
      <c r="A1989" s="390" t="str">
        <f>A1986</f>
        <v>PHBV</v>
      </c>
      <c r="B1989" s="391" t="str">
        <f>B1986</f>
        <v>film</v>
      </c>
      <c r="C1989" s="391">
        <f t="shared" ref="C1989" si="5803">C1988</f>
        <v>2</v>
      </c>
      <c r="D1989" s="391" t="str">
        <f>D1986</f>
        <v>0,01-0,1</v>
      </c>
      <c r="E1989" s="391">
        <f>E1986</f>
        <v>0.1</v>
      </c>
      <c r="F1989" s="391" t="str">
        <f>F1986</f>
        <v>soil</v>
      </c>
      <c r="G1989" s="396" t="str">
        <f t="shared" ref="G1989" si="5804">G1988</f>
        <v>DE: PHBV film 0,01-0,1 mm (emission to soil)</v>
      </c>
      <c r="H1989" s="465">
        <v>0</v>
      </c>
      <c r="I1989" s="397" t="s">
        <v>1034</v>
      </c>
      <c r="J1989" s="633"/>
      <c r="K1989" s="398" t="s">
        <v>596</v>
      </c>
      <c r="L1989" s="538"/>
      <c r="M1989" s="509">
        <f t="shared" si="5601"/>
        <v>0</v>
      </c>
      <c r="N1989" s="647"/>
      <c r="O1989" s="627"/>
      <c r="P1989" s="629"/>
      <c r="Q1989" s="629"/>
    </row>
    <row r="1990" spans="1:17" ht="15.75" hidden="1" thickBot="1">
      <c r="A1990" s="390" t="str">
        <f t="shared" ref="A1990:B1990" si="5805">A1987</f>
        <v>PHBV</v>
      </c>
      <c r="B1990" s="391" t="str">
        <f t="shared" si="5805"/>
        <v>film</v>
      </c>
      <c r="C1990" s="391">
        <f t="shared" ref="C1990" si="5806">C1989</f>
        <v>2</v>
      </c>
      <c r="D1990" s="399" t="str">
        <f t="shared" ref="D1990:E1990" si="5807">D1987</f>
        <v>0,01-0,1</v>
      </c>
      <c r="E1990" s="391">
        <f t="shared" si="5807"/>
        <v>0.1</v>
      </c>
      <c r="F1990" s="400" t="s">
        <v>1147</v>
      </c>
      <c r="G1990" s="386" t="str">
        <f>CONCATENATE("DE: ",A1990," ",B1990," ",D1990," mm (emission to ",F1990,")")</f>
        <v>DE: PHBV film 0,01-0,1 mm (emission to fresh water)</v>
      </c>
      <c r="H1990" s="466">
        <v>0</v>
      </c>
      <c r="I1990" s="388" t="s">
        <v>1019</v>
      </c>
      <c r="J1990" s="634">
        <v>0.22800000000000001</v>
      </c>
      <c r="K1990" s="389">
        <v>50.46</v>
      </c>
      <c r="L1990" s="536"/>
      <c r="M1990" s="509">
        <f t="shared" ref="M1990:M2053" si="5808">IFERROR(IF(K1990="--",0,IF(E1990*1000/K1990*(1-0.5)^(C1990/2)&gt;1000,1000,E1990*1000/K1990*(1-0.5)^(C1990/2))),1000)</f>
        <v>0.99088386841062226</v>
      </c>
      <c r="N1990" s="645">
        <f t="shared" ref="N1990" si="5809">IFERROR(H1990*M1990+H1991*M1991+H1992*M1992+H1993*M1993+H1994*M1994,"N.A.")</f>
        <v>0.99088386841062226</v>
      </c>
      <c r="O1990" s="625"/>
      <c r="P1990" s="628">
        <f t="shared" si="5696"/>
        <v>0.99088386841062226</v>
      </c>
      <c r="Q1990" s="628">
        <f t="shared" ref="Q1990:Q2050" si="5810">IFERROR(IF(H1990*M1990+H1991*M1991+H1992*M1992+H1993*M1993+H1994*M1994&gt;500,500,H1990*M1990+H1991*M1991+H1992*M1992+H1993*M1993+H1994*M1994),"N.A.")</f>
        <v>0.99088386841062226</v>
      </c>
    </row>
    <row r="1991" spans="1:17" ht="15.75" hidden="1" thickBot="1">
      <c r="A1991" s="390" t="str">
        <f t="shared" ref="A1991:B1991" si="5811">A1988</f>
        <v>PHBV</v>
      </c>
      <c r="B1991" s="391" t="str">
        <f t="shared" si="5811"/>
        <v>film</v>
      </c>
      <c r="C1991" s="391">
        <f t="shared" ref="C1991" si="5812">C1990</f>
        <v>2</v>
      </c>
      <c r="D1991" s="391" t="str">
        <f t="shared" ref="D1991:E1991" si="5813">D1988</f>
        <v>0,01-0,1</v>
      </c>
      <c r="E1991" s="391">
        <f t="shared" si="5813"/>
        <v>0.1</v>
      </c>
      <c r="F1991" s="391" t="str">
        <f t="shared" ref="F1991:G1991" si="5814">F1990</f>
        <v>fresh water</v>
      </c>
      <c r="G1991" s="401" t="str">
        <f t="shared" si="5814"/>
        <v>DE: PHBV film 0,01-0,1 mm (emission to fresh water)</v>
      </c>
      <c r="H1991" s="465">
        <v>0</v>
      </c>
      <c r="I1991" s="394" t="s">
        <v>1097</v>
      </c>
      <c r="J1991" s="635"/>
      <c r="K1991" s="389">
        <v>416.77</v>
      </c>
      <c r="L1991" s="536"/>
      <c r="M1991" s="509">
        <f t="shared" si="5808"/>
        <v>0.1199702473786501</v>
      </c>
      <c r="N1991" s="646"/>
      <c r="O1991" s="626"/>
      <c r="P1991" s="629"/>
      <c r="Q1991" s="629"/>
    </row>
    <row r="1992" spans="1:17" ht="15.75" hidden="1" thickBot="1">
      <c r="A1992" s="390" t="str">
        <f t="shared" ref="A1992:B1992" si="5815">A1989</f>
        <v>PHBV</v>
      </c>
      <c r="B1992" s="391" t="str">
        <f t="shared" si="5815"/>
        <v>film</v>
      </c>
      <c r="C1992" s="391">
        <f t="shared" ref="C1992" si="5816">C1991</f>
        <v>2</v>
      </c>
      <c r="D1992" s="391" t="str">
        <f t="shared" ref="D1992:E1992" si="5817">D1989</f>
        <v>0,01-0,1</v>
      </c>
      <c r="E1992" s="391">
        <f t="shared" si="5817"/>
        <v>0.1</v>
      </c>
      <c r="F1992" s="391" t="str">
        <f t="shared" ref="F1992:G1992" si="5818">F1991</f>
        <v>fresh water</v>
      </c>
      <c r="G1992" s="401" t="str">
        <f t="shared" si="5818"/>
        <v>DE: PHBV film 0,01-0,1 mm (emission to fresh water)</v>
      </c>
      <c r="H1992" s="465">
        <v>0.89</v>
      </c>
      <c r="I1992" s="394" t="s">
        <v>1162</v>
      </c>
      <c r="J1992" s="635"/>
      <c r="K1992" s="389">
        <v>50.46</v>
      </c>
      <c r="L1992" s="536"/>
      <c r="M1992" s="509">
        <f t="shared" si="5808"/>
        <v>0.99088386841062226</v>
      </c>
      <c r="N1992" s="646"/>
      <c r="O1992" s="626"/>
      <c r="P1992" s="629"/>
      <c r="Q1992" s="629"/>
    </row>
    <row r="1993" spans="1:17" ht="15.75" hidden="1" thickBot="1">
      <c r="A1993" s="390" t="str">
        <f t="shared" ref="A1993:B1993" si="5819">A1990</f>
        <v>PHBV</v>
      </c>
      <c r="B1993" s="391" t="str">
        <f t="shared" si="5819"/>
        <v>film</v>
      </c>
      <c r="C1993" s="391">
        <f t="shared" ref="C1993" si="5820">C1992</f>
        <v>2</v>
      </c>
      <c r="D1993" s="391" t="str">
        <f t="shared" ref="D1993:E1993" si="5821">D1990</f>
        <v>0,01-0,1</v>
      </c>
      <c r="E1993" s="391">
        <f t="shared" si="5821"/>
        <v>0.1</v>
      </c>
      <c r="F1993" s="391" t="str">
        <f t="shared" ref="F1993:G1993" si="5822">F1992</f>
        <v>fresh water</v>
      </c>
      <c r="G1993" s="401" t="str">
        <f t="shared" si="5822"/>
        <v>DE: PHBV film 0,01-0,1 mm (emission to fresh water)</v>
      </c>
      <c r="H1993" s="465">
        <v>0.11</v>
      </c>
      <c r="I1993" s="394" t="s">
        <v>1163</v>
      </c>
      <c r="J1993" s="635"/>
      <c r="K1993" s="389">
        <v>50.46</v>
      </c>
      <c r="L1993" s="536"/>
      <c r="M1993" s="509">
        <f t="shared" si="5808"/>
        <v>0.99088386841062226</v>
      </c>
      <c r="N1993" s="646"/>
      <c r="O1993" s="626"/>
      <c r="P1993" s="629"/>
      <c r="Q1993" s="629"/>
    </row>
    <row r="1994" spans="1:17" ht="15.75" hidden="1" thickBot="1">
      <c r="A1994" s="390" t="str">
        <f t="shared" ref="A1994:B1994" si="5823">A1991</f>
        <v>PHBV</v>
      </c>
      <c r="B1994" s="391" t="str">
        <f t="shared" si="5823"/>
        <v>film</v>
      </c>
      <c r="C1994" s="391">
        <f t="shared" ref="C1994" si="5824">C1993</f>
        <v>2</v>
      </c>
      <c r="D1994" s="391" t="str">
        <f t="shared" ref="D1994:E1994" si="5825">D1991</f>
        <v>0,01-0,1</v>
      </c>
      <c r="E1994" s="391">
        <f t="shared" si="5825"/>
        <v>0.1</v>
      </c>
      <c r="F1994" s="402" t="str">
        <f>F1991</f>
        <v>fresh water</v>
      </c>
      <c r="G1994" s="401" t="str">
        <f t="shared" ref="G1994" si="5826">G1993</f>
        <v>DE: PHBV film 0,01-0,1 mm (emission to fresh water)</v>
      </c>
      <c r="H1994" s="465">
        <v>0</v>
      </c>
      <c r="I1994" s="397" t="s">
        <v>1034</v>
      </c>
      <c r="J1994" s="654"/>
      <c r="K1994" s="398" t="s">
        <v>596</v>
      </c>
      <c r="L1994" s="538"/>
      <c r="M1994" s="509">
        <f t="shared" si="5808"/>
        <v>0</v>
      </c>
      <c r="N1994" s="647"/>
      <c r="O1994" s="627"/>
      <c r="P1994" s="629"/>
      <c r="Q1994" s="629"/>
    </row>
    <row r="1995" spans="1:17" ht="15.75" hidden="1" thickBot="1">
      <c r="A1995" s="390" t="str">
        <f t="shared" ref="A1995:B1995" si="5827">A1992</f>
        <v>PHBV</v>
      </c>
      <c r="B1995" s="391" t="str">
        <f t="shared" si="5827"/>
        <v>film</v>
      </c>
      <c r="C1995" s="391">
        <f t="shared" ref="C1995" si="5828">C1994</f>
        <v>2</v>
      </c>
      <c r="D1995" s="391" t="str">
        <f t="shared" ref="D1995:E1995" si="5829">D1992</f>
        <v>0,01-0,1</v>
      </c>
      <c r="E1995" s="391">
        <f t="shared" si="5829"/>
        <v>0.1</v>
      </c>
      <c r="F1995" s="385" t="s">
        <v>1097</v>
      </c>
      <c r="G1995" s="422" t="str">
        <f>CONCATENATE("DE: ",A1995," ",B1995," ",D1995," mm (emission to ",F1995,")")</f>
        <v>DE: PHBV film 0,01-0,1 mm (emission to marine water)</v>
      </c>
      <c r="H1995" s="467">
        <v>0</v>
      </c>
      <c r="I1995" s="388" t="s">
        <v>1019</v>
      </c>
      <c r="J1995" s="634">
        <v>0.22800000000000001</v>
      </c>
      <c r="K1995" s="389">
        <v>50.46</v>
      </c>
      <c r="L1995" s="536"/>
      <c r="M1995" s="509">
        <f t="shared" si="5808"/>
        <v>0.99088386841062226</v>
      </c>
      <c r="N1995" s="645">
        <f t="shared" ref="N1995" si="5830">IFERROR(H1995*M1995+H1996*M1996+H1997*M1997+H1998*M1998+H1999*M1999,"N.A.")</f>
        <v>0.99088386841062226</v>
      </c>
      <c r="O1995" s="625"/>
      <c r="P1995" s="628">
        <f t="shared" si="5696"/>
        <v>0.99088386841062226</v>
      </c>
      <c r="Q1995" s="628">
        <f t="shared" si="5810"/>
        <v>0.99088386841062226</v>
      </c>
    </row>
    <row r="1996" spans="1:17" ht="15.75" hidden="1" thickBot="1">
      <c r="A1996" s="390" t="str">
        <f t="shared" ref="A1996:B1996" si="5831">A1993</f>
        <v>PHBV</v>
      </c>
      <c r="B1996" s="391" t="str">
        <f t="shared" si="5831"/>
        <v>film</v>
      </c>
      <c r="C1996" s="391">
        <f t="shared" ref="C1996" si="5832">C1995</f>
        <v>2</v>
      </c>
      <c r="D1996" s="391" t="str">
        <f t="shared" ref="D1996:E1996" si="5833">D1993</f>
        <v>0,01-0,1</v>
      </c>
      <c r="E1996" s="391">
        <f t="shared" si="5833"/>
        <v>0.1</v>
      </c>
      <c r="F1996" s="391" t="str">
        <f t="shared" ref="F1996:G1996" si="5834">F1995</f>
        <v>marine water</v>
      </c>
      <c r="G1996" s="401" t="str">
        <f t="shared" si="5834"/>
        <v>DE: PHBV film 0,01-0,1 mm (emission to marine water)</v>
      </c>
      <c r="H1996" s="465">
        <v>0</v>
      </c>
      <c r="I1996" s="394" t="s">
        <v>1097</v>
      </c>
      <c r="J1996" s="635"/>
      <c r="K1996" s="389">
        <v>416.77</v>
      </c>
      <c r="L1996" s="536"/>
      <c r="M1996" s="509">
        <f t="shared" si="5808"/>
        <v>0.1199702473786501</v>
      </c>
      <c r="N1996" s="646"/>
      <c r="O1996" s="626"/>
      <c r="P1996" s="629"/>
      <c r="Q1996" s="629"/>
    </row>
    <row r="1997" spans="1:17" ht="15.75" hidden="1" thickBot="1">
      <c r="A1997" s="390" t="str">
        <f t="shared" ref="A1997:B1997" si="5835">A1994</f>
        <v>PHBV</v>
      </c>
      <c r="B1997" s="391" t="str">
        <f t="shared" si="5835"/>
        <v>film</v>
      </c>
      <c r="C1997" s="391">
        <f t="shared" ref="C1997" si="5836">C1996</f>
        <v>2</v>
      </c>
      <c r="D1997" s="391" t="str">
        <f t="shared" ref="D1997:E1997" si="5837">D1994</f>
        <v>0,01-0,1</v>
      </c>
      <c r="E1997" s="391">
        <f t="shared" si="5837"/>
        <v>0.1</v>
      </c>
      <c r="F1997" s="391" t="str">
        <f t="shared" ref="F1997:G1997" si="5838">F1996</f>
        <v>marine water</v>
      </c>
      <c r="G1997" s="401" t="str">
        <f t="shared" si="5838"/>
        <v>DE: PHBV film 0,01-0,1 mm (emission to marine water)</v>
      </c>
      <c r="H1997" s="465">
        <v>0</v>
      </c>
      <c r="I1997" s="394" t="s">
        <v>1162</v>
      </c>
      <c r="J1997" s="635"/>
      <c r="K1997" s="389">
        <v>50.46</v>
      </c>
      <c r="L1997" s="536"/>
      <c r="M1997" s="509">
        <f t="shared" si="5808"/>
        <v>0.99088386841062226</v>
      </c>
      <c r="N1997" s="646"/>
      <c r="O1997" s="626"/>
      <c r="P1997" s="629"/>
      <c r="Q1997" s="629"/>
    </row>
    <row r="1998" spans="1:17" ht="15.75" hidden="1" thickBot="1">
      <c r="A1998" s="390" t="str">
        <f t="shared" ref="A1998:B1998" si="5839">A1995</f>
        <v>PHBV</v>
      </c>
      <c r="B1998" s="391" t="str">
        <f t="shared" si="5839"/>
        <v>film</v>
      </c>
      <c r="C1998" s="391">
        <f t="shared" ref="C1998" si="5840">C1997</f>
        <v>2</v>
      </c>
      <c r="D1998" s="391" t="str">
        <f t="shared" ref="D1998:E1998" si="5841">D1995</f>
        <v>0,01-0,1</v>
      </c>
      <c r="E1998" s="391">
        <f t="shared" si="5841"/>
        <v>0.1</v>
      </c>
      <c r="F1998" s="391" t="str">
        <f t="shared" ref="F1998:G1998" si="5842">F1997</f>
        <v>marine water</v>
      </c>
      <c r="G1998" s="401" t="str">
        <f t="shared" si="5842"/>
        <v>DE: PHBV film 0,01-0,1 mm (emission to marine water)</v>
      </c>
      <c r="H1998" s="465">
        <v>1</v>
      </c>
      <c r="I1998" s="394" t="s">
        <v>1163</v>
      </c>
      <c r="J1998" s="635"/>
      <c r="K1998" s="389">
        <v>50.46</v>
      </c>
      <c r="L1998" s="536"/>
      <c r="M1998" s="509">
        <f t="shared" si="5808"/>
        <v>0.99088386841062226</v>
      </c>
      <c r="N1998" s="646"/>
      <c r="O1998" s="626"/>
      <c r="P1998" s="629"/>
      <c r="Q1998" s="629"/>
    </row>
    <row r="1999" spans="1:17" ht="15.75" hidden="1" thickBot="1">
      <c r="A1999" s="390" t="str">
        <f t="shared" ref="A1999:B1999" si="5843">A1996</f>
        <v>PHBV</v>
      </c>
      <c r="B1999" s="391" t="str">
        <f t="shared" si="5843"/>
        <v>film</v>
      </c>
      <c r="C1999" s="391">
        <f t="shared" ref="C1999" si="5844">C1998</f>
        <v>2</v>
      </c>
      <c r="D1999" s="391" t="str">
        <f t="shared" ref="D1999:E1999" si="5845">D1996</f>
        <v>0,01-0,1</v>
      </c>
      <c r="E1999" s="391">
        <f t="shared" si="5845"/>
        <v>0.1</v>
      </c>
      <c r="F1999" s="391" t="str">
        <f t="shared" ref="F1999:G1999" si="5846">F1998</f>
        <v>marine water</v>
      </c>
      <c r="G1999" s="401" t="str">
        <f t="shared" si="5846"/>
        <v>DE: PHBV film 0,01-0,1 mm (emission to marine water)</v>
      </c>
      <c r="H1999" s="465">
        <v>0</v>
      </c>
      <c r="I1999" s="397" t="s">
        <v>1034</v>
      </c>
      <c r="J1999" s="654"/>
      <c r="K1999" s="398" t="s">
        <v>596</v>
      </c>
      <c r="L1999" s="538"/>
      <c r="M1999" s="509">
        <f t="shared" si="5808"/>
        <v>0</v>
      </c>
      <c r="N1999" s="647"/>
      <c r="O1999" s="627"/>
      <c r="P1999" s="629"/>
      <c r="Q1999" s="629"/>
    </row>
    <row r="2000" spans="1:17" ht="15.75" hidden="1" thickBot="1">
      <c r="A2000" s="390" t="str">
        <f t="shared" ref="A2000:B2000" si="5847">A1997</f>
        <v>PHBV</v>
      </c>
      <c r="B2000" s="391" t="str">
        <f t="shared" si="5847"/>
        <v>film</v>
      </c>
      <c r="C2000" s="391">
        <f t="shared" ref="C2000" si="5848">C1999</f>
        <v>2</v>
      </c>
      <c r="D2000" s="391" t="str">
        <f t="shared" ref="D2000:E2000" si="5849">D1997</f>
        <v>0,01-0,1</v>
      </c>
      <c r="E2000" s="391">
        <f t="shared" si="5849"/>
        <v>0.1</v>
      </c>
      <c r="F2000" s="400" t="s">
        <v>1057</v>
      </c>
      <c r="G2000" s="422" t="str">
        <f>CONCATENATE("DE: ",A2000," ",B2000," ",D2000," mm (emission to ",F2000,")")</f>
        <v>DE: PHBV film 0,01-0,1 mm (emission to air)</v>
      </c>
      <c r="H2000" s="467">
        <v>0.94799999999999995</v>
      </c>
      <c r="I2000" s="388" t="s">
        <v>1019</v>
      </c>
      <c r="J2000" s="634">
        <v>0.22800000000000001</v>
      </c>
      <c r="K2000" s="389">
        <v>50.46</v>
      </c>
      <c r="L2000" s="536"/>
      <c r="M2000" s="509">
        <f t="shared" si="5808"/>
        <v>0.99088386841062226</v>
      </c>
      <c r="N2000" s="645">
        <f t="shared" ref="N2000" si="5850">IFERROR(H2000*M2000+H2001*M2001+H2002*M2002+H2003*M2003+H2004*M2004,"N.A.")</f>
        <v>0.99088386841062215</v>
      </c>
      <c r="O2000" s="625"/>
      <c r="P2000" s="628">
        <f t="shared" si="5696"/>
        <v>0.99088386841062215</v>
      </c>
      <c r="Q2000" s="628">
        <f t="shared" si="5810"/>
        <v>0.99088386841062215</v>
      </c>
    </row>
    <row r="2001" spans="1:17" ht="15.75" hidden="1" thickBot="1">
      <c r="A2001" s="390" t="str">
        <f t="shared" ref="A2001:B2001" si="5851">A1998</f>
        <v>PHBV</v>
      </c>
      <c r="B2001" s="391" t="str">
        <f t="shared" si="5851"/>
        <v>film</v>
      </c>
      <c r="C2001" s="391">
        <f t="shared" ref="C2001" si="5852">C2000</f>
        <v>2</v>
      </c>
      <c r="D2001" s="391" t="str">
        <f t="shared" ref="D2001:E2001" si="5853">D1998</f>
        <v>0,01-0,1</v>
      </c>
      <c r="E2001" s="391">
        <f t="shared" si="5853"/>
        <v>0.1</v>
      </c>
      <c r="F2001" s="391" t="str">
        <f t="shared" ref="F2001:G2001" si="5854">F2000</f>
        <v>air</v>
      </c>
      <c r="G2001" s="401" t="str">
        <f t="shared" si="5854"/>
        <v>DE: PHBV film 0,01-0,1 mm (emission to air)</v>
      </c>
      <c r="H2001" s="465">
        <v>0</v>
      </c>
      <c r="I2001" s="394" t="s">
        <v>1097</v>
      </c>
      <c r="J2001" s="635"/>
      <c r="K2001" s="389">
        <v>416.77</v>
      </c>
      <c r="L2001" s="536"/>
      <c r="M2001" s="509">
        <f t="shared" si="5808"/>
        <v>0.1199702473786501</v>
      </c>
      <c r="N2001" s="646"/>
      <c r="O2001" s="626"/>
      <c r="P2001" s="629"/>
      <c r="Q2001" s="629"/>
    </row>
    <row r="2002" spans="1:17" ht="15.75" hidden="1" thickBot="1">
      <c r="A2002" s="390" t="str">
        <f t="shared" ref="A2002:B2002" si="5855">A1999</f>
        <v>PHBV</v>
      </c>
      <c r="B2002" s="391" t="str">
        <f t="shared" si="5855"/>
        <v>film</v>
      </c>
      <c r="C2002" s="391">
        <f t="shared" ref="C2002" si="5856">C2001</f>
        <v>2</v>
      </c>
      <c r="D2002" s="391" t="str">
        <f t="shared" ref="D2002:E2002" si="5857">D1999</f>
        <v>0,01-0,1</v>
      </c>
      <c r="E2002" s="391">
        <f t="shared" si="5857"/>
        <v>0.1</v>
      </c>
      <c r="F2002" s="391" t="str">
        <f t="shared" ref="F2002:G2002" si="5858">F2001</f>
        <v>air</v>
      </c>
      <c r="G2002" s="401" t="str">
        <f t="shared" si="5858"/>
        <v>DE: PHBV film 0,01-0,1 mm (emission to air)</v>
      </c>
      <c r="H2002" s="465">
        <v>4.7E-2</v>
      </c>
      <c r="I2002" s="394" t="s">
        <v>1162</v>
      </c>
      <c r="J2002" s="635"/>
      <c r="K2002" s="389">
        <v>50.46</v>
      </c>
      <c r="L2002" s="536"/>
      <c r="M2002" s="509">
        <f t="shared" si="5808"/>
        <v>0.99088386841062226</v>
      </c>
      <c r="N2002" s="646"/>
      <c r="O2002" s="626"/>
      <c r="P2002" s="629"/>
      <c r="Q2002" s="629"/>
    </row>
    <row r="2003" spans="1:17" ht="15.75" hidden="1" thickBot="1">
      <c r="A2003" s="390" t="str">
        <f t="shared" ref="A2003:B2003" si="5859">A2000</f>
        <v>PHBV</v>
      </c>
      <c r="B2003" s="391" t="str">
        <f t="shared" si="5859"/>
        <v>film</v>
      </c>
      <c r="C2003" s="391">
        <f t="shared" ref="C2003" si="5860">C2002</f>
        <v>2</v>
      </c>
      <c r="D2003" s="391" t="str">
        <f t="shared" ref="D2003:E2003" si="5861">D2000</f>
        <v>0,01-0,1</v>
      </c>
      <c r="E2003" s="391">
        <f t="shared" si="5861"/>
        <v>0.1</v>
      </c>
      <c r="F2003" s="391" t="str">
        <f t="shared" ref="F2003:G2003" si="5862">F2002</f>
        <v>air</v>
      </c>
      <c r="G2003" s="401" t="str">
        <f t="shared" si="5862"/>
        <v>DE: PHBV film 0,01-0,1 mm (emission to air)</v>
      </c>
      <c r="H2003" s="465">
        <v>5.0000000000000001E-3</v>
      </c>
      <c r="I2003" s="394" t="s">
        <v>1163</v>
      </c>
      <c r="J2003" s="635"/>
      <c r="K2003" s="389">
        <v>50.46</v>
      </c>
      <c r="L2003" s="536"/>
      <c r="M2003" s="509">
        <f t="shared" si="5808"/>
        <v>0.99088386841062226</v>
      </c>
      <c r="N2003" s="646"/>
      <c r="O2003" s="626"/>
      <c r="P2003" s="629"/>
      <c r="Q2003" s="629"/>
    </row>
    <row r="2004" spans="1:17" ht="15.75" hidden="1" thickBot="1">
      <c r="A2004" s="390" t="str">
        <f t="shared" ref="A2004:B2004" si="5863">A1999</f>
        <v>PHBV</v>
      </c>
      <c r="B2004" s="391" t="str">
        <f t="shared" si="5863"/>
        <v>film</v>
      </c>
      <c r="C2004" s="391">
        <f t="shared" ref="C2004" si="5864">C2003</f>
        <v>2</v>
      </c>
      <c r="D2004" s="391" t="str">
        <f t="shared" ref="D2004:E2004" si="5865">D1999</f>
        <v>0,01-0,1</v>
      </c>
      <c r="E2004" s="391">
        <f t="shared" si="5865"/>
        <v>0.1</v>
      </c>
      <c r="F2004" s="391" t="str">
        <f t="shared" ref="F2004:G2004" si="5866">F2003</f>
        <v>air</v>
      </c>
      <c r="G2004" s="401" t="str">
        <f t="shared" si="5866"/>
        <v>DE: PHBV film 0,01-0,1 mm (emission to air)</v>
      </c>
      <c r="H2004" s="471">
        <v>0</v>
      </c>
      <c r="I2004" s="422" t="s">
        <v>1034</v>
      </c>
      <c r="J2004" s="636"/>
      <c r="K2004" s="451" t="s">
        <v>596</v>
      </c>
      <c r="L2004" s="542"/>
      <c r="M2004" s="509">
        <f t="shared" si="5808"/>
        <v>0</v>
      </c>
      <c r="N2004" s="647"/>
      <c r="O2004" s="627"/>
      <c r="P2004" s="629"/>
      <c r="Q2004" s="629"/>
    </row>
    <row r="2005" spans="1:17" ht="15.75" hidden="1" thickBot="1">
      <c r="A2005" s="405" t="s">
        <v>19</v>
      </c>
      <c r="B2005" s="406" t="s">
        <v>996</v>
      </c>
      <c r="C2005" s="407">
        <f>IF(OR(B2005="Folie", B2005="Strips", B2005="Film",B2005="Flakes",B2005="Coupon"), 2,IF(OR(B2005="Fibers",B2005="Pellets"),4,IF(OR(B2005="Particles",B2005="Shreds",B2005="Powder",B2005="Fragments",B2005="Granules"),6,"")))</f>
        <v>2</v>
      </c>
      <c r="D2005" s="423" t="s">
        <v>1028</v>
      </c>
      <c r="E2005" s="408">
        <v>1</v>
      </c>
      <c r="F2005" s="424" t="s">
        <v>1019</v>
      </c>
      <c r="G2005" s="425" t="str">
        <f>CONCATENATE("DE: ",A2005," ",B2005," ",D2005," mm (emission to ",F2005,")")</f>
        <v>DE: PHBV film 0,1-1 mm (emission to soil)</v>
      </c>
      <c r="H2005" s="474">
        <v>0.97</v>
      </c>
      <c r="I2005" s="427" t="s">
        <v>1019</v>
      </c>
      <c r="J2005" s="632">
        <v>0.22800000000000001</v>
      </c>
      <c r="K2005" s="428">
        <v>50.46</v>
      </c>
      <c r="L2005" s="539"/>
      <c r="M2005" s="509">
        <f t="shared" si="5808"/>
        <v>9.9088386841062217</v>
      </c>
      <c r="N2005" s="645">
        <f t="shared" ref="N2005" si="5867">IFERROR(H2005*M2005+H2006*M2006+H2007*M2007+H2008*M2008+H2009*M2009,"N.A.")</f>
        <v>9.9088386841062217</v>
      </c>
      <c r="O2005" s="625"/>
      <c r="P2005" s="628">
        <f t="shared" si="5696"/>
        <v>9.9088386841062217</v>
      </c>
      <c r="Q2005" s="628">
        <f t="shared" si="5810"/>
        <v>9.9088386841062217</v>
      </c>
    </row>
    <row r="2006" spans="1:17" ht="15.75" hidden="1" thickBot="1">
      <c r="A2006" s="390" t="str">
        <f>A2005</f>
        <v>PHBV</v>
      </c>
      <c r="B2006" s="391" t="str">
        <f>B2005</f>
        <v>film</v>
      </c>
      <c r="C2006" s="391">
        <f t="shared" ref="C2006:G2006" si="5868">C2005</f>
        <v>2</v>
      </c>
      <c r="D2006" s="391" t="str">
        <f t="shared" si="5868"/>
        <v>0,1-1</v>
      </c>
      <c r="E2006" s="391">
        <f t="shared" si="5868"/>
        <v>1</v>
      </c>
      <c r="F2006" s="391" t="str">
        <f t="shared" si="5868"/>
        <v>soil</v>
      </c>
      <c r="G2006" s="392" t="str">
        <f t="shared" si="5868"/>
        <v>DE: PHBV film 0,1-1 mm (emission to soil)</v>
      </c>
      <c r="H2006" s="465">
        <v>0</v>
      </c>
      <c r="I2006" s="394" t="s">
        <v>1097</v>
      </c>
      <c r="J2006" s="632"/>
      <c r="K2006" s="395">
        <v>416.77</v>
      </c>
      <c r="L2006" s="537"/>
      <c r="M2006" s="509">
        <f t="shared" si="5808"/>
        <v>1.199702473786501</v>
      </c>
      <c r="N2006" s="646"/>
      <c r="O2006" s="626"/>
      <c r="P2006" s="629"/>
      <c r="Q2006" s="629"/>
    </row>
    <row r="2007" spans="1:17" ht="15.75" hidden="1" thickBot="1">
      <c r="A2007" s="390" t="str">
        <f t="shared" ref="A2007:G2007" si="5869">A2006</f>
        <v>PHBV</v>
      </c>
      <c r="B2007" s="391" t="str">
        <f t="shared" si="5869"/>
        <v>film</v>
      </c>
      <c r="C2007" s="391">
        <f t="shared" si="5869"/>
        <v>2</v>
      </c>
      <c r="D2007" s="391" t="str">
        <f t="shared" si="5869"/>
        <v>0,1-1</v>
      </c>
      <c r="E2007" s="391">
        <f t="shared" si="5869"/>
        <v>1</v>
      </c>
      <c r="F2007" s="391" t="str">
        <f t="shared" si="5869"/>
        <v>soil</v>
      </c>
      <c r="G2007" s="392" t="str">
        <f t="shared" si="5869"/>
        <v>DE: PHBV film 0,1-1 mm (emission to soil)</v>
      </c>
      <c r="H2007" s="465">
        <v>2.7E-2</v>
      </c>
      <c r="I2007" s="394" t="s">
        <v>1162</v>
      </c>
      <c r="J2007" s="632"/>
      <c r="K2007" s="395">
        <v>50.46</v>
      </c>
      <c r="L2007" s="537"/>
      <c r="M2007" s="509">
        <f t="shared" si="5808"/>
        <v>9.9088386841062217</v>
      </c>
      <c r="N2007" s="646"/>
      <c r="O2007" s="626"/>
      <c r="P2007" s="629"/>
      <c r="Q2007" s="629"/>
    </row>
    <row r="2008" spans="1:17" ht="15.75" hidden="1" thickBot="1">
      <c r="A2008" s="390" t="str">
        <f t="shared" ref="A2008:G2008" si="5870">A2007</f>
        <v>PHBV</v>
      </c>
      <c r="B2008" s="391" t="str">
        <f t="shared" si="5870"/>
        <v>film</v>
      </c>
      <c r="C2008" s="391">
        <f t="shared" si="5870"/>
        <v>2</v>
      </c>
      <c r="D2008" s="391" t="str">
        <f t="shared" si="5870"/>
        <v>0,1-1</v>
      </c>
      <c r="E2008" s="391">
        <f t="shared" si="5870"/>
        <v>1</v>
      </c>
      <c r="F2008" s="391" t="str">
        <f t="shared" si="5870"/>
        <v>soil</v>
      </c>
      <c r="G2008" s="392" t="str">
        <f t="shared" si="5870"/>
        <v>DE: PHBV film 0,1-1 mm (emission to soil)</v>
      </c>
      <c r="H2008" s="465">
        <v>3.0000000000000001E-3</v>
      </c>
      <c r="I2008" s="394" t="s">
        <v>1163</v>
      </c>
      <c r="J2008" s="632"/>
      <c r="K2008" s="395">
        <v>50.46</v>
      </c>
      <c r="L2008" s="537"/>
      <c r="M2008" s="509">
        <f t="shared" si="5808"/>
        <v>9.9088386841062217</v>
      </c>
      <c r="N2008" s="646"/>
      <c r="O2008" s="626"/>
      <c r="P2008" s="629"/>
      <c r="Q2008" s="629"/>
    </row>
    <row r="2009" spans="1:17" ht="15.75" hidden="1" thickBot="1">
      <c r="A2009" s="390" t="str">
        <f>A2006</f>
        <v>PHBV</v>
      </c>
      <c r="B2009" s="391" t="str">
        <f>B2006</f>
        <v>film</v>
      </c>
      <c r="C2009" s="391">
        <f t="shared" ref="C2009" si="5871">C2008</f>
        <v>2</v>
      </c>
      <c r="D2009" s="391" t="str">
        <f>D2006</f>
        <v>0,1-1</v>
      </c>
      <c r="E2009" s="391">
        <f>E2006</f>
        <v>1</v>
      </c>
      <c r="F2009" s="391" t="str">
        <f>F2006</f>
        <v>soil</v>
      </c>
      <c r="G2009" s="396" t="str">
        <f t="shared" ref="G2009" si="5872">G2008</f>
        <v>DE: PHBV film 0,1-1 mm (emission to soil)</v>
      </c>
      <c r="H2009" s="465">
        <v>0</v>
      </c>
      <c r="I2009" s="397" t="s">
        <v>1034</v>
      </c>
      <c r="J2009" s="633"/>
      <c r="K2009" s="398" t="s">
        <v>596</v>
      </c>
      <c r="L2009" s="538"/>
      <c r="M2009" s="509">
        <f t="shared" si="5808"/>
        <v>0</v>
      </c>
      <c r="N2009" s="647"/>
      <c r="O2009" s="627"/>
      <c r="P2009" s="629"/>
      <c r="Q2009" s="629"/>
    </row>
    <row r="2010" spans="1:17" ht="15.75" hidden="1" thickBot="1">
      <c r="A2010" s="390" t="str">
        <f t="shared" ref="A2010:B2010" si="5873">A2007</f>
        <v>PHBV</v>
      </c>
      <c r="B2010" s="391" t="str">
        <f t="shared" si="5873"/>
        <v>film</v>
      </c>
      <c r="C2010" s="391">
        <f t="shared" ref="C2010" si="5874">C2009</f>
        <v>2</v>
      </c>
      <c r="D2010" s="399" t="str">
        <f t="shared" ref="D2010:E2010" si="5875">D2007</f>
        <v>0,1-1</v>
      </c>
      <c r="E2010" s="391">
        <f t="shared" si="5875"/>
        <v>1</v>
      </c>
      <c r="F2010" s="400" t="s">
        <v>1147</v>
      </c>
      <c r="G2010" s="386" t="str">
        <f>CONCATENATE("DE: ",A2010," ",B2010," ",D2010," mm (emission to ",F2010,")")</f>
        <v>DE: PHBV film 0,1-1 mm (emission to fresh water)</v>
      </c>
      <c r="H2010" s="466">
        <v>0</v>
      </c>
      <c r="I2010" s="388" t="s">
        <v>1019</v>
      </c>
      <c r="J2010" s="634">
        <v>0.22800000000000001</v>
      </c>
      <c r="K2010" s="389">
        <v>50.46</v>
      </c>
      <c r="L2010" s="536"/>
      <c r="M2010" s="509">
        <f t="shared" si="5808"/>
        <v>9.9088386841062217</v>
      </c>
      <c r="N2010" s="645">
        <f t="shared" ref="N2010" si="5876">IFERROR(H2010*M2010+H2011*M2011+H2012*M2012+H2013*M2013+H2014*M2014,"N.A.")</f>
        <v>9.9088386841062217</v>
      </c>
      <c r="O2010" s="625"/>
      <c r="P2010" s="628">
        <f t="shared" si="5696"/>
        <v>9.9088386841062217</v>
      </c>
      <c r="Q2010" s="628">
        <f t="shared" si="5810"/>
        <v>9.9088386841062217</v>
      </c>
    </row>
    <row r="2011" spans="1:17" ht="15.75" hidden="1" thickBot="1">
      <c r="A2011" s="390" t="str">
        <f t="shared" ref="A2011:B2011" si="5877">A2008</f>
        <v>PHBV</v>
      </c>
      <c r="B2011" s="391" t="str">
        <f t="shared" si="5877"/>
        <v>film</v>
      </c>
      <c r="C2011" s="391">
        <f t="shared" ref="C2011" si="5878">C2010</f>
        <v>2</v>
      </c>
      <c r="D2011" s="391" t="str">
        <f t="shared" ref="D2011:E2011" si="5879">D2008</f>
        <v>0,1-1</v>
      </c>
      <c r="E2011" s="391">
        <f t="shared" si="5879"/>
        <v>1</v>
      </c>
      <c r="F2011" s="391" t="str">
        <f t="shared" ref="F2011:G2011" si="5880">F2010</f>
        <v>fresh water</v>
      </c>
      <c r="G2011" s="401" t="str">
        <f t="shared" si="5880"/>
        <v>DE: PHBV film 0,1-1 mm (emission to fresh water)</v>
      </c>
      <c r="H2011" s="465">
        <v>0</v>
      </c>
      <c r="I2011" s="394" t="s">
        <v>1097</v>
      </c>
      <c r="J2011" s="635"/>
      <c r="K2011" s="389">
        <v>416.77</v>
      </c>
      <c r="L2011" s="536"/>
      <c r="M2011" s="509">
        <f t="shared" si="5808"/>
        <v>1.199702473786501</v>
      </c>
      <c r="N2011" s="646"/>
      <c r="O2011" s="626"/>
      <c r="P2011" s="629"/>
      <c r="Q2011" s="629"/>
    </row>
    <row r="2012" spans="1:17" ht="15.75" hidden="1" thickBot="1">
      <c r="A2012" s="390" t="str">
        <f t="shared" ref="A2012:B2012" si="5881">A2009</f>
        <v>PHBV</v>
      </c>
      <c r="B2012" s="391" t="str">
        <f t="shared" si="5881"/>
        <v>film</v>
      </c>
      <c r="C2012" s="391">
        <f t="shared" ref="C2012" si="5882">C2011</f>
        <v>2</v>
      </c>
      <c r="D2012" s="391" t="str">
        <f t="shared" ref="D2012:E2012" si="5883">D2009</f>
        <v>0,1-1</v>
      </c>
      <c r="E2012" s="391">
        <f t="shared" si="5883"/>
        <v>1</v>
      </c>
      <c r="F2012" s="391" t="str">
        <f t="shared" ref="F2012:G2012" si="5884">F2011</f>
        <v>fresh water</v>
      </c>
      <c r="G2012" s="401" t="str">
        <f t="shared" si="5884"/>
        <v>DE: PHBV film 0,1-1 mm (emission to fresh water)</v>
      </c>
      <c r="H2012" s="465">
        <v>0.89</v>
      </c>
      <c r="I2012" s="394" t="s">
        <v>1162</v>
      </c>
      <c r="J2012" s="635"/>
      <c r="K2012" s="389">
        <v>50.46</v>
      </c>
      <c r="L2012" s="536"/>
      <c r="M2012" s="509">
        <f t="shared" si="5808"/>
        <v>9.9088386841062217</v>
      </c>
      <c r="N2012" s="646"/>
      <c r="O2012" s="626"/>
      <c r="P2012" s="629"/>
      <c r="Q2012" s="629"/>
    </row>
    <row r="2013" spans="1:17" ht="15.75" hidden="1" thickBot="1">
      <c r="A2013" s="390" t="str">
        <f t="shared" ref="A2013:B2013" si="5885">A2010</f>
        <v>PHBV</v>
      </c>
      <c r="B2013" s="391" t="str">
        <f t="shared" si="5885"/>
        <v>film</v>
      </c>
      <c r="C2013" s="391">
        <f t="shared" ref="C2013" si="5886">C2012</f>
        <v>2</v>
      </c>
      <c r="D2013" s="391" t="str">
        <f t="shared" ref="D2013:E2013" si="5887">D2010</f>
        <v>0,1-1</v>
      </c>
      <c r="E2013" s="391">
        <f t="shared" si="5887"/>
        <v>1</v>
      </c>
      <c r="F2013" s="391" t="str">
        <f t="shared" ref="F2013:G2013" si="5888">F2012</f>
        <v>fresh water</v>
      </c>
      <c r="G2013" s="401" t="str">
        <f t="shared" si="5888"/>
        <v>DE: PHBV film 0,1-1 mm (emission to fresh water)</v>
      </c>
      <c r="H2013" s="465">
        <v>0.11</v>
      </c>
      <c r="I2013" s="394" t="s">
        <v>1163</v>
      </c>
      <c r="J2013" s="635"/>
      <c r="K2013" s="389">
        <v>50.46</v>
      </c>
      <c r="L2013" s="536"/>
      <c r="M2013" s="509">
        <f t="shared" si="5808"/>
        <v>9.9088386841062217</v>
      </c>
      <c r="N2013" s="646"/>
      <c r="O2013" s="626"/>
      <c r="P2013" s="629"/>
      <c r="Q2013" s="629"/>
    </row>
    <row r="2014" spans="1:17" ht="15.75" hidden="1" thickBot="1">
      <c r="A2014" s="390" t="str">
        <f t="shared" ref="A2014:B2014" si="5889">A2011</f>
        <v>PHBV</v>
      </c>
      <c r="B2014" s="391" t="str">
        <f t="shared" si="5889"/>
        <v>film</v>
      </c>
      <c r="C2014" s="391">
        <f t="shared" ref="C2014" si="5890">C2013</f>
        <v>2</v>
      </c>
      <c r="D2014" s="391" t="str">
        <f t="shared" ref="D2014:E2014" si="5891">D2011</f>
        <v>0,1-1</v>
      </c>
      <c r="E2014" s="391">
        <f t="shared" si="5891"/>
        <v>1</v>
      </c>
      <c r="F2014" s="402" t="str">
        <f>F2011</f>
        <v>fresh water</v>
      </c>
      <c r="G2014" s="401" t="str">
        <f t="shared" ref="G2014" si="5892">G2013</f>
        <v>DE: PHBV film 0,1-1 mm (emission to fresh water)</v>
      </c>
      <c r="H2014" s="465">
        <v>0</v>
      </c>
      <c r="I2014" s="397" t="s">
        <v>1034</v>
      </c>
      <c r="J2014" s="654"/>
      <c r="K2014" s="398" t="s">
        <v>596</v>
      </c>
      <c r="L2014" s="538"/>
      <c r="M2014" s="509">
        <f t="shared" si="5808"/>
        <v>0</v>
      </c>
      <c r="N2014" s="647"/>
      <c r="O2014" s="627"/>
      <c r="P2014" s="629"/>
      <c r="Q2014" s="629"/>
    </row>
    <row r="2015" spans="1:17" ht="15.75" hidden="1" thickBot="1">
      <c r="A2015" s="390" t="str">
        <f t="shared" ref="A2015:B2015" si="5893">A2012</f>
        <v>PHBV</v>
      </c>
      <c r="B2015" s="391" t="str">
        <f t="shared" si="5893"/>
        <v>film</v>
      </c>
      <c r="C2015" s="391">
        <f t="shared" ref="C2015" si="5894">C2014</f>
        <v>2</v>
      </c>
      <c r="D2015" s="391" t="str">
        <f t="shared" ref="D2015:E2015" si="5895">D2012</f>
        <v>0,1-1</v>
      </c>
      <c r="E2015" s="391">
        <f t="shared" si="5895"/>
        <v>1</v>
      </c>
      <c r="F2015" s="385" t="s">
        <v>1097</v>
      </c>
      <c r="G2015" s="422" t="str">
        <f>CONCATENATE("DE: ",A2015," ",B2015," ",D2015," mm (emission to ",F2015,")")</f>
        <v>DE: PHBV film 0,1-1 mm (emission to marine water)</v>
      </c>
      <c r="H2015" s="467">
        <v>0</v>
      </c>
      <c r="I2015" s="388" t="s">
        <v>1019</v>
      </c>
      <c r="J2015" s="634">
        <v>0.22800000000000001</v>
      </c>
      <c r="K2015" s="389">
        <v>50.46</v>
      </c>
      <c r="L2015" s="536"/>
      <c r="M2015" s="509">
        <f t="shared" si="5808"/>
        <v>9.9088386841062217</v>
      </c>
      <c r="N2015" s="645">
        <f t="shared" ref="N2015" si="5896">IFERROR(H2015*M2015+H2016*M2016+H2017*M2017+H2018*M2018+H2019*M2019,"N.A.")</f>
        <v>9.9088386841062217</v>
      </c>
      <c r="O2015" s="625"/>
      <c r="P2015" s="628">
        <f t="shared" si="5696"/>
        <v>9.9088386841062217</v>
      </c>
      <c r="Q2015" s="628">
        <f t="shared" si="5810"/>
        <v>9.9088386841062217</v>
      </c>
    </row>
    <row r="2016" spans="1:17" ht="15.75" hidden="1" thickBot="1">
      <c r="A2016" s="390" t="str">
        <f t="shared" ref="A2016:B2016" si="5897">A2013</f>
        <v>PHBV</v>
      </c>
      <c r="B2016" s="391" t="str">
        <f t="shared" si="5897"/>
        <v>film</v>
      </c>
      <c r="C2016" s="391">
        <f t="shared" ref="C2016" si="5898">C2015</f>
        <v>2</v>
      </c>
      <c r="D2016" s="391" t="str">
        <f t="shared" ref="D2016:E2016" si="5899">D2013</f>
        <v>0,1-1</v>
      </c>
      <c r="E2016" s="391">
        <f t="shared" si="5899"/>
        <v>1</v>
      </c>
      <c r="F2016" s="391" t="str">
        <f t="shared" ref="F2016:G2016" si="5900">F2015</f>
        <v>marine water</v>
      </c>
      <c r="G2016" s="401" t="str">
        <f t="shared" si="5900"/>
        <v>DE: PHBV film 0,1-1 mm (emission to marine water)</v>
      </c>
      <c r="H2016" s="465">
        <v>0</v>
      </c>
      <c r="I2016" s="394" t="s">
        <v>1097</v>
      </c>
      <c r="J2016" s="635"/>
      <c r="K2016" s="389">
        <v>416.77</v>
      </c>
      <c r="L2016" s="536"/>
      <c r="M2016" s="509">
        <f t="shared" si="5808"/>
        <v>1.199702473786501</v>
      </c>
      <c r="N2016" s="646"/>
      <c r="O2016" s="626"/>
      <c r="P2016" s="629"/>
      <c r="Q2016" s="629"/>
    </row>
    <row r="2017" spans="1:17" ht="15.75" hidden="1" thickBot="1">
      <c r="A2017" s="390" t="str">
        <f t="shared" ref="A2017:B2017" si="5901">A2014</f>
        <v>PHBV</v>
      </c>
      <c r="B2017" s="391" t="str">
        <f t="shared" si="5901"/>
        <v>film</v>
      </c>
      <c r="C2017" s="391">
        <f t="shared" ref="C2017" si="5902">C2016</f>
        <v>2</v>
      </c>
      <c r="D2017" s="391" t="str">
        <f t="shared" ref="D2017:E2017" si="5903">D2014</f>
        <v>0,1-1</v>
      </c>
      <c r="E2017" s="391">
        <f t="shared" si="5903"/>
        <v>1</v>
      </c>
      <c r="F2017" s="391" t="str">
        <f t="shared" ref="F2017:G2017" si="5904">F2016</f>
        <v>marine water</v>
      </c>
      <c r="G2017" s="401" t="str">
        <f t="shared" si="5904"/>
        <v>DE: PHBV film 0,1-1 mm (emission to marine water)</v>
      </c>
      <c r="H2017" s="465">
        <v>0</v>
      </c>
      <c r="I2017" s="394" t="s">
        <v>1162</v>
      </c>
      <c r="J2017" s="635"/>
      <c r="K2017" s="389">
        <v>50.46</v>
      </c>
      <c r="L2017" s="536"/>
      <c r="M2017" s="509">
        <f t="shared" si="5808"/>
        <v>9.9088386841062217</v>
      </c>
      <c r="N2017" s="646"/>
      <c r="O2017" s="626"/>
      <c r="P2017" s="629"/>
      <c r="Q2017" s="629"/>
    </row>
    <row r="2018" spans="1:17" ht="15.75" hidden="1" thickBot="1">
      <c r="A2018" s="390" t="str">
        <f t="shared" ref="A2018:B2018" si="5905">A2015</f>
        <v>PHBV</v>
      </c>
      <c r="B2018" s="391" t="str">
        <f t="shared" si="5905"/>
        <v>film</v>
      </c>
      <c r="C2018" s="391">
        <f t="shared" ref="C2018" si="5906">C2017</f>
        <v>2</v>
      </c>
      <c r="D2018" s="391" t="str">
        <f t="shared" ref="D2018:E2018" si="5907">D2015</f>
        <v>0,1-1</v>
      </c>
      <c r="E2018" s="391">
        <f t="shared" si="5907"/>
        <v>1</v>
      </c>
      <c r="F2018" s="391" t="str">
        <f t="shared" ref="F2018:G2018" si="5908">F2017</f>
        <v>marine water</v>
      </c>
      <c r="G2018" s="401" t="str">
        <f t="shared" si="5908"/>
        <v>DE: PHBV film 0,1-1 mm (emission to marine water)</v>
      </c>
      <c r="H2018" s="465">
        <v>1</v>
      </c>
      <c r="I2018" s="394" t="s">
        <v>1163</v>
      </c>
      <c r="J2018" s="635"/>
      <c r="K2018" s="389">
        <v>50.46</v>
      </c>
      <c r="L2018" s="536"/>
      <c r="M2018" s="509">
        <f t="shared" si="5808"/>
        <v>9.9088386841062217</v>
      </c>
      <c r="N2018" s="646"/>
      <c r="O2018" s="626"/>
      <c r="P2018" s="629"/>
      <c r="Q2018" s="629"/>
    </row>
    <row r="2019" spans="1:17" ht="15.75" hidden="1" thickBot="1">
      <c r="A2019" s="390" t="str">
        <f t="shared" ref="A2019:B2019" si="5909">A2016</f>
        <v>PHBV</v>
      </c>
      <c r="B2019" s="391" t="str">
        <f t="shared" si="5909"/>
        <v>film</v>
      </c>
      <c r="C2019" s="391">
        <f t="shared" ref="C2019" si="5910">C2018</f>
        <v>2</v>
      </c>
      <c r="D2019" s="391" t="str">
        <f t="shared" ref="D2019:E2019" si="5911">D2016</f>
        <v>0,1-1</v>
      </c>
      <c r="E2019" s="391">
        <f t="shared" si="5911"/>
        <v>1</v>
      </c>
      <c r="F2019" s="391" t="str">
        <f t="shared" ref="F2019:G2019" si="5912">F2018</f>
        <v>marine water</v>
      </c>
      <c r="G2019" s="401" t="str">
        <f t="shared" si="5912"/>
        <v>DE: PHBV film 0,1-1 mm (emission to marine water)</v>
      </c>
      <c r="H2019" s="465">
        <v>0</v>
      </c>
      <c r="I2019" s="397" t="s">
        <v>1034</v>
      </c>
      <c r="J2019" s="654"/>
      <c r="K2019" s="398" t="s">
        <v>596</v>
      </c>
      <c r="L2019" s="538"/>
      <c r="M2019" s="509">
        <f t="shared" si="5808"/>
        <v>0</v>
      </c>
      <c r="N2019" s="647"/>
      <c r="O2019" s="627"/>
      <c r="P2019" s="629"/>
      <c r="Q2019" s="629"/>
    </row>
    <row r="2020" spans="1:17" ht="15.75" hidden="1" thickBot="1">
      <c r="A2020" s="390" t="str">
        <f t="shared" ref="A2020:B2020" si="5913">A2017</f>
        <v>PHBV</v>
      </c>
      <c r="B2020" s="391" t="str">
        <f t="shared" si="5913"/>
        <v>film</v>
      </c>
      <c r="C2020" s="391">
        <f t="shared" ref="C2020" si="5914">C2019</f>
        <v>2</v>
      </c>
      <c r="D2020" s="391" t="str">
        <f t="shared" ref="D2020:E2020" si="5915">D2017</f>
        <v>0,1-1</v>
      </c>
      <c r="E2020" s="391">
        <f t="shared" si="5915"/>
        <v>1</v>
      </c>
      <c r="F2020" s="400" t="s">
        <v>1057</v>
      </c>
      <c r="G2020" s="422" t="str">
        <f>CONCATENATE("DE: ",A2020," ",B2020," ",D2020," mm (emission to ",F2020,")")</f>
        <v>DE: PHBV film 0,1-1 mm (emission to air)</v>
      </c>
      <c r="H2020" s="467">
        <v>0.94799999999999995</v>
      </c>
      <c r="I2020" s="388" t="s">
        <v>1019</v>
      </c>
      <c r="J2020" s="634">
        <v>0.22800000000000001</v>
      </c>
      <c r="K2020" s="389">
        <v>50.46</v>
      </c>
      <c r="L2020" s="536"/>
      <c r="M2020" s="509">
        <f t="shared" si="5808"/>
        <v>9.9088386841062217</v>
      </c>
      <c r="N2020" s="645">
        <f t="shared" ref="N2020" si="5916">IFERROR(H2020*M2020+H2021*M2021+H2022*M2022+H2023*M2023+H2024*M2024,"N.A.")</f>
        <v>9.9088386841062199</v>
      </c>
      <c r="O2020" s="625"/>
      <c r="P2020" s="628">
        <f t="shared" ref="P2020:P2080" si="5917">IFERROR(IF(H2020*M2020+H2021*M2021+H2022*M2022+H2023*M2023+H2024*M2024&gt;100,100,H2020*M2020+H2021*M2021+H2022*M2022+H2023*M2023+H2024*M2024),"N.A.")</f>
        <v>9.9088386841062199</v>
      </c>
      <c r="Q2020" s="628">
        <f t="shared" si="5810"/>
        <v>9.9088386841062199</v>
      </c>
    </row>
    <row r="2021" spans="1:17" ht="15.75" hidden="1" thickBot="1">
      <c r="A2021" s="390" t="str">
        <f t="shared" ref="A2021:B2021" si="5918">A2018</f>
        <v>PHBV</v>
      </c>
      <c r="B2021" s="391" t="str">
        <f t="shared" si="5918"/>
        <v>film</v>
      </c>
      <c r="C2021" s="391">
        <f t="shared" ref="C2021" si="5919">C2020</f>
        <v>2</v>
      </c>
      <c r="D2021" s="391" t="str">
        <f t="shared" ref="D2021:E2021" si="5920">D2018</f>
        <v>0,1-1</v>
      </c>
      <c r="E2021" s="391">
        <f t="shared" si="5920"/>
        <v>1</v>
      </c>
      <c r="F2021" s="391" t="str">
        <f t="shared" ref="F2021:G2021" si="5921">F2020</f>
        <v>air</v>
      </c>
      <c r="G2021" s="401" t="str">
        <f t="shared" si="5921"/>
        <v>DE: PHBV film 0,1-1 mm (emission to air)</v>
      </c>
      <c r="H2021" s="465">
        <v>0</v>
      </c>
      <c r="I2021" s="394" t="s">
        <v>1097</v>
      </c>
      <c r="J2021" s="635"/>
      <c r="K2021" s="389">
        <v>416.77</v>
      </c>
      <c r="L2021" s="536"/>
      <c r="M2021" s="509">
        <f t="shared" si="5808"/>
        <v>1.199702473786501</v>
      </c>
      <c r="N2021" s="646"/>
      <c r="O2021" s="626"/>
      <c r="P2021" s="629"/>
      <c r="Q2021" s="629"/>
    </row>
    <row r="2022" spans="1:17" ht="15.75" hidden="1" thickBot="1">
      <c r="A2022" s="390" t="str">
        <f t="shared" ref="A2022:B2022" si="5922">A2019</f>
        <v>PHBV</v>
      </c>
      <c r="B2022" s="391" t="str">
        <f t="shared" si="5922"/>
        <v>film</v>
      </c>
      <c r="C2022" s="391">
        <f t="shared" ref="C2022" si="5923">C2021</f>
        <v>2</v>
      </c>
      <c r="D2022" s="391" t="str">
        <f t="shared" ref="D2022:E2022" si="5924">D2019</f>
        <v>0,1-1</v>
      </c>
      <c r="E2022" s="391">
        <f t="shared" si="5924"/>
        <v>1</v>
      </c>
      <c r="F2022" s="391" t="str">
        <f t="shared" ref="F2022:G2022" si="5925">F2021</f>
        <v>air</v>
      </c>
      <c r="G2022" s="401" t="str">
        <f t="shared" si="5925"/>
        <v>DE: PHBV film 0,1-1 mm (emission to air)</v>
      </c>
      <c r="H2022" s="465">
        <v>4.7E-2</v>
      </c>
      <c r="I2022" s="394" t="s">
        <v>1162</v>
      </c>
      <c r="J2022" s="635"/>
      <c r="K2022" s="389">
        <v>50.46</v>
      </c>
      <c r="L2022" s="536"/>
      <c r="M2022" s="509">
        <f t="shared" si="5808"/>
        <v>9.9088386841062217</v>
      </c>
      <c r="N2022" s="646"/>
      <c r="O2022" s="626"/>
      <c r="P2022" s="629"/>
      <c r="Q2022" s="629"/>
    </row>
    <row r="2023" spans="1:17" ht="15.75" hidden="1" thickBot="1">
      <c r="A2023" s="390" t="str">
        <f t="shared" ref="A2023:B2023" si="5926">A2020</f>
        <v>PHBV</v>
      </c>
      <c r="B2023" s="391" t="str">
        <f t="shared" si="5926"/>
        <v>film</v>
      </c>
      <c r="C2023" s="391">
        <f t="shared" ref="C2023" si="5927">C2022</f>
        <v>2</v>
      </c>
      <c r="D2023" s="391" t="str">
        <f t="shared" ref="D2023:E2023" si="5928">D2020</f>
        <v>0,1-1</v>
      </c>
      <c r="E2023" s="391">
        <f t="shared" si="5928"/>
        <v>1</v>
      </c>
      <c r="F2023" s="391" t="str">
        <f t="shared" ref="F2023:G2023" si="5929">F2022</f>
        <v>air</v>
      </c>
      <c r="G2023" s="401" t="str">
        <f t="shared" si="5929"/>
        <v>DE: PHBV film 0,1-1 mm (emission to air)</v>
      </c>
      <c r="H2023" s="465">
        <v>5.0000000000000001E-3</v>
      </c>
      <c r="I2023" s="394" t="s">
        <v>1163</v>
      </c>
      <c r="J2023" s="635"/>
      <c r="K2023" s="389">
        <v>50.46</v>
      </c>
      <c r="L2023" s="536"/>
      <c r="M2023" s="509">
        <f t="shared" si="5808"/>
        <v>9.9088386841062217</v>
      </c>
      <c r="N2023" s="646"/>
      <c r="O2023" s="626"/>
      <c r="P2023" s="629"/>
      <c r="Q2023" s="629"/>
    </row>
    <row r="2024" spans="1:17" ht="15.75" hidden="1" thickBot="1">
      <c r="A2024" s="452" t="str">
        <f t="shared" ref="A2024:B2024" si="5930">A2019</f>
        <v>PHBV</v>
      </c>
      <c r="B2024" s="453" t="str">
        <f t="shared" si="5930"/>
        <v>film</v>
      </c>
      <c r="C2024" s="453">
        <f t="shared" ref="C2024" si="5931">C2023</f>
        <v>2</v>
      </c>
      <c r="D2024" s="453" t="str">
        <f t="shared" ref="D2024:E2024" si="5932">D2019</f>
        <v>0,1-1</v>
      </c>
      <c r="E2024" s="453">
        <f t="shared" si="5932"/>
        <v>1</v>
      </c>
      <c r="F2024" s="453" t="str">
        <f t="shared" ref="F2024:G2024" si="5933">F2023</f>
        <v>air</v>
      </c>
      <c r="G2024" s="454" t="str">
        <f t="shared" si="5933"/>
        <v>DE: PHBV film 0,1-1 mm (emission to air)</v>
      </c>
      <c r="H2024" s="473">
        <v>0</v>
      </c>
      <c r="I2024" s="456" t="s">
        <v>1034</v>
      </c>
      <c r="J2024" s="636"/>
      <c r="K2024" s="457" t="s">
        <v>596</v>
      </c>
      <c r="L2024" s="543"/>
      <c r="M2024" s="509">
        <f t="shared" si="5808"/>
        <v>0</v>
      </c>
      <c r="N2024" s="647"/>
      <c r="O2024" s="627"/>
      <c r="P2024" s="629"/>
      <c r="Q2024" s="629"/>
    </row>
    <row r="2025" spans="1:17" ht="15.75" hidden="1" thickBot="1">
      <c r="A2025" s="405" t="s">
        <v>19</v>
      </c>
      <c r="B2025" s="382" t="s">
        <v>996</v>
      </c>
      <c r="C2025" s="383">
        <f>IF(OR(B2025="Folie", B2025="Strips", B2025="Film",B2025="Flakes",B2025="Coupon"), 2,IF(OR(B2025="Fibers",B2025="Pellets"),4,IF(OR(B2025="Particles",B2025="Shreds",B2025="Powder",B2025="Fragments",B2025="Granules"),6,"")))</f>
        <v>2</v>
      </c>
      <c r="D2025" s="475" t="s">
        <v>1026</v>
      </c>
      <c r="E2025" s="384">
        <v>10</v>
      </c>
      <c r="F2025" s="385" t="s">
        <v>1019</v>
      </c>
      <c r="G2025" s="386" t="str">
        <f>CONCATENATE("DE: ",A2025," ",B2025," ",D2025," mm (emission to ",F2025,")")</f>
        <v>DE: PHBV film 1-10 mm (emission to soil)</v>
      </c>
      <c r="H2025" s="466">
        <v>0.97</v>
      </c>
      <c r="I2025" s="388" t="s">
        <v>1019</v>
      </c>
      <c r="J2025" s="632">
        <v>0.22800000000000001</v>
      </c>
      <c r="K2025" s="389">
        <v>50.46</v>
      </c>
      <c r="L2025" s="536"/>
      <c r="M2025" s="509">
        <f t="shared" si="5808"/>
        <v>99.088386841062231</v>
      </c>
      <c r="N2025" s="645">
        <f t="shared" ref="N2025" si="5934">IFERROR(H2025*M2025+H2026*M2026+H2027*M2027+H2028*M2028+H2029*M2029,"N.A.")</f>
        <v>99.088386841062217</v>
      </c>
      <c r="O2025" s="625"/>
      <c r="P2025" s="628">
        <f t="shared" si="5917"/>
        <v>99.088386841062217</v>
      </c>
      <c r="Q2025" s="628">
        <f t="shared" si="5810"/>
        <v>99.088386841062217</v>
      </c>
    </row>
    <row r="2026" spans="1:17" ht="15.75" hidden="1" thickBot="1">
      <c r="A2026" s="390" t="str">
        <f>A2025</f>
        <v>PHBV</v>
      </c>
      <c r="B2026" s="391" t="str">
        <f>B2025</f>
        <v>film</v>
      </c>
      <c r="C2026" s="391">
        <f t="shared" ref="C2026:G2026" si="5935">C2025</f>
        <v>2</v>
      </c>
      <c r="D2026" s="391" t="str">
        <f t="shared" si="5935"/>
        <v>1-10</v>
      </c>
      <c r="E2026" s="391">
        <f t="shared" si="5935"/>
        <v>10</v>
      </c>
      <c r="F2026" s="391" t="str">
        <f t="shared" si="5935"/>
        <v>soil</v>
      </c>
      <c r="G2026" s="392" t="str">
        <f t="shared" si="5935"/>
        <v>DE: PHBV film 1-10 mm (emission to soil)</v>
      </c>
      <c r="H2026" s="465">
        <v>0</v>
      </c>
      <c r="I2026" s="394" t="s">
        <v>1097</v>
      </c>
      <c r="J2026" s="632"/>
      <c r="K2026" s="395">
        <v>416.77</v>
      </c>
      <c r="L2026" s="537"/>
      <c r="M2026" s="509">
        <f t="shared" si="5808"/>
        <v>11.99702473786501</v>
      </c>
      <c r="N2026" s="646"/>
      <c r="O2026" s="626"/>
      <c r="P2026" s="629"/>
      <c r="Q2026" s="629"/>
    </row>
    <row r="2027" spans="1:17" ht="15.75" hidden="1" thickBot="1">
      <c r="A2027" s="390" t="str">
        <f t="shared" ref="A2027:G2027" si="5936">A2026</f>
        <v>PHBV</v>
      </c>
      <c r="B2027" s="391" t="str">
        <f t="shared" si="5936"/>
        <v>film</v>
      </c>
      <c r="C2027" s="391">
        <f t="shared" si="5936"/>
        <v>2</v>
      </c>
      <c r="D2027" s="391" t="str">
        <f t="shared" si="5936"/>
        <v>1-10</v>
      </c>
      <c r="E2027" s="391">
        <f t="shared" si="5936"/>
        <v>10</v>
      </c>
      <c r="F2027" s="391" t="str">
        <f t="shared" si="5936"/>
        <v>soil</v>
      </c>
      <c r="G2027" s="392" t="str">
        <f t="shared" si="5936"/>
        <v>DE: PHBV film 1-10 mm (emission to soil)</v>
      </c>
      <c r="H2027" s="465">
        <v>2.7E-2</v>
      </c>
      <c r="I2027" s="394" t="s">
        <v>1162</v>
      </c>
      <c r="J2027" s="632"/>
      <c r="K2027" s="395">
        <v>50.46</v>
      </c>
      <c r="L2027" s="537"/>
      <c r="M2027" s="509">
        <f t="shared" si="5808"/>
        <v>99.088386841062231</v>
      </c>
      <c r="N2027" s="646"/>
      <c r="O2027" s="626"/>
      <c r="P2027" s="629"/>
      <c r="Q2027" s="629"/>
    </row>
    <row r="2028" spans="1:17" ht="15.75" hidden="1" thickBot="1">
      <c r="A2028" s="390" t="str">
        <f t="shared" ref="A2028:G2028" si="5937">A2027</f>
        <v>PHBV</v>
      </c>
      <c r="B2028" s="391" t="str">
        <f t="shared" si="5937"/>
        <v>film</v>
      </c>
      <c r="C2028" s="391">
        <f t="shared" si="5937"/>
        <v>2</v>
      </c>
      <c r="D2028" s="391" t="str">
        <f t="shared" si="5937"/>
        <v>1-10</v>
      </c>
      <c r="E2028" s="391">
        <f t="shared" si="5937"/>
        <v>10</v>
      </c>
      <c r="F2028" s="391" t="str">
        <f t="shared" si="5937"/>
        <v>soil</v>
      </c>
      <c r="G2028" s="392" t="str">
        <f t="shared" si="5937"/>
        <v>DE: PHBV film 1-10 mm (emission to soil)</v>
      </c>
      <c r="H2028" s="465">
        <v>3.0000000000000001E-3</v>
      </c>
      <c r="I2028" s="394" t="s">
        <v>1163</v>
      </c>
      <c r="J2028" s="632"/>
      <c r="K2028" s="395">
        <v>50.46</v>
      </c>
      <c r="L2028" s="537"/>
      <c r="M2028" s="509">
        <f t="shared" si="5808"/>
        <v>99.088386841062231</v>
      </c>
      <c r="N2028" s="646"/>
      <c r="O2028" s="626"/>
      <c r="P2028" s="629"/>
      <c r="Q2028" s="629"/>
    </row>
    <row r="2029" spans="1:17" ht="15.75" hidden="1" thickBot="1">
      <c r="A2029" s="390" t="str">
        <f>A2026</f>
        <v>PHBV</v>
      </c>
      <c r="B2029" s="391" t="str">
        <f>B2026</f>
        <v>film</v>
      </c>
      <c r="C2029" s="391">
        <f t="shared" ref="C2029" si="5938">C2028</f>
        <v>2</v>
      </c>
      <c r="D2029" s="391" t="str">
        <f>D2026</f>
        <v>1-10</v>
      </c>
      <c r="E2029" s="391">
        <f>E2026</f>
        <v>10</v>
      </c>
      <c r="F2029" s="391" t="str">
        <f>F2026</f>
        <v>soil</v>
      </c>
      <c r="G2029" s="396" t="str">
        <f t="shared" ref="G2029" si="5939">G2028</f>
        <v>DE: PHBV film 1-10 mm (emission to soil)</v>
      </c>
      <c r="H2029" s="465">
        <v>0</v>
      </c>
      <c r="I2029" s="397" t="s">
        <v>1034</v>
      </c>
      <c r="J2029" s="633"/>
      <c r="K2029" s="398" t="s">
        <v>596</v>
      </c>
      <c r="L2029" s="538"/>
      <c r="M2029" s="509">
        <f t="shared" si="5808"/>
        <v>0</v>
      </c>
      <c r="N2029" s="647"/>
      <c r="O2029" s="627"/>
      <c r="P2029" s="629"/>
      <c r="Q2029" s="629"/>
    </row>
    <row r="2030" spans="1:17" ht="15.75" hidden="1" thickBot="1">
      <c r="A2030" s="390" t="str">
        <f t="shared" ref="A2030:B2030" si="5940">A2027</f>
        <v>PHBV</v>
      </c>
      <c r="B2030" s="391" t="str">
        <f t="shared" si="5940"/>
        <v>film</v>
      </c>
      <c r="C2030" s="391">
        <f t="shared" ref="C2030" si="5941">C2029</f>
        <v>2</v>
      </c>
      <c r="D2030" s="399" t="str">
        <f t="shared" ref="D2030:E2030" si="5942">D2027</f>
        <v>1-10</v>
      </c>
      <c r="E2030" s="391">
        <f t="shared" si="5942"/>
        <v>10</v>
      </c>
      <c r="F2030" s="400" t="s">
        <v>1147</v>
      </c>
      <c r="G2030" s="386" t="str">
        <f>CONCATENATE("DE: ",A2030," ",B2030," ",D2030," mm (emission to ",F2030,")")</f>
        <v>DE: PHBV film 1-10 mm (emission to fresh water)</v>
      </c>
      <c r="H2030" s="466">
        <v>0</v>
      </c>
      <c r="I2030" s="388" t="s">
        <v>1019</v>
      </c>
      <c r="J2030" s="634">
        <v>0.22800000000000001</v>
      </c>
      <c r="K2030" s="389">
        <v>50.46</v>
      </c>
      <c r="L2030" s="536"/>
      <c r="M2030" s="509">
        <f t="shared" si="5808"/>
        <v>99.088386841062231</v>
      </c>
      <c r="N2030" s="645">
        <f t="shared" ref="N2030" si="5943">IFERROR(H2030*M2030+H2031*M2031+H2032*M2032+H2033*M2033+H2034*M2034,"N.A.")</f>
        <v>99.088386841062231</v>
      </c>
      <c r="O2030" s="625"/>
      <c r="P2030" s="628">
        <f t="shared" si="5917"/>
        <v>99.088386841062231</v>
      </c>
      <c r="Q2030" s="628">
        <f t="shared" si="5810"/>
        <v>99.088386841062231</v>
      </c>
    </row>
    <row r="2031" spans="1:17" ht="15.75" hidden="1" thickBot="1">
      <c r="A2031" s="390" t="str">
        <f t="shared" ref="A2031:B2031" si="5944">A2028</f>
        <v>PHBV</v>
      </c>
      <c r="B2031" s="391" t="str">
        <f t="shared" si="5944"/>
        <v>film</v>
      </c>
      <c r="C2031" s="391">
        <f t="shared" ref="C2031" si="5945">C2030</f>
        <v>2</v>
      </c>
      <c r="D2031" s="391" t="str">
        <f t="shared" ref="D2031:E2031" si="5946">D2028</f>
        <v>1-10</v>
      </c>
      <c r="E2031" s="391">
        <f t="shared" si="5946"/>
        <v>10</v>
      </c>
      <c r="F2031" s="391" t="str">
        <f t="shared" ref="F2031:G2031" si="5947">F2030</f>
        <v>fresh water</v>
      </c>
      <c r="G2031" s="401" t="str">
        <f t="shared" si="5947"/>
        <v>DE: PHBV film 1-10 mm (emission to fresh water)</v>
      </c>
      <c r="H2031" s="465">
        <v>0</v>
      </c>
      <c r="I2031" s="394" t="s">
        <v>1097</v>
      </c>
      <c r="J2031" s="635"/>
      <c r="K2031" s="389">
        <v>416.77</v>
      </c>
      <c r="L2031" s="536"/>
      <c r="M2031" s="509">
        <f t="shared" si="5808"/>
        <v>11.99702473786501</v>
      </c>
      <c r="N2031" s="646"/>
      <c r="O2031" s="626"/>
      <c r="P2031" s="629"/>
      <c r="Q2031" s="629"/>
    </row>
    <row r="2032" spans="1:17" ht="15.75" hidden="1" thickBot="1">
      <c r="A2032" s="390" t="str">
        <f t="shared" ref="A2032:B2032" si="5948">A2029</f>
        <v>PHBV</v>
      </c>
      <c r="B2032" s="391" t="str">
        <f t="shared" si="5948"/>
        <v>film</v>
      </c>
      <c r="C2032" s="391">
        <f t="shared" ref="C2032" si="5949">C2031</f>
        <v>2</v>
      </c>
      <c r="D2032" s="391" t="str">
        <f t="shared" ref="D2032:E2032" si="5950">D2029</f>
        <v>1-10</v>
      </c>
      <c r="E2032" s="391">
        <f t="shared" si="5950"/>
        <v>10</v>
      </c>
      <c r="F2032" s="391" t="str">
        <f t="shared" ref="F2032:G2032" si="5951">F2031</f>
        <v>fresh water</v>
      </c>
      <c r="G2032" s="401" t="str">
        <f t="shared" si="5951"/>
        <v>DE: PHBV film 1-10 mm (emission to fresh water)</v>
      </c>
      <c r="H2032" s="465">
        <v>0.89</v>
      </c>
      <c r="I2032" s="394" t="s">
        <v>1162</v>
      </c>
      <c r="J2032" s="635"/>
      <c r="K2032" s="389">
        <v>50.46</v>
      </c>
      <c r="L2032" s="536"/>
      <c r="M2032" s="509">
        <f t="shared" si="5808"/>
        <v>99.088386841062231</v>
      </c>
      <c r="N2032" s="646"/>
      <c r="O2032" s="626"/>
      <c r="P2032" s="629"/>
      <c r="Q2032" s="629"/>
    </row>
    <row r="2033" spans="1:17" ht="15.75" hidden="1" thickBot="1">
      <c r="A2033" s="390" t="str">
        <f t="shared" ref="A2033:B2033" si="5952">A2030</f>
        <v>PHBV</v>
      </c>
      <c r="B2033" s="391" t="str">
        <f t="shared" si="5952"/>
        <v>film</v>
      </c>
      <c r="C2033" s="391">
        <f t="shared" ref="C2033" si="5953">C2032</f>
        <v>2</v>
      </c>
      <c r="D2033" s="391" t="str">
        <f t="shared" ref="D2033:E2033" si="5954">D2030</f>
        <v>1-10</v>
      </c>
      <c r="E2033" s="391">
        <f t="shared" si="5954"/>
        <v>10</v>
      </c>
      <c r="F2033" s="391" t="str">
        <f t="shared" ref="F2033:G2033" si="5955">F2032</f>
        <v>fresh water</v>
      </c>
      <c r="G2033" s="401" t="str">
        <f t="shared" si="5955"/>
        <v>DE: PHBV film 1-10 mm (emission to fresh water)</v>
      </c>
      <c r="H2033" s="465">
        <v>0.11</v>
      </c>
      <c r="I2033" s="394" t="s">
        <v>1163</v>
      </c>
      <c r="J2033" s="635"/>
      <c r="K2033" s="389">
        <v>50.46</v>
      </c>
      <c r="L2033" s="536"/>
      <c r="M2033" s="509">
        <f t="shared" si="5808"/>
        <v>99.088386841062231</v>
      </c>
      <c r="N2033" s="646"/>
      <c r="O2033" s="626"/>
      <c r="P2033" s="629"/>
      <c r="Q2033" s="629"/>
    </row>
    <row r="2034" spans="1:17" ht="15.75" hidden="1" thickBot="1">
      <c r="A2034" s="390" t="str">
        <f t="shared" ref="A2034:B2034" si="5956">A2031</f>
        <v>PHBV</v>
      </c>
      <c r="B2034" s="391" t="str">
        <f t="shared" si="5956"/>
        <v>film</v>
      </c>
      <c r="C2034" s="391">
        <f t="shared" ref="C2034" si="5957">C2033</f>
        <v>2</v>
      </c>
      <c r="D2034" s="391" t="str">
        <f t="shared" ref="D2034:E2034" si="5958">D2031</f>
        <v>1-10</v>
      </c>
      <c r="E2034" s="391">
        <f t="shared" si="5958"/>
        <v>10</v>
      </c>
      <c r="F2034" s="402" t="str">
        <f>F2031</f>
        <v>fresh water</v>
      </c>
      <c r="G2034" s="401" t="str">
        <f t="shared" ref="G2034" si="5959">G2033</f>
        <v>DE: PHBV film 1-10 mm (emission to fresh water)</v>
      </c>
      <c r="H2034" s="465">
        <v>0</v>
      </c>
      <c r="I2034" s="397" t="s">
        <v>1034</v>
      </c>
      <c r="J2034" s="654"/>
      <c r="K2034" s="398" t="s">
        <v>596</v>
      </c>
      <c r="L2034" s="538"/>
      <c r="M2034" s="509">
        <f t="shared" si="5808"/>
        <v>0</v>
      </c>
      <c r="N2034" s="647"/>
      <c r="O2034" s="627"/>
      <c r="P2034" s="629"/>
      <c r="Q2034" s="629"/>
    </row>
    <row r="2035" spans="1:17" ht="15.75" hidden="1" thickBot="1">
      <c r="A2035" s="390" t="str">
        <f t="shared" ref="A2035:B2035" si="5960">A2032</f>
        <v>PHBV</v>
      </c>
      <c r="B2035" s="391" t="str">
        <f t="shared" si="5960"/>
        <v>film</v>
      </c>
      <c r="C2035" s="391">
        <f t="shared" ref="C2035" si="5961">C2034</f>
        <v>2</v>
      </c>
      <c r="D2035" s="391" t="str">
        <f t="shared" ref="D2035:E2035" si="5962">D2032</f>
        <v>1-10</v>
      </c>
      <c r="E2035" s="391">
        <f t="shared" si="5962"/>
        <v>10</v>
      </c>
      <c r="F2035" s="385" t="s">
        <v>1097</v>
      </c>
      <c r="G2035" s="422" t="str">
        <f>CONCATENATE("DE: ",A2035," ",B2035," ",D2035," mm (emission to ",F2035,")")</f>
        <v>DE: PHBV film 1-10 mm (emission to marine water)</v>
      </c>
      <c r="H2035" s="467">
        <v>0</v>
      </c>
      <c r="I2035" s="388" t="s">
        <v>1019</v>
      </c>
      <c r="J2035" s="634">
        <v>0.22800000000000001</v>
      </c>
      <c r="K2035" s="389">
        <v>50.46</v>
      </c>
      <c r="L2035" s="536"/>
      <c r="M2035" s="509">
        <f t="shared" si="5808"/>
        <v>99.088386841062231</v>
      </c>
      <c r="N2035" s="645">
        <f t="shared" ref="N2035" si="5963">IFERROR(H2035*M2035+H2036*M2036+H2037*M2037+H2038*M2038+H2039*M2039,"N.A.")</f>
        <v>99.088386841062231</v>
      </c>
      <c r="O2035" s="625"/>
      <c r="P2035" s="628">
        <f t="shared" si="5917"/>
        <v>99.088386841062231</v>
      </c>
      <c r="Q2035" s="628">
        <f t="shared" si="5810"/>
        <v>99.088386841062231</v>
      </c>
    </row>
    <row r="2036" spans="1:17" ht="15.75" hidden="1" thickBot="1">
      <c r="A2036" s="390" t="str">
        <f t="shared" ref="A2036:B2036" si="5964">A2033</f>
        <v>PHBV</v>
      </c>
      <c r="B2036" s="391" t="str">
        <f t="shared" si="5964"/>
        <v>film</v>
      </c>
      <c r="C2036" s="391">
        <f t="shared" ref="C2036" si="5965">C2035</f>
        <v>2</v>
      </c>
      <c r="D2036" s="391" t="str">
        <f t="shared" ref="D2036:E2036" si="5966">D2033</f>
        <v>1-10</v>
      </c>
      <c r="E2036" s="391">
        <f t="shared" si="5966"/>
        <v>10</v>
      </c>
      <c r="F2036" s="391" t="str">
        <f t="shared" ref="F2036:G2036" si="5967">F2035</f>
        <v>marine water</v>
      </c>
      <c r="G2036" s="401" t="str">
        <f t="shared" si="5967"/>
        <v>DE: PHBV film 1-10 mm (emission to marine water)</v>
      </c>
      <c r="H2036" s="465">
        <v>0</v>
      </c>
      <c r="I2036" s="394" t="s">
        <v>1097</v>
      </c>
      <c r="J2036" s="635"/>
      <c r="K2036" s="389">
        <v>416.77</v>
      </c>
      <c r="L2036" s="536"/>
      <c r="M2036" s="509">
        <f t="shared" si="5808"/>
        <v>11.99702473786501</v>
      </c>
      <c r="N2036" s="646"/>
      <c r="O2036" s="626"/>
      <c r="P2036" s="629"/>
      <c r="Q2036" s="629"/>
    </row>
    <row r="2037" spans="1:17" ht="15.75" hidden="1" thickBot="1">
      <c r="A2037" s="390" t="str">
        <f t="shared" ref="A2037:B2037" si="5968">A2034</f>
        <v>PHBV</v>
      </c>
      <c r="B2037" s="391" t="str">
        <f t="shared" si="5968"/>
        <v>film</v>
      </c>
      <c r="C2037" s="391">
        <f t="shared" ref="C2037" si="5969">C2036</f>
        <v>2</v>
      </c>
      <c r="D2037" s="391" t="str">
        <f t="shared" ref="D2037:E2037" si="5970">D2034</f>
        <v>1-10</v>
      </c>
      <c r="E2037" s="391">
        <f t="shared" si="5970"/>
        <v>10</v>
      </c>
      <c r="F2037" s="391" t="str">
        <f t="shared" ref="F2037:G2037" si="5971">F2036</f>
        <v>marine water</v>
      </c>
      <c r="G2037" s="401" t="str">
        <f t="shared" si="5971"/>
        <v>DE: PHBV film 1-10 mm (emission to marine water)</v>
      </c>
      <c r="H2037" s="465">
        <v>0</v>
      </c>
      <c r="I2037" s="394" t="s">
        <v>1162</v>
      </c>
      <c r="J2037" s="635"/>
      <c r="K2037" s="389">
        <v>50.46</v>
      </c>
      <c r="L2037" s="536"/>
      <c r="M2037" s="509">
        <f t="shared" si="5808"/>
        <v>99.088386841062231</v>
      </c>
      <c r="N2037" s="646"/>
      <c r="O2037" s="626"/>
      <c r="P2037" s="629"/>
      <c r="Q2037" s="629"/>
    </row>
    <row r="2038" spans="1:17" ht="15.75" hidden="1" thickBot="1">
      <c r="A2038" s="390" t="str">
        <f t="shared" ref="A2038:B2038" si="5972">A2035</f>
        <v>PHBV</v>
      </c>
      <c r="B2038" s="391" t="str">
        <f t="shared" si="5972"/>
        <v>film</v>
      </c>
      <c r="C2038" s="391">
        <f t="shared" ref="C2038" si="5973">C2037</f>
        <v>2</v>
      </c>
      <c r="D2038" s="391" t="str">
        <f t="shared" ref="D2038:E2038" si="5974">D2035</f>
        <v>1-10</v>
      </c>
      <c r="E2038" s="391">
        <f t="shared" si="5974"/>
        <v>10</v>
      </c>
      <c r="F2038" s="391" t="str">
        <f t="shared" ref="F2038:G2038" si="5975">F2037</f>
        <v>marine water</v>
      </c>
      <c r="G2038" s="401" t="str">
        <f t="shared" si="5975"/>
        <v>DE: PHBV film 1-10 mm (emission to marine water)</v>
      </c>
      <c r="H2038" s="465">
        <v>1</v>
      </c>
      <c r="I2038" s="394" t="s">
        <v>1163</v>
      </c>
      <c r="J2038" s="635"/>
      <c r="K2038" s="389">
        <v>50.46</v>
      </c>
      <c r="L2038" s="536"/>
      <c r="M2038" s="509">
        <f t="shared" si="5808"/>
        <v>99.088386841062231</v>
      </c>
      <c r="N2038" s="646"/>
      <c r="O2038" s="626"/>
      <c r="P2038" s="629"/>
      <c r="Q2038" s="629"/>
    </row>
    <row r="2039" spans="1:17" ht="15.75" hidden="1" thickBot="1">
      <c r="A2039" s="390" t="str">
        <f t="shared" ref="A2039:B2039" si="5976">A2036</f>
        <v>PHBV</v>
      </c>
      <c r="B2039" s="391" t="str">
        <f t="shared" si="5976"/>
        <v>film</v>
      </c>
      <c r="C2039" s="391">
        <f t="shared" ref="C2039" si="5977">C2038</f>
        <v>2</v>
      </c>
      <c r="D2039" s="391" t="str">
        <f t="shared" ref="D2039:E2039" si="5978">D2036</f>
        <v>1-10</v>
      </c>
      <c r="E2039" s="391">
        <f t="shared" si="5978"/>
        <v>10</v>
      </c>
      <c r="F2039" s="391" t="str">
        <f t="shared" ref="F2039:G2039" si="5979">F2038</f>
        <v>marine water</v>
      </c>
      <c r="G2039" s="401" t="str">
        <f t="shared" si="5979"/>
        <v>DE: PHBV film 1-10 mm (emission to marine water)</v>
      </c>
      <c r="H2039" s="465">
        <v>0</v>
      </c>
      <c r="I2039" s="397" t="s">
        <v>1034</v>
      </c>
      <c r="J2039" s="654"/>
      <c r="K2039" s="398" t="s">
        <v>596</v>
      </c>
      <c r="L2039" s="538"/>
      <c r="M2039" s="509">
        <f t="shared" si="5808"/>
        <v>0</v>
      </c>
      <c r="N2039" s="647"/>
      <c r="O2039" s="627"/>
      <c r="P2039" s="629"/>
      <c r="Q2039" s="629"/>
    </row>
    <row r="2040" spans="1:17" ht="15.75" hidden="1" thickBot="1">
      <c r="A2040" s="390" t="str">
        <f t="shared" ref="A2040:B2040" si="5980">A2037</f>
        <v>PHBV</v>
      </c>
      <c r="B2040" s="391" t="str">
        <f t="shared" si="5980"/>
        <v>film</v>
      </c>
      <c r="C2040" s="391">
        <f t="shared" ref="C2040" si="5981">C2039</f>
        <v>2</v>
      </c>
      <c r="D2040" s="391" t="str">
        <f t="shared" ref="D2040:E2040" si="5982">D2037</f>
        <v>1-10</v>
      </c>
      <c r="E2040" s="391">
        <f t="shared" si="5982"/>
        <v>10</v>
      </c>
      <c r="F2040" s="400" t="s">
        <v>1057</v>
      </c>
      <c r="G2040" s="422" t="str">
        <f>CONCATENATE("DE: ",A2040," ",B2040," ",D2040," mm (emission to ",F2040,")")</f>
        <v>DE: PHBV film 1-10 mm (emission to air)</v>
      </c>
      <c r="H2040" s="467">
        <v>0.94799999999999995</v>
      </c>
      <c r="I2040" s="388" t="s">
        <v>1019</v>
      </c>
      <c r="J2040" s="634">
        <v>0.22800000000000001</v>
      </c>
      <c r="K2040" s="389">
        <v>50.46</v>
      </c>
      <c r="L2040" s="536"/>
      <c r="M2040" s="509">
        <f t="shared" si="5808"/>
        <v>99.088386841062231</v>
      </c>
      <c r="N2040" s="645">
        <f t="shared" ref="N2040" si="5983">IFERROR(H2040*M2040+H2041*M2041+H2042*M2042+H2043*M2043+H2044*M2044,"N.A.")</f>
        <v>99.088386841062231</v>
      </c>
      <c r="O2040" s="625"/>
      <c r="P2040" s="628">
        <f t="shared" si="5917"/>
        <v>99.088386841062231</v>
      </c>
      <c r="Q2040" s="628">
        <f t="shared" si="5810"/>
        <v>99.088386841062231</v>
      </c>
    </row>
    <row r="2041" spans="1:17" ht="15.75" hidden="1" thickBot="1">
      <c r="A2041" s="390" t="str">
        <f t="shared" ref="A2041:B2041" si="5984">A2038</f>
        <v>PHBV</v>
      </c>
      <c r="B2041" s="391" t="str">
        <f t="shared" si="5984"/>
        <v>film</v>
      </c>
      <c r="C2041" s="391">
        <f t="shared" ref="C2041" si="5985">C2040</f>
        <v>2</v>
      </c>
      <c r="D2041" s="391" t="str">
        <f t="shared" ref="D2041:E2041" si="5986">D2038</f>
        <v>1-10</v>
      </c>
      <c r="E2041" s="391">
        <f t="shared" si="5986"/>
        <v>10</v>
      </c>
      <c r="F2041" s="391" t="str">
        <f t="shared" ref="F2041:G2041" si="5987">F2040</f>
        <v>air</v>
      </c>
      <c r="G2041" s="401" t="str">
        <f t="shared" si="5987"/>
        <v>DE: PHBV film 1-10 mm (emission to air)</v>
      </c>
      <c r="H2041" s="465">
        <v>0</v>
      </c>
      <c r="I2041" s="394" t="s">
        <v>1097</v>
      </c>
      <c r="J2041" s="635"/>
      <c r="K2041" s="389">
        <v>416.77</v>
      </c>
      <c r="L2041" s="536"/>
      <c r="M2041" s="509">
        <f t="shared" si="5808"/>
        <v>11.99702473786501</v>
      </c>
      <c r="N2041" s="646"/>
      <c r="O2041" s="626"/>
      <c r="P2041" s="629"/>
      <c r="Q2041" s="629"/>
    </row>
    <row r="2042" spans="1:17" ht="15.75" hidden="1" thickBot="1">
      <c r="A2042" s="390" t="str">
        <f t="shared" ref="A2042:B2042" si="5988">A2039</f>
        <v>PHBV</v>
      </c>
      <c r="B2042" s="391" t="str">
        <f t="shared" si="5988"/>
        <v>film</v>
      </c>
      <c r="C2042" s="391">
        <f t="shared" ref="C2042" si="5989">C2041</f>
        <v>2</v>
      </c>
      <c r="D2042" s="391" t="str">
        <f t="shared" ref="D2042:E2042" si="5990">D2039</f>
        <v>1-10</v>
      </c>
      <c r="E2042" s="391">
        <f t="shared" si="5990"/>
        <v>10</v>
      </c>
      <c r="F2042" s="391" t="str">
        <f t="shared" ref="F2042:G2042" si="5991">F2041</f>
        <v>air</v>
      </c>
      <c r="G2042" s="401" t="str">
        <f t="shared" si="5991"/>
        <v>DE: PHBV film 1-10 mm (emission to air)</v>
      </c>
      <c r="H2042" s="465">
        <v>4.7E-2</v>
      </c>
      <c r="I2042" s="394" t="s">
        <v>1162</v>
      </c>
      <c r="J2042" s="635"/>
      <c r="K2042" s="389">
        <v>50.46</v>
      </c>
      <c r="L2042" s="536"/>
      <c r="M2042" s="509">
        <f t="shared" si="5808"/>
        <v>99.088386841062231</v>
      </c>
      <c r="N2042" s="646"/>
      <c r="O2042" s="626"/>
      <c r="P2042" s="629"/>
      <c r="Q2042" s="629"/>
    </row>
    <row r="2043" spans="1:17" ht="15.75" hidden="1" thickBot="1">
      <c r="A2043" s="390" t="str">
        <f t="shared" ref="A2043:B2043" si="5992">A2040</f>
        <v>PHBV</v>
      </c>
      <c r="B2043" s="391" t="str">
        <f t="shared" si="5992"/>
        <v>film</v>
      </c>
      <c r="C2043" s="391">
        <f t="shared" ref="C2043" si="5993">C2042</f>
        <v>2</v>
      </c>
      <c r="D2043" s="391" t="str">
        <f t="shared" ref="D2043:E2043" si="5994">D2040</f>
        <v>1-10</v>
      </c>
      <c r="E2043" s="391">
        <f t="shared" si="5994"/>
        <v>10</v>
      </c>
      <c r="F2043" s="391" t="str">
        <f t="shared" ref="F2043:G2043" si="5995">F2042</f>
        <v>air</v>
      </c>
      <c r="G2043" s="401" t="str">
        <f t="shared" si="5995"/>
        <v>DE: PHBV film 1-10 mm (emission to air)</v>
      </c>
      <c r="H2043" s="465">
        <v>5.0000000000000001E-3</v>
      </c>
      <c r="I2043" s="394" t="s">
        <v>1163</v>
      </c>
      <c r="J2043" s="635"/>
      <c r="K2043" s="389">
        <v>50.46</v>
      </c>
      <c r="L2043" s="536"/>
      <c r="M2043" s="509">
        <f t="shared" si="5808"/>
        <v>99.088386841062231</v>
      </c>
      <c r="N2043" s="646"/>
      <c r="O2043" s="626"/>
      <c r="P2043" s="629"/>
      <c r="Q2043" s="629"/>
    </row>
    <row r="2044" spans="1:17" ht="15.75" hidden="1" thickBot="1">
      <c r="A2044" s="390" t="str">
        <f t="shared" ref="A2044:B2044" si="5996">A2039</f>
        <v>PHBV</v>
      </c>
      <c r="B2044" s="391" t="str">
        <f t="shared" si="5996"/>
        <v>film</v>
      </c>
      <c r="C2044" s="391">
        <f t="shared" ref="C2044" si="5997">C2043</f>
        <v>2</v>
      </c>
      <c r="D2044" s="391" t="str">
        <f t="shared" ref="D2044:E2044" si="5998">D2039</f>
        <v>1-10</v>
      </c>
      <c r="E2044" s="391">
        <f t="shared" si="5998"/>
        <v>10</v>
      </c>
      <c r="F2044" s="391" t="str">
        <f t="shared" ref="F2044:G2044" si="5999">F2043</f>
        <v>air</v>
      </c>
      <c r="G2044" s="401" t="str">
        <f t="shared" si="5999"/>
        <v>DE: PHBV film 1-10 mm (emission to air)</v>
      </c>
      <c r="H2044" s="471">
        <v>0</v>
      </c>
      <c r="I2044" s="422" t="s">
        <v>1034</v>
      </c>
      <c r="J2044" s="636"/>
      <c r="K2044" s="451" t="s">
        <v>596</v>
      </c>
      <c r="L2044" s="542"/>
      <c r="M2044" s="509">
        <f t="shared" si="5808"/>
        <v>0</v>
      </c>
      <c r="N2044" s="647"/>
      <c r="O2044" s="627"/>
      <c r="P2044" s="629"/>
      <c r="Q2044" s="629"/>
    </row>
    <row r="2045" spans="1:17" ht="15.75" hidden="1" thickBot="1">
      <c r="A2045" s="405" t="s">
        <v>19</v>
      </c>
      <c r="B2045" s="406" t="s">
        <v>1151</v>
      </c>
      <c r="C2045" s="407">
        <v>4</v>
      </c>
      <c r="D2045" s="423" t="s">
        <v>1018</v>
      </c>
      <c r="E2045" s="408">
        <v>0.1</v>
      </c>
      <c r="F2045" s="424" t="s">
        <v>1019</v>
      </c>
      <c r="G2045" s="425" t="str">
        <f>CONCATENATE("DE: ",A2045," ",B2045," ",D2045," mm (emission to ",F2045,")")</f>
        <v>DE: PHBV fiber 0,01-0,1 mm (emission to soil)</v>
      </c>
      <c r="H2045" s="474">
        <v>0.97</v>
      </c>
      <c r="I2045" s="427" t="s">
        <v>1019</v>
      </c>
      <c r="J2045" s="632">
        <v>0.22800000000000001</v>
      </c>
      <c r="K2045" s="428">
        <v>50.46</v>
      </c>
      <c r="L2045" s="539"/>
      <c r="M2045" s="509">
        <f t="shared" si="5808"/>
        <v>0.49544193420531113</v>
      </c>
      <c r="N2045" s="645">
        <f t="shared" ref="N2045" si="6000">IFERROR(H2045*M2045+H2046*M2046+H2047*M2047+H2048*M2048+H2049*M2049,"N.A.")</f>
        <v>0.49544193420531113</v>
      </c>
      <c r="O2045" s="625"/>
      <c r="P2045" s="628">
        <f t="shared" si="5917"/>
        <v>0.49544193420531113</v>
      </c>
      <c r="Q2045" s="628">
        <f t="shared" si="5810"/>
        <v>0.49544193420531113</v>
      </c>
    </row>
    <row r="2046" spans="1:17" ht="15.75" hidden="1" thickBot="1">
      <c r="A2046" s="390" t="str">
        <f>A2045</f>
        <v>PHBV</v>
      </c>
      <c r="B2046" s="391" t="str">
        <f>B2045</f>
        <v>fiber</v>
      </c>
      <c r="C2046" s="391">
        <f t="shared" ref="C2046:G2046" si="6001">C2045</f>
        <v>4</v>
      </c>
      <c r="D2046" s="391" t="str">
        <f t="shared" si="6001"/>
        <v>0,01-0,1</v>
      </c>
      <c r="E2046" s="391">
        <f t="shared" si="6001"/>
        <v>0.1</v>
      </c>
      <c r="F2046" s="391" t="str">
        <f t="shared" si="6001"/>
        <v>soil</v>
      </c>
      <c r="G2046" s="392" t="str">
        <f t="shared" si="6001"/>
        <v>DE: PHBV fiber 0,01-0,1 mm (emission to soil)</v>
      </c>
      <c r="H2046" s="465">
        <v>0</v>
      </c>
      <c r="I2046" s="394" t="s">
        <v>1097</v>
      </c>
      <c r="J2046" s="632"/>
      <c r="K2046" s="395">
        <v>416.77</v>
      </c>
      <c r="L2046" s="537"/>
      <c r="M2046" s="509">
        <f t="shared" si="5808"/>
        <v>5.998512368932505E-2</v>
      </c>
      <c r="N2046" s="646"/>
      <c r="O2046" s="626"/>
      <c r="P2046" s="629"/>
      <c r="Q2046" s="629"/>
    </row>
    <row r="2047" spans="1:17" ht="15.75" hidden="1" thickBot="1">
      <c r="A2047" s="390" t="str">
        <f t="shared" ref="A2047:G2047" si="6002">A2046</f>
        <v>PHBV</v>
      </c>
      <c r="B2047" s="391" t="str">
        <f t="shared" si="6002"/>
        <v>fiber</v>
      </c>
      <c r="C2047" s="391">
        <f t="shared" si="6002"/>
        <v>4</v>
      </c>
      <c r="D2047" s="391" t="str">
        <f t="shared" si="6002"/>
        <v>0,01-0,1</v>
      </c>
      <c r="E2047" s="391">
        <f t="shared" si="6002"/>
        <v>0.1</v>
      </c>
      <c r="F2047" s="391" t="str">
        <f t="shared" si="6002"/>
        <v>soil</v>
      </c>
      <c r="G2047" s="392" t="str">
        <f t="shared" si="6002"/>
        <v>DE: PHBV fiber 0,01-0,1 mm (emission to soil)</v>
      </c>
      <c r="H2047" s="465">
        <v>2.7E-2</v>
      </c>
      <c r="I2047" s="394" t="s">
        <v>1162</v>
      </c>
      <c r="J2047" s="632"/>
      <c r="K2047" s="395">
        <v>50.46</v>
      </c>
      <c r="L2047" s="537"/>
      <c r="M2047" s="509">
        <f t="shared" si="5808"/>
        <v>0.49544193420531113</v>
      </c>
      <c r="N2047" s="646"/>
      <c r="O2047" s="626"/>
      <c r="P2047" s="629"/>
      <c r="Q2047" s="629"/>
    </row>
    <row r="2048" spans="1:17" ht="15.75" hidden="1" thickBot="1">
      <c r="A2048" s="390" t="str">
        <f t="shared" ref="A2048:G2048" si="6003">A2047</f>
        <v>PHBV</v>
      </c>
      <c r="B2048" s="391" t="str">
        <f t="shared" si="6003"/>
        <v>fiber</v>
      </c>
      <c r="C2048" s="391">
        <f t="shared" si="6003"/>
        <v>4</v>
      </c>
      <c r="D2048" s="391" t="str">
        <f t="shared" si="6003"/>
        <v>0,01-0,1</v>
      </c>
      <c r="E2048" s="391">
        <f t="shared" si="6003"/>
        <v>0.1</v>
      </c>
      <c r="F2048" s="391" t="str">
        <f t="shared" si="6003"/>
        <v>soil</v>
      </c>
      <c r="G2048" s="392" t="str">
        <f t="shared" si="6003"/>
        <v>DE: PHBV fiber 0,01-0,1 mm (emission to soil)</v>
      </c>
      <c r="H2048" s="465">
        <v>3.0000000000000001E-3</v>
      </c>
      <c r="I2048" s="394" t="s">
        <v>1163</v>
      </c>
      <c r="J2048" s="632"/>
      <c r="K2048" s="395">
        <v>50.46</v>
      </c>
      <c r="L2048" s="537"/>
      <c r="M2048" s="509">
        <f t="shared" si="5808"/>
        <v>0.49544193420531113</v>
      </c>
      <c r="N2048" s="646"/>
      <c r="O2048" s="626"/>
      <c r="P2048" s="629"/>
      <c r="Q2048" s="629"/>
    </row>
    <row r="2049" spans="1:17" ht="15.75" hidden="1" thickBot="1">
      <c r="A2049" s="390" t="str">
        <f>A2046</f>
        <v>PHBV</v>
      </c>
      <c r="B2049" s="391" t="str">
        <f>B2046</f>
        <v>fiber</v>
      </c>
      <c r="C2049" s="391">
        <f t="shared" ref="C2049" si="6004">C2048</f>
        <v>4</v>
      </c>
      <c r="D2049" s="391" t="str">
        <f>D2046</f>
        <v>0,01-0,1</v>
      </c>
      <c r="E2049" s="391">
        <f>E2046</f>
        <v>0.1</v>
      </c>
      <c r="F2049" s="391" t="str">
        <f>F2046</f>
        <v>soil</v>
      </c>
      <c r="G2049" s="396" t="str">
        <f t="shared" ref="G2049" si="6005">G2048</f>
        <v>DE: PHBV fiber 0,01-0,1 mm (emission to soil)</v>
      </c>
      <c r="H2049" s="465">
        <v>0</v>
      </c>
      <c r="I2049" s="397" t="s">
        <v>1034</v>
      </c>
      <c r="J2049" s="633"/>
      <c r="K2049" s="398" t="s">
        <v>596</v>
      </c>
      <c r="L2049" s="538"/>
      <c r="M2049" s="509">
        <f t="shared" si="5808"/>
        <v>0</v>
      </c>
      <c r="N2049" s="647"/>
      <c r="O2049" s="627"/>
      <c r="P2049" s="629"/>
      <c r="Q2049" s="629"/>
    </row>
    <row r="2050" spans="1:17" ht="15.75" hidden="1" thickBot="1">
      <c r="A2050" s="390" t="str">
        <f t="shared" ref="A2050:B2050" si="6006">A2047</f>
        <v>PHBV</v>
      </c>
      <c r="B2050" s="391" t="str">
        <f t="shared" si="6006"/>
        <v>fiber</v>
      </c>
      <c r="C2050" s="391">
        <f t="shared" ref="C2050" si="6007">C2049</f>
        <v>4</v>
      </c>
      <c r="D2050" s="399" t="str">
        <f t="shared" ref="D2050:E2050" si="6008">D2047</f>
        <v>0,01-0,1</v>
      </c>
      <c r="E2050" s="391">
        <f t="shared" si="6008"/>
        <v>0.1</v>
      </c>
      <c r="F2050" s="400" t="s">
        <v>1147</v>
      </c>
      <c r="G2050" s="386" t="str">
        <f>CONCATENATE("DE: ",A2050," ",B2050," ",D2050," mm (emission to ",F2050,")")</f>
        <v>DE: PHBV fiber 0,01-0,1 mm (emission to fresh water)</v>
      </c>
      <c r="H2050" s="466">
        <v>0</v>
      </c>
      <c r="I2050" s="388" t="s">
        <v>1019</v>
      </c>
      <c r="J2050" s="634">
        <v>0.22800000000000001</v>
      </c>
      <c r="K2050" s="389">
        <v>50.46</v>
      </c>
      <c r="L2050" s="536"/>
      <c r="M2050" s="509">
        <f t="shared" si="5808"/>
        <v>0.49544193420531113</v>
      </c>
      <c r="N2050" s="645">
        <f t="shared" ref="N2050" si="6009">IFERROR(H2050*M2050+H2051*M2051+H2052*M2052+H2053*M2053+H2054*M2054,"N.A.")</f>
        <v>0.49544193420531113</v>
      </c>
      <c r="O2050" s="625"/>
      <c r="P2050" s="628">
        <f t="shared" si="5917"/>
        <v>0.49544193420531113</v>
      </c>
      <c r="Q2050" s="628">
        <f t="shared" si="5810"/>
        <v>0.49544193420531113</v>
      </c>
    </row>
    <row r="2051" spans="1:17" ht="15.75" hidden="1" thickBot="1">
      <c r="A2051" s="390" t="str">
        <f t="shared" ref="A2051:B2051" si="6010">A2048</f>
        <v>PHBV</v>
      </c>
      <c r="B2051" s="391" t="str">
        <f t="shared" si="6010"/>
        <v>fiber</v>
      </c>
      <c r="C2051" s="391">
        <f t="shared" ref="C2051" si="6011">C2050</f>
        <v>4</v>
      </c>
      <c r="D2051" s="391" t="str">
        <f t="shared" ref="D2051:E2051" si="6012">D2048</f>
        <v>0,01-0,1</v>
      </c>
      <c r="E2051" s="391">
        <f t="shared" si="6012"/>
        <v>0.1</v>
      </c>
      <c r="F2051" s="391" t="str">
        <f t="shared" ref="F2051:G2051" si="6013">F2050</f>
        <v>fresh water</v>
      </c>
      <c r="G2051" s="401" t="str">
        <f t="shared" si="6013"/>
        <v>DE: PHBV fiber 0,01-0,1 mm (emission to fresh water)</v>
      </c>
      <c r="H2051" s="465">
        <v>0</v>
      </c>
      <c r="I2051" s="394" t="s">
        <v>1097</v>
      </c>
      <c r="J2051" s="635"/>
      <c r="K2051" s="389">
        <v>416.77</v>
      </c>
      <c r="L2051" s="536"/>
      <c r="M2051" s="509">
        <f t="shared" si="5808"/>
        <v>5.998512368932505E-2</v>
      </c>
      <c r="N2051" s="646"/>
      <c r="O2051" s="626"/>
      <c r="P2051" s="629"/>
      <c r="Q2051" s="629"/>
    </row>
    <row r="2052" spans="1:17" ht="15.75" hidden="1" thickBot="1">
      <c r="A2052" s="390" t="str">
        <f t="shared" ref="A2052:B2052" si="6014">A2049</f>
        <v>PHBV</v>
      </c>
      <c r="B2052" s="391" t="str">
        <f t="shared" si="6014"/>
        <v>fiber</v>
      </c>
      <c r="C2052" s="391">
        <f t="shared" ref="C2052" si="6015">C2051</f>
        <v>4</v>
      </c>
      <c r="D2052" s="391" t="str">
        <f t="shared" ref="D2052:E2052" si="6016">D2049</f>
        <v>0,01-0,1</v>
      </c>
      <c r="E2052" s="391">
        <f t="shared" si="6016"/>
        <v>0.1</v>
      </c>
      <c r="F2052" s="391" t="str">
        <f t="shared" ref="F2052:G2052" si="6017">F2051</f>
        <v>fresh water</v>
      </c>
      <c r="G2052" s="401" t="str">
        <f t="shared" si="6017"/>
        <v>DE: PHBV fiber 0,01-0,1 mm (emission to fresh water)</v>
      </c>
      <c r="H2052" s="465">
        <v>0.89</v>
      </c>
      <c r="I2052" s="394" t="s">
        <v>1162</v>
      </c>
      <c r="J2052" s="635"/>
      <c r="K2052" s="389">
        <v>50.46</v>
      </c>
      <c r="L2052" s="536"/>
      <c r="M2052" s="509">
        <f t="shared" si="5808"/>
        <v>0.49544193420531113</v>
      </c>
      <c r="N2052" s="646"/>
      <c r="O2052" s="626"/>
      <c r="P2052" s="629"/>
      <c r="Q2052" s="629"/>
    </row>
    <row r="2053" spans="1:17" ht="15.75" hidden="1" thickBot="1">
      <c r="A2053" s="390" t="str">
        <f t="shared" ref="A2053:B2053" si="6018">A2050</f>
        <v>PHBV</v>
      </c>
      <c r="B2053" s="391" t="str">
        <f t="shared" si="6018"/>
        <v>fiber</v>
      </c>
      <c r="C2053" s="391">
        <f t="shared" ref="C2053" si="6019">C2052</f>
        <v>4</v>
      </c>
      <c r="D2053" s="391" t="str">
        <f t="shared" ref="D2053:E2053" si="6020">D2050</f>
        <v>0,01-0,1</v>
      </c>
      <c r="E2053" s="391">
        <f t="shared" si="6020"/>
        <v>0.1</v>
      </c>
      <c r="F2053" s="391" t="str">
        <f t="shared" ref="F2053:G2053" si="6021">F2052</f>
        <v>fresh water</v>
      </c>
      <c r="G2053" s="401" t="str">
        <f t="shared" si="6021"/>
        <v>DE: PHBV fiber 0,01-0,1 mm (emission to fresh water)</v>
      </c>
      <c r="H2053" s="465">
        <v>0.11</v>
      </c>
      <c r="I2053" s="394" t="s">
        <v>1163</v>
      </c>
      <c r="J2053" s="635"/>
      <c r="K2053" s="389">
        <v>50.46</v>
      </c>
      <c r="L2053" s="536"/>
      <c r="M2053" s="509">
        <f t="shared" si="5808"/>
        <v>0.49544193420531113</v>
      </c>
      <c r="N2053" s="646"/>
      <c r="O2053" s="626"/>
      <c r="P2053" s="629"/>
      <c r="Q2053" s="629"/>
    </row>
    <row r="2054" spans="1:17" ht="15.75" hidden="1" thickBot="1">
      <c r="A2054" s="390" t="str">
        <f t="shared" ref="A2054:B2054" si="6022">A2051</f>
        <v>PHBV</v>
      </c>
      <c r="B2054" s="391" t="str">
        <f t="shared" si="6022"/>
        <v>fiber</v>
      </c>
      <c r="C2054" s="391">
        <f t="shared" ref="C2054" si="6023">C2053</f>
        <v>4</v>
      </c>
      <c r="D2054" s="391" t="str">
        <f t="shared" ref="D2054:E2054" si="6024">D2051</f>
        <v>0,01-0,1</v>
      </c>
      <c r="E2054" s="391">
        <f t="shared" si="6024"/>
        <v>0.1</v>
      </c>
      <c r="F2054" s="402" t="str">
        <f>F2051</f>
        <v>fresh water</v>
      </c>
      <c r="G2054" s="401" t="str">
        <f t="shared" ref="G2054" si="6025">G2053</f>
        <v>DE: PHBV fiber 0,01-0,1 mm (emission to fresh water)</v>
      </c>
      <c r="H2054" s="465">
        <v>0</v>
      </c>
      <c r="I2054" s="397" t="s">
        <v>1034</v>
      </c>
      <c r="J2054" s="654"/>
      <c r="K2054" s="398" t="s">
        <v>596</v>
      </c>
      <c r="L2054" s="538"/>
      <c r="M2054" s="509">
        <f t="shared" ref="M2054:M2117" si="6026">IFERROR(IF(K2054="--",0,IF(E2054*1000/K2054*(1-0.5)^(C2054/2)&gt;1000,1000,E2054*1000/K2054*(1-0.5)^(C2054/2))),1000)</f>
        <v>0</v>
      </c>
      <c r="N2054" s="647"/>
      <c r="O2054" s="627"/>
      <c r="P2054" s="629"/>
      <c r="Q2054" s="629"/>
    </row>
    <row r="2055" spans="1:17" ht="15.75" hidden="1" thickBot="1">
      <c r="A2055" s="390" t="str">
        <f t="shared" ref="A2055:B2055" si="6027">A2052</f>
        <v>PHBV</v>
      </c>
      <c r="B2055" s="391" t="str">
        <f t="shared" si="6027"/>
        <v>fiber</v>
      </c>
      <c r="C2055" s="391">
        <f t="shared" ref="C2055" si="6028">C2054</f>
        <v>4</v>
      </c>
      <c r="D2055" s="391" t="str">
        <f t="shared" ref="D2055:E2055" si="6029">D2052</f>
        <v>0,01-0,1</v>
      </c>
      <c r="E2055" s="391">
        <f t="shared" si="6029"/>
        <v>0.1</v>
      </c>
      <c r="F2055" s="385" t="s">
        <v>1097</v>
      </c>
      <c r="G2055" s="422" t="str">
        <f>CONCATENATE("DE: ",A2055," ",B2055," ",D2055," mm (emission to ",F2055,")")</f>
        <v>DE: PHBV fiber 0,01-0,1 mm (emission to marine water)</v>
      </c>
      <c r="H2055" s="467">
        <v>0</v>
      </c>
      <c r="I2055" s="388" t="s">
        <v>1019</v>
      </c>
      <c r="J2055" s="634">
        <v>0.22800000000000001</v>
      </c>
      <c r="K2055" s="389">
        <v>50.46</v>
      </c>
      <c r="L2055" s="536"/>
      <c r="M2055" s="509">
        <f t="shared" si="6026"/>
        <v>0.49544193420531113</v>
      </c>
      <c r="N2055" s="645">
        <f t="shared" ref="N2055" si="6030">IFERROR(H2055*M2055+H2056*M2056+H2057*M2057+H2058*M2058+H2059*M2059,"N.A.")</f>
        <v>0.49544193420531113</v>
      </c>
      <c r="O2055" s="625"/>
      <c r="P2055" s="628">
        <f t="shared" si="5917"/>
        <v>0.49544193420531113</v>
      </c>
      <c r="Q2055" s="628">
        <f t="shared" ref="Q2055:Q2115" si="6031">IFERROR(IF(H2055*M2055+H2056*M2056+H2057*M2057+H2058*M2058+H2059*M2059&gt;500,500,H2055*M2055+H2056*M2056+H2057*M2057+H2058*M2058+H2059*M2059),"N.A.")</f>
        <v>0.49544193420531113</v>
      </c>
    </row>
    <row r="2056" spans="1:17" ht="15.75" hidden="1" thickBot="1">
      <c r="A2056" s="390" t="str">
        <f t="shared" ref="A2056:B2056" si="6032">A2053</f>
        <v>PHBV</v>
      </c>
      <c r="B2056" s="391" t="str">
        <f t="shared" si="6032"/>
        <v>fiber</v>
      </c>
      <c r="C2056" s="391">
        <f t="shared" ref="C2056" si="6033">C2055</f>
        <v>4</v>
      </c>
      <c r="D2056" s="391" t="str">
        <f t="shared" ref="D2056:E2056" si="6034">D2053</f>
        <v>0,01-0,1</v>
      </c>
      <c r="E2056" s="391">
        <f t="shared" si="6034"/>
        <v>0.1</v>
      </c>
      <c r="F2056" s="391" t="str">
        <f t="shared" ref="F2056:G2056" si="6035">F2055</f>
        <v>marine water</v>
      </c>
      <c r="G2056" s="401" t="str">
        <f t="shared" si="6035"/>
        <v>DE: PHBV fiber 0,01-0,1 mm (emission to marine water)</v>
      </c>
      <c r="H2056" s="465">
        <v>0</v>
      </c>
      <c r="I2056" s="394" t="s">
        <v>1097</v>
      </c>
      <c r="J2056" s="635"/>
      <c r="K2056" s="389">
        <v>416.77</v>
      </c>
      <c r="L2056" s="536"/>
      <c r="M2056" s="509">
        <f t="shared" si="6026"/>
        <v>5.998512368932505E-2</v>
      </c>
      <c r="N2056" s="646"/>
      <c r="O2056" s="626"/>
      <c r="P2056" s="629"/>
      <c r="Q2056" s="629"/>
    </row>
    <row r="2057" spans="1:17" ht="15.75" hidden="1" thickBot="1">
      <c r="A2057" s="390" t="str">
        <f t="shared" ref="A2057:B2057" si="6036">A2054</f>
        <v>PHBV</v>
      </c>
      <c r="B2057" s="391" t="str">
        <f t="shared" si="6036"/>
        <v>fiber</v>
      </c>
      <c r="C2057" s="391">
        <f t="shared" ref="C2057" si="6037">C2056</f>
        <v>4</v>
      </c>
      <c r="D2057" s="391" t="str">
        <f t="shared" ref="D2057:E2057" si="6038">D2054</f>
        <v>0,01-0,1</v>
      </c>
      <c r="E2057" s="391">
        <f t="shared" si="6038"/>
        <v>0.1</v>
      </c>
      <c r="F2057" s="391" t="str">
        <f t="shared" ref="F2057:G2057" si="6039">F2056</f>
        <v>marine water</v>
      </c>
      <c r="G2057" s="401" t="str">
        <f t="shared" si="6039"/>
        <v>DE: PHBV fiber 0,01-0,1 mm (emission to marine water)</v>
      </c>
      <c r="H2057" s="465">
        <v>0</v>
      </c>
      <c r="I2057" s="394" t="s">
        <v>1162</v>
      </c>
      <c r="J2057" s="635"/>
      <c r="K2057" s="389">
        <v>50.46</v>
      </c>
      <c r="L2057" s="536"/>
      <c r="M2057" s="509">
        <f t="shared" si="6026"/>
        <v>0.49544193420531113</v>
      </c>
      <c r="N2057" s="646"/>
      <c r="O2057" s="626"/>
      <c r="P2057" s="629"/>
      <c r="Q2057" s="629"/>
    </row>
    <row r="2058" spans="1:17" ht="15.75" hidden="1" thickBot="1">
      <c r="A2058" s="390" t="str">
        <f t="shared" ref="A2058:B2058" si="6040">A2055</f>
        <v>PHBV</v>
      </c>
      <c r="B2058" s="391" t="str">
        <f t="shared" si="6040"/>
        <v>fiber</v>
      </c>
      <c r="C2058" s="391">
        <f t="shared" ref="C2058" si="6041">C2057</f>
        <v>4</v>
      </c>
      <c r="D2058" s="391" t="str">
        <f t="shared" ref="D2058:E2058" si="6042">D2055</f>
        <v>0,01-0,1</v>
      </c>
      <c r="E2058" s="391">
        <f t="shared" si="6042"/>
        <v>0.1</v>
      </c>
      <c r="F2058" s="391" t="str">
        <f t="shared" ref="F2058:G2058" si="6043">F2057</f>
        <v>marine water</v>
      </c>
      <c r="G2058" s="401" t="str">
        <f t="shared" si="6043"/>
        <v>DE: PHBV fiber 0,01-0,1 mm (emission to marine water)</v>
      </c>
      <c r="H2058" s="465">
        <v>1</v>
      </c>
      <c r="I2058" s="394" t="s">
        <v>1163</v>
      </c>
      <c r="J2058" s="635"/>
      <c r="K2058" s="389">
        <v>50.46</v>
      </c>
      <c r="L2058" s="536"/>
      <c r="M2058" s="509">
        <f t="shared" si="6026"/>
        <v>0.49544193420531113</v>
      </c>
      <c r="N2058" s="646"/>
      <c r="O2058" s="626"/>
      <c r="P2058" s="629"/>
      <c r="Q2058" s="629"/>
    </row>
    <row r="2059" spans="1:17" ht="15.75" hidden="1" thickBot="1">
      <c r="A2059" s="390" t="str">
        <f t="shared" ref="A2059:B2059" si="6044">A2056</f>
        <v>PHBV</v>
      </c>
      <c r="B2059" s="391" t="str">
        <f t="shared" si="6044"/>
        <v>fiber</v>
      </c>
      <c r="C2059" s="391">
        <f t="shared" ref="C2059" si="6045">C2058</f>
        <v>4</v>
      </c>
      <c r="D2059" s="391" t="str">
        <f t="shared" ref="D2059:E2059" si="6046">D2056</f>
        <v>0,01-0,1</v>
      </c>
      <c r="E2059" s="391">
        <f t="shared" si="6046"/>
        <v>0.1</v>
      </c>
      <c r="F2059" s="391" t="str">
        <f t="shared" ref="F2059:G2059" si="6047">F2058</f>
        <v>marine water</v>
      </c>
      <c r="G2059" s="401" t="str">
        <f t="shared" si="6047"/>
        <v>DE: PHBV fiber 0,01-0,1 mm (emission to marine water)</v>
      </c>
      <c r="H2059" s="465">
        <v>0</v>
      </c>
      <c r="I2059" s="397" t="s">
        <v>1034</v>
      </c>
      <c r="J2059" s="654"/>
      <c r="K2059" s="398" t="s">
        <v>596</v>
      </c>
      <c r="L2059" s="538"/>
      <c r="M2059" s="509">
        <f t="shared" si="6026"/>
        <v>0</v>
      </c>
      <c r="N2059" s="647"/>
      <c r="O2059" s="627"/>
      <c r="P2059" s="629"/>
      <c r="Q2059" s="629"/>
    </row>
    <row r="2060" spans="1:17" ht="15.75" hidden="1" thickBot="1">
      <c r="A2060" s="390" t="str">
        <f t="shared" ref="A2060:B2060" si="6048">A2057</f>
        <v>PHBV</v>
      </c>
      <c r="B2060" s="391" t="str">
        <f t="shared" si="6048"/>
        <v>fiber</v>
      </c>
      <c r="C2060" s="391">
        <f t="shared" ref="C2060" si="6049">C2059</f>
        <v>4</v>
      </c>
      <c r="D2060" s="391" t="str">
        <f t="shared" ref="D2060:E2060" si="6050">D2057</f>
        <v>0,01-0,1</v>
      </c>
      <c r="E2060" s="391">
        <f t="shared" si="6050"/>
        <v>0.1</v>
      </c>
      <c r="F2060" s="400" t="s">
        <v>1057</v>
      </c>
      <c r="G2060" s="422" t="str">
        <f>CONCATENATE("DE: ",A2060," ",B2060," ",D2060," mm (emission to ",F2060,")")</f>
        <v>DE: PHBV fiber 0,01-0,1 mm (emission to air)</v>
      </c>
      <c r="H2060" s="467">
        <v>0.94799999999999995</v>
      </c>
      <c r="I2060" s="388" t="s">
        <v>1019</v>
      </c>
      <c r="J2060" s="634">
        <v>0.22800000000000001</v>
      </c>
      <c r="K2060" s="389">
        <v>50.46</v>
      </c>
      <c r="L2060" s="536"/>
      <c r="M2060" s="509">
        <f t="shared" si="6026"/>
        <v>0.49544193420531113</v>
      </c>
      <c r="N2060" s="645">
        <f t="shared" ref="N2060" si="6051">IFERROR(H2060*M2060+H2061*M2061+H2062*M2062+H2063*M2063+H2064*M2064,"N.A.")</f>
        <v>0.49544193420531107</v>
      </c>
      <c r="O2060" s="625"/>
      <c r="P2060" s="628">
        <f t="shared" si="5917"/>
        <v>0.49544193420531107</v>
      </c>
      <c r="Q2060" s="628">
        <f t="shared" si="6031"/>
        <v>0.49544193420531107</v>
      </c>
    </row>
    <row r="2061" spans="1:17" ht="15.75" hidden="1" thickBot="1">
      <c r="A2061" s="390" t="str">
        <f t="shared" ref="A2061:B2061" si="6052">A2058</f>
        <v>PHBV</v>
      </c>
      <c r="B2061" s="391" t="str">
        <f t="shared" si="6052"/>
        <v>fiber</v>
      </c>
      <c r="C2061" s="391">
        <f t="shared" ref="C2061" si="6053">C2060</f>
        <v>4</v>
      </c>
      <c r="D2061" s="391" t="str">
        <f t="shared" ref="D2061:E2061" si="6054">D2058</f>
        <v>0,01-0,1</v>
      </c>
      <c r="E2061" s="391">
        <f t="shared" si="6054"/>
        <v>0.1</v>
      </c>
      <c r="F2061" s="391" t="str">
        <f t="shared" ref="F2061:G2061" si="6055">F2060</f>
        <v>air</v>
      </c>
      <c r="G2061" s="401" t="str">
        <f t="shared" si="6055"/>
        <v>DE: PHBV fiber 0,01-0,1 mm (emission to air)</v>
      </c>
      <c r="H2061" s="465">
        <v>0</v>
      </c>
      <c r="I2061" s="394" t="s">
        <v>1097</v>
      </c>
      <c r="J2061" s="635"/>
      <c r="K2061" s="389">
        <v>416.77</v>
      </c>
      <c r="L2061" s="536"/>
      <c r="M2061" s="509">
        <f t="shared" si="6026"/>
        <v>5.998512368932505E-2</v>
      </c>
      <c r="N2061" s="646"/>
      <c r="O2061" s="626"/>
      <c r="P2061" s="629"/>
      <c r="Q2061" s="629"/>
    </row>
    <row r="2062" spans="1:17" ht="15.75" hidden="1" thickBot="1">
      <c r="A2062" s="390" t="str">
        <f t="shared" ref="A2062:B2062" si="6056">A2059</f>
        <v>PHBV</v>
      </c>
      <c r="B2062" s="391" t="str">
        <f t="shared" si="6056"/>
        <v>fiber</v>
      </c>
      <c r="C2062" s="391">
        <f t="shared" ref="C2062" si="6057">C2061</f>
        <v>4</v>
      </c>
      <c r="D2062" s="391" t="str">
        <f t="shared" ref="D2062:E2062" si="6058">D2059</f>
        <v>0,01-0,1</v>
      </c>
      <c r="E2062" s="391">
        <f t="shared" si="6058"/>
        <v>0.1</v>
      </c>
      <c r="F2062" s="391" t="str">
        <f t="shared" ref="F2062:G2062" si="6059">F2061</f>
        <v>air</v>
      </c>
      <c r="G2062" s="401" t="str">
        <f t="shared" si="6059"/>
        <v>DE: PHBV fiber 0,01-0,1 mm (emission to air)</v>
      </c>
      <c r="H2062" s="465">
        <v>4.7E-2</v>
      </c>
      <c r="I2062" s="394" t="s">
        <v>1162</v>
      </c>
      <c r="J2062" s="635"/>
      <c r="K2062" s="389">
        <v>50.46</v>
      </c>
      <c r="L2062" s="536"/>
      <c r="M2062" s="509">
        <f t="shared" si="6026"/>
        <v>0.49544193420531113</v>
      </c>
      <c r="N2062" s="646"/>
      <c r="O2062" s="626"/>
      <c r="P2062" s="629"/>
      <c r="Q2062" s="629"/>
    </row>
    <row r="2063" spans="1:17" ht="15.75" hidden="1" thickBot="1">
      <c r="A2063" s="390" t="str">
        <f t="shared" ref="A2063:B2063" si="6060">A2060</f>
        <v>PHBV</v>
      </c>
      <c r="B2063" s="391" t="str">
        <f t="shared" si="6060"/>
        <v>fiber</v>
      </c>
      <c r="C2063" s="391">
        <f t="shared" ref="C2063" si="6061">C2062</f>
        <v>4</v>
      </c>
      <c r="D2063" s="391" t="str">
        <f t="shared" ref="D2063:E2063" si="6062">D2060</f>
        <v>0,01-0,1</v>
      </c>
      <c r="E2063" s="391">
        <f t="shared" si="6062"/>
        <v>0.1</v>
      </c>
      <c r="F2063" s="391" t="str">
        <f t="shared" ref="F2063:G2063" si="6063">F2062</f>
        <v>air</v>
      </c>
      <c r="G2063" s="401" t="str">
        <f t="shared" si="6063"/>
        <v>DE: PHBV fiber 0,01-0,1 mm (emission to air)</v>
      </c>
      <c r="H2063" s="465">
        <v>5.0000000000000001E-3</v>
      </c>
      <c r="I2063" s="394" t="s">
        <v>1163</v>
      </c>
      <c r="J2063" s="635"/>
      <c r="K2063" s="389">
        <v>50.46</v>
      </c>
      <c r="L2063" s="536"/>
      <c r="M2063" s="509">
        <f t="shared" si="6026"/>
        <v>0.49544193420531113</v>
      </c>
      <c r="N2063" s="646"/>
      <c r="O2063" s="626"/>
      <c r="P2063" s="629"/>
      <c r="Q2063" s="629"/>
    </row>
    <row r="2064" spans="1:17" ht="15.75" hidden="1" thickBot="1">
      <c r="A2064" s="452" t="str">
        <f t="shared" ref="A2064:B2064" si="6064">A2059</f>
        <v>PHBV</v>
      </c>
      <c r="B2064" s="453" t="str">
        <f t="shared" si="6064"/>
        <v>fiber</v>
      </c>
      <c r="C2064" s="453">
        <f t="shared" ref="C2064" si="6065">C2063</f>
        <v>4</v>
      </c>
      <c r="D2064" s="453" t="str">
        <f t="shared" ref="D2064:E2064" si="6066">D2059</f>
        <v>0,01-0,1</v>
      </c>
      <c r="E2064" s="453">
        <f t="shared" si="6066"/>
        <v>0.1</v>
      </c>
      <c r="F2064" s="453" t="str">
        <f t="shared" ref="F2064:G2064" si="6067">F2063</f>
        <v>air</v>
      </c>
      <c r="G2064" s="454" t="str">
        <f t="shared" si="6067"/>
        <v>DE: PHBV fiber 0,01-0,1 mm (emission to air)</v>
      </c>
      <c r="H2064" s="473">
        <v>0</v>
      </c>
      <c r="I2064" s="456" t="s">
        <v>1034</v>
      </c>
      <c r="J2064" s="636"/>
      <c r="K2064" s="457" t="s">
        <v>596</v>
      </c>
      <c r="L2064" s="543"/>
      <c r="M2064" s="509">
        <f t="shared" si="6026"/>
        <v>0</v>
      </c>
      <c r="N2064" s="647"/>
      <c r="O2064" s="627"/>
      <c r="P2064" s="629"/>
      <c r="Q2064" s="629"/>
    </row>
    <row r="2065" spans="1:17" ht="15.75" hidden="1" thickBot="1">
      <c r="A2065" s="405" t="s">
        <v>19</v>
      </c>
      <c r="B2065" s="382" t="s">
        <v>1151</v>
      </c>
      <c r="C2065" s="383">
        <v>4</v>
      </c>
      <c r="D2065" s="475" t="s">
        <v>1028</v>
      </c>
      <c r="E2065" s="384">
        <v>1</v>
      </c>
      <c r="F2065" s="385" t="s">
        <v>1019</v>
      </c>
      <c r="G2065" s="386" t="str">
        <f>CONCATENATE("DE: ",A2065," ",B2065," ",D2065," mm (emission to ",F2065,")")</f>
        <v>DE: PHBV fiber 0,1-1 mm (emission to soil)</v>
      </c>
      <c r="H2065" s="466">
        <v>0.97</v>
      </c>
      <c r="I2065" s="388" t="s">
        <v>1019</v>
      </c>
      <c r="J2065" s="632">
        <v>0.22800000000000001</v>
      </c>
      <c r="K2065" s="389">
        <v>50.46</v>
      </c>
      <c r="L2065" s="536"/>
      <c r="M2065" s="509">
        <f t="shared" si="6026"/>
        <v>4.9544193420531109</v>
      </c>
      <c r="N2065" s="645">
        <f t="shared" ref="N2065" si="6068">IFERROR(H2065*M2065+H2066*M2066+H2067*M2067+H2068*M2068+H2069*M2069,"N.A.")</f>
        <v>4.9544193420531109</v>
      </c>
      <c r="O2065" s="625"/>
      <c r="P2065" s="628">
        <f t="shared" si="5917"/>
        <v>4.9544193420531109</v>
      </c>
      <c r="Q2065" s="628">
        <f t="shared" si="6031"/>
        <v>4.9544193420531109</v>
      </c>
    </row>
    <row r="2066" spans="1:17" ht="15.75" hidden="1" thickBot="1">
      <c r="A2066" s="390" t="str">
        <f>A2065</f>
        <v>PHBV</v>
      </c>
      <c r="B2066" s="391" t="str">
        <f>B2065</f>
        <v>fiber</v>
      </c>
      <c r="C2066" s="391">
        <f t="shared" ref="C2066:G2066" si="6069">C2065</f>
        <v>4</v>
      </c>
      <c r="D2066" s="391" t="str">
        <f t="shared" si="6069"/>
        <v>0,1-1</v>
      </c>
      <c r="E2066" s="391">
        <f t="shared" si="6069"/>
        <v>1</v>
      </c>
      <c r="F2066" s="391" t="str">
        <f t="shared" si="6069"/>
        <v>soil</v>
      </c>
      <c r="G2066" s="392" t="str">
        <f t="shared" si="6069"/>
        <v>DE: PHBV fiber 0,1-1 mm (emission to soil)</v>
      </c>
      <c r="H2066" s="465">
        <v>0</v>
      </c>
      <c r="I2066" s="394" t="s">
        <v>1097</v>
      </c>
      <c r="J2066" s="632"/>
      <c r="K2066" s="395">
        <v>416.77</v>
      </c>
      <c r="L2066" s="537"/>
      <c r="M2066" s="509">
        <f t="shared" si="6026"/>
        <v>0.59985123689325048</v>
      </c>
      <c r="N2066" s="646"/>
      <c r="O2066" s="626"/>
      <c r="P2066" s="629"/>
      <c r="Q2066" s="629"/>
    </row>
    <row r="2067" spans="1:17" ht="15.75" hidden="1" thickBot="1">
      <c r="A2067" s="390" t="str">
        <f t="shared" ref="A2067:G2067" si="6070">A2066</f>
        <v>PHBV</v>
      </c>
      <c r="B2067" s="391" t="str">
        <f t="shared" si="6070"/>
        <v>fiber</v>
      </c>
      <c r="C2067" s="391">
        <f t="shared" si="6070"/>
        <v>4</v>
      </c>
      <c r="D2067" s="391" t="str">
        <f t="shared" si="6070"/>
        <v>0,1-1</v>
      </c>
      <c r="E2067" s="391">
        <f t="shared" si="6070"/>
        <v>1</v>
      </c>
      <c r="F2067" s="391" t="str">
        <f t="shared" si="6070"/>
        <v>soil</v>
      </c>
      <c r="G2067" s="392" t="str">
        <f t="shared" si="6070"/>
        <v>DE: PHBV fiber 0,1-1 mm (emission to soil)</v>
      </c>
      <c r="H2067" s="465">
        <v>2.7E-2</v>
      </c>
      <c r="I2067" s="394" t="s">
        <v>1162</v>
      </c>
      <c r="J2067" s="632"/>
      <c r="K2067" s="395">
        <v>50.46</v>
      </c>
      <c r="L2067" s="537"/>
      <c r="M2067" s="509">
        <f t="shared" si="6026"/>
        <v>4.9544193420531109</v>
      </c>
      <c r="N2067" s="646"/>
      <c r="O2067" s="626"/>
      <c r="P2067" s="629"/>
      <c r="Q2067" s="629"/>
    </row>
    <row r="2068" spans="1:17" ht="15.75" hidden="1" thickBot="1">
      <c r="A2068" s="390" t="str">
        <f t="shared" ref="A2068:G2068" si="6071">A2067</f>
        <v>PHBV</v>
      </c>
      <c r="B2068" s="391" t="str">
        <f t="shared" si="6071"/>
        <v>fiber</v>
      </c>
      <c r="C2068" s="391">
        <f t="shared" si="6071"/>
        <v>4</v>
      </c>
      <c r="D2068" s="391" t="str">
        <f t="shared" si="6071"/>
        <v>0,1-1</v>
      </c>
      <c r="E2068" s="391">
        <f t="shared" si="6071"/>
        <v>1</v>
      </c>
      <c r="F2068" s="391" t="str">
        <f t="shared" si="6071"/>
        <v>soil</v>
      </c>
      <c r="G2068" s="392" t="str">
        <f t="shared" si="6071"/>
        <v>DE: PHBV fiber 0,1-1 mm (emission to soil)</v>
      </c>
      <c r="H2068" s="465">
        <v>3.0000000000000001E-3</v>
      </c>
      <c r="I2068" s="394" t="s">
        <v>1163</v>
      </c>
      <c r="J2068" s="632"/>
      <c r="K2068" s="395">
        <v>50.46</v>
      </c>
      <c r="L2068" s="537"/>
      <c r="M2068" s="509">
        <f t="shared" si="6026"/>
        <v>4.9544193420531109</v>
      </c>
      <c r="N2068" s="646"/>
      <c r="O2068" s="626"/>
      <c r="P2068" s="629"/>
      <c r="Q2068" s="629"/>
    </row>
    <row r="2069" spans="1:17" ht="15.75" hidden="1" thickBot="1">
      <c r="A2069" s="390" t="str">
        <f>A2066</f>
        <v>PHBV</v>
      </c>
      <c r="B2069" s="391" t="str">
        <f>B2066</f>
        <v>fiber</v>
      </c>
      <c r="C2069" s="391">
        <f t="shared" ref="C2069" si="6072">C2068</f>
        <v>4</v>
      </c>
      <c r="D2069" s="391" t="str">
        <f>D2066</f>
        <v>0,1-1</v>
      </c>
      <c r="E2069" s="391">
        <f>E2066</f>
        <v>1</v>
      </c>
      <c r="F2069" s="391" t="str">
        <f>F2066</f>
        <v>soil</v>
      </c>
      <c r="G2069" s="396" t="str">
        <f t="shared" ref="G2069" si="6073">G2068</f>
        <v>DE: PHBV fiber 0,1-1 mm (emission to soil)</v>
      </c>
      <c r="H2069" s="465">
        <v>0</v>
      </c>
      <c r="I2069" s="397" t="s">
        <v>1034</v>
      </c>
      <c r="J2069" s="633"/>
      <c r="K2069" s="398" t="s">
        <v>596</v>
      </c>
      <c r="L2069" s="538"/>
      <c r="M2069" s="509">
        <f t="shared" si="6026"/>
        <v>0</v>
      </c>
      <c r="N2069" s="647"/>
      <c r="O2069" s="627"/>
      <c r="P2069" s="629"/>
      <c r="Q2069" s="629"/>
    </row>
    <row r="2070" spans="1:17" ht="15.75" hidden="1" thickBot="1">
      <c r="A2070" s="390" t="str">
        <f t="shared" ref="A2070:B2070" si="6074">A2067</f>
        <v>PHBV</v>
      </c>
      <c r="B2070" s="391" t="str">
        <f t="shared" si="6074"/>
        <v>fiber</v>
      </c>
      <c r="C2070" s="391">
        <f t="shared" ref="C2070" si="6075">C2069</f>
        <v>4</v>
      </c>
      <c r="D2070" s="399" t="str">
        <f t="shared" ref="D2070:E2070" si="6076">D2067</f>
        <v>0,1-1</v>
      </c>
      <c r="E2070" s="391">
        <f t="shared" si="6076"/>
        <v>1</v>
      </c>
      <c r="F2070" s="400" t="s">
        <v>1147</v>
      </c>
      <c r="G2070" s="386" t="str">
        <f>CONCATENATE("DE: ",A2070," ",B2070," ",D2070," mm (emission to ",F2070,")")</f>
        <v>DE: PHBV fiber 0,1-1 mm (emission to fresh water)</v>
      </c>
      <c r="H2070" s="466">
        <v>0</v>
      </c>
      <c r="I2070" s="388" t="s">
        <v>1019</v>
      </c>
      <c r="J2070" s="634">
        <v>0.22800000000000001</v>
      </c>
      <c r="K2070" s="389">
        <v>50.46</v>
      </c>
      <c r="L2070" s="536"/>
      <c r="M2070" s="509">
        <f t="shared" si="6026"/>
        <v>4.9544193420531109</v>
      </c>
      <c r="N2070" s="645">
        <f t="shared" ref="N2070" si="6077">IFERROR(H2070*M2070+H2071*M2071+H2072*M2072+H2073*M2073+H2074*M2074,"N.A.")</f>
        <v>4.9544193420531109</v>
      </c>
      <c r="O2070" s="625"/>
      <c r="P2070" s="628">
        <f t="shared" si="5917"/>
        <v>4.9544193420531109</v>
      </c>
      <c r="Q2070" s="628">
        <f t="shared" si="6031"/>
        <v>4.9544193420531109</v>
      </c>
    </row>
    <row r="2071" spans="1:17" ht="15.75" hidden="1" thickBot="1">
      <c r="A2071" s="390" t="str">
        <f t="shared" ref="A2071:B2071" si="6078">A2068</f>
        <v>PHBV</v>
      </c>
      <c r="B2071" s="391" t="str">
        <f t="shared" si="6078"/>
        <v>fiber</v>
      </c>
      <c r="C2071" s="391">
        <f t="shared" ref="C2071" si="6079">C2070</f>
        <v>4</v>
      </c>
      <c r="D2071" s="391" t="str">
        <f t="shared" ref="D2071:E2071" si="6080">D2068</f>
        <v>0,1-1</v>
      </c>
      <c r="E2071" s="391">
        <f t="shared" si="6080"/>
        <v>1</v>
      </c>
      <c r="F2071" s="391" t="str">
        <f t="shared" ref="F2071:G2071" si="6081">F2070</f>
        <v>fresh water</v>
      </c>
      <c r="G2071" s="401" t="str">
        <f t="shared" si="6081"/>
        <v>DE: PHBV fiber 0,1-1 mm (emission to fresh water)</v>
      </c>
      <c r="H2071" s="465">
        <v>0</v>
      </c>
      <c r="I2071" s="394" t="s">
        <v>1097</v>
      </c>
      <c r="J2071" s="635"/>
      <c r="K2071" s="389">
        <v>416.77</v>
      </c>
      <c r="L2071" s="536"/>
      <c r="M2071" s="509">
        <f t="shared" si="6026"/>
        <v>0.59985123689325048</v>
      </c>
      <c r="N2071" s="646"/>
      <c r="O2071" s="626"/>
      <c r="P2071" s="629"/>
      <c r="Q2071" s="629"/>
    </row>
    <row r="2072" spans="1:17" ht="15.75" hidden="1" thickBot="1">
      <c r="A2072" s="390" t="str">
        <f t="shared" ref="A2072:B2072" si="6082">A2069</f>
        <v>PHBV</v>
      </c>
      <c r="B2072" s="391" t="str">
        <f t="shared" si="6082"/>
        <v>fiber</v>
      </c>
      <c r="C2072" s="391">
        <f t="shared" ref="C2072" si="6083">C2071</f>
        <v>4</v>
      </c>
      <c r="D2072" s="391" t="str">
        <f t="shared" ref="D2072:E2072" si="6084">D2069</f>
        <v>0,1-1</v>
      </c>
      <c r="E2072" s="391">
        <f t="shared" si="6084"/>
        <v>1</v>
      </c>
      <c r="F2072" s="391" t="str">
        <f t="shared" ref="F2072:G2072" si="6085">F2071</f>
        <v>fresh water</v>
      </c>
      <c r="G2072" s="401" t="str">
        <f t="shared" si="6085"/>
        <v>DE: PHBV fiber 0,1-1 mm (emission to fresh water)</v>
      </c>
      <c r="H2072" s="465">
        <v>0.89</v>
      </c>
      <c r="I2072" s="394" t="s">
        <v>1162</v>
      </c>
      <c r="J2072" s="635"/>
      <c r="K2072" s="389">
        <v>50.46</v>
      </c>
      <c r="L2072" s="536"/>
      <c r="M2072" s="509">
        <f t="shared" si="6026"/>
        <v>4.9544193420531109</v>
      </c>
      <c r="N2072" s="646"/>
      <c r="O2072" s="626"/>
      <c r="P2072" s="629"/>
      <c r="Q2072" s="629"/>
    </row>
    <row r="2073" spans="1:17" ht="15.75" hidden="1" thickBot="1">
      <c r="A2073" s="390" t="str">
        <f t="shared" ref="A2073:B2073" si="6086">A2070</f>
        <v>PHBV</v>
      </c>
      <c r="B2073" s="391" t="str">
        <f t="shared" si="6086"/>
        <v>fiber</v>
      </c>
      <c r="C2073" s="391">
        <f t="shared" ref="C2073" si="6087">C2072</f>
        <v>4</v>
      </c>
      <c r="D2073" s="391" t="str">
        <f t="shared" ref="D2073:E2073" si="6088">D2070</f>
        <v>0,1-1</v>
      </c>
      <c r="E2073" s="391">
        <f t="shared" si="6088"/>
        <v>1</v>
      </c>
      <c r="F2073" s="391" t="str">
        <f t="shared" ref="F2073:G2073" si="6089">F2072</f>
        <v>fresh water</v>
      </c>
      <c r="G2073" s="401" t="str">
        <f t="shared" si="6089"/>
        <v>DE: PHBV fiber 0,1-1 mm (emission to fresh water)</v>
      </c>
      <c r="H2073" s="465">
        <v>0.11</v>
      </c>
      <c r="I2073" s="394" t="s">
        <v>1163</v>
      </c>
      <c r="J2073" s="635"/>
      <c r="K2073" s="389">
        <v>50.46</v>
      </c>
      <c r="L2073" s="536"/>
      <c r="M2073" s="509">
        <f t="shared" si="6026"/>
        <v>4.9544193420531109</v>
      </c>
      <c r="N2073" s="646"/>
      <c r="O2073" s="626"/>
      <c r="P2073" s="629"/>
      <c r="Q2073" s="629"/>
    </row>
    <row r="2074" spans="1:17" ht="15.75" hidden="1" thickBot="1">
      <c r="A2074" s="390" t="str">
        <f t="shared" ref="A2074:B2074" si="6090">A2071</f>
        <v>PHBV</v>
      </c>
      <c r="B2074" s="391" t="str">
        <f t="shared" si="6090"/>
        <v>fiber</v>
      </c>
      <c r="C2074" s="391">
        <f t="shared" ref="C2074" si="6091">C2073</f>
        <v>4</v>
      </c>
      <c r="D2074" s="391" t="str">
        <f t="shared" ref="D2074:E2074" si="6092">D2071</f>
        <v>0,1-1</v>
      </c>
      <c r="E2074" s="391">
        <f t="shared" si="6092"/>
        <v>1</v>
      </c>
      <c r="F2074" s="402" t="str">
        <f>F2071</f>
        <v>fresh water</v>
      </c>
      <c r="G2074" s="401" t="str">
        <f t="shared" ref="G2074" si="6093">G2073</f>
        <v>DE: PHBV fiber 0,1-1 mm (emission to fresh water)</v>
      </c>
      <c r="H2074" s="465">
        <v>0</v>
      </c>
      <c r="I2074" s="397" t="s">
        <v>1034</v>
      </c>
      <c r="J2074" s="654"/>
      <c r="K2074" s="398" t="s">
        <v>596</v>
      </c>
      <c r="L2074" s="538"/>
      <c r="M2074" s="509">
        <f t="shared" si="6026"/>
        <v>0</v>
      </c>
      <c r="N2074" s="647"/>
      <c r="O2074" s="627"/>
      <c r="P2074" s="629"/>
      <c r="Q2074" s="629"/>
    </row>
    <row r="2075" spans="1:17" ht="15.75" hidden="1" thickBot="1">
      <c r="A2075" s="390" t="str">
        <f t="shared" ref="A2075:B2075" si="6094">A2072</f>
        <v>PHBV</v>
      </c>
      <c r="B2075" s="391" t="str">
        <f t="shared" si="6094"/>
        <v>fiber</v>
      </c>
      <c r="C2075" s="391">
        <f t="shared" ref="C2075" si="6095">C2074</f>
        <v>4</v>
      </c>
      <c r="D2075" s="391" t="str">
        <f t="shared" ref="D2075:E2075" si="6096">D2072</f>
        <v>0,1-1</v>
      </c>
      <c r="E2075" s="391">
        <f t="shared" si="6096"/>
        <v>1</v>
      </c>
      <c r="F2075" s="385" t="s">
        <v>1097</v>
      </c>
      <c r="G2075" s="422" t="str">
        <f>CONCATENATE("DE: ",A2075," ",B2075," ",D2075," mm (emission to ",F2075,")")</f>
        <v>DE: PHBV fiber 0,1-1 mm (emission to marine water)</v>
      </c>
      <c r="H2075" s="467">
        <v>0</v>
      </c>
      <c r="I2075" s="388" t="s">
        <v>1019</v>
      </c>
      <c r="J2075" s="634">
        <v>0.22800000000000001</v>
      </c>
      <c r="K2075" s="389">
        <v>50.46</v>
      </c>
      <c r="L2075" s="536"/>
      <c r="M2075" s="509">
        <f t="shared" si="6026"/>
        <v>4.9544193420531109</v>
      </c>
      <c r="N2075" s="645">
        <f t="shared" ref="N2075" si="6097">IFERROR(H2075*M2075+H2076*M2076+H2077*M2077+H2078*M2078+H2079*M2079,"N.A.")</f>
        <v>4.9544193420531109</v>
      </c>
      <c r="O2075" s="625"/>
      <c r="P2075" s="628">
        <f t="shared" si="5917"/>
        <v>4.9544193420531109</v>
      </c>
      <c r="Q2075" s="628">
        <f t="shared" si="6031"/>
        <v>4.9544193420531109</v>
      </c>
    </row>
    <row r="2076" spans="1:17" ht="15.75" hidden="1" thickBot="1">
      <c r="A2076" s="390" t="str">
        <f t="shared" ref="A2076:B2076" si="6098">A2073</f>
        <v>PHBV</v>
      </c>
      <c r="B2076" s="391" t="str">
        <f t="shared" si="6098"/>
        <v>fiber</v>
      </c>
      <c r="C2076" s="391">
        <f t="shared" ref="C2076" si="6099">C2075</f>
        <v>4</v>
      </c>
      <c r="D2076" s="391" t="str">
        <f t="shared" ref="D2076:E2076" si="6100">D2073</f>
        <v>0,1-1</v>
      </c>
      <c r="E2076" s="391">
        <f t="shared" si="6100"/>
        <v>1</v>
      </c>
      <c r="F2076" s="391" t="str">
        <f t="shared" ref="F2076:G2076" si="6101">F2075</f>
        <v>marine water</v>
      </c>
      <c r="G2076" s="401" t="str">
        <f t="shared" si="6101"/>
        <v>DE: PHBV fiber 0,1-1 mm (emission to marine water)</v>
      </c>
      <c r="H2076" s="465">
        <v>0</v>
      </c>
      <c r="I2076" s="394" t="s">
        <v>1097</v>
      </c>
      <c r="J2076" s="635"/>
      <c r="K2076" s="389">
        <v>416.77</v>
      </c>
      <c r="L2076" s="536"/>
      <c r="M2076" s="509">
        <f t="shared" si="6026"/>
        <v>0.59985123689325048</v>
      </c>
      <c r="N2076" s="646"/>
      <c r="O2076" s="626"/>
      <c r="P2076" s="629"/>
      <c r="Q2076" s="629"/>
    </row>
    <row r="2077" spans="1:17" ht="15.75" hidden="1" thickBot="1">
      <c r="A2077" s="390" t="str">
        <f t="shared" ref="A2077:B2077" si="6102">A2074</f>
        <v>PHBV</v>
      </c>
      <c r="B2077" s="391" t="str">
        <f t="shared" si="6102"/>
        <v>fiber</v>
      </c>
      <c r="C2077" s="391">
        <f t="shared" ref="C2077" si="6103">C2076</f>
        <v>4</v>
      </c>
      <c r="D2077" s="391" t="str">
        <f t="shared" ref="D2077:E2077" si="6104">D2074</f>
        <v>0,1-1</v>
      </c>
      <c r="E2077" s="391">
        <f t="shared" si="6104"/>
        <v>1</v>
      </c>
      <c r="F2077" s="391" t="str">
        <f t="shared" ref="F2077:G2077" si="6105">F2076</f>
        <v>marine water</v>
      </c>
      <c r="G2077" s="401" t="str">
        <f t="shared" si="6105"/>
        <v>DE: PHBV fiber 0,1-1 mm (emission to marine water)</v>
      </c>
      <c r="H2077" s="465">
        <v>0</v>
      </c>
      <c r="I2077" s="394" t="s">
        <v>1162</v>
      </c>
      <c r="J2077" s="635"/>
      <c r="K2077" s="389">
        <v>50.46</v>
      </c>
      <c r="L2077" s="536"/>
      <c r="M2077" s="509">
        <f t="shared" si="6026"/>
        <v>4.9544193420531109</v>
      </c>
      <c r="N2077" s="646"/>
      <c r="O2077" s="626"/>
      <c r="P2077" s="629"/>
      <c r="Q2077" s="629"/>
    </row>
    <row r="2078" spans="1:17" ht="15.75" hidden="1" thickBot="1">
      <c r="A2078" s="390" t="str">
        <f t="shared" ref="A2078:B2078" si="6106">A2075</f>
        <v>PHBV</v>
      </c>
      <c r="B2078" s="391" t="str">
        <f t="shared" si="6106"/>
        <v>fiber</v>
      </c>
      <c r="C2078" s="391">
        <f t="shared" ref="C2078" si="6107">C2077</f>
        <v>4</v>
      </c>
      <c r="D2078" s="391" t="str">
        <f t="shared" ref="D2078:E2078" si="6108">D2075</f>
        <v>0,1-1</v>
      </c>
      <c r="E2078" s="391">
        <f t="shared" si="6108"/>
        <v>1</v>
      </c>
      <c r="F2078" s="391" t="str">
        <f t="shared" ref="F2078:G2078" si="6109">F2077</f>
        <v>marine water</v>
      </c>
      <c r="G2078" s="401" t="str">
        <f t="shared" si="6109"/>
        <v>DE: PHBV fiber 0,1-1 mm (emission to marine water)</v>
      </c>
      <c r="H2078" s="465">
        <v>1</v>
      </c>
      <c r="I2078" s="394" t="s">
        <v>1163</v>
      </c>
      <c r="J2078" s="635"/>
      <c r="K2078" s="389">
        <v>50.46</v>
      </c>
      <c r="L2078" s="536"/>
      <c r="M2078" s="509">
        <f t="shared" si="6026"/>
        <v>4.9544193420531109</v>
      </c>
      <c r="N2078" s="646"/>
      <c r="O2078" s="626"/>
      <c r="P2078" s="629"/>
      <c r="Q2078" s="629"/>
    </row>
    <row r="2079" spans="1:17" ht="15.75" hidden="1" thickBot="1">
      <c r="A2079" s="390" t="str">
        <f t="shared" ref="A2079:B2079" si="6110">A2076</f>
        <v>PHBV</v>
      </c>
      <c r="B2079" s="391" t="str">
        <f t="shared" si="6110"/>
        <v>fiber</v>
      </c>
      <c r="C2079" s="391">
        <f t="shared" ref="C2079" si="6111">C2078</f>
        <v>4</v>
      </c>
      <c r="D2079" s="391" t="str">
        <f t="shared" ref="D2079:E2079" si="6112">D2076</f>
        <v>0,1-1</v>
      </c>
      <c r="E2079" s="391">
        <f t="shared" si="6112"/>
        <v>1</v>
      </c>
      <c r="F2079" s="391" t="str">
        <f t="shared" ref="F2079:G2079" si="6113">F2078</f>
        <v>marine water</v>
      </c>
      <c r="G2079" s="401" t="str">
        <f t="shared" si="6113"/>
        <v>DE: PHBV fiber 0,1-1 mm (emission to marine water)</v>
      </c>
      <c r="H2079" s="465">
        <v>0</v>
      </c>
      <c r="I2079" s="397" t="s">
        <v>1034</v>
      </c>
      <c r="J2079" s="654"/>
      <c r="K2079" s="398" t="s">
        <v>596</v>
      </c>
      <c r="L2079" s="538"/>
      <c r="M2079" s="509">
        <f t="shared" si="6026"/>
        <v>0</v>
      </c>
      <c r="N2079" s="647"/>
      <c r="O2079" s="627"/>
      <c r="P2079" s="629"/>
      <c r="Q2079" s="629"/>
    </row>
    <row r="2080" spans="1:17" ht="15.75" hidden="1" thickBot="1">
      <c r="A2080" s="390" t="str">
        <f t="shared" ref="A2080:B2080" si="6114">A2077</f>
        <v>PHBV</v>
      </c>
      <c r="B2080" s="391" t="str">
        <f t="shared" si="6114"/>
        <v>fiber</v>
      </c>
      <c r="C2080" s="391">
        <f t="shared" ref="C2080" si="6115">C2079</f>
        <v>4</v>
      </c>
      <c r="D2080" s="391" t="str">
        <f t="shared" ref="D2080:E2080" si="6116">D2077</f>
        <v>0,1-1</v>
      </c>
      <c r="E2080" s="391">
        <f t="shared" si="6116"/>
        <v>1</v>
      </c>
      <c r="F2080" s="400" t="s">
        <v>1057</v>
      </c>
      <c r="G2080" s="422" t="str">
        <f>CONCATENATE("DE: ",A2080," ",B2080," ",D2080," mm (emission to ",F2080,")")</f>
        <v>DE: PHBV fiber 0,1-1 mm (emission to air)</v>
      </c>
      <c r="H2080" s="467">
        <v>0.94799999999999995</v>
      </c>
      <c r="I2080" s="388" t="s">
        <v>1019</v>
      </c>
      <c r="J2080" s="634">
        <v>0.22800000000000001</v>
      </c>
      <c r="K2080" s="389">
        <v>50.46</v>
      </c>
      <c r="L2080" s="536"/>
      <c r="M2080" s="509">
        <f t="shared" si="6026"/>
        <v>4.9544193420531109</v>
      </c>
      <c r="N2080" s="645">
        <f t="shared" ref="N2080" si="6117">IFERROR(H2080*M2080+H2081*M2081+H2082*M2082+H2083*M2083+H2084*M2084,"N.A.")</f>
        <v>4.95441934205311</v>
      </c>
      <c r="O2080" s="625"/>
      <c r="P2080" s="628">
        <f t="shared" si="5917"/>
        <v>4.95441934205311</v>
      </c>
      <c r="Q2080" s="628">
        <f t="shared" si="6031"/>
        <v>4.95441934205311</v>
      </c>
    </row>
    <row r="2081" spans="1:17" ht="15.75" hidden="1" thickBot="1">
      <c r="A2081" s="390" t="str">
        <f t="shared" ref="A2081:B2081" si="6118">A2078</f>
        <v>PHBV</v>
      </c>
      <c r="B2081" s="391" t="str">
        <f t="shared" si="6118"/>
        <v>fiber</v>
      </c>
      <c r="C2081" s="391">
        <f t="shared" ref="C2081" si="6119">C2080</f>
        <v>4</v>
      </c>
      <c r="D2081" s="391" t="str">
        <f t="shared" ref="D2081:E2081" si="6120">D2078</f>
        <v>0,1-1</v>
      </c>
      <c r="E2081" s="391">
        <f t="shared" si="6120"/>
        <v>1</v>
      </c>
      <c r="F2081" s="391" t="str">
        <f t="shared" ref="F2081:G2081" si="6121">F2080</f>
        <v>air</v>
      </c>
      <c r="G2081" s="401" t="str">
        <f t="shared" si="6121"/>
        <v>DE: PHBV fiber 0,1-1 mm (emission to air)</v>
      </c>
      <c r="H2081" s="465">
        <v>0</v>
      </c>
      <c r="I2081" s="394" t="s">
        <v>1097</v>
      </c>
      <c r="J2081" s="635"/>
      <c r="K2081" s="389">
        <v>416.77</v>
      </c>
      <c r="L2081" s="536"/>
      <c r="M2081" s="509">
        <f t="shared" si="6026"/>
        <v>0.59985123689325048</v>
      </c>
      <c r="N2081" s="646"/>
      <c r="O2081" s="626"/>
      <c r="P2081" s="629"/>
      <c r="Q2081" s="629"/>
    </row>
    <row r="2082" spans="1:17" ht="15.75" hidden="1" thickBot="1">
      <c r="A2082" s="390" t="str">
        <f t="shared" ref="A2082:B2082" si="6122">A2079</f>
        <v>PHBV</v>
      </c>
      <c r="B2082" s="391" t="str">
        <f t="shared" si="6122"/>
        <v>fiber</v>
      </c>
      <c r="C2082" s="391">
        <f t="shared" ref="C2082" si="6123">C2081</f>
        <v>4</v>
      </c>
      <c r="D2082" s="391" t="str">
        <f t="shared" ref="D2082:E2082" si="6124">D2079</f>
        <v>0,1-1</v>
      </c>
      <c r="E2082" s="391">
        <f t="shared" si="6124"/>
        <v>1</v>
      </c>
      <c r="F2082" s="391" t="str">
        <f t="shared" ref="F2082:G2082" si="6125">F2081</f>
        <v>air</v>
      </c>
      <c r="G2082" s="401" t="str">
        <f t="shared" si="6125"/>
        <v>DE: PHBV fiber 0,1-1 mm (emission to air)</v>
      </c>
      <c r="H2082" s="465">
        <v>4.7E-2</v>
      </c>
      <c r="I2082" s="394" t="s">
        <v>1162</v>
      </c>
      <c r="J2082" s="635"/>
      <c r="K2082" s="389">
        <v>50.46</v>
      </c>
      <c r="L2082" s="536"/>
      <c r="M2082" s="509">
        <f t="shared" si="6026"/>
        <v>4.9544193420531109</v>
      </c>
      <c r="N2082" s="646"/>
      <c r="O2082" s="626"/>
      <c r="P2082" s="629"/>
      <c r="Q2082" s="629"/>
    </row>
    <row r="2083" spans="1:17" ht="15.75" hidden="1" thickBot="1">
      <c r="A2083" s="390" t="str">
        <f t="shared" ref="A2083:B2083" si="6126">A2080</f>
        <v>PHBV</v>
      </c>
      <c r="B2083" s="391" t="str">
        <f t="shared" si="6126"/>
        <v>fiber</v>
      </c>
      <c r="C2083" s="391">
        <f t="shared" ref="C2083" si="6127">C2082</f>
        <v>4</v>
      </c>
      <c r="D2083" s="391" t="str">
        <f t="shared" ref="D2083:E2083" si="6128">D2080</f>
        <v>0,1-1</v>
      </c>
      <c r="E2083" s="391">
        <f t="shared" si="6128"/>
        <v>1</v>
      </c>
      <c r="F2083" s="391" t="str">
        <f t="shared" ref="F2083:G2083" si="6129">F2082</f>
        <v>air</v>
      </c>
      <c r="G2083" s="401" t="str">
        <f t="shared" si="6129"/>
        <v>DE: PHBV fiber 0,1-1 mm (emission to air)</v>
      </c>
      <c r="H2083" s="465">
        <v>5.0000000000000001E-3</v>
      </c>
      <c r="I2083" s="394" t="s">
        <v>1163</v>
      </c>
      <c r="J2083" s="635"/>
      <c r="K2083" s="389">
        <v>50.46</v>
      </c>
      <c r="L2083" s="536"/>
      <c r="M2083" s="509">
        <f t="shared" si="6026"/>
        <v>4.9544193420531109</v>
      </c>
      <c r="N2083" s="646"/>
      <c r="O2083" s="626"/>
      <c r="P2083" s="629"/>
      <c r="Q2083" s="629"/>
    </row>
    <row r="2084" spans="1:17" ht="15.75" hidden="1" thickBot="1">
      <c r="A2084" s="390" t="str">
        <f t="shared" ref="A2084:B2084" si="6130">A2079</f>
        <v>PHBV</v>
      </c>
      <c r="B2084" s="391" t="str">
        <f t="shared" si="6130"/>
        <v>fiber</v>
      </c>
      <c r="C2084" s="391">
        <f t="shared" ref="C2084" si="6131">C2083</f>
        <v>4</v>
      </c>
      <c r="D2084" s="391" t="str">
        <f t="shared" ref="D2084:E2084" si="6132">D2079</f>
        <v>0,1-1</v>
      </c>
      <c r="E2084" s="391">
        <f t="shared" si="6132"/>
        <v>1</v>
      </c>
      <c r="F2084" s="391" t="str">
        <f t="shared" ref="F2084:G2084" si="6133">F2083</f>
        <v>air</v>
      </c>
      <c r="G2084" s="401" t="str">
        <f t="shared" si="6133"/>
        <v>DE: PHBV fiber 0,1-1 mm (emission to air)</v>
      </c>
      <c r="H2084" s="471">
        <v>0</v>
      </c>
      <c r="I2084" s="422" t="s">
        <v>1034</v>
      </c>
      <c r="J2084" s="636"/>
      <c r="K2084" s="451" t="s">
        <v>596</v>
      </c>
      <c r="L2084" s="542"/>
      <c r="M2084" s="509">
        <f t="shared" si="6026"/>
        <v>0</v>
      </c>
      <c r="N2084" s="647"/>
      <c r="O2084" s="627"/>
      <c r="P2084" s="629"/>
      <c r="Q2084" s="629"/>
    </row>
    <row r="2085" spans="1:17" ht="15.75" hidden="1" thickBot="1">
      <c r="A2085" s="405" t="s">
        <v>19</v>
      </c>
      <c r="B2085" s="406" t="s">
        <v>1151</v>
      </c>
      <c r="C2085" s="407">
        <v>4</v>
      </c>
      <c r="D2085" s="423" t="s">
        <v>1026</v>
      </c>
      <c r="E2085" s="408">
        <v>10</v>
      </c>
      <c r="F2085" s="424" t="s">
        <v>1019</v>
      </c>
      <c r="G2085" s="425" t="str">
        <f>CONCATENATE("DE: ",A2085," ",B2085," ",D2085," mm (emission to ",F2085,")")</f>
        <v>DE: PHBV fiber 1-10 mm (emission to soil)</v>
      </c>
      <c r="H2085" s="474">
        <v>0.97</v>
      </c>
      <c r="I2085" s="427" t="s">
        <v>1019</v>
      </c>
      <c r="J2085" s="632">
        <v>0.22800000000000001</v>
      </c>
      <c r="K2085" s="428">
        <v>50.46</v>
      </c>
      <c r="L2085" s="539"/>
      <c r="M2085" s="509">
        <f t="shared" si="6026"/>
        <v>49.544193420531116</v>
      </c>
      <c r="N2085" s="645">
        <f t="shared" ref="N2085" si="6134">IFERROR(H2085*M2085+H2086*M2086+H2087*M2087+H2088*M2088+H2089*M2089,"N.A.")</f>
        <v>49.544193420531109</v>
      </c>
      <c r="O2085" s="625"/>
      <c r="P2085" s="628">
        <f t="shared" ref="P2085:P2145" si="6135">IFERROR(IF(H2085*M2085+H2086*M2086+H2087*M2087+H2088*M2088+H2089*M2089&gt;100,100,H2085*M2085+H2086*M2086+H2087*M2087+H2088*M2088+H2089*M2089),"N.A.")</f>
        <v>49.544193420531109</v>
      </c>
      <c r="Q2085" s="628">
        <f t="shared" si="6031"/>
        <v>49.544193420531109</v>
      </c>
    </row>
    <row r="2086" spans="1:17" ht="15.75" hidden="1" thickBot="1">
      <c r="A2086" s="390" t="str">
        <f>A2085</f>
        <v>PHBV</v>
      </c>
      <c r="B2086" s="391" t="str">
        <f>B2085</f>
        <v>fiber</v>
      </c>
      <c r="C2086" s="391">
        <f t="shared" ref="C2086:G2086" si="6136">C2085</f>
        <v>4</v>
      </c>
      <c r="D2086" s="391" t="str">
        <f t="shared" si="6136"/>
        <v>1-10</v>
      </c>
      <c r="E2086" s="391">
        <f t="shared" si="6136"/>
        <v>10</v>
      </c>
      <c r="F2086" s="391" t="str">
        <f t="shared" si="6136"/>
        <v>soil</v>
      </c>
      <c r="G2086" s="392" t="str">
        <f t="shared" si="6136"/>
        <v>DE: PHBV fiber 1-10 mm (emission to soil)</v>
      </c>
      <c r="H2086" s="465">
        <v>0</v>
      </c>
      <c r="I2086" s="394" t="s">
        <v>1097</v>
      </c>
      <c r="J2086" s="632"/>
      <c r="K2086" s="395">
        <v>416.77</v>
      </c>
      <c r="L2086" s="537"/>
      <c r="M2086" s="509">
        <f t="shared" si="6026"/>
        <v>5.9985123689325048</v>
      </c>
      <c r="N2086" s="646"/>
      <c r="O2086" s="626"/>
      <c r="P2086" s="629"/>
      <c r="Q2086" s="629"/>
    </row>
    <row r="2087" spans="1:17" ht="15.75" hidden="1" thickBot="1">
      <c r="A2087" s="390" t="str">
        <f t="shared" ref="A2087:G2087" si="6137">A2086</f>
        <v>PHBV</v>
      </c>
      <c r="B2087" s="391" t="str">
        <f t="shared" si="6137"/>
        <v>fiber</v>
      </c>
      <c r="C2087" s="391">
        <f t="shared" si="6137"/>
        <v>4</v>
      </c>
      <c r="D2087" s="391" t="str">
        <f t="shared" si="6137"/>
        <v>1-10</v>
      </c>
      <c r="E2087" s="391">
        <f t="shared" si="6137"/>
        <v>10</v>
      </c>
      <c r="F2087" s="391" t="str">
        <f t="shared" si="6137"/>
        <v>soil</v>
      </c>
      <c r="G2087" s="392" t="str">
        <f t="shared" si="6137"/>
        <v>DE: PHBV fiber 1-10 mm (emission to soil)</v>
      </c>
      <c r="H2087" s="465">
        <v>2.7E-2</v>
      </c>
      <c r="I2087" s="394" t="s">
        <v>1162</v>
      </c>
      <c r="J2087" s="632"/>
      <c r="K2087" s="395">
        <v>50.46</v>
      </c>
      <c r="L2087" s="537"/>
      <c r="M2087" s="509">
        <f t="shared" si="6026"/>
        <v>49.544193420531116</v>
      </c>
      <c r="N2087" s="646"/>
      <c r="O2087" s="626"/>
      <c r="P2087" s="629"/>
      <c r="Q2087" s="629"/>
    </row>
    <row r="2088" spans="1:17" ht="15.75" hidden="1" thickBot="1">
      <c r="A2088" s="390" t="str">
        <f t="shared" ref="A2088:G2088" si="6138">A2087</f>
        <v>PHBV</v>
      </c>
      <c r="B2088" s="391" t="str">
        <f t="shared" si="6138"/>
        <v>fiber</v>
      </c>
      <c r="C2088" s="391">
        <f t="shared" si="6138"/>
        <v>4</v>
      </c>
      <c r="D2088" s="391" t="str">
        <f t="shared" si="6138"/>
        <v>1-10</v>
      </c>
      <c r="E2088" s="391">
        <f t="shared" si="6138"/>
        <v>10</v>
      </c>
      <c r="F2088" s="391" t="str">
        <f t="shared" si="6138"/>
        <v>soil</v>
      </c>
      <c r="G2088" s="392" t="str">
        <f t="shared" si="6138"/>
        <v>DE: PHBV fiber 1-10 mm (emission to soil)</v>
      </c>
      <c r="H2088" s="465">
        <v>3.0000000000000001E-3</v>
      </c>
      <c r="I2088" s="394" t="s">
        <v>1163</v>
      </c>
      <c r="J2088" s="632"/>
      <c r="K2088" s="395">
        <v>50.46</v>
      </c>
      <c r="L2088" s="537"/>
      <c r="M2088" s="509">
        <f t="shared" si="6026"/>
        <v>49.544193420531116</v>
      </c>
      <c r="N2088" s="646"/>
      <c r="O2088" s="626"/>
      <c r="P2088" s="629"/>
      <c r="Q2088" s="629"/>
    </row>
    <row r="2089" spans="1:17" ht="15.75" hidden="1" thickBot="1">
      <c r="A2089" s="390" t="str">
        <f>A2086</f>
        <v>PHBV</v>
      </c>
      <c r="B2089" s="391" t="str">
        <f>B2086</f>
        <v>fiber</v>
      </c>
      <c r="C2089" s="391">
        <f t="shared" ref="C2089" si="6139">C2088</f>
        <v>4</v>
      </c>
      <c r="D2089" s="391" t="str">
        <f>D2086</f>
        <v>1-10</v>
      </c>
      <c r="E2089" s="391">
        <f>E2086</f>
        <v>10</v>
      </c>
      <c r="F2089" s="391" t="str">
        <f>F2086</f>
        <v>soil</v>
      </c>
      <c r="G2089" s="396" t="str">
        <f t="shared" ref="G2089" si="6140">G2088</f>
        <v>DE: PHBV fiber 1-10 mm (emission to soil)</v>
      </c>
      <c r="H2089" s="465">
        <v>0</v>
      </c>
      <c r="I2089" s="397" t="s">
        <v>1034</v>
      </c>
      <c r="J2089" s="633"/>
      <c r="K2089" s="398" t="s">
        <v>596</v>
      </c>
      <c r="L2089" s="538"/>
      <c r="M2089" s="509">
        <f t="shared" si="6026"/>
        <v>0</v>
      </c>
      <c r="N2089" s="647"/>
      <c r="O2089" s="627"/>
      <c r="P2089" s="629"/>
      <c r="Q2089" s="629"/>
    </row>
    <row r="2090" spans="1:17" ht="15.75" hidden="1" thickBot="1">
      <c r="A2090" s="390" t="str">
        <f t="shared" ref="A2090:B2090" si="6141">A2087</f>
        <v>PHBV</v>
      </c>
      <c r="B2090" s="391" t="str">
        <f t="shared" si="6141"/>
        <v>fiber</v>
      </c>
      <c r="C2090" s="391">
        <f t="shared" ref="C2090" si="6142">C2089</f>
        <v>4</v>
      </c>
      <c r="D2090" s="399" t="str">
        <f t="shared" ref="D2090:E2090" si="6143">D2087</f>
        <v>1-10</v>
      </c>
      <c r="E2090" s="391">
        <f t="shared" si="6143"/>
        <v>10</v>
      </c>
      <c r="F2090" s="400" t="s">
        <v>1147</v>
      </c>
      <c r="G2090" s="386" t="str">
        <f>CONCATENATE("DE: ",A2090," ",B2090," ",D2090," mm (emission to ",F2090,")")</f>
        <v>DE: PHBV fiber 1-10 mm (emission to fresh water)</v>
      </c>
      <c r="H2090" s="466">
        <v>0</v>
      </c>
      <c r="I2090" s="388" t="s">
        <v>1019</v>
      </c>
      <c r="J2090" s="634">
        <v>0.22800000000000001</v>
      </c>
      <c r="K2090" s="389">
        <v>50.46</v>
      </c>
      <c r="L2090" s="536"/>
      <c r="M2090" s="509">
        <f t="shared" si="6026"/>
        <v>49.544193420531116</v>
      </c>
      <c r="N2090" s="645">
        <f t="shared" ref="N2090" si="6144">IFERROR(H2090*M2090+H2091*M2091+H2092*M2092+H2093*M2093+H2094*M2094,"N.A.")</f>
        <v>49.544193420531116</v>
      </c>
      <c r="O2090" s="625"/>
      <c r="P2090" s="628">
        <f t="shared" si="6135"/>
        <v>49.544193420531116</v>
      </c>
      <c r="Q2090" s="628">
        <f t="shared" si="6031"/>
        <v>49.544193420531116</v>
      </c>
    </row>
    <row r="2091" spans="1:17" ht="15.75" hidden="1" thickBot="1">
      <c r="A2091" s="390" t="str">
        <f t="shared" ref="A2091:B2091" si="6145">A2088</f>
        <v>PHBV</v>
      </c>
      <c r="B2091" s="391" t="str">
        <f t="shared" si="6145"/>
        <v>fiber</v>
      </c>
      <c r="C2091" s="391">
        <f t="shared" ref="C2091" si="6146">C2090</f>
        <v>4</v>
      </c>
      <c r="D2091" s="391" t="str">
        <f t="shared" ref="D2091:E2091" si="6147">D2088</f>
        <v>1-10</v>
      </c>
      <c r="E2091" s="391">
        <f t="shared" si="6147"/>
        <v>10</v>
      </c>
      <c r="F2091" s="391" t="str">
        <f t="shared" ref="F2091:G2091" si="6148">F2090</f>
        <v>fresh water</v>
      </c>
      <c r="G2091" s="401" t="str">
        <f t="shared" si="6148"/>
        <v>DE: PHBV fiber 1-10 mm (emission to fresh water)</v>
      </c>
      <c r="H2091" s="465">
        <v>0</v>
      </c>
      <c r="I2091" s="394" t="s">
        <v>1097</v>
      </c>
      <c r="J2091" s="635"/>
      <c r="K2091" s="389">
        <v>416.77</v>
      </c>
      <c r="L2091" s="536"/>
      <c r="M2091" s="509">
        <f t="shared" si="6026"/>
        <v>5.9985123689325048</v>
      </c>
      <c r="N2091" s="646"/>
      <c r="O2091" s="626"/>
      <c r="P2091" s="629"/>
      <c r="Q2091" s="629"/>
    </row>
    <row r="2092" spans="1:17" ht="15.75" hidden="1" thickBot="1">
      <c r="A2092" s="390" t="str">
        <f t="shared" ref="A2092:B2092" si="6149">A2089</f>
        <v>PHBV</v>
      </c>
      <c r="B2092" s="391" t="str">
        <f t="shared" si="6149"/>
        <v>fiber</v>
      </c>
      <c r="C2092" s="391">
        <f t="shared" ref="C2092" si="6150">C2091</f>
        <v>4</v>
      </c>
      <c r="D2092" s="391" t="str">
        <f t="shared" ref="D2092:E2092" si="6151">D2089</f>
        <v>1-10</v>
      </c>
      <c r="E2092" s="391">
        <f t="shared" si="6151"/>
        <v>10</v>
      </c>
      <c r="F2092" s="391" t="str">
        <f t="shared" ref="F2092:G2092" si="6152">F2091</f>
        <v>fresh water</v>
      </c>
      <c r="G2092" s="401" t="str">
        <f t="shared" si="6152"/>
        <v>DE: PHBV fiber 1-10 mm (emission to fresh water)</v>
      </c>
      <c r="H2092" s="465">
        <v>0.89</v>
      </c>
      <c r="I2092" s="394" t="s">
        <v>1162</v>
      </c>
      <c r="J2092" s="635"/>
      <c r="K2092" s="389">
        <v>50.46</v>
      </c>
      <c r="L2092" s="536"/>
      <c r="M2092" s="509">
        <f t="shared" si="6026"/>
        <v>49.544193420531116</v>
      </c>
      <c r="N2092" s="646"/>
      <c r="O2092" s="626"/>
      <c r="P2092" s="629"/>
      <c r="Q2092" s="629"/>
    </row>
    <row r="2093" spans="1:17" ht="15.75" hidden="1" thickBot="1">
      <c r="A2093" s="390" t="str">
        <f t="shared" ref="A2093:B2093" si="6153">A2090</f>
        <v>PHBV</v>
      </c>
      <c r="B2093" s="391" t="str">
        <f t="shared" si="6153"/>
        <v>fiber</v>
      </c>
      <c r="C2093" s="391">
        <f t="shared" ref="C2093" si="6154">C2092</f>
        <v>4</v>
      </c>
      <c r="D2093" s="391" t="str">
        <f t="shared" ref="D2093:E2093" si="6155">D2090</f>
        <v>1-10</v>
      </c>
      <c r="E2093" s="391">
        <f t="shared" si="6155"/>
        <v>10</v>
      </c>
      <c r="F2093" s="391" t="str">
        <f t="shared" ref="F2093:G2093" si="6156">F2092</f>
        <v>fresh water</v>
      </c>
      <c r="G2093" s="401" t="str">
        <f t="shared" si="6156"/>
        <v>DE: PHBV fiber 1-10 mm (emission to fresh water)</v>
      </c>
      <c r="H2093" s="465">
        <v>0.11</v>
      </c>
      <c r="I2093" s="394" t="s">
        <v>1163</v>
      </c>
      <c r="J2093" s="635"/>
      <c r="K2093" s="389">
        <v>50.46</v>
      </c>
      <c r="L2093" s="536"/>
      <c r="M2093" s="509">
        <f t="shared" si="6026"/>
        <v>49.544193420531116</v>
      </c>
      <c r="N2093" s="646"/>
      <c r="O2093" s="626"/>
      <c r="P2093" s="629"/>
      <c r="Q2093" s="629"/>
    </row>
    <row r="2094" spans="1:17" ht="15.75" hidden="1" thickBot="1">
      <c r="A2094" s="390" t="str">
        <f t="shared" ref="A2094:B2094" si="6157">A2091</f>
        <v>PHBV</v>
      </c>
      <c r="B2094" s="391" t="str">
        <f t="shared" si="6157"/>
        <v>fiber</v>
      </c>
      <c r="C2094" s="391">
        <f t="shared" ref="C2094" si="6158">C2093</f>
        <v>4</v>
      </c>
      <c r="D2094" s="391" t="str">
        <f t="shared" ref="D2094:E2094" si="6159">D2091</f>
        <v>1-10</v>
      </c>
      <c r="E2094" s="391">
        <f t="shared" si="6159"/>
        <v>10</v>
      </c>
      <c r="F2094" s="402" t="str">
        <f>F2091</f>
        <v>fresh water</v>
      </c>
      <c r="G2094" s="401" t="str">
        <f t="shared" ref="G2094" si="6160">G2093</f>
        <v>DE: PHBV fiber 1-10 mm (emission to fresh water)</v>
      </c>
      <c r="H2094" s="465">
        <v>0</v>
      </c>
      <c r="I2094" s="397" t="s">
        <v>1034</v>
      </c>
      <c r="J2094" s="654"/>
      <c r="K2094" s="398" t="s">
        <v>596</v>
      </c>
      <c r="L2094" s="538"/>
      <c r="M2094" s="509">
        <f t="shared" si="6026"/>
        <v>0</v>
      </c>
      <c r="N2094" s="647"/>
      <c r="O2094" s="627"/>
      <c r="P2094" s="629"/>
      <c r="Q2094" s="629"/>
    </row>
    <row r="2095" spans="1:17" ht="15.75" hidden="1" thickBot="1">
      <c r="A2095" s="390" t="str">
        <f t="shared" ref="A2095:B2095" si="6161">A2092</f>
        <v>PHBV</v>
      </c>
      <c r="B2095" s="391" t="str">
        <f t="shared" si="6161"/>
        <v>fiber</v>
      </c>
      <c r="C2095" s="391">
        <f t="shared" ref="C2095" si="6162">C2094</f>
        <v>4</v>
      </c>
      <c r="D2095" s="391" t="str">
        <f t="shared" ref="D2095:E2095" si="6163">D2092</f>
        <v>1-10</v>
      </c>
      <c r="E2095" s="391">
        <f t="shared" si="6163"/>
        <v>10</v>
      </c>
      <c r="F2095" s="385" t="s">
        <v>1097</v>
      </c>
      <c r="G2095" s="422" t="str">
        <f>CONCATENATE("DE: ",A2095," ",B2095," ",D2095," mm (emission to ",F2095,")")</f>
        <v>DE: PHBV fiber 1-10 mm (emission to marine water)</v>
      </c>
      <c r="H2095" s="467">
        <v>0</v>
      </c>
      <c r="I2095" s="388" t="s">
        <v>1019</v>
      </c>
      <c r="J2095" s="634">
        <v>0.22800000000000001</v>
      </c>
      <c r="K2095" s="389">
        <v>50.46</v>
      </c>
      <c r="L2095" s="536"/>
      <c r="M2095" s="509">
        <f t="shared" si="6026"/>
        <v>49.544193420531116</v>
      </c>
      <c r="N2095" s="645">
        <f t="shared" ref="N2095" si="6164">IFERROR(H2095*M2095+H2096*M2096+H2097*M2097+H2098*M2098+H2099*M2099,"N.A.")</f>
        <v>49.544193420531116</v>
      </c>
      <c r="O2095" s="625"/>
      <c r="P2095" s="628">
        <f t="shared" si="6135"/>
        <v>49.544193420531116</v>
      </c>
      <c r="Q2095" s="628">
        <f t="shared" si="6031"/>
        <v>49.544193420531116</v>
      </c>
    </row>
    <row r="2096" spans="1:17" ht="15.75" hidden="1" thickBot="1">
      <c r="A2096" s="390" t="str">
        <f t="shared" ref="A2096:B2096" si="6165">A2093</f>
        <v>PHBV</v>
      </c>
      <c r="B2096" s="391" t="str">
        <f t="shared" si="6165"/>
        <v>fiber</v>
      </c>
      <c r="C2096" s="391">
        <f t="shared" ref="C2096" si="6166">C2095</f>
        <v>4</v>
      </c>
      <c r="D2096" s="391" t="str">
        <f t="shared" ref="D2096:E2096" si="6167">D2093</f>
        <v>1-10</v>
      </c>
      <c r="E2096" s="391">
        <f t="shared" si="6167"/>
        <v>10</v>
      </c>
      <c r="F2096" s="391" t="str">
        <f t="shared" ref="F2096:G2096" si="6168">F2095</f>
        <v>marine water</v>
      </c>
      <c r="G2096" s="401" t="str">
        <f t="shared" si="6168"/>
        <v>DE: PHBV fiber 1-10 mm (emission to marine water)</v>
      </c>
      <c r="H2096" s="465">
        <v>0</v>
      </c>
      <c r="I2096" s="394" t="s">
        <v>1097</v>
      </c>
      <c r="J2096" s="635"/>
      <c r="K2096" s="389">
        <v>416.77</v>
      </c>
      <c r="L2096" s="536"/>
      <c r="M2096" s="509">
        <f t="shared" si="6026"/>
        <v>5.9985123689325048</v>
      </c>
      <c r="N2096" s="646"/>
      <c r="O2096" s="626"/>
      <c r="P2096" s="629"/>
      <c r="Q2096" s="629"/>
    </row>
    <row r="2097" spans="1:17" ht="15.75" hidden="1" thickBot="1">
      <c r="A2097" s="390" t="str">
        <f t="shared" ref="A2097:B2097" si="6169">A2094</f>
        <v>PHBV</v>
      </c>
      <c r="B2097" s="391" t="str">
        <f t="shared" si="6169"/>
        <v>fiber</v>
      </c>
      <c r="C2097" s="391">
        <f t="shared" ref="C2097" si="6170">C2096</f>
        <v>4</v>
      </c>
      <c r="D2097" s="391" t="str">
        <f t="shared" ref="D2097:E2097" si="6171">D2094</f>
        <v>1-10</v>
      </c>
      <c r="E2097" s="391">
        <f t="shared" si="6171"/>
        <v>10</v>
      </c>
      <c r="F2097" s="391" t="str">
        <f t="shared" ref="F2097:G2097" si="6172">F2096</f>
        <v>marine water</v>
      </c>
      <c r="G2097" s="401" t="str">
        <f t="shared" si="6172"/>
        <v>DE: PHBV fiber 1-10 mm (emission to marine water)</v>
      </c>
      <c r="H2097" s="465">
        <v>0</v>
      </c>
      <c r="I2097" s="394" t="s">
        <v>1162</v>
      </c>
      <c r="J2097" s="635"/>
      <c r="K2097" s="389">
        <v>50.46</v>
      </c>
      <c r="L2097" s="536"/>
      <c r="M2097" s="509">
        <f t="shared" si="6026"/>
        <v>49.544193420531116</v>
      </c>
      <c r="N2097" s="646"/>
      <c r="O2097" s="626"/>
      <c r="P2097" s="629"/>
      <c r="Q2097" s="629"/>
    </row>
    <row r="2098" spans="1:17" ht="15.75" hidden="1" thickBot="1">
      <c r="A2098" s="390" t="str">
        <f t="shared" ref="A2098:B2098" si="6173">A2095</f>
        <v>PHBV</v>
      </c>
      <c r="B2098" s="391" t="str">
        <f t="shared" si="6173"/>
        <v>fiber</v>
      </c>
      <c r="C2098" s="391">
        <f t="shared" ref="C2098" si="6174">C2097</f>
        <v>4</v>
      </c>
      <c r="D2098" s="391" t="str">
        <f t="shared" ref="D2098:E2098" si="6175">D2095</f>
        <v>1-10</v>
      </c>
      <c r="E2098" s="391">
        <f t="shared" si="6175"/>
        <v>10</v>
      </c>
      <c r="F2098" s="391" t="str">
        <f t="shared" ref="F2098:G2098" si="6176">F2097</f>
        <v>marine water</v>
      </c>
      <c r="G2098" s="401" t="str">
        <f t="shared" si="6176"/>
        <v>DE: PHBV fiber 1-10 mm (emission to marine water)</v>
      </c>
      <c r="H2098" s="465">
        <v>1</v>
      </c>
      <c r="I2098" s="394" t="s">
        <v>1163</v>
      </c>
      <c r="J2098" s="635"/>
      <c r="K2098" s="389">
        <v>50.46</v>
      </c>
      <c r="L2098" s="536"/>
      <c r="M2098" s="509">
        <f t="shared" si="6026"/>
        <v>49.544193420531116</v>
      </c>
      <c r="N2098" s="646"/>
      <c r="O2098" s="626"/>
      <c r="P2098" s="629"/>
      <c r="Q2098" s="629"/>
    </row>
    <row r="2099" spans="1:17" ht="15.75" hidden="1" thickBot="1">
      <c r="A2099" s="390" t="str">
        <f t="shared" ref="A2099:B2099" si="6177">A2096</f>
        <v>PHBV</v>
      </c>
      <c r="B2099" s="391" t="str">
        <f t="shared" si="6177"/>
        <v>fiber</v>
      </c>
      <c r="C2099" s="391">
        <f t="shared" ref="C2099" si="6178">C2098</f>
        <v>4</v>
      </c>
      <c r="D2099" s="391" t="str">
        <f t="shared" ref="D2099:E2099" si="6179">D2096</f>
        <v>1-10</v>
      </c>
      <c r="E2099" s="391">
        <f t="shared" si="6179"/>
        <v>10</v>
      </c>
      <c r="F2099" s="391" t="str">
        <f t="shared" ref="F2099:G2099" si="6180">F2098</f>
        <v>marine water</v>
      </c>
      <c r="G2099" s="401" t="str">
        <f t="shared" si="6180"/>
        <v>DE: PHBV fiber 1-10 mm (emission to marine water)</v>
      </c>
      <c r="H2099" s="465">
        <v>0</v>
      </c>
      <c r="I2099" s="397" t="s">
        <v>1034</v>
      </c>
      <c r="J2099" s="654"/>
      <c r="K2099" s="398" t="s">
        <v>596</v>
      </c>
      <c r="L2099" s="538"/>
      <c r="M2099" s="509">
        <f t="shared" si="6026"/>
        <v>0</v>
      </c>
      <c r="N2099" s="647"/>
      <c r="O2099" s="627"/>
      <c r="P2099" s="629"/>
      <c r="Q2099" s="629"/>
    </row>
    <row r="2100" spans="1:17" ht="15.75" hidden="1" thickBot="1">
      <c r="A2100" s="390" t="str">
        <f t="shared" ref="A2100:B2100" si="6181">A2097</f>
        <v>PHBV</v>
      </c>
      <c r="B2100" s="391" t="str">
        <f t="shared" si="6181"/>
        <v>fiber</v>
      </c>
      <c r="C2100" s="391">
        <f t="shared" ref="C2100" si="6182">C2099</f>
        <v>4</v>
      </c>
      <c r="D2100" s="391" t="str">
        <f t="shared" ref="D2100:E2100" si="6183">D2097</f>
        <v>1-10</v>
      </c>
      <c r="E2100" s="391">
        <f t="shared" si="6183"/>
        <v>10</v>
      </c>
      <c r="F2100" s="400" t="s">
        <v>1057</v>
      </c>
      <c r="G2100" s="422" t="str">
        <f>CONCATENATE("DE: ",A2100," ",B2100," ",D2100," mm (emission to ",F2100,")")</f>
        <v>DE: PHBV fiber 1-10 mm (emission to air)</v>
      </c>
      <c r="H2100" s="467">
        <v>0.94799999999999995</v>
      </c>
      <c r="I2100" s="388" t="s">
        <v>1019</v>
      </c>
      <c r="J2100" s="634">
        <v>0.22800000000000001</v>
      </c>
      <c r="K2100" s="389">
        <v>50.46</v>
      </c>
      <c r="L2100" s="536"/>
      <c r="M2100" s="509">
        <f t="shared" si="6026"/>
        <v>49.544193420531116</v>
      </c>
      <c r="N2100" s="645">
        <f t="shared" ref="N2100" si="6184">IFERROR(H2100*M2100+H2101*M2101+H2102*M2102+H2103*M2103+H2104*M2104,"N.A.")</f>
        <v>49.544193420531116</v>
      </c>
      <c r="O2100" s="625"/>
      <c r="P2100" s="628">
        <f t="shared" si="6135"/>
        <v>49.544193420531116</v>
      </c>
      <c r="Q2100" s="628">
        <f t="shared" si="6031"/>
        <v>49.544193420531116</v>
      </c>
    </row>
    <row r="2101" spans="1:17" ht="15.75" hidden="1" thickBot="1">
      <c r="A2101" s="390" t="str">
        <f t="shared" ref="A2101:B2101" si="6185">A2098</f>
        <v>PHBV</v>
      </c>
      <c r="B2101" s="391" t="str">
        <f t="shared" si="6185"/>
        <v>fiber</v>
      </c>
      <c r="C2101" s="391">
        <f t="shared" ref="C2101" si="6186">C2100</f>
        <v>4</v>
      </c>
      <c r="D2101" s="391" t="str">
        <f t="shared" ref="D2101:E2101" si="6187">D2098</f>
        <v>1-10</v>
      </c>
      <c r="E2101" s="391">
        <f t="shared" si="6187"/>
        <v>10</v>
      </c>
      <c r="F2101" s="391" t="str">
        <f t="shared" ref="F2101:G2101" si="6188">F2100</f>
        <v>air</v>
      </c>
      <c r="G2101" s="401" t="str">
        <f t="shared" si="6188"/>
        <v>DE: PHBV fiber 1-10 mm (emission to air)</v>
      </c>
      <c r="H2101" s="465">
        <v>0</v>
      </c>
      <c r="I2101" s="394" t="s">
        <v>1097</v>
      </c>
      <c r="J2101" s="635"/>
      <c r="K2101" s="389">
        <v>416.77</v>
      </c>
      <c r="L2101" s="536"/>
      <c r="M2101" s="509">
        <f t="shared" si="6026"/>
        <v>5.9985123689325048</v>
      </c>
      <c r="N2101" s="646"/>
      <c r="O2101" s="626"/>
      <c r="P2101" s="629"/>
      <c r="Q2101" s="629"/>
    </row>
    <row r="2102" spans="1:17" ht="15.75" hidden="1" thickBot="1">
      <c r="A2102" s="390" t="str">
        <f t="shared" ref="A2102:B2102" si="6189">A2099</f>
        <v>PHBV</v>
      </c>
      <c r="B2102" s="391" t="str">
        <f t="shared" si="6189"/>
        <v>fiber</v>
      </c>
      <c r="C2102" s="391">
        <f t="shared" ref="C2102" si="6190">C2101</f>
        <v>4</v>
      </c>
      <c r="D2102" s="391" t="str">
        <f t="shared" ref="D2102:E2102" si="6191">D2099</f>
        <v>1-10</v>
      </c>
      <c r="E2102" s="391">
        <f t="shared" si="6191"/>
        <v>10</v>
      </c>
      <c r="F2102" s="391" t="str">
        <f t="shared" ref="F2102:G2102" si="6192">F2101</f>
        <v>air</v>
      </c>
      <c r="G2102" s="401" t="str">
        <f t="shared" si="6192"/>
        <v>DE: PHBV fiber 1-10 mm (emission to air)</v>
      </c>
      <c r="H2102" s="465">
        <v>4.7E-2</v>
      </c>
      <c r="I2102" s="394" t="s">
        <v>1162</v>
      </c>
      <c r="J2102" s="635"/>
      <c r="K2102" s="389">
        <v>50.46</v>
      </c>
      <c r="L2102" s="536"/>
      <c r="M2102" s="509">
        <f t="shared" si="6026"/>
        <v>49.544193420531116</v>
      </c>
      <c r="N2102" s="646"/>
      <c r="O2102" s="626"/>
      <c r="P2102" s="629"/>
      <c r="Q2102" s="629"/>
    </row>
    <row r="2103" spans="1:17" ht="15.75" hidden="1" thickBot="1">
      <c r="A2103" s="390" t="str">
        <f t="shared" ref="A2103:B2103" si="6193">A2100</f>
        <v>PHBV</v>
      </c>
      <c r="B2103" s="391" t="str">
        <f t="shared" si="6193"/>
        <v>fiber</v>
      </c>
      <c r="C2103" s="391">
        <f t="shared" ref="C2103" si="6194">C2102</f>
        <v>4</v>
      </c>
      <c r="D2103" s="391" t="str">
        <f t="shared" ref="D2103:E2103" si="6195">D2100</f>
        <v>1-10</v>
      </c>
      <c r="E2103" s="391">
        <f t="shared" si="6195"/>
        <v>10</v>
      </c>
      <c r="F2103" s="391" t="str">
        <f t="shared" ref="F2103:G2103" si="6196">F2102</f>
        <v>air</v>
      </c>
      <c r="G2103" s="401" t="str">
        <f t="shared" si="6196"/>
        <v>DE: PHBV fiber 1-10 mm (emission to air)</v>
      </c>
      <c r="H2103" s="465">
        <v>5.0000000000000001E-3</v>
      </c>
      <c r="I2103" s="394" t="s">
        <v>1163</v>
      </c>
      <c r="J2103" s="635"/>
      <c r="K2103" s="389">
        <v>50.46</v>
      </c>
      <c r="L2103" s="536"/>
      <c r="M2103" s="509">
        <f t="shared" si="6026"/>
        <v>49.544193420531116</v>
      </c>
      <c r="N2103" s="646"/>
      <c r="O2103" s="626"/>
      <c r="P2103" s="629"/>
      <c r="Q2103" s="629"/>
    </row>
    <row r="2104" spans="1:17" ht="15.75" hidden="1" thickBot="1">
      <c r="A2104" s="452" t="str">
        <f t="shared" ref="A2104:B2104" si="6197">A2099</f>
        <v>PHBV</v>
      </c>
      <c r="B2104" s="453" t="str">
        <f t="shared" si="6197"/>
        <v>fiber</v>
      </c>
      <c r="C2104" s="453">
        <f t="shared" ref="C2104" si="6198">C2103</f>
        <v>4</v>
      </c>
      <c r="D2104" s="453" t="str">
        <f t="shared" ref="D2104:E2104" si="6199">D2099</f>
        <v>1-10</v>
      </c>
      <c r="E2104" s="453">
        <f t="shared" si="6199"/>
        <v>10</v>
      </c>
      <c r="F2104" s="453" t="str">
        <f t="shared" ref="F2104:G2104" si="6200">F2103</f>
        <v>air</v>
      </c>
      <c r="G2104" s="454" t="str">
        <f t="shared" si="6200"/>
        <v>DE: PHBV fiber 1-10 mm (emission to air)</v>
      </c>
      <c r="H2104" s="473">
        <v>0</v>
      </c>
      <c r="I2104" s="479" t="s">
        <v>1034</v>
      </c>
      <c r="J2104" s="636"/>
      <c r="K2104" s="457" t="s">
        <v>596</v>
      </c>
      <c r="L2104" s="543"/>
      <c r="M2104" s="509">
        <f t="shared" si="6026"/>
        <v>0</v>
      </c>
      <c r="N2104" s="647"/>
      <c r="O2104" s="627"/>
      <c r="P2104" s="629"/>
      <c r="Q2104" s="629"/>
    </row>
    <row r="2105" spans="1:17" ht="15.75" hidden="1" thickBot="1">
      <c r="A2105" s="405" t="s">
        <v>19</v>
      </c>
      <c r="B2105" s="382" t="s">
        <v>1152</v>
      </c>
      <c r="C2105" s="383">
        <v>6</v>
      </c>
      <c r="D2105" s="475" t="s">
        <v>1018</v>
      </c>
      <c r="E2105" s="384">
        <v>0.1</v>
      </c>
      <c r="F2105" s="385" t="s">
        <v>1019</v>
      </c>
      <c r="G2105" s="386" t="str">
        <f>CONCATENATE("DE: ",A2105," ",B2105," ",D2105," mm (emission to ",F2105,")")</f>
        <v>DE: PHBV particle 0,01-0,1 mm (emission to soil)</v>
      </c>
      <c r="H2105" s="466">
        <v>0.97</v>
      </c>
      <c r="I2105" s="388" t="s">
        <v>1019</v>
      </c>
      <c r="J2105" s="632">
        <v>0.22800000000000001</v>
      </c>
      <c r="K2105" s="389">
        <v>50.46</v>
      </c>
      <c r="L2105" s="536"/>
      <c r="M2105" s="509">
        <f t="shared" si="6026"/>
        <v>0.24772096710265556</v>
      </c>
      <c r="N2105" s="645">
        <f t="shared" ref="N2105" si="6201">IFERROR(H2105*M2105+H2106*M2106+H2107*M2107+H2108*M2108+H2109*M2109,"N.A.")</f>
        <v>0.24772096710265556</v>
      </c>
      <c r="O2105" s="625"/>
      <c r="P2105" s="628">
        <f t="shared" si="6135"/>
        <v>0.24772096710265556</v>
      </c>
      <c r="Q2105" s="628">
        <f t="shared" si="6031"/>
        <v>0.24772096710265556</v>
      </c>
    </row>
    <row r="2106" spans="1:17" ht="15.75" hidden="1" thickBot="1">
      <c r="A2106" s="390" t="str">
        <f>A2105</f>
        <v>PHBV</v>
      </c>
      <c r="B2106" s="391" t="str">
        <f>B2105</f>
        <v>particle</v>
      </c>
      <c r="C2106" s="391">
        <f t="shared" ref="C2106:G2106" si="6202">C2105</f>
        <v>6</v>
      </c>
      <c r="D2106" s="391" t="str">
        <f t="shared" si="6202"/>
        <v>0,01-0,1</v>
      </c>
      <c r="E2106" s="391">
        <f t="shared" si="6202"/>
        <v>0.1</v>
      </c>
      <c r="F2106" s="391" t="str">
        <f t="shared" si="6202"/>
        <v>soil</v>
      </c>
      <c r="G2106" s="392" t="str">
        <f t="shared" si="6202"/>
        <v>DE: PHBV particle 0,01-0,1 mm (emission to soil)</v>
      </c>
      <c r="H2106" s="465">
        <v>0</v>
      </c>
      <c r="I2106" s="394" t="s">
        <v>1097</v>
      </c>
      <c r="J2106" s="632"/>
      <c r="K2106" s="395">
        <v>416.77</v>
      </c>
      <c r="L2106" s="537"/>
      <c r="M2106" s="509">
        <f t="shared" si="6026"/>
        <v>2.9992561844662525E-2</v>
      </c>
      <c r="N2106" s="646"/>
      <c r="O2106" s="626"/>
      <c r="P2106" s="629"/>
      <c r="Q2106" s="629"/>
    </row>
    <row r="2107" spans="1:17" ht="15.75" hidden="1" thickBot="1">
      <c r="A2107" s="390" t="str">
        <f t="shared" ref="A2107:G2107" si="6203">A2106</f>
        <v>PHBV</v>
      </c>
      <c r="B2107" s="391" t="str">
        <f t="shared" si="6203"/>
        <v>particle</v>
      </c>
      <c r="C2107" s="391">
        <f t="shared" si="6203"/>
        <v>6</v>
      </c>
      <c r="D2107" s="391" t="str">
        <f t="shared" si="6203"/>
        <v>0,01-0,1</v>
      </c>
      <c r="E2107" s="391">
        <f t="shared" si="6203"/>
        <v>0.1</v>
      </c>
      <c r="F2107" s="391" t="str">
        <f t="shared" si="6203"/>
        <v>soil</v>
      </c>
      <c r="G2107" s="392" t="str">
        <f t="shared" si="6203"/>
        <v>DE: PHBV particle 0,01-0,1 mm (emission to soil)</v>
      </c>
      <c r="H2107" s="465">
        <v>2.7E-2</v>
      </c>
      <c r="I2107" s="394" t="s">
        <v>1162</v>
      </c>
      <c r="J2107" s="632"/>
      <c r="K2107" s="395">
        <v>50.46</v>
      </c>
      <c r="L2107" s="537"/>
      <c r="M2107" s="509">
        <f t="shared" si="6026"/>
        <v>0.24772096710265556</v>
      </c>
      <c r="N2107" s="646"/>
      <c r="O2107" s="626"/>
      <c r="P2107" s="629"/>
      <c r="Q2107" s="629"/>
    </row>
    <row r="2108" spans="1:17" ht="15.75" hidden="1" thickBot="1">
      <c r="A2108" s="390" t="str">
        <f t="shared" ref="A2108:G2108" si="6204">A2107</f>
        <v>PHBV</v>
      </c>
      <c r="B2108" s="391" t="str">
        <f t="shared" si="6204"/>
        <v>particle</v>
      </c>
      <c r="C2108" s="391">
        <f t="shared" si="6204"/>
        <v>6</v>
      </c>
      <c r="D2108" s="391" t="str">
        <f t="shared" si="6204"/>
        <v>0,01-0,1</v>
      </c>
      <c r="E2108" s="391">
        <f t="shared" si="6204"/>
        <v>0.1</v>
      </c>
      <c r="F2108" s="391" t="str">
        <f t="shared" si="6204"/>
        <v>soil</v>
      </c>
      <c r="G2108" s="392" t="str">
        <f t="shared" si="6204"/>
        <v>DE: PHBV particle 0,01-0,1 mm (emission to soil)</v>
      </c>
      <c r="H2108" s="465">
        <v>3.0000000000000001E-3</v>
      </c>
      <c r="I2108" s="394" t="s">
        <v>1163</v>
      </c>
      <c r="J2108" s="632"/>
      <c r="K2108" s="395">
        <v>50.46</v>
      </c>
      <c r="L2108" s="537"/>
      <c r="M2108" s="509">
        <f t="shared" si="6026"/>
        <v>0.24772096710265556</v>
      </c>
      <c r="N2108" s="646"/>
      <c r="O2108" s="626"/>
      <c r="P2108" s="629"/>
      <c r="Q2108" s="629"/>
    </row>
    <row r="2109" spans="1:17" ht="15.75" hidden="1" thickBot="1">
      <c r="A2109" s="390" t="str">
        <f>A2106</f>
        <v>PHBV</v>
      </c>
      <c r="B2109" s="391" t="str">
        <f>B2106</f>
        <v>particle</v>
      </c>
      <c r="C2109" s="391">
        <f t="shared" ref="C2109" si="6205">C2108</f>
        <v>6</v>
      </c>
      <c r="D2109" s="391" t="str">
        <f>D2106</f>
        <v>0,01-0,1</v>
      </c>
      <c r="E2109" s="391">
        <f>E2106</f>
        <v>0.1</v>
      </c>
      <c r="F2109" s="391" t="str">
        <f>F2106</f>
        <v>soil</v>
      </c>
      <c r="G2109" s="396" t="str">
        <f t="shared" ref="G2109" si="6206">G2108</f>
        <v>DE: PHBV particle 0,01-0,1 mm (emission to soil)</v>
      </c>
      <c r="H2109" s="465">
        <v>0</v>
      </c>
      <c r="I2109" s="397" t="s">
        <v>1034</v>
      </c>
      <c r="J2109" s="633"/>
      <c r="K2109" s="398" t="s">
        <v>596</v>
      </c>
      <c r="L2109" s="538"/>
      <c r="M2109" s="509">
        <f t="shared" si="6026"/>
        <v>0</v>
      </c>
      <c r="N2109" s="647"/>
      <c r="O2109" s="627"/>
      <c r="P2109" s="629"/>
      <c r="Q2109" s="629"/>
    </row>
    <row r="2110" spans="1:17" ht="15.75" hidden="1" thickBot="1">
      <c r="A2110" s="390" t="str">
        <f t="shared" ref="A2110:B2110" si="6207">A2107</f>
        <v>PHBV</v>
      </c>
      <c r="B2110" s="391" t="str">
        <f t="shared" si="6207"/>
        <v>particle</v>
      </c>
      <c r="C2110" s="391">
        <f t="shared" ref="C2110" si="6208">C2109</f>
        <v>6</v>
      </c>
      <c r="D2110" s="399" t="str">
        <f t="shared" ref="D2110:E2110" si="6209">D2107</f>
        <v>0,01-0,1</v>
      </c>
      <c r="E2110" s="391">
        <f t="shared" si="6209"/>
        <v>0.1</v>
      </c>
      <c r="F2110" s="400" t="s">
        <v>1147</v>
      </c>
      <c r="G2110" s="386" t="str">
        <f>CONCATENATE("DE: ",A2110," ",B2110," ",D2110," mm (emission to ",F2110,")")</f>
        <v>DE: PHBV particle 0,01-0,1 mm (emission to fresh water)</v>
      </c>
      <c r="H2110" s="466">
        <v>0</v>
      </c>
      <c r="I2110" s="388" t="s">
        <v>1019</v>
      </c>
      <c r="J2110" s="634">
        <v>0.22800000000000001</v>
      </c>
      <c r="K2110" s="389">
        <v>50.46</v>
      </c>
      <c r="L2110" s="536"/>
      <c r="M2110" s="509">
        <f t="shared" si="6026"/>
        <v>0.24772096710265556</v>
      </c>
      <c r="N2110" s="645">
        <f t="shared" ref="N2110:N2170" si="6210">IFERROR(H2110*M2110+H2111*M2111+H2112*M2112+H2113*M2113+H2114*M2114,"N.A.")</f>
        <v>0.24772096710265556</v>
      </c>
      <c r="O2110" s="625"/>
      <c r="P2110" s="628">
        <f t="shared" si="6135"/>
        <v>0.24772096710265556</v>
      </c>
      <c r="Q2110" s="628">
        <f t="shared" si="6031"/>
        <v>0.24772096710265556</v>
      </c>
    </row>
    <row r="2111" spans="1:17" ht="15.75" hidden="1" thickBot="1">
      <c r="A2111" s="390" t="str">
        <f t="shared" ref="A2111:B2111" si="6211">A2108</f>
        <v>PHBV</v>
      </c>
      <c r="B2111" s="391" t="str">
        <f t="shared" si="6211"/>
        <v>particle</v>
      </c>
      <c r="C2111" s="391">
        <f t="shared" ref="C2111" si="6212">C2110</f>
        <v>6</v>
      </c>
      <c r="D2111" s="391" t="str">
        <f t="shared" ref="D2111:E2111" si="6213">D2108</f>
        <v>0,01-0,1</v>
      </c>
      <c r="E2111" s="391">
        <f t="shared" si="6213"/>
        <v>0.1</v>
      </c>
      <c r="F2111" s="391" t="str">
        <f t="shared" ref="F2111:G2111" si="6214">F2110</f>
        <v>fresh water</v>
      </c>
      <c r="G2111" s="401" t="str">
        <f t="shared" si="6214"/>
        <v>DE: PHBV particle 0,01-0,1 mm (emission to fresh water)</v>
      </c>
      <c r="H2111" s="465">
        <v>0</v>
      </c>
      <c r="I2111" s="394" t="s">
        <v>1097</v>
      </c>
      <c r="J2111" s="635"/>
      <c r="K2111" s="389">
        <v>416.77</v>
      </c>
      <c r="L2111" s="536"/>
      <c r="M2111" s="509">
        <f t="shared" si="6026"/>
        <v>2.9992561844662525E-2</v>
      </c>
      <c r="N2111" s="646"/>
      <c r="O2111" s="626"/>
      <c r="P2111" s="629"/>
      <c r="Q2111" s="629"/>
    </row>
    <row r="2112" spans="1:17" ht="15.75" hidden="1" thickBot="1">
      <c r="A2112" s="390" t="str">
        <f t="shared" ref="A2112:B2112" si="6215">A2109</f>
        <v>PHBV</v>
      </c>
      <c r="B2112" s="391" t="str">
        <f t="shared" si="6215"/>
        <v>particle</v>
      </c>
      <c r="C2112" s="391">
        <f t="shared" ref="C2112" si="6216">C2111</f>
        <v>6</v>
      </c>
      <c r="D2112" s="391" t="str">
        <f t="shared" ref="D2112:E2112" si="6217">D2109</f>
        <v>0,01-0,1</v>
      </c>
      <c r="E2112" s="391">
        <f t="shared" si="6217"/>
        <v>0.1</v>
      </c>
      <c r="F2112" s="391" t="str">
        <f t="shared" ref="F2112:G2112" si="6218">F2111</f>
        <v>fresh water</v>
      </c>
      <c r="G2112" s="401" t="str">
        <f t="shared" si="6218"/>
        <v>DE: PHBV particle 0,01-0,1 mm (emission to fresh water)</v>
      </c>
      <c r="H2112" s="465">
        <v>0.89</v>
      </c>
      <c r="I2112" s="394" t="s">
        <v>1162</v>
      </c>
      <c r="J2112" s="635"/>
      <c r="K2112" s="389">
        <v>50.46</v>
      </c>
      <c r="L2112" s="536"/>
      <c r="M2112" s="509">
        <f t="shared" si="6026"/>
        <v>0.24772096710265556</v>
      </c>
      <c r="N2112" s="646"/>
      <c r="O2112" s="626"/>
      <c r="P2112" s="629"/>
      <c r="Q2112" s="629"/>
    </row>
    <row r="2113" spans="1:17" ht="15.75" hidden="1" thickBot="1">
      <c r="A2113" s="390" t="str">
        <f t="shared" ref="A2113:B2113" si="6219">A2110</f>
        <v>PHBV</v>
      </c>
      <c r="B2113" s="391" t="str">
        <f t="shared" si="6219"/>
        <v>particle</v>
      </c>
      <c r="C2113" s="391">
        <f t="shared" ref="C2113" si="6220">C2112</f>
        <v>6</v>
      </c>
      <c r="D2113" s="391" t="str">
        <f t="shared" ref="D2113:E2113" si="6221">D2110</f>
        <v>0,01-0,1</v>
      </c>
      <c r="E2113" s="391">
        <f t="shared" si="6221"/>
        <v>0.1</v>
      </c>
      <c r="F2113" s="391" t="str">
        <f t="shared" ref="F2113:G2113" si="6222">F2112</f>
        <v>fresh water</v>
      </c>
      <c r="G2113" s="401" t="str">
        <f t="shared" si="6222"/>
        <v>DE: PHBV particle 0,01-0,1 mm (emission to fresh water)</v>
      </c>
      <c r="H2113" s="465">
        <v>0.11</v>
      </c>
      <c r="I2113" s="394" t="s">
        <v>1163</v>
      </c>
      <c r="J2113" s="635"/>
      <c r="K2113" s="389">
        <v>50.46</v>
      </c>
      <c r="L2113" s="536"/>
      <c r="M2113" s="509">
        <f t="shared" si="6026"/>
        <v>0.24772096710265556</v>
      </c>
      <c r="N2113" s="646"/>
      <c r="O2113" s="626"/>
      <c r="P2113" s="629"/>
      <c r="Q2113" s="629"/>
    </row>
    <row r="2114" spans="1:17" ht="15.75" hidden="1" thickBot="1">
      <c r="A2114" s="390" t="str">
        <f t="shared" ref="A2114:B2114" si="6223">A2111</f>
        <v>PHBV</v>
      </c>
      <c r="B2114" s="391" t="str">
        <f t="shared" si="6223"/>
        <v>particle</v>
      </c>
      <c r="C2114" s="391">
        <f t="shared" ref="C2114" si="6224">C2113</f>
        <v>6</v>
      </c>
      <c r="D2114" s="391" t="str">
        <f t="shared" ref="D2114:E2114" si="6225">D2111</f>
        <v>0,01-0,1</v>
      </c>
      <c r="E2114" s="391">
        <f t="shared" si="6225"/>
        <v>0.1</v>
      </c>
      <c r="F2114" s="402" t="str">
        <f>F2111</f>
        <v>fresh water</v>
      </c>
      <c r="G2114" s="401" t="str">
        <f t="shared" ref="G2114" si="6226">G2113</f>
        <v>DE: PHBV particle 0,01-0,1 mm (emission to fresh water)</v>
      </c>
      <c r="H2114" s="465">
        <v>0</v>
      </c>
      <c r="I2114" s="397" t="s">
        <v>1034</v>
      </c>
      <c r="J2114" s="654"/>
      <c r="K2114" s="398" t="s">
        <v>596</v>
      </c>
      <c r="L2114" s="538"/>
      <c r="M2114" s="509">
        <f t="shared" si="6026"/>
        <v>0</v>
      </c>
      <c r="N2114" s="647"/>
      <c r="O2114" s="627"/>
      <c r="P2114" s="629"/>
      <c r="Q2114" s="629"/>
    </row>
    <row r="2115" spans="1:17" ht="15.75" hidden="1" thickBot="1">
      <c r="A2115" s="390" t="str">
        <f t="shared" ref="A2115:B2115" si="6227">A2112</f>
        <v>PHBV</v>
      </c>
      <c r="B2115" s="391" t="str">
        <f t="shared" si="6227"/>
        <v>particle</v>
      </c>
      <c r="C2115" s="391">
        <f t="shared" ref="C2115" si="6228">C2114</f>
        <v>6</v>
      </c>
      <c r="D2115" s="391" t="str">
        <f t="shared" ref="D2115:E2115" si="6229">D2112</f>
        <v>0,01-0,1</v>
      </c>
      <c r="E2115" s="391">
        <f t="shared" si="6229"/>
        <v>0.1</v>
      </c>
      <c r="F2115" s="385" t="s">
        <v>1097</v>
      </c>
      <c r="G2115" s="422" t="str">
        <f>CONCATENATE("DE: ",A2115," ",B2115," ",D2115," mm (emission to ",F2115,")")</f>
        <v>DE: PHBV particle 0,01-0,1 mm (emission to marine water)</v>
      </c>
      <c r="H2115" s="467">
        <v>0</v>
      </c>
      <c r="I2115" s="388" t="s">
        <v>1019</v>
      </c>
      <c r="J2115" s="634">
        <v>0.22800000000000001</v>
      </c>
      <c r="K2115" s="389">
        <v>50.46</v>
      </c>
      <c r="L2115" s="536"/>
      <c r="M2115" s="509">
        <f t="shared" si="6026"/>
        <v>0.24772096710265556</v>
      </c>
      <c r="N2115" s="645">
        <f t="shared" si="6210"/>
        <v>0.24772096710265556</v>
      </c>
      <c r="O2115" s="625"/>
      <c r="P2115" s="628">
        <f t="shared" si="6135"/>
        <v>0.24772096710265556</v>
      </c>
      <c r="Q2115" s="628">
        <f t="shared" si="6031"/>
        <v>0.24772096710265556</v>
      </c>
    </row>
    <row r="2116" spans="1:17" ht="15.75" hidden="1" thickBot="1">
      <c r="A2116" s="390" t="str">
        <f t="shared" ref="A2116:B2116" si="6230">A2113</f>
        <v>PHBV</v>
      </c>
      <c r="B2116" s="391" t="str">
        <f t="shared" si="6230"/>
        <v>particle</v>
      </c>
      <c r="C2116" s="391">
        <f t="shared" ref="C2116" si="6231">C2115</f>
        <v>6</v>
      </c>
      <c r="D2116" s="391" t="str">
        <f t="shared" ref="D2116:E2116" si="6232">D2113</f>
        <v>0,01-0,1</v>
      </c>
      <c r="E2116" s="391">
        <f t="shared" si="6232"/>
        <v>0.1</v>
      </c>
      <c r="F2116" s="391" t="str">
        <f t="shared" ref="F2116:G2116" si="6233">F2115</f>
        <v>marine water</v>
      </c>
      <c r="G2116" s="401" t="str">
        <f t="shared" si="6233"/>
        <v>DE: PHBV particle 0,01-0,1 mm (emission to marine water)</v>
      </c>
      <c r="H2116" s="465">
        <v>0</v>
      </c>
      <c r="I2116" s="394" t="s">
        <v>1097</v>
      </c>
      <c r="J2116" s="635"/>
      <c r="K2116" s="389">
        <v>416.77</v>
      </c>
      <c r="L2116" s="536"/>
      <c r="M2116" s="509">
        <f t="shared" si="6026"/>
        <v>2.9992561844662525E-2</v>
      </c>
      <c r="N2116" s="646"/>
      <c r="O2116" s="626"/>
      <c r="P2116" s="629"/>
      <c r="Q2116" s="629"/>
    </row>
    <row r="2117" spans="1:17" ht="15.75" hidden="1" thickBot="1">
      <c r="A2117" s="390" t="str">
        <f t="shared" ref="A2117:B2117" si="6234">A2114</f>
        <v>PHBV</v>
      </c>
      <c r="B2117" s="391" t="str">
        <f t="shared" si="6234"/>
        <v>particle</v>
      </c>
      <c r="C2117" s="391">
        <f t="shared" ref="C2117" si="6235">C2116</f>
        <v>6</v>
      </c>
      <c r="D2117" s="391" t="str">
        <f t="shared" ref="D2117:E2117" si="6236">D2114</f>
        <v>0,01-0,1</v>
      </c>
      <c r="E2117" s="391">
        <f t="shared" si="6236"/>
        <v>0.1</v>
      </c>
      <c r="F2117" s="391" t="str">
        <f t="shared" ref="F2117:G2117" si="6237">F2116</f>
        <v>marine water</v>
      </c>
      <c r="G2117" s="401" t="str">
        <f t="shared" si="6237"/>
        <v>DE: PHBV particle 0,01-0,1 mm (emission to marine water)</v>
      </c>
      <c r="H2117" s="465">
        <v>0</v>
      </c>
      <c r="I2117" s="394" t="s">
        <v>1162</v>
      </c>
      <c r="J2117" s="635"/>
      <c r="K2117" s="389">
        <v>50.46</v>
      </c>
      <c r="L2117" s="536"/>
      <c r="M2117" s="509">
        <f t="shared" si="6026"/>
        <v>0.24772096710265556</v>
      </c>
      <c r="N2117" s="646"/>
      <c r="O2117" s="626"/>
      <c r="P2117" s="629"/>
      <c r="Q2117" s="629"/>
    </row>
    <row r="2118" spans="1:17" ht="15.75" hidden="1" thickBot="1">
      <c r="A2118" s="390" t="str">
        <f t="shared" ref="A2118:B2118" si="6238">A2115</f>
        <v>PHBV</v>
      </c>
      <c r="B2118" s="391" t="str">
        <f t="shared" si="6238"/>
        <v>particle</v>
      </c>
      <c r="C2118" s="391">
        <f t="shared" ref="C2118" si="6239">C2117</f>
        <v>6</v>
      </c>
      <c r="D2118" s="391" t="str">
        <f t="shared" ref="D2118:E2118" si="6240">D2115</f>
        <v>0,01-0,1</v>
      </c>
      <c r="E2118" s="391">
        <f t="shared" si="6240"/>
        <v>0.1</v>
      </c>
      <c r="F2118" s="391" t="str">
        <f t="shared" ref="F2118:G2118" si="6241">F2117</f>
        <v>marine water</v>
      </c>
      <c r="G2118" s="401" t="str">
        <f t="shared" si="6241"/>
        <v>DE: PHBV particle 0,01-0,1 mm (emission to marine water)</v>
      </c>
      <c r="H2118" s="465">
        <v>1</v>
      </c>
      <c r="I2118" s="394" t="s">
        <v>1163</v>
      </c>
      <c r="J2118" s="635"/>
      <c r="K2118" s="389">
        <v>50.46</v>
      </c>
      <c r="L2118" s="536"/>
      <c r="M2118" s="509">
        <f t="shared" ref="M2118:M2181" si="6242">IFERROR(IF(K2118="--",0,IF(E2118*1000/K2118*(1-0.5)^(C2118/2)&gt;1000,1000,E2118*1000/K2118*(1-0.5)^(C2118/2))),1000)</f>
        <v>0.24772096710265556</v>
      </c>
      <c r="N2118" s="646"/>
      <c r="O2118" s="626"/>
      <c r="P2118" s="629"/>
      <c r="Q2118" s="629"/>
    </row>
    <row r="2119" spans="1:17" ht="15.75" hidden="1" thickBot="1">
      <c r="A2119" s="390" t="str">
        <f t="shared" ref="A2119:B2119" si="6243">A2116</f>
        <v>PHBV</v>
      </c>
      <c r="B2119" s="391" t="str">
        <f t="shared" si="6243"/>
        <v>particle</v>
      </c>
      <c r="C2119" s="391">
        <f t="shared" ref="C2119" si="6244">C2118</f>
        <v>6</v>
      </c>
      <c r="D2119" s="391" t="str">
        <f t="shared" ref="D2119:E2119" si="6245">D2116</f>
        <v>0,01-0,1</v>
      </c>
      <c r="E2119" s="391">
        <f t="shared" si="6245"/>
        <v>0.1</v>
      </c>
      <c r="F2119" s="391" t="str">
        <f t="shared" ref="F2119:G2119" si="6246">F2118</f>
        <v>marine water</v>
      </c>
      <c r="G2119" s="401" t="str">
        <f t="shared" si="6246"/>
        <v>DE: PHBV particle 0,01-0,1 mm (emission to marine water)</v>
      </c>
      <c r="H2119" s="465">
        <v>0</v>
      </c>
      <c r="I2119" s="397" t="s">
        <v>1034</v>
      </c>
      <c r="J2119" s="654"/>
      <c r="K2119" s="398" t="s">
        <v>596</v>
      </c>
      <c r="L2119" s="538"/>
      <c r="M2119" s="509">
        <f t="shared" si="6242"/>
        <v>0</v>
      </c>
      <c r="N2119" s="647"/>
      <c r="O2119" s="627"/>
      <c r="P2119" s="629"/>
      <c r="Q2119" s="629"/>
    </row>
    <row r="2120" spans="1:17" ht="15.75" hidden="1" thickBot="1">
      <c r="A2120" s="390" t="str">
        <f t="shared" ref="A2120:B2120" si="6247">A2117</f>
        <v>PHBV</v>
      </c>
      <c r="B2120" s="391" t="str">
        <f t="shared" si="6247"/>
        <v>particle</v>
      </c>
      <c r="C2120" s="391">
        <f t="shared" ref="C2120" si="6248">C2119</f>
        <v>6</v>
      </c>
      <c r="D2120" s="391" t="str">
        <f t="shared" ref="D2120:E2120" si="6249">D2117</f>
        <v>0,01-0,1</v>
      </c>
      <c r="E2120" s="391">
        <f t="shared" si="6249"/>
        <v>0.1</v>
      </c>
      <c r="F2120" s="400" t="s">
        <v>1057</v>
      </c>
      <c r="G2120" s="422" t="str">
        <f>CONCATENATE("DE: ",A2120," ",B2120," ",D2120," mm (emission to ",F2120,")")</f>
        <v>DE: PHBV particle 0,01-0,1 mm (emission to air)</v>
      </c>
      <c r="H2120" s="467">
        <v>0.94799999999999995</v>
      </c>
      <c r="I2120" s="388" t="s">
        <v>1019</v>
      </c>
      <c r="J2120" s="634">
        <v>0.22800000000000001</v>
      </c>
      <c r="K2120" s="389">
        <v>50.46</v>
      </c>
      <c r="L2120" s="536"/>
      <c r="M2120" s="509">
        <f t="shared" si="6242"/>
        <v>0.24772096710265556</v>
      </c>
      <c r="N2120" s="645">
        <f t="shared" si="6210"/>
        <v>0.24772096710265554</v>
      </c>
      <c r="O2120" s="625"/>
      <c r="P2120" s="628">
        <f t="shared" si="6135"/>
        <v>0.24772096710265554</v>
      </c>
      <c r="Q2120" s="628">
        <f t="shared" ref="Q2120:Q2180" si="6250">IFERROR(IF(H2120*M2120+H2121*M2121+H2122*M2122+H2123*M2123+H2124*M2124&gt;500,500,H2120*M2120+H2121*M2121+H2122*M2122+H2123*M2123+H2124*M2124),"N.A.")</f>
        <v>0.24772096710265554</v>
      </c>
    </row>
    <row r="2121" spans="1:17" ht="15.75" hidden="1" thickBot="1">
      <c r="A2121" s="390" t="str">
        <f t="shared" ref="A2121:B2121" si="6251">A2118</f>
        <v>PHBV</v>
      </c>
      <c r="B2121" s="391" t="str">
        <f t="shared" si="6251"/>
        <v>particle</v>
      </c>
      <c r="C2121" s="391">
        <f t="shared" ref="C2121" si="6252">C2120</f>
        <v>6</v>
      </c>
      <c r="D2121" s="391" t="str">
        <f t="shared" ref="D2121:E2121" si="6253">D2118</f>
        <v>0,01-0,1</v>
      </c>
      <c r="E2121" s="391">
        <f t="shared" si="6253"/>
        <v>0.1</v>
      </c>
      <c r="F2121" s="391" t="str">
        <f t="shared" ref="F2121:G2121" si="6254">F2120</f>
        <v>air</v>
      </c>
      <c r="G2121" s="401" t="str">
        <f t="shared" si="6254"/>
        <v>DE: PHBV particle 0,01-0,1 mm (emission to air)</v>
      </c>
      <c r="H2121" s="465">
        <v>0</v>
      </c>
      <c r="I2121" s="394" t="s">
        <v>1097</v>
      </c>
      <c r="J2121" s="635"/>
      <c r="K2121" s="389">
        <v>416.77</v>
      </c>
      <c r="L2121" s="536"/>
      <c r="M2121" s="509">
        <f t="shared" si="6242"/>
        <v>2.9992561844662525E-2</v>
      </c>
      <c r="N2121" s="646"/>
      <c r="O2121" s="626"/>
      <c r="P2121" s="629"/>
      <c r="Q2121" s="629"/>
    </row>
    <row r="2122" spans="1:17" ht="15.75" hidden="1" thickBot="1">
      <c r="A2122" s="390" t="str">
        <f t="shared" ref="A2122:B2122" si="6255">A2119</f>
        <v>PHBV</v>
      </c>
      <c r="B2122" s="391" t="str">
        <f t="shared" si="6255"/>
        <v>particle</v>
      </c>
      <c r="C2122" s="391">
        <f t="shared" ref="C2122" si="6256">C2121</f>
        <v>6</v>
      </c>
      <c r="D2122" s="391" t="str">
        <f t="shared" ref="D2122:E2122" si="6257">D2119</f>
        <v>0,01-0,1</v>
      </c>
      <c r="E2122" s="391">
        <f t="shared" si="6257"/>
        <v>0.1</v>
      </c>
      <c r="F2122" s="391" t="str">
        <f t="shared" ref="F2122:G2122" si="6258">F2121</f>
        <v>air</v>
      </c>
      <c r="G2122" s="401" t="str">
        <f t="shared" si="6258"/>
        <v>DE: PHBV particle 0,01-0,1 mm (emission to air)</v>
      </c>
      <c r="H2122" s="465">
        <v>4.7E-2</v>
      </c>
      <c r="I2122" s="394" t="s">
        <v>1162</v>
      </c>
      <c r="J2122" s="635"/>
      <c r="K2122" s="389">
        <v>50.46</v>
      </c>
      <c r="L2122" s="536"/>
      <c r="M2122" s="509">
        <f t="shared" si="6242"/>
        <v>0.24772096710265556</v>
      </c>
      <c r="N2122" s="646"/>
      <c r="O2122" s="626"/>
      <c r="P2122" s="629"/>
      <c r="Q2122" s="629"/>
    </row>
    <row r="2123" spans="1:17" ht="15.75" hidden="1" thickBot="1">
      <c r="A2123" s="390" t="str">
        <f t="shared" ref="A2123:B2123" si="6259">A2120</f>
        <v>PHBV</v>
      </c>
      <c r="B2123" s="391" t="str">
        <f t="shared" si="6259"/>
        <v>particle</v>
      </c>
      <c r="C2123" s="391">
        <f t="shared" ref="C2123" si="6260">C2122</f>
        <v>6</v>
      </c>
      <c r="D2123" s="391" t="str">
        <f t="shared" ref="D2123:E2123" si="6261">D2120</f>
        <v>0,01-0,1</v>
      </c>
      <c r="E2123" s="391">
        <f t="shared" si="6261"/>
        <v>0.1</v>
      </c>
      <c r="F2123" s="391" t="str">
        <f t="shared" ref="F2123:G2123" si="6262">F2122</f>
        <v>air</v>
      </c>
      <c r="G2123" s="401" t="str">
        <f t="shared" si="6262"/>
        <v>DE: PHBV particle 0,01-0,1 mm (emission to air)</v>
      </c>
      <c r="H2123" s="465">
        <v>5.0000000000000001E-3</v>
      </c>
      <c r="I2123" s="394" t="s">
        <v>1163</v>
      </c>
      <c r="J2123" s="635"/>
      <c r="K2123" s="389">
        <v>50.46</v>
      </c>
      <c r="L2123" s="536"/>
      <c r="M2123" s="509">
        <f t="shared" si="6242"/>
        <v>0.24772096710265556</v>
      </c>
      <c r="N2123" s="646"/>
      <c r="O2123" s="626"/>
      <c r="P2123" s="629"/>
      <c r="Q2123" s="629"/>
    </row>
    <row r="2124" spans="1:17" ht="15.75" hidden="1" thickBot="1">
      <c r="A2124" s="390" t="str">
        <f t="shared" ref="A2124:B2124" si="6263">A2119</f>
        <v>PHBV</v>
      </c>
      <c r="B2124" s="391" t="str">
        <f t="shared" si="6263"/>
        <v>particle</v>
      </c>
      <c r="C2124" s="391">
        <f t="shared" ref="C2124" si="6264">C2123</f>
        <v>6</v>
      </c>
      <c r="D2124" s="391" t="str">
        <f t="shared" ref="D2124:E2124" si="6265">D2119</f>
        <v>0,01-0,1</v>
      </c>
      <c r="E2124" s="391">
        <f t="shared" si="6265"/>
        <v>0.1</v>
      </c>
      <c r="F2124" s="391" t="str">
        <f t="shared" ref="F2124:G2124" si="6266">F2123</f>
        <v>air</v>
      </c>
      <c r="G2124" s="401" t="str">
        <f t="shared" si="6266"/>
        <v>DE: PHBV particle 0,01-0,1 mm (emission to air)</v>
      </c>
      <c r="H2124" s="471">
        <v>0</v>
      </c>
      <c r="I2124" s="422" t="s">
        <v>1034</v>
      </c>
      <c r="J2124" s="636"/>
      <c r="K2124" s="451" t="s">
        <v>596</v>
      </c>
      <c r="L2124" s="542"/>
      <c r="M2124" s="509">
        <f t="shared" si="6242"/>
        <v>0</v>
      </c>
      <c r="N2124" s="647"/>
      <c r="O2124" s="627"/>
      <c r="P2124" s="629"/>
      <c r="Q2124" s="629"/>
    </row>
    <row r="2125" spans="1:17" ht="15.75" hidden="1" thickBot="1">
      <c r="A2125" s="405" t="s">
        <v>19</v>
      </c>
      <c r="B2125" s="406" t="s">
        <v>1152</v>
      </c>
      <c r="C2125" s="407">
        <v>6</v>
      </c>
      <c r="D2125" s="423" t="s">
        <v>1028</v>
      </c>
      <c r="E2125" s="408">
        <v>1</v>
      </c>
      <c r="F2125" s="424" t="s">
        <v>1019</v>
      </c>
      <c r="G2125" s="425" t="str">
        <f>CONCATENATE("DE: ",A2125," ",B2125," ",D2125," mm (emission to ",F2125,")")</f>
        <v>DE: PHBV particle 0,1-1 mm (emission to soil)</v>
      </c>
      <c r="H2125" s="474">
        <v>0.97</v>
      </c>
      <c r="I2125" s="427" t="s">
        <v>1019</v>
      </c>
      <c r="J2125" s="632">
        <v>0.22800000000000001</v>
      </c>
      <c r="K2125" s="428">
        <v>50.46</v>
      </c>
      <c r="L2125" s="539"/>
      <c r="M2125" s="509">
        <f t="shared" si="6242"/>
        <v>2.4772096710265554</v>
      </c>
      <c r="N2125" s="645">
        <f t="shared" si="6210"/>
        <v>2.4772096710265554</v>
      </c>
      <c r="O2125" s="625"/>
      <c r="P2125" s="628">
        <f t="shared" si="6135"/>
        <v>2.4772096710265554</v>
      </c>
      <c r="Q2125" s="628">
        <f t="shared" si="6250"/>
        <v>2.4772096710265554</v>
      </c>
    </row>
    <row r="2126" spans="1:17" ht="15.75" hidden="1" thickBot="1">
      <c r="A2126" s="390" t="str">
        <f>A2125</f>
        <v>PHBV</v>
      </c>
      <c r="B2126" s="391" t="str">
        <f>B2125</f>
        <v>particle</v>
      </c>
      <c r="C2126" s="391">
        <f t="shared" ref="C2126:G2126" si="6267">C2125</f>
        <v>6</v>
      </c>
      <c r="D2126" s="391" t="str">
        <f t="shared" si="6267"/>
        <v>0,1-1</v>
      </c>
      <c r="E2126" s="391">
        <f t="shared" si="6267"/>
        <v>1</v>
      </c>
      <c r="F2126" s="391" t="str">
        <f t="shared" si="6267"/>
        <v>soil</v>
      </c>
      <c r="G2126" s="392" t="str">
        <f t="shared" si="6267"/>
        <v>DE: PHBV particle 0,1-1 mm (emission to soil)</v>
      </c>
      <c r="H2126" s="465">
        <v>0</v>
      </c>
      <c r="I2126" s="394" t="s">
        <v>1097</v>
      </c>
      <c r="J2126" s="632"/>
      <c r="K2126" s="395">
        <v>416.77</v>
      </c>
      <c r="L2126" s="537"/>
      <c r="M2126" s="509">
        <f t="shared" si="6242"/>
        <v>0.29992561844662524</v>
      </c>
      <c r="N2126" s="646"/>
      <c r="O2126" s="626"/>
      <c r="P2126" s="629"/>
      <c r="Q2126" s="629"/>
    </row>
    <row r="2127" spans="1:17" ht="15.75" hidden="1" thickBot="1">
      <c r="A2127" s="390" t="str">
        <f t="shared" ref="A2127:G2127" si="6268">A2126</f>
        <v>PHBV</v>
      </c>
      <c r="B2127" s="391" t="str">
        <f t="shared" si="6268"/>
        <v>particle</v>
      </c>
      <c r="C2127" s="391">
        <f t="shared" si="6268"/>
        <v>6</v>
      </c>
      <c r="D2127" s="391" t="str">
        <f t="shared" si="6268"/>
        <v>0,1-1</v>
      </c>
      <c r="E2127" s="391">
        <f t="shared" si="6268"/>
        <v>1</v>
      </c>
      <c r="F2127" s="391" t="str">
        <f t="shared" si="6268"/>
        <v>soil</v>
      </c>
      <c r="G2127" s="392" t="str">
        <f t="shared" si="6268"/>
        <v>DE: PHBV particle 0,1-1 mm (emission to soil)</v>
      </c>
      <c r="H2127" s="465">
        <v>2.7E-2</v>
      </c>
      <c r="I2127" s="394" t="s">
        <v>1162</v>
      </c>
      <c r="J2127" s="632"/>
      <c r="K2127" s="395">
        <v>50.46</v>
      </c>
      <c r="L2127" s="537"/>
      <c r="M2127" s="509">
        <f t="shared" si="6242"/>
        <v>2.4772096710265554</v>
      </c>
      <c r="N2127" s="646"/>
      <c r="O2127" s="626"/>
      <c r="P2127" s="629"/>
      <c r="Q2127" s="629"/>
    </row>
    <row r="2128" spans="1:17" ht="15.75" hidden="1" thickBot="1">
      <c r="A2128" s="390" t="str">
        <f t="shared" ref="A2128:G2128" si="6269">A2127</f>
        <v>PHBV</v>
      </c>
      <c r="B2128" s="391" t="str">
        <f t="shared" si="6269"/>
        <v>particle</v>
      </c>
      <c r="C2128" s="391">
        <f t="shared" si="6269"/>
        <v>6</v>
      </c>
      <c r="D2128" s="391" t="str">
        <f t="shared" si="6269"/>
        <v>0,1-1</v>
      </c>
      <c r="E2128" s="391">
        <f t="shared" si="6269"/>
        <v>1</v>
      </c>
      <c r="F2128" s="391" t="str">
        <f t="shared" si="6269"/>
        <v>soil</v>
      </c>
      <c r="G2128" s="392" t="str">
        <f t="shared" si="6269"/>
        <v>DE: PHBV particle 0,1-1 mm (emission to soil)</v>
      </c>
      <c r="H2128" s="465">
        <v>3.0000000000000001E-3</v>
      </c>
      <c r="I2128" s="394" t="s">
        <v>1163</v>
      </c>
      <c r="J2128" s="632"/>
      <c r="K2128" s="395">
        <v>50.46</v>
      </c>
      <c r="L2128" s="537"/>
      <c r="M2128" s="509">
        <f t="shared" si="6242"/>
        <v>2.4772096710265554</v>
      </c>
      <c r="N2128" s="646"/>
      <c r="O2128" s="626"/>
      <c r="P2128" s="629"/>
      <c r="Q2128" s="629"/>
    </row>
    <row r="2129" spans="1:17" ht="15.75" hidden="1" thickBot="1">
      <c r="A2129" s="390" t="str">
        <f>A2126</f>
        <v>PHBV</v>
      </c>
      <c r="B2129" s="391" t="str">
        <f>B2126</f>
        <v>particle</v>
      </c>
      <c r="C2129" s="391">
        <f t="shared" ref="C2129" si="6270">C2128</f>
        <v>6</v>
      </c>
      <c r="D2129" s="391" t="str">
        <f>D2126</f>
        <v>0,1-1</v>
      </c>
      <c r="E2129" s="391">
        <f>E2126</f>
        <v>1</v>
      </c>
      <c r="F2129" s="391" t="str">
        <f>F2126</f>
        <v>soil</v>
      </c>
      <c r="G2129" s="396" t="str">
        <f t="shared" ref="G2129" si="6271">G2128</f>
        <v>DE: PHBV particle 0,1-1 mm (emission to soil)</v>
      </c>
      <c r="H2129" s="465">
        <v>0</v>
      </c>
      <c r="I2129" s="397" t="s">
        <v>1034</v>
      </c>
      <c r="J2129" s="633"/>
      <c r="K2129" s="398" t="s">
        <v>596</v>
      </c>
      <c r="L2129" s="538"/>
      <c r="M2129" s="509">
        <f t="shared" si="6242"/>
        <v>0</v>
      </c>
      <c r="N2129" s="647"/>
      <c r="O2129" s="627"/>
      <c r="P2129" s="629"/>
      <c r="Q2129" s="629"/>
    </row>
    <row r="2130" spans="1:17" ht="15.75" hidden="1" thickBot="1">
      <c r="A2130" s="390" t="str">
        <f t="shared" ref="A2130:B2130" si="6272">A2127</f>
        <v>PHBV</v>
      </c>
      <c r="B2130" s="391" t="str">
        <f t="shared" si="6272"/>
        <v>particle</v>
      </c>
      <c r="C2130" s="391">
        <f t="shared" ref="C2130" si="6273">C2129</f>
        <v>6</v>
      </c>
      <c r="D2130" s="399" t="str">
        <f t="shared" ref="D2130:E2130" si="6274">D2127</f>
        <v>0,1-1</v>
      </c>
      <c r="E2130" s="391">
        <f t="shared" si="6274"/>
        <v>1</v>
      </c>
      <c r="F2130" s="400" t="s">
        <v>1147</v>
      </c>
      <c r="G2130" s="386" t="str">
        <f>CONCATENATE("DE: ",A2130," ",B2130," ",D2130," mm (emission to ",F2130,")")</f>
        <v>DE: PHBV particle 0,1-1 mm (emission to fresh water)</v>
      </c>
      <c r="H2130" s="466">
        <v>0</v>
      </c>
      <c r="I2130" s="388" t="s">
        <v>1019</v>
      </c>
      <c r="J2130" s="634">
        <v>0.22800000000000001</v>
      </c>
      <c r="K2130" s="389">
        <v>50.46</v>
      </c>
      <c r="L2130" s="536"/>
      <c r="M2130" s="509">
        <f t="shared" si="6242"/>
        <v>2.4772096710265554</v>
      </c>
      <c r="N2130" s="645">
        <f t="shared" si="6210"/>
        <v>2.4772096710265554</v>
      </c>
      <c r="O2130" s="625"/>
      <c r="P2130" s="628">
        <f t="shared" si="6135"/>
        <v>2.4772096710265554</v>
      </c>
      <c r="Q2130" s="628">
        <f t="shared" si="6250"/>
        <v>2.4772096710265554</v>
      </c>
    </row>
    <row r="2131" spans="1:17" ht="15.75" hidden="1" thickBot="1">
      <c r="A2131" s="390" t="str">
        <f t="shared" ref="A2131:B2131" si="6275">A2128</f>
        <v>PHBV</v>
      </c>
      <c r="B2131" s="391" t="str">
        <f t="shared" si="6275"/>
        <v>particle</v>
      </c>
      <c r="C2131" s="391">
        <f t="shared" ref="C2131" si="6276">C2130</f>
        <v>6</v>
      </c>
      <c r="D2131" s="391" t="str">
        <f t="shared" ref="D2131:E2131" si="6277">D2128</f>
        <v>0,1-1</v>
      </c>
      <c r="E2131" s="391">
        <f t="shared" si="6277"/>
        <v>1</v>
      </c>
      <c r="F2131" s="391" t="str">
        <f t="shared" ref="F2131:G2131" si="6278">F2130</f>
        <v>fresh water</v>
      </c>
      <c r="G2131" s="401" t="str">
        <f t="shared" si="6278"/>
        <v>DE: PHBV particle 0,1-1 mm (emission to fresh water)</v>
      </c>
      <c r="H2131" s="465">
        <v>0</v>
      </c>
      <c r="I2131" s="394" t="s">
        <v>1097</v>
      </c>
      <c r="J2131" s="635"/>
      <c r="K2131" s="389">
        <v>416.77</v>
      </c>
      <c r="L2131" s="536"/>
      <c r="M2131" s="509">
        <f t="shared" si="6242"/>
        <v>0.29992561844662524</v>
      </c>
      <c r="N2131" s="646"/>
      <c r="O2131" s="626"/>
      <c r="P2131" s="629"/>
      <c r="Q2131" s="629"/>
    </row>
    <row r="2132" spans="1:17" ht="15.75" hidden="1" thickBot="1">
      <c r="A2132" s="390" t="str">
        <f t="shared" ref="A2132:B2132" si="6279">A2129</f>
        <v>PHBV</v>
      </c>
      <c r="B2132" s="391" t="str">
        <f t="shared" si="6279"/>
        <v>particle</v>
      </c>
      <c r="C2132" s="391">
        <f t="shared" ref="C2132" si="6280">C2131</f>
        <v>6</v>
      </c>
      <c r="D2132" s="391" t="str">
        <f t="shared" ref="D2132:E2132" si="6281">D2129</f>
        <v>0,1-1</v>
      </c>
      <c r="E2132" s="391">
        <f t="shared" si="6281"/>
        <v>1</v>
      </c>
      <c r="F2132" s="391" t="str">
        <f t="shared" ref="F2132:G2132" si="6282">F2131</f>
        <v>fresh water</v>
      </c>
      <c r="G2132" s="401" t="str">
        <f t="shared" si="6282"/>
        <v>DE: PHBV particle 0,1-1 mm (emission to fresh water)</v>
      </c>
      <c r="H2132" s="465">
        <v>0.89</v>
      </c>
      <c r="I2132" s="394" t="s">
        <v>1162</v>
      </c>
      <c r="J2132" s="635"/>
      <c r="K2132" s="389">
        <v>50.46</v>
      </c>
      <c r="L2132" s="536"/>
      <c r="M2132" s="509">
        <f t="shared" si="6242"/>
        <v>2.4772096710265554</v>
      </c>
      <c r="N2132" s="646"/>
      <c r="O2132" s="626"/>
      <c r="P2132" s="629"/>
      <c r="Q2132" s="629"/>
    </row>
    <row r="2133" spans="1:17" ht="15.75" hidden="1" thickBot="1">
      <c r="A2133" s="390" t="str">
        <f t="shared" ref="A2133:B2133" si="6283">A2130</f>
        <v>PHBV</v>
      </c>
      <c r="B2133" s="391" t="str">
        <f t="shared" si="6283"/>
        <v>particle</v>
      </c>
      <c r="C2133" s="391">
        <f t="shared" ref="C2133" si="6284">C2132</f>
        <v>6</v>
      </c>
      <c r="D2133" s="391" t="str">
        <f t="shared" ref="D2133:E2133" si="6285">D2130</f>
        <v>0,1-1</v>
      </c>
      <c r="E2133" s="391">
        <f t="shared" si="6285"/>
        <v>1</v>
      </c>
      <c r="F2133" s="391" t="str">
        <f t="shared" ref="F2133:G2133" si="6286">F2132</f>
        <v>fresh water</v>
      </c>
      <c r="G2133" s="401" t="str">
        <f t="shared" si="6286"/>
        <v>DE: PHBV particle 0,1-1 mm (emission to fresh water)</v>
      </c>
      <c r="H2133" s="465">
        <v>0.11</v>
      </c>
      <c r="I2133" s="394" t="s">
        <v>1163</v>
      </c>
      <c r="J2133" s="635"/>
      <c r="K2133" s="389">
        <v>50.46</v>
      </c>
      <c r="L2133" s="536"/>
      <c r="M2133" s="509">
        <f t="shared" si="6242"/>
        <v>2.4772096710265554</v>
      </c>
      <c r="N2133" s="646"/>
      <c r="O2133" s="626"/>
      <c r="P2133" s="629"/>
      <c r="Q2133" s="629"/>
    </row>
    <row r="2134" spans="1:17" ht="15.75" hidden="1" thickBot="1">
      <c r="A2134" s="390" t="str">
        <f t="shared" ref="A2134:B2134" si="6287">A2131</f>
        <v>PHBV</v>
      </c>
      <c r="B2134" s="391" t="str">
        <f t="shared" si="6287"/>
        <v>particle</v>
      </c>
      <c r="C2134" s="391">
        <f t="shared" ref="C2134" si="6288">C2133</f>
        <v>6</v>
      </c>
      <c r="D2134" s="391" t="str">
        <f t="shared" ref="D2134:E2134" si="6289">D2131</f>
        <v>0,1-1</v>
      </c>
      <c r="E2134" s="391">
        <f t="shared" si="6289"/>
        <v>1</v>
      </c>
      <c r="F2134" s="402" t="str">
        <f>F2131</f>
        <v>fresh water</v>
      </c>
      <c r="G2134" s="401" t="str">
        <f t="shared" ref="G2134" si="6290">G2133</f>
        <v>DE: PHBV particle 0,1-1 mm (emission to fresh water)</v>
      </c>
      <c r="H2134" s="465">
        <v>0</v>
      </c>
      <c r="I2134" s="397" t="s">
        <v>1034</v>
      </c>
      <c r="J2134" s="654"/>
      <c r="K2134" s="398" t="s">
        <v>596</v>
      </c>
      <c r="L2134" s="538"/>
      <c r="M2134" s="509">
        <f t="shared" si="6242"/>
        <v>0</v>
      </c>
      <c r="N2134" s="647"/>
      <c r="O2134" s="627"/>
      <c r="P2134" s="629"/>
      <c r="Q2134" s="629"/>
    </row>
    <row r="2135" spans="1:17" ht="15.75" hidden="1" thickBot="1">
      <c r="A2135" s="390" t="str">
        <f t="shared" ref="A2135:B2135" si="6291">A2132</f>
        <v>PHBV</v>
      </c>
      <c r="B2135" s="391" t="str">
        <f t="shared" si="6291"/>
        <v>particle</v>
      </c>
      <c r="C2135" s="391">
        <f t="shared" ref="C2135" si="6292">C2134</f>
        <v>6</v>
      </c>
      <c r="D2135" s="391" t="str">
        <f t="shared" ref="D2135:E2135" si="6293">D2132</f>
        <v>0,1-1</v>
      </c>
      <c r="E2135" s="391">
        <f t="shared" si="6293"/>
        <v>1</v>
      </c>
      <c r="F2135" s="385" t="s">
        <v>1097</v>
      </c>
      <c r="G2135" s="422" t="str">
        <f>CONCATENATE("DE: ",A2135," ",B2135," ",D2135," mm (emission to ",F2135,")")</f>
        <v>DE: PHBV particle 0,1-1 mm (emission to marine water)</v>
      </c>
      <c r="H2135" s="467">
        <v>0</v>
      </c>
      <c r="I2135" s="388" t="s">
        <v>1019</v>
      </c>
      <c r="J2135" s="634">
        <v>0.22800000000000001</v>
      </c>
      <c r="K2135" s="389">
        <v>50.46</v>
      </c>
      <c r="L2135" s="536"/>
      <c r="M2135" s="509">
        <f t="shared" si="6242"/>
        <v>2.4772096710265554</v>
      </c>
      <c r="N2135" s="645">
        <f t="shared" si="6210"/>
        <v>2.4772096710265554</v>
      </c>
      <c r="O2135" s="625"/>
      <c r="P2135" s="628">
        <f t="shared" si="6135"/>
        <v>2.4772096710265554</v>
      </c>
      <c r="Q2135" s="628">
        <f t="shared" si="6250"/>
        <v>2.4772096710265554</v>
      </c>
    </row>
    <row r="2136" spans="1:17" ht="15.75" hidden="1" thickBot="1">
      <c r="A2136" s="390" t="str">
        <f t="shared" ref="A2136:B2136" si="6294">A2133</f>
        <v>PHBV</v>
      </c>
      <c r="B2136" s="391" t="str">
        <f t="shared" si="6294"/>
        <v>particle</v>
      </c>
      <c r="C2136" s="391">
        <f t="shared" ref="C2136" si="6295">C2135</f>
        <v>6</v>
      </c>
      <c r="D2136" s="391" t="str">
        <f t="shared" ref="D2136:E2136" si="6296">D2133</f>
        <v>0,1-1</v>
      </c>
      <c r="E2136" s="391">
        <f t="shared" si="6296"/>
        <v>1</v>
      </c>
      <c r="F2136" s="391" t="str">
        <f t="shared" ref="F2136:G2136" si="6297">F2135</f>
        <v>marine water</v>
      </c>
      <c r="G2136" s="401" t="str">
        <f t="shared" si="6297"/>
        <v>DE: PHBV particle 0,1-1 mm (emission to marine water)</v>
      </c>
      <c r="H2136" s="465">
        <v>0</v>
      </c>
      <c r="I2136" s="394" t="s">
        <v>1097</v>
      </c>
      <c r="J2136" s="635"/>
      <c r="K2136" s="389">
        <v>416.77</v>
      </c>
      <c r="L2136" s="536"/>
      <c r="M2136" s="509">
        <f t="shared" si="6242"/>
        <v>0.29992561844662524</v>
      </c>
      <c r="N2136" s="646"/>
      <c r="O2136" s="626"/>
      <c r="P2136" s="629"/>
      <c r="Q2136" s="629"/>
    </row>
    <row r="2137" spans="1:17" ht="15.75" hidden="1" thickBot="1">
      <c r="A2137" s="390" t="str">
        <f t="shared" ref="A2137:B2137" si="6298">A2134</f>
        <v>PHBV</v>
      </c>
      <c r="B2137" s="391" t="str">
        <f t="shared" si="6298"/>
        <v>particle</v>
      </c>
      <c r="C2137" s="391">
        <f t="shared" ref="C2137" si="6299">C2136</f>
        <v>6</v>
      </c>
      <c r="D2137" s="391" t="str">
        <f t="shared" ref="D2137:E2137" si="6300">D2134</f>
        <v>0,1-1</v>
      </c>
      <c r="E2137" s="391">
        <f t="shared" si="6300"/>
        <v>1</v>
      </c>
      <c r="F2137" s="391" t="str">
        <f t="shared" ref="F2137:G2137" si="6301">F2136</f>
        <v>marine water</v>
      </c>
      <c r="G2137" s="401" t="str">
        <f t="shared" si="6301"/>
        <v>DE: PHBV particle 0,1-1 mm (emission to marine water)</v>
      </c>
      <c r="H2137" s="465">
        <v>0</v>
      </c>
      <c r="I2137" s="394" t="s">
        <v>1162</v>
      </c>
      <c r="J2137" s="635"/>
      <c r="K2137" s="389">
        <v>50.46</v>
      </c>
      <c r="L2137" s="536"/>
      <c r="M2137" s="509">
        <f t="shared" si="6242"/>
        <v>2.4772096710265554</v>
      </c>
      <c r="N2137" s="646"/>
      <c r="O2137" s="626"/>
      <c r="P2137" s="629"/>
      <c r="Q2137" s="629"/>
    </row>
    <row r="2138" spans="1:17" ht="15.75" hidden="1" thickBot="1">
      <c r="A2138" s="390" t="str">
        <f t="shared" ref="A2138:B2138" si="6302">A2135</f>
        <v>PHBV</v>
      </c>
      <c r="B2138" s="391" t="str">
        <f t="shared" si="6302"/>
        <v>particle</v>
      </c>
      <c r="C2138" s="391">
        <f t="shared" ref="C2138" si="6303">C2137</f>
        <v>6</v>
      </c>
      <c r="D2138" s="391" t="str">
        <f t="shared" ref="D2138:E2138" si="6304">D2135</f>
        <v>0,1-1</v>
      </c>
      <c r="E2138" s="391">
        <f t="shared" si="6304"/>
        <v>1</v>
      </c>
      <c r="F2138" s="391" t="str">
        <f t="shared" ref="F2138:G2138" si="6305">F2137</f>
        <v>marine water</v>
      </c>
      <c r="G2138" s="401" t="str">
        <f t="shared" si="6305"/>
        <v>DE: PHBV particle 0,1-1 mm (emission to marine water)</v>
      </c>
      <c r="H2138" s="465">
        <v>1</v>
      </c>
      <c r="I2138" s="394" t="s">
        <v>1163</v>
      </c>
      <c r="J2138" s="635"/>
      <c r="K2138" s="389">
        <v>50.46</v>
      </c>
      <c r="L2138" s="536"/>
      <c r="M2138" s="509">
        <f t="shared" si="6242"/>
        <v>2.4772096710265554</v>
      </c>
      <c r="N2138" s="646"/>
      <c r="O2138" s="626"/>
      <c r="P2138" s="629"/>
      <c r="Q2138" s="629"/>
    </row>
    <row r="2139" spans="1:17" ht="15.75" hidden="1" thickBot="1">
      <c r="A2139" s="390" t="str">
        <f t="shared" ref="A2139:B2139" si="6306">A2136</f>
        <v>PHBV</v>
      </c>
      <c r="B2139" s="391" t="str">
        <f t="shared" si="6306"/>
        <v>particle</v>
      </c>
      <c r="C2139" s="391">
        <f t="shared" ref="C2139" si="6307">C2138</f>
        <v>6</v>
      </c>
      <c r="D2139" s="391" t="str">
        <f t="shared" ref="D2139:E2139" si="6308">D2136</f>
        <v>0,1-1</v>
      </c>
      <c r="E2139" s="391">
        <f t="shared" si="6308"/>
        <v>1</v>
      </c>
      <c r="F2139" s="391" t="str">
        <f t="shared" ref="F2139:G2139" si="6309">F2138</f>
        <v>marine water</v>
      </c>
      <c r="G2139" s="401" t="str">
        <f t="shared" si="6309"/>
        <v>DE: PHBV particle 0,1-1 mm (emission to marine water)</v>
      </c>
      <c r="H2139" s="465">
        <v>0</v>
      </c>
      <c r="I2139" s="397" t="s">
        <v>1034</v>
      </c>
      <c r="J2139" s="654"/>
      <c r="K2139" s="398" t="s">
        <v>596</v>
      </c>
      <c r="L2139" s="538"/>
      <c r="M2139" s="509">
        <f t="shared" si="6242"/>
        <v>0</v>
      </c>
      <c r="N2139" s="647"/>
      <c r="O2139" s="627"/>
      <c r="P2139" s="629"/>
      <c r="Q2139" s="629"/>
    </row>
    <row r="2140" spans="1:17" ht="15.75" hidden="1" thickBot="1">
      <c r="A2140" s="390" t="str">
        <f t="shared" ref="A2140:B2140" si="6310">A2137</f>
        <v>PHBV</v>
      </c>
      <c r="B2140" s="391" t="str">
        <f t="shared" si="6310"/>
        <v>particle</v>
      </c>
      <c r="C2140" s="391">
        <f t="shared" ref="C2140" si="6311">C2139</f>
        <v>6</v>
      </c>
      <c r="D2140" s="391" t="str">
        <f t="shared" ref="D2140:E2140" si="6312">D2137</f>
        <v>0,1-1</v>
      </c>
      <c r="E2140" s="391">
        <f t="shared" si="6312"/>
        <v>1</v>
      </c>
      <c r="F2140" s="400" t="s">
        <v>1057</v>
      </c>
      <c r="G2140" s="422" t="str">
        <f>CONCATENATE("DE: ",A2140," ",B2140," ",D2140," mm (emission to ",F2140,")")</f>
        <v>DE: PHBV particle 0,1-1 mm (emission to air)</v>
      </c>
      <c r="H2140" s="467">
        <v>0.94799999999999995</v>
      </c>
      <c r="I2140" s="388" t="s">
        <v>1019</v>
      </c>
      <c r="J2140" s="634">
        <v>0.22800000000000001</v>
      </c>
      <c r="K2140" s="389">
        <v>50.46</v>
      </c>
      <c r="L2140" s="536"/>
      <c r="M2140" s="509">
        <f t="shared" si="6242"/>
        <v>2.4772096710265554</v>
      </c>
      <c r="N2140" s="645">
        <f t="shared" si="6210"/>
        <v>2.477209671026555</v>
      </c>
      <c r="O2140" s="625"/>
      <c r="P2140" s="628">
        <f t="shared" si="6135"/>
        <v>2.477209671026555</v>
      </c>
      <c r="Q2140" s="628">
        <f t="shared" si="6250"/>
        <v>2.477209671026555</v>
      </c>
    </row>
    <row r="2141" spans="1:17" ht="15.75" hidden="1" thickBot="1">
      <c r="A2141" s="390" t="str">
        <f t="shared" ref="A2141:B2141" si="6313">A2138</f>
        <v>PHBV</v>
      </c>
      <c r="B2141" s="391" t="str">
        <f t="shared" si="6313"/>
        <v>particle</v>
      </c>
      <c r="C2141" s="391">
        <f t="shared" ref="C2141" si="6314">C2140</f>
        <v>6</v>
      </c>
      <c r="D2141" s="391" t="str">
        <f t="shared" ref="D2141:E2141" si="6315">D2138</f>
        <v>0,1-1</v>
      </c>
      <c r="E2141" s="391">
        <f t="shared" si="6315"/>
        <v>1</v>
      </c>
      <c r="F2141" s="391" t="str">
        <f t="shared" ref="F2141:G2141" si="6316">F2140</f>
        <v>air</v>
      </c>
      <c r="G2141" s="401" t="str">
        <f t="shared" si="6316"/>
        <v>DE: PHBV particle 0,1-1 mm (emission to air)</v>
      </c>
      <c r="H2141" s="465">
        <v>0</v>
      </c>
      <c r="I2141" s="394" t="s">
        <v>1097</v>
      </c>
      <c r="J2141" s="635"/>
      <c r="K2141" s="389">
        <v>416.77</v>
      </c>
      <c r="L2141" s="536"/>
      <c r="M2141" s="509">
        <f t="shared" si="6242"/>
        <v>0.29992561844662524</v>
      </c>
      <c r="N2141" s="646"/>
      <c r="O2141" s="626"/>
      <c r="P2141" s="629"/>
      <c r="Q2141" s="629"/>
    </row>
    <row r="2142" spans="1:17" ht="15.75" hidden="1" thickBot="1">
      <c r="A2142" s="390" t="str">
        <f t="shared" ref="A2142:B2142" si="6317">A2139</f>
        <v>PHBV</v>
      </c>
      <c r="B2142" s="391" t="str">
        <f t="shared" si="6317"/>
        <v>particle</v>
      </c>
      <c r="C2142" s="391">
        <f t="shared" ref="C2142" si="6318">C2141</f>
        <v>6</v>
      </c>
      <c r="D2142" s="391" t="str">
        <f t="shared" ref="D2142:E2142" si="6319">D2139</f>
        <v>0,1-1</v>
      </c>
      <c r="E2142" s="391">
        <f t="shared" si="6319"/>
        <v>1</v>
      </c>
      <c r="F2142" s="391" t="str">
        <f t="shared" ref="F2142:G2142" si="6320">F2141</f>
        <v>air</v>
      </c>
      <c r="G2142" s="401" t="str">
        <f t="shared" si="6320"/>
        <v>DE: PHBV particle 0,1-1 mm (emission to air)</v>
      </c>
      <c r="H2142" s="465">
        <v>4.7E-2</v>
      </c>
      <c r="I2142" s="394" t="s">
        <v>1162</v>
      </c>
      <c r="J2142" s="635"/>
      <c r="K2142" s="389">
        <v>50.46</v>
      </c>
      <c r="L2142" s="536"/>
      <c r="M2142" s="509">
        <f t="shared" si="6242"/>
        <v>2.4772096710265554</v>
      </c>
      <c r="N2142" s="646"/>
      <c r="O2142" s="626"/>
      <c r="P2142" s="629"/>
      <c r="Q2142" s="629"/>
    </row>
    <row r="2143" spans="1:17" ht="15.75" hidden="1" thickBot="1">
      <c r="A2143" s="390" t="str">
        <f t="shared" ref="A2143:B2143" si="6321">A2140</f>
        <v>PHBV</v>
      </c>
      <c r="B2143" s="391" t="str">
        <f t="shared" si="6321"/>
        <v>particle</v>
      </c>
      <c r="C2143" s="391">
        <f t="shared" ref="C2143" si="6322">C2142</f>
        <v>6</v>
      </c>
      <c r="D2143" s="391" t="str">
        <f t="shared" ref="D2143:E2143" si="6323">D2140</f>
        <v>0,1-1</v>
      </c>
      <c r="E2143" s="391">
        <f t="shared" si="6323"/>
        <v>1</v>
      </c>
      <c r="F2143" s="391" t="str">
        <f t="shared" ref="F2143:G2143" si="6324">F2142</f>
        <v>air</v>
      </c>
      <c r="G2143" s="401" t="str">
        <f t="shared" si="6324"/>
        <v>DE: PHBV particle 0,1-1 mm (emission to air)</v>
      </c>
      <c r="H2143" s="465">
        <v>5.0000000000000001E-3</v>
      </c>
      <c r="I2143" s="394" t="s">
        <v>1163</v>
      </c>
      <c r="J2143" s="635"/>
      <c r="K2143" s="389">
        <v>50.46</v>
      </c>
      <c r="L2143" s="536"/>
      <c r="M2143" s="509">
        <f t="shared" si="6242"/>
        <v>2.4772096710265554</v>
      </c>
      <c r="N2143" s="646"/>
      <c r="O2143" s="626"/>
      <c r="P2143" s="629"/>
      <c r="Q2143" s="629"/>
    </row>
    <row r="2144" spans="1:17" ht="15.75" hidden="1" thickBot="1">
      <c r="A2144" s="452" t="str">
        <f t="shared" ref="A2144:B2144" si="6325">A2139</f>
        <v>PHBV</v>
      </c>
      <c r="B2144" s="453" t="str">
        <f t="shared" si="6325"/>
        <v>particle</v>
      </c>
      <c r="C2144" s="453">
        <f t="shared" ref="C2144" si="6326">C2143</f>
        <v>6</v>
      </c>
      <c r="D2144" s="453" t="str">
        <f t="shared" ref="D2144:E2144" si="6327">D2139</f>
        <v>0,1-1</v>
      </c>
      <c r="E2144" s="453">
        <f t="shared" si="6327"/>
        <v>1</v>
      </c>
      <c r="F2144" s="453" t="str">
        <f t="shared" ref="F2144:G2144" si="6328">F2143</f>
        <v>air</v>
      </c>
      <c r="G2144" s="454" t="str">
        <f t="shared" si="6328"/>
        <v>DE: PHBV particle 0,1-1 mm (emission to air)</v>
      </c>
      <c r="H2144" s="473">
        <v>0</v>
      </c>
      <c r="I2144" s="456" t="s">
        <v>1034</v>
      </c>
      <c r="J2144" s="636"/>
      <c r="K2144" s="457" t="s">
        <v>596</v>
      </c>
      <c r="L2144" s="543"/>
      <c r="M2144" s="509">
        <f t="shared" si="6242"/>
        <v>0</v>
      </c>
      <c r="N2144" s="647"/>
      <c r="O2144" s="627"/>
      <c r="P2144" s="629"/>
      <c r="Q2144" s="629"/>
    </row>
    <row r="2145" spans="1:17" ht="15.75" hidden="1" thickBot="1">
      <c r="A2145" s="405" t="s">
        <v>19</v>
      </c>
      <c r="B2145" s="406" t="s">
        <v>1152</v>
      </c>
      <c r="C2145" s="407">
        <v>6</v>
      </c>
      <c r="D2145" s="423" t="s">
        <v>1026</v>
      </c>
      <c r="E2145" s="408">
        <v>10</v>
      </c>
      <c r="F2145" s="424" t="s">
        <v>1019</v>
      </c>
      <c r="G2145" s="425" t="str">
        <f>CONCATENATE("DE: ",A2145," ",B2145," ",D2145," mm (emission to ",F2145,")")</f>
        <v>DE: PHBV particle 1-10 mm (emission to soil)</v>
      </c>
      <c r="H2145" s="474">
        <v>0.97</v>
      </c>
      <c r="I2145" s="427" t="s">
        <v>1019</v>
      </c>
      <c r="J2145" s="632">
        <v>0.22800000000000001</v>
      </c>
      <c r="K2145" s="428">
        <v>50.46</v>
      </c>
      <c r="L2145" s="539"/>
      <c r="M2145" s="509">
        <f t="shared" si="6242"/>
        <v>24.772096710265558</v>
      </c>
      <c r="N2145" s="645">
        <f t="shared" si="6210"/>
        <v>24.772096710265554</v>
      </c>
      <c r="O2145" s="625"/>
      <c r="P2145" s="628">
        <f t="shared" si="6135"/>
        <v>24.772096710265554</v>
      </c>
      <c r="Q2145" s="628">
        <f t="shared" si="6250"/>
        <v>24.772096710265554</v>
      </c>
    </row>
    <row r="2146" spans="1:17" ht="15.75" hidden="1" thickBot="1">
      <c r="A2146" s="390" t="str">
        <f>A2145</f>
        <v>PHBV</v>
      </c>
      <c r="B2146" s="391" t="str">
        <f>B2145</f>
        <v>particle</v>
      </c>
      <c r="C2146" s="391">
        <f t="shared" ref="C2146:G2146" si="6329">C2145</f>
        <v>6</v>
      </c>
      <c r="D2146" s="391" t="str">
        <f t="shared" si="6329"/>
        <v>1-10</v>
      </c>
      <c r="E2146" s="391">
        <f t="shared" si="6329"/>
        <v>10</v>
      </c>
      <c r="F2146" s="391" t="str">
        <f t="shared" si="6329"/>
        <v>soil</v>
      </c>
      <c r="G2146" s="392" t="str">
        <f t="shared" si="6329"/>
        <v>DE: PHBV particle 1-10 mm (emission to soil)</v>
      </c>
      <c r="H2146" s="465">
        <v>0</v>
      </c>
      <c r="I2146" s="394" t="s">
        <v>1097</v>
      </c>
      <c r="J2146" s="632"/>
      <c r="K2146" s="395">
        <v>416.77</v>
      </c>
      <c r="L2146" s="537"/>
      <c r="M2146" s="509">
        <f t="shared" si="6242"/>
        <v>2.9992561844662524</v>
      </c>
      <c r="N2146" s="646"/>
      <c r="O2146" s="626"/>
      <c r="P2146" s="629"/>
      <c r="Q2146" s="629"/>
    </row>
    <row r="2147" spans="1:17" ht="15.75" hidden="1" thickBot="1">
      <c r="A2147" s="390" t="str">
        <f t="shared" ref="A2147:G2147" si="6330">A2146</f>
        <v>PHBV</v>
      </c>
      <c r="B2147" s="391" t="str">
        <f t="shared" si="6330"/>
        <v>particle</v>
      </c>
      <c r="C2147" s="391">
        <f t="shared" si="6330"/>
        <v>6</v>
      </c>
      <c r="D2147" s="391" t="str">
        <f t="shared" si="6330"/>
        <v>1-10</v>
      </c>
      <c r="E2147" s="391">
        <f t="shared" si="6330"/>
        <v>10</v>
      </c>
      <c r="F2147" s="391" t="str">
        <f t="shared" si="6330"/>
        <v>soil</v>
      </c>
      <c r="G2147" s="392" t="str">
        <f t="shared" si="6330"/>
        <v>DE: PHBV particle 1-10 mm (emission to soil)</v>
      </c>
      <c r="H2147" s="465">
        <v>2.7E-2</v>
      </c>
      <c r="I2147" s="394" t="s">
        <v>1162</v>
      </c>
      <c r="J2147" s="632"/>
      <c r="K2147" s="395">
        <v>50.46</v>
      </c>
      <c r="L2147" s="537"/>
      <c r="M2147" s="509">
        <f t="shared" si="6242"/>
        <v>24.772096710265558</v>
      </c>
      <c r="N2147" s="646"/>
      <c r="O2147" s="626"/>
      <c r="P2147" s="629"/>
      <c r="Q2147" s="629"/>
    </row>
    <row r="2148" spans="1:17" ht="15.75" hidden="1" thickBot="1">
      <c r="A2148" s="390" t="str">
        <f t="shared" ref="A2148:G2148" si="6331">A2147</f>
        <v>PHBV</v>
      </c>
      <c r="B2148" s="391" t="str">
        <f t="shared" si="6331"/>
        <v>particle</v>
      </c>
      <c r="C2148" s="391">
        <f t="shared" si="6331"/>
        <v>6</v>
      </c>
      <c r="D2148" s="391" t="str">
        <f t="shared" si="6331"/>
        <v>1-10</v>
      </c>
      <c r="E2148" s="391">
        <f t="shared" si="6331"/>
        <v>10</v>
      </c>
      <c r="F2148" s="391" t="str">
        <f t="shared" si="6331"/>
        <v>soil</v>
      </c>
      <c r="G2148" s="392" t="str">
        <f t="shared" si="6331"/>
        <v>DE: PHBV particle 1-10 mm (emission to soil)</v>
      </c>
      <c r="H2148" s="465">
        <v>3.0000000000000001E-3</v>
      </c>
      <c r="I2148" s="394" t="s">
        <v>1163</v>
      </c>
      <c r="J2148" s="632"/>
      <c r="K2148" s="395">
        <v>50.46</v>
      </c>
      <c r="L2148" s="537"/>
      <c r="M2148" s="509">
        <f t="shared" si="6242"/>
        <v>24.772096710265558</v>
      </c>
      <c r="N2148" s="646"/>
      <c r="O2148" s="626"/>
      <c r="P2148" s="629"/>
      <c r="Q2148" s="629"/>
    </row>
    <row r="2149" spans="1:17" ht="15.75" hidden="1" thickBot="1">
      <c r="A2149" s="390" t="str">
        <f>A2146</f>
        <v>PHBV</v>
      </c>
      <c r="B2149" s="391" t="str">
        <f>B2146</f>
        <v>particle</v>
      </c>
      <c r="C2149" s="391">
        <f t="shared" ref="C2149" si="6332">C2148</f>
        <v>6</v>
      </c>
      <c r="D2149" s="391" t="str">
        <f>D2146</f>
        <v>1-10</v>
      </c>
      <c r="E2149" s="391">
        <f>E2146</f>
        <v>10</v>
      </c>
      <c r="F2149" s="391" t="str">
        <f>F2146</f>
        <v>soil</v>
      </c>
      <c r="G2149" s="396" t="str">
        <f t="shared" ref="G2149" si="6333">G2148</f>
        <v>DE: PHBV particle 1-10 mm (emission to soil)</v>
      </c>
      <c r="H2149" s="465">
        <v>0</v>
      </c>
      <c r="I2149" s="397" t="s">
        <v>1034</v>
      </c>
      <c r="J2149" s="633"/>
      <c r="K2149" s="398" t="s">
        <v>596</v>
      </c>
      <c r="L2149" s="538"/>
      <c r="M2149" s="509">
        <f t="shared" si="6242"/>
        <v>0</v>
      </c>
      <c r="N2149" s="647"/>
      <c r="O2149" s="627"/>
      <c r="P2149" s="629"/>
      <c r="Q2149" s="629"/>
    </row>
    <row r="2150" spans="1:17" ht="15.75" hidden="1" thickBot="1">
      <c r="A2150" s="390" t="str">
        <f t="shared" ref="A2150:B2150" si="6334">A2147</f>
        <v>PHBV</v>
      </c>
      <c r="B2150" s="391" t="str">
        <f t="shared" si="6334"/>
        <v>particle</v>
      </c>
      <c r="C2150" s="391">
        <f t="shared" ref="C2150" si="6335">C2149</f>
        <v>6</v>
      </c>
      <c r="D2150" s="399" t="str">
        <f t="shared" ref="D2150:E2150" si="6336">D2147</f>
        <v>1-10</v>
      </c>
      <c r="E2150" s="391">
        <f t="shared" si="6336"/>
        <v>10</v>
      </c>
      <c r="F2150" s="400" t="s">
        <v>1147</v>
      </c>
      <c r="G2150" s="386" t="str">
        <f>CONCATENATE("DE: ",A2150," ",B2150," ",D2150," mm (emission to ",F2150,")")</f>
        <v>DE: PHBV particle 1-10 mm (emission to fresh water)</v>
      </c>
      <c r="H2150" s="466">
        <v>0</v>
      </c>
      <c r="I2150" s="388" t="s">
        <v>1019</v>
      </c>
      <c r="J2150" s="634">
        <v>0.22800000000000001</v>
      </c>
      <c r="K2150" s="389">
        <v>50.46</v>
      </c>
      <c r="L2150" s="536"/>
      <c r="M2150" s="509">
        <f t="shared" si="6242"/>
        <v>24.772096710265558</v>
      </c>
      <c r="N2150" s="645">
        <f t="shared" si="6210"/>
        <v>24.772096710265558</v>
      </c>
      <c r="O2150" s="625"/>
      <c r="P2150" s="628">
        <f t="shared" ref="P2150:P2210" si="6337">IFERROR(IF(H2150*M2150+H2151*M2151+H2152*M2152+H2153*M2153+H2154*M2154&gt;100,100,H2150*M2150+H2151*M2151+H2152*M2152+H2153*M2153+H2154*M2154),"N.A.")</f>
        <v>24.772096710265558</v>
      </c>
      <c r="Q2150" s="628">
        <f t="shared" si="6250"/>
        <v>24.772096710265558</v>
      </c>
    </row>
    <row r="2151" spans="1:17" ht="15.75" hidden="1" thickBot="1">
      <c r="A2151" s="390" t="str">
        <f t="shared" ref="A2151:B2151" si="6338">A2148</f>
        <v>PHBV</v>
      </c>
      <c r="B2151" s="391" t="str">
        <f t="shared" si="6338"/>
        <v>particle</v>
      </c>
      <c r="C2151" s="391">
        <f t="shared" ref="C2151" si="6339">C2150</f>
        <v>6</v>
      </c>
      <c r="D2151" s="391" t="str">
        <f t="shared" ref="D2151:E2151" si="6340">D2148</f>
        <v>1-10</v>
      </c>
      <c r="E2151" s="391">
        <f t="shared" si="6340"/>
        <v>10</v>
      </c>
      <c r="F2151" s="391" t="str">
        <f t="shared" ref="F2151:G2151" si="6341">F2150</f>
        <v>fresh water</v>
      </c>
      <c r="G2151" s="401" t="str">
        <f t="shared" si="6341"/>
        <v>DE: PHBV particle 1-10 mm (emission to fresh water)</v>
      </c>
      <c r="H2151" s="465">
        <v>0</v>
      </c>
      <c r="I2151" s="394" t="s">
        <v>1097</v>
      </c>
      <c r="J2151" s="635"/>
      <c r="K2151" s="389">
        <v>416.77</v>
      </c>
      <c r="L2151" s="536"/>
      <c r="M2151" s="509">
        <f t="shared" si="6242"/>
        <v>2.9992561844662524</v>
      </c>
      <c r="N2151" s="646"/>
      <c r="O2151" s="626"/>
      <c r="P2151" s="629"/>
      <c r="Q2151" s="629"/>
    </row>
    <row r="2152" spans="1:17" ht="15.75" hidden="1" thickBot="1">
      <c r="A2152" s="390" t="str">
        <f t="shared" ref="A2152:B2152" si="6342">A2149</f>
        <v>PHBV</v>
      </c>
      <c r="B2152" s="391" t="str">
        <f t="shared" si="6342"/>
        <v>particle</v>
      </c>
      <c r="C2152" s="391">
        <f t="shared" ref="C2152" si="6343">C2151</f>
        <v>6</v>
      </c>
      <c r="D2152" s="391" t="str">
        <f t="shared" ref="D2152:E2152" si="6344">D2149</f>
        <v>1-10</v>
      </c>
      <c r="E2152" s="391">
        <f t="shared" si="6344"/>
        <v>10</v>
      </c>
      <c r="F2152" s="391" t="str">
        <f t="shared" ref="F2152:G2152" si="6345">F2151</f>
        <v>fresh water</v>
      </c>
      <c r="G2152" s="401" t="str">
        <f t="shared" si="6345"/>
        <v>DE: PHBV particle 1-10 mm (emission to fresh water)</v>
      </c>
      <c r="H2152" s="465">
        <v>0.89</v>
      </c>
      <c r="I2152" s="394" t="s">
        <v>1162</v>
      </c>
      <c r="J2152" s="635"/>
      <c r="K2152" s="389">
        <v>50.46</v>
      </c>
      <c r="L2152" s="536"/>
      <c r="M2152" s="509">
        <f t="shared" si="6242"/>
        <v>24.772096710265558</v>
      </c>
      <c r="N2152" s="646"/>
      <c r="O2152" s="626"/>
      <c r="P2152" s="629"/>
      <c r="Q2152" s="629"/>
    </row>
    <row r="2153" spans="1:17" ht="15.75" hidden="1" thickBot="1">
      <c r="A2153" s="390" t="str">
        <f t="shared" ref="A2153:B2153" si="6346">A2150</f>
        <v>PHBV</v>
      </c>
      <c r="B2153" s="391" t="str">
        <f t="shared" si="6346"/>
        <v>particle</v>
      </c>
      <c r="C2153" s="391">
        <f t="shared" ref="C2153" si="6347">C2152</f>
        <v>6</v>
      </c>
      <c r="D2153" s="391" t="str">
        <f t="shared" ref="D2153:E2153" si="6348">D2150</f>
        <v>1-10</v>
      </c>
      <c r="E2153" s="391">
        <f t="shared" si="6348"/>
        <v>10</v>
      </c>
      <c r="F2153" s="391" t="str">
        <f t="shared" ref="F2153:G2153" si="6349">F2152</f>
        <v>fresh water</v>
      </c>
      <c r="G2153" s="401" t="str">
        <f t="shared" si="6349"/>
        <v>DE: PHBV particle 1-10 mm (emission to fresh water)</v>
      </c>
      <c r="H2153" s="465">
        <v>0.11</v>
      </c>
      <c r="I2153" s="394" t="s">
        <v>1163</v>
      </c>
      <c r="J2153" s="635"/>
      <c r="K2153" s="389">
        <v>50.46</v>
      </c>
      <c r="L2153" s="536"/>
      <c r="M2153" s="509">
        <f t="shared" si="6242"/>
        <v>24.772096710265558</v>
      </c>
      <c r="N2153" s="646"/>
      <c r="O2153" s="626"/>
      <c r="P2153" s="629"/>
      <c r="Q2153" s="629"/>
    </row>
    <row r="2154" spans="1:17" ht="15.75" hidden="1" thickBot="1">
      <c r="A2154" s="390" t="str">
        <f t="shared" ref="A2154:B2154" si="6350">A2151</f>
        <v>PHBV</v>
      </c>
      <c r="B2154" s="391" t="str">
        <f t="shared" si="6350"/>
        <v>particle</v>
      </c>
      <c r="C2154" s="391">
        <f t="shared" ref="C2154" si="6351">C2153</f>
        <v>6</v>
      </c>
      <c r="D2154" s="391" t="str">
        <f t="shared" ref="D2154:E2154" si="6352">D2151</f>
        <v>1-10</v>
      </c>
      <c r="E2154" s="391">
        <f t="shared" si="6352"/>
        <v>10</v>
      </c>
      <c r="F2154" s="402" t="str">
        <f>F2151</f>
        <v>fresh water</v>
      </c>
      <c r="G2154" s="401" t="str">
        <f t="shared" ref="G2154" si="6353">G2153</f>
        <v>DE: PHBV particle 1-10 mm (emission to fresh water)</v>
      </c>
      <c r="H2154" s="465">
        <v>0</v>
      </c>
      <c r="I2154" s="397" t="s">
        <v>1034</v>
      </c>
      <c r="J2154" s="654"/>
      <c r="K2154" s="398" t="s">
        <v>596</v>
      </c>
      <c r="L2154" s="538"/>
      <c r="M2154" s="509">
        <f t="shared" si="6242"/>
        <v>0</v>
      </c>
      <c r="N2154" s="647"/>
      <c r="O2154" s="627"/>
      <c r="P2154" s="629"/>
      <c r="Q2154" s="629"/>
    </row>
    <row r="2155" spans="1:17" ht="15.75" hidden="1" thickBot="1">
      <c r="A2155" s="390" t="str">
        <f t="shared" ref="A2155:B2155" si="6354">A2152</f>
        <v>PHBV</v>
      </c>
      <c r="B2155" s="391" t="str">
        <f t="shared" si="6354"/>
        <v>particle</v>
      </c>
      <c r="C2155" s="391">
        <f t="shared" ref="C2155" si="6355">C2154</f>
        <v>6</v>
      </c>
      <c r="D2155" s="391" t="str">
        <f t="shared" ref="D2155:E2155" si="6356">D2152</f>
        <v>1-10</v>
      </c>
      <c r="E2155" s="391">
        <f t="shared" si="6356"/>
        <v>10</v>
      </c>
      <c r="F2155" s="385" t="s">
        <v>1097</v>
      </c>
      <c r="G2155" s="422" t="str">
        <f>CONCATENATE("DE: ",A2155," ",B2155," ",D2155," mm (emission to ",F2155,")")</f>
        <v>DE: PHBV particle 1-10 mm (emission to marine water)</v>
      </c>
      <c r="H2155" s="467">
        <v>0</v>
      </c>
      <c r="I2155" s="388" t="s">
        <v>1019</v>
      </c>
      <c r="J2155" s="634">
        <v>0.22800000000000001</v>
      </c>
      <c r="K2155" s="389">
        <v>50.46</v>
      </c>
      <c r="L2155" s="536"/>
      <c r="M2155" s="509">
        <f t="shared" si="6242"/>
        <v>24.772096710265558</v>
      </c>
      <c r="N2155" s="645">
        <f t="shared" si="6210"/>
        <v>24.772096710265558</v>
      </c>
      <c r="O2155" s="625"/>
      <c r="P2155" s="628">
        <f t="shared" si="6337"/>
        <v>24.772096710265558</v>
      </c>
      <c r="Q2155" s="628">
        <f t="shared" si="6250"/>
        <v>24.772096710265558</v>
      </c>
    </row>
    <row r="2156" spans="1:17" ht="15.75" hidden="1" thickBot="1">
      <c r="A2156" s="390" t="str">
        <f t="shared" ref="A2156:B2156" si="6357">A2153</f>
        <v>PHBV</v>
      </c>
      <c r="B2156" s="391" t="str">
        <f t="shared" si="6357"/>
        <v>particle</v>
      </c>
      <c r="C2156" s="391">
        <f t="shared" ref="C2156" si="6358">C2155</f>
        <v>6</v>
      </c>
      <c r="D2156" s="391" t="str">
        <f t="shared" ref="D2156:E2156" si="6359">D2153</f>
        <v>1-10</v>
      </c>
      <c r="E2156" s="391">
        <f t="shared" si="6359"/>
        <v>10</v>
      </c>
      <c r="F2156" s="391" t="str">
        <f t="shared" ref="F2156:G2156" si="6360">F2155</f>
        <v>marine water</v>
      </c>
      <c r="G2156" s="401" t="str">
        <f t="shared" si="6360"/>
        <v>DE: PHBV particle 1-10 mm (emission to marine water)</v>
      </c>
      <c r="H2156" s="465">
        <v>0</v>
      </c>
      <c r="I2156" s="394" t="s">
        <v>1097</v>
      </c>
      <c r="J2156" s="635"/>
      <c r="K2156" s="389">
        <v>416.77</v>
      </c>
      <c r="L2156" s="536"/>
      <c r="M2156" s="509">
        <f t="shared" si="6242"/>
        <v>2.9992561844662524</v>
      </c>
      <c r="N2156" s="646"/>
      <c r="O2156" s="626"/>
      <c r="P2156" s="629"/>
      <c r="Q2156" s="629"/>
    </row>
    <row r="2157" spans="1:17" ht="15.75" hidden="1" thickBot="1">
      <c r="A2157" s="390" t="str">
        <f t="shared" ref="A2157:B2157" si="6361">A2154</f>
        <v>PHBV</v>
      </c>
      <c r="B2157" s="391" t="str">
        <f t="shared" si="6361"/>
        <v>particle</v>
      </c>
      <c r="C2157" s="391">
        <f t="shared" ref="C2157" si="6362">C2156</f>
        <v>6</v>
      </c>
      <c r="D2157" s="391" t="str">
        <f t="shared" ref="D2157:E2157" si="6363">D2154</f>
        <v>1-10</v>
      </c>
      <c r="E2157" s="391">
        <f t="shared" si="6363"/>
        <v>10</v>
      </c>
      <c r="F2157" s="391" t="str">
        <f t="shared" ref="F2157:G2157" si="6364">F2156</f>
        <v>marine water</v>
      </c>
      <c r="G2157" s="401" t="str">
        <f t="shared" si="6364"/>
        <v>DE: PHBV particle 1-10 mm (emission to marine water)</v>
      </c>
      <c r="H2157" s="465">
        <v>0</v>
      </c>
      <c r="I2157" s="394" t="s">
        <v>1162</v>
      </c>
      <c r="J2157" s="635"/>
      <c r="K2157" s="389">
        <v>50.46</v>
      </c>
      <c r="L2157" s="536"/>
      <c r="M2157" s="509">
        <f t="shared" si="6242"/>
        <v>24.772096710265558</v>
      </c>
      <c r="N2157" s="646"/>
      <c r="O2157" s="626"/>
      <c r="P2157" s="629"/>
      <c r="Q2157" s="629"/>
    </row>
    <row r="2158" spans="1:17" ht="15.75" hidden="1" thickBot="1">
      <c r="A2158" s="390" t="str">
        <f t="shared" ref="A2158:B2158" si="6365">A2155</f>
        <v>PHBV</v>
      </c>
      <c r="B2158" s="391" t="str">
        <f t="shared" si="6365"/>
        <v>particle</v>
      </c>
      <c r="C2158" s="391">
        <f t="shared" ref="C2158" si="6366">C2157</f>
        <v>6</v>
      </c>
      <c r="D2158" s="391" t="str">
        <f t="shared" ref="D2158:E2158" si="6367">D2155</f>
        <v>1-10</v>
      </c>
      <c r="E2158" s="391">
        <f t="shared" si="6367"/>
        <v>10</v>
      </c>
      <c r="F2158" s="391" t="str">
        <f t="shared" ref="F2158:G2158" si="6368">F2157</f>
        <v>marine water</v>
      </c>
      <c r="G2158" s="401" t="str">
        <f t="shared" si="6368"/>
        <v>DE: PHBV particle 1-10 mm (emission to marine water)</v>
      </c>
      <c r="H2158" s="465">
        <v>1</v>
      </c>
      <c r="I2158" s="394" t="s">
        <v>1163</v>
      </c>
      <c r="J2158" s="635"/>
      <c r="K2158" s="389">
        <v>50.46</v>
      </c>
      <c r="L2158" s="536"/>
      <c r="M2158" s="509">
        <f t="shared" si="6242"/>
        <v>24.772096710265558</v>
      </c>
      <c r="N2158" s="646"/>
      <c r="O2158" s="626"/>
      <c r="P2158" s="629"/>
      <c r="Q2158" s="629"/>
    </row>
    <row r="2159" spans="1:17" ht="15.75" hidden="1" thickBot="1">
      <c r="A2159" s="390" t="str">
        <f t="shared" ref="A2159:B2159" si="6369">A2156</f>
        <v>PHBV</v>
      </c>
      <c r="B2159" s="391" t="str">
        <f t="shared" si="6369"/>
        <v>particle</v>
      </c>
      <c r="C2159" s="391">
        <f t="shared" ref="C2159" si="6370">C2158</f>
        <v>6</v>
      </c>
      <c r="D2159" s="391" t="str">
        <f t="shared" ref="D2159:E2159" si="6371">D2156</f>
        <v>1-10</v>
      </c>
      <c r="E2159" s="391">
        <f t="shared" si="6371"/>
        <v>10</v>
      </c>
      <c r="F2159" s="391" t="str">
        <f t="shared" ref="F2159:G2159" si="6372">F2158</f>
        <v>marine water</v>
      </c>
      <c r="G2159" s="401" t="str">
        <f t="shared" si="6372"/>
        <v>DE: PHBV particle 1-10 mm (emission to marine water)</v>
      </c>
      <c r="H2159" s="465">
        <v>0</v>
      </c>
      <c r="I2159" s="397" t="s">
        <v>1034</v>
      </c>
      <c r="J2159" s="654"/>
      <c r="K2159" s="398" t="s">
        <v>596</v>
      </c>
      <c r="L2159" s="538"/>
      <c r="M2159" s="509">
        <f t="shared" si="6242"/>
        <v>0</v>
      </c>
      <c r="N2159" s="647"/>
      <c r="O2159" s="627"/>
      <c r="P2159" s="629"/>
      <c r="Q2159" s="629"/>
    </row>
    <row r="2160" spans="1:17" ht="15.75" hidden="1" thickBot="1">
      <c r="A2160" s="390" t="str">
        <f t="shared" ref="A2160:B2160" si="6373">A2157</f>
        <v>PHBV</v>
      </c>
      <c r="B2160" s="391" t="str">
        <f t="shared" si="6373"/>
        <v>particle</v>
      </c>
      <c r="C2160" s="391">
        <f t="shared" ref="C2160" si="6374">C2159</f>
        <v>6</v>
      </c>
      <c r="D2160" s="391" t="str">
        <f t="shared" ref="D2160:E2160" si="6375">D2157</f>
        <v>1-10</v>
      </c>
      <c r="E2160" s="391">
        <f t="shared" si="6375"/>
        <v>10</v>
      </c>
      <c r="F2160" s="400" t="s">
        <v>1057</v>
      </c>
      <c r="G2160" s="422" t="str">
        <f>CONCATENATE("DE: ",A2160," ",B2160," ",D2160," mm (emission to ",F2160,")")</f>
        <v>DE: PHBV particle 1-10 mm (emission to air)</v>
      </c>
      <c r="H2160" s="467">
        <v>0.94799999999999995</v>
      </c>
      <c r="I2160" s="388" t="s">
        <v>1019</v>
      </c>
      <c r="J2160" s="634">
        <v>0.22800000000000001</v>
      </c>
      <c r="K2160" s="389">
        <v>50.46</v>
      </c>
      <c r="L2160" s="536"/>
      <c r="M2160" s="509">
        <f t="shared" si="6242"/>
        <v>24.772096710265558</v>
      </c>
      <c r="N2160" s="645">
        <f t="shared" si="6210"/>
        <v>24.772096710265558</v>
      </c>
      <c r="O2160" s="625"/>
      <c r="P2160" s="628">
        <f t="shared" si="6337"/>
        <v>24.772096710265558</v>
      </c>
      <c r="Q2160" s="628">
        <f t="shared" si="6250"/>
        <v>24.772096710265558</v>
      </c>
    </row>
    <row r="2161" spans="1:17" ht="15.75" hidden="1" thickBot="1">
      <c r="A2161" s="390" t="str">
        <f t="shared" ref="A2161:B2161" si="6376">A2158</f>
        <v>PHBV</v>
      </c>
      <c r="B2161" s="391" t="str">
        <f t="shared" si="6376"/>
        <v>particle</v>
      </c>
      <c r="C2161" s="391">
        <f t="shared" ref="C2161" si="6377">C2160</f>
        <v>6</v>
      </c>
      <c r="D2161" s="391" t="str">
        <f t="shared" ref="D2161:E2161" si="6378">D2158</f>
        <v>1-10</v>
      </c>
      <c r="E2161" s="391">
        <f t="shared" si="6378"/>
        <v>10</v>
      </c>
      <c r="F2161" s="391" t="str">
        <f t="shared" ref="F2161:G2161" si="6379">F2160</f>
        <v>air</v>
      </c>
      <c r="G2161" s="401" t="str">
        <f t="shared" si="6379"/>
        <v>DE: PHBV particle 1-10 mm (emission to air)</v>
      </c>
      <c r="H2161" s="465">
        <v>0</v>
      </c>
      <c r="I2161" s="394" t="s">
        <v>1097</v>
      </c>
      <c r="J2161" s="635"/>
      <c r="K2161" s="389">
        <v>416.77</v>
      </c>
      <c r="L2161" s="536"/>
      <c r="M2161" s="509">
        <f t="shared" si="6242"/>
        <v>2.9992561844662524</v>
      </c>
      <c r="N2161" s="646"/>
      <c r="O2161" s="626"/>
      <c r="P2161" s="629"/>
      <c r="Q2161" s="629"/>
    </row>
    <row r="2162" spans="1:17" ht="15.75" hidden="1" thickBot="1">
      <c r="A2162" s="390" t="str">
        <f t="shared" ref="A2162:B2162" si="6380">A2159</f>
        <v>PHBV</v>
      </c>
      <c r="B2162" s="391" t="str">
        <f t="shared" si="6380"/>
        <v>particle</v>
      </c>
      <c r="C2162" s="391">
        <f t="shared" ref="C2162" si="6381">C2161</f>
        <v>6</v>
      </c>
      <c r="D2162" s="391" t="str">
        <f t="shared" ref="D2162:E2162" si="6382">D2159</f>
        <v>1-10</v>
      </c>
      <c r="E2162" s="391">
        <f t="shared" si="6382"/>
        <v>10</v>
      </c>
      <c r="F2162" s="391" t="str">
        <f t="shared" ref="F2162:G2162" si="6383">F2161</f>
        <v>air</v>
      </c>
      <c r="G2162" s="401" t="str">
        <f t="shared" si="6383"/>
        <v>DE: PHBV particle 1-10 mm (emission to air)</v>
      </c>
      <c r="H2162" s="465">
        <v>4.7E-2</v>
      </c>
      <c r="I2162" s="394" t="s">
        <v>1162</v>
      </c>
      <c r="J2162" s="635"/>
      <c r="K2162" s="389">
        <v>50.46</v>
      </c>
      <c r="L2162" s="536"/>
      <c r="M2162" s="509">
        <f t="shared" si="6242"/>
        <v>24.772096710265558</v>
      </c>
      <c r="N2162" s="646"/>
      <c r="O2162" s="626"/>
      <c r="P2162" s="629"/>
      <c r="Q2162" s="629"/>
    </row>
    <row r="2163" spans="1:17" ht="15.75" hidden="1" thickBot="1">
      <c r="A2163" s="390" t="str">
        <f t="shared" ref="A2163:B2163" si="6384">A2160</f>
        <v>PHBV</v>
      </c>
      <c r="B2163" s="391" t="str">
        <f t="shared" si="6384"/>
        <v>particle</v>
      </c>
      <c r="C2163" s="391">
        <f t="shared" ref="C2163" si="6385">C2162</f>
        <v>6</v>
      </c>
      <c r="D2163" s="391" t="str">
        <f t="shared" ref="D2163:E2163" si="6386">D2160</f>
        <v>1-10</v>
      </c>
      <c r="E2163" s="391">
        <f t="shared" si="6386"/>
        <v>10</v>
      </c>
      <c r="F2163" s="391" t="str">
        <f t="shared" ref="F2163:G2163" si="6387">F2162</f>
        <v>air</v>
      </c>
      <c r="G2163" s="401" t="str">
        <f t="shared" si="6387"/>
        <v>DE: PHBV particle 1-10 mm (emission to air)</v>
      </c>
      <c r="H2163" s="465">
        <v>5.0000000000000001E-3</v>
      </c>
      <c r="I2163" s="394" t="s">
        <v>1163</v>
      </c>
      <c r="J2163" s="635"/>
      <c r="K2163" s="389">
        <v>50.46</v>
      </c>
      <c r="L2163" s="536"/>
      <c r="M2163" s="509">
        <f t="shared" si="6242"/>
        <v>24.772096710265558</v>
      </c>
      <c r="N2163" s="646"/>
      <c r="O2163" s="626"/>
      <c r="P2163" s="629"/>
      <c r="Q2163" s="629"/>
    </row>
    <row r="2164" spans="1:17" ht="15.75" hidden="1" thickBot="1">
      <c r="A2164" s="452" t="str">
        <f t="shared" ref="A2164:B2164" si="6388">A2159</f>
        <v>PHBV</v>
      </c>
      <c r="B2164" s="453" t="str">
        <f t="shared" si="6388"/>
        <v>particle</v>
      </c>
      <c r="C2164" s="453">
        <f t="shared" ref="C2164" si="6389">C2163</f>
        <v>6</v>
      </c>
      <c r="D2164" s="453" t="str">
        <f t="shared" ref="D2164:E2164" si="6390">D2159</f>
        <v>1-10</v>
      </c>
      <c r="E2164" s="453">
        <f t="shared" si="6390"/>
        <v>10</v>
      </c>
      <c r="F2164" s="453" t="str">
        <f t="shared" ref="F2164:G2164" si="6391">F2163</f>
        <v>air</v>
      </c>
      <c r="G2164" s="454" t="str">
        <f t="shared" si="6391"/>
        <v>DE: PHBV particle 1-10 mm (emission to air)</v>
      </c>
      <c r="H2164" s="473">
        <v>0</v>
      </c>
      <c r="I2164" s="456" t="s">
        <v>1034</v>
      </c>
      <c r="J2164" s="636"/>
      <c r="K2164" s="457" t="s">
        <v>596</v>
      </c>
      <c r="L2164" s="543"/>
      <c r="M2164" s="509">
        <f t="shared" si="6242"/>
        <v>0</v>
      </c>
      <c r="N2164" s="647"/>
      <c r="O2164" s="627"/>
      <c r="P2164" s="629"/>
      <c r="Q2164" s="629"/>
    </row>
    <row r="2165" spans="1:17" ht="16.5" hidden="1" thickTop="1" thickBot="1">
      <c r="A2165" s="442" t="s">
        <v>42</v>
      </c>
      <c r="B2165" s="443" t="s">
        <v>996</v>
      </c>
      <c r="C2165" s="444">
        <f>IF(OR(B2165="Folie", B2165="Strips", B2165="Film",B2165="Flakes",B2165="Coupon"), 2,IF(OR(B2165="Fibers",B2165="Pellets"),4,IF(OR(B2165="Particles",B2165="Shreds",B2165="Powder",B2165="Fragments",B2165="Granules"),6,"")))</f>
        <v>2</v>
      </c>
      <c r="D2165" s="444" t="s">
        <v>1018</v>
      </c>
      <c r="E2165" s="445">
        <v>0.1</v>
      </c>
      <c r="F2165" s="446" t="s">
        <v>1019</v>
      </c>
      <c r="G2165" s="447" t="str">
        <f>CONCATENATE("DE: ",A2165," ",B2165," ",D2165," mm (emission to ",F2165,")")</f>
        <v>DE: PBS film 0,01-0,1 mm (emission to soil)</v>
      </c>
      <c r="H2165" s="464">
        <v>0.97</v>
      </c>
      <c r="I2165" s="448" t="s">
        <v>1019</v>
      </c>
      <c r="J2165" s="632">
        <v>0.22800000000000001</v>
      </c>
      <c r="K2165" s="449">
        <v>61.12</v>
      </c>
      <c r="L2165" s="541"/>
      <c r="M2165" s="509">
        <f t="shared" si="6242"/>
        <v>0.81806282722513091</v>
      </c>
      <c r="N2165" s="645">
        <f t="shared" si="6210"/>
        <v>1.0301140023452855</v>
      </c>
      <c r="O2165" s="625"/>
      <c r="P2165" s="628">
        <f t="shared" si="6337"/>
        <v>1.0301140023452855</v>
      </c>
      <c r="Q2165" s="628">
        <f t="shared" si="6250"/>
        <v>1.0301140023452855</v>
      </c>
    </row>
    <row r="2166" spans="1:17" ht="15.75" hidden="1" thickBot="1">
      <c r="A2166" s="390" t="str">
        <f>A2165</f>
        <v>PBS</v>
      </c>
      <c r="B2166" s="391" t="str">
        <f>B2165</f>
        <v>film</v>
      </c>
      <c r="C2166" s="391">
        <f t="shared" ref="C2166:G2166" si="6392">C2165</f>
        <v>2</v>
      </c>
      <c r="D2166" s="391" t="str">
        <f t="shared" si="6392"/>
        <v>0,01-0,1</v>
      </c>
      <c r="E2166" s="391">
        <f t="shared" si="6392"/>
        <v>0.1</v>
      </c>
      <c r="F2166" s="391" t="str">
        <f t="shared" si="6392"/>
        <v>soil</v>
      </c>
      <c r="G2166" s="392" t="str">
        <f t="shared" si="6392"/>
        <v>DE: PBS film 0,01-0,1 mm (emission to soil)</v>
      </c>
      <c r="H2166" s="465">
        <v>0</v>
      </c>
      <c r="I2166" s="394" t="s">
        <v>1097</v>
      </c>
      <c r="J2166" s="632"/>
      <c r="K2166" s="395">
        <v>6.34</v>
      </c>
      <c r="L2166" s="537"/>
      <c r="M2166" s="509">
        <f t="shared" si="6242"/>
        <v>7.8864353312302837</v>
      </c>
      <c r="N2166" s="646"/>
      <c r="O2166" s="626"/>
      <c r="P2166" s="629"/>
      <c r="Q2166" s="629"/>
    </row>
    <row r="2167" spans="1:17" ht="15.75" hidden="1" thickBot="1">
      <c r="A2167" s="390" t="str">
        <f t="shared" ref="A2167:G2167" si="6393">A2166</f>
        <v>PBS</v>
      </c>
      <c r="B2167" s="391" t="str">
        <f t="shared" si="6393"/>
        <v>film</v>
      </c>
      <c r="C2167" s="391">
        <f t="shared" si="6393"/>
        <v>2</v>
      </c>
      <c r="D2167" s="391" t="str">
        <f t="shared" si="6393"/>
        <v>0,01-0,1</v>
      </c>
      <c r="E2167" s="391">
        <f t="shared" si="6393"/>
        <v>0.1</v>
      </c>
      <c r="F2167" s="391" t="str">
        <f t="shared" si="6393"/>
        <v>soil</v>
      </c>
      <c r="G2167" s="392" t="str">
        <f t="shared" si="6393"/>
        <v>DE: PBS film 0,01-0,1 mm (emission to soil)</v>
      </c>
      <c r="H2167" s="465">
        <v>2.7E-2</v>
      </c>
      <c r="I2167" s="394" t="s">
        <v>1162</v>
      </c>
      <c r="J2167" s="632"/>
      <c r="K2167" s="395">
        <v>6.34</v>
      </c>
      <c r="L2167" s="537"/>
      <c r="M2167" s="509">
        <f t="shared" si="6242"/>
        <v>7.8864353312302837</v>
      </c>
      <c r="N2167" s="646"/>
      <c r="O2167" s="626"/>
      <c r="P2167" s="629"/>
      <c r="Q2167" s="629"/>
    </row>
    <row r="2168" spans="1:17" ht="15.75" hidden="1" thickBot="1">
      <c r="A2168" s="390" t="str">
        <f t="shared" ref="A2168:G2168" si="6394">A2167</f>
        <v>PBS</v>
      </c>
      <c r="B2168" s="391" t="str">
        <f t="shared" si="6394"/>
        <v>film</v>
      </c>
      <c r="C2168" s="391">
        <f t="shared" si="6394"/>
        <v>2</v>
      </c>
      <c r="D2168" s="391" t="str">
        <f t="shared" si="6394"/>
        <v>0,01-0,1</v>
      </c>
      <c r="E2168" s="391">
        <f t="shared" si="6394"/>
        <v>0.1</v>
      </c>
      <c r="F2168" s="391" t="str">
        <f t="shared" si="6394"/>
        <v>soil</v>
      </c>
      <c r="G2168" s="392" t="str">
        <f t="shared" si="6394"/>
        <v>DE: PBS film 0,01-0,1 mm (emission to soil)</v>
      </c>
      <c r="H2168" s="465">
        <v>3.0000000000000001E-3</v>
      </c>
      <c r="I2168" s="394" t="s">
        <v>1163</v>
      </c>
      <c r="J2168" s="632"/>
      <c r="K2168" s="395">
        <v>6.34</v>
      </c>
      <c r="L2168" s="537"/>
      <c r="M2168" s="509">
        <f t="shared" si="6242"/>
        <v>7.8864353312302837</v>
      </c>
      <c r="N2168" s="646"/>
      <c r="O2168" s="626"/>
      <c r="P2168" s="629"/>
      <c r="Q2168" s="629"/>
    </row>
    <row r="2169" spans="1:17" ht="15.75" hidden="1" thickBot="1">
      <c r="A2169" s="390" t="str">
        <f>A2166</f>
        <v>PBS</v>
      </c>
      <c r="B2169" s="391" t="str">
        <f>B2166</f>
        <v>film</v>
      </c>
      <c r="C2169" s="391">
        <f t="shared" ref="C2169" si="6395">C2168</f>
        <v>2</v>
      </c>
      <c r="D2169" s="391" t="str">
        <f>D2166</f>
        <v>0,01-0,1</v>
      </c>
      <c r="E2169" s="391">
        <f>E2166</f>
        <v>0.1</v>
      </c>
      <c r="F2169" s="391" t="str">
        <f>F2166</f>
        <v>soil</v>
      </c>
      <c r="G2169" s="396" t="str">
        <f t="shared" ref="G2169" si="6396">G2168</f>
        <v>DE: PBS film 0,01-0,1 mm (emission to soil)</v>
      </c>
      <c r="H2169" s="465">
        <v>0</v>
      </c>
      <c r="I2169" s="397" t="s">
        <v>1034</v>
      </c>
      <c r="J2169" s="633"/>
      <c r="K2169" s="398" t="s">
        <v>596</v>
      </c>
      <c r="L2169" s="538"/>
      <c r="M2169" s="509">
        <f t="shared" si="6242"/>
        <v>0</v>
      </c>
      <c r="N2169" s="647"/>
      <c r="O2169" s="627"/>
      <c r="P2169" s="629"/>
      <c r="Q2169" s="629"/>
    </row>
    <row r="2170" spans="1:17" ht="15.75" hidden="1" thickBot="1">
      <c r="A2170" s="390" t="str">
        <f t="shared" ref="A2170:B2170" si="6397">A2167</f>
        <v>PBS</v>
      </c>
      <c r="B2170" s="391" t="str">
        <f t="shared" si="6397"/>
        <v>film</v>
      </c>
      <c r="C2170" s="391">
        <f t="shared" ref="C2170" si="6398">C2169</f>
        <v>2</v>
      </c>
      <c r="D2170" s="399" t="str">
        <f t="shared" ref="D2170:E2170" si="6399">D2167</f>
        <v>0,01-0,1</v>
      </c>
      <c r="E2170" s="391">
        <f t="shared" si="6399"/>
        <v>0.1</v>
      </c>
      <c r="F2170" s="400" t="s">
        <v>1147</v>
      </c>
      <c r="G2170" s="386" t="str">
        <f>CONCATENATE("DE: ",A2170," ",B2170," ",D2170," mm (emission to ",F2170,")")</f>
        <v>DE: PBS film 0,01-0,1 mm (emission to fresh water)</v>
      </c>
      <c r="H2170" s="466">
        <v>0</v>
      </c>
      <c r="I2170" s="388" t="s">
        <v>1019</v>
      </c>
      <c r="J2170" s="634">
        <v>0.22800000000000001</v>
      </c>
      <c r="K2170" s="389">
        <v>61.12</v>
      </c>
      <c r="L2170" s="536"/>
      <c r="M2170" s="509">
        <f t="shared" si="6242"/>
        <v>0.81806282722513091</v>
      </c>
      <c r="N2170" s="645">
        <f t="shared" si="6210"/>
        <v>7.8864353312302837</v>
      </c>
      <c r="O2170" s="625"/>
      <c r="P2170" s="628">
        <f t="shared" si="6337"/>
        <v>7.8864353312302837</v>
      </c>
      <c r="Q2170" s="628">
        <f t="shared" si="6250"/>
        <v>7.8864353312302837</v>
      </c>
    </row>
    <row r="2171" spans="1:17" ht="15.75" hidden="1" thickBot="1">
      <c r="A2171" s="390" t="str">
        <f t="shared" ref="A2171:B2171" si="6400">A2168</f>
        <v>PBS</v>
      </c>
      <c r="B2171" s="391" t="str">
        <f t="shared" si="6400"/>
        <v>film</v>
      </c>
      <c r="C2171" s="391">
        <f t="shared" ref="C2171" si="6401">C2170</f>
        <v>2</v>
      </c>
      <c r="D2171" s="391" t="str">
        <f t="shared" ref="D2171:E2171" si="6402">D2168</f>
        <v>0,01-0,1</v>
      </c>
      <c r="E2171" s="391">
        <f t="shared" si="6402"/>
        <v>0.1</v>
      </c>
      <c r="F2171" s="391" t="str">
        <f t="shared" ref="F2171:G2171" si="6403">F2170</f>
        <v>fresh water</v>
      </c>
      <c r="G2171" s="401" t="str">
        <f t="shared" si="6403"/>
        <v>DE: PBS film 0,01-0,1 mm (emission to fresh water)</v>
      </c>
      <c r="H2171" s="465">
        <v>0</v>
      </c>
      <c r="I2171" s="394" t="s">
        <v>1097</v>
      </c>
      <c r="J2171" s="635"/>
      <c r="K2171" s="389">
        <v>6.34</v>
      </c>
      <c r="L2171" s="536"/>
      <c r="M2171" s="509">
        <f t="shared" si="6242"/>
        <v>7.8864353312302837</v>
      </c>
      <c r="N2171" s="646"/>
      <c r="O2171" s="626"/>
      <c r="P2171" s="629"/>
      <c r="Q2171" s="629"/>
    </row>
    <row r="2172" spans="1:17" ht="15.75" hidden="1" thickBot="1">
      <c r="A2172" s="390" t="str">
        <f t="shared" ref="A2172:B2172" si="6404">A2169</f>
        <v>PBS</v>
      </c>
      <c r="B2172" s="391" t="str">
        <f t="shared" si="6404"/>
        <v>film</v>
      </c>
      <c r="C2172" s="391">
        <f t="shared" ref="C2172" si="6405">C2171</f>
        <v>2</v>
      </c>
      <c r="D2172" s="391" t="str">
        <f t="shared" ref="D2172:E2172" si="6406">D2169</f>
        <v>0,01-0,1</v>
      </c>
      <c r="E2172" s="391">
        <f t="shared" si="6406"/>
        <v>0.1</v>
      </c>
      <c r="F2172" s="391" t="str">
        <f t="shared" ref="F2172:G2172" si="6407">F2171</f>
        <v>fresh water</v>
      </c>
      <c r="G2172" s="401" t="str">
        <f t="shared" si="6407"/>
        <v>DE: PBS film 0,01-0,1 mm (emission to fresh water)</v>
      </c>
      <c r="H2172" s="465">
        <v>0.89</v>
      </c>
      <c r="I2172" s="394" t="s">
        <v>1162</v>
      </c>
      <c r="J2172" s="635"/>
      <c r="K2172" s="389">
        <v>6.34</v>
      </c>
      <c r="L2172" s="536"/>
      <c r="M2172" s="509">
        <f t="shared" si="6242"/>
        <v>7.8864353312302837</v>
      </c>
      <c r="N2172" s="646"/>
      <c r="O2172" s="626"/>
      <c r="P2172" s="629"/>
      <c r="Q2172" s="629"/>
    </row>
    <row r="2173" spans="1:17" ht="15.75" hidden="1" thickBot="1">
      <c r="A2173" s="390" t="str">
        <f t="shared" ref="A2173:B2173" si="6408">A2170</f>
        <v>PBS</v>
      </c>
      <c r="B2173" s="391" t="str">
        <f t="shared" si="6408"/>
        <v>film</v>
      </c>
      <c r="C2173" s="391">
        <f t="shared" ref="C2173" si="6409">C2172</f>
        <v>2</v>
      </c>
      <c r="D2173" s="391" t="str">
        <f t="shared" ref="D2173:E2173" si="6410">D2170</f>
        <v>0,01-0,1</v>
      </c>
      <c r="E2173" s="391">
        <f t="shared" si="6410"/>
        <v>0.1</v>
      </c>
      <c r="F2173" s="391" t="str">
        <f t="shared" ref="F2173:G2173" si="6411">F2172</f>
        <v>fresh water</v>
      </c>
      <c r="G2173" s="401" t="str">
        <f t="shared" si="6411"/>
        <v>DE: PBS film 0,01-0,1 mm (emission to fresh water)</v>
      </c>
      <c r="H2173" s="465">
        <v>0.11</v>
      </c>
      <c r="I2173" s="394" t="s">
        <v>1163</v>
      </c>
      <c r="J2173" s="635"/>
      <c r="K2173" s="389">
        <v>6.34</v>
      </c>
      <c r="L2173" s="536"/>
      <c r="M2173" s="509">
        <f t="shared" si="6242"/>
        <v>7.8864353312302837</v>
      </c>
      <c r="N2173" s="646"/>
      <c r="O2173" s="626"/>
      <c r="P2173" s="629"/>
      <c r="Q2173" s="629"/>
    </row>
    <row r="2174" spans="1:17" ht="15.75" hidden="1" thickBot="1">
      <c r="A2174" s="390" t="str">
        <f t="shared" ref="A2174:B2174" si="6412">A2171</f>
        <v>PBS</v>
      </c>
      <c r="B2174" s="391" t="str">
        <f t="shared" si="6412"/>
        <v>film</v>
      </c>
      <c r="C2174" s="391">
        <f t="shared" ref="C2174" si="6413">C2173</f>
        <v>2</v>
      </c>
      <c r="D2174" s="391" t="str">
        <f t="shared" ref="D2174:E2174" si="6414">D2171</f>
        <v>0,01-0,1</v>
      </c>
      <c r="E2174" s="391">
        <f t="shared" si="6414"/>
        <v>0.1</v>
      </c>
      <c r="F2174" s="402" t="str">
        <f>F2171</f>
        <v>fresh water</v>
      </c>
      <c r="G2174" s="401" t="str">
        <f t="shared" ref="G2174" si="6415">G2173</f>
        <v>DE: PBS film 0,01-0,1 mm (emission to fresh water)</v>
      </c>
      <c r="H2174" s="465">
        <v>0</v>
      </c>
      <c r="I2174" s="397" t="s">
        <v>1034</v>
      </c>
      <c r="J2174" s="654"/>
      <c r="K2174" s="398" t="s">
        <v>596</v>
      </c>
      <c r="L2174" s="538"/>
      <c r="M2174" s="509">
        <f t="shared" si="6242"/>
        <v>0</v>
      </c>
      <c r="N2174" s="647"/>
      <c r="O2174" s="627"/>
      <c r="P2174" s="629"/>
      <c r="Q2174" s="629"/>
    </row>
    <row r="2175" spans="1:17" ht="15.75" hidden="1" thickBot="1">
      <c r="A2175" s="390" t="str">
        <f t="shared" ref="A2175:B2175" si="6416">A2172</f>
        <v>PBS</v>
      </c>
      <c r="B2175" s="391" t="str">
        <f t="shared" si="6416"/>
        <v>film</v>
      </c>
      <c r="C2175" s="391">
        <f t="shared" ref="C2175" si="6417">C2174</f>
        <v>2</v>
      </c>
      <c r="D2175" s="391" t="str">
        <f t="shared" ref="D2175:E2175" si="6418">D2172</f>
        <v>0,01-0,1</v>
      </c>
      <c r="E2175" s="391">
        <f t="shared" si="6418"/>
        <v>0.1</v>
      </c>
      <c r="F2175" s="385" t="s">
        <v>1097</v>
      </c>
      <c r="G2175" s="422" t="str">
        <f>CONCATENATE("DE: ",A2175," ",B2175," ",D2175," mm (emission to ",F2175,")")</f>
        <v>DE: PBS film 0,01-0,1 mm (emission to marine water)</v>
      </c>
      <c r="H2175" s="467">
        <v>0</v>
      </c>
      <c r="I2175" s="388" t="s">
        <v>1019</v>
      </c>
      <c r="J2175" s="634">
        <v>0.22800000000000001</v>
      </c>
      <c r="K2175" s="389">
        <v>61.12</v>
      </c>
      <c r="L2175" s="536"/>
      <c r="M2175" s="509">
        <f t="shared" si="6242"/>
        <v>0.81806282722513091</v>
      </c>
      <c r="N2175" s="645">
        <f t="shared" ref="N2175:N2235" si="6419">IFERROR(H2175*M2175+H2176*M2176+H2177*M2177+H2178*M2178+H2179*M2179,"N.A.")</f>
        <v>7.8864353312302837</v>
      </c>
      <c r="O2175" s="625"/>
      <c r="P2175" s="628">
        <f t="shared" si="6337"/>
        <v>7.8864353312302837</v>
      </c>
      <c r="Q2175" s="628">
        <f t="shared" si="6250"/>
        <v>7.8864353312302837</v>
      </c>
    </row>
    <row r="2176" spans="1:17" ht="15.75" hidden="1" thickBot="1">
      <c r="A2176" s="390" t="str">
        <f t="shared" ref="A2176:B2176" si="6420">A2173</f>
        <v>PBS</v>
      </c>
      <c r="B2176" s="391" t="str">
        <f t="shared" si="6420"/>
        <v>film</v>
      </c>
      <c r="C2176" s="391">
        <f t="shared" ref="C2176" si="6421">C2175</f>
        <v>2</v>
      </c>
      <c r="D2176" s="391" t="str">
        <f t="shared" ref="D2176:E2176" si="6422">D2173</f>
        <v>0,01-0,1</v>
      </c>
      <c r="E2176" s="391">
        <f t="shared" si="6422"/>
        <v>0.1</v>
      </c>
      <c r="F2176" s="391" t="str">
        <f t="shared" ref="F2176:G2176" si="6423">F2175</f>
        <v>marine water</v>
      </c>
      <c r="G2176" s="401" t="str">
        <f t="shared" si="6423"/>
        <v>DE: PBS film 0,01-0,1 mm (emission to marine water)</v>
      </c>
      <c r="H2176" s="465">
        <v>0</v>
      </c>
      <c r="I2176" s="394" t="s">
        <v>1097</v>
      </c>
      <c r="J2176" s="635"/>
      <c r="K2176" s="389">
        <v>6.34</v>
      </c>
      <c r="L2176" s="536"/>
      <c r="M2176" s="509">
        <f t="shared" si="6242"/>
        <v>7.8864353312302837</v>
      </c>
      <c r="N2176" s="646"/>
      <c r="O2176" s="626"/>
      <c r="P2176" s="629"/>
      <c r="Q2176" s="629"/>
    </row>
    <row r="2177" spans="1:17" ht="15.75" hidden="1" thickBot="1">
      <c r="A2177" s="390" t="str">
        <f t="shared" ref="A2177:B2177" si="6424">A2174</f>
        <v>PBS</v>
      </c>
      <c r="B2177" s="391" t="str">
        <f t="shared" si="6424"/>
        <v>film</v>
      </c>
      <c r="C2177" s="391">
        <f t="shared" ref="C2177" si="6425">C2176</f>
        <v>2</v>
      </c>
      <c r="D2177" s="391" t="str">
        <f t="shared" ref="D2177:E2177" si="6426">D2174</f>
        <v>0,01-0,1</v>
      </c>
      <c r="E2177" s="391">
        <f t="shared" si="6426"/>
        <v>0.1</v>
      </c>
      <c r="F2177" s="391" t="str">
        <f t="shared" ref="F2177:G2177" si="6427">F2176</f>
        <v>marine water</v>
      </c>
      <c r="G2177" s="401" t="str">
        <f t="shared" si="6427"/>
        <v>DE: PBS film 0,01-0,1 mm (emission to marine water)</v>
      </c>
      <c r="H2177" s="465">
        <v>0</v>
      </c>
      <c r="I2177" s="394" t="s">
        <v>1162</v>
      </c>
      <c r="J2177" s="635"/>
      <c r="K2177" s="389">
        <v>6.34</v>
      </c>
      <c r="L2177" s="536"/>
      <c r="M2177" s="509">
        <f t="shared" si="6242"/>
        <v>7.8864353312302837</v>
      </c>
      <c r="N2177" s="646"/>
      <c r="O2177" s="626"/>
      <c r="P2177" s="629"/>
      <c r="Q2177" s="629"/>
    </row>
    <row r="2178" spans="1:17" ht="15.75" hidden="1" thickBot="1">
      <c r="A2178" s="390" t="str">
        <f t="shared" ref="A2178:B2178" si="6428">A2175</f>
        <v>PBS</v>
      </c>
      <c r="B2178" s="391" t="str">
        <f t="shared" si="6428"/>
        <v>film</v>
      </c>
      <c r="C2178" s="391">
        <f t="shared" ref="C2178" si="6429">C2177</f>
        <v>2</v>
      </c>
      <c r="D2178" s="391" t="str">
        <f t="shared" ref="D2178:E2178" si="6430">D2175</f>
        <v>0,01-0,1</v>
      </c>
      <c r="E2178" s="391">
        <f t="shared" si="6430"/>
        <v>0.1</v>
      </c>
      <c r="F2178" s="391" t="str">
        <f t="shared" ref="F2178:G2178" si="6431">F2177</f>
        <v>marine water</v>
      </c>
      <c r="G2178" s="401" t="str">
        <f t="shared" si="6431"/>
        <v>DE: PBS film 0,01-0,1 mm (emission to marine water)</v>
      </c>
      <c r="H2178" s="465">
        <v>1</v>
      </c>
      <c r="I2178" s="394" t="s">
        <v>1163</v>
      </c>
      <c r="J2178" s="635"/>
      <c r="K2178" s="389">
        <v>6.34</v>
      </c>
      <c r="L2178" s="536"/>
      <c r="M2178" s="509">
        <f t="shared" si="6242"/>
        <v>7.8864353312302837</v>
      </c>
      <c r="N2178" s="646"/>
      <c r="O2178" s="626"/>
      <c r="P2178" s="629"/>
      <c r="Q2178" s="629"/>
    </row>
    <row r="2179" spans="1:17" ht="15.75" hidden="1" thickBot="1">
      <c r="A2179" s="390" t="str">
        <f t="shared" ref="A2179:B2179" si="6432">A2176</f>
        <v>PBS</v>
      </c>
      <c r="B2179" s="391" t="str">
        <f t="shared" si="6432"/>
        <v>film</v>
      </c>
      <c r="C2179" s="391">
        <f t="shared" ref="C2179" si="6433">C2178</f>
        <v>2</v>
      </c>
      <c r="D2179" s="391" t="str">
        <f t="shared" ref="D2179:E2179" si="6434">D2176</f>
        <v>0,01-0,1</v>
      </c>
      <c r="E2179" s="391">
        <f t="shared" si="6434"/>
        <v>0.1</v>
      </c>
      <c r="F2179" s="391" t="str">
        <f t="shared" ref="F2179:G2179" si="6435">F2178</f>
        <v>marine water</v>
      </c>
      <c r="G2179" s="401" t="str">
        <f t="shared" si="6435"/>
        <v>DE: PBS film 0,01-0,1 mm (emission to marine water)</v>
      </c>
      <c r="H2179" s="465">
        <v>0</v>
      </c>
      <c r="I2179" s="397" t="s">
        <v>1034</v>
      </c>
      <c r="J2179" s="654"/>
      <c r="K2179" s="398" t="s">
        <v>596</v>
      </c>
      <c r="L2179" s="538"/>
      <c r="M2179" s="509">
        <f t="shared" si="6242"/>
        <v>0</v>
      </c>
      <c r="N2179" s="647"/>
      <c r="O2179" s="627"/>
      <c r="P2179" s="629"/>
      <c r="Q2179" s="629"/>
    </row>
    <row r="2180" spans="1:17" ht="15.75" hidden="1" thickBot="1">
      <c r="A2180" s="390" t="str">
        <f t="shared" ref="A2180:B2180" si="6436">A2177</f>
        <v>PBS</v>
      </c>
      <c r="B2180" s="391" t="str">
        <f t="shared" si="6436"/>
        <v>film</v>
      </c>
      <c r="C2180" s="391">
        <f t="shared" ref="C2180" si="6437">C2179</f>
        <v>2</v>
      </c>
      <c r="D2180" s="391" t="str">
        <f t="shared" ref="D2180:E2180" si="6438">D2177</f>
        <v>0,01-0,1</v>
      </c>
      <c r="E2180" s="391">
        <f t="shared" si="6438"/>
        <v>0.1</v>
      </c>
      <c r="F2180" s="400" t="s">
        <v>1057</v>
      </c>
      <c r="G2180" s="422" t="str">
        <f>CONCATENATE("DE: ",A2180," ",B2180," ",D2180," mm (emission to ",F2180,")")</f>
        <v>DE: PBS film 0,01-0,1 mm (emission to air)</v>
      </c>
      <c r="H2180" s="467">
        <v>0.94799999999999995</v>
      </c>
      <c r="I2180" s="388" t="s">
        <v>1019</v>
      </c>
      <c r="J2180" s="634">
        <v>0.22800000000000001</v>
      </c>
      <c r="K2180" s="389">
        <v>61.12</v>
      </c>
      <c r="L2180" s="536"/>
      <c r="M2180" s="509">
        <f t="shared" si="6242"/>
        <v>0.81806282722513091</v>
      </c>
      <c r="N2180" s="645">
        <f t="shared" si="6419"/>
        <v>1.1856181974333988</v>
      </c>
      <c r="O2180" s="625"/>
      <c r="P2180" s="628">
        <f t="shared" si="6337"/>
        <v>1.1856181974333988</v>
      </c>
      <c r="Q2180" s="628">
        <f t="shared" si="6250"/>
        <v>1.1856181974333988</v>
      </c>
    </row>
    <row r="2181" spans="1:17" ht="15.75" hidden="1" thickBot="1">
      <c r="A2181" s="390" t="str">
        <f t="shared" ref="A2181:B2181" si="6439">A2178</f>
        <v>PBS</v>
      </c>
      <c r="B2181" s="391" t="str">
        <f t="shared" si="6439"/>
        <v>film</v>
      </c>
      <c r="C2181" s="391">
        <f t="shared" ref="C2181" si="6440">C2180</f>
        <v>2</v>
      </c>
      <c r="D2181" s="391" t="str">
        <f t="shared" ref="D2181:E2181" si="6441">D2178</f>
        <v>0,01-0,1</v>
      </c>
      <c r="E2181" s="391">
        <f t="shared" si="6441"/>
        <v>0.1</v>
      </c>
      <c r="F2181" s="391" t="str">
        <f t="shared" ref="F2181:G2181" si="6442">F2180</f>
        <v>air</v>
      </c>
      <c r="G2181" s="401" t="str">
        <f t="shared" si="6442"/>
        <v>DE: PBS film 0,01-0,1 mm (emission to air)</v>
      </c>
      <c r="H2181" s="465">
        <v>0</v>
      </c>
      <c r="I2181" s="394" t="s">
        <v>1097</v>
      </c>
      <c r="J2181" s="635"/>
      <c r="K2181" s="389">
        <v>6.34</v>
      </c>
      <c r="L2181" s="536"/>
      <c r="M2181" s="509">
        <f t="shared" si="6242"/>
        <v>7.8864353312302837</v>
      </c>
      <c r="N2181" s="646"/>
      <c r="O2181" s="626"/>
      <c r="P2181" s="629"/>
      <c r="Q2181" s="629"/>
    </row>
    <row r="2182" spans="1:17" ht="15.75" hidden="1" thickBot="1">
      <c r="A2182" s="390" t="str">
        <f t="shared" ref="A2182:B2182" si="6443">A2179</f>
        <v>PBS</v>
      </c>
      <c r="B2182" s="391" t="str">
        <f t="shared" si="6443"/>
        <v>film</v>
      </c>
      <c r="C2182" s="391">
        <f t="shared" ref="C2182" si="6444">C2181</f>
        <v>2</v>
      </c>
      <c r="D2182" s="391" t="str">
        <f t="shared" ref="D2182:E2182" si="6445">D2179</f>
        <v>0,01-0,1</v>
      </c>
      <c r="E2182" s="391">
        <f t="shared" si="6445"/>
        <v>0.1</v>
      </c>
      <c r="F2182" s="391" t="str">
        <f t="shared" ref="F2182:G2182" si="6446">F2181</f>
        <v>air</v>
      </c>
      <c r="G2182" s="401" t="str">
        <f t="shared" si="6446"/>
        <v>DE: PBS film 0,01-0,1 mm (emission to air)</v>
      </c>
      <c r="H2182" s="465">
        <v>4.7E-2</v>
      </c>
      <c r="I2182" s="394" t="s">
        <v>1162</v>
      </c>
      <c r="J2182" s="635"/>
      <c r="K2182" s="389">
        <v>6.34</v>
      </c>
      <c r="L2182" s="536"/>
      <c r="M2182" s="509">
        <f t="shared" ref="M2182:M2245" si="6447">IFERROR(IF(K2182="--",0,IF(E2182*1000/K2182*(1-0.5)^(C2182/2)&gt;1000,1000,E2182*1000/K2182*(1-0.5)^(C2182/2))),1000)</f>
        <v>7.8864353312302837</v>
      </c>
      <c r="N2182" s="646"/>
      <c r="O2182" s="626"/>
      <c r="P2182" s="629"/>
      <c r="Q2182" s="629"/>
    </row>
    <row r="2183" spans="1:17" ht="15.75" hidden="1" thickBot="1">
      <c r="A2183" s="390" t="str">
        <f t="shared" ref="A2183:B2183" si="6448">A2180</f>
        <v>PBS</v>
      </c>
      <c r="B2183" s="391" t="str">
        <f t="shared" si="6448"/>
        <v>film</v>
      </c>
      <c r="C2183" s="391">
        <f t="shared" ref="C2183" si="6449">C2182</f>
        <v>2</v>
      </c>
      <c r="D2183" s="391" t="str">
        <f t="shared" ref="D2183:E2183" si="6450">D2180</f>
        <v>0,01-0,1</v>
      </c>
      <c r="E2183" s="391">
        <f t="shared" si="6450"/>
        <v>0.1</v>
      </c>
      <c r="F2183" s="391" t="str">
        <f t="shared" ref="F2183:G2183" si="6451">F2182</f>
        <v>air</v>
      </c>
      <c r="G2183" s="401" t="str">
        <f t="shared" si="6451"/>
        <v>DE: PBS film 0,01-0,1 mm (emission to air)</v>
      </c>
      <c r="H2183" s="465">
        <v>5.0000000000000001E-3</v>
      </c>
      <c r="I2183" s="394" t="s">
        <v>1163</v>
      </c>
      <c r="J2183" s="635"/>
      <c r="K2183" s="389">
        <v>6.34</v>
      </c>
      <c r="L2183" s="536"/>
      <c r="M2183" s="509">
        <f t="shared" si="6447"/>
        <v>7.8864353312302837</v>
      </c>
      <c r="N2183" s="646"/>
      <c r="O2183" s="626"/>
      <c r="P2183" s="629"/>
      <c r="Q2183" s="629"/>
    </row>
    <row r="2184" spans="1:17" ht="15.75" hidden="1" thickBot="1">
      <c r="A2184" s="390" t="str">
        <f t="shared" ref="A2184:B2184" si="6452">A2179</f>
        <v>PBS</v>
      </c>
      <c r="B2184" s="391" t="str">
        <f t="shared" si="6452"/>
        <v>film</v>
      </c>
      <c r="C2184" s="391">
        <f t="shared" ref="C2184" si="6453">C2183</f>
        <v>2</v>
      </c>
      <c r="D2184" s="391" t="str">
        <f t="shared" ref="D2184:E2184" si="6454">D2179</f>
        <v>0,01-0,1</v>
      </c>
      <c r="E2184" s="391">
        <f t="shared" si="6454"/>
        <v>0.1</v>
      </c>
      <c r="F2184" s="391" t="str">
        <f t="shared" ref="F2184:G2184" si="6455">F2183</f>
        <v>air</v>
      </c>
      <c r="G2184" s="401" t="str">
        <f t="shared" si="6455"/>
        <v>DE: PBS film 0,01-0,1 mm (emission to air)</v>
      </c>
      <c r="H2184" s="471">
        <v>0</v>
      </c>
      <c r="I2184" s="422" t="s">
        <v>1034</v>
      </c>
      <c r="J2184" s="636"/>
      <c r="K2184" s="451" t="s">
        <v>596</v>
      </c>
      <c r="L2184" s="542"/>
      <c r="M2184" s="509">
        <f t="shared" si="6447"/>
        <v>0</v>
      </c>
      <c r="N2184" s="647"/>
      <c r="O2184" s="627"/>
      <c r="P2184" s="629"/>
      <c r="Q2184" s="629"/>
    </row>
    <row r="2185" spans="1:17" ht="15.75" hidden="1" thickBot="1">
      <c r="A2185" s="405" t="s">
        <v>42</v>
      </c>
      <c r="B2185" s="406" t="s">
        <v>996</v>
      </c>
      <c r="C2185" s="407">
        <f>IF(OR(B2185="Folie", B2185="Strips", B2185="Film",B2185="Flakes",B2185="Coupon"), 2,IF(OR(B2185="Fibers",B2185="Pellets"),4,IF(OR(B2185="Particles",B2185="Shreds",B2185="Powder",B2185="Fragments",B2185="Granules"),6,"")))</f>
        <v>2</v>
      </c>
      <c r="D2185" s="423" t="s">
        <v>1028</v>
      </c>
      <c r="E2185" s="408">
        <v>1</v>
      </c>
      <c r="F2185" s="424" t="s">
        <v>1019</v>
      </c>
      <c r="G2185" s="425" t="str">
        <f>CONCATENATE("DE: ",A2185," ",B2185," ",D2185," mm (emission to ",F2185,")")</f>
        <v>DE: PBS film 0,1-1 mm (emission to soil)</v>
      </c>
      <c r="H2185" s="474">
        <v>0.97</v>
      </c>
      <c r="I2185" s="427" t="s">
        <v>1019</v>
      </c>
      <c r="J2185" s="632">
        <v>0.22800000000000001</v>
      </c>
      <c r="K2185" s="428">
        <v>61.12</v>
      </c>
      <c r="L2185" s="539"/>
      <c r="M2185" s="509">
        <f t="shared" si="6447"/>
        <v>8.18062827225131</v>
      </c>
      <c r="N2185" s="645">
        <f t="shared" si="6419"/>
        <v>10.301140023452856</v>
      </c>
      <c r="O2185" s="625"/>
      <c r="P2185" s="628">
        <f t="shared" si="6337"/>
        <v>10.301140023452856</v>
      </c>
      <c r="Q2185" s="628">
        <f t="shared" ref="Q2185:Q2245" si="6456">IFERROR(IF(H2185*M2185+H2186*M2186+H2187*M2187+H2188*M2188+H2189*M2189&gt;500,500,H2185*M2185+H2186*M2186+H2187*M2187+H2188*M2188+H2189*M2189),"N.A.")</f>
        <v>10.301140023452856</v>
      </c>
    </row>
    <row r="2186" spans="1:17" ht="15.75" hidden="1" thickBot="1">
      <c r="A2186" s="390" t="str">
        <f>A2185</f>
        <v>PBS</v>
      </c>
      <c r="B2186" s="391" t="str">
        <f>B2185</f>
        <v>film</v>
      </c>
      <c r="C2186" s="391">
        <f t="shared" ref="C2186:G2186" si="6457">C2185</f>
        <v>2</v>
      </c>
      <c r="D2186" s="391" t="str">
        <f t="shared" si="6457"/>
        <v>0,1-1</v>
      </c>
      <c r="E2186" s="391">
        <f t="shared" si="6457"/>
        <v>1</v>
      </c>
      <c r="F2186" s="391" t="str">
        <f t="shared" si="6457"/>
        <v>soil</v>
      </c>
      <c r="G2186" s="392" t="str">
        <f t="shared" si="6457"/>
        <v>DE: PBS film 0,1-1 mm (emission to soil)</v>
      </c>
      <c r="H2186" s="465">
        <v>0</v>
      </c>
      <c r="I2186" s="394" t="s">
        <v>1097</v>
      </c>
      <c r="J2186" s="632"/>
      <c r="K2186" s="395">
        <v>6.34</v>
      </c>
      <c r="L2186" s="537"/>
      <c r="M2186" s="509">
        <f t="shared" si="6447"/>
        <v>78.864353312302839</v>
      </c>
      <c r="N2186" s="646"/>
      <c r="O2186" s="626"/>
      <c r="P2186" s="629"/>
      <c r="Q2186" s="629"/>
    </row>
    <row r="2187" spans="1:17" ht="15.75" hidden="1" thickBot="1">
      <c r="A2187" s="390" t="str">
        <f t="shared" ref="A2187:G2187" si="6458">A2186</f>
        <v>PBS</v>
      </c>
      <c r="B2187" s="391" t="str">
        <f t="shared" si="6458"/>
        <v>film</v>
      </c>
      <c r="C2187" s="391">
        <f t="shared" si="6458"/>
        <v>2</v>
      </c>
      <c r="D2187" s="391" t="str">
        <f t="shared" si="6458"/>
        <v>0,1-1</v>
      </c>
      <c r="E2187" s="391">
        <f t="shared" si="6458"/>
        <v>1</v>
      </c>
      <c r="F2187" s="391" t="str">
        <f t="shared" si="6458"/>
        <v>soil</v>
      </c>
      <c r="G2187" s="392" t="str">
        <f t="shared" si="6458"/>
        <v>DE: PBS film 0,1-1 mm (emission to soil)</v>
      </c>
      <c r="H2187" s="465">
        <v>2.7E-2</v>
      </c>
      <c r="I2187" s="394" t="s">
        <v>1162</v>
      </c>
      <c r="J2187" s="632"/>
      <c r="K2187" s="395">
        <v>6.34</v>
      </c>
      <c r="L2187" s="537"/>
      <c r="M2187" s="509">
        <f t="shared" si="6447"/>
        <v>78.864353312302839</v>
      </c>
      <c r="N2187" s="646"/>
      <c r="O2187" s="626"/>
      <c r="P2187" s="629"/>
      <c r="Q2187" s="629"/>
    </row>
    <row r="2188" spans="1:17" ht="15.75" hidden="1" thickBot="1">
      <c r="A2188" s="390" t="str">
        <f t="shared" ref="A2188:G2188" si="6459">A2187</f>
        <v>PBS</v>
      </c>
      <c r="B2188" s="391" t="str">
        <f t="shared" si="6459"/>
        <v>film</v>
      </c>
      <c r="C2188" s="391">
        <f t="shared" si="6459"/>
        <v>2</v>
      </c>
      <c r="D2188" s="391" t="str">
        <f t="shared" si="6459"/>
        <v>0,1-1</v>
      </c>
      <c r="E2188" s="391">
        <f t="shared" si="6459"/>
        <v>1</v>
      </c>
      <c r="F2188" s="391" t="str">
        <f t="shared" si="6459"/>
        <v>soil</v>
      </c>
      <c r="G2188" s="392" t="str">
        <f t="shared" si="6459"/>
        <v>DE: PBS film 0,1-1 mm (emission to soil)</v>
      </c>
      <c r="H2188" s="465">
        <v>3.0000000000000001E-3</v>
      </c>
      <c r="I2188" s="394" t="s">
        <v>1163</v>
      </c>
      <c r="J2188" s="632"/>
      <c r="K2188" s="395">
        <v>6.34</v>
      </c>
      <c r="L2188" s="537"/>
      <c r="M2188" s="509">
        <f t="shared" si="6447"/>
        <v>78.864353312302839</v>
      </c>
      <c r="N2188" s="646"/>
      <c r="O2188" s="626"/>
      <c r="P2188" s="629"/>
      <c r="Q2188" s="629"/>
    </row>
    <row r="2189" spans="1:17" ht="15.75" hidden="1" thickBot="1">
      <c r="A2189" s="390" t="str">
        <f>A2186</f>
        <v>PBS</v>
      </c>
      <c r="B2189" s="391" t="str">
        <f>B2186</f>
        <v>film</v>
      </c>
      <c r="C2189" s="391">
        <f t="shared" ref="C2189" si="6460">C2188</f>
        <v>2</v>
      </c>
      <c r="D2189" s="391" t="str">
        <f>D2186</f>
        <v>0,1-1</v>
      </c>
      <c r="E2189" s="391">
        <f>E2186</f>
        <v>1</v>
      </c>
      <c r="F2189" s="391" t="str">
        <f>F2186</f>
        <v>soil</v>
      </c>
      <c r="G2189" s="396" t="str">
        <f t="shared" ref="G2189" si="6461">G2188</f>
        <v>DE: PBS film 0,1-1 mm (emission to soil)</v>
      </c>
      <c r="H2189" s="465">
        <v>0</v>
      </c>
      <c r="I2189" s="397" t="s">
        <v>1034</v>
      </c>
      <c r="J2189" s="633"/>
      <c r="K2189" s="398" t="s">
        <v>596</v>
      </c>
      <c r="L2189" s="538"/>
      <c r="M2189" s="509">
        <f t="shared" si="6447"/>
        <v>0</v>
      </c>
      <c r="N2189" s="647"/>
      <c r="O2189" s="627"/>
      <c r="P2189" s="629"/>
      <c r="Q2189" s="629"/>
    </row>
    <row r="2190" spans="1:17" ht="15.75" hidden="1" thickBot="1">
      <c r="A2190" s="390" t="str">
        <f t="shared" ref="A2190:B2190" si="6462">A2187</f>
        <v>PBS</v>
      </c>
      <c r="B2190" s="391" t="str">
        <f t="shared" si="6462"/>
        <v>film</v>
      </c>
      <c r="C2190" s="391">
        <f t="shared" ref="C2190" si="6463">C2189</f>
        <v>2</v>
      </c>
      <c r="D2190" s="399" t="str">
        <f t="shared" ref="D2190:E2190" si="6464">D2187</f>
        <v>0,1-1</v>
      </c>
      <c r="E2190" s="391">
        <f t="shared" si="6464"/>
        <v>1</v>
      </c>
      <c r="F2190" s="400" t="s">
        <v>1147</v>
      </c>
      <c r="G2190" s="386" t="str">
        <f>CONCATENATE("DE: ",A2190," ",B2190," ",D2190," mm (emission to ",F2190,")")</f>
        <v>DE: PBS film 0,1-1 mm (emission to fresh water)</v>
      </c>
      <c r="H2190" s="466">
        <v>0</v>
      </c>
      <c r="I2190" s="388" t="s">
        <v>1019</v>
      </c>
      <c r="J2190" s="634">
        <v>0.22800000000000001</v>
      </c>
      <c r="K2190" s="389">
        <v>61.12</v>
      </c>
      <c r="L2190" s="536"/>
      <c r="M2190" s="509">
        <f t="shared" si="6447"/>
        <v>8.18062827225131</v>
      </c>
      <c r="N2190" s="645">
        <f t="shared" si="6419"/>
        <v>78.864353312302839</v>
      </c>
      <c r="O2190" s="625"/>
      <c r="P2190" s="628">
        <f t="shared" si="6337"/>
        <v>78.864353312302839</v>
      </c>
      <c r="Q2190" s="628">
        <f t="shared" si="6456"/>
        <v>78.864353312302839</v>
      </c>
    </row>
    <row r="2191" spans="1:17" ht="15.75" hidden="1" thickBot="1">
      <c r="A2191" s="390" t="str">
        <f t="shared" ref="A2191:B2191" si="6465">A2188</f>
        <v>PBS</v>
      </c>
      <c r="B2191" s="391" t="str">
        <f t="shared" si="6465"/>
        <v>film</v>
      </c>
      <c r="C2191" s="391">
        <f t="shared" ref="C2191" si="6466">C2190</f>
        <v>2</v>
      </c>
      <c r="D2191" s="391" t="str">
        <f t="shared" ref="D2191:E2191" si="6467">D2188</f>
        <v>0,1-1</v>
      </c>
      <c r="E2191" s="391">
        <f t="shared" si="6467"/>
        <v>1</v>
      </c>
      <c r="F2191" s="391" t="str">
        <f t="shared" ref="F2191:G2191" si="6468">F2190</f>
        <v>fresh water</v>
      </c>
      <c r="G2191" s="401" t="str">
        <f t="shared" si="6468"/>
        <v>DE: PBS film 0,1-1 mm (emission to fresh water)</v>
      </c>
      <c r="H2191" s="465">
        <v>0</v>
      </c>
      <c r="I2191" s="394" t="s">
        <v>1097</v>
      </c>
      <c r="J2191" s="635"/>
      <c r="K2191" s="389">
        <v>6.34</v>
      </c>
      <c r="L2191" s="536"/>
      <c r="M2191" s="509">
        <f t="shared" si="6447"/>
        <v>78.864353312302839</v>
      </c>
      <c r="N2191" s="646"/>
      <c r="O2191" s="626"/>
      <c r="P2191" s="629"/>
      <c r="Q2191" s="629"/>
    </row>
    <row r="2192" spans="1:17" ht="15.75" hidden="1" thickBot="1">
      <c r="A2192" s="390" t="str">
        <f t="shared" ref="A2192:B2192" si="6469">A2189</f>
        <v>PBS</v>
      </c>
      <c r="B2192" s="391" t="str">
        <f t="shared" si="6469"/>
        <v>film</v>
      </c>
      <c r="C2192" s="391">
        <f t="shared" ref="C2192" si="6470">C2191</f>
        <v>2</v>
      </c>
      <c r="D2192" s="391" t="str">
        <f t="shared" ref="D2192:E2192" si="6471">D2189</f>
        <v>0,1-1</v>
      </c>
      <c r="E2192" s="391">
        <f t="shared" si="6471"/>
        <v>1</v>
      </c>
      <c r="F2192" s="391" t="str">
        <f t="shared" ref="F2192:G2192" si="6472">F2191</f>
        <v>fresh water</v>
      </c>
      <c r="G2192" s="401" t="str">
        <f t="shared" si="6472"/>
        <v>DE: PBS film 0,1-1 mm (emission to fresh water)</v>
      </c>
      <c r="H2192" s="465">
        <v>0.89</v>
      </c>
      <c r="I2192" s="394" t="s">
        <v>1162</v>
      </c>
      <c r="J2192" s="635"/>
      <c r="K2192" s="389">
        <v>6.34</v>
      </c>
      <c r="L2192" s="536"/>
      <c r="M2192" s="509">
        <f t="shared" si="6447"/>
        <v>78.864353312302839</v>
      </c>
      <c r="N2192" s="646"/>
      <c r="O2192" s="626"/>
      <c r="P2192" s="629"/>
      <c r="Q2192" s="629"/>
    </row>
    <row r="2193" spans="1:17" ht="15.75" hidden="1" thickBot="1">
      <c r="A2193" s="390" t="str">
        <f t="shared" ref="A2193:B2193" si="6473">A2190</f>
        <v>PBS</v>
      </c>
      <c r="B2193" s="391" t="str">
        <f t="shared" si="6473"/>
        <v>film</v>
      </c>
      <c r="C2193" s="391">
        <f t="shared" ref="C2193" si="6474">C2192</f>
        <v>2</v>
      </c>
      <c r="D2193" s="391" t="str">
        <f t="shared" ref="D2193:E2193" si="6475">D2190</f>
        <v>0,1-1</v>
      </c>
      <c r="E2193" s="391">
        <f t="shared" si="6475"/>
        <v>1</v>
      </c>
      <c r="F2193" s="391" t="str">
        <f t="shared" ref="F2193:G2193" si="6476">F2192</f>
        <v>fresh water</v>
      </c>
      <c r="G2193" s="401" t="str">
        <f t="shared" si="6476"/>
        <v>DE: PBS film 0,1-1 mm (emission to fresh water)</v>
      </c>
      <c r="H2193" s="465">
        <v>0.11</v>
      </c>
      <c r="I2193" s="394" t="s">
        <v>1163</v>
      </c>
      <c r="J2193" s="635"/>
      <c r="K2193" s="389">
        <v>6.34</v>
      </c>
      <c r="L2193" s="536"/>
      <c r="M2193" s="509">
        <f t="shared" si="6447"/>
        <v>78.864353312302839</v>
      </c>
      <c r="N2193" s="646"/>
      <c r="O2193" s="626"/>
      <c r="P2193" s="629"/>
      <c r="Q2193" s="629"/>
    </row>
    <row r="2194" spans="1:17" ht="15.75" hidden="1" thickBot="1">
      <c r="A2194" s="390" t="str">
        <f t="shared" ref="A2194:B2194" si="6477">A2191</f>
        <v>PBS</v>
      </c>
      <c r="B2194" s="391" t="str">
        <f t="shared" si="6477"/>
        <v>film</v>
      </c>
      <c r="C2194" s="391">
        <f t="shared" ref="C2194" si="6478">C2193</f>
        <v>2</v>
      </c>
      <c r="D2194" s="391" t="str">
        <f t="shared" ref="D2194:E2194" si="6479">D2191</f>
        <v>0,1-1</v>
      </c>
      <c r="E2194" s="391">
        <f t="shared" si="6479"/>
        <v>1</v>
      </c>
      <c r="F2194" s="402" t="str">
        <f>F2191</f>
        <v>fresh water</v>
      </c>
      <c r="G2194" s="401" t="str">
        <f t="shared" ref="G2194" si="6480">G2193</f>
        <v>DE: PBS film 0,1-1 mm (emission to fresh water)</v>
      </c>
      <c r="H2194" s="465">
        <v>0</v>
      </c>
      <c r="I2194" s="397" t="s">
        <v>1034</v>
      </c>
      <c r="J2194" s="654"/>
      <c r="K2194" s="398" t="s">
        <v>596</v>
      </c>
      <c r="L2194" s="538"/>
      <c r="M2194" s="509">
        <f t="shared" si="6447"/>
        <v>0</v>
      </c>
      <c r="N2194" s="647"/>
      <c r="O2194" s="627"/>
      <c r="P2194" s="629"/>
      <c r="Q2194" s="629"/>
    </row>
    <row r="2195" spans="1:17" ht="15.75" hidden="1" thickBot="1">
      <c r="A2195" s="390" t="str">
        <f t="shared" ref="A2195:B2195" si="6481">A2192</f>
        <v>PBS</v>
      </c>
      <c r="B2195" s="391" t="str">
        <f t="shared" si="6481"/>
        <v>film</v>
      </c>
      <c r="C2195" s="391">
        <f t="shared" ref="C2195" si="6482">C2194</f>
        <v>2</v>
      </c>
      <c r="D2195" s="391" t="str">
        <f t="shared" ref="D2195:E2195" si="6483">D2192</f>
        <v>0,1-1</v>
      </c>
      <c r="E2195" s="391">
        <f t="shared" si="6483"/>
        <v>1</v>
      </c>
      <c r="F2195" s="385" t="s">
        <v>1097</v>
      </c>
      <c r="G2195" s="422" t="str">
        <f>CONCATENATE("DE: ",A2195," ",B2195," ",D2195," mm (emission to ",F2195,")")</f>
        <v>DE: PBS film 0,1-1 mm (emission to marine water)</v>
      </c>
      <c r="H2195" s="467">
        <v>0</v>
      </c>
      <c r="I2195" s="388" t="s">
        <v>1019</v>
      </c>
      <c r="J2195" s="634">
        <v>0.22800000000000001</v>
      </c>
      <c r="K2195" s="389">
        <v>61.12</v>
      </c>
      <c r="L2195" s="536"/>
      <c r="M2195" s="509">
        <f t="shared" si="6447"/>
        <v>8.18062827225131</v>
      </c>
      <c r="N2195" s="645">
        <f t="shared" si="6419"/>
        <v>78.864353312302839</v>
      </c>
      <c r="O2195" s="625"/>
      <c r="P2195" s="628">
        <f t="shared" si="6337"/>
        <v>78.864353312302839</v>
      </c>
      <c r="Q2195" s="628">
        <f t="shared" si="6456"/>
        <v>78.864353312302839</v>
      </c>
    </row>
    <row r="2196" spans="1:17" ht="15.75" hidden="1" thickBot="1">
      <c r="A2196" s="390" t="str">
        <f t="shared" ref="A2196:B2196" si="6484">A2193</f>
        <v>PBS</v>
      </c>
      <c r="B2196" s="391" t="str">
        <f t="shared" si="6484"/>
        <v>film</v>
      </c>
      <c r="C2196" s="391">
        <f t="shared" ref="C2196" si="6485">C2195</f>
        <v>2</v>
      </c>
      <c r="D2196" s="391" t="str">
        <f t="shared" ref="D2196:E2196" si="6486">D2193</f>
        <v>0,1-1</v>
      </c>
      <c r="E2196" s="391">
        <f t="shared" si="6486"/>
        <v>1</v>
      </c>
      <c r="F2196" s="391" t="str">
        <f t="shared" ref="F2196:G2196" si="6487">F2195</f>
        <v>marine water</v>
      </c>
      <c r="G2196" s="401" t="str">
        <f t="shared" si="6487"/>
        <v>DE: PBS film 0,1-1 mm (emission to marine water)</v>
      </c>
      <c r="H2196" s="465">
        <v>0</v>
      </c>
      <c r="I2196" s="394" t="s">
        <v>1097</v>
      </c>
      <c r="J2196" s="635"/>
      <c r="K2196" s="389">
        <v>6.34</v>
      </c>
      <c r="L2196" s="536"/>
      <c r="M2196" s="509">
        <f t="shared" si="6447"/>
        <v>78.864353312302839</v>
      </c>
      <c r="N2196" s="646"/>
      <c r="O2196" s="626"/>
      <c r="P2196" s="629"/>
      <c r="Q2196" s="629"/>
    </row>
    <row r="2197" spans="1:17" ht="15.75" hidden="1" thickBot="1">
      <c r="A2197" s="390" t="str">
        <f t="shared" ref="A2197:B2197" si="6488">A2194</f>
        <v>PBS</v>
      </c>
      <c r="B2197" s="391" t="str">
        <f t="shared" si="6488"/>
        <v>film</v>
      </c>
      <c r="C2197" s="391">
        <f t="shared" ref="C2197" si="6489">C2196</f>
        <v>2</v>
      </c>
      <c r="D2197" s="391" t="str">
        <f t="shared" ref="D2197:E2197" si="6490">D2194</f>
        <v>0,1-1</v>
      </c>
      <c r="E2197" s="391">
        <f t="shared" si="6490"/>
        <v>1</v>
      </c>
      <c r="F2197" s="391" t="str">
        <f t="shared" ref="F2197:G2197" si="6491">F2196</f>
        <v>marine water</v>
      </c>
      <c r="G2197" s="401" t="str">
        <f t="shared" si="6491"/>
        <v>DE: PBS film 0,1-1 mm (emission to marine water)</v>
      </c>
      <c r="H2197" s="465">
        <v>0</v>
      </c>
      <c r="I2197" s="394" t="s">
        <v>1162</v>
      </c>
      <c r="J2197" s="635"/>
      <c r="K2197" s="389">
        <v>6.34</v>
      </c>
      <c r="L2197" s="536"/>
      <c r="M2197" s="509">
        <f t="shared" si="6447"/>
        <v>78.864353312302839</v>
      </c>
      <c r="N2197" s="646"/>
      <c r="O2197" s="626"/>
      <c r="P2197" s="629"/>
      <c r="Q2197" s="629"/>
    </row>
    <row r="2198" spans="1:17" ht="15.75" hidden="1" thickBot="1">
      <c r="A2198" s="390" t="str">
        <f t="shared" ref="A2198:B2198" si="6492">A2195</f>
        <v>PBS</v>
      </c>
      <c r="B2198" s="391" t="str">
        <f t="shared" si="6492"/>
        <v>film</v>
      </c>
      <c r="C2198" s="391">
        <f t="shared" ref="C2198" si="6493">C2197</f>
        <v>2</v>
      </c>
      <c r="D2198" s="391" t="str">
        <f t="shared" ref="D2198:E2198" si="6494">D2195</f>
        <v>0,1-1</v>
      </c>
      <c r="E2198" s="391">
        <f t="shared" si="6494"/>
        <v>1</v>
      </c>
      <c r="F2198" s="391" t="str">
        <f t="shared" ref="F2198:G2198" si="6495">F2197</f>
        <v>marine water</v>
      </c>
      <c r="G2198" s="401" t="str">
        <f t="shared" si="6495"/>
        <v>DE: PBS film 0,1-1 mm (emission to marine water)</v>
      </c>
      <c r="H2198" s="465">
        <v>1</v>
      </c>
      <c r="I2198" s="394" t="s">
        <v>1163</v>
      </c>
      <c r="J2198" s="635"/>
      <c r="K2198" s="389">
        <v>6.34</v>
      </c>
      <c r="L2198" s="536"/>
      <c r="M2198" s="509">
        <f t="shared" si="6447"/>
        <v>78.864353312302839</v>
      </c>
      <c r="N2198" s="646"/>
      <c r="O2198" s="626"/>
      <c r="P2198" s="629"/>
      <c r="Q2198" s="629"/>
    </row>
    <row r="2199" spans="1:17" ht="15.75" hidden="1" thickBot="1">
      <c r="A2199" s="390" t="str">
        <f t="shared" ref="A2199:B2199" si="6496">A2196</f>
        <v>PBS</v>
      </c>
      <c r="B2199" s="391" t="str">
        <f t="shared" si="6496"/>
        <v>film</v>
      </c>
      <c r="C2199" s="391">
        <f t="shared" ref="C2199" si="6497">C2198</f>
        <v>2</v>
      </c>
      <c r="D2199" s="391" t="str">
        <f t="shared" ref="D2199:E2199" si="6498">D2196</f>
        <v>0,1-1</v>
      </c>
      <c r="E2199" s="391">
        <f t="shared" si="6498"/>
        <v>1</v>
      </c>
      <c r="F2199" s="391" t="str">
        <f t="shared" ref="F2199:G2199" si="6499">F2198</f>
        <v>marine water</v>
      </c>
      <c r="G2199" s="401" t="str">
        <f t="shared" si="6499"/>
        <v>DE: PBS film 0,1-1 mm (emission to marine water)</v>
      </c>
      <c r="H2199" s="465">
        <v>0</v>
      </c>
      <c r="I2199" s="397" t="s">
        <v>1034</v>
      </c>
      <c r="J2199" s="654"/>
      <c r="K2199" s="398" t="s">
        <v>596</v>
      </c>
      <c r="L2199" s="538"/>
      <c r="M2199" s="509">
        <f t="shared" si="6447"/>
        <v>0</v>
      </c>
      <c r="N2199" s="647"/>
      <c r="O2199" s="627"/>
      <c r="P2199" s="629"/>
      <c r="Q2199" s="629"/>
    </row>
    <row r="2200" spans="1:17" ht="15.75" hidden="1" thickBot="1">
      <c r="A2200" s="390" t="str">
        <f t="shared" ref="A2200:B2200" si="6500">A2197</f>
        <v>PBS</v>
      </c>
      <c r="B2200" s="391" t="str">
        <f t="shared" si="6500"/>
        <v>film</v>
      </c>
      <c r="C2200" s="391">
        <f t="shared" ref="C2200" si="6501">C2199</f>
        <v>2</v>
      </c>
      <c r="D2200" s="391" t="str">
        <f t="shared" ref="D2200:E2200" si="6502">D2197</f>
        <v>0,1-1</v>
      </c>
      <c r="E2200" s="391">
        <f t="shared" si="6502"/>
        <v>1</v>
      </c>
      <c r="F2200" s="400" t="s">
        <v>1057</v>
      </c>
      <c r="G2200" s="422" t="str">
        <f>CONCATENATE("DE: ",A2200," ",B2200," ",D2200," mm (emission to ",F2200,")")</f>
        <v>DE: PBS film 0,1-1 mm (emission to air)</v>
      </c>
      <c r="H2200" s="467">
        <v>0.94799999999999995</v>
      </c>
      <c r="I2200" s="388" t="s">
        <v>1019</v>
      </c>
      <c r="J2200" s="634">
        <v>0.22800000000000001</v>
      </c>
      <c r="K2200" s="389">
        <v>61.12</v>
      </c>
      <c r="L2200" s="536"/>
      <c r="M2200" s="509">
        <f t="shared" si="6447"/>
        <v>8.18062827225131</v>
      </c>
      <c r="N2200" s="645">
        <f t="shared" si="6419"/>
        <v>11.856181974333989</v>
      </c>
      <c r="O2200" s="625"/>
      <c r="P2200" s="628">
        <f t="shared" si="6337"/>
        <v>11.856181974333989</v>
      </c>
      <c r="Q2200" s="628">
        <f t="shared" si="6456"/>
        <v>11.856181974333989</v>
      </c>
    </row>
    <row r="2201" spans="1:17" ht="15.75" hidden="1" thickBot="1">
      <c r="A2201" s="390" t="str">
        <f t="shared" ref="A2201:B2201" si="6503">A2198</f>
        <v>PBS</v>
      </c>
      <c r="B2201" s="391" t="str">
        <f t="shared" si="6503"/>
        <v>film</v>
      </c>
      <c r="C2201" s="391">
        <f t="shared" ref="C2201" si="6504">C2200</f>
        <v>2</v>
      </c>
      <c r="D2201" s="391" t="str">
        <f t="shared" ref="D2201:E2201" si="6505">D2198</f>
        <v>0,1-1</v>
      </c>
      <c r="E2201" s="391">
        <f t="shared" si="6505"/>
        <v>1</v>
      </c>
      <c r="F2201" s="391" t="str">
        <f t="shared" ref="F2201:G2201" si="6506">F2200</f>
        <v>air</v>
      </c>
      <c r="G2201" s="401" t="str">
        <f t="shared" si="6506"/>
        <v>DE: PBS film 0,1-1 mm (emission to air)</v>
      </c>
      <c r="H2201" s="465">
        <v>0</v>
      </c>
      <c r="I2201" s="394" t="s">
        <v>1097</v>
      </c>
      <c r="J2201" s="635"/>
      <c r="K2201" s="389">
        <v>6.34</v>
      </c>
      <c r="L2201" s="536"/>
      <c r="M2201" s="509">
        <f t="shared" si="6447"/>
        <v>78.864353312302839</v>
      </c>
      <c r="N2201" s="646"/>
      <c r="O2201" s="626"/>
      <c r="P2201" s="629"/>
      <c r="Q2201" s="629"/>
    </row>
    <row r="2202" spans="1:17" ht="15.75" hidden="1" thickBot="1">
      <c r="A2202" s="390" t="str">
        <f t="shared" ref="A2202:B2202" si="6507">A2199</f>
        <v>PBS</v>
      </c>
      <c r="B2202" s="391" t="str">
        <f t="shared" si="6507"/>
        <v>film</v>
      </c>
      <c r="C2202" s="391">
        <f t="shared" ref="C2202" si="6508">C2201</f>
        <v>2</v>
      </c>
      <c r="D2202" s="391" t="str">
        <f t="shared" ref="D2202:E2202" si="6509">D2199</f>
        <v>0,1-1</v>
      </c>
      <c r="E2202" s="391">
        <f t="shared" si="6509"/>
        <v>1</v>
      </c>
      <c r="F2202" s="391" t="str">
        <f t="shared" ref="F2202:G2202" si="6510">F2201</f>
        <v>air</v>
      </c>
      <c r="G2202" s="401" t="str">
        <f t="shared" si="6510"/>
        <v>DE: PBS film 0,1-1 mm (emission to air)</v>
      </c>
      <c r="H2202" s="465">
        <v>4.7E-2</v>
      </c>
      <c r="I2202" s="394" t="s">
        <v>1162</v>
      </c>
      <c r="J2202" s="635"/>
      <c r="K2202" s="389">
        <v>6.34</v>
      </c>
      <c r="L2202" s="536"/>
      <c r="M2202" s="509">
        <f t="shared" si="6447"/>
        <v>78.864353312302839</v>
      </c>
      <c r="N2202" s="646"/>
      <c r="O2202" s="626"/>
      <c r="P2202" s="629"/>
      <c r="Q2202" s="629"/>
    </row>
    <row r="2203" spans="1:17" ht="15.75" hidden="1" thickBot="1">
      <c r="A2203" s="390" t="str">
        <f t="shared" ref="A2203:B2203" si="6511">A2200</f>
        <v>PBS</v>
      </c>
      <c r="B2203" s="391" t="str">
        <f t="shared" si="6511"/>
        <v>film</v>
      </c>
      <c r="C2203" s="391">
        <f t="shared" ref="C2203" si="6512">C2202</f>
        <v>2</v>
      </c>
      <c r="D2203" s="391" t="str">
        <f t="shared" ref="D2203:E2203" si="6513">D2200</f>
        <v>0,1-1</v>
      </c>
      <c r="E2203" s="391">
        <f t="shared" si="6513"/>
        <v>1</v>
      </c>
      <c r="F2203" s="391" t="str">
        <f t="shared" ref="F2203:G2203" si="6514">F2202</f>
        <v>air</v>
      </c>
      <c r="G2203" s="401" t="str">
        <f t="shared" si="6514"/>
        <v>DE: PBS film 0,1-1 mm (emission to air)</v>
      </c>
      <c r="H2203" s="465">
        <v>5.0000000000000001E-3</v>
      </c>
      <c r="I2203" s="394" t="s">
        <v>1163</v>
      </c>
      <c r="J2203" s="635"/>
      <c r="K2203" s="389">
        <v>6.34</v>
      </c>
      <c r="L2203" s="536"/>
      <c r="M2203" s="509">
        <f t="shared" si="6447"/>
        <v>78.864353312302839</v>
      </c>
      <c r="N2203" s="646"/>
      <c r="O2203" s="626"/>
      <c r="P2203" s="629"/>
      <c r="Q2203" s="629"/>
    </row>
    <row r="2204" spans="1:17" ht="15.75" hidden="1" thickBot="1">
      <c r="A2204" s="452" t="str">
        <f t="shared" ref="A2204:B2204" si="6515">A2199</f>
        <v>PBS</v>
      </c>
      <c r="B2204" s="453" t="str">
        <f t="shared" si="6515"/>
        <v>film</v>
      </c>
      <c r="C2204" s="453">
        <f t="shared" ref="C2204" si="6516">C2203</f>
        <v>2</v>
      </c>
      <c r="D2204" s="453" t="str">
        <f t="shared" ref="D2204:E2204" si="6517">D2199</f>
        <v>0,1-1</v>
      </c>
      <c r="E2204" s="453">
        <f t="shared" si="6517"/>
        <v>1</v>
      </c>
      <c r="F2204" s="453" t="str">
        <f t="shared" ref="F2204:G2204" si="6518">F2203</f>
        <v>air</v>
      </c>
      <c r="G2204" s="454" t="str">
        <f t="shared" si="6518"/>
        <v>DE: PBS film 0,1-1 mm (emission to air)</v>
      </c>
      <c r="H2204" s="473">
        <v>0</v>
      </c>
      <c r="I2204" s="456" t="s">
        <v>1034</v>
      </c>
      <c r="J2204" s="636"/>
      <c r="K2204" s="457" t="s">
        <v>596</v>
      </c>
      <c r="L2204" s="543"/>
      <c r="M2204" s="509">
        <f t="shared" si="6447"/>
        <v>0</v>
      </c>
      <c r="N2204" s="647"/>
      <c r="O2204" s="627"/>
      <c r="P2204" s="629"/>
      <c r="Q2204" s="629"/>
    </row>
    <row r="2205" spans="1:17" ht="15.75" hidden="1" thickBot="1">
      <c r="A2205" s="381" t="s">
        <v>42</v>
      </c>
      <c r="B2205" s="382" t="s">
        <v>996</v>
      </c>
      <c r="C2205" s="383">
        <f>IF(OR(B2205="Folie", B2205="Strips", B2205="Film",B2205="Flakes",B2205="Coupon"), 2,IF(OR(B2205="Fibers",B2205="Pellets"),4,IF(OR(B2205="Particles",B2205="Shreds",B2205="Powder",B2205="Fragments",B2205="Granules"),6,"")))</f>
        <v>2</v>
      </c>
      <c r="D2205" s="475" t="s">
        <v>1026</v>
      </c>
      <c r="E2205" s="384">
        <v>10</v>
      </c>
      <c r="F2205" s="385" t="s">
        <v>1019</v>
      </c>
      <c r="G2205" s="386" t="str">
        <f>CONCATENATE("DE: ",A2205," ",B2205," ",D2205," mm (emission to ",F2205,")")</f>
        <v>DE: PBS film 1-10 mm (emission to soil)</v>
      </c>
      <c r="H2205" s="466">
        <v>0.97</v>
      </c>
      <c r="I2205" s="388" t="s">
        <v>1019</v>
      </c>
      <c r="J2205" s="632">
        <v>0.22800000000000001</v>
      </c>
      <c r="K2205" s="389">
        <v>61.12</v>
      </c>
      <c r="L2205" s="536"/>
      <c r="M2205" s="509">
        <f t="shared" si="6447"/>
        <v>81.806282722513089</v>
      </c>
      <c r="N2205" s="645">
        <f t="shared" si="6419"/>
        <v>103.01140023452855</v>
      </c>
      <c r="O2205" s="625"/>
      <c r="P2205" s="628">
        <f t="shared" si="6337"/>
        <v>100</v>
      </c>
      <c r="Q2205" s="628">
        <f t="shared" si="6456"/>
        <v>103.01140023452855</v>
      </c>
    </row>
    <row r="2206" spans="1:17" ht="15.75" hidden="1" thickBot="1">
      <c r="A2206" s="390" t="str">
        <f>A2205</f>
        <v>PBS</v>
      </c>
      <c r="B2206" s="391" t="str">
        <f>B2205</f>
        <v>film</v>
      </c>
      <c r="C2206" s="391">
        <f t="shared" ref="C2206:G2206" si="6519">C2205</f>
        <v>2</v>
      </c>
      <c r="D2206" s="391" t="str">
        <f t="shared" si="6519"/>
        <v>1-10</v>
      </c>
      <c r="E2206" s="391">
        <f t="shared" si="6519"/>
        <v>10</v>
      </c>
      <c r="F2206" s="391" t="str">
        <f t="shared" si="6519"/>
        <v>soil</v>
      </c>
      <c r="G2206" s="392" t="str">
        <f t="shared" si="6519"/>
        <v>DE: PBS film 1-10 mm (emission to soil)</v>
      </c>
      <c r="H2206" s="465">
        <v>0</v>
      </c>
      <c r="I2206" s="394" t="s">
        <v>1097</v>
      </c>
      <c r="J2206" s="632"/>
      <c r="K2206" s="395">
        <v>6.34</v>
      </c>
      <c r="L2206" s="537"/>
      <c r="M2206" s="509">
        <f t="shared" si="6447"/>
        <v>788.64353312302842</v>
      </c>
      <c r="N2206" s="646"/>
      <c r="O2206" s="626"/>
      <c r="P2206" s="629"/>
      <c r="Q2206" s="629"/>
    </row>
    <row r="2207" spans="1:17" ht="15.75" hidden="1" thickBot="1">
      <c r="A2207" s="390" t="str">
        <f t="shared" ref="A2207:G2207" si="6520">A2206</f>
        <v>PBS</v>
      </c>
      <c r="B2207" s="391" t="str">
        <f t="shared" si="6520"/>
        <v>film</v>
      </c>
      <c r="C2207" s="391">
        <f t="shared" si="6520"/>
        <v>2</v>
      </c>
      <c r="D2207" s="391" t="str">
        <f t="shared" si="6520"/>
        <v>1-10</v>
      </c>
      <c r="E2207" s="391">
        <f t="shared" si="6520"/>
        <v>10</v>
      </c>
      <c r="F2207" s="391" t="str">
        <f t="shared" si="6520"/>
        <v>soil</v>
      </c>
      <c r="G2207" s="392" t="str">
        <f t="shared" si="6520"/>
        <v>DE: PBS film 1-10 mm (emission to soil)</v>
      </c>
      <c r="H2207" s="465">
        <v>2.7E-2</v>
      </c>
      <c r="I2207" s="394" t="s">
        <v>1162</v>
      </c>
      <c r="J2207" s="632"/>
      <c r="K2207" s="395">
        <v>6.34</v>
      </c>
      <c r="L2207" s="537"/>
      <c r="M2207" s="509">
        <f t="shared" si="6447"/>
        <v>788.64353312302842</v>
      </c>
      <c r="N2207" s="646"/>
      <c r="O2207" s="626"/>
      <c r="P2207" s="629"/>
      <c r="Q2207" s="629"/>
    </row>
    <row r="2208" spans="1:17" ht="15.75" hidden="1" thickBot="1">
      <c r="A2208" s="390" t="str">
        <f t="shared" ref="A2208:G2208" si="6521">A2207</f>
        <v>PBS</v>
      </c>
      <c r="B2208" s="391" t="str">
        <f t="shared" si="6521"/>
        <v>film</v>
      </c>
      <c r="C2208" s="391">
        <f t="shared" si="6521"/>
        <v>2</v>
      </c>
      <c r="D2208" s="391" t="str">
        <f t="shared" si="6521"/>
        <v>1-10</v>
      </c>
      <c r="E2208" s="391">
        <f t="shared" si="6521"/>
        <v>10</v>
      </c>
      <c r="F2208" s="391" t="str">
        <f t="shared" si="6521"/>
        <v>soil</v>
      </c>
      <c r="G2208" s="392" t="str">
        <f t="shared" si="6521"/>
        <v>DE: PBS film 1-10 mm (emission to soil)</v>
      </c>
      <c r="H2208" s="465">
        <v>3.0000000000000001E-3</v>
      </c>
      <c r="I2208" s="394" t="s">
        <v>1163</v>
      </c>
      <c r="J2208" s="632"/>
      <c r="K2208" s="395">
        <v>6.34</v>
      </c>
      <c r="L2208" s="537"/>
      <c r="M2208" s="509">
        <f t="shared" si="6447"/>
        <v>788.64353312302842</v>
      </c>
      <c r="N2208" s="646"/>
      <c r="O2208" s="626"/>
      <c r="P2208" s="629"/>
      <c r="Q2208" s="629"/>
    </row>
    <row r="2209" spans="1:17" ht="15.75" hidden="1" thickBot="1">
      <c r="A2209" s="390" t="str">
        <f>A2206</f>
        <v>PBS</v>
      </c>
      <c r="B2209" s="391" t="str">
        <f>B2206</f>
        <v>film</v>
      </c>
      <c r="C2209" s="391">
        <f t="shared" ref="C2209" si="6522">C2208</f>
        <v>2</v>
      </c>
      <c r="D2209" s="391" t="str">
        <f>D2206</f>
        <v>1-10</v>
      </c>
      <c r="E2209" s="391">
        <f>E2206</f>
        <v>10</v>
      </c>
      <c r="F2209" s="391" t="str">
        <f>F2206</f>
        <v>soil</v>
      </c>
      <c r="G2209" s="396" t="str">
        <f t="shared" ref="G2209" si="6523">G2208</f>
        <v>DE: PBS film 1-10 mm (emission to soil)</v>
      </c>
      <c r="H2209" s="465">
        <v>0</v>
      </c>
      <c r="I2209" s="397" t="s">
        <v>1034</v>
      </c>
      <c r="J2209" s="633"/>
      <c r="K2209" s="398" t="s">
        <v>596</v>
      </c>
      <c r="L2209" s="538"/>
      <c r="M2209" s="509">
        <f t="shared" si="6447"/>
        <v>0</v>
      </c>
      <c r="N2209" s="647"/>
      <c r="O2209" s="627"/>
      <c r="P2209" s="629"/>
      <c r="Q2209" s="629"/>
    </row>
    <row r="2210" spans="1:17" ht="15.75" hidden="1" thickBot="1">
      <c r="A2210" s="390" t="str">
        <f t="shared" ref="A2210:B2210" si="6524">A2207</f>
        <v>PBS</v>
      </c>
      <c r="B2210" s="391" t="str">
        <f t="shared" si="6524"/>
        <v>film</v>
      </c>
      <c r="C2210" s="391">
        <f t="shared" ref="C2210" si="6525">C2209</f>
        <v>2</v>
      </c>
      <c r="D2210" s="399" t="str">
        <f t="shared" ref="D2210:E2210" si="6526">D2207</f>
        <v>1-10</v>
      </c>
      <c r="E2210" s="391">
        <f t="shared" si="6526"/>
        <v>10</v>
      </c>
      <c r="F2210" s="400" t="s">
        <v>1147</v>
      </c>
      <c r="G2210" s="386" t="str">
        <f>CONCATENATE("DE: ",A2210," ",B2210," ",D2210," mm (emission to ",F2210,")")</f>
        <v>DE: PBS film 1-10 mm (emission to fresh water)</v>
      </c>
      <c r="H2210" s="466">
        <v>0</v>
      </c>
      <c r="I2210" s="388" t="s">
        <v>1019</v>
      </c>
      <c r="J2210" s="634">
        <v>0.22800000000000001</v>
      </c>
      <c r="K2210" s="389">
        <v>61.12</v>
      </c>
      <c r="L2210" s="536"/>
      <c r="M2210" s="509">
        <f t="shared" si="6447"/>
        <v>81.806282722513089</v>
      </c>
      <c r="N2210" s="645">
        <f t="shared" si="6419"/>
        <v>788.64353312302842</v>
      </c>
      <c r="O2210" s="625"/>
      <c r="P2210" s="628">
        <f t="shared" si="6337"/>
        <v>100</v>
      </c>
      <c r="Q2210" s="628">
        <f t="shared" si="6456"/>
        <v>500</v>
      </c>
    </row>
    <row r="2211" spans="1:17" ht="15.75" hidden="1" thickBot="1">
      <c r="A2211" s="390" t="str">
        <f t="shared" ref="A2211:B2211" si="6527">A2208</f>
        <v>PBS</v>
      </c>
      <c r="B2211" s="391" t="str">
        <f t="shared" si="6527"/>
        <v>film</v>
      </c>
      <c r="C2211" s="391">
        <f t="shared" ref="C2211" si="6528">C2210</f>
        <v>2</v>
      </c>
      <c r="D2211" s="391" t="str">
        <f t="shared" ref="D2211:E2211" si="6529">D2208</f>
        <v>1-10</v>
      </c>
      <c r="E2211" s="391">
        <f t="shared" si="6529"/>
        <v>10</v>
      </c>
      <c r="F2211" s="391" t="str">
        <f t="shared" ref="F2211:G2211" si="6530">F2210</f>
        <v>fresh water</v>
      </c>
      <c r="G2211" s="401" t="str">
        <f t="shared" si="6530"/>
        <v>DE: PBS film 1-10 mm (emission to fresh water)</v>
      </c>
      <c r="H2211" s="465">
        <v>0</v>
      </c>
      <c r="I2211" s="394" t="s">
        <v>1097</v>
      </c>
      <c r="J2211" s="635"/>
      <c r="K2211" s="389">
        <v>6.34</v>
      </c>
      <c r="L2211" s="536"/>
      <c r="M2211" s="509">
        <f t="shared" si="6447"/>
        <v>788.64353312302842</v>
      </c>
      <c r="N2211" s="646"/>
      <c r="O2211" s="626"/>
      <c r="P2211" s="629"/>
      <c r="Q2211" s="629"/>
    </row>
    <row r="2212" spans="1:17" ht="15.75" hidden="1" thickBot="1">
      <c r="A2212" s="390" t="str">
        <f t="shared" ref="A2212:B2212" si="6531">A2209</f>
        <v>PBS</v>
      </c>
      <c r="B2212" s="391" t="str">
        <f t="shared" si="6531"/>
        <v>film</v>
      </c>
      <c r="C2212" s="391">
        <f t="shared" ref="C2212" si="6532">C2211</f>
        <v>2</v>
      </c>
      <c r="D2212" s="391" t="str">
        <f t="shared" ref="D2212:E2212" si="6533">D2209</f>
        <v>1-10</v>
      </c>
      <c r="E2212" s="391">
        <f t="shared" si="6533"/>
        <v>10</v>
      </c>
      <c r="F2212" s="391" t="str">
        <f t="shared" ref="F2212:G2212" si="6534">F2211</f>
        <v>fresh water</v>
      </c>
      <c r="G2212" s="401" t="str">
        <f t="shared" si="6534"/>
        <v>DE: PBS film 1-10 mm (emission to fresh water)</v>
      </c>
      <c r="H2212" s="465">
        <v>0.89</v>
      </c>
      <c r="I2212" s="394" t="s">
        <v>1162</v>
      </c>
      <c r="J2212" s="635"/>
      <c r="K2212" s="389">
        <v>6.34</v>
      </c>
      <c r="L2212" s="536"/>
      <c r="M2212" s="509">
        <f t="shared" si="6447"/>
        <v>788.64353312302842</v>
      </c>
      <c r="N2212" s="646"/>
      <c r="O2212" s="626"/>
      <c r="P2212" s="629"/>
      <c r="Q2212" s="629"/>
    </row>
    <row r="2213" spans="1:17" ht="15.75" hidden="1" thickBot="1">
      <c r="A2213" s="390" t="str">
        <f t="shared" ref="A2213:B2213" si="6535">A2210</f>
        <v>PBS</v>
      </c>
      <c r="B2213" s="391" t="str">
        <f t="shared" si="6535"/>
        <v>film</v>
      </c>
      <c r="C2213" s="391">
        <f t="shared" ref="C2213" si="6536">C2212</f>
        <v>2</v>
      </c>
      <c r="D2213" s="391" t="str">
        <f t="shared" ref="D2213:E2213" si="6537">D2210</f>
        <v>1-10</v>
      </c>
      <c r="E2213" s="391">
        <f t="shared" si="6537"/>
        <v>10</v>
      </c>
      <c r="F2213" s="391" t="str">
        <f t="shared" ref="F2213:G2213" si="6538">F2212</f>
        <v>fresh water</v>
      </c>
      <c r="G2213" s="401" t="str">
        <f t="shared" si="6538"/>
        <v>DE: PBS film 1-10 mm (emission to fresh water)</v>
      </c>
      <c r="H2213" s="465">
        <v>0.11</v>
      </c>
      <c r="I2213" s="394" t="s">
        <v>1163</v>
      </c>
      <c r="J2213" s="635"/>
      <c r="K2213" s="389">
        <v>6.34</v>
      </c>
      <c r="L2213" s="536"/>
      <c r="M2213" s="509">
        <f t="shared" si="6447"/>
        <v>788.64353312302842</v>
      </c>
      <c r="N2213" s="646"/>
      <c r="O2213" s="626"/>
      <c r="P2213" s="629"/>
      <c r="Q2213" s="629"/>
    </row>
    <row r="2214" spans="1:17" ht="15.75" hidden="1" thickBot="1">
      <c r="A2214" s="390" t="str">
        <f t="shared" ref="A2214:B2214" si="6539">A2211</f>
        <v>PBS</v>
      </c>
      <c r="B2214" s="391" t="str">
        <f t="shared" si="6539"/>
        <v>film</v>
      </c>
      <c r="C2214" s="391">
        <f t="shared" ref="C2214" si="6540">C2213</f>
        <v>2</v>
      </c>
      <c r="D2214" s="391" t="str">
        <f t="shared" ref="D2214:E2214" si="6541">D2211</f>
        <v>1-10</v>
      </c>
      <c r="E2214" s="391">
        <f t="shared" si="6541"/>
        <v>10</v>
      </c>
      <c r="F2214" s="402" t="str">
        <f>F2211</f>
        <v>fresh water</v>
      </c>
      <c r="G2214" s="401" t="str">
        <f t="shared" ref="G2214" si="6542">G2213</f>
        <v>DE: PBS film 1-10 mm (emission to fresh water)</v>
      </c>
      <c r="H2214" s="465">
        <v>0</v>
      </c>
      <c r="I2214" s="397" t="s">
        <v>1034</v>
      </c>
      <c r="J2214" s="654"/>
      <c r="K2214" s="398" t="s">
        <v>596</v>
      </c>
      <c r="L2214" s="538"/>
      <c r="M2214" s="509">
        <f t="shared" si="6447"/>
        <v>0</v>
      </c>
      <c r="N2214" s="647"/>
      <c r="O2214" s="627"/>
      <c r="P2214" s="629"/>
      <c r="Q2214" s="629"/>
    </row>
    <row r="2215" spans="1:17" ht="15.75" hidden="1" thickBot="1">
      <c r="A2215" s="390" t="str">
        <f t="shared" ref="A2215:B2215" si="6543">A2212</f>
        <v>PBS</v>
      </c>
      <c r="B2215" s="391" t="str">
        <f t="shared" si="6543"/>
        <v>film</v>
      </c>
      <c r="C2215" s="391">
        <f t="shared" ref="C2215" si="6544">C2214</f>
        <v>2</v>
      </c>
      <c r="D2215" s="391" t="str">
        <f t="shared" ref="D2215:E2215" si="6545">D2212</f>
        <v>1-10</v>
      </c>
      <c r="E2215" s="391">
        <f t="shared" si="6545"/>
        <v>10</v>
      </c>
      <c r="F2215" s="385" t="s">
        <v>1097</v>
      </c>
      <c r="G2215" s="422" t="str">
        <f>CONCATENATE("DE: ",A2215," ",B2215," ",D2215," mm (emission to ",F2215,")")</f>
        <v>DE: PBS film 1-10 mm (emission to marine water)</v>
      </c>
      <c r="H2215" s="467">
        <v>0</v>
      </c>
      <c r="I2215" s="388" t="s">
        <v>1019</v>
      </c>
      <c r="J2215" s="634">
        <v>0.22800000000000001</v>
      </c>
      <c r="K2215" s="389">
        <v>61.12</v>
      </c>
      <c r="L2215" s="536"/>
      <c r="M2215" s="509">
        <f t="shared" si="6447"/>
        <v>81.806282722513089</v>
      </c>
      <c r="N2215" s="645">
        <f t="shared" si="6419"/>
        <v>788.64353312302842</v>
      </c>
      <c r="O2215" s="625"/>
      <c r="P2215" s="628">
        <f t="shared" ref="P2215:P2275" si="6546">IFERROR(IF(H2215*M2215+H2216*M2216+H2217*M2217+H2218*M2218+H2219*M2219&gt;100,100,H2215*M2215+H2216*M2216+H2217*M2217+H2218*M2218+H2219*M2219),"N.A.")</f>
        <v>100</v>
      </c>
      <c r="Q2215" s="628">
        <f t="shared" si="6456"/>
        <v>500</v>
      </c>
    </row>
    <row r="2216" spans="1:17" ht="15.75" hidden="1" thickBot="1">
      <c r="A2216" s="390" t="str">
        <f t="shared" ref="A2216:B2216" si="6547">A2213</f>
        <v>PBS</v>
      </c>
      <c r="B2216" s="391" t="str">
        <f t="shared" si="6547"/>
        <v>film</v>
      </c>
      <c r="C2216" s="391">
        <f t="shared" ref="C2216" si="6548">C2215</f>
        <v>2</v>
      </c>
      <c r="D2216" s="391" t="str">
        <f t="shared" ref="D2216:E2216" si="6549">D2213</f>
        <v>1-10</v>
      </c>
      <c r="E2216" s="391">
        <f t="shared" si="6549"/>
        <v>10</v>
      </c>
      <c r="F2216" s="391" t="str">
        <f t="shared" ref="F2216:G2216" si="6550">F2215</f>
        <v>marine water</v>
      </c>
      <c r="G2216" s="401" t="str">
        <f t="shared" si="6550"/>
        <v>DE: PBS film 1-10 mm (emission to marine water)</v>
      </c>
      <c r="H2216" s="465">
        <v>0</v>
      </c>
      <c r="I2216" s="394" t="s">
        <v>1097</v>
      </c>
      <c r="J2216" s="635"/>
      <c r="K2216" s="389">
        <v>6.34</v>
      </c>
      <c r="L2216" s="536"/>
      <c r="M2216" s="509">
        <f t="shared" si="6447"/>
        <v>788.64353312302842</v>
      </c>
      <c r="N2216" s="646"/>
      <c r="O2216" s="626"/>
      <c r="P2216" s="629"/>
      <c r="Q2216" s="629"/>
    </row>
    <row r="2217" spans="1:17" ht="15.75" hidden="1" thickBot="1">
      <c r="A2217" s="390" t="str">
        <f t="shared" ref="A2217:B2217" si="6551">A2214</f>
        <v>PBS</v>
      </c>
      <c r="B2217" s="391" t="str">
        <f t="shared" si="6551"/>
        <v>film</v>
      </c>
      <c r="C2217" s="391">
        <f t="shared" ref="C2217" si="6552">C2216</f>
        <v>2</v>
      </c>
      <c r="D2217" s="391" t="str">
        <f t="shared" ref="D2217:E2217" si="6553">D2214</f>
        <v>1-10</v>
      </c>
      <c r="E2217" s="391">
        <f t="shared" si="6553"/>
        <v>10</v>
      </c>
      <c r="F2217" s="391" t="str">
        <f t="shared" ref="F2217:G2217" si="6554">F2216</f>
        <v>marine water</v>
      </c>
      <c r="G2217" s="401" t="str">
        <f t="shared" si="6554"/>
        <v>DE: PBS film 1-10 mm (emission to marine water)</v>
      </c>
      <c r="H2217" s="465">
        <v>0</v>
      </c>
      <c r="I2217" s="394" t="s">
        <v>1162</v>
      </c>
      <c r="J2217" s="635"/>
      <c r="K2217" s="389">
        <v>6.34</v>
      </c>
      <c r="L2217" s="536"/>
      <c r="M2217" s="509">
        <f t="shared" si="6447"/>
        <v>788.64353312302842</v>
      </c>
      <c r="N2217" s="646"/>
      <c r="O2217" s="626"/>
      <c r="P2217" s="629"/>
      <c r="Q2217" s="629"/>
    </row>
    <row r="2218" spans="1:17" ht="15.75" hidden="1" thickBot="1">
      <c r="A2218" s="390" t="str">
        <f t="shared" ref="A2218:B2218" si="6555">A2215</f>
        <v>PBS</v>
      </c>
      <c r="B2218" s="391" t="str">
        <f t="shared" si="6555"/>
        <v>film</v>
      </c>
      <c r="C2218" s="391">
        <f t="shared" ref="C2218" si="6556">C2217</f>
        <v>2</v>
      </c>
      <c r="D2218" s="391" t="str">
        <f t="shared" ref="D2218:E2218" si="6557">D2215</f>
        <v>1-10</v>
      </c>
      <c r="E2218" s="391">
        <f t="shared" si="6557"/>
        <v>10</v>
      </c>
      <c r="F2218" s="391" t="str">
        <f t="shared" ref="F2218:G2218" si="6558">F2217</f>
        <v>marine water</v>
      </c>
      <c r="G2218" s="401" t="str">
        <f t="shared" si="6558"/>
        <v>DE: PBS film 1-10 mm (emission to marine water)</v>
      </c>
      <c r="H2218" s="465">
        <v>1</v>
      </c>
      <c r="I2218" s="394" t="s">
        <v>1163</v>
      </c>
      <c r="J2218" s="635"/>
      <c r="K2218" s="389">
        <v>6.34</v>
      </c>
      <c r="L2218" s="536"/>
      <c r="M2218" s="509">
        <f t="shared" si="6447"/>
        <v>788.64353312302842</v>
      </c>
      <c r="N2218" s="646"/>
      <c r="O2218" s="626"/>
      <c r="P2218" s="629"/>
      <c r="Q2218" s="629"/>
    </row>
    <row r="2219" spans="1:17" ht="15.75" hidden="1" thickBot="1">
      <c r="A2219" s="390" t="str">
        <f t="shared" ref="A2219:B2219" si="6559">A2216</f>
        <v>PBS</v>
      </c>
      <c r="B2219" s="391" t="str">
        <f t="shared" si="6559"/>
        <v>film</v>
      </c>
      <c r="C2219" s="391">
        <f t="shared" ref="C2219" si="6560">C2218</f>
        <v>2</v>
      </c>
      <c r="D2219" s="391" t="str">
        <f t="shared" ref="D2219:E2219" si="6561">D2216</f>
        <v>1-10</v>
      </c>
      <c r="E2219" s="391">
        <f t="shared" si="6561"/>
        <v>10</v>
      </c>
      <c r="F2219" s="391" t="str">
        <f t="shared" ref="F2219:G2219" si="6562">F2218</f>
        <v>marine water</v>
      </c>
      <c r="G2219" s="401" t="str">
        <f t="shared" si="6562"/>
        <v>DE: PBS film 1-10 mm (emission to marine water)</v>
      </c>
      <c r="H2219" s="465">
        <v>0</v>
      </c>
      <c r="I2219" s="397" t="s">
        <v>1034</v>
      </c>
      <c r="J2219" s="654"/>
      <c r="K2219" s="398" t="s">
        <v>596</v>
      </c>
      <c r="L2219" s="538"/>
      <c r="M2219" s="509">
        <f t="shared" si="6447"/>
        <v>0</v>
      </c>
      <c r="N2219" s="647"/>
      <c r="O2219" s="627"/>
      <c r="P2219" s="629"/>
      <c r="Q2219" s="629"/>
    </row>
    <row r="2220" spans="1:17" ht="15.75" hidden="1" thickBot="1">
      <c r="A2220" s="390" t="str">
        <f t="shared" ref="A2220:B2220" si="6563">A2217</f>
        <v>PBS</v>
      </c>
      <c r="B2220" s="391" t="str">
        <f t="shared" si="6563"/>
        <v>film</v>
      </c>
      <c r="C2220" s="391">
        <f t="shared" ref="C2220" si="6564">C2219</f>
        <v>2</v>
      </c>
      <c r="D2220" s="391" t="str">
        <f t="shared" ref="D2220:E2220" si="6565">D2217</f>
        <v>1-10</v>
      </c>
      <c r="E2220" s="391">
        <f t="shared" si="6565"/>
        <v>10</v>
      </c>
      <c r="F2220" s="400" t="s">
        <v>1057</v>
      </c>
      <c r="G2220" s="422" t="str">
        <f>CONCATENATE("DE: ",A2220," ",B2220," ",D2220," mm (emission to ",F2220,")")</f>
        <v>DE: PBS film 1-10 mm (emission to air)</v>
      </c>
      <c r="H2220" s="467">
        <v>0.94799999999999995</v>
      </c>
      <c r="I2220" s="388" t="s">
        <v>1019</v>
      </c>
      <c r="J2220" s="634">
        <v>0.22800000000000001</v>
      </c>
      <c r="K2220" s="389">
        <v>61.12</v>
      </c>
      <c r="L2220" s="536"/>
      <c r="M2220" s="509">
        <f t="shared" si="6447"/>
        <v>81.806282722513089</v>
      </c>
      <c r="N2220" s="645">
        <f t="shared" si="6419"/>
        <v>118.56181974333987</v>
      </c>
      <c r="O2220" s="625"/>
      <c r="P2220" s="628">
        <f t="shared" si="6546"/>
        <v>100</v>
      </c>
      <c r="Q2220" s="628">
        <f t="shared" si="6456"/>
        <v>118.56181974333987</v>
      </c>
    </row>
    <row r="2221" spans="1:17" ht="15.75" hidden="1" thickBot="1">
      <c r="A2221" s="390" t="str">
        <f t="shared" ref="A2221:B2221" si="6566">A2218</f>
        <v>PBS</v>
      </c>
      <c r="B2221" s="391" t="str">
        <f t="shared" si="6566"/>
        <v>film</v>
      </c>
      <c r="C2221" s="391">
        <f t="shared" ref="C2221" si="6567">C2220</f>
        <v>2</v>
      </c>
      <c r="D2221" s="391" t="str">
        <f t="shared" ref="D2221:E2221" si="6568">D2218</f>
        <v>1-10</v>
      </c>
      <c r="E2221" s="391">
        <f t="shared" si="6568"/>
        <v>10</v>
      </c>
      <c r="F2221" s="391" t="str">
        <f t="shared" ref="F2221:G2221" si="6569">F2220</f>
        <v>air</v>
      </c>
      <c r="G2221" s="401" t="str">
        <f t="shared" si="6569"/>
        <v>DE: PBS film 1-10 mm (emission to air)</v>
      </c>
      <c r="H2221" s="465">
        <v>0</v>
      </c>
      <c r="I2221" s="394" t="s">
        <v>1097</v>
      </c>
      <c r="J2221" s="635"/>
      <c r="K2221" s="389">
        <v>6.34</v>
      </c>
      <c r="L2221" s="536"/>
      <c r="M2221" s="509">
        <f t="shared" si="6447"/>
        <v>788.64353312302842</v>
      </c>
      <c r="N2221" s="646"/>
      <c r="O2221" s="626"/>
      <c r="P2221" s="629"/>
      <c r="Q2221" s="629"/>
    </row>
    <row r="2222" spans="1:17" ht="15.75" hidden="1" thickBot="1">
      <c r="A2222" s="390" t="str">
        <f t="shared" ref="A2222:B2222" si="6570">A2219</f>
        <v>PBS</v>
      </c>
      <c r="B2222" s="391" t="str">
        <f t="shared" si="6570"/>
        <v>film</v>
      </c>
      <c r="C2222" s="391">
        <f t="shared" ref="C2222" si="6571">C2221</f>
        <v>2</v>
      </c>
      <c r="D2222" s="391" t="str">
        <f t="shared" ref="D2222:E2222" si="6572">D2219</f>
        <v>1-10</v>
      </c>
      <c r="E2222" s="391">
        <f t="shared" si="6572"/>
        <v>10</v>
      </c>
      <c r="F2222" s="391" t="str">
        <f t="shared" ref="F2222:G2222" si="6573">F2221</f>
        <v>air</v>
      </c>
      <c r="G2222" s="401" t="str">
        <f t="shared" si="6573"/>
        <v>DE: PBS film 1-10 mm (emission to air)</v>
      </c>
      <c r="H2222" s="465">
        <v>4.7E-2</v>
      </c>
      <c r="I2222" s="394" t="s">
        <v>1162</v>
      </c>
      <c r="J2222" s="635"/>
      <c r="K2222" s="389">
        <v>6.34</v>
      </c>
      <c r="L2222" s="536"/>
      <c r="M2222" s="509">
        <f t="shared" si="6447"/>
        <v>788.64353312302842</v>
      </c>
      <c r="N2222" s="646"/>
      <c r="O2222" s="626"/>
      <c r="P2222" s="629"/>
      <c r="Q2222" s="629"/>
    </row>
    <row r="2223" spans="1:17" ht="15.75" hidden="1" thickBot="1">
      <c r="A2223" s="390" t="str">
        <f t="shared" ref="A2223:B2223" si="6574">A2220</f>
        <v>PBS</v>
      </c>
      <c r="B2223" s="391" t="str">
        <f t="shared" si="6574"/>
        <v>film</v>
      </c>
      <c r="C2223" s="391">
        <f t="shared" ref="C2223" si="6575">C2222</f>
        <v>2</v>
      </c>
      <c r="D2223" s="391" t="str">
        <f t="shared" ref="D2223:E2223" si="6576">D2220</f>
        <v>1-10</v>
      </c>
      <c r="E2223" s="391">
        <f t="shared" si="6576"/>
        <v>10</v>
      </c>
      <c r="F2223" s="391" t="str">
        <f t="shared" ref="F2223:G2223" si="6577">F2222</f>
        <v>air</v>
      </c>
      <c r="G2223" s="401" t="str">
        <f t="shared" si="6577"/>
        <v>DE: PBS film 1-10 mm (emission to air)</v>
      </c>
      <c r="H2223" s="465">
        <v>5.0000000000000001E-3</v>
      </c>
      <c r="I2223" s="394" t="s">
        <v>1163</v>
      </c>
      <c r="J2223" s="635"/>
      <c r="K2223" s="389">
        <v>6.34</v>
      </c>
      <c r="L2223" s="536"/>
      <c r="M2223" s="509">
        <f t="shared" si="6447"/>
        <v>788.64353312302842</v>
      </c>
      <c r="N2223" s="646"/>
      <c r="O2223" s="626"/>
      <c r="P2223" s="629"/>
      <c r="Q2223" s="629"/>
    </row>
    <row r="2224" spans="1:17" ht="15.75" hidden="1" thickBot="1">
      <c r="A2224" s="390" t="str">
        <f t="shared" ref="A2224:B2224" si="6578">A2219</f>
        <v>PBS</v>
      </c>
      <c r="B2224" s="391" t="str">
        <f t="shared" si="6578"/>
        <v>film</v>
      </c>
      <c r="C2224" s="391">
        <f t="shared" ref="C2224" si="6579">C2223</f>
        <v>2</v>
      </c>
      <c r="D2224" s="391" t="str">
        <f t="shared" ref="D2224:E2224" si="6580">D2219</f>
        <v>1-10</v>
      </c>
      <c r="E2224" s="391">
        <f t="shared" si="6580"/>
        <v>10</v>
      </c>
      <c r="F2224" s="391" t="str">
        <f t="shared" ref="F2224:G2224" si="6581">F2223</f>
        <v>air</v>
      </c>
      <c r="G2224" s="401" t="str">
        <f t="shared" si="6581"/>
        <v>DE: PBS film 1-10 mm (emission to air)</v>
      </c>
      <c r="H2224" s="471">
        <v>0</v>
      </c>
      <c r="I2224" s="422" t="s">
        <v>1034</v>
      </c>
      <c r="J2224" s="636"/>
      <c r="K2224" s="451" t="s">
        <v>596</v>
      </c>
      <c r="L2224" s="542"/>
      <c r="M2224" s="509">
        <f t="shared" si="6447"/>
        <v>0</v>
      </c>
      <c r="N2224" s="647"/>
      <c r="O2224" s="627"/>
      <c r="P2224" s="629"/>
      <c r="Q2224" s="629"/>
    </row>
    <row r="2225" spans="1:17" ht="15.75" hidden="1" thickBot="1">
      <c r="A2225" s="405" t="s">
        <v>42</v>
      </c>
      <c r="B2225" s="406" t="s">
        <v>1151</v>
      </c>
      <c r="C2225" s="407">
        <v>4</v>
      </c>
      <c r="D2225" s="423" t="s">
        <v>1018</v>
      </c>
      <c r="E2225" s="408">
        <v>0.1</v>
      </c>
      <c r="F2225" s="424" t="s">
        <v>1019</v>
      </c>
      <c r="G2225" s="425" t="str">
        <f>CONCATENATE("DE: ",A2225," ",B2225," ",D2225," mm (emission to ",F2225,")")</f>
        <v>DE: PBS fiber 0,01-0,1 mm (emission to soil)</v>
      </c>
      <c r="H2225" s="474">
        <v>0.97</v>
      </c>
      <c r="I2225" s="427" t="s">
        <v>1019</v>
      </c>
      <c r="J2225" s="632">
        <v>0.22800000000000001</v>
      </c>
      <c r="K2225" s="428">
        <v>61.12</v>
      </c>
      <c r="L2225" s="539"/>
      <c r="M2225" s="509">
        <f t="shared" si="6447"/>
        <v>0.40903141361256545</v>
      </c>
      <c r="N2225" s="645">
        <f t="shared" si="6419"/>
        <v>0.51505700117264275</v>
      </c>
      <c r="O2225" s="625"/>
      <c r="P2225" s="628">
        <f t="shared" si="6546"/>
        <v>0.51505700117264275</v>
      </c>
      <c r="Q2225" s="628">
        <f t="shared" si="6456"/>
        <v>0.51505700117264275</v>
      </c>
    </row>
    <row r="2226" spans="1:17" ht="15.75" hidden="1" thickBot="1">
      <c r="A2226" s="390" t="str">
        <f>A2225</f>
        <v>PBS</v>
      </c>
      <c r="B2226" s="391" t="str">
        <f>B2225</f>
        <v>fiber</v>
      </c>
      <c r="C2226" s="391">
        <f t="shared" ref="C2226:G2226" si="6582">C2225</f>
        <v>4</v>
      </c>
      <c r="D2226" s="391" t="str">
        <f t="shared" si="6582"/>
        <v>0,01-0,1</v>
      </c>
      <c r="E2226" s="391">
        <f t="shared" si="6582"/>
        <v>0.1</v>
      </c>
      <c r="F2226" s="391" t="str">
        <f t="shared" si="6582"/>
        <v>soil</v>
      </c>
      <c r="G2226" s="392" t="str">
        <f t="shared" si="6582"/>
        <v>DE: PBS fiber 0,01-0,1 mm (emission to soil)</v>
      </c>
      <c r="H2226" s="465">
        <v>0</v>
      </c>
      <c r="I2226" s="394" t="s">
        <v>1097</v>
      </c>
      <c r="J2226" s="632"/>
      <c r="K2226" s="395">
        <v>6.34</v>
      </c>
      <c r="L2226" s="537"/>
      <c r="M2226" s="509">
        <f t="shared" si="6447"/>
        <v>3.9432176656151419</v>
      </c>
      <c r="N2226" s="646"/>
      <c r="O2226" s="626"/>
      <c r="P2226" s="629"/>
      <c r="Q2226" s="629"/>
    </row>
    <row r="2227" spans="1:17" ht="15.75" hidden="1" thickBot="1">
      <c r="A2227" s="390" t="str">
        <f t="shared" ref="A2227:G2227" si="6583">A2226</f>
        <v>PBS</v>
      </c>
      <c r="B2227" s="391" t="str">
        <f t="shared" si="6583"/>
        <v>fiber</v>
      </c>
      <c r="C2227" s="391">
        <f t="shared" si="6583"/>
        <v>4</v>
      </c>
      <c r="D2227" s="391" t="str">
        <f t="shared" si="6583"/>
        <v>0,01-0,1</v>
      </c>
      <c r="E2227" s="391">
        <f t="shared" si="6583"/>
        <v>0.1</v>
      </c>
      <c r="F2227" s="391" t="str">
        <f t="shared" si="6583"/>
        <v>soil</v>
      </c>
      <c r="G2227" s="392" t="str">
        <f t="shared" si="6583"/>
        <v>DE: PBS fiber 0,01-0,1 mm (emission to soil)</v>
      </c>
      <c r="H2227" s="465">
        <v>2.7E-2</v>
      </c>
      <c r="I2227" s="394" t="s">
        <v>1162</v>
      </c>
      <c r="J2227" s="632"/>
      <c r="K2227" s="395">
        <v>6.34</v>
      </c>
      <c r="L2227" s="537"/>
      <c r="M2227" s="509">
        <f t="shared" si="6447"/>
        <v>3.9432176656151419</v>
      </c>
      <c r="N2227" s="646"/>
      <c r="O2227" s="626"/>
      <c r="P2227" s="629"/>
      <c r="Q2227" s="629"/>
    </row>
    <row r="2228" spans="1:17" ht="15.75" hidden="1" thickBot="1">
      <c r="A2228" s="390" t="str">
        <f t="shared" ref="A2228:G2228" si="6584">A2227</f>
        <v>PBS</v>
      </c>
      <c r="B2228" s="391" t="str">
        <f t="shared" si="6584"/>
        <v>fiber</v>
      </c>
      <c r="C2228" s="391">
        <f t="shared" si="6584"/>
        <v>4</v>
      </c>
      <c r="D2228" s="391" t="str">
        <f t="shared" si="6584"/>
        <v>0,01-0,1</v>
      </c>
      <c r="E2228" s="391">
        <f t="shared" si="6584"/>
        <v>0.1</v>
      </c>
      <c r="F2228" s="391" t="str">
        <f t="shared" si="6584"/>
        <v>soil</v>
      </c>
      <c r="G2228" s="392" t="str">
        <f t="shared" si="6584"/>
        <v>DE: PBS fiber 0,01-0,1 mm (emission to soil)</v>
      </c>
      <c r="H2228" s="465">
        <v>3.0000000000000001E-3</v>
      </c>
      <c r="I2228" s="394" t="s">
        <v>1163</v>
      </c>
      <c r="J2228" s="632"/>
      <c r="K2228" s="395">
        <v>6.34</v>
      </c>
      <c r="L2228" s="537"/>
      <c r="M2228" s="509">
        <f t="shared" si="6447"/>
        <v>3.9432176656151419</v>
      </c>
      <c r="N2228" s="646"/>
      <c r="O2228" s="626"/>
      <c r="P2228" s="629"/>
      <c r="Q2228" s="629"/>
    </row>
    <row r="2229" spans="1:17" ht="15.75" hidden="1" thickBot="1">
      <c r="A2229" s="390" t="str">
        <f>A2226</f>
        <v>PBS</v>
      </c>
      <c r="B2229" s="391" t="str">
        <f>B2226</f>
        <v>fiber</v>
      </c>
      <c r="C2229" s="391">
        <f t="shared" ref="C2229" si="6585">C2228</f>
        <v>4</v>
      </c>
      <c r="D2229" s="391" t="str">
        <f>D2226</f>
        <v>0,01-0,1</v>
      </c>
      <c r="E2229" s="391">
        <f>E2226</f>
        <v>0.1</v>
      </c>
      <c r="F2229" s="391" t="str">
        <f>F2226</f>
        <v>soil</v>
      </c>
      <c r="G2229" s="396" t="str">
        <f t="shared" ref="G2229" si="6586">G2228</f>
        <v>DE: PBS fiber 0,01-0,1 mm (emission to soil)</v>
      </c>
      <c r="H2229" s="465">
        <v>0</v>
      </c>
      <c r="I2229" s="397" t="s">
        <v>1034</v>
      </c>
      <c r="J2229" s="633"/>
      <c r="K2229" s="398" t="s">
        <v>596</v>
      </c>
      <c r="L2229" s="538"/>
      <c r="M2229" s="509">
        <f t="shared" si="6447"/>
        <v>0</v>
      </c>
      <c r="N2229" s="647"/>
      <c r="O2229" s="627"/>
      <c r="P2229" s="629"/>
      <c r="Q2229" s="629"/>
    </row>
    <row r="2230" spans="1:17" ht="15.75" hidden="1" thickBot="1">
      <c r="A2230" s="390" t="str">
        <f t="shared" ref="A2230:B2230" si="6587">A2227</f>
        <v>PBS</v>
      </c>
      <c r="B2230" s="391" t="str">
        <f t="shared" si="6587"/>
        <v>fiber</v>
      </c>
      <c r="C2230" s="391">
        <f t="shared" ref="C2230" si="6588">C2229</f>
        <v>4</v>
      </c>
      <c r="D2230" s="399" t="str">
        <f t="shared" ref="D2230:E2230" si="6589">D2227</f>
        <v>0,01-0,1</v>
      </c>
      <c r="E2230" s="391">
        <f t="shared" si="6589"/>
        <v>0.1</v>
      </c>
      <c r="F2230" s="400" t="s">
        <v>1147</v>
      </c>
      <c r="G2230" s="386" t="str">
        <f>CONCATENATE("DE: ",A2230," ",B2230," ",D2230," mm (emission to ",F2230,")")</f>
        <v>DE: PBS fiber 0,01-0,1 mm (emission to fresh water)</v>
      </c>
      <c r="H2230" s="466">
        <v>0</v>
      </c>
      <c r="I2230" s="388" t="s">
        <v>1019</v>
      </c>
      <c r="J2230" s="634">
        <v>0.22800000000000001</v>
      </c>
      <c r="K2230" s="389">
        <v>61.12</v>
      </c>
      <c r="L2230" s="536"/>
      <c r="M2230" s="509">
        <f t="shared" si="6447"/>
        <v>0.40903141361256545</v>
      </c>
      <c r="N2230" s="645">
        <f t="shared" si="6419"/>
        <v>3.9432176656151419</v>
      </c>
      <c r="O2230" s="625"/>
      <c r="P2230" s="628">
        <f t="shared" si="6546"/>
        <v>3.9432176656151419</v>
      </c>
      <c r="Q2230" s="628">
        <f t="shared" si="6456"/>
        <v>3.9432176656151419</v>
      </c>
    </row>
    <row r="2231" spans="1:17" ht="15.75" hidden="1" thickBot="1">
      <c r="A2231" s="390" t="str">
        <f t="shared" ref="A2231:B2231" si="6590">A2228</f>
        <v>PBS</v>
      </c>
      <c r="B2231" s="391" t="str">
        <f t="shared" si="6590"/>
        <v>fiber</v>
      </c>
      <c r="C2231" s="391">
        <f t="shared" ref="C2231" si="6591">C2230</f>
        <v>4</v>
      </c>
      <c r="D2231" s="391" t="str">
        <f t="shared" ref="D2231:E2231" si="6592">D2228</f>
        <v>0,01-0,1</v>
      </c>
      <c r="E2231" s="391">
        <f t="shared" si="6592"/>
        <v>0.1</v>
      </c>
      <c r="F2231" s="391" t="str">
        <f t="shared" ref="F2231:G2231" si="6593">F2230</f>
        <v>fresh water</v>
      </c>
      <c r="G2231" s="401" t="str">
        <f t="shared" si="6593"/>
        <v>DE: PBS fiber 0,01-0,1 mm (emission to fresh water)</v>
      </c>
      <c r="H2231" s="465">
        <v>0</v>
      </c>
      <c r="I2231" s="394" t="s">
        <v>1097</v>
      </c>
      <c r="J2231" s="635"/>
      <c r="K2231" s="389">
        <v>6.34</v>
      </c>
      <c r="L2231" s="536"/>
      <c r="M2231" s="509">
        <f t="shared" si="6447"/>
        <v>3.9432176656151419</v>
      </c>
      <c r="N2231" s="646"/>
      <c r="O2231" s="626"/>
      <c r="P2231" s="629"/>
      <c r="Q2231" s="629"/>
    </row>
    <row r="2232" spans="1:17" ht="15.75" hidden="1" thickBot="1">
      <c r="A2232" s="390" t="str">
        <f t="shared" ref="A2232:B2232" si="6594">A2229</f>
        <v>PBS</v>
      </c>
      <c r="B2232" s="391" t="str">
        <f t="shared" si="6594"/>
        <v>fiber</v>
      </c>
      <c r="C2232" s="391">
        <f t="shared" ref="C2232" si="6595">C2231</f>
        <v>4</v>
      </c>
      <c r="D2232" s="391" t="str">
        <f t="shared" ref="D2232:E2232" si="6596">D2229</f>
        <v>0,01-0,1</v>
      </c>
      <c r="E2232" s="391">
        <f t="shared" si="6596"/>
        <v>0.1</v>
      </c>
      <c r="F2232" s="391" t="str">
        <f t="shared" ref="F2232:G2232" si="6597">F2231</f>
        <v>fresh water</v>
      </c>
      <c r="G2232" s="401" t="str">
        <f t="shared" si="6597"/>
        <v>DE: PBS fiber 0,01-0,1 mm (emission to fresh water)</v>
      </c>
      <c r="H2232" s="465">
        <v>0.89</v>
      </c>
      <c r="I2232" s="394" t="s">
        <v>1162</v>
      </c>
      <c r="J2232" s="635"/>
      <c r="K2232" s="389">
        <v>6.34</v>
      </c>
      <c r="L2232" s="536"/>
      <c r="M2232" s="509">
        <f t="shared" si="6447"/>
        <v>3.9432176656151419</v>
      </c>
      <c r="N2232" s="646"/>
      <c r="O2232" s="626"/>
      <c r="P2232" s="629"/>
      <c r="Q2232" s="629"/>
    </row>
    <row r="2233" spans="1:17" ht="15.75" hidden="1" thickBot="1">
      <c r="A2233" s="390" t="str">
        <f t="shared" ref="A2233:B2233" si="6598">A2230</f>
        <v>PBS</v>
      </c>
      <c r="B2233" s="391" t="str">
        <f t="shared" si="6598"/>
        <v>fiber</v>
      </c>
      <c r="C2233" s="391">
        <f t="shared" ref="C2233" si="6599">C2232</f>
        <v>4</v>
      </c>
      <c r="D2233" s="391" t="str">
        <f t="shared" ref="D2233:E2233" si="6600">D2230</f>
        <v>0,01-0,1</v>
      </c>
      <c r="E2233" s="391">
        <f t="shared" si="6600"/>
        <v>0.1</v>
      </c>
      <c r="F2233" s="391" t="str">
        <f t="shared" ref="F2233:G2233" si="6601">F2232</f>
        <v>fresh water</v>
      </c>
      <c r="G2233" s="401" t="str">
        <f t="shared" si="6601"/>
        <v>DE: PBS fiber 0,01-0,1 mm (emission to fresh water)</v>
      </c>
      <c r="H2233" s="465">
        <v>0.11</v>
      </c>
      <c r="I2233" s="394" t="s">
        <v>1163</v>
      </c>
      <c r="J2233" s="635"/>
      <c r="K2233" s="389">
        <v>6.34</v>
      </c>
      <c r="L2233" s="536"/>
      <c r="M2233" s="509">
        <f t="shared" si="6447"/>
        <v>3.9432176656151419</v>
      </c>
      <c r="N2233" s="646"/>
      <c r="O2233" s="626"/>
      <c r="P2233" s="629"/>
      <c r="Q2233" s="629"/>
    </row>
    <row r="2234" spans="1:17" ht="15.75" hidden="1" thickBot="1">
      <c r="A2234" s="390" t="str">
        <f t="shared" ref="A2234:B2234" si="6602">A2231</f>
        <v>PBS</v>
      </c>
      <c r="B2234" s="391" t="str">
        <f t="shared" si="6602"/>
        <v>fiber</v>
      </c>
      <c r="C2234" s="391">
        <f t="shared" ref="C2234" si="6603">C2233</f>
        <v>4</v>
      </c>
      <c r="D2234" s="391" t="str">
        <f t="shared" ref="D2234:E2234" si="6604">D2231</f>
        <v>0,01-0,1</v>
      </c>
      <c r="E2234" s="391">
        <f t="shared" si="6604"/>
        <v>0.1</v>
      </c>
      <c r="F2234" s="402" t="str">
        <f>F2231</f>
        <v>fresh water</v>
      </c>
      <c r="G2234" s="401" t="str">
        <f t="shared" ref="G2234" si="6605">G2233</f>
        <v>DE: PBS fiber 0,01-0,1 mm (emission to fresh water)</v>
      </c>
      <c r="H2234" s="465">
        <v>0</v>
      </c>
      <c r="I2234" s="397" t="s">
        <v>1034</v>
      </c>
      <c r="J2234" s="654"/>
      <c r="K2234" s="398" t="s">
        <v>596</v>
      </c>
      <c r="L2234" s="538"/>
      <c r="M2234" s="509">
        <f t="shared" si="6447"/>
        <v>0</v>
      </c>
      <c r="N2234" s="647"/>
      <c r="O2234" s="627"/>
      <c r="P2234" s="629"/>
      <c r="Q2234" s="629"/>
    </row>
    <row r="2235" spans="1:17" ht="15.75" hidden="1" thickBot="1">
      <c r="A2235" s="390" t="str">
        <f t="shared" ref="A2235:B2235" si="6606">A2232</f>
        <v>PBS</v>
      </c>
      <c r="B2235" s="391" t="str">
        <f t="shared" si="6606"/>
        <v>fiber</v>
      </c>
      <c r="C2235" s="391">
        <f t="shared" ref="C2235" si="6607">C2234</f>
        <v>4</v>
      </c>
      <c r="D2235" s="391" t="str">
        <f t="shared" ref="D2235:E2235" si="6608">D2232</f>
        <v>0,01-0,1</v>
      </c>
      <c r="E2235" s="391">
        <f t="shared" si="6608"/>
        <v>0.1</v>
      </c>
      <c r="F2235" s="385" t="s">
        <v>1097</v>
      </c>
      <c r="G2235" s="422" t="str">
        <f>CONCATENATE("DE: ",A2235," ",B2235," ",D2235," mm (emission to ",F2235,")")</f>
        <v>DE: PBS fiber 0,01-0,1 mm (emission to marine water)</v>
      </c>
      <c r="H2235" s="467">
        <v>0</v>
      </c>
      <c r="I2235" s="388" t="s">
        <v>1019</v>
      </c>
      <c r="J2235" s="634">
        <v>0.22800000000000001</v>
      </c>
      <c r="K2235" s="389">
        <v>61.12</v>
      </c>
      <c r="L2235" s="536"/>
      <c r="M2235" s="509">
        <f t="shared" si="6447"/>
        <v>0.40903141361256545</v>
      </c>
      <c r="N2235" s="645">
        <f t="shared" si="6419"/>
        <v>3.9432176656151419</v>
      </c>
      <c r="O2235" s="625"/>
      <c r="P2235" s="628">
        <f t="shared" si="6546"/>
        <v>3.9432176656151419</v>
      </c>
      <c r="Q2235" s="628">
        <f t="shared" si="6456"/>
        <v>3.9432176656151419</v>
      </c>
    </row>
    <row r="2236" spans="1:17" ht="15.75" hidden="1" thickBot="1">
      <c r="A2236" s="390" t="str">
        <f t="shared" ref="A2236:B2236" si="6609">A2233</f>
        <v>PBS</v>
      </c>
      <c r="B2236" s="391" t="str">
        <f t="shared" si="6609"/>
        <v>fiber</v>
      </c>
      <c r="C2236" s="391">
        <f t="shared" ref="C2236" si="6610">C2235</f>
        <v>4</v>
      </c>
      <c r="D2236" s="391" t="str">
        <f t="shared" ref="D2236:E2236" si="6611">D2233</f>
        <v>0,01-0,1</v>
      </c>
      <c r="E2236" s="391">
        <f t="shared" si="6611"/>
        <v>0.1</v>
      </c>
      <c r="F2236" s="391" t="str">
        <f t="shared" ref="F2236:G2236" si="6612">F2235</f>
        <v>marine water</v>
      </c>
      <c r="G2236" s="401" t="str">
        <f t="shared" si="6612"/>
        <v>DE: PBS fiber 0,01-0,1 mm (emission to marine water)</v>
      </c>
      <c r="H2236" s="465">
        <v>0</v>
      </c>
      <c r="I2236" s="394" t="s">
        <v>1097</v>
      </c>
      <c r="J2236" s="635"/>
      <c r="K2236" s="389">
        <v>6.34</v>
      </c>
      <c r="L2236" s="536"/>
      <c r="M2236" s="509">
        <f t="shared" si="6447"/>
        <v>3.9432176656151419</v>
      </c>
      <c r="N2236" s="646"/>
      <c r="O2236" s="626"/>
      <c r="P2236" s="629"/>
      <c r="Q2236" s="629"/>
    </row>
    <row r="2237" spans="1:17" ht="15.75" hidden="1" thickBot="1">
      <c r="A2237" s="390" t="str">
        <f t="shared" ref="A2237:B2237" si="6613">A2234</f>
        <v>PBS</v>
      </c>
      <c r="B2237" s="391" t="str">
        <f t="shared" si="6613"/>
        <v>fiber</v>
      </c>
      <c r="C2237" s="391">
        <f t="shared" ref="C2237" si="6614">C2236</f>
        <v>4</v>
      </c>
      <c r="D2237" s="391" t="str">
        <f t="shared" ref="D2237:E2237" si="6615">D2234</f>
        <v>0,01-0,1</v>
      </c>
      <c r="E2237" s="391">
        <f t="shared" si="6615"/>
        <v>0.1</v>
      </c>
      <c r="F2237" s="391" t="str">
        <f t="shared" ref="F2237:G2237" si="6616">F2236</f>
        <v>marine water</v>
      </c>
      <c r="G2237" s="401" t="str">
        <f t="shared" si="6616"/>
        <v>DE: PBS fiber 0,01-0,1 mm (emission to marine water)</v>
      </c>
      <c r="H2237" s="465">
        <v>0</v>
      </c>
      <c r="I2237" s="394" t="s">
        <v>1162</v>
      </c>
      <c r="J2237" s="635"/>
      <c r="K2237" s="389">
        <v>6.34</v>
      </c>
      <c r="L2237" s="536"/>
      <c r="M2237" s="509">
        <f t="shared" si="6447"/>
        <v>3.9432176656151419</v>
      </c>
      <c r="N2237" s="646"/>
      <c r="O2237" s="626"/>
      <c r="P2237" s="629"/>
      <c r="Q2237" s="629"/>
    </row>
    <row r="2238" spans="1:17" ht="15.75" hidden="1" thickBot="1">
      <c r="A2238" s="390" t="str">
        <f t="shared" ref="A2238:B2238" si="6617">A2235</f>
        <v>PBS</v>
      </c>
      <c r="B2238" s="391" t="str">
        <f t="shared" si="6617"/>
        <v>fiber</v>
      </c>
      <c r="C2238" s="391">
        <f t="shared" ref="C2238" si="6618">C2237</f>
        <v>4</v>
      </c>
      <c r="D2238" s="391" t="str">
        <f t="shared" ref="D2238:E2238" si="6619">D2235</f>
        <v>0,01-0,1</v>
      </c>
      <c r="E2238" s="391">
        <f t="shared" si="6619"/>
        <v>0.1</v>
      </c>
      <c r="F2238" s="391" t="str">
        <f t="shared" ref="F2238:G2238" si="6620">F2237</f>
        <v>marine water</v>
      </c>
      <c r="G2238" s="401" t="str">
        <f t="shared" si="6620"/>
        <v>DE: PBS fiber 0,01-0,1 mm (emission to marine water)</v>
      </c>
      <c r="H2238" s="465">
        <v>1</v>
      </c>
      <c r="I2238" s="394" t="s">
        <v>1163</v>
      </c>
      <c r="J2238" s="635"/>
      <c r="K2238" s="389">
        <v>6.34</v>
      </c>
      <c r="L2238" s="536"/>
      <c r="M2238" s="509">
        <f t="shared" si="6447"/>
        <v>3.9432176656151419</v>
      </c>
      <c r="N2238" s="646"/>
      <c r="O2238" s="626"/>
      <c r="P2238" s="629"/>
      <c r="Q2238" s="629"/>
    </row>
    <row r="2239" spans="1:17" ht="15.75" hidden="1" thickBot="1">
      <c r="A2239" s="390" t="str">
        <f t="shared" ref="A2239:B2239" si="6621">A2236</f>
        <v>PBS</v>
      </c>
      <c r="B2239" s="391" t="str">
        <f t="shared" si="6621"/>
        <v>fiber</v>
      </c>
      <c r="C2239" s="391">
        <f t="shared" ref="C2239" si="6622">C2238</f>
        <v>4</v>
      </c>
      <c r="D2239" s="391" t="str">
        <f t="shared" ref="D2239:E2239" si="6623">D2236</f>
        <v>0,01-0,1</v>
      </c>
      <c r="E2239" s="391">
        <f t="shared" si="6623"/>
        <v>0.1</v>
      </c>
      <c r="F2239" s="391" t="str">
        <f t="shared" ref="F2239:G2239" si="6624">F2238</f>
        <v>marine water</v>
      </c>
      <c r="G2239" s="401" t="str">
        <f t="shared" si="6624"/>
        <v>DE: PBS fiber 0,01-0,1 mm (emission to marine water)</v>
      </c>
      <c r="H2239" s="465">
        <v>0</v>
      </c>
      <c r="I2239" s="397" t="s">
        <v>1034</v>
      </c>
      <c r="J2239" s="654"/>
      <c r="K2239" s="398" t="s">
        <v>596</v>
      </c>
      <c r="L2239" s="538"/>
      <c r="M2239" s="509">
        <f t="shared" si="6447"/>
        <v>0</v>
      </c>
      <c r="N2239" s="647"/>
      <c r="O2239" s="627"/>
      <c r="P2239" s="629"/>
      <c r="Q2239" s="629"/>
    </row>
    <row r="2240" spans="1:17" ht="15.75" hidden="1" thickBot="1">
      <c r="A2240" s="390" t="str">
        <f t="shared" ref="A2240:B2240" si="6625">A2237</f>
        <v>PBS</v>
      </c>
      <c r="B2240" s="391" t="str">
        <f t="shared" si="6625"/>
        <v>fiber</v>
      </c>
      <c r="C2240" s="391">
        <f t="shared" ref="C2240" si="6626">C2239</f>
        <v>4</v>
      </c>
      <c r="D2240" s="391" t="str">
        <f t="shared" ref="D2240:E2240" si="6627">D2237</f>
        <v>0,01-0,1</v>
      </c>
      <c r="E2240" s="391">
        <f t="shared" si="6627"/>
        <v>0.1</v>
      </c>
      <c r="F2240" s="400" t="s">
        <v>1057</v>
      </c>
      <c r="G2240" s="422" t="str">
        <f>CONCATENATE("DE: ",A2240," ",B2240," ",D2240," mm (emission to ",F2240,")")</f>
        <v>DE: PBS fiber 0,01-0,1 mm (emission to air)</v>
      </c>
      <c r="H2240" s="467">
        <v>0.94799999999999995</v>
      </c>
      <c r="I2240" s="388" t="s">
        <v>1019</v>
      </c>
      <c r="J2240" s="634">
        <v>0.22800000000000001</v>
      </c>
      <c r="K2240" s="389">
        <v>61.12</v>
      </c>
      <c r="L2240" s="536"/>
      <c r="M2240" s="509">
        <f t="shared" si="6447"/>
        <v>0.40903141361256545</v>
      </c>
      <c r="N2240" s="645">
        <f t="shared" ref="N2240:N2300" si="6628">IFERROR(H2240*M2240+H2241*M2241+H2242*M2242+H2243*M2243+H2244*M2244,"N.A.")</f>
        <v>0.5928090987166994</v>
      </c>
      <c r="O2240" s="625"/>
      <c r="P2240" s="628">
        <f t="shared" si="6546"/>
        <v>0.5928090987166994</v>
      </c>
      <c r="Q2240" s="628">
        <f t="shared" si="6456"/>
        <v>0.5928090987166994</v>
      </c>
    </row>
    <row r="2241" spans="1:17" ht="15.75" hidden="1" thickBot="1">
      <c r="A2241" s="390" t="str">
        <f t="shared" ref="A2241:B2241" si="6629">A2238</f>
        <v>PBS</v>
      </c>
      <c r="B2241" s="391" t="str">
        <f t="shared" si="6629"/>
        <v>fiber</v>
      </c>
      <c r="C2241" s="391">
        <f t="shared" ref="C2241" si="6630">C2240</f>
        <v>4</v>
      </c>
      <c r="D2241" s="391" t="str">
        <f t="shared" ref="D2241:E2241" si="6631">D2238</f>
        <v>0,01-0,1</v>
      </c>
      <c r="E2241" s="391">
        <f t="shared" si="6631"/>
        <v>0.1</v>
      </c>
      <c r="F2241" s="391" t="str">
        <f t="shared" ref="F2241:G2241" si="6632">F2240</f>
        <v>air</v>
      </c>
      <c r="G2241" s="401" t="str">
        <f t="shared" si="6632"/>
        <v>DE: PBS fiber 0,01-0,1 mm (emission to air)</v>
      </c>
      <c r="H2241" s="465">
        <v>0</v>
      </c>
      <c r="I2241" s="394" t="s">
        <v>1097</v>
      </c>
      <c r="J2241" s="635"/>
      <c r="K2241" s="389">
        <v>6.34</v>
      </c>
      <c r="L2241" s="536"/>
      <c r="M2241" s="509">
        <f t="shared" si="6447"/>
        <v>3.9432176656151419</v>
      </c>
      <c r="N2241" s="646"/>
      <c r="O2241" s="626"/>
      <c r="P2241" s="629"/>
      <c r="Q2241" s="629"/>
    </row>
    <row r="2242" spans="1:17" ht="15.75" hidden="1" thickBot="1">
      <c r="A2242" s="390" t="str">
        <f t="shared" ref="A2242:B2242" si="6633">A2239</f>
        <v>PBS</v>
      </c>
      <c r="B2242" s="391" t="str">
        <f t="shared" si="6633"/>
        <v>fiber</v>
      </c>
      <c r="C2242" s="391">
        <f t="shared" ref="C2242" si="6634">C2241</f>
        <v>4</v>
      </c>
      <c r="D2242" s="391" t="str">
        <f t="shared" ref="D2242:E2242" si="6635">D2239</f>
        <v>0,01-0,1</v>
      </c>
      <c r="E2242" s="391">
        <f t="shared" si="6635"/>
        <v>0.1</v>
      </c>
      <c r="F2242" s="391" t="str">
        <f t="shared" ref="F2242:G2242" si="6636">F2241</f>
        <v>air</v>
      </c>
      <c r="G2242" s="401" t="str">
        <f t="shared" si="6636"/>
        <v>DE: PBS fiber 0,01-0,1 mm (emission to air)</v>
      </c>
      <c r="H2242" s="465">
        <v>4.7E-2</v>
      </c>
      <c r="I2242" s="394" t="s">
        <v>1162</v>
      </c>
      <c r="J2242" s="635"/>
      <c r="K2242" s="389">
        <v>6.34</v>
      </c>
      <c r="L2242" s="536"/>
      <c r="M2242" s="509">
        <f t="shared" si="6447"/>
        <v>3.9432176656151419</v>
      </c>
      <c r="N2242" s="646"/>
      <c r="O2242" s="626"/>
      <c r="P2242" s="629"/>
      <c r="Q2242" s="629"/>
    </row>
    <row r="2243" spans="1:17" ht="15.75" hidden="1" thickBot="1">
      <c r="A2243" s="390" t="str">
        <f t="shared" ref="A2243:B2243" si="6637">A2240</f>
        <v>PBS</v>
      </c>
      <c r="B2243" s="391" t="str">
        <f t="shared" si="6637"/>
        <v>fiber</v>
      </c>
      <c r="C2243" s="391">
        <f t="shared" ref="C2243" si="6638">C2242</f>
        <v>4</v>
      </c>
      <c r="D2243" s="391" t="str">
        <f t="shared" ref="D2243:E2243" si="6639">D2240</f>
        <v>0,01-0,1</v>
      </c>
      <c r="E2243" s="391">
        <f t="shared" si="6639"/>
        <v>0.1</v>
      </c>
      <c r="F2243" s="391" t="str">
        <f t="shared" ref="F2243:G2243" si="6640">F2242</f>
        <v>air</v>
      </c>
      <c r="G2243" s="401" t="str">
        <f t="shared" si="6640"/>
        <v>DE: PBS fiber 0,01-0,1 mm (emission to air)</v>
      </c>
      <c r="H2243" s="465">
        <v>5.0000000000000001E-3</v>
      </c>
      <c r="I2243" s="394" t="s">
        <v>1163</v>
      </c>
      <c r="J2243" s="635"/>
      <c r="K2243" s="389">
        <v>6.34</v>
      </c>
      <c r="L2243" s="536"/>
      <c r="M2243" s="509">
        <f t="shared" si="6447"/>
        <v>3.9432176656151419</v>
      </c>
      <c r="N2243" s="646"/>
      <c r="O2243" s="626"/>
      <c r="P2243" s="629"/>
      <c r="Q2243" s="629"/>
    </row>
    <row r="2244" spans="1:17" ht="15.75" hidden="1" thickBot="1">
      <c r="A2244" s="452" t="str">
        <f t="shared" ref="A2244:B2244" si="6641">A2239</f>
        <v>PBS</v>
      </c>
      <c r="B2244" s="453" t="str">
        <f t="shared" si="6641"/>
        <v>fiber</v>
      </c>
      <c r="C2244" s="453">
        <f t="shared" ref="C2244" si="6642">C2243</f>
        <v>4</v>
      </c>
      <c r="D2244" s="453" t="str">
        <f t="shared" ref="D2244:E2244" si="6643">D2239</f>
        <v>0,01-0,1</v>
      </c>
      <c r="E2244" s="453">
        <f t="shared" si="6643"/>
        <v>0.1</v>
      </c>
      <c r="F2244" s="453" t="str">
        <f t="shared" ref="F2244:G2244" si="6644">F2243</f>
        <v>air</v>
      </c>
      <c r="G2244" s="454" t="str">
        <f t="shared" si="6644"/>
        <v>DE: PBS fiber 0,01-0,1 mm (emission to air)</v>
      </c>
      <c r="H2244" s="473">
        <v>0</v>
      </c>
      <c r="I2244" s="456" t="s">
        <v>1034</v>
      </c>
      <c r="J2244" s="636"/>
      <c r="K2244" s="457" t="s">
        <v>596</v>
      </c>
      <c r="L2244" s="543"/>
      <c r="M2244" s="509">
        <f t="shared" si="6447"/>
        <v>0</v>
      </c>
      <c r="N2244" s="647"/>
      <c r="O2244" s="627"/>
      <c r="P2244" s="629"/>
      <c r="Q2244" s="629"/>
    </row>
    <row r="2245" spans="1:17" ht="15.75" hidden="1" thickBot="1">
      <c r="A2245" s="381" t="s">
        <v>42</v>
      </c>
      <c r="B2245" s="382" t="s">
        <v>1151</v>
      </c>
      <c r="C2245" s="383">
        <v>4</v>
      </c>
      <c r="D2245" s="475" t="s">
        <v>1028</v>
      </c>
      <c r="E2245" s="384">
        <v>1</v>
      </c>
      <c r="F2245" s="385" t="s">
        <v>1019</v>
      </c>
      <c r="G2245" s="386" t="str">
        <f>CONCATENATE("DE: ",A2245," ",B2245," ",D2245," mm (emission to ",F2245,")")</f>
        <v>DE: PBS fiber 0,1-1 mm (emission to soil)</v>
      </c>
      <c r="H2245" s="466">
        <v>0.97</v>
      </c>
      <c r="I2245" s="388" t="s">
        <v>1019</v>
      </c>
      <c r="J2245" s="632">
        <v>0.22800000000000001</v>
      </c>
      <c r="K2245" s="389">
        <v>61.12</v>
      </c>
      <c r="L2245" s="536"/>
      <c r="M2245" s="509">
        <f t="shared" si="6447"/>
        <v>4.090314136125655</v>
      </c>
      <c r="N2245" s="645">
        <f t="shared" si="6628"/>
        <v>5.1505700117264279</v>
      </c>
      <c r="O2245" s="625"/>
      <c r="P2245" s="628">
        <f t="shared" si="6546"/>
        <v>5.1505700117264279</v>
      </c>
      <c r="Q2245" s="628">
        <f t="shared" si="6456"/>
        <v>5.1505700117264279</v>
      </c>
    </row>
    <row r="2246" spans="1:17" ht="15.75" hidden="1" thickBot="1">
      <c r="A2246" s="390" t="str">
        <f>A2245</f>
        <v>PBS</v>
      </c>
      <c r="B2246" s="391" t="str">
        <f>B2245</f>
        <v>fiber</v>
      </c>
      <c r="C2246" s="391">
        <f t="shared" ref="C2246:G2246" si="6645">C2245</f>
        <v>4</v>
      </c>
      <c r="D2246" s="391" t="str">
        <f t="shared" si="6645"/>
        <v>0,1-1</v>
      </c>
      <c r="E2246" s="391">
        <f t="shared" si="6645"/>
        <v>1</v>
      </c>
      <c r="F2246" s="391" t="str">
        <f t="shared" si="6645"/>
        <v>soil</v>
      </c>
      <c r="G2246" s="392" t="str">
        <f t="shared" si="6645"/>
        <v>DE: PBS fiber 0,1-1 mm (emission to soil)</v>
      </c>
      <c r="H2246" s="465">
        <v>0</v>
      </c>
      <c r="I2246" s="394" t="s">
        <v>1097</v>
      </c>
      <c r="J2246" s="632"/>
      <c r="K2246" s="395">
        <v>6.34</v>
      </c>
      <c r="L2246" s="537"/>
      <c r="M2246" s="509">
        <f t="shared" ref="M2246:M2309" si="6646">IFERROR(IF(K2246="--",0,IF(E2246*1000/K2246*(1-0.5)^(C2246/2)&gt;1000,1000,E2246*1000/K2246*(1-0.5)^(C2246/2))),1000)</f>
        <v>39.43217665615142</v>
      </c>
      <c r="N2246" s="646"/>
      <c r="O2246" s="626"/>
      <c r="P2246" s="629"/>
      <c r="Q2246" s="629"/>
    </row>
    <row r="2247" spans="1:17" ht="15.75" hidden="1" thickBot="1">
      <c r="A2247" s="390" t="str">
        <f t="shared" ref="A2247:G2247" si="6647">A2246</f>
        <v>PBS</v>
      </c>
      <c r="B2247" s="391" t="str">
        <f t="shared" si="6647"/>
        <v>fiber</v>
      </c>
      <c r="C2247" s="391">
        <f t="shared" si="6647"/>
        <v>4</v>
      </c>
      <c r="D2247" s="391" t="str">
        <f t="shared" si="6647"/>
        <v>0,1-1</v>
      </c>
      <c r="E2247" s="391">
        <f t="shared" si="6647"/>
        <v>1</v>
      </c>
      <c r="F2247" s="391" t="str">
        <f t="shared" si="6647"/>
        <v>soil</v>
      </c>
      <c r="G2247" s="392" t="str">
        <f t="shared" si="6647"/>
        <v>DE: PBS fiber 0,1-1 mm (emission to soil)</v>
      </c>
      <c r="H2247" s="465">
        <v>2.7E-2</v>
      </c>
      <c r="I2247" s="394" t="s">
        <v>1162</v>
      </c>
      <c r="J2247" s="632"/>
      <c r="K2247" s="395">
        <v>6.34</v>
      </c>
      <c r="L2247" s="537"/>
      <c r="M2247" s="509">
        <f t="shared" si="6646"/>
        <v>39.43217665615142</v>
      </c>
      <c r="N2247" s="646"/>
      <c r="O2247" s="626"/>
      <c r="P2247" s="629"/>
      <c r="Q2247" s="629"/>
    </row>
    <row r="2248" spans="1:17" ht="15.75" hidden="1" thickBot="1">
      <c r="A2248" s="390" t="str">
        <f t="shared" ref="A2248:G2248" si="6648">A2247</f>
        <v>PBS</v>
      </c>
      <c r="B2248" s="391" t="str">
        <f t="shared" si="6648"/>
        <v>fiber</v>
      </c>
      <c r="C2248" s="391">
        <f t="shared" si="6648"/>
        <v>4</v>
      </c>
      <c r="D2248" s="391" t="str">
        <f t="shared" si="6648"/>
        <v>0,1-1</v>
      </c>
      <c r="E2248" s="391">
        <f t="shared" si="6648"/>
        <v>1</v>
      </c>
      <c r="F2248" s="391" t="str">
        <f t="shared" si="6648"/>
        <v>soil</v>
      </c>
      <c r="G2248" s="392" t="str">
        <f t="shared" si="6648"/>
        <v>DE: PBS fiber 0,1-1 mm (emission to soil)</v>
      </c>
      <c r="H2248" s="465">
        <v>3.0000000000000001E-3</v>
      </c>
      <c r="I2248" s="394" t="s">
        <v>1163</v>
      </c>
      <c r="J2248" s="632"/>
      <c r="K2248" s="395">
        <v>6.34</v>
      </c>
      <c r="L2248" s="537"/>
      <c r="M2248" s="509">
        <f t="shared" si="6646"/>
        <v>39.43217665615142</v>
      </c>
      <c r="N2248" s="646"/>
      <c r="O2248" s="626"/>
      <c r="P2248" s="629"/>
      <c r="Q2248" s="629"/>
    </row>
    <row r="2249" spans="1:17" ht="15.75" hidden="1" thickBot="1">
      <c r="A2249" s="390" t="str">
        <f>A2246</f>
        <v>PBS</v>
      </c>
      <c r="B2249" s="391" t="str">
        <f>B2246</f>
        <v>fiber</v>
      </c>
      <c r="C2249" s="391">
        <f t="shared" ref="C2249" si="6649">C2248</f>
        <v>4</v>
      </c>
      <c r="D2249" s="391" t="str">
        <f>D2246</f>
        <v>0,1-1</v>
      </c>
      <c r="E2249" s="391">
        <f>E2246</f>
        <v>1</v>
      </c>
      <c r="F2249" s="391" t="str">
        <f>F2246</f>
        <v>soil</v>
      </c>
      <c r="G2249" s="396" t="str">
        <f t="shared" ref="G2249" si="6650">G2248</f>
        <v>DE: PBS fiber 0,1-1 mm (emission to soil)</v>
      </c>
      <c r="H2249" s="465">
        <v>0</v>
      </c>
      <c r="I2249" s="397" t="s">
        <v>1034</v>
      </c>
      <c r="J2249" s="633"/>
      <c r="K2249" s="398" t="s">
        <v>596</v>
      </c>
      <c r="L2249" s="538"/>
      <c r="M2249" s="509">
        <f t="shared" si="6646"/>
        <v>0</v>
      </c>
      <c r="N2249" s="647"/>
      <c r="O2249" s="627"/>
      <c r="P2249" s="629"/>
      <c r="Q2249" s="629"/>
    </row>
    <row r="2250" spans="1:17" ht="15.75" hidden="1" thickBot="1">
      <c r="A2250" s="390" t="str">
        <f t="shared" ref="A2250:B2250" si="6651">A2247</f>
        <v>PBS</v>
      </c>
      <c r="B2250" s="391" t="str">
        <f t="shared" si="6651"/>
        <v>fiber</v>
      </c>
      <c r="C2250" s="391">
        <f t="shared" ref="C2250" si="6652">C2249</f>
        <v>4</v>
      </c>
      <c r="D2250" s="399" t="str">
        <f t="shared" ref="D2250:E2250" si="6653">D2247</f>
        <v>0,1-1</v>
      </c>
      <c r="E2250" s="391">
        <f t="shared" si="6653"/>
        <v>1</v>
      </c>
      <c r="F2250" s="400" t="s">
        <v>1147</v>
      </c>
      <c r="G2250" s="386" t="str">
        <f>CONCATENATE("DE: ",A2250," ",B2250," ",D2250," mm (emission to ",F2250,")")</f>
        <v>DE: PBS fiber 0,1-1 mm (emission to fresh water)</v>
      </c>
      <c r="H2250" s="466">
        <v>0</v>
      </c>
      <c r="I2250" s="388" t="s">
        <v>1019</v>
      </c>
      <c r="J2250" s="634">
        <v>0.22800000000000001</v>
      </c>
      <c r="K2250" s="389">
        <v>61.12</v>
      </c>
      <c r="L2250" s="536"/>
      <c r="M2250" s="509">
        <f t="shared" si="6646"/>
        <v>4.090314136125655</v>
      </c>
      <c r="N2250" s="645">
        <f t="shared" si="6628"/>
        <v>39.43217665615142</v>
      </c>
      <c r="O2250" s="625"/>
      <c r="P2250" s="628">
        <f t="shared" si="6546"/>
        <v>39.43217665615142</v>
      </c>
      <c r="Q2250" s="628">
        <f t="shared" ref="Q2250:Q2285" si="6654">IFERROR(IF(H2250*M2250+H2251*M2251+H2252*M2252+H2253*M2253+H2254*M2254&gt;500,500,H2250*M2250+H2251*M2251+H2252*M2252+H2253*M2253+H2254*M2254),"N.A.")</f>
        <v>39.43217665615142</v>
      </c>
    </row>
    <row r="2251" spans="1:17" ht="15.75" hidden="1" thickBot="1">
      <c r="A2251" s="390" t="str">
        <f t="shared" ref="A2251:B2251" si="6655">A2248</f>
        <v>PBS</v>
      </c>
      <c r="B2251" s="391" t="str">
        <f t="shared" si="6655"/>
        <v>fiber</v>
      </c>
      <c r="C2251" s="391">
        <f t="shared" ref="C2251" si="6656">C2250</f>
        <v>4</v>
      </c>
      <c r="D2251" s="391" t="str">
        <f t="shared" ref="D2251:E2251" si="6657">D2248</f>
        <v>0,1-1</v>
      </c>
      <c r="E2251" s="391">
        <f t="shared" si="6657"/>
        <v>1</v>
      </c>
      <c r="F2251" s="391" t="str">
        <f t="shared" ref="F2251:G2251" si="6658">F2250</f>
        <v>fresh water</v>
      </c>
      <c r="G2251" s="401" t="str">
        <f t="shared" si="6658"/>
        <v>DE: PBS fiber 0,1-1 mm (emission to fresh water)</v>
      </c>
      <c r="H2251" s="465">
        <v>0</v>
      </c>
      <c r="I2251" s="394" t="s">
        <v>1097</v>
      </c>
      <c r="J2251" s="635"/>
      <c r="K2251" s="389">
        <v>6.34</v>
      </c>
      <c r="L2251" s="536"/>
      <c r="M2251" s="509">
        <f t="shared" si="6646"/>
        <v>39.43217665615142</v>
      </c>
      <c r="N2251" s="646"/>
      <c r="O2251" s="626"/>
      <c r="P2251" s="629"/>
      <c r="Q2251" s="629"/>
    </row>
    <row r="2252" spans="1:17" ht="15.75" hidden="1" thickBot="1">
      <c r="A2252" s="390" t="str">
        <f t="shared" ref="A2252:B2252" si="6659">A2249</f>
        <v>PBS</v>
      </c>
      <c r="B2252" s="391" t="str">
        <f t="shared" si="6659"/>
        <v>fiber</v>
      </c>
      <c r="C2252" s="391">
        <f t="shared" ref="C2252" si="6660">C2251</f>
        <v>4</v>
      </c>
      <c r="D2252" s="391" t="str">
        <f t="shared" ref="D2252:E2252" si="6661">D2249</f>
        <v>0,1-1</v>
      </c>
      <c r="E2252" s="391">
        <f t="shared" si="6661"/>
        <v>1</v>
      </c>
      <c r="F2252" s="391" t="str">
        <f t="shared" ref="F2252:G2252" si="6662">F2251</f>
        <v>fresh water</v>
      </c>
      <c r="G2252" s="401" t="str">
        <f t="shared" si="6662"/>
        <v>DE: PBS fiber 0,1-1 mm (emission to fresh water)</v>
      </c>
      <c r="H2252" s="465">
        <v>0.89</v>
      </c>
      <c r="I2252" s="394" t="s">
        <v>1162</v>
      </c>
      <c r="J2252" s="635"/>
      <c r="K2252" s="389">
        <v>6.34</v>
      </c>
      <c r="L2252" s="536"/>
      <c r="M2252" s="509">
        <f t="shared" si="6646"/>
        <v>39.43217665615142</v>
      </c>
      <c r="N2252" s="646"/>
      <c r="O2252" s="626"/>
      <c r="P2252" s="629"/>
      <c r="Q2252" s="629"/>
    </row>
    <row r="2253" spans="1:17" ht="15.75" hidden="1" thickBot="1">
      <c r="A2253" s="390" t="str">
        <f t="shared" ref="A2253:B2253" si="6663">A2250</f>
        <v>PBS</v>
      </c>
      <c r="B2253" s="391" t="str">
        <f t="shared" si="6663"/>
        <v>fiber</v>
      </c>
      <c r="C2253" s="391">
        <f t="shared" ref="C2253" si="6664">C2252</f>
        <v>4</v>
      </c>
      <c r="D2253" s="391" t="str">
        <f t="shared" ref="D2253:E2253" si="6665">D2250</f>
        <v>0,1-1</v>
      </c>
      <c r="E2253" s="391">
        <f t="shared" si="6665"/>
        <v>1</v>
      </c>
      <c r="F2253" s="391" t="str">
        <f t="shared" ref="F2253:G2253" si="6666">F2252</f>
        <v>fresh water</v>
      </c>
      <c r="G2253" s="401" t="str">
        <f t="shared" si="6666"/>
        <v>DE: PBS fiber 0,1-1 mm (emission to fresh water)</v>
      </c>
      <c r="H2253" s="465">
        <v>0.11</v>
      </c>
      <c r="I2253" s="394" t="s">
        <v>1163</v>
      </c>
      <c r="J2253" s="635"/>
      <c r="K2253" s="389">
        <v>6.34</v>
      </c>
      <c r="L2253" s="536"/>
      <c r="M2253" s="509">
        <f t="shared" si="6646"/>
        <v>39.43217665615142</v>
      </c>
      <c r="N2253" s="646"/>
      <c r="O2253" s="626"/>
      <c r="P2253" s="629"/>
      <c r="Q2253" s="629"/>
    </row>
    <row r="2254" spans="1:17" ht="15.75" hidden="1" thickBot="1">
      <c r="A2254" s="390" t="str">
        <f t="shared" ref="A2254:B2254" si="6667">A2251</f>
        <v>PBS</v>
      </c>
      <c r="B2254" s="391" t="str">
        <f t="shared" si="6667"/>
        <v>fiber</v>
      </c>
      <c r="C2254" s="391">
        <f t="shared" ref="C2254" si="6668">C2253</f>
        <v>4</v>
      </c>
      <c r="D2254" s="391" t="str">
        <f t="shared" ref="D2254:E2254" si="6669">D2251</f>
        <v>0,1-1</v>
      </c>
      <c r="E2254" s="391">
        <f t="shared" si="6669"/>
        <v>1</v>
      </c>
      <c r="F2254" s="402" t="str">
        <f>F2251</f>
        <v>fresh water</v>
      </c>
      <c r="G2254" s="401" t="str">
        <f t="shared" ref="G2254" si="6670">G2253</f>
        <v>DE: PBS fiber 0,1-1 mm (emission to fresh water)</v>
      </c>
      <c r="H2254" s="465">
        <v>0</v>
      </c>
      <c r="I2254" s="397" t="s">
        <v>1034</v>
      </c>
      <c r="J2254" s="654"/>
      <c r="K2254" s="398" t="s">
        <v>596</v>
      </c>
      <c r="L2254" s="538"/>
      <c r="M2254" s="509">
        <f t="shared" si="6646"/>
        <v>0</v>
      </c>
      <c r="N2254" s="647"/>
      <c r="O2254" s="627"/>
      <c r="P2254" s="629"/>
      <c r="Q2254" s="629"/>
    </row>
    <row r="2255" spans="1:17" ht="15.75" hidden="1" thickBot="1">
      <c r="A2255" s="390" t="str">
        <f t="shared" ref="A2255:B2255" si="6671">A2252</f>
        <v>PBS</v>
      </c>
      <c r="B2255" s="391" t="str">
        <f t="shared" si="6671"/>
        <v>fiber</v>
      </c>
      <c r="C2255" s="391">
        <f t="shared" ref="C2255" si="6672">C2254</f>
        <v>4</v>
      </c>
      <c r="D2255" s="391" t="str">
        <f t="shared" ref="D2255:E2255" si="6673">D2252</f>
        <v>0,1-1</v>
      </c>
      <c r="E2255" s="391">
        <f t="shared" si="6673"/>
        <v>1</v>
      </c>
      <c r="F2255" s="385" t="s">
        <v>1097</v>
      </c>
      <c r="G2255" s="422" t="str">
        <f>CONCATENATE("DE: ",A2255," ",B2255," ",D2255," mm (emission to ",F2255,")")</f>
        <v>DE: PBS fiber 0,1-1 mm (emission to marine water)</v>
      </c>
      <c r="H2255" s="467">
        <v>0</v>
      </c>
      <c r="I2255" s="388" t="s">
        <v>1019</v>
      </c>
      <c r="J2255" s="634">
        <v>0.22800000000000001</v>
      </c>
      <c r="K2255" s="389">
        <v>61.12</v>
      </c>
      <c r="L2255" s="536"/>
      <c r="M2255" s="509">
        <f t="shared" si="6646"/>
        <v>4.090314136125655</v>
      </c>
      <c r="N2255" s="645">
        <f t="shared" si="6628"/>
        <v>39.43217665615142</v>
      </c>
      <c r="O2255" s="625"/>
      <c r="P2255" s="628">
        <f t="shared" si="6546"/>
        <v>39.43217665615142</v>
      </c>
      <c r="Q2255" s="628">
        <f t="shared" si="6654"/>
        <v>39.43217665615142</v>
      </c>
    </row>
    <row r="2256" spans="1:17" ht="15.75" hidden="1" thickBot="1">
      <c r="A2256" s="390" t="str">
        <f t="shared" ref="A2256:B2256" si="6674">A2253</f>
        <v>PBS</v>
      </c>
      <c r="B2256" s="391" t="str">
        <f t="shared" si="6674"/>
        <v>fiber</v>
      </c>
      <c r="C2256" s="391">
        <f t="shared" ref="C2256" si="6675">C2255</f>
        <v>4</v>
      </c>
      <c r="D2256" s="391" t="str">
        <f t="shared" ref="D2256:E2256" si="6676">D2253</f>
        <v>0,1-1</v>
      </c>
      <c r="E2256" s="391">
        <f t="shared" si="6676"/>
        <v>1</v>
      </c>
      <c r="F2256" s="391" t="str">
        <f t="shared" ref="F2256:G2256" si="6677">F2255</f>
        <v>marine water</v>
      </c>
      <c r="G2256" s="401" t="str">
        <f t="shared" si="6677"/>
        <v>DE: PBS fiber 0,1-1 mm (emission to marine water)</v>
      </c>
      <c r="H2256" s="465">
        <v>0</v>
      </c>
      <c r="I2256" s="394" t="s">
        <v>1097</v>
      </c>
      <c r="J2256" s="635"/>
      <c r="K2256" s="389">
        <v>6.34</v>
      </c>
      <c r="L2256" s="536"/>
      <c r="M2256" s="509">
        <f t="shared" si="6646"/>
        <v>39.43217665615142</v>
      </c>
      <c r="N2256" s="646"/>
      <c r="O2256" s="626"/>
      <c r="P2256" s="629"/>
      <c r="Q2256" s="629"/>
    </row>
    <row r="2257" spans="1:17" ht="15.75" hidden="1" thickBot="1">
      <c r="A2257" s="390" t="str">
        <f t="shared" ref="A2257:B2257" si="6678">A2254</f>
        <v>PBS</v>
      </c>
      <c r="B2257" s="391" t="str">
        <f t="shared" si="6678"/>
        <v>fiber</v>
      </c>
      <c r="C2257" s="391">
        <f t="shared" ref="C2257" si="6679">C2256</f>
        <v>4</v>
      </c>
      <c r="D2257" s="391" t="str">
        <f t="shared" ref="D2257:E2257" si="6680">D2254</f>
        <v>0,1-1</v>
      </c>
      <c r="E2257" s="391">
        <f t="shared" si="6680"/>
        <v>1</v>
      </c>
      <c r="F2257" s="391" t="str">
        <f t="shared" ref="F2257:G2257" si="6681">F2256</f>
        <v>marine water</v>
      </c>
      <c r="G2257" s="401" t="str">
        <f t="shared" si="6681"/>
        <v>DE: PBS fiber 0,1-1 mm (emission to marine water)</v>
      </c>
      <c r="H2257" s="465">
        <v>0</v>
      </c>
      <c r="I2257" s="394" t="s">
        <v>1162</v>
      </c>
      <c r="J2257" s="635"/>
      <c r="K2257" s="389">
        <v>6.34</v>
      </c>
      <c r="L2257" s="536"/>
      <c r="M2257" s="509">
        <f t="shared" si="6646"/>
        <v>39.43217665615142</v>
      </c>
      <c r="N2257" s="646"/>
      <c r="O2257" s="626"/>
      <c r="P2257" s="629"/>
      <c r="Q2257" s="629"/>
    </row>
    <row r="2258" spans="1:17" ht="15.75" hidden="1" thickBot="1">
      <c r="A2258" s="390" t="str">
        <f t="shared" ref="A2258:B2258" si="6682">A2255</f>
        <v>PBS</v>
      </c>
      <c r="B2258" s="391" t="str">
        <f t="shared" si="6682"/>
        <v>fiber</v>
      </c>
      <c r="C2258" s="391">
        <f t="shared" ref="C2258" si="6683">C2257</f>
        <v>4</v>
      </c>
      <c r="D2258" s="391" t="str">
        <f t="shared" ref="D2258:E2258" si="6684">D2255</f>
        <v>0,1-1</v>
      </c>
      <c r="E2258" s="391">
        <f t="shared" si="6684"/>
        <v>1</v>
      </c>
      <c r="F2258" s="391" t="str">
        <f t="shared" ref="F2258:G2258" si="6685">F2257</f>
        <v>marine water</v>
      </c>
      <c r="G2258" s="401" t="str">
        <f t="shared" si="6685"/>
        <v>DE: PBS fiber 0,1-1 mm (emission to marine water)</v>
      </c>
      <c r="H2258" s="465">
        <v>1</v>
      </c>
      <c r="I2258" s="394" t="s">
        <v>1163</v>
      </c>
      <c r="J2258" s="635"/>
      <c r="K2258" s="389">
        <v>6.34</v>
      </c>
      <c r="L2258" s="536"/>
      <c r="M2258" s="509">
        <f t="shared" si="6646"/>
        <v>39.43217665615142</v>
      </c>
      <c r="N2258" s="646"/>
      <c r="O2258" s="626"/>
      <c r="P2258" s="629"/>
      <c r="Q2258" s="629"/>
    </row>
    <row r="2259" spans="1:17" ht="15.75" hidden="1" thickBot="1">
      <c r="A2259" s="390" t="str">
        <f t="shared" ref="A2259:B2259" si="6686">A2256</f>
        <v>PBS</v>
      </c>
      <c r="B2259" s="391" t="str">
        <f t="shared" si="6686"/>
        <v>fiber</v>
      </c>
      <c r="C2259" s="391">
        <f t="shared" ref="C2259" si="6687">C2258</f>
        <v>4</v>
      </c>
      <c r="D2259" s="391" t="str">
        <f t="shared" ref="D2259:E2259" si="6688">D2256</f>
        <v>0,1-1</v>
      </c>
      <c r="E2259" s="391">
        <f t="shared" si="6688"/>
        <v>1</v>
      </c>
      <c r="F2259" s="391" t="str">
        <f t="shared" ref="F2259:G2259" si="6689">F2258</f>
        <v>marine water</v>
      </c>
      <c r="G2259" s="401" t="str">
        <f t="shared" si="6689"/>
        <v>DE: PBS fiber 0,1-1 mm (emission to marine water)</v>
      </c>
      <c r="H2259" s="465">
        <v>0</v>
      </c>
      <c r="I2259" s="397" t="s">
        <v>1034</v>
      </c>
      <c r="J2259" s="654"/>
      <c r="K2259" s="398" t="s">
        <v>596</v>
      </c>
      <c r="L2259" s="538"/>
      <c r="M2259" s="509">
        <f t="shared" si="6646"/>
        <v>0</v>
      </c>
      <c r="N2259" s="647"/>
      <c r="O2259" s="627"/>
      <c r="P2259" s="629"/>
      <c r="Q2259" s="629"/>
    </row>
    <row r="2260" spans="1:17" ht="15.75" hidden="1" thickBot="1">
      <c r="A2260" s="390" t="str">
        <f t="shared" ref="A2260:B2260" si="6690">A2257</f>
        <v>PBS</v>
      </c>
      <c r="B2260" s="391" t="str">
        <f t="shared" si="6690"/>
        <v>fiber</v>
      </c>
      <c r="C2260" s="391">
        <f t="shared" ref="C2260" si="6691">C2259</f>
        <v>4</v>
      </c>
      <c r="D2260" s="391" t="str">
        <f t="shared" ref="D2260:E2260" si="6692">D2257</f>
        <v>0,1-1</v>
      </c>
      <c r="E2260" s="391">
        <f t="shared" si="6692"/>
        <v>1</v>
      </c>
      <c r="F2260" s="400" t="s">
        <v>1057</v>
      </c>
      <c r="G2260" s="422" t="str">
        <f>CONCATENATE("DE: ",A2260," ",B2260," ",D2260," mm (emission to ",F2260,")")</f>
        <v>DE: PBS fiber 0,1-1 mm (emission to air)</v>
      </c>
      <c r="H2260" s="467">
        <v>0.94799999999999995</v>
      </c>
      <c r="I2260" s="388" t="s">
        <v>1019</v>
      </c>
      <c r="J2260" s="634">
        <v>0.22800000000000001</v>
      </c>
      <c r="K2260" s="389">
        <v>61.12</v>
      </c>
      <c r="L2260" s="536"/>
      <c r="M2260" s="509">
        <f t="shared" si="6646"/>
        <v>4.090314136125655</v>
      </c>
      <c r="N2260" s="645">
        <f t="shared" si="6628"/>
        <v>5.9280909871669945</v>
      </c>
      <c r="O2260" s="625"/>
      <c r="P2260" s="628">
        <f t="shared" si="6546"/>
        <v>5.9280909871669945</v>
      </c>
      <c r="Q2260" s="628">
        <f t="shared" si="6654"/>
        <v>5.9280909871669945</v>
      </c>
    </row>
    <row r="2261" spans="1:17" ht="15.75" hidden="1" thickBot="1">
      <c r="A2261" s="390" t="str">
        <f t="shared" ref="A2261:B2261" si="6693">A2258</f>
        <v>PBS</v>
      </c>
      <c r="B2261" s="391" t="str">
        <f t="shared" si="6693"/>
        <v>fiber</v>
      </c>
      <c r="C2261" s="391">
        <f t="shared" ref="C2261" si="6694">C2260</f>
        <v>4</v>
      </c>
      <c r="D2261" s="391" t="str">
        <f t="shared" ref="D2261:E2261" si="6695">D2258</f>
        <v>0,1-1</v>
      </c>
      <c r="E2261" s="391">
        <f t="shared" si="6695"/>
        <v>1</v>
      </c>
      <c r="F2261" s="391" t="str">
        <f t="shared" ref="F2261:G2261" si="6696">F2260</f>
        <v>air</v>
      </c>
      <c r="G2261" s="401" t="str">
        <f t="shared" si="6696"/>
        <v>DE: PBS fiber 0,1-1 mm (emission to air)</v>
      </c>
      <c r="H2261" s="465">
        <v>0</v>
      </c>
      <c r="I2261" s="394" t="s">
        <v>1097</v>
      </c>
      <c r="J2261" s="635"/>
      <c r="K2261" s="389">
        <v>6.34</v>
      </c>
      <c r="L2261" s="536"/>
      <c r="M2261" s="509">
        <f t="shared" si="6646"/>
        <v>39.43217665615142</v>
      </c>
      <c r="N2261" s="646"/>
      <c r="O2261" s="626"/>
      <c r="P2261" s="629"/>
      <c r="Q2261" s="629"/>
    </row>
    <row r="2262" spans="1:17" ht="15.75" hidden="1" thickBot="1">
      <c r="A2262" s="390" t="str">
        <f t="shared" ref="A2262:B2262" si="6697">A2259</f>
        <v>PBS</v>
      </c>
      <c r="B2262" s="391" t="str">
        <f t="shared" si="6697"/>
        <v>fiber</v>
      </c>
      <c r="C2262" s="391">
        <f t="shared" ref="C2262" si="6698">C2261</f>
        <v>4</v>
      </c>
      <c r="D2262" s="391" t="str">
        <f t="shared" ref="D2262:E2262" si="6699">D2259</f>
        <v>0,1-1</v>
      </c>
      <c r="E2262" s="391">
        <f t="shared" si="6699"/>
        <v>1</v>
      </c>
      <c r="F2262" s="391" t="str">
        <f t="shared" ref="F2262:G2262" si="6700">F2261</f>
        <v>air</v>
      </c>
      <c r="G2262" s="401" t="str">
        <f t="shared" si="6700"/>
        <v>DE: PBS fiber 0,1-1 mm (emission to air)</v>
      </c>
      <c r="H2262" s="465">
        <v>4.7E-2</v>
      </c>
      <c r="I2262" s="394" t="s">
        <v>1162</v>
      </c>
      <c r="J2262" s="635"/>
      <c r="K2262" s="389">
        <v>6.34</v>
      </c>
      <c r="L2262" s="536"/>
      <c r="M2262" s="509">
        <f t="shared" si="6646"/>
        <v>39.43217665615142</v>
      </c>
      <c r="N2262" s="646"/>
      <c r="O2262" s="626"/>
      <c r="P2262" s="629"/>
      <c r="Q2262" s="629"/>
    </row>
    <row r="2263" spans="1:17" ht="15.75" hidden="1" thickBot="1">
      <c r="A2263" s="390" t="str">
        <f t="shared" ref="A2263:B2263" si="6701">A2260</f>
        <v>PBS</v>
      </c>
      <c r="B2263" s="391" t="str">
        <f t="shared" si="6701"/>
        <v>fiber</v>
      </c>
      <c r="C2263" s="391">
        <f t="shared" ref="C2263" si="6702">C2262</f>
        <v>4</v>
      </c>
      <c r="D2263" s="391" t="str">
        <f t="shared" ref="D2263:E2263" si="6703">D2260</f>
        <v>0,1-1</v>
      </c>
      <c r="E2263" s="391">
        <f t="shared" si="6703"/>
        <v>1</v>
      </c>
      <c r="F2263" s="391" t="str">
        <f t="shared" ref="F2263:G2263" si="6704">F2262</f>
        <v>air</v>
      </c>
      <c r="G2263" s="401" t="str">
        <f t="shared" si="6704"/>
        <v>DE: PBS fiber 0,1-1 mm (emission to air)</v>
      </c>
      <c r="H2263" s="465">
        <v>5.0000000000000001E-3</v>
      </c>
      <c r="I2263" s="394" t="s">
        <v>1163</v>
      </c>
      <c r="J2263" s="635"/>
      <c r="K2263" s="389">
        <v>6.34</v>
      </c>
      <c r="L2263" s="536"/>
      <c r="M2263" s="509">
        <f t="shared" si="6646"/>
        <v>39.43217665615142</v>
      </c>
      <c r="N2263" s="646"/>
      <c r="O2263" s="626"/>
      <c r="P2263" s="629"/>
      <c r="Q2263" s="629"/>
    </row>
    <row r="2264" spans="1:17" ht="15.75" hidden="1" thickBot="1">
      <c r="A2264" s="390" t="str">
        <f t="shared" ref="A2264:B2264" si="6705">A2259</f>
        <v>PBS</v>
      </c>
      <c r="B2264" s="391" t="str">
        <f t="shared" si="6705"/>
        <v>fiber</v>
      </c>
      <c r="C2264" s="391">
        <f t="shared" ref="C2264" si="6706">C2263</f>
        <v>4</v>
      </c>
      <c r="D2264" s="391" t="str">
        <f t="shared" ref="D2264:E2264" si="6707">D2259</f>
        <v>0,1-1</v>
      </c>
      <c r="E2264" s="391">
        <f t="shared" si="6707"/>
        <v>1</v>
      </c>
      <c r="F2264" s="391" t="str">
        <f t="shared" ref="F2264:G2264" si="6708">F2263</f>
        <v>air</v>
      </c>
      <c r="G2264" s="401" t="str">
        <f t="shared" si="6708"/>
        <v>DE: PBS fiber 0,1-1 mm (emission to air)</v>
      </c>
      <c r="H2264" s="471">
        <v>0</v>
      </c>
      <c r="I2264" s="422" t="s">
        <v>1034</v>
      </c>
      <c r="J2264" s="636"/>
      <c r="K2264" s="451" t="s">
        <v>596</v>
      </c>
      <c r="L2264" s="542"/>
      <c r="M2264" s="509">
        <f t="shared" si="6646"/>
        <v>0</v>
      </c>
      <c r="N2264" s="647"/>
      <c r="O2264" s="627"/>
      <c r="P2264" s="629"/>
      <c r="Q2264" s="629"/>
    </row>
    <row r="2265" spans="1:17" ht="15.75" hidden="1" thickBot="1">
      <c r="A2265" s="405" t="s">
        <v>42</v>
      </c>
      <c r="B2265" s="406" t="s">
        <v>1151</v>
      </c>
      <c r="C2265" s="407">
        <v>4</v>
      </c>
      <c r="D2265" s="423" t="s">
        <v>1026</v>
      </c>
      <c r="E2265" s="408">
        <v>10</v>
      </c>
      <c r="F2265" s="424" t="s">
        <v>1019</v>
      </c>
      <c r="G2265" s="425" t="str">
        <f>CONCATENATE("DE: ",A2265," ",B2265," ",D2265," mm (emission to ",F2265,")")</f>
        <v>DE: PBS fiber 1-10 mm (emission to soil)</v>
      </c>
      <c r="H2265" s="474">
        <v>0.97</v>
      </c>
      <c r="I2265" s="427" t="s">
        <v>1019</v>
      </c>
      <c r="J2265" s="632">
        <v>0.22800000000000001</v>
      </c>
      <c r="K2265" s="428">
        <v>61.12</v>
      </c>
      <c r="L2265" s="539"/>
      <c r="M2265" s="509">
        <f t="shared" si="6646"/>
        <v>40.903141361256544</v>
      </c>
      <c r="N2265" s="645">
        <f t="shared" si="6628"/>
        <v>51.505700117264276</v>
      </c>
      <c r="O2265" s="625"/>
      <c r="P2265" s="628">
        <f t="shared" si="6546"/>
        <v>51.505700117264276</v>
      </c>
      <c r="Q2265" s="628">
        <f t="shared" si="6654"/>
        <v>51.505700117264276</v>
      </c>
    </row>
    <row r="2266" spans="1:17" ht="15.75" hidden="1" thickBot="1">
      <c r="A2266" s="390" t="str">
        <f>A2265</f>
        <v>PBS</v>
      </c>
      <c r="B2266" s="391" t="str">
        <f>B2265</f>
        <v>fiber</v>
      </c>
      <c r="C2266" s="391">
        <f t="shared" ref="C2266:G2266" si="6709">C2265</f>
        <v>4</v>
      </c>
      <c r="D2266" s="391" t="str">
        <f t="shared" si="6709"/>
        <v>1-10</v>
      </c>
      <c r="E2266" s="391">
        <f t="shared" si="6709"/>
        <v>10</v>
      </c>
      <c r="F2266" s="391" t="str">
        <f t="shared" si="6709"/>
        <v>soil</v>
      </c>
      <c r="G2266" s="392" t="str">
        <f t="shared" si="6709"/>
        <v>DE: PBS fiber 1-10 mm (emission to soil)</v>
      </c>
      <c r="H2266" s="465">
        <v>0</v>
      </c>
      <c r="I2266" s="394" t="s">
        <v>1097</v>
      </c>
      <c r="J2266" s="632"/>
      <c r="K2266" s="395">
        <v>6.34</v>
      </c>
      <c r="L2266" s="537"/>
      <c r="M2266" s="509">
        <f t="shared" si="6646"/>
        <v>394.32176656151421</v>
      </c>
      <c r="N2266" s="646"/>
      <c r="O2266" s="626"/>
      <c r="P2266" s="629"/>
      <c r="Q2266" s="629"/>
    </row>
    <row r="2267" spans="1:17" ht="15.75" hidden="1" thickBot="1">
      <c r="A2267" s="390" t="str">
        <f t="shared" ref="A2267:G2267" si="6710">A2266</f>
        <v>PBS</v>
      </c>
      <c r="B2267" s="391" t="str">
        <f t="shared" si="6710"/>
        <v>fiber</v>
      </c>
      <c r="C2267" s="391">
        <f t="shared" si="6710"/>
        <v>4</v>
      </c>
      <c r="D2267" s="391" t="str">
        <f t="shared" si="6710"/>
        <v>1-10</v>
      </c>
      <c r="E2267" s="391">
        <f t="shared" si="6710"/>
        <v>10</v>
      </c>
      <c r="F2267" s="391" t="str">
        <f t="shared" si="6710"/>
        <v>soil</v>
      </c>
      <c r="G2267" s="392" t="str">
        <f t="shared" si="6710"/>
        <v>DE: PBS fiber 1-10 mm (emission to soil)</v>
      </c>
      <c r="H2267" s="465">
        <v>2.7E-2</v>
      </c>
      <c r="I2267" s="394" t="s">
        <v>1162</v>
      </c>
      <c r="J2267" s="632"/>
      <c r="K2267" s="395">
        <v>6.34</v>
      </c>
      <c r="L2267" s="537"/>
      <c r="M2267" s="509">
        <f t="shared" si="6646"/>
        <v>394.32176656151421</v>
      </c>
      <c r="N2267" s="646"/>
      <c r="O2267" s="626"/>
      <c r="P2267" s="629"/>
      <c r="Q2267" s="629"/>
    </row>
    <row r="2268" spans="1:17" ht="15.75" hidden="1" thickBot="1">
      <c r="A2268" s="390" t="str">
        <f t="shared" ref="A2268:G2268" si="6711">A2267</f>
        <v>PBS</v>
      </c>
      <c r="B2268" s="391" t="str">
        <f t="shared" si="6711"/>
        <v>fiber</v>
      </c>
      <c r="C2268" s="391">
        <f t="shared" si="6711"/>
        <v>4</v>
      </c>
      <c r="D2268" s="391" t="str">
        <f t="shared" si="6711"/>
        <v>1-10</v>
      </c>
      <c r="E2268" s="391">
        <f t="shared" si="6711"/>
        <v>10</v>
      </c>
      <c r="F2268" s="391" t="str">
        <f t="shared" si="6711"/>
        <v>soil</v>
      </c>
      <c r="G2268" s="392" t="str">
        <f t="shared" si="6711"/>
        <v>DE: PBS fiber 1-10 mm (emission to soil)</v>
      </c>
      <c r="H2268" s="465">
        <v>3.0000000000000001E-3</v>
      </c>
      <c r="I2268" s="394" t="s">
        <v>1163</v>
      </c>
      <c r="J2268" s="632"/>
      <c r="K2268" s="395">
        <v>6.34</v>
      </c>
      <c r="L2268" s="537"/>
      <c r="M2268" s="509">
        <f t="shared" si="6646"/>
        <v>394.32176656151421</v>
      </c>
      <c r="N2268" s="646"/>
      <c r="O2268" s="626"/>
      <c r="P2268" s="629"/>
      <c r="Q2268" s="629"/>
    </row>
    <row r="2269" spans="1:17" ht="15.75" hidden="1" thickBot="1">
      <c r="A2269" s="390" t="str">
        <f>A2266</f>
        <v>PBS</v>
      </c>
      <c r="B2269" s="391" t="str">
        <f>B2266</f>
        <v>fiber</v>
      </c>
      <c r="C2269" s="391">
        <f t="shared" ref="C2269" si="6712">C2268</f>
        <v>4</v>
      </c>
      <c r="D2269" s="391" t="str">
        <f>D2266</f>
        <v>1-10</v>
      </c>
      <c r="E2269" s="391">
        <f>E2266</f>
        <v>10</v>
      </c>
      <c r="F2269" s="391" t="str">
        <f>F2266</f>
        <v>soil</v>
      </c>
      <c r="G2269" s="396" t="str">
        <f t="shared" ref="G2269" si="6713">G2268</f>
        <v>DE: PBS fiber 1-10 mm (emission to soil)</v>
      </c>
      <c r="H2269" s="465">
        <v>0</v>
      </c>
      <c r="I2269" s="397" t="s">
        <v>1034</v>
      </c>
      <c r="J2269" s="633"/>
      <c r="K2269" s="398" t="s">
        <v>596</v>
      </c>
      <c r="L2269" s="538"/>
      <c r="M2269" s="509">
        <f t="shared" si="6646"/>
        <v>0</v>
      </c>
      <c r="N2269" s="647"/>
      <c r="O2269" s="627"/>
      <c r="P2269" s="629"/>
      <c r="Q2269" s="629"/>
    </row>
    <row r="2270" spans="1:17" ht="15.75" hidden="1" thickBot="1">
      <c r="A2270" s="390" t="str">
        <f t="shared" ref="A2270:B2270" si="6714">A2267</f>
        <v>PBS</v>
      </c>
      <c r="B2270" s="391" t="str">
        <f t="shared" si="6714"/>
        <v>fiber</v>
      </c>
      <c r="C2270" s="391">
        <f t="shared" ref="C2270" si="6715">C2269</f>
        <v>4</v>
      </c>
      <c r="D2270" s="399" t="str">
        <f t="shared" ref="D2270:E2270" si="6716">D2267</f>
        <v>1-10</v>
      </c>
      <c r="E2270" s="391">
        <f t="shared" si="6716"/>
        <v>10</v>
      </c>
      <c r="F2270" s="400" t="s">
        <v>1147</v>
      </c>
      <c r="G2270" s="386" t="str">
        <f>CONCATENATE("DE: ",A2270," ",B2270," ",D2270," mm (emission to ",F2270,")")</f>
        <v>DE: PBS fiber 1-10 mm (emission to fresh water)</v>
      </c>
      <c r="H2270" s="466">
        <v>0</v>
      </c>
      <c r="I2270" s="388" t="s">
        <v>1019</v>
      </c>
      <c r="J2270" s="634">
        <v>0.22800000000000001</v>
      </c>
      <c r="K2270" s="389">
        <v>61.12</v>
      </c>
      <c r="L2270" s="536"/>
      <c r="M2270" s="509">
        <f t="shared" si="6646"/>
        <v>40.903141361256544</v>
      </c>
      <c r="N2270" s="645">
        <f t="shared" si="6628"/>
        <v>394.32176656151421</v>
      </c>
      <c r="O2270" s="625"/>
      <c r="P2270" s="628">
        <f t="shared" si="6546"/>
        <v>100</v>
      </c>
      <c r="Q2270" s="628">
        <f t="shared" si="6654"/>
        <v>394.32176656151421</v>
      </c>
    </row>
    <row r="2271" spans="1:17" ht="15.75" hidden="1" thickBot="1">
      <c r="A2271" s="390" t="str">
        <f t="shared" ref="A2271:B2271" si="6717">A2268</f>
        <v>PBS</v>
      </c>
      <c r="B2271" s="391" t="str">
        <f t="shared" si="6717"/>
        <v>fiber</v>
      </c>
      <c r="C2271" s="391">
        <f t="shared" ref="C2271" si="6718">C2270</f>
        <v>4</v>
      </c>
      <c r="D2271" s="391" t="str">
        <f t="shared" ref="D2271:E2271" si="6719">D2268</f>
        <v>1-10</v>
      </c>
      <c r="E2271" s="391">
        <f t="shared" si="6719"/>
        <v>10</v>
      </c>
      <c r="F2271" s="391" t="str">
        <f t="shared" ref="F2271:G2271" si="6720">F2270</f>
        <v>fresh water</v>
      </c>
      <c r="G2271" s="401" t="str">
        <f t="shared" si="6720"/>
        <v>DE: PBS fiber 1-10 mm (emission to fresh water)</v>
      </c>
      <c r="H2271" s="465">
        <v>0</v>
      </c>
      <c r="I2271" s="394" t="s">
        <v>1097</v>
      </c>
      <c r="J2271" s="635"/>
      <c r="K2271" s="389">
        <v>6.34</v>
      </c>
      <c r="L2271" s="536"/>
      <c r="M2271" s="509">
        <f t="shared" si="6646"/>
        <v>394.32176656151421</v>
      </c>
      <c r="N2271" s="646"/>
      <c r="O2271" s="626"/>
      <c r="P2271" s="629"/>
      <c r="Q2271" s="629"/>
    </row>
    <row r="2272" spans="1:17" ht="15.75" hidden="1" thickBot="1">
      <c r="A2272" s="390" t="str">
        <f t="shared" ref="A2272:B2272" si="6721">A2269</f>
        <v>PBS</v>
      </c>
      <c r="B2272" s="391" t="str">
        <f t="shared" si="6721"/>
        <v>fiber</v>
      </c>
      <c r="C2272" s="391">
        <f t="shared" ref="C2272" si="6722">C2271</f>
        <v>4</v>
      </c>
      <c r="D2272" s="391" t="str">
        <f t="shared" ref="D2272:E2272" si="6723">D2269</f>
        <v>1-10</v>
      </c>
      <c r="E2272" s="391">
        <f t="shared" si="6723"/>
        <v>10</v>
      </c>
      <c r="F2272" s="391" t="str">
        <f t="shared" ref="F2272:G2272" si="6724">F2271</f>
        <v>fresh water</v>
      </c>
      <c r="G2272" s="401" t="str">
        <f t="shared" si="6724"/>
        <v>DE: PBS fiber 1-10 mm (emission to fresh water)</v>
      </c>
      <c r="H2272" s="465">
        <v>0.89</v>
      </c>
      <c r="I2272" s="394" t="s">
        <v>1162</v>
      </c>
      <c r="J2272" s="635"/>
      <c r="K2272" s="389">
        <v>6.34</v>
      </c>
      <c r="L2272" s="536"/>
      <c r="M2272" s="509">
        <f t="shared" si="6646"/>
        <v>394.32176656151421</v>
      </c>
      <c r="N2272" s="646"/>
      <c r="O2272" s="626"/>
      <c r="P2272" s="629"/>
      <c r="Q2272" s="629"/>
    </row>
    <row r="2273" spans="1:17" ht="15.75" hidden="1" thickBot="1">
      <c r="A2273" s="390" t="str">
        <f t="shared" ref="A2273:B2273" si="6725">A2270</f>
        <v>PBS</v>
      </c>
      <c r="B2273" s="391" t="str">
        <f t="shared" si="6725"/>
        <v>fiber</v>
      </c>
      <c r="C2273" s="391">
        <f t="shared" ref="C2273" si="6726">C2272</f>
        <v>4</v>
      </c>
      <c r="D2273" s="391" t="str">
        <f t="shared" ref="D2273:E2273" si="6727">D2270</f>
        <v>1-10</v>
      </c>
      <c r="E2273" s="391">
        <f t="shared" si="6727"/>
        <v>10</v>
      </c>
      <c r="F2273" s="391" t="str">
        <f t="shared" ref="F2273:G2273" si="6728">F2272</f>
        <v>fresh water</v>
      </c>
      <c r="G2273" s="401" t="str">
        <f t="shared" si="6728"/>
        <v>DE: PBS fiber 1-10 mm (emission to fresh water)</v>
      </c>
      <c r="H2273" s="465">
        <v>0.11</v>
      </c>
      <c r="I2273" s="394" t="s">
        <v>1163</v>
      </c>
      <c r="J2273" s="635"/>
      <c r="K2273" s="389">
        <v>6.34</v>
      </c>
      <c r="L2273" s="536"/>
      <c r="M2273" s="509">
        <f t="shared" si="6646"/>
        <v>394.32176656151421</v>
      </c>
      <c r="N2273" s="646"/>
      <c r="O2273" s="626"/>
      <c r="P2273" s="629"/>
      <c r="Q2273" s="629"/>
    </row>
    <row r="2274" spans="1:17" ht="15.75" hidden="1" thickBot="1">
      <c r="A2274" s="390" t="str">
        <f t="shared" ref="A2274:B2274" si="6729">A2271</f>
        <v>PBS</v>
      </c>
      <c r="B2274" s="391" t="str">
        <f t="shared" si="6729"/>
        <v>fiber</v>
      </c>
      <c r="C2274" s="391">
        <f t="shared" ref="C2274" si="6730">C2273</f>
        <v>4</v>
      </c>
      <c r="D2274" s="391" t="str">
        <f t="shared" ref="D2274:E2274" si="6731">D2271</f>
        <v>1-10</v>
      </c>
      <c r="E2274" s="391">
        <f t="shared" si="6731"/>
        <v>10</v>
      </c>
      <c r="F2274" s="402" t="str">
        <f>F2271</f>
        <v>fresh water</v>
      </c>
      <c r="G2274" s="401" t="str">
        <f t="shared" ref="G2274" si="6732">G2273</f>
        <v>DE: PBS fiber 1-10 mm (emission to fresh water)</v>
      </c>
      <c r="H2274" s="465">
        <v>0</v>
      </c>
      <c r="I2274" s="397" t="s">
        <v>1034</v>
      </c>
      <c r="J2274" s="654"/>
      <c r="K2274" s="398" t="s">
        <v>596</v>
      </c>
      <c r="L2274" s="538"/>
      <c r="M2274" s="509">
        <f t="shared" si="6646"/>
        <v>0</v>
      </c>
      <c r="N2274" s="647"/>
      <c r="O2274" s="627"/>
      <c r="P2274" s="629"/>
      <c r="Q2274" s="629"/>
    </row>
    <row r="2275" spans="1:17" ht="15.75" hidden="1" thickBot="1">
      <c r="A2275" s="390" t="str">
        <f t="shared" ref="A2275:B2275" si="6733">A2272</f>
        <v>PBS</v>
      </c>
      <c r="B2275" s="391" t="str">
        <f t="shared" si="6733"/>
        <v>fiber</v>
      </c>
      <c r="C2275" s="391">
        <f t="shared" ref="C2275" si="6734">C2274</f>
        <v>4</v>
      </c>
      <c r="D2275" s="391" t="str">
        <f t="shared" ref="D2275:E2275" si="6735">D2272</f>
        <v>1-10</v>
      </c>
      <c r="E2275" s="391">
        <f t="shared" si="6735"/>
        <v>10</v>
      </c>
      <c r="F2275" s="385" t="s">
        <v>1097</v>
      </c>
      <c r="G2275" s="422" t="str">
        <f>CONCATENATE("DE: ",A2275," ",B2275," ",D2275," mm (emission to ",F2275,")")</f>
        <v>DE: PBS fiber 1-10 mm (emission to marine water)</v>
      </c>
      <c r="H2275" s="467">
        <v>0</v>
      </c>
      <c r="I2275" s="388" t="s">
        <v>1019</v>
      </c>
      <c r="J2275" s="634">
        <v>0.22800000000000001</v>
      </c>
      <c r="K2275" s="389">
        <v>61.12</v>
      </c>
      <c r="L2275" s="536"/>
      <c r="M2275" s="509">
        <f t="shared" si="6646"/>
        <v>40.903141361256544</v>
      </c>
      <c r="N2275" s="645">
        <f t="shared" si="6628"/>
        <v>394.32176656151421</v>
      </c>
      <c r="O2275" s="625"/>
      <c r="P2275" s="628">
        <f t="shared" si="6546"/>
        <v>100</v>
      </c>
      <c r="Q2275" s="628">
        <f t="shared" si="6654"/>
        <v>394.32176656151421</v>
      </c>
    </row>
    <row r="2276" spans="1:17" ht="15.75" hidden="1" thickBot="1">
      <c r="A2276" s="390" t="str">
        <f t="shared" ref="A2276:B2276" si="6736">A2273</f>
        <v>PBS</v>
      </c>
      <c r="B2276" s="391" t="str">
        <f t="shared" si="6736"/>
        <v>fiber</v>
      </c>
      <c r="C2276" s="391">
        <f t="shared" ref="C2276" si="6737">C2275</f>
        <v>4</v>
      </c>
      <c r="D2276" s="391" t="str">
        <f t="shared" ref="D2276:E2276" si="6738">D2273</f>
        <v>1-10</v>
      </c>
      <c r="E2276" s="391">
        <f t="shared" si="6738"/>
        <v>10</v>
      </c>
      <c r="F2276" s="391" t="str">
        <f t="shared" ref="F2276:G2276" si="6739">F2275</f>
        <v>marine water</v>
      </c>
      <c r="G2276" s="401" t="str">
        <f t="shared" si="6739"/>
        <v>DE: PBS fiber 1-10 mm (emission to marine water)</v>
      </c>
      <c r="H2276" s="465">
        <v>0</v>
      </c>
      <c r="I2276" s="394" t="s">
        <v>1097</v>
      </c>
      <c r="J2276" s="635"/>
      <c r="K2276" s="389">
        <v>6.34</v>
      </c>
      <c r="L2276" s="536"/>
      <c r="M2276" s="509">
        <f t="shared" si="6646"/>
        <v>394.32176656151421</v>
      </c>
      <c r="N2276" s="646"/>
      <c r="O2276" s="626"/>
      <c r="P2276" s="629"/>
      <c r="Q2276" s="629"/>
    </row>
    <row r="2277" spans="1:17" ht="15.75" hidden="1" thickBot="1">
      <c r="A2277" s="390" t="str">
        <f t="shared" ref="A2277:B2277" si="6740">A2274</f>
        <v>PBS</v>
      </c>
      <c r="B2277" s="391" t="str">
        <f t="shared" si="6740"/>
        <v>fiber</v>
      </c>
      <c r="C2277" s="391">
        <f t="shared" ref="C2277" si="6741">C2276</f>
        <v>4</v>
      </c>
      <c r="D2277" s="391" t="str">
        <f t="shared" ref="D2277:E2277" si="6742">D2274</f>
        <v>1-10</v>
      </c>
      <c r="E2277" s="391">
        <f t="shared" si="6742"/>
        <v>10</v>
      </c>
      <c r="F2277" s="391" t="str">
        <f t="shared" ref="F2277:G2277" si="6743">F2276</f>
        <v>marine water</v>
      </c>
      <c r="G2277" s="401" t="str">
        <f t="shared" si="6743"/>
        <v>DE: PBS fiber 1-10 mm (emission to marine water)</v>
      </c>
      <c r="H2277" s="465">
        <v>0</v>
      </c>
      <c r="I2277" s="394" t="s">
        <v>1162</v>
      </c>
      <c r="J2277" s="635"/>
      <c r="K2277" s="389">
        <v>6.34</v>
      </c>
      <c r="L2277" s="536"/>
      <c r="M2277" s="509">
        <f t="shared" si="6646"/>
        <v>394.32176656151421</v>
      </c>
      <c r="N2277" s="646"/>
      <c r="O2277" s="626"/>
      <c r="P2277" s="629"/>
      <c r="Q2277" s="629"/>
    </row>
    <row r="2278" spans="1:17" ht="15.75" hidden="1" thickBot="1">
      <c r="A2278" s="390" t="str">
        <f t="shared" ref="A2278:B2278" si="6744">A2275</f>
        <v>PBS</v>
      </c>
      <c r="B2278" s="391" t="str">
        <f t="shared" si="6744"/>
        <v>fiber</v>
      </c>
      <c r="C2278" s="391">
        <f t="shared" ref="C2278" si="6745">C2277</f>
        <v>4</v>
      </c>
      <c r="D2278" s="391" t="str">
        <f t="shared" ref="D2278:E2278" si="6746">D2275</f>
        <v>1-10</v>
      </c>
      <c r="E2278" s="391">
        <f t="shared" si="6746"/>
        <v>10</v>
      </c>
      <c r="F2278" s="391" t="str">
        <f t="shared" ref="F2278:G2278" si="6747">F2277</f>
        <v>marine water</v>
      </c>
      <c r="G2278" s="401" t="str">
        <f t="shared" si="6747"/>
        <v>DE: PBS fiber 1-10 mm (emission to marine water)</v>
      </c>
      <c r="H2278" s="465">
        <v>1</v>
      </c>
      <c r="I2278" s="394" t="s">
        <v>1163</v>
      </c>
      <c r="J2278" s="635"/>
      <c r="K2278" s="389">
        <v>6.34</v>
      </c>
      <c r="L2278" s="536"/>
      <c r="M2278" s="509">
        <f t="shared" si="6646"/>
        <v>394.32176656151421</v>
      </c>
      <c r="N2278" s="646"/>
      <c r="O2278" s="626"/>
      <c r="P2278" s="629"/>
      <c r="Q2278" s="629"/>
    </row>
    <row r="2279" spans="1:17" ht="15.75" hidden="1" thickBot="1">
      <c r="A2279" s="390" t="str">
        <f t="shared" ref="A2279:B2279" si="6748">A2276</f>
        <v>PBS</v>
      </c>
      <c r="B2279" s="391" t="str">
        <f t="shared" si="6748"/>
        <v>fiber</v>
      </c>
      <c r="C2279" s="391">
        <f t="shared" ref="C2279" si="6749">C2278</f>
        <v>4</v>
      </c>
      <c r="D2279" s="391" t="str">
        <f t="shared" ref="D2279:E2279" si="6750">D2276</f>
        <v>1-10</v>
      </c>
      <c r="E2279" s="391">
        <f t="shared" si="6750"/>
        <v>10</v>
      </c>
      <c r="F2279" s="391" t="str">
        <f t="shared" ref="F2279:G2279" si="6751">F2278</f>
        <v>marine water</v>
      </c>
      <c r="G2279" s="401" t="str">
        <f t="shared" si="6751"/>
        <v>DE: PBS fiber 1-10 mm (emission to marine water)</v>
      </c>
      <c r="H2279" s="465">
        <v>0</v>
      </c>
      <c r="I2279" s="397" t="s">
        <v>1034</v>
      </c>
      <c r="J2279" s="654"/>
      <c r="K2279" s="398" t="s">
        <v>596</v>
      </c>
      <c r="L2279" s="538"/>
      <c r="M2279" s="509">
        <f t="shared" si="6646"/>
        <v>0</v>
      </c>
      <c r="N2279" s="647"/>
      <c r="O2279" s="627"/>
      <c r="P2279" s="629"/>
      <c r="Q2279" s="629"/>
    </row>
    <row r="2280" spans="1:17" ht="15.75" hidden="1" thickBot="1">
      <c r="A2280" s="390" t="str">
        <f t="shared" ref="A2280:B2280" si="6752">A2277</f>
        <v>PBS</v>
      </c>
      <c r="B2280" s="391" t="str">
        <f t="shared" si="6752"/>
        <v>fiber</v>
      </c>
      <c r="C2280" s="391">
        <f t="shared" ref="C2280" si="6753">C2279</f>
        <v>4</v>
      </c>
      <c r="D2280" s="391" t="str">
        <f t="shared" ref="D2280:E2280" si="6754">D2277</f>
        <v>1-10</v>
      </c>
      <c r="E2280" s="391">
        <f t="shared" si="6754"/>
        <v>10</v>
      </c>
      <c r="F2280" s="400" t="s">
        <v>1057</v>
      </c>
      <c r="G2280" s="422" t="str">
        <f>CONCATENATE("DE: ",A2280," ",B2280," ",D2280," mm (emission to ",F2280,")")</f>
        <v>DE: PBS fiber 1-10 mm (emission to air)</v>
      </c>
      <c r="H2280" s="467">
        <v>0.94799999999999995</v>
      </c>
      <c r="I2280" s="388" t="s">
        <v>1019</v>
      </c>
      <c r="J2280" s="634">
        <v>0.22800000000000001</v>
      </c>
      <c r="K2280" s="389">
        <v>61.12</v>
      </c>
      <c r="L2280" s="536"/>
      <c r="M2280" s="509">
        <f t="shared" si="6646"/>
        <v>40.903141361256544</v>
      </c>
      <c r="N2280" s="645">
        <f t="shared" si="6628"/>
        <v>59.280909871669934</v>
      </c>
      <c r="O2280" s="625"/>
      <c r="P2280" s="628">
        <f t="shared" ref="P2280:P2340" si="6755">IFERROR(IF(H2280*M2280+H2281*M2281+H2282*M2282+H2283*M2283+H2284*M2284&gt;100,100,H2280*M2280+H2281*M2281+H2282*M2282+H2283*M2283+H2284*M2284),"N.A.")</f>
        <v>59.280909871669934</v>
      </c>
      <c r="Q2280" s="628">
        <f t="shared" si="6654"/>
        <v>59.280909871669934</v>
      </c>
    </row>
    <row r="2281" spans="1:17" ht="15.75" hidden="1" thickBot="1">
      <c r="A2281" s="390" t="str">
        <f t="shared" ref="A2281:B2281" si="6756">A2278</f>
        <v>PBS</v>
      </c>
      <c r="B2281" s="391" t="str">
        <f t="shared" si="6756"/>
        <v>fiber</v>
      </c>
      <c r="C2281" s="391">
        <f t="shared" ref="C2281" si="6757">C2280</f>
        <v>4</v>
      </c>
      <c r="D2281" s="391" t="str">
        <f t="shared" ref="D2281:E2281" si="6758">D2278</f>
        <v>1-10</v>
      </c>
      <c r="E2281" s="391">
        <f t="shared" si="6758"/>
        <v>10</v>
      </c>
      <c r="F2281" s="391" t="str">
        <f t="shared" ref="F2281:G2281" si="6759">F2280</f>
        <v>air</v>
      </c>
      <c r="G2281" s="401" t="str">
        <f t="shared" si="6759"/>
        <v>DE: PBS fiber 1-10 mm (emission to air)</v>
      </c>
      <c r="H2281" s="465">
        <v>0</v>
      </c>
      <c r="I2281" s="394" t="s">
        <v>1097</v>
      </c>
      <c r="J2281" s="635"/>
      <c r="K2281" s="389">
        <v>6.34</v>
      </c>
      <c r="L2281" s="536"/>
      <c r="M2281" s="509">
        <f t="shared" si="6646"/>
        <v>394.32176656151421</v>
      </c>
      <c r="N2281" s="646"/>
      <c r="O2281" s="626"/>
      <c r="P2281" s="629"/>
      <c r="Q2281" s="629"/>
    </row>
    <row r="2282" spans="1:17" ht="15.75" hidden="1" thickBot="1">
      <c r="A2282" s="390" t="str">
        <f t="shared" ref="A2282:B2282" si="6760">A2279</f>
        <v>PBS</v>
      </c>
      <c r="B2282" s="391" t="str">
        <f t="shared" si="6760"/>
        <v>fiber</v>
      </c>
      <c r="C2282" s="391">
        <f t="shared" ref="C2282" si="6761">C2281</f>
        <v>4</v>
      </c>
      <c r="D2282" s="391" t="str">
        <f t="shared" ref="D2282:E2282" si="6762">D2279</f>
        <v>1-10</v>
      </c>
      <c r="E2282" s="391">
        <f t="shared" si="6762"/>
        <v>10</v>
      </c>
      <c r="F2282" s="391" t="str">
        <f t="shared" ref="F2282:G2282" si="6763">F2281</f>
        <v>air</v>
      </c>
      <c r="G2282" s="401" t="str">
        <f t="shared" si="6763"/>
        <v>DE: PBS fiber 1-10 mm (emission to air)</v>
      </c>
      <c r="H2282" s="465">
        <v>4.7E-2</v>
      </c>
      <c r="I2282" s="394" t="s">
        <v>1162</v>
      </c>
      <c r="J2282" s="635"/>
      <c r="K2282" s="389">
        <v>6.34</v>
      </c>
      <c r="L2282" s="536"/>
      <c r="M2282" s="509">
        <f t="shared" si="6646"/>
        <v>394.32176656151421</v>
      </c>
      <c r="N2282" s="646"/>
      <c r="O2282" s="626"/>
      <c r="P2282" s="629"/>
      <c r="Q2282" s="629"/>
    </row>
    <row r="2283" spans="1:17" ht="15.75" hidden="1" thickBot="1">
      <c r="A2283" s="390" t="str">
        <f t="shared" ref="A2283:B2283" si="6764">A2280</f>
        <v>PBS</v>
      </c>
      <c r="B2283" s="391" t="str">
        <f t="shared" si="6764"/>
        <v>fiber</v>
      </c>
      <c r="C2283" s="391">
        <f t="shared" ref="C2283" si="6765">C2282</f>
        <v>4</v>
      </c>
      <c r="D2283" s="391" t="str">
        <f t="shared" ref="D2283:E2283" si="6766">D2280</f>
        <v>1-10</v>
      </c>
      <c r="E2283" s="391">
        <f t="shared" si="6766"/>
        <v>10</v>
      </c>
      <c r="F2283" s="391" t="str">
        <f t="shared" ref="F2283:G2283" si="6767">F2282</f>
        <v>air</v>
      </c>
      <c r="G2283" s="401" t="str">
        <f t="shared" si="6767"/>
        <v>DE: PBS fiber 1-10 mm (emission to air)</v>
      </c>
      <c r="H2283" s="465">
        <v>5.0000000000000001E-3</v>
      </c>
      <c r="I2283" s="394" t="s">
        <v>1163</v>
      </c>
      <c r="J2283" s="635"/>
      <c r="K2283" s="389">
        <v>6.34</v>
      </c>
      <c r="L2283" s="536"/>
      <c r="M2283" s="509">
        <f t="shared" si="6646"/>
        <v>394.32176656151421</v>
      </c>
      <c r="N2283" s="646"/>
      <c r="O2283" s="626"/>
      <c r="P2283" s="629"/>
      <c r="Q2283" s="629"/>
    </row>
    <row r="2284" spans="1:17" ht="15.75" hidden="1" thickBot="1">
      <c r="A2284" s="452" t="str">
        <f t="shared" ref="A2284:B2284" si="6768">A2279</f>
        <v>PBS</v>
      </c>
      <c r="B2284" s="453" t="str">
        <f t="shared" si="6768"/>
        <v>fiber</v>
      </c>
      <c r="C2284" s="453">
        <f t="shared" ref="C2284" si="6769">C2283</f>
        <v>4</v>
      </c>
      <c r="D2284" s="453" t="str">
        <f t="shared" ref="D2284:E2284" si="6770">D2279</f>
        <v>1-10</v>
      </c>
      <c r="E2284" s="453">
        <f t="shared" si="6770"/>
        <v>10</v>
      </c>
      <c r="F2284" s="453" t="str">
        <f t="shared" ref="F2284:G2284" si="6771">F2283</f>
        <v>air</v>
      </c>
      <c r="G2284" s="454" t="str">
        <f t="shared" si="6771"/>
        <v>DE: PBS fiber 1-10 mm (emission to air)</v>
      </c>
      <c r="H2284" s="473">
        <v>0</v>
      </c>
      <c r="I2284" s="479" t="s">
        <v>1034</v>
      </c>
      <c r="J2284" s="636"/>
      <c r="K2284" s="457" t="s">
        <v>596</v>
      </c>
      <c r="L2284" s="543"/>
      <c r="M2284" s="509">
        <f t="shared" si="6646"/>
        <v>0</v>
      </c>
      <c r="N2284" s="647"/>
      <c r="O2284" s="627"/>
      <c r="P2284" s="629"/>
      <c r="Q2284" s="629"/>
    </row>
    <row r="2285" spans="1:17" ht="15.75" hidden="1" thickBot="1">
      <c r="A2285" s="381" t="s">
        <v>42</v>
      </c>
      <c r="B2285" s="382" t="s">
        <v>1152</v>
      </c>
      <c r="C2285" s="383">
        <v>6</v>
      </c>
      <c r="D2285" s="475" t="s">
        <v>1018</v>
      </c>
      <c r="E2285" s="384">
        <v>0.1</v>
      </c>
      <c r="F2285" s="385" t="s">
        <v>1019</v>
      </c>
      <c r="G2285" s="386" t="str">
        <f>CONCATENATE("DE: ",A2285," ",B2285," ",D2285," mm (emission to ",F2285,")")</f>
        <v>DE: PBS particle 0,01-0,1 mm (emission to soil)</v>
      </c>
      <c r="H2285" s="466">
        <v>0.97</v>
      </c>
      <c r="I2285" s="388" t="s">
        <v>1019</v>
      </c>
      <c r="J2285" s="632">
        <v>0.22800000000000001</v>
      </c>
      <c r="K2285" s="389">
        <v>61.12</v>
      </c>
      <c r="L2285" s="536"/>
      <c r="M2285" s="509">
        <f t="shared" si="6646"/>
        <v>0.20451570680628273</v>
      </c>
      <c r="N2285" s="645">
        <f t="shared" si="6628"/>
        <v>0.25752850058632137</v>
      </c>
      <c r="O2285" s="625"/>
      <c r="P2285" s="628">
        <f t="shared" si="6755"/>
        <v>0.25752850058632137</v>
      </c>
      <c r="Q2285" s="628">
        <f t="shared" si="6654"/>
        <v>0.25752850058632137</v>
      </c>
    </row>
    <row r="2286" spans="1:17" ht="15.75" hidden="1" thickBot="1">
      <c r="A2286" s="390" t="str">
        <f>A2285</f>
        <v>PBS</v>
      </c>
      <c r="B2286" s="391" t="str">
        <f>B2285</f>
        <v>particle</v>
      </c>
      <c r="C2286" s="391">
        <f t="shared" ref="C2286:G2286" si="6772">C2285</f>
        <v>6</v>
      </c>
      <c r="D2286" s="391" t="str">
        <f t="shared" si="6772"/>
        <v>0,01-0,1</v>
      </c>
      <c r="E2286" s="391">
        <f t="shared" si="6772"/>
        <v>0.1</v>
      </c>
      <c r="F2286" s="391" t="str">
        <f t="shared" si="6772"/>
        <v>soil</v>
      </c>
      <c r="G2286" s="392" t="str">
        <f t="shared" si="6772"/>
        <v>DE: PBS particle 0,01-0,1 mm (emission to soil)</v>
      </c>
      <c r="H2286" s="465">
        <v>0</v>
      </c>
      <c r="I2286" s="394" t="s">
        <v>1097</v>
      </c>
      <c r="J2286" s="632"/>
      <c r="K2286" s="395">
        <v>6.34</v>
      </c>
      <c r="L2286" s="537"/>
      <c r="M2286" s="509">
        <f t="shared" si="6646"/>
        <v>1.9716088328075709</v>
      </c>
      <c r="N2286" s="646"/>
      <c r="O2286" s="626"/>
      <c r="P2286" s="629"/>
      <c r="Q2286" s="629"/>
    </row>
    <row r="2287" spans="1:17" ht="15.75" hidden="1" thickBot="1">
      <c r="A2287" s="390" t="str">
        <f t="shared" ref="A2287:G2287" si="6773">A2286</f>
        <v>PBS</v>
      </c>
      <c r="B2287" s="391" t="str">
        <f t="shared" si="6773"/>
        <v>particle</v>
      </c>
      <c r="C2287" s="391">
        <f t="shared" si="6773"/>
        <v>6</v>
      </c>
      <c r="D2287" s="391" t="str">
        <f t="shared" si="6773"/>
        <v>0,01-0,1</v>
      </c>
      <c r="E2287" s="391">
        <f t="shared" si="6773"/>
        <v>0.1</v>
      </c>
      <c r="F2287" s="391" t="str">
        <f t="shared" si="6773"/>
        <v>soil</v>
      </c>
      <c r="G2287" s="392" t="str">
        <f t="shared" si="6773"/>
        <v>DE: PBS particle 0,01-0,1 mm (emission to soil)</v>
      </c>
      <c r="H2287" s="465">
        <v>2.7E-2</v>
      </c>
      <c r="I2287" s="394" t="s">
        <v>1162</v>
      </c>
      <c r="J2287" s="632"/>
      <c r="K2287" s="395">
        <v>6.34</v>
      </c>
      <c r="L2287" s="537"/>
      <c r="M2287" s="509">
        <f t="shared" si="6646"/>
        <v>1.9716088328075709</v>
      </c>
      <c r="N2287" s="646"/>
      <c r="O2287" s="626"/>
      <c r="P2287" s="629"/>
      <c r="Q2287" s="629"/>
    </row>
    <row r="2288" spans="1:17" ht="15.75" hidden="1" thickBot="1">
      <c r="A2288" s="390" t="str">
        <f t="shared" ref="A2288:G2288" si="6774">A2287</f>
        <v>PBS</v>
      </c>
      <c r="B2288" s="391" t="str">
        <f t="shared" si="6774"/>
        <v>particle</v>
      </c>
      <c r="C2288" s="391">
        <f t="shared" si="6774"/>
        <v>6</v>
      </c>
      <c r="D2288" s="391" t="str">
        <f t="shared" si="6774"/>
        <v>0,01-0,1</v>
      </c>
      <c r="E2288" s="391">
        <f t="shared" si="6774"/>
        <v>0.1</v>
      </c>
      <c r="F2288" s="391" t="str">
        <f t="shared" si="6774"/>
        <v>soil</v>
      </c>
      <c r="G2288" s="392" t="str">
        <f t="shared" si="6774"/>
        <v>DE: PBS particle 0,01-0,1 mm (emission to soil)</v>
      </c>
      <c r="H2288" s="465">
        <v>3.0000000000000001E-3</v>
      </c>
      <c r="I2288" s="394" t="s">
        <v>1163</v>
      </c>
      <c r="J2288" s="632"/>
      <c r="K2288" s="395">
        <v>6.34</v>
      </c>
      <c r="L2288" s="537"/>
      <c r="M2288" s="509">
        <f t="shared" si="6646"/>
        <v>1.9716088328075709</v>
      </c>
      <c r="N2288" s="646"/>
      <c r="O2288" s="626"/>
      <c r="P2288" s="629"/>
      <c r="Q2288" s="629"/>
    </row>
    <row r="2289" spans="1:17" ht="15.75" hidden="1" thickBot="1">
      <c r="A2289" s="390" t="str">
        <f>A2286</f>
        <v>PBS</v>
      </c>
      <c r="B2289" s="391" t="str">
        <f>B2286</f>
        <v>particle</v>
      </c>
      <c r="C2289" s="391">
        <f t="shared" ref="C2289" si="6775">C2288</f>
        <v>6</v>
      </c>
      <c r="D2289" s="391" t="str">
        <f>D2286</f>
        <v>0,01-0,1</v>
      </c>
      <c r="E2289" s="391">
        <f>E2286</f>
        <v>0.1</v>
      </c>
      <c r="F2289" s="391" t="str">
        <f>F2286</f>
        <v>soil</v>
      </c>
      <c r="G2289" s="396" t="str">
        <f t="shared" ref="G2289" si="6776">G2288</f>
        <v>DE: PBS particle 0,01-0,1 mm (emission to soil)</v>
      </c>
      <c r="H2289" s="465">
        <v>0</v>
      </c>
      <c r="I2289" s="397" t="s">
        <v>1034</v>
      </c>
      <c r="J2289" s="633"/>
      <c r="K2289" s="398" t="s">
        <v>596</v>
      </c>
      <c r="L2289" s="538"/>
      <c r="M2289" s="509">
        <f t="shared" si="6646"/>
        <v>0</v>
      </c>
      <c r="N2289" s="647"/>
      <c r="O2289" s="627"/>
      <c r="P2289" s="629"/>
      <c r="Q2289" s="629"/>
    </row>
    <row r="2290" spans="1:17" ht="15.75" hidden="1" thickBot="1">
      <c r="A2290" s="390" t="str">
        <f t="shared" ref="A2290:B2290" si="6777">A2287</f>
        <v>PBS</v>
      </c>
      <c r="B2290" s="391" t="str">
        <f t="shared" si="6777"/>
        <v>particle</v>
      </c>
      <c r="C2290" s="391">
        <f t="shared" ref="C2290" si="6778">C2289</f>
        <v>6</v>
      </c>
      <c r="D2290" s="399" t="str">
        <f t="shared" ref="D2290:E2290" si="6779">D2287</f>
        <v>0,01-0,1</v>
      </c>
      <c r="E2290" s="391">
        <f t="shared" si="6779"/>
        <v>0.1</v>
      </c>
      <c r="F2290" s="400" t="s">
        <v>1147</v>
      </c>
      <c r="G2290" s="386" t="str">
        <f>CONCATENATE("DE: ",A2290," ",B2290," ",D2290," mm (emission to ",F2290,")")</f>
        <v>DE: PBS particle 0,01-0,1 mm (emission to fresh water)</v>
      </c>
      <c r="H2290" s="466">
        <v>0</v>
      </c>
      <c r="I2290" s="388" t="s">
        <v>1019</v>
      </c>
      <c r="J2290" s="634">
        <v>0.22800000000000001</v>
      </c>
      <c r="K2290" s="389">
        <v>61.12</v>
      </c>
      <c r="L2290" s="536"/>
      <c r="M2290" s="509">
        <f t="shared" si="6646"/>
        <v>0.20451570680628273</v>
      </c>
      <c r="N2290" s="645">
        <f t="shared" si="6628"/>
        <v>1.9716088328075709</v>
      </c>
      <c r="O2290" s="625"/>
      <c r="P2290" s="628">
        <f t="shared" si="6755"/>
        <v>1.9716088328075709</v>
      </c>
      <c r="Q2290" s="628">
        <f t="shared" ref="Q2290:Q2350" si="6780">IFERROR(IF(H2290*M2290+H2291*M2291+H2292*M2292+H2293*M2293+H2294*M2294&gt;500,500,H2290*M2290+H2291*M2291+H2292*M2292+H2293*M2293+H2294*M2294),"N.A.")</f>
        <v>1.9716088328075709</v>
      </c>
    </row>
    <row r="2291" spans="1:17" ht="15.75" hidden="1" thickBot="1">
      <c r="A2291" s="390" t="str">
        <f t="shared" ref="A2291:B2291" si="6781">A2288</f>
        <v>PBS</v>
      </c>
      <c r="B2291" s="391" t="str">
        <f t="shared" si="6781"/>
        <v>particle</v>
      </c>
      <c r="C2291" s="391">
        <f t="shared" ref="C2291" si="6782">C2290</f>
        <v>6</v>
      </c>
      <c r="D2291" s="391" t="str">
        <f t="shared" ref="D2291:E2291" si="6783">D2288</f>
        <v>0,01-0,1</v>
      </c>
      <c r="E2291" s="391">
        <f t="shared" si="6783"/>
        <v>0.1</v>
      </c>
      <c r="F2291" s="391" t="str">
        <f t="shared" ref="F2291:G2291" si="6784">F2290</f>
        <v>fresh water</v>
      </c>
      <c r="G2291" s="401" t="str">
        <f t="shared" si="6784"/>
        <v>DE: PBS particle 0,01-0,1 mm (emission to fresh water)</v>
      </c>
      <c r="H2291" s="465">
        <v>0</v>
      </c>
      <c r="I2291" s="394" t="s">
        <v>1097</v>
      </c>
      <c r="J2291" s="635"/>
      <c r="K2291" s="389">
        <v>6.34</v>
      </c>
      <c r="L2291" s="536"/>
      <c r="M2291" s="509">
        <f t="shared" si="6646"/>
        <v>1.9716088328075709</v>
      </c>
      <c r="N2291" s="646"/>
      <c r="O2291" s="626"/>
      <c r="P2291" s="629"/>
      <c r="Q2291" s="629"/>
    </row>
    <row r="2292" spans="1:17" ht="15.75" hidden="1" thickBot="1">
      <c r="A2292" s="390" t="str">
        <f t="shared" ref="A2292:B2292" si="6785">A2289</f>
        <v>PBS</v>
      </c>
      <c r="B2292" s="391" t="str">
        <f t="shared" si="6785"/>
        <v>particle</v>
      </c>
      <c r="C2292" s="391">
        <f t="shared" ref="C2292" si="6786">C2291</f>
        <v>6</v>
      </c>
      <c r="D2292" s="391" t="str">
        <f t="shared" ref="D2292:E2292" si="6787">D2289</f>
        <v>0,01-0,1</v>
      </c>
      <c r="E2292" s="391">
        <f t="shared" si="6787"/>
        <v>0.1</v>
      </c>
      <c r="F2292" s="391" t="str">
        <f t="shared" ref="F2292:G2292" si="6788">F2291</f>
        <v>fresh water</v>
      </c>
      <c r="G2292" s="401" t="str">
        <f t="shared" si="6788"/>
        <v>DE: PBS particle 0,01-0,1 mm (emission to fresh water)</v>
      </c>
      <c r="H2292" s="465">
        <v>0.89</v>
      </c>
      <c r="I2292" s="394" t="s">
        <v>1162</v>
      </c>
      <c r="J2292" s="635"/>
      <c r="K2292" s="389">
        <v>6.34</v>
      </c>
      <c r="L2292" s="536"/>
      <c r="M2292" s="509">
        <f t="shared" si="6646"/>
        <v>1.9716088328075709</v>
      </c>
      <c r="N2292" s="646"/>
      <c r="O2292" s="626"/>
      <c r="P2292" s="629"/>
      <c r="Q2292" s="629"/>
    </row>
    <row r="2293" spans="1:17" ht="15.75" hidden="1" thickBot="1">
      <c r="A2293" s="390" t="str">
        <f t="shared" ref="A2293:B2293" si="6789">A2290</f>
        <v>PBS</v>
      </c>
      <c r="B2293" s="391" t="str">
        <f t="shared" si="6789"/>
        <v>particle</v>
      </c>
      <c r="C2293" s="391">
        <f t="shared" ref="C2293" si="6790">C2292</f>
        <v>6</v>
      </c>
      <c r="D2293" s="391" t="str">
        <f t="shared" ref="D2293:E2293" si="6791">D2290</f>
        <v>0,01-0,1</v>
      </c>
      <c r="E2293" s="391">
        <f t="shared" si="6791"/>
        <v>0.1</v>
      </c>
      <c r="F2293" s="391" t="str">
        <f t="shared" ref="F2293:G2293" si="6792">F2292</f>
        <v>fresh water</v>
      </c>
      <c r="G2293" s="401" t="str">
        <f t="shared" si="6792"/>
        <v>DE: PBS particle 0,01-0,1 mm (emission to fresh water)</v>
      </c>
      <c r="H2293" s="465">
        <v>0.11</v>
      </c>
      <c r="I2293" s="394" t="s">
        <v>1163</v>
      </c>
      <c r="J2293" s="635"/>
      <c r="K2293" s="389">
        <v>6.34</v>
      </c>
      <c r="L2293" s="536"/>
      <c r="M2293" s="509">
        <f t="shared" si="6646"/>
        <v>1.9716088328075709</v>
      </c>
      <c r="N2293" s="646"/>
      <c r="O2293" s="626"/>
      <c r="P2293" s="629"/>
      <c r="Q2293" s="629"/>
    </row>
    <row r="2294" spans="1:17" ht="15.75" hidden="1" thickBot="1">
      <c r="A2294" s="390" t="str">
        <f t="shared" ref="A2294:B2294" si="6793">A2291</f>
        <v>PBS</v>
      </c>
      <c r="B2294" s="391" t="str">
        <f t="shared" si="6793"/>
        <v>particle</v>
      </c>
      <c r="C2294" s="391">
        <f t="shared" ref="C2294" si="6794">C2293</f>
        <v>6</v>
      </c>
      <c r="D2294" s="391" t="str">
        <f t="shared" ref="D2294:E2294" si="6795">D2291</f>
        <v>0,01-0,1</v>
      </c>
      <c r="E2294" s="391">
        <f t="shared" si="6795"/>
        <v>0.1</v>
      </c>
      <c r="F2294" s="402" t="str">
        <f>F2291</f>
        <v>fresh water</v>
      </c>
      <c r="G2294" s="401" t="str">
        <f t="shared" ref="G2294" si="6796">G2293</f>
        <v>DE: PBS particle 0,01-0,1 mm (emission to fresh water)</v>
      </c>
      <c r="H2294" s="465">
        <v>0</v>
      </c>
      <c r="I2294" s="397" t="s">
        <v>1034</v>
      </c>
      <c r="J2294" s="654"/>
      <c r="K2294" s="398" t="s">
        <v>596</v>
      </c>
      <c r="L2294" s="538"/>
      <c r="M2294" s="509">
        <f t="shared" si="6646"/>
        <v>0</v>
      </c>
      <c r="N2294" s="647"/>
      <c r="O2294" s="627"/>
      <c r="P2294" s="629"/>
      <c r="Q2294" s="629"/>
    </row>
    <row r="2295" spans="1:17" ht="15.75" hidden="1" thickBot="1">
      <c r="A2295" s="390" t="str">
        <f t="shared" ref="A2295:B2295" si="6797">A2292</f>
        <v>PBS</v>
      </c>
      <c r="B2295" s="391" t="str">
        <f t="shared" si="6797"/>
        <v>particle</v>
      </c>
      <c r="C2295" s="391">
        <f t="shared" ref="C2295" si="6798">C2294</f>
        <v>6</v>
      </c>
      <c r="D2295" s="391" t="str">
        <f t="shared" ref="D2295:E2295" si="6799">D2292</f>
        <v>0,01-0,1</v>
      </c>
      <c r="E2295" s="391">
        <f t="shared" si="6799"/>
        <v>0.1</v>
      </c>
      <c r="F2295" s="385" t="s">
        <v>1097</v>
      </c>
      <c r="G2295" s="422" t="str">
        <f>CONCATENATE("DE: ",A2295," ",B2295," ",D2295," mm (emission to ",F2295,")")</f>
        <v>DE: PBS particle 0,01-0,1 mm (emission to marine water)</v>
      </c>
      <c r="H2295" s="467">
        <v>0</v>
      </c>
      <c r="I2295" s="388" t="s">
        <v>1019</v>
      </c>
      <c r="J2295" s="634">
        <v>0.22800000000000001</v>
      </c>
      <c r="K2295" s="389">
        <v>61.12</v>
      </c>
      <c r="L2295" s="536"/>
      <c r="M2295" s="509">
        <f t="shared" si="6646"/>
        <v>0.20451570680628273</v>
      </c>
      <c r="N2295" s="645">
        <f t="shared" si="6628"/>
        <v>1.9716088328075709</v>
      </c>
      <c r="O2295" s="625"/>
      <c r="P2295" s="628">
        <f t="shared" si="6755"/>
        <v>1.9716088328075709</v>
      </c>
      <c r="Q2295" s="628">
        <f t="shared" si="6780"/>
        <v>1.9716088328075709</v>
      </c>
    </row>
    <row r="2296" spans="1:17" ht="15.75" hidden="1" thickBot="1">
      <c r="A2296" s="390" t="str">
        <f t="shared" ref="A2296:B2296" si="6800">A2293</f>
        <v>PBS</v>
      </c>
      <c r="B2296" s="391" t="str">
        <f t="shared" si="6800"/>
        <v>particle</v>
      </c>
      <c r="C2296" s="391">
        <f t="shared" ref="C2296" si="6801">C2295</f>
        <v>6</v>
      </c>
      <c r="D2296" s="391" t="str">
        <f t="shared" ref="D2296:E2296" si="6802">D2293</f>
        <v>0,01-0,1</v>
      </c>
      <c r="E2296" s="391">
        <f t="shared" si="6802"/>
        <v>0.1</v>
      </c>
      <c r="F2296" s="391" t="str">
        <f t="shared" ref="F2296:G2296" si="6803">F2295</f>
        <v>marine water</v>
      </c>
      <c r="G2296" s="401" t="str">
        <f t="shared" si="6803"/>
        <v>DE: PBS particle 0,01-0,1 mm (emission to marine water)</v>
      </c>
      <c r="H2296" s="465">
        <v>0</v>
      </c>
      <c r="I2296" s="394" t="s">
        <v>1097</v>
      </c>
      <c r="J2296" s="635"/>
      <c r="K2296" s="389">
        <v>6.34</v>
      </c>
      <c r="L2296" s="536"/>
      <c r="M2296" s="509">
        <f t="shared" si="6646"/>
        <v>1.9716088328075709</v>
      </c>
      <c r="N2296" s="646"/>
      <c r="O2296" s="626"/>
      <c r="P2296" s="629"/>
      <c r="Q2296" s="629"/>
    </row>
    <row r="2297" spans="1:17" ht="15.75" hidden="1" thickBot="1">
      <c r="A2297" s="390" t="str">
        <f t="shared" ref="A2297:B2297" si="6804">A2294</f>
        <v>PBS</v>
      </c>
      <c r="B2297" s="391" t="str">
        <f t="shared" si="6804"/>
        <v>particle</v>
      </c>
      <c r="C2297" s="391">
        <f t="shared" ref="C2297" si="6805">C2296</f>
        <v>6</v>
      </c>
      <c r="D2297" s="391" t="str">
        <f t="shared" ref="D2297:E2297" si="6806">D2294</f>
        <v>0,01-0,1</v>
      </c>
      <c r="E2297" s="391">
        <f t="shared" si="6806"/>
        <v>0.1</v>
      </c>
      <c r="F2297" s="391" t="str">
        <f t="shared" ref="F2297:G2297" si="6807">F2296</f>
        <v>marine water</v>
      </c>
      <c r="G2297" s="401" t="str">
        <f t="shared" si="6807"/>
        <v>DE: PBS particle 0,01-0,1 mm (emission to marine water)</v>
      </c>
      <c r="H2297" s="465">
        <v>0</v>
      </c>
      <c r="I2297" s="394" t="s">
        <v>1162</v>
      </c>
      <c r="J2297" s="635"/>
      <c r="K2297" s="389">
        <v>6.34</v>
      </c>
      <c r="L2297" s="536"/>
      <c r="M2297" s="509">
        <f t="shared" si="6646"/>
        <v>1.9716088328075709</v>
      </c>
      <c r="N2297" s="646"/>
      <c r="O2297" s="626"/>
      <c r="P2297" s="629"/>
      <c r="Q2297" s="629"/>
    </row>
    <row r="2298" spans="1:17" ht="15.75" hidden="1" thickBot="1">
      <c r="A2298" s="390" t="str">
        <f t="shared" ref="A2298:B2298" si="6808">A2295</f>
        <v>PBS</v>
      </c>
      <c r="B2298" s="391" t="str">
        <f t="shared" si="6808"/>
        <v>particle</v>
      </c>
      <c r="C2298" s="391">
        <f t="shared" ref="C2298" si="6809">C2297</f>
        <v>6</v>
      </c>
      <c r="D2298" s="391" t="str">
        <f t="shared" ref="D2298:E2298" si="6810">D2295</f>
        <v>0,01-0,1</v>
      </c>
      <c r="E2298" s="391">
        <f t="shared" si="6810"/>
        <v>0.1</v>
      </c>
      <c r="F2298" s="391" t="str">
        <f t="shared" ref="F2298:G2298" si="6811">F2297</f>
        <v>marine water</v>
      </c>
      <c r="G2298" s="401" t="str">
        <f t="shared" si="6811"/>
        <v>DE: PBS particle 0,01-0,1 mm (emission to marine water)</v>
      </c>
      <c r="H2298" s="465">
        <v>1</v>
      </c>
      <c r="I2298" s="394" t="s">
        <v>1163</v>
      </c>
      <c r="J2298" s="635"/>
      <c r="K2298" s="389">
        <v>6.34</v>
      </c>
      <c r="L2298" s="536"/>
      <c r="M2298" s="509">
        <f t="shared" si="6646"/>
        <v>1.9716088328075709</v>
      </c>
      <c r="N2298" s="646"/>
      <c r="O2298" s="626"/>
      <c r="P2298" s="629"/>
      <c r="Q2298" s="629"/>
    </row>
    <row r="2299" spans="1:17" ht="15.75" hidden="1" thickBot="1">
      <c r="A2299" s="390" t="str">
        <f t="shared" ref="A2299:B2299" si="6812">A2296</f>
        <v>PBS</v>
      </c>
      <c r="B2299" s="391" t="str">
        <f t="shared" si="6812"/>
        <v>particle</v>
      </c>
      <c r="C2299" s="391">
        <f t="shared" ref="C2299" si="6813">C2298</f>
        <v>6</v>
      </c>
      <c r="D2299" s="391" t="str">
        <f t="shared" ref="D2299:E2299" si="6814">D2296</f>
        <v>0,01-0,1</v>
      </c>
      <c r="E2299" s="391">
        <f t="shared" si="6814"/>
        <v>0.1</v>
      </c>
      <c r="F2299" s="391" t="str">
        <f t="shared" ref="F2299:G2299" si="6815">F2298</f>
        <v>marine water</v>
      </c>
      <c r="G2299" s="401" t="str">
        <f t="shared" si="6815"/>
        <v>DE: PBS particle 0,01-0,1 mm (emission to marine water)</v>
      </c>
      <c r="H2299" s="465">
        <v>0</v>
      </c>
      <c r="I2299" s="397" t="s">
        <v>1034</v>
      </c>
      <c r="J2299" s="654"/>
      <c r="K2299" s="398" t="s">
        <v>596</v>
      </c>
      <c r="L2299" s="538"/>
      <c r="M2299" s="509">
        <f t="shared" si="6646"/>
        <v>0</v>
      </c>
      <c r="N2299" s="647"/>
      <c r="O2299" s="627"/>
      <c r="P2299" s="629"/>
      <c r="Q2299" s="629"/>
    </row>
    <row r="2300" spans="1:17" ht="15.75" hidden="1" thickBot="1">
      <c r="A2300" s="390" t="str">
        <f t="shared" ref="A2300:B2300" si="6816">A2297</f>
        <v>PBS</v>
      </c>
      <c r="B2300" s="391" t="str">
        <f t="shared" si="6816"/>
        <v>particle</v>
      </c>
      <c r="C2300" s="391">
        <f t="shared" ref="C2300" si="6817">C2299</f>
        <v>6</v>
      </c>
      <c r="D2300" s="391" t="str">
        <f t="shared" ref="D2300:E2300" si="6818">D2297</f>
        <v>0,01-0,1</v>
      </c>
      <c r="E2300" s="391">
        <f t="shared" si="6818"/>
        <v>0.1</v>
      </c>
      <c r="F2300" s="400" t="s">
        <v>1057</v>
      </c>
      <c r="G2300" s="422" t="str">
        <f>CONCATENATE("DE: ",A2300," ",B2300," ",D2300," mm (emission to ",F2300,")")</f>
        <v>DE: PBS particle 0,01-0,1 mm (emission to air)</v>
      </c>
      <c r="H2300" s="467">
        <v>0.94799999999999995</v>
      </c>
      <c r="I2300" s="388" t="s">
        <v>1019</v>
      </c>
      <c r="J2300" s="634">
        <v>0.22800000000000001</v>
      </c>
      <c r="K2300" s="389">
        <v>61.12</v>
      </c>
      <c r="L2300" s="536"/>
      <c r="M2300" s="509">
        <f t="shared" si="6646"/>
        <v>0.20451570680628273</v>
      </c>
      <c r="N2300" s="645">
        <f t="shared" si="6628"/>
        <v>0.2964045493583497</v>
      </c>
      <c r="O2300" s="625"/>
      <c r="P2300" s="628">
        <f t="shared" si="6755"/>
        <v>0.2964045493583497</v>
      </c>
      <c r="Q2300" s="628">
        <f t="shared" si="6780"/>
        <v>0.2964045493583497</v>
      </c>
    </row>
    <row r="2301" spans="1:17" ht="15.75" hidden="1" thickBot="1">
      <c r="A2301" s="390" t="str">
        <f t="shared" ref="A2301:B2301" si="6819">A2298</f>
        <v>PBS</v>
      </c>
      <c r="B2301" s="391" t="str">
        <f t="shared" si="6819"/>
        <v>particle</v>
      </c>
      <c r="C2301" s="391">
        <f t="shared" ref="C2301" si="6820">C2300</f>
        <v>6</v>
      </c>
      <c r="D2301" s="391" t="str">
        <f t="shared" ref="D2301:E2301" si="6821">D2298</f>
        <v>0,01-0,1</v>
      </c>
      <c r="E2301" s="391">
        <f t="shared" si="6821"/>
        <v>0.1</v>
      </c>
      <c r="F2301" s="391" t="str">
        <f t="shared" ref="F2301:G2301" si="6822">F2300</f>
        <v>air</v>
      </c>
      <c r="G2301" s="401" t="str">
        <f t="shared" si="6822"/>
        <v>DE: PBS particle 0,01-0,1 mm (emission to air)</v>
      </c>
      <c r="H2301" s="465">
        <v>0</v>
      </c>
      <c r="I2301" s="394" t="s">
        <v>1097</v>
      </c>
      <c r="J2301" s="635"/>
      <c r="K2301" s="389">
        <v>6.34</v>
      </c>
      <c r="L2301" s="536"/>
      <c r="M2301" s="509">
        <f t="shared" si="6646"/>
        <v>1.9716088328075709</v>
      </c>
      <c r="N2301" s="646"/>
      <c r="O2301" s="626"/>
      <c r="P2301" s="629"/>
      <c r="Q2301" s="629"/>
    </row>
    <row r="2302" spans="1:17" ht="15.75" hidden="1" thickBot="1">
      <c r="A2302" s="390" t="str">
        <f t="shared" ref="A2302:B2302" si="6823">A2299</f>
        <v>PBS</v>
      </c>
      <c r="B2302" s="391" t="str">
        <f t="shared" si="6823"/>
        <v>particle</v>
      </c>
      <c r="C2302" s="391">
        <f t="shared" ref="C2302" si="6824">C2301</f>
        <v>6</v>
      </c>
      <c r="D2302" s="391" t="str">
        <f t="shared" ref="D2302:E2302" si="6825">D2299</f>
        <v>0,01-0,1</v>
      </c>
      <c r="E2302" s="391">
        <f t="shared" si="6825"/>
        <v>0.1</v>
      </c>
      <c r="F2302" s="391" t="str">
        <f t="shared" ref="F2302:G2302" si="6826">F2301</f>
        <v>air</v>
      </c>
      <c r="G2302" s="401" t="str">
        <f t="shared" si="6826"/>
        <v>DE: PBS particle 0,01-0,1 mm (emission to air)</v>
      </c>
      <c r="H2302" s="465">
        <v>4.7E-2</v>
      </c>
      <c r="I2302" s="394" t="s">
        <v>1162</v>
      </c>
      <c r="J2302" s="635"/>
      <c r="K2302" s="389">
        <v>6.34</v>
      </c>
      <c r="L2302" s="536"/>
      <c r="M2302" s="509">
        <f t="shared" si="6646"/>
        <v>1.9716088328075709</v>
      </c>
      <c r="N2302" s="646"/>
      <c r="O2302" s="626"/>
      <c r="P2302" s="629"/>
      <c r="Q2302" s="629"/>
    </row>
    <row r="2303" spans="1:17" ht="15.75" hidden="1" thickBot="1">
      <c r="A2303" s="390" t="str">
        <f t="shared" ref="A2303:B2303" si="6827">A2300</f>
        <v>PBS</v>
      </c>
      <c r="B2303" s="391" t="str">
        <f t="shared" si="6827"/>
        <v>particle</v>
      </c>
      <c r="C2303" s="391">
        <f t="shared" ref="C2303" si="6828">C2302</f>
        <v>6</v>
      </c>
      <c r="D2303" s="391" t="str">
        <f t="shared" ref="D2303:E2303" si="6829">D2300</f>
        <v>0,01-0,1</v>
      </c>
      <c r="E2303" s="391">
        <f t="shared" si="6829"/>
        <v>0.1</v>
      </c>
      <c r="F2303" s="391" t="str">
        <f t="shared" ref="F2303:G2303" si="6830">F2302</f>
        <v>air</v>
      </c>
      <c r="G2303" s="401" t="str">
        <f t="shared" si="6830"/>
        <v>DE: PBS particle 0,01-0,1 mm (emission to air)</v>
      </c>
      <c r="H2303" s="465">
        <v>5.0000000000000001E-3</v>
      </c>
      <c r="I2303" s="394" t="s">
        <v>1163</v>
      </c>
      <c r="J2303" s="635"/>
      <c r="K2303" s="389">
        <v>6.34</v>
      </c>
      <c r="L2303" s="536"/>
      <c r="M2303" s="509">
        <f t="shared" si="6646"/>
        <v>1.9716088328075709</v>
      </c>
      <c r="N2303" s="646"/>
      <c r="O2303" s="626"/>
      <c r="P2303" s="629"/>
      <c r="Q2303" s="629"/>
    </row>
    <row r="2304" spans="1:17" ht="15.75" hidden="1" thickBot="1">
      <c r="A2304" s="390" t="str">
        <f t="shared" ref="A2304:B2304" si="6831">A2299</f>
        <v>PBS</v>
      </c>
      <c r="B2304" s="391" t="str">
        <f t="shared" si="6831"/>
        <v>particle</v>
      </c>
      <c r="C2304" s="391">
        <f t="shared" ref="C2304" si="6832">C2303</f>
        <v>6</v>
      </c>
      <c r="D2304" s="391" t="str">
        <f t="shared" ref="D2304:E2304" si="6833">D2299</f>
        <v>0,01-0,1</v>
      </c>
      <c r="E2304" s="391">
        <f t="shared" si="6833"/>
        <v>0.1</v>
      </c>
      <c r="F2304" s="391" t="str">
        <f t="shared" ref="F2304:G2304" si="6834">F2303</f>
        <v>air</v>
      </c>
      <c r="G2304" s="401" t="str">
        <f t="shared" si="6834"/>
        <v>DE: PBS particle 0,01-0,1 mm (emission to air)</v>
      </c>
      <c r="H2304" s="471">
        <v>0</v>
      </c>
      <c r="I2304" s="422" t="s">
        <v>1034</v>
      </c>
      <c r="J2304" s="636"/>
      <c r="K2304" s="451" t="s">
        <v>596</v>
      </c>
      <c r="L2304" s="542"/>
      <c r="M2304" s="509">
        <f t="shared" si="6646"/>
        <v>0</v>
      </c>
      <c r="N2304" s="647"/>
      <c r="O2304" s="627"/>
      <c r="P2304" s="629"/>
      <c r="Q2304" s="629"/>
    </row>
    <row r="2305" spans="1:17" ht="15.75" hidden="1" thickBot="1">
      <c r="A2305" s="405" t="s">
        <v>42</v>
      </c>
      <c r="B2305" s="406" t="s">
        <v>1152</v>
      </c>
      <c r="C2305" s="407">
        <v>6</v>
      </c>
      <c r="D2305" s="423" t="s">
        <v>1028</v>
      </c>
      <c r="E2305" s="408">
        <v>1</v>
      </c>
      <c r="F2305" s="424" t="s">
        <v>1019</v>
      </c>
      <c r="G2305" s="425" t="str">
        <f>CONCATENATE("DE: ",A2305," ",B2305," ",D2305," mm (emission to ",F2305,")")</f>
        <v>DE: PBS particle 0,1-1 mm (emission to soil)</v>
      </c>
      <c r="H2305" s="474">
        <v>0.97</v>
      </c>
      <c r="I2305" s="427" t="s">
        <v>1019</v>
      </c>
      <c r="J2305" s="632">
        <v>0.22800000000000001</v>
      </c>
      <c r="K2305" s="428">
        <v>61.12</v>
      </c>
      <c r="L2305" s="539"/>
      <c r="M2305" s="509">
        <f t="shared" si="6646"/>
        <v>2.0451570680628275</v>
      </c>
      <c r="N2305" s="645">
        <f t="shared" ref="N2305:N2365" si="6835">IFERROR(H2305*M2305+H2306*M2306+H2307*M2307+H2308*M2308+H2309*M2309,"N.A.")</f>
        <v>2.575285005863214</v>
      </c>
      <c r="O2305" s="625"/>
      <c r="P2305" s="628">
        <f t="shared" si="6755"/>
        <v>2.575285005863214</v>
      </c>
      <c r="Q2305" s="628">
        <f t="shared" si="6780"/>
        <v>2.575285005863214</v>
      </c>
    </row>
    <row r="2306" spans="1:17" ht="15.75" hidden="1" thickBot="1">
      <c r="A2306" s="390" t="str">
        <f>A2305</f>
        <v>PBS</v>
      </c>
      <c r="B2306" s="391" t="str">
        <f>B2305</f>
        <v>particle</v>
      </c>
      <c r="C2306" s="391">
        <f t="shared" ref="C2306:G2306" si="6836">C2305</f>
        <v>6</v>
      </c>
      <c r="D2306" s="391" t="str">
        <f t="shared" si="6836"/>
        <v>0,1-1</v>
      </c>
      <c r="E2306" s="391">
        <f t="shared" si="6836"/>
        <v>1</v>
      </c>
      <c r="F2306" s="391" t="str">
        <f t="shared" si="6836"/>
        <v>soil</v>
      </c>
      <c r="G2306" s="392" t="str">
        <f t="shared" si="6836"/>
        <v>DE: PBS particle 0,1-1 mm (emission to soil)</v>
      </c>
      <c r="H2306" s="465">
        <v>0</v>
      </c>
      <c r="I2306" s="394" t="s">
        <v>1097</v>
      </c>
      <c r="J2306" s="632"/>
      <c r="K2306" s="395">
        <v>6.34</v>
      </c>
      <c r="L2306" s="537"/>
      <c r="M2306" s="509">
        <f t="shared" si="6646"/>
        <v>19.71608832807571</v>
      </c>
      <c r="N2306" s="646"/>
      <c r="O2306" s="626"/>
      <c r="P2306" s="629"/>
      <c r="Q2306" s="629"/>
    </row>
    <row r="2307" spans="1:17" ht="15.75" hidden="1" thickBot="1">
      <c r="A2307" s="390" t="str">
        <f t="shared" ref="A2307:G2307" si="6837">A2306</f>
        <v>PBS</v>
      </c>
      <c r="B2307" s="391" t="str">
        <f t="shared" si="6837"/>
        <v>particle</v>
      </c>
      <c r="C2307" s="391">
        <f t="shared" si="6837"/>
        <v>6</v>
      </c>
      <c r="D2307" s="391" t="str">
        <f t="shared" si="6837"/>
        <v>0,1-1</v>
      </c>
      <c r="E2307" s="391">
        <f t="shared" si="6837"/>
        <v>1</v>
      </c>
      <c r="F2307" s="391" t="str">
        <f t="shared" si="6837"/>
        <v>soil</v>
      </c>
      <c r="G2307" s="392" t="str">
        <f t="shared" si="6837"/>
        <v>DE: PBS particle 0,1-1 mm (emission to soil)</v>
      </c>
      <c r="H2307" s="465">
        <v>2.7E-2</v>
      </c>
      <c r="I2307" s="394" t="s">
        <v>1162</v>
      </c>
      <c r="J2307" s="632"/>
      <c r="K2307" s="395">
        <v>6.34</v>
      </c>
      <c r="L2307" s="537"/>
      <c r="M2307" s="509">
        <f t="shared" si="6646"/>
        <v>19.71608832807571</v>
      </c>
      <c r="N2307" s="646"/>
      <c r="O2307" s="626"/>
      <c r="P2307" s="629"/>
      <c r="Q2307" s="629"/>
    </row>
    <row r="2308" spans="1:17" ht="15.75" hidden="1" thickBot="1">
      <c r="A2308" s="390" t="str">
        <f t="shared" ref="A2308:G2308" si="6838">A2307</f>
        <v>PBS</v>
      </c>
      <c r="B2308" s="391" t="str">
        <f t="shared" si="6838"/>
        <v>particle</v>
      </c>
      <c r="C2308" s="391">
        <f t="shared" si="6838"/>
        <v>6</v>
      </c>
      <c r="D2308" s="391" t="str">
        <f t="shared" si="6838"/>
        <v>0,1-1</v>
      </c>
      <c r="E2308" s="391">
        <f t="shared" si="6838"/>
        <v>1</v>
      </c>
      <c r="F2308" s="391" t="str">
        <f t="shared" si="6838"/>
        <v>soil</v>
      </c>
      <c r="G2308" s="392" t="str">
        <f t="shared" si="6838"/>
        <v>DE: PBS particle 0,1-1 mm (emission to soil)</v>
      </c>
      <c r="H2308" s="465">
        <v>3.0000000000000001E-3</v>
      </c>
      <c r="I2308" s="394" t="s">
        <v>1163</v>
      </c>
      <c r="J2308" s="632"/>
      <c r="K2308" s="395">
        <v>6.34</v>
      </c>
      <c r="L2308" s="537"/>
      <c r="M2308" s="509">
        <f t="shared" si="6646"/>
        <v>19.71608832807571</v>
      </c>
      <c r="N2308" s="646"/>
      <c r="O2308" s="626"/>
      <c r="P2308" s="629"/>
      <c r="Q2308" s="629"/>
    </row>
    <row r="2309" spans="1:17" ht="15.75" hidden="1" thickBot="1">
      <c r="A2309" s="390" t="str">
        <f>A2306</f>
        <v>PBS</v>
      </c>
      <c r="B2309" s="391" t="str">
        <f>B2306</f>
        <v>particle</v>
      </c>
      <c r="C2309" s="391">
        <f t="shared" ref="C2309" si="6839">C2308</f>
        <v>6</v>
      </c>
      <c r="D2309" s="391" t="str">
        <f>D2306</f>
        <v>0,1-1</v>
      </c>
      <c r="E2309" s="391">
        <f>E2306</f>
        <v>1</v>
      </c>
      <c r="F2309" s="391" t="str">
        <f>F2306</f>
        <v>soil</v>
      </c>
      <c r="G2309" s="396" t="str">
        <f t="shared" ref="G2309" si="6840">G2308</f>
        <v>DE: PBS particle 0,1-1 mm (emission to soil)</v>
      </c>
      <c r="H2309" s="465">
        <v>0</v>
      </c>
      <c r="I2309" s="397" t="s">
        <v>1034</v>
      </c>
      <c r="J2309" s="633"/>
      <c r="K2309" s="398" t="s">
        <v>596</v>
      </c>
      <c r="L2309" s="538"/>
      <c r="M2309" s="509">
        <f t="shared" si="6646"/>
        <v>0</v>
      </c>
      <c r="N2309" s="647"/>
      <c r="O2309" s="627"/>
      <c r="P2309" s="629"/>
      <c r="Q2309" s="629"/>
    </row>
    <row r="2310" spans="1:17" ht="15.75" hidden="1" thickBot="1">
      <c r="A2310" s="390" t="str">
        <f t="shared" ref="A2310:B2310" si="6841">A2307</f>
        <v>PBS</v>
      </c>
      <c r="B2310" s="391" t="str">
        <f t="shared" si="6841"/>
        <v>particle</v>
      </c>
      <c r="C2310" s="391">
        <f t="shared" ref="C2310" si="6842">C2309</f>
        <v>6</v>
      </c>
      <c r="D2310" s="399" t="str">
        <f t="shared" ref="D2310:E2310" si="6843">D2307</f>
        <v>0,1-1</v>
      </c>
      <c r="E2310" s="391">
        <f t="shared" si="6843"/>
        <v>1</v>
      </c>
      <c r="F2310" s="400" t="s">
        <v>1147</v>
      </c>
      <c r="G2310" s="386" t="str">
        <f>CONCATENATE("DE: ",A2310," ",B2310," ",D2310," mm (emission to ",F2310,")")</f>
        <v>DE: PBS particle 0,1-1 mm (emission to fresh water)</v>
      </c>
      <c r="H2310" s="466">
        <v>0</v>
      </c>
      <c r="I2310" s="388" t="s">
        <v>1019</v>
      </c>
      <c r="J2310" s="634">
        <v>0.22800000000000001</v>
      </c>
      <c r="K2310" s="389">
        <v>61.12</v>
      </c>
      <c r="L2310" s="536"/>
      <c r="M2310" s="509">
        <f t="shared" ref="M2310:M2373" si="6844">IFERROR(IF(K2310="--",0,IF(E2310*1000/K2310*(1-0.5)^(C2310/2)&gt;1000,1000,E2310*1000/K2310*(1-0.5)^(C2310/2))),1000)</f>
        <v>2.0451570680628275</v>
      </c>
      <c r="N2310" s="645">
        <f t="shared" si="6835"/>
        <v>19.71608832807571</v>
      </c>
      <c r="O2310" s="625"/>
      <c r="P2310" s="628">
        <f t="shared" si="6755"/>
        <v>19.71608832807571</v>
      </c>
      <c r="Q2310" s="628">
        <f t="shared" si="6780"/>
        <v>19.71608832807571</v>
      </c>
    </row>
    <row r="2311" spans="1:17" ht="15.75" hidden="1" thickBot="1">
      <c r="A2311" s="390" t="str">
        <f t="shared" ref="A2311:B2311" si="6845">A2308</f>
        <v>PBS</v>
      </c>
      <c r="B2311" s="391" t="str">
        <f t="shared" si="6845"/>
        <v>particle</v>
      </c>
      <c r="C2311" s="391">
        <f t="shared" ref="C2311" si="6846">C2310</f>
        <v>6</v>
      </c>
      <c r="D2311" s="391" t="str">
        <f t="shared" ref="D2311:E2311" si="6847">D2308</f>
        <v>0,1-1</v>
      </c>
      <c r="E2311" s="391">
        <f t="shared" si="6847"/>
        <v>1</v>
      </c>
      <c r="F2311" s="391" t="str">
        <f t="shared" ref="F2311:G2311" si="6848">F2310</f>
        <v>fresh water</v>
      </c>
      <c r="G2311" s="401" t="str">
        <f t="shared" si="6848"/>
        <v>DE: PBS particle 0,1-1 mm (emission to fresh water)</v>
      </c>
      <c r="H2311" s="465">
        <v>0</v>
      </c>
      <c r="I2311" s="394" t="s">
        <v>1097</v>
      </c>
      <c r="J2311" s="635"/>
      <c r="K2311" s="389">
        <v>6.34</v>
      </c>
      <c r="L2311" s="536"/>
      <c r="M2311" s="509">
        <f t="shared" si="6844"/>
        <v>19.71608832807571</v>
      </c>
      <c r="N2311" s="646"/>
      <c r="O2311" s="626"/>
      <c r="P2311" s="629"/>
      <c r="Q2311" s="629"/>
    </row>
    <row r="2312" spans="1:17" ht="15.75" hidden="1" thickBot="1">
      <c r="A2312" s="390" t="str">
        <f t="shared" ref="A2312:B2312" si="6849">A2309</f>
        <v>PBS</v>
      </c>
      <c r="B2312" s="391" t="str">
        <f t="shared" si="6849"/>
        <v>particle</v>
      </c>
      <c r="C2312" s="391">
        <f t="shared" ref="C2312" si="6850">C2311</f>
        <v>6</v>
      </c>
      <c r="D2312" s="391" t="str">
        <f t="shared" ref="D2312:E2312" si="6851">D2309</f>
        <v>0,1-1</v>
      </c>
      <c r="E2312" s="391">
        <f t="shared" si="6851"/>
        <v>1</v>
      </c>
      <c r="F2312" s="391" t="str">
        <f t="shared" ref="F2312:G2312" si="6852">F2311</f>
        <v>fresh water</v>
      </c>
      <c r="G2312" s="401" t="str">
        <f t="shared" si="6852"/>
        <v>DE: PBS particle 0,1-1 mm (emission to fresh water)</v>
      </c>
      <c r="H2312" s="465">
        <v>0.89</v>
      </c>
      <c r="I2312" s="394" t="s">
        <v>1162</v>
      </c>
      <c r="J2312" s="635"/>
      <c r="K2312" s="389">
        <v>6.34</v>
      </c>
      <c r="L2312" s="536"/>
      <c r="M2312" s="509">
        <f t="shared" si="6844"/>
        <v>19.71608832807571</v>
      </c>
      <c r="N2312" s="646"/>
      <c r="O2312" s="626"/>
      <c r="P2312" s="629"/>
      <c r="Q2312" s="629"/>
    </row>
    <row r="2313" spans="1:17" ht="15.75" hidden="1" thickBot="1">
      <c r="A2313" s="390" t="str">
        <f t="shared" ref="A2313:B2313" si="6853">A2310</f>
        <v>PBS</v>
      </c>
      <c r="B2313" s="391" t="str">
        <f t="shared" si="6853"/>
        <v>particle</v>
      </c>
      <c r="C2313" s="391">
        <f t="shared" ref="C2313" si="6854">C2312</f>
        <v>6</v>
      </c>
      <c r="D2313" s="391" t="str">
        <f t="shared" ref="D2313:E2313" si="6855">D2310</f>
        <v>0,1-1</v>
      </c>
      <c r="E2313" s="391">
        <f t="shared" si="6855"/>
        <v>1</v>
      </c>
      <c r="F2313" s="391" t="str">
        <f t="shared" ref="F2313:G2313" si="6856">F2312</f>
        <v>fresh water</v>
      </c>
      <c r="G2313" s="401" t="str">
        <f t="shared" si="6856"/>
        <v>DE: PBS particle 0,1-1 mm (emission to fresh water)</v>
      </c>
      <c r="H2313" s="465">
        <v>0.11</v>
      </c>
      <c r="I2313" s="394" t="s">
        <v>1163</v>
      </c>
      <c r="J2313" s="635"/>
      <c r="K2313" s="389">
        <v>6.34</v>
      </c>
      <c r="L2313" s="536"/>
      <c r="M2313" s="509">
        <f t="shared" si="6844"/>
        <v>19.71608832807571</v>
      </c>
      <c r="N2313" s="646"/>
      <c r="O2313" s="626"/>
      <c r="P2313" s="629"/>
      <c r="Q2313" s="629"/>
    </row>
    <row r="2314" spans="1:17" ht="15.75" hidden="1" thickBot="1">
      <c r="A2314" s="390" t="str">
        <f t="shared" ref="A2314:B2314" si="6857">A2311</f>
        <v>PBS</v>
      </c>
      <c r="B2314" s="391" t="str">
        <f t="shared" si="6857"/>
        <v>particle</v>
      </c>
      <c r="C2314" s="391">
        <f t="shared" ref="C2314" si="6858">C2313</f>
        <v>6</v>
      </c>
      <c r="D2314" s="391" t="str">
        <f t="shared" ref="D2314:E2314" si="6859">D2311</f>
        <v>0,1-1</v>
      </c>
      <c r="E2314" s="391">
        <f t="shared" si="6859"/>
        <v>1</v>
      </c>
      <c r="F2314" s="402" t="str">
        <f>F2311</f>
        <v>fresh water</v>
      </c>
      <c r="G2314" s="401" t="str">
        <f t="shared" ref="G2314" si="6860">G2313</f>
        <v>DE: PBS particle 0,1-1 mm (emission to fresh water)</v>
      </c>
      <c r="H2314" s="465">
        <v>0</v>
      </c>
      <c r="I2314" s="397" t="s">
        <v>1034</v>
      </c>
      <c r="J2314" s="654"/>
      <c r="K2314" s="398" t="s">
        <v>596</v>
      </c>
      <c r="L2314" s="538"/>
      <c r="M2314" s="509">
        <f t="shared" si="6844"/>
        <v>0</v>
      </c>
      <c r="N2314" s="647"/>
      <c r="O2314" s="627"/>
      <c r="P2314" s="629"/>
      <c r="Q2314" s="629"/>
    </row>
    <row r="2315" spans="1:17" ht="15.75" hidden="1" thickBot="1">
      <c r="A2315" s="390" t="str">
        <f t="shared" ref="A2315:B2315" si="6861">A2312</f>
        <v>PBS</v>
      </c>
      <c r="B2315" s="391" t="str">
        <f t="shared" si="6861"/>
        <v>particle</v>
      </c>
      <c r="C2315" s="391">
        <f t="shared" ref="C2315" si="6862">C2314</f>
        <v>6</v>
      </c>
      <c r="D2315" s="391" t="str">
        <f t="shared" ref="D2315:E2315" si="6863">D2312</f>
        <v>0,1-1</v>
      </c>
      <c r="E2315" s="391">
        <f t="shared" si="6863"/>
        <v>1</v>
      </c>
      <c r="F2315" s="385" t="s">
        <v>1097</v>
      </c>
      <c r="G2315" s="422" t="str">
        <f>CONCATENATE("DE: ",A2315," ",B2315," ",D2315," mm (emission to ",F2315,")")</f>
        <v>DE: PBS particle 0,1-1 mm (emission to marine water)</v>
      </c>
      <c r="H2315" s="467">
        <v>0</v>
      </c>
      <c r="I2315" s="388" t="s">
        <v>1019</v>
      </c>
      <c r="J2315" s="634">
        <v>0.22800000000000001</v>
      </c>
      <c r="K2315" s="389">
        <v>61.12</v>
      </c>
      <c r="L2315" s="536"/>
      <c r="M2315" s="509">
        <f t="shared" si="6844"/>
        <v>2.0451570680628275</v>
      </c>
      <c r="N2315" s="645">
        <f t="shared" si="6835"/>
        <v>19.71608832807571</v>
      </c>
      <c r="O2315" s="625"/>
      <c r="P2315" s="628">
        <f t="shared" si="6755"/>
        <v>19.71608832807571</v>
      </c>
      <c r="Q2315" s="628">
        <f t="shared" si="6780"/>
        <v>19.71608832807571</v>
      </c>
    </row>
    <row r="2316" spans="1:17" ht="15.75" hidden="1" thickBot="1">
      <c r="A2316" s="390" t="str">
        <f t="shared" ref="A2316:B2316" si="6864">A2313</f>
        <v>PBS</v>
      </c>
      <c r="B2316" s="391" t="str">
        <f t="shared" si="6864"/>
        <v>particle</v>
      </c>
      <c r="C2316" s="391">
        <f t="shared" ref="C2316" si="6865">C2315</f>
        <v>6</v>
      </c>
      <c r="D2316" s="391" t="str">
        <f t="shared" ref="D2316:E2316" si="6866">D2313</f>
        <v>0,1-1</v>
      </c>
      <c r="E2316" s="391">
        <f t="shared" si="6866"/>
        <v>1</v>
      </c>
      <c r="F2316" s="391" t="str">
        <f t="shared" ref="F2316:G2316" si="6867">F2315</f>
        <v>marine water</v>
      </c>
      <c r="G2316" s="401" t="str">
        <f t="shared" si="6867"/>
        <v>DE: PBS particle 0,1-1 mm (emission to marine water)</v>
      </c>
      <c r="H2316" s="465">
        <v>0</v>
      </c>
      <c r="I2316" s="394" t="s">
        <v>1097</v>
      </c>
      <c r="J2316" s="635"/>
      <c r="K2316" s="389">
        <v>6.34</v>
      </c>
      <c r="L2316" s="536"/>
      <c r="M2316" s="509">
        <f t="shared" si="6844"/>
        <v>19.71608832807571</v>
      </c>
      <c r="N2316" s="646"/>
      <c r="O2316" s="626"/>
      <c r="P2316" s="629"/>
      <c r="Q2316" s="629"/>
    </row>
    <row r="2317" spans="1:17" ht="15.75" hidden="1" thickBot="1">
      <c r="A2317" s="390" t="str">
        <f t="shared" ref="A2317:B2317" si="6868">A2314</f>
        <v>PBS</v>
      </c>
      <c r="B2317" s="391" t="str">
        <f t="shared" si="6868"/>
        <v>particle</v>
      </c>
      <c r="C2317" s="391">
        <f t="shared" ref="C2317" si="6869">C2316</f>
        <v>6</v>
      </c>
      <c r="D2317" s="391" t="str">
        <f t="shared" ref="D2317:E2317" si="6870">D2314</f>
        <v>0,1-1</v>
      </c>
      <c r="E2317" s="391">
        <f t="shared" si="6870"/>
        <v>1</v>
      </c>
      <c r="F2317" s="391" t="str">
        <f t="shared" ref="F2317:G2317" si="6871">F2316</f>
        <v>marine water</v>
      </c>
      <c r="G2317" s="401" t="str">
        <f t="shared" si="6871"/>
        <v>DE: PBS particle 0,1-1 mm (emission to marine water)</v>
      </c>
      <c r="H2317" s="465">
        <v>0</v>
      </c>
      <c r="I2317" s="394" t="s">
        <v>1162</v>
      </c>
      <c r="J2317" s="635"/>
      <c r="K2317" s="389">
        <v>6.34</v>
      </c>
      <c r="L2317" s="536"/>
      <c r="M2317" s="509">
        <f t="shared" si="6844"/>
        <v>19.71608832807571</v>
      </c>
      <c r="N2317" s="646"/>
      <c r="O2317" s="626"/>
      <c r="P2317" s="629"/>
      <c r="Q2317" s="629"/>
    </row>
    <row r="2318" spans="1:17" ht="15.75" hidden="1" thickBot="1">
      <c r="A2318" s="390" t="str">
        <f t="shared" ref="A2318:B2318" si="6872">A2315</f>
        <v>PBS</v>
      </c>
      <c r="B2318" s="391" t="str">
        <f t="shared" si="6872"/>
        <v>particle</v>
      </c>
      <c r="C2318" s="391">
        <f t="shared" ref="C2318" si="6873">C2317</f>
        <v>6</v>
      </c>
      <c r="D2318" s="391" t="str">
        <f t="shared" ref="D2318:E2318" si="6874">D2315</f>
        <v>0,1-1</v>
      </c>
      <c r="E2318" s="391">
        <f t="shared" si="6874"/>
        <v>1</v>
      </c>
      <c r="F2318" s="391" t="str">
        <f t="shared" ref="F2318:G2318" si="6875">F2317</f>
        <v>marine water</v>
      </c>
      <c r="G2318" s="401" t="str">
        <f t="shared" si="6875"/>
        <v>DE: PBS particle 0,1-1 mm (emission to marine water)</v>
      </c>
      <c r="H2318" s="465">
        <v>1</v>
      </c>
      <c r="I2318" s="394" t="s">
        <v>1163</v>
      </c>
      <c r="J2318" s="635"/>
      <c r="K2318" s="389">
        <v>6.34</v>
      </c>
      <c r="L2318" s="536"/>
      <c r="M2318" s="509">
        <f t="shared" si="6844"/>
        <v>19.71608832807571</v>
      </c>
      <c r="N2318" s="646"/>
      <c r="O2318" s="626"/>
      <c r="P2318" s="629"/>
      <c r="Q2318" s="629"/>
    </row>
    <row r="2319" spans="1:17" ht="15.75" hidden="1" thickBot="1">
      <c r="A2319" s="390" t="str">
        <f t="shared" ref="A2319:B2319" si="6876">A2316</f>
        <v>PBS</v>
      </c>
      <c r="B2319" s="391" t="str">
        <f t="shared" si="6876"/>
        <v>particle</v>
      </c>
      <c r="C2319" s="391">
        <f t="shared" ref="C2319" si="6877">C2318</f>
        <v>6</v>
      </c>
      <c r="D2319" s="391" t="str">
        <f t="shared" ref="D2319:E2319" si="6878">D2316</f>
        <v>0,1-1</v>
      </c>
      <c r="E2319" s="391">
        <f t="shared" si="6878"/>
        <v>1</v>
      </c>
      <c r="F2319" s="391" t="str">
        <f t="shared" ref="F2319:G2319" si="6879">F2318</f>
        <v>marine water</v>
      </c>
      <c r="G2319" s="401" t="str">
        <f t="shared" si="6879"/>
        <v>DE: PBS particle 0,1-1 mm (emission to marine water)</v>
      </c>
      <c r="H2319" s="465">
        <v>0</v>
      </c>
      <c r="I2319" s="397" t="s">
        <v>1034</v>
      </c>
      <c r="J2319" s="654"/>
      <c r="K2319" s="398" t="s">
        <v>596</v>
      </c>
      <c r="L2319" s="538"/>
      <c r="M2319" s="509">
        <f t="shared" si="6844"/>
        <v>0</v>
      </c>
      <c r="N2319" s="647"/>
      <c r="O2319" s="627"/>
      <c r="P2319" s="629"/>
      <c r="Q2319" s="629"/>
    </row>
    <row r="2320" spans="1:17" ht="15.75" hidden="1" thickBot="1">
      <c r="A2320" s="390" t="str">
        <f t="shared" ref="A2320:B2320" si="6880">A2317</f>
        <v>PBS</v>
      </c>
      <c r="B2320" s="391" t="str">
        <f t="shared" si="6880"/>
        <v>particle</v>
      </c>
      <c r="C2320" s="391">
        <f t="shared" ref="C2320" si="6881">C2319</f>
        <v>6</v>
      </c>
      <c r="D2320" s="391" t="str">
        <f t="shared" ref="D2320:E2320" si="6882">D2317</f>
        <v>0,1-1</v>
      </c>
      <c r="E2320" s="391">
        <f t="shared" si="6882"/>
        <v>1</v>
      </c>
      <c r="F2320" s="400" t="s">
        <v>1057</v>
      </c>
      <c r="G2320" s="422" t="str">
        <f>CONCATENATE("DE: ",A2320," ",B2320," ",D2320," mm (emission to ",F2320,")")</f>
        <v>DE: PBS particle 0,1-1 mm (emission to air)</v>
      </c>
      <c r="H2320" s="467">
        <v>0.94799999999999995</v>
      </c>
      <c r="I2320" s="388" t="s">
        <v>1019</v>
      </c>
      <c r="J2320" s="634">
        <v>0.22800000000000001</v>
      </c>
      <c r="K2320" s="389">
        <v>61.12</v>
      </c>
      <c r="L2320" s="536"/>
      <c r="M2320" s="509">
        <f t="shared" si="6844"/>
        <v>2.0451570680628275</v>
      </c>
      <c r="N2320" s="645">
        <f t="shared" si="6835"/>
        <v>2.9640454935834972</v>
      </c>
      <c r="O2320" s="625"/>
      <c r="P2320" s="628">
        <f t="shared" si="6755"/>
        <v>2.9640454935834972</v>
      </c>
      <c r="Q2320" s="628">
        <f t="shared" si="6780"/>
        <v>2.9640454935834972</v>
      </c>
    </row>
    <row r="2321" spans="1:17" ht="15.75" hidden="1" thickBot="1">
      <c r="A2321" s="390" t="str">
        <f t="shared" ref="A2321:B2321" si="6883">A2318</f>
        <v>PBS</v>
      </c>
      <c r="B2321" s="391" t="str">
        <f t="shared" si="6883"/>
        <v>particle</v>
      </c>
      <c r="C2321" s="391">
        <f t="shared" ref="C2321" si="6884">C2320</f>
        <v>6</v>
      </c>
      <c r="D2321" s="391" t="str">
        <f t="shared" ref="D2321:E2321" si="6885">D2318</f>
        <v>0,1-1</v>
      </c>
      <c r="E2321" s="391">
        <f t="shared" si="6885"/>
        <v>1</v>
      </c>
      <c r="F2321" s="391" t="str">
        <f t="shared" ref="F2321:G2321" si="6886">F2320</f>
        <v>air</v>
      </c>
      <c r="G2321" s="401" t="str">
        <f t="shared" si="6886"/>
        <v>DE: PBS particle 0,1-1 mm (emission to air)</v>
      </c>
      <c r="H2321" s="465">
        <v>0</v>
      </c>
      <c r="I2321" s="394" t="s">
        <v>1097</v>
      </c>
      <c r="J2321" s="635"/>
      <c r="K2321" s="389">
        <v>6.34</v>
      </c>
      <c r="L2321" s="536"/>
      <c r="M2321" s="509">
        <f t="shared" si="6844"/>
        <v>19.71608832807571</v>
      </c>
      <c r="N2321" s="646"/>
      <c r="O2321" s="626"/>
      <c r="P2321" s="629"/>
      <c r="Q2321" s="629"/>
    </row>
    <row r="2322" spans="1:17" ht="15.75" hidden="1" thickBot="1">
      <c r="A2322" s="390" t="str">
        <f t="shared" ref="A2322:B2322" si="6887">A2319</f>
        <v>PBS</v>
      </c>
      <c r="B2322" s="391" t="str">
        <f t="shared" si="6887"/>
        <v>particle</v>
      </c>
      <c r="C2322" s="391">
        <f t="shared" ref="C2322" si="6888">C2321</f>
        <v>6</v>
      </c>
      <c r="D2322" s="391" t="str">
        <f t="shared" ref="D2322:E2322" si="6889">D2319</f>
        <v>0,1-1</v>
      </c>
      <c r="E2322" s="391">
        <f t="shared" si="6889"/>
        <v>1</v>
      </c>
      <c r="F2322" s="391" t="str">
        <f t="shared" ref="F2322:G2322" si="6890">F2321</f>
        <v>air</v>
      </c>
      <c r="G2322" s="401" t="str">
        <f t="shared" si="6890"/>
        <v>DE: PBS particle 0,1-1 mm (emission to air)</v>
      </c>
      <c r="H2322" s="465">
        <v>4.7E-2</v>
      </c>
      <c r="I2322" s="394" t="s">
        <v>1162</v>
      </c>
      <c r="J2322" s="635"/>
      <c r="K2322" s="389">
        <v>6.34</v>
      </c>
      <c r="L2322" s="536"/>
      <c r="M2322" s="509">
        <f t="shared" si="6844"/>
        <v>19.71608832807571</v>
      </c>
      <c r="N2322" s="646"/>
      <c r="O2322" s="626"/>
      <c r="P2322" s="629"/>
      <c r="Q2322" s="629"/>
    </row>
    <row r="2323" spans="1:17" ht="15.75" hidden="1" thickBot="1">
      <c r="A2323" s="390" t="str">
        <f t="shared" ref="A2323:B2323" si="6891">A2320</f>
        <v>PBS</v>
      </c>
      <c r="B2323" s="391" t="str">
        <f t="shared" si="6891"/>
        <v>particle</v>
      </c>
      <c r="C2323" s="391">
        <f t="shared" ref="C2323" si="6892">C2322</f>
        <v>6</v>
      </c>
      <c r="D2323" s="391" t="str">
        <f t="shared" ref="D2323:E2323" si="6893">D2320</f>
        <v>0,1-1</v>
      </c>
      <c r="E2323" s="391">
        <f t="shared" si="6893"/>
        <v>1</v>
      </c>
      <c r="F2323" s="391" t="str">
        <f t="shared" ref="F2323:G2323" si="6894">F2322</f>
        <v>air</v>
      </c>
      <c r="G2323" s="401" t="str">
        <f t="shared" si="6894"/>
        <v>DE: PBS particle 0,1-1 mm (emission to air)</v>
      </c>
      <c r="H2323" s="465">
        <v>5.0000000000000001E-3</v>
      </c>
      <c r="I2323" s="394" t="s">
        <v>1163</v>
      </c>
      <c r="J2323" s="635"/>
      <c r="K2323" s="389">
        <v>6.34</v>
      </c>
      <c r="L2323" s="536"/>
      <c r="M2323" s="509">
        <f t="shared" si="6844"/>
        <v>19.71608832807571</v>
      </c>
      <c r="N2323" s="646"/>
      <c r="O2323" s="626"/>
      <c r="P2323" s="629"/>
      <c r="Q2323" s="629"/>
    </row>
    <row r="2324" spans="1:17" ht="15.75" hidden="1" thickBot="1">
      <c r="A2324" s="452" t="str">
        <f t="shared" ref="A2324:B2324" si="6895">A2319</f>
        <v>PBS</v>
      </c>
      <c r="B2324" s="453" t="str">
        <f t="shared" si="6895"/>
        <v>particle</v>
      </c>
      <c r="C2324" s="453">
        <f t="shared" ref="C2324" si="6896">C2323</f>
        <v>6</v>
      </c>
      <c r="D2324" s="453" t="str">
        <f t="shared" ref="D2324:E2324" si="6897">D2319</f>
        <v>0,1-1</v>
      </c>
      <c r="E2324" s="453">
        <f t="shared" si="6897"/>
        <v>1</v>
      </c>
      <c r="F2324" s="453" t="str">
        <f t="shared" ref="F2324:G2324" si="6898">F2323</f>
        <v>air</v>
      </c>
      <c r="G2324" s="454" t="str">
        <f t="shared" si="6898"/>
        <v>DE: PBS particle 0,1-1 mm (emission to air)</v>
      </c>
      <c r="H2324" s="473">
        <v>0</v>
      </c>
      <c r="I2324" s="456" t="s">
        <v>1034</v>
      </c>
      <c r="J2324" s="636"/>
      <c r="K2324" s="457" t="s">
        <v>596</v>
      </c>
      <c r="L2324" s="543"/>
      <c r="M2324" s="509">
        <f t="shared" si="6844"/>
        <v>0</v>
      </c>
      <c r="N2324" s="647"/>
      <c r="O2324" s="627"/>
      <c r="P2324" s="629"/>
      <c r="Q2324" s="629"/>
    </row>
    <row r="2325" spans="1:17" ht="15.75" hidden="1" thickBot="1">
      <c r="A2325" s="405" t="s">
        <v>42</v>
      </c>
      <c r="B2325" s="406" t="s">
        <v>1152</v>
      </c>
      <c r="C2325" s="407">
        <v>6</v>
      </c>
      <c r="D2325" s="423" t="s">
        <v>1026</v>
      </c>
      <c r="E2325" s="408">
        <v>10</v>
      </c>
      <c r="F2325" s="424" t="s">
        <v>1019</v>
      </c>
      <c r="G2325" s="425" t="str">
        <f>CONCATENATE("DE: ",A2325," ",B2325," ",D2325," mm (emission to ",F2325,")")</f>
        <v>DE: PBS particle 1-10 mm (emission to soil)</v>
      </c>
      <c r="H2325" s="474">
        <v>0.97</v>
      </c>
      <c r="I2325" s="427" t="s">
        <v>1019</v>
      </c>
      <c r="J2325" s="632">
        <v>0.22800000000000001</v>
      </c>
      <c r="K2325" s="428">
        <v>61.12</v>
      </c>
      <c r="L2325" s="539"/>
      <c r="M2325" s="509">
        <f t="shared" si="6844"/>
        <v>20.451570680628272</v>
      </c>
      <c r="N2325" s="645">
        <f t="shared" si="6835"/>
        <v>25.752850058632138</v>
      </c>
      <c r="O2325" s="625"/>
      <c r="P2325" s="628">
        <f t="shared" si="6755"/>
        <v>25.752850058632138</v>
      </c>
      <c r="Q2325" s="628">
        <f t="shared" si="6780"/>
        <v>25.752850058632138</v>
      </c>
    </row>
    <row r="2326" spans="1:17" ht="15.75" hidden="1" thickBot="1">
      <c r="A2326" s="390" t="str">
        <f>A2325</f>
        <v>PBS</v>
      </c>
      <c r="B2326" s="391" t="str">
        <f>B2325</f>
        <v>particle</v>
      </c>
      <c r="C2326" s="391">
        <f t="shared" ref="C2326:G2326" si="6899">C2325</f>
        <v>6</v>
      </c>
      <c r="D2326" s="391" t="str">
        <f t="shared" si="6899"/>
        <v>1-10</v>
      </c>
      <c r="E2326" s="391">
        <f t="shared" si="6899"/>
        <v>10</v>
      </c>
      <c r="F2326" s="391" t="str">
        <f t="shared" si="6899"/>
        <v>soil</v>
      </c>
      <c r="G2326" s="392" t="str">
        <f t="shared" si="6899"/>
        <v>DE: PBS particle 1-10 mm (emission to soil)</v>
      </c>
      <c r="H2326" s="465">
        <v>0</v>
      </c>
      <c r="I2326" s="394" t="s">
        <v>1097</v>
      </c>
      <c r="J2326" s="632"/>
      <c r="K2326" s="395">
        <v>6.34</v>
      </c>
      <c r="L2326" s="537"/>
      <c r="M2326" s="509">
        <f t="shared" si="6844"/>
        <v>197.1608832807571</v>
      </c>
      <c r="N2326" s="646"/>
      <c r="O2326" s="626"/>
      <c r="P2326" s="629"/>
      <c r="Q2326" s="629"/>
    </row>
    <row r="2327" spans="1:17" ht="15.75" hidden="1" thickBot="1">
      <c r="A2327" s="390" t="str">
        <f t="shared" ref="A2327:G2327" si="6900">A2326</f>
        <v>PBS</v>
      </c>
      <c r="B2327" s="391" t="str">
        <f t="shared" si="6900"/>
        <v>particle</v>
      </c>
      <c r="C2327" s="391">
        <f t="shared" si="6900"/>
        <v>6</v>
      </c>
      <c r="D2327" s="391" t="str">
        <f t="shared" si="6900"/>
        <v>1-10</v>
      </c>
      <c r="E2327" s="391">
        <f t="shared" si="6900"/>
        <v>10</v>
      </c>
      <c r="F2327" s="391" t="str">
        <f t="shared" si="6900"/>
        <v>soil</v>
      </c>
      <c r="G2327" s="392" t="str">
        <f t="shared" si="6900"/>
        <v>DE: PBS particle 1-10 mm (emission to soil)</v>
      </c>
      <c r="H2327" s="465">
        <v>2.7E-2</v>
      </c>
      <c r="I2327" s="394" t="s">
        <v>1162</v>
      </c>
      <c r="J2327" s="632"/>
      <c r="K2327" s="395">
        <v>6.34</v>
      </c>
      <c r="L2327" s="537"/>
      <c r="M2327" s="509">
        <f t="shared" si="6844"/>
        <v>197.1608832807571</v>
      </c>
      <c r="N2327" s="646"/>
      <c r="O2327" s="626"/>
      <c r="P2327" s="629"/>
      <c r="Q2327" s="629"/>
    </row>
    <row r="2328" spans="1:17" ht="15.75" hidden="1" thickBot="1">
      <c r="A2328" s="390" t="str">
        <f t="shared" ref="A2328:G2328" si="6901">A2327</f>
        <v>PBS</v>
      </c>
      <c r="B2328" s="391" t="str">
        <f t="shared" si="6901"/>
        <v>particle</v>
      </c>
      <c r="C2328" s="391">
        <f t="shared" si="6901"/>
        <v>6</v>
      </c>
      <c r="D2328" s="391" t="str">
        <f t="shared" si="6901"/>
        <v>1-10</v>
      </c>
      <c r="E2328" s="391">
        <f t="shared" si="6901"/>
        <v>10</v>
      </c>
      <c r="F2328" s="391" t="str">
        <f t="shared" si="6901"/>
        <v>soil</v>
      </c>
      <c r="G2328" s="392" t="str">
        <f t="shared" si="6901"/>
        <v>DE: PBS particle 1-10 mm (emission to soil)</v>
      </c>
      <c r="H2328" s="465">
        <v>3.0000000000000001E-3</v>
      </c>
      <c r="I2328" s="394" t="s">
        <v>1163</v>
      </c>
      <c r="J2328" s="632"/>
      <c r="K2328" s="395">
        <v>6.34</v>
      </c>
      <c r="L2328" s="537"/>
      <c r="M2328" s="509">
        <f t="shared" si="6844"/>
        <v>197.1608832807571</v>
      </c>
      <c r="N2328" s="646"/>
      <c r="O2328" s="626"/>
      <c r="P2328" s="629"/>
      <c r="Q2328" s="629"/>
    </row>
    <row r="2329" spans="1:17" ht="15.75" hidden="1" thickBot="1">
      <c r="A2329" s="390" t="str">
        <f>A2326</f>
        <v>PBS</v>
      </c>
      <c r="B2329" s="391" t="str">
        <f>B2326</f>
        <v>particle</v>
      </c>
      <c r="C2329" s="391">
        <f t="shared" ref="C2329" si="6902">C2328</f>
        <v>6</v>
      </c>
      <c r="D2329" s="391" t="str">
        <f>D2326</f>
        <v>1-10</v>
      </c>
      <c r="E2329" s="391">
        <f>E2326</f>
        <v>10</v>
      </c>
      <c r="F2329" s="391" t="str">
        <f>F2326</f>
        <v>soil</v>
      </c>
      <c r="G2329" s="396" t="str">
        <f t="shared" ref="G2329" si="6903">G2328</f>
        <v>DE: PBS particle 1-10 mm (emission to soil)</v>
      </c>
      <c r="H2329" s="465">
        <v>0</v>
      </c>
      <c r="I2329" s="397" t="s">
        <v>1034</v>
      </c>
      <c r="J2329" s="633"/>
      <c r="K2329" s="398" t="s">
        <v>596</v>
      </c>
      <c r="L2329" s="538"/>
      <c r="M2329" s="509">
        <f t="shared" si="6844"/>
        <v>0</v>
      </c>
      <c r="N2329" s="647"/>
      <c r="O2329" s="627"/>
      <c r="P2329" s="629"/>
      <c r="Q2329" s="629"/>
    </row>
    <row r="2330" spans="1:17" ht="15.75" hidden="1" thickBot="1">
      <c r="A2330" s="390" t="str">
        <f t="shared" ref="A2330:B2330" si="6904">A2327</f>
        <v>PBS</v>
      </c>
      <c r="B2330" s="391" t="str">
        <f t="shared" si="6904"/>
        <v>particle</v>
      </c>
      <c r="C2330" s="391">
        <f t="shared" ref="C2330" si="6905">C2329</f>
        <v>6</v>
      </c>
      <c r="D2330" s="399" t="str">
        <f t="shared" ref="D2330:E2330" si="6906">D2327</f>
        <v>1-10</v>
      </c>
      <c r="E2330" s="391">
        <f t="shared" si="6906"/>
        <v>10</v>
      </c>
      <c r="F2330" s="400" t="s">
        <v>1147</v>
      </c>
      <c r="G2330" s="386" t="str">
        <f>CONCATENATE("DE: ",A2330," ",B2330," ",D2330," mm (emission to ",F2330,")")</f>
        <v>DE: PBS particle 1-10 mm (emission to fresh water)</v>
      </c>
      <c r="H2330" s="466">
        <v>0</v>
      </c>
      <c r="I2330" s="388" t="s">
        <v>1019</v>
      </c>
      <c r="J2330" s="634">
        <v>0.22800000000000001</v>
      </c>
      <c r="K2330" s="389">
        <v>61.12</v>
      </c>
      <c r="L2330" s="536"/>
      <c r="M2330" s="509">
        <f t="shared" si="6844"/>
        <v>20.451570680628272</v>
      </c>
      <c r="N2330" s="645">
        <f t="shared" si="6835"/>
        <v>197.1608832807571</v>
      </c>
      <c r="O2330" s="625"/>
      <c r="P2330" s="628">
        <f t="shared" si="6755"/>
        <v>100</v>
      </c>
      <c r="Q2330" s="628">
        <f t="shared" si="6780"/>
        <v>197.1608832807571</v>
      </c>
    </row>
    <row r="2331" spans="1:17" ht="15.75" hidden="1" thickBot="1">
      <c r="A2331" s="390" t="str">
        <f t="shared" ref="A2331:B2331" si="6907">A2328</f>
        <v>PBS</v>
      </c>
      <c r="B2331" s="391" t="str">
        <f t="shared" si="6907"/>
        <v>particle</v>
      </c>
      <c r="C2331" s="391">
        <f t="shared" ref="C2331" si="6908">C2330</f>
        <v>6</v>
      </c>
      <c r="D2331" s="391" t="str">
        <f t="shared" ref="D2331:E2331" si="6909">D2328</f>
        <v>1-10</v>
      </c>
      <c r="E2331" s="391">
        <f t="shared" si="6909"/>
        <v>10</v>
      </c>
      <c r="F2331" s="391" t="str">
        <f t="shared" ref="F2331:G2331" si="6910">F2330</f>
        <v>fresh water</v>
      </c>
      <c r="G2331" s="401" t="str">
        <f t="shared" si="6910"/>
        <v>DE: PBS particle 1-10 mm (emission to fresh water)</v>
      </c>
      <c r="H2331" s="465">
        <v>0</v>
      </c>
      <c r="I2331" s="394" t="s">
        <v>1097</v>
      </c>
      <c r="J2331" s="635"/>
      <c r="K2331" s="389">
        <v>6.34</v>
      </c>
      <c r="L2331" s="536"/>
      <c r="M2331" s="509">
        <f t="shared" si="6844"/>
        <v>197.1608832807571</v>
      </c>
      <c r="N2331" s="646"/>
      <c r="O2331" s="626"/>
      <c r="P2331" s="629"/>
      <c r="Q2331" s="629"/>
    </row>
    <row r="2332" spans="1:17" ht="15.75" hidden="1" thickBot="1">
      <c r="A2332" s="390" t="str">
        <f t="shared" ref="A2332:B2332" si="6911">A2329</f>
        <v>PBS</v>
      </c>
      <c r="B2332" s="391" t="str">
        <f t="shared" si="6911"/>
        <v>particle</v>
      </c>
      <c r="C2332" s="391">
        <f t="shared" ref="C2332" si="6912">C2331</f>
        <v>6</v>
      </c>
      <c r="D2332" s="391" t="str">
        <f t="shared" ref="D2332:E2332" si="6913">D2329</f>
        <v>1-10</v>
      </c>
      <c r="E2332" s="391">
        <f t="shared" si="6913"/>
        <v>10</v>
      </c>
      <c r="F2332" s="391" t="str">
        <f t="shared" ref="F2332:G2332" si="6914">F2331</f>
        <v>fresh water</v>
      </c>
      <c r="G2332" s="401" t="str">
        <f t="shared" si="6914"/>
        <v>DE: PBS particle 1-10 mm (emission to fresh water)</v>
      </c>
      <c r="H2332" s="465">
        <v>0.89</v>
      </c>
      <c r="I2332" s="394" t="s">
        <v>1162</v>
      </c>
      <c r="J2332" s="635"/>
      <c r="K2332" s="389">
        <v>6.34</v>
      </c>
      <c r="L2332" s="536"/>
      <c r="M2332" s="509">
        <f t="shared" si="6844"/>
        <v>197.1608832807571</v>
      </c>
      <c r="N2332" s="646"/>
      <c r="O2332" s="626"/>
      <c r="P2332" s="629"/>
      <c r="Q2332" s="629"/>
    </row>
    <row r="2333" spans="1:17" ht="15.75" hidden="1" thickBot="1">
      <c r="A2333" s="390" t="str">
        <f t="shared" ref="A2333:B2333" si="6915">A2330</f>
        <v>PBS</v>
      </c>
      <c r="B2333" s="391" t="str">
        <f t="shared" si="6915"/>
        <v>particle</v>
      </c>
      <c r="C2333" s="391">
        <f t="shared" ref="C2333" si="6916">C2332</f>
        <v>6</v>
      </c>
      <c r="D2333" s="391" t="str">
        <f t="shared" ref="D2333:E2333" si="6917">D2330</f>
        <v>1-10</v>
      </c>
      <c r="E2333" s="391">
        <f t="shared" si="6917"/>
        <v>10</v>
      </c>
      <c r="F2333" s="391" t="str">
        <f t="shared" ref="F2333:G2333" si="6918">F2332</f>
        <v>fresh water</v>
      </c>
      <c r="G2333" s="401" t="str">
        <f t="shared" si="6918"/>
        <v>DE: PBS particle 1-10 mm (emission to fresh water)</v>
      </c>
      <c r="H2333" s="465">
        <v>0.11</v>
      </c>
      <c r="I2333" s="394" t="s">
        <v>1163</v>
      </c>
      <c r="J2333" s="635"/>
      <c r="K2333" s="389">
        <v>6.34</v>
      </c>
      <c r="L2333" s="536"/>
      <c r="M2333" s="509">
        <f t="shared" si="6844"/>
        <v>197.1608832807571</v>
      </c>
      <c r="N2333" s="646"/>
      <c r="O2333" s="626"/>
      <c r="P2333" s="629"/>
      <c r="Q2333" s="629"/>
    </row>
    <row r="2334" spans="1:17" ht="15.75" hidden="1" thickBot="1">
      <c r="A2334" s="390" t="str">
        <f t="shared" ref="A2334:B2334" si="6919">A2331</f>
        <v>PBS</v>
      </c>
      <c r="B2334" s="391" t="str">
        <f t="shared" si="6919"/>
        <v>particle</v>
      </c>
      <c r="C2334" s="391">
        <f t="shared" ref="C2334" si="6920">C2333</f>
        <v>6</v>
      </c>
      <c r="D2334" s="391" t="str">
        <f t="shared" ref="D2334:E2334" si="6921">D2331</f>
        <v>1-10</v>
      </c>
      <c r="E2334" s="391">
        <f t="shared" si="6921"/>
        <v>10</v>
      </c>
      <c r="F2334" s="402" t="str">
        <f>F2331</f>
        <v>fresh water</v>
      </c>
      <c r="G2334" s="401" t="str">
        <f t="shared" ref="G2334" si="6922">G2333</f>
        <v>DE: PBS particle 1-10 mm (emission to fresh water)</v>
      </c>
      <c r="H2334" s="465">
        <v>0</v>
      </c>
      <c r="I2334" s="397" t="s">
        <v>1034</v>
      </c>
      <c r="J2334" s="654"/>
      <c r="K2334" s="398" t="s">
        <v>596</v>
      </c>
      <c r="L2334" s="538"/>
      <c r="M2334" s="509">
        <f t="shared" si="6844"/>
        <v>0</v>
      </c>
      <c r="N2334" s="647"/>
      <c r="O2334" s="627"/>
      <c r="P2334" s="629"/>
      <c r="Q2334" s="629"/>
    </row>
    <row r="2335" spans="1:17" ht="15.75" hidden="1" thickBot="1">
      <c r="A2335" s="390" t="str">
        <f t="shared" ref="A2335:B2335" si="6923">A2332</f>
        <v>PBS</v>
      </c>
      <c r="B2335" s="391" t="str">
        <f t="shared" si="6923"/>
        <v>particle</v>
      </c>
      <c r="C2335" s="391">
        <f t="shared" ref="C2335" si="6924">C2334</f>
        <v>6</v>
      </c>
      <c r="D2335" s="391" t="str">
        <f t="shared" ref="D2335:E2335" si="6925">D2332</f>
        <v>1-10</v>
      </c>
      <c r="E2335" s="391">
        <f t="shared" si="6925"/>
        <v>10</v>
      </c>
      <c r="F2335" s="385" t="s">
        <v>1097</v>
      </c>
      <c r="G2335" s="422" t="str">
        <f>CONCATENATE("DE: ",A2335," ",B2335," ",D2335," mm (emission to ",F2335,")")</f>
        <v>DE: PBS particle 1-10 mm (emission to marine water)</v>
      </c>
      <c r="H2335" s="467">
        <v>0</v>
      </c>
      <c r="I2335" s="388" t="s">
        <v>1019</v>
      </c>
      <c r="J2335" s="634">
        <v>0.22800000000000001</v>
      </c>
      <c r="K2335" s="389">
        <v>61.12</v>
      </c>
      <c r="L2335" s="536"/>
      <c r="M2335" s="509">
        <f t="shared" si="6844"/>
        <v>20.451570680628272</v>
      </c>
      <c r="N2335" s="645">
        <f t="shared" si="6835"/>
        <v>197.1608832807571</v>
      </c>
      <c r="O2335" s="625"/>
      <c r="P2335" s="628">
        <f t="shared" si="6755"/>
        <v>100</v>
      </c>
      <c r="Q2335" s="628">
        <f t="shared" si="6780"/>
        <v>197.1608832807571</v>
      </c>
    </row>
    <row r="2336" spans="1:17" ht="15.75" hidden="1" thickBot="1">
      <c r="A2336" s="390" t="str">
        <f t="shared" ref="A2336:B2336" si="6926">A2333</f>
        <v>PBS</v>
      </c>
      <c r="B2336" s="391" t="str">
        <f t="shared" si="6926"/>
        <v>particle</v>
      </c>
      <c r="C2336" s="391">
        <f t="shared" ref="C2336" si="6927">C2335</f>
        <v>6</v>
      </c>
      <c r="D2336" s="391" t="str">
        <f t="shared" ref="D2336:E2336" si="6928">D2333</f>
        <v>1-10</v>
      </c>
      <c r="E2336" s="391">
        <f t="shared" si="6928"/>
        <v>10</v>
      </c>
      <c r="F2336" s="391" t="str">
        <f t="shared" ref="F2336:G2336" si="6929">F2335</f>
        <v>marine water</v>
      </c>
      <c r="G2336" s="401" t="str">
        <f t="shared" si="6929"/>
        <v>DE: PBS particle 1-10 mm (emission to marine water)</v>
      </c>
      <c r="H2336" s="465">
        <v>0</v>
      </c>
      <c r="I2336" s="394" t="s">
        <v>1097</v>
      </c>
      <c r="J2336" s="635"/>
      <c r="K2336" s="389">
        <v>6.34</v>
      </c>
      <c r="L2336" s="536"/>
      <c r="M2336" s="509">
        <f t="shared" si="6844"/>
        <v>197.1608832807571</v>
      </c>
      <c r="N2336" s="646"/>
      <c r="O2336" s="626"/>
      <c r="P2336" s="629"/>
      <c r="Q2336" s="629"/>
    </row>
    <row r="2337" spans="1:17" ht="15.75" hidden="1" thickBot="1">
      <c r="A2337" s="390" t="str">
        <f t="shared" ref="A2337:B2337" si="6930">A2334</f>
        <v>PBS</v>
      </c>
      <c r="B2337" s="391" t="str">
        <f t="shared" si="6930"/>
        <v>particle</v>
      </c>
      <c r="C2337" s="391">
        <f t="shared" ref="C2337" si="6931">C2336</f>
        <v>6</v>
      </c>
      <c r="D2337" s="391" t="str">
        <f t="shared" ref="D2337:E2337" si="6932">D2334</f>
        <v>1-10</v>
      </c>
      <c r="E2337" s="391">
        <f t="shared" si="6932"/>
        <v>10</v>
      </c>
      <c r="F2337" s="391" t="str">
        <f t="shared" ref="F2337:G2337" si="6933">F2336</f>
        <v>marine water</v>
      </c>
      <c r="G2337" s="401" t="str">
        <f t="shared" si="6933"/>
        <v>DE: PBS particle 1-10 mm (emission to marine water)</v>
      </c>
      <c r="H2337" s="465">
        <v>0</v>
      </c>
      <c r="I2337" s="394" t="s">
        <v>1162</v>
      </c>
      <c r="J2337" s="635"/>
      <c r="K2337" s="389">
        <v>6.34</v>
      </c>
      <c r="L2337" s="536"/>
      <c r="M2337" s="509">
        <f t="shared" si="6844"/>
        <v>197.1608832807571</v>
      </c>
      <c r="N2337" s="646"/>
      <c r="O2337" s="626"/>
      <c r="P2337" s="629"/>
      <c r="Q2337" s="629"/>
    </row>
    <row r="2338" spans="1:17" ht="15.75" hidden="1" thickBot="1">
      <c r="A2338" s="390" t="str">
        <f t="shared" ref="A2338:B2338" si="6934">A2335</f>
        <v>PBS</v>
      </c>
      <c r="B2338" s="391" t="str">
        <f t="shared" si="6934"/>
        <v>particle</v>
      </c>
      <c r="C2338" s="391">
        <f t="shared" ref="C2338" si="6935">C2337</f>
        <v>6</v>
      </c>
      <c r="D2338" s="391" t="str">
        <f t="shared" ref="D2338:E2338" si="6936">D2335</f>
        <v>1-10</v>
      </c>
      <c r="E2338" s="391">
        <f t="shared" si="6936"/>
        <v>10</v>
      </c>
      <c r="F2338" s="391" t="str">
        <f t="shared" ref="F2338:G2338" si="6937">F2337</f>
        <v>marine water</v>
      </c>
      <c r="G2338" s="401" t="str">
        <f t="shared" si="6937"/>
        <v>DE: PBS particle 1-10 mm (emission to marine water)</v>
      </c>
      <c r="H2338" s="465">
        <v>1</v>
      </c>
      <c r="I2338" s="394" t="s">
        <v>1163</v>
      </c>
      <c r="J2338" s="635"/>
      <c r="K2338" s="389">
        <v>6.34</v>
      </c>
      <c r="L2338" s="536"/>
      <c r="M2338" s="509">
        <f t="shared" si="6844"/>
        <v>197.1608832807571</v>
      </c>
      <c r="N2338" s="646"/>
      <c r="O2338" s="626"/>
      <c r="P2338" s="629"/>
      <c r="Q2338" s="629"/>
    </row>
    <row r="2339" spans="1:17" ht="15.75" hidden="1" thickBot="1">
      <c r="A2339" s="390" t="str">
        <f t="shared" ref="A2339:B2339" si="6938">A2336</f>
        <v>PBS</v>
      </c>
      <c r="B2339" s="391" t="str">
        <f t="shared" si="6938"/>
        <v>particle</v>
      </c>
      <c r="C2339" s="391">
        <f t="shared" ref="C2339" si="6939">C2338</f>
        <v>6</v>
      </c>
      <c r="D2339" s="391" t="str">
        <f t="shared" ref="D2339:E2339" si="6940">D2336</f>
        <v>1-10</v>
      </c>
      <c r="E2339" s="391">
        <f t="shared" si="6940"/>
        <v>10</v>
      </c>
      <c r="F2339" s="391" t="str">
        <f t="shared" ref="F2339:G2339" si="6941">F2338</f>
        <v>marine water</v>
      </c>
      <c r="G2339" s="401" t="str">
        <f t="shared" si="6941"/>
        <v>DE: PBS particle 1-10 mm (emission to marine water)</v>
      </c>
      <c r="H2339" s="465">
        <v>0</v>
      </c>
      <c r="I2339" s="397" t="s">
        <v>1034</v>
      </c>
      <c r="J2339" s="654"/>
      <c r="K2339" s="398" t="s">
        <v>596</v>
      </c>
      <c r="L2339" s="538"/>
      <c r="M2339" s="509">
        <f t="shared" si="6844"/>
        <v>0</v>
      </c>
      <c r="N2339" s="647"/>
      <c r="O2339" s="627"/>
      <c r="P2339" s="629"/>
      <c r="Q2339" s="629"/>
    </row>
    <row r="2340" spans="1:17" ht="15.75" hidden="1" thickBot="1">
      <c r="A2340" s="390" t="str">
        <f t="shared" ref="A2340:B2340" si="6942">A2337</f>
        <v>PBS</v>
      </c>
      <c r="B2340" s="391" t="str">
        <f t="shared" si="6942"/>
        <v>particle</v>
      </c>
      <c r="C2340" s="391">
        <f t="shared" ref="C2340" si="6943">C2339</f>
        <v>6</v>
      </c>
      <c r="D2340" s="391" t="str">
        <f t="shared" ref="D2340:E2340" si="6944">D2337</f>
        <v>1-10</v>
      </c>
      <c r="E2340" s="391">
        <f t="shared" si="6944"/>
        <v>10</v>
      </c>
      <c r="F2340" s="400" t="s">
        <v>1057</v>
      </c>
      <c r="G2340" s="422" t="str">
        <f>CONCATENATE("DE: ",A2340," ",B2340," ",D2340," mm (emission to ",F2340,")")</f>
        <v>DE: PBS particle 1-10 mm (emission to air)</v>
      </c>
      <c r="H2340" s="467">
        <v>0.94799999999999995</v>
      </c>
      <c r="I2340" s="388" t="s">
        <v>1019</v>
      </c>
      <c r="J2340" s="634">
        <v>0.22800000000000001</v>
      </c>
      <c r="K2340" s="389">
        <v>61.12</v>
      </c>
      <c r="L2340" s="536"/>
      <c r="M2340" s="509">
        <f t="shared" si="6844"/>
        <v>20.451570680628272</v>
      </c>
      <c r="N2340" s="645">
        <f t="shared" si="6835"/>
        <v>29.640454935834967</v>
      </c>
      <c r="O2340" s="625"/>
      <c r="P2340" s="628">
        <f t="shared" si="6755"/>
        <v>29.640454935834967</v>
      </c>
      <c r="Q2340" s="628">
        <f t="shared" si="6780"/>
        <v>29.640454935834967</v>
      </c>
    </row>
    <row r="2341" spans="1:17" ht="15.75" hidden="1" thickBot="1">
      <c r="A2341" s="390" t="str">
        <f t="shared" ref="A2341:B2341" si="6945">A2338</f>
        <v>PBS</v>
      </c>
      <c r="B2341" s="391" t="str">
        <f t="shared" si="6945"/>
        <v>particle</v>
      </c>
      <c r="C2341" s="391">
        <f t="shared" ref="C2341" si="6946">C2340</f>
        <v>6</v>
      </c>
      <c r="D2341" s="391" t="str">
        <f t="shared" ref="D2341:E2341" si="6947">D2338</f>
        <v>1-10</v>
      </c>
      <c r="E2341" s="391">
        <f t="shared" si="6947"/>
        <v>10</v>
      </c>
      <c r="F2341" s="391" t="str">
        <f t="shared" ref="F2341:G2341" si="6948">F2340</f>
        <v>air</v>
      </c>
      <c r="G2341" s="401" t="str">
        <f t="shared" si="6948"/>
        <v>DE: PBS particle 1-10 mm (emission to air)</v>
      </c>
      <c r="H2341" s="465">
        <v>0</v>
      </c>
      <c r="I2341" s="394" t="s">
        <v>1097</v>
      </c>
      <c r="J2341" s="635"/>
      <c r="K2341" s="389">
        <v>6.34</v>
      </c>
      <c r="L2341" s="536"/>
      <c r="M2341" s="509">
        <f t="shared" si="6844"/>
        <v>197.1608832807571</v>
      </c>
      <c r="N2341" s="646"/>
      <c r="O2341" s="626"/>
      <c r="P2341" s="629"/>
      <c r="Q2341" s="629"/>
    </row>
    <row r="2342" spans="1:17" ht="15.75" hidden="1" thickBot="1">
      <c r="A2342" s="390" t="str">
        <f t="shared" ref="A2342:B2342" si="6949">A2339</f>
        <v>PBS</v>
      </c>
      <c r="B2342" s="391" t="str">
        <f t="shared" si="6949"/>
        <v>particle</v>
      </c>
      <c r="C2342" s="391">
        <f t="shared" ref="C2342" si="6950">C2341</f>
        <v>6</v>
      </c>
      <c r="D2342" s="391" t="str">
        <f t="shared" ref="D2342:E2342" si="6951">D2339</f>
        <v>1-10</v>
      </c>
      <c r="E2342" s="391">
        <f t="shared" si="6951"/>
        <v>10</v>
      </c>
      <c r="F2342" s="391" t="str">
        <f t="shared" ref="F2342:G2342" si="6952">F2341</f>
        <v>air</v>
      </c>
      <c r="G2342" s="401" t="str">
        <f t="shared" si="6952"/>
        <v>DE: PBS particle 1-10 mm (emission to air)</v>
      </c>
      <c r="H2342" s="465">
        <v>4.7E-2</v>
      </c>
      <c r="I2342" s="394" t="s">
        <v>1162</v>
      </c>
      <c r="J2342" s="635"/>
      <c r="K2342" s="389">
        <v>6.34</v>
      </c>
      <c r="L2342" s="536"/>
      <c r="M2342" s="509">
        <f t="shared" si="6844"/>
        <v>197.1608832807571</v>
      </c>
      <c r="N2342" s="646"/>
      <c r="O2342" s="626"/>
      <c r="P2342" s="629"/>
      <c r="Q2342" s="629"/>
    </row>
    <row r="2343" spans="1:17" ht="15.75" hidden="1" thickBot="1">
      <c r="A2343" s="390" t="str">
        <f t="shared" ref="A2343:B2343" si="6953">A2340</f>
        <v>PBS</v>
      </c>
      <c r="B2343" s="391" t="str">
        <f t="shared" si="6953"/>
        <v>particle</v>
      </c>
      <c r="C2343" s="391">
        <f t="shared" ref="C2343" si="6954">C2342</f>
        <v>6</v>
      </c>
      <c r="D2343" s="391" t="str">
        <f t="shared" ref="D2343:E2343" si="6955">D2340</f>
        <v>1-10</v>
      </c>
      <c r="E2343" s="391">
        <f t="shared" si="6955"/>
        <v>10</v>
      </c>
      <c r="F2343" s="391" t="str">
        <f t="shared" ref="F2343:G2343" si="6956">F2342</f>
        <v>air</v>
      </c>
      <c r="G2343" s="401" t="str">
        <f t="shared" si="6956"/>
        <v>DE: PBS particle 1-10 mm (emission to air)</v>
      </c>
      <c r="H2343" s="465">
        <v>5.0000000000000001E-3</v>
      </c>
      <c r="I2343" s="394" t="s">
        <v>1163</v>
      </c>
      <c r="J2343" s="635"/>
      <c r="K2343" s="389">
        <v>6.34</v>
      </c>
      <c r="L2343" s="536"/>
      <c r="M2343" s="509">
        <f t="shared" si="6844"/>
        <v>197.1608832807571</v>
      </c>
      <c r="N2343" s="646"/>
      <c r="O2343" s="626"/>
      <c r="P2343" s="629"/>
      <c r="Q2343" s="629"/>
    </row>
    <row r="2344" spans="1:17" ht="15.75" hidden="1" thickBot="1">
      <c r="A2344" s="452" t="str">
        <f t="shared" ref="A2344:B2344" si="6957">A2339</f>
        <v>PBS</v>
      </c>
      <c r="B2344" s="453" t="str">
        <f t="shared" si="6957"/>
        <v>particle</v>
      </c>
      <c r="C2344" s="453">
        <f t="shared" ref="C2344" si="6958">C2343</f>
        <v>6</v>
      </c>
      <c r="D2344" s="453" t="str">
        <f t="shared" ref="D2344:E2344" si="6959">D2339</f>
        <v>1-10</v>
      </c>
      <c r="E2344" s="453">
        <f t="shared" si="6959"/>
        <v>10</v>
      </c>
      <c r="F2344" s="453" t="str">
        <f t="shared" ref="F2344:G2344" si="6960">F2343</f>
        <v>air</v>
      </c>
      <c r="G2344" s="454" t="str">
        <f t="shared" si="6960"/>
        <v>DE: PBS particle 1-10 mm (emission to air)</v>
      </c>
      <c r="H2344" s="473">
        <v>0</v>
      </c>
      <c r="I2344" s="456" t="s">
        <v>1034</v>
      </c>
      <c r="J2344" s="636"/>
      <c r="K2344" s="457" t="s">
        <v>596</v>
      </c>
      <c r="L2344" s="543"/>
      <c r="M2344" s="509">
        <f t="shared" si="6844"/>
        <v>0</v>
      </c>
      <c r="N2344" s="647"/>
      <c r="O2344" s="627"/>
      <c r="P2344" s="629"/>
      <c r="Q2344" s="629"/>
    </row>
    <row r="2345" spans="1:17" ht="16.5" hidden="1" thickTop="1" thickBot="1">
      <c r="A2345" s="442" t="s">
        <v>654</v>
      </c>
      <c r="B2345" s="443" t="s">
        <v>996</v>
      </c>
      <c r="C2345" s="444">
        <f>IF(OR(B2345="Folie", B2345="Strips", B2345="Film",B2345="Flakes",B2345="Coupon"), 2,IF(OR(B2345="Fibers",B2345="Pellets"),4,IF(OR(B2345="Particles",B2345="Shreds",B2345="Powder",B2345="Fragments",B2345="Granules"),6,"")))</f>
        <v>2</v>
      </c>
      <c r="D2345" s="444" t="s">
        <v>1018</v>
      </c>
      <c r="E2345" s="445">
        <v>0.1</v>
      </c>
      <c r="F2345" s="446" t="s">
        <v>1019</v>
      </c>
      <c r="G2345" s="447" t="str">
        <f>CONCATENATE("DE: ",A2345," ",B2345," ",D2345," mm (emission to ",F2345,")")</f>
        <v>DE: PBSA film 0,01-0,1 mm (emission to soil)</v>
      </c>
      <c r="H2345" s="464">
        <v>0.97</v>
      </c>
      <c r="I2345" s="448" t="s">
        <v>1153</v>
      </c>
      <c r="J2345" s="632">
        <v>0.22800000000000001</v>
      </c>
      <c r="K2345" s="449">
        <v>50.41</v>
      </c>
      <c r="L2345" s="541"/>
      <c r="M2345" s="509">
        <f t="shared" si="6844"/>
        <v>0.99186669311644526</v>
      </c>
      <c r="N2345" s="645">
        <f t="shared" si="6835"/>
        <v>1.006820081294636</v>
      </c>
      <c r="O2345" s="625"/>
      <c r="P2345" s="628">
        <f t="shared" ref="P2345:P2405" si="6961">IFERROR(IF(H2345*M2345+H2346*M2346+H2347*M2347+H2348*M2348+H2349*M2349&gt;100,100,H2345*M2345+H2346*M2346+H2347*M2347+H2348*M2348+H2349*M2349),"N.A.")</f>
        <v>1.006820081294636</v>
      </c>
      <c r="Q2345" s="628">
        <f t="shared" si="6780"/>
        <v>1.006820081294636</v>
      </c>
    </row>
    <row r="2346" spans="1:17" ht="15.75" hidden="1" thickBot="1">
      <c r="A2346" s="390" t="str">
        <f>A2345</f>
        <v>PBSA</v>
      </c>
      <c r="B2346" s="391" t="str">
        <f>B2345</f>
        <v>film</v>
      </c>
      <c r="C2346" s="391">
        <f t="shared" ref="C2346:G2346" si="6962">C2345</f>
        <v>2</v>
      </c>
      <c r="D2346" s="391" t="str">
        <f t="shared" si="6962"/>
        <v>0,01-0,1</v>
      </c>
      <c r="E2346" s="391">
        <f t="shared" si="6962"/>
        <v>0.1</v>
      </c>
      <c r="F2346" s="391" t="str">
        <f t="shared" si="6962"/>
        <v>soil</v>
      </c>
      <c r="G2346" s="392" t="str">
        <f t="shared" si="6962"/>
        <v>DE: PBSA film 0,01-0,1 mm (emission to soil)</v>
      </c>
      <c r="H2346" s="465">
        <v>0</v>
      </c>
      <c r="I2346" s="394" t="s">
        <v>1097</v>
      </c>
      <c r="J2346" s="632"/>
      <c r="K2346" s="395">
        <v>33.549999999999997</v>
      </c>
      <c r="L2346" s="537"/>
      <c r="M2346" s="509">
        <f t="shared" si="6844"/>
        <v>1.4903129657228018</v>
      </c>
      <c r="N2346" s="646"/>
      <c r="O2346" s="626"/>
      <c r="P2346" s="629"/>
      <c r="Q2346" s="629"/>
    </row>
    <row r="2347" spans="1:17" ht="15.75" hidden="1" thickBot="1">
      <c r="A2347" s="390" t="str">
        <f t="shared" ref="A2347:G2347" si="6963">A2346</f>
        <v>PBSA</v>
      </c>
      <c r="B2347" s="391" t="str">
        <f t="shared" si="6963"/>
        <v>film</v>
      </c>
      <c r="C2347" s="391">
        <f t="shared" si="6963"/>
        <v>2</v>
      </c>
      <c r="D2347" s="391" t="str">
        <f t="shared" si="6963"/>
        <v>0,01-0,1</v>
      </c>
      <c r="E2347" s="391">
        <f t="shared" si="6963"/>
        <v>0.1</v>
      </c>
      <c r="F2347" s="391" t="str">
        <f t="shared" si="6963"/>
        <v>soil</v>
      </c>
      <c r="G2347" s="392" t="str">
        <f t="shared" si="6963"/>
        <v>DE: PBSA film 0,01-0,1 mm (emission to soil)</v>
      </c>
      <c r="H2347" s="465">
        <v>2.7E-2</v>
      </c>
      <c r="I2347" s="394" t="s">
        <v>1162</v>
      </c>
      <c r="J2347" s="632"/>
      <c r="K2347" s="395">
        <v>33.549999999999997</v>
      </c>
      <c r="L2347" s="537"/>
      <c r="M2347" s="509">
        <f t="shared" si="6844"/>
        <v>1.4903129657228018</v>
      </c>
      <c r="N2347" s="646"/>
      <c r="O2347" s="626"/>
      <c r="P2347" s="629"/>
      <c r="Q2347" s="629"/>
    </row>
    <row r="2348" spans="1:17" ht="15.75" hidden="1" thickBot="1">
      <c r="A2348" s="390" t="str">
        <f t="shared" ref="A2348:G2348" si="6964">A2347</f>
        <v>PBSA</v>
      </c>
      <c r="B2348" s="391" t="str">
        <f t="shared" si="6964"/>
        <v>film</v>
      </c>
      <c r="C2348" s="391">
        <f t="shared" si="6964"/>
        <v>2</v>
      </c>
      <c r="D2348" s="391" t="str">
        <f t="shared" si="6964"/>
        <v>0,01-0,1</v>
      </c>
      <c r="E2348" s="391">
        <f t="shared" si="6964"/>
        <v>0.1</v>
      </c>
      <c r="F2348" s="391" t="str">
        <f t="shared" si="6964"/>
        <v>soil</v>
      </c>
      <c r="G2348" s="392" t="str">
        <f t="shared" si="6964"/>
        <v>DE: PBSA film 0,01-0,1 mm (emission to soil)</v>
      </c>
      <c r="H2348" s="465">
        <v>3.0000000000000001E-3</v>
      </c>
      <c r="I2348" s="394" t="s">
        <v>1163</v>
      </c>
      <c r="J2348" s="632"/>
      <c r="K2348" s="395">
        <v>33.549999999999997</v>
      </c>
      <c r="L2348" s="537"/>
      <c r="M2348" s="509">
        <f t="shared" si="6844"/>
        <v>1.4903129657228018</v>
      </c>
      <c r="N2348" s="646"/>
      <c r="O2348" s="626"/>
      <c r="P2348" s="629"/>
      <c r="Q2348" s="629"/>
    </row>
    <row r="2349" spans="1:17" ht="15.75" hidden="1" thickBot="1">
      <c r="A2349" s="390" t="str">
        <f>A2346</f>
        <v>PBSA</v>
      </c>
      <c r="B2349" s="391" t="str">
        <f>B2346</f>
        <v>film</v>
      </c>
      <c r="C2349" s="391">
        <f t="shared" ref="C2349" si="6965">C2348</f>
        <v>2</v>
      </c>
      <c r="D2349" s="391" t="str">
        <f>D2346</f>
        <v>0,01-0,1</v>
      </c>
      <c r="E2349" s="391">
        <f>E2346</f>
        <v>0.1</v>
      </c>
      <c r="F2349" s="391" t="str">
        <f>F2346</f>
        <v>soil</v>
      </c>
      <c r="G2349" s="396" t="str">
        <f t="shared" ref="G2349" si="6966">G2348</f>
        <v>DE: PBSA film 0,01-0,1 mm (emission to soil)</v>
      </c>
      <c r="H2349" s="465">
        <v>0</v>
      </c>
      <c r="I2349" s="397" t="s">
        <v>1034</v>
      </c>
      <c r="J2349" s="633"/>
      <c r="K2349" s="398" t="s">
        <v>596</v>
      </c>
      <c r="L2349" s="538"/>
      <c r="M2349" s="509">
        <f t="shared" si="6844"/>
        <v>0</v>
      </c>
      <c r="N2349" s="647"/>
      <c r="O2349" s="627"/>
      <c r="P2349" s="629"/>
      <c r="Q2349" s="629"/>
    </row>
    <row r="2350" spans="1:17" ht="15.75" hidden="1" thickBot="1">
      <c r="A2350" s="390" t="str">
        <f t="shared" ref="A2350:B2350" si="6967">A2347</f>
        <v>PBSA</v>
      </c>
      <c r="B2350" s="391" t="str">
        <f t="shared" si="6967"/>
        <v>film</v>
      </c>
      <c r="C2350" s="391">
        <f t="shared" ref="C2350" si="6968">C2349</f>
        <v>2</v>
      </c>
      <c r="D2350" s="399" t="str">
        <f t="shared" ref="D2350:E2350" si="6969">D2347</f>
        <v>0,01-0,1</v>
      </c>
      <c r="E2350" s="391">
        <f t="shared" si="6969"/>
        <v>0.1</v>
      </c>
      <c r="F2350" s="400" t="s">
        <v>1147</v>
      </c>
      <c r="G2350" s="386" t="str">
        <f>CONCATENATE("DE: ",A2350," ",B2350," ",D2350," mm (emission to ",F2350,")")</f>
        <v>DE: PBSA film 0,01-0,1 mm (emission to fresh water)</v>
      </c>
      <c r="H2350" s="466">
        <v>0</v>
      </c>
      <c r="I2350" s="388" t="s">
        <v>1153</v>
      </c>
      <c r="J2350" s="634">
        <v>0.22800000000000001</v>
      </c>
      <c r="K2350" s="389">
        <v>50.41</v>
      </c>
      <c r="L2350" s="536"/>
      <c r="M2350" s="509">
        <f t="shared" si="6844"/>
        <v>0.99186669311644526</v>
      </c>
      <c r="N2350" s="645">
        <f t="shared" si="6835"/>
        <v>1.4903129657228018</v>
      </c>
      <c r="O2350" s="625"/>
      <c r="P2350" s="628">
        <f t="shared" si="6961"/>
        <v>1.4903129657228018</v>
      </c>
      <c r="Q2350" s="628">
        <f t="shared" si="6780"/>
        <v>1.4903129657228018</v>
      </c>
    </row>
    <row r="2351" spans="1:17" ht="15.75" hidden="1" thickBot="1">
      <c r="A2351" s="390" t="str">
        <f t="shared" ref="A2351:B2351" si="6970">A2348</f>
        <v>PBSA</v>
      </c>
      <c r="B2351" s="391" t="str">
        <f t="shared" si="6970"/>
        <v>film</v>
      </c>
      <c r="C2351" s="391">
        <f t="shared" ref="C2351" si="6971">C2350</f>
        <v>2</v>
      </c>
      <c r="D2351" s="391" t="str">
        <f t="shared" ref="D2351:E2351" si="6972">D2348</f>
        <v>0,01-0,1</v>
      </c>
      <c r="E2351" s="391">
        <f t="shared" si="6972"/>
        <v>0.1</v>
      </c>
      <c r="F2351" s="391" t="str">
        <f t="shared" ref="F2351:G2351" si="6973">F2350</f>
        <v>fresh water</v>
      </c>
      <c r="G2351" s="401" t="str">
        <f t="shared" si="6973"/>
        <v>DE: PBSA film 0,01-0,1 mm (emission to fresh water)</v>
      </c>
      <c r="H2351" s="465">
        <v>0</v>
      </c>
      <c r="I2351" s="394" t="s">
        <v>1097</v>
      </c>
      <c r="J2351" s="635"/>
      <c r="K2351" s="389">
        <v>33.549999999999997</v>
      </c>
      <c r="L2351" s="536"/>
      <c r="M2351" s="509">
        <f t="shared" si="6844"/>
        <v>1.4903129657228018</v>
      </c>
      <c r="N2351" s="646"/>
      <c r="O2351" s="626"/>
      <c r="P2351" s="629"/>
      <c r="Q2351" s="629"/>
    </row>
    <row r="2352" spans="1:17" ht="15.75" hidden="1" thickBot="1">
      <c r="A2352" s="390" t="str">
        <f t="shared" ref="A2352:B2352" si="6974">A2349</f>
        <v>PBSA</v>
      </c>
      <c r="B2352" s="391" t="str">
        <f t="shared" si="6974"/>
        <v>film</v>
      </c>
      <c r="C2352" s="391">
        <f t="shared" ref="C2352" si="6975">C2351</f>
        <v>2</v>
      </c>
      <c r="D2352" s="391" t="str">
        <f t="shared" ref="D2352:E2352" si="6976">D2349</f>
        <v>0,01-0,1</v>
      </c>
      <c r="E2352" s="391">
        <f t="shared" si="6976"/>
        <v>0.1</v>
      </c>
      <c r="F2352" s="391" t="str">
        <f t="shared" ref="F2352:G2352" si="6977">F2351</f>
        <v>fresh water</v>
      </c>
      <c r="G2352" s="401" t="str">
        <f t="shared" si="6977"/>
        <v>DE: PBSA film 0,01-0,1 mm (emission to fresh water)</v>
      </c>
      <c r="H2352" s="465">
        <v>0.89</v>
      </c>
      <c r="I2352" s="394" t="s">
        <v>1162</v>
      </c>
      <c r="J2352" s="635"/>
      <c r="K2352" s="389">
        <v>33.549999999999997</v>
      </c>
      <c r="L2352" s="536"/>
      <c r="M2352" s="509">
        <f t="shared" si="6844"/>
        <v>1.4903129657228018</v>
      </c>
      <c r="N2352" s="646"/>
      <c r="O2352" s="626"/>
      <c r="P2352" s="629"/>
      <c r="Q2352" s="629"/>
    </row>
    <row r="2353" spans="1:17" ht="15.75" hidden="1" thickBot="1">
      <c r="A2353" s="390" t="str">
        <f t="shared" ref="A2353:B2353" si="6978">A2350</f>
        <v>PBSA</v>
      </c>
      <c r="B2353" s="391" t="str">
        <f t="shared" si="6978"/>
        <v>film</v>
      </c>
      <c r="C2353" s="391">
        <f t="shared" ref="C2353" si="6979">C2352</f>
        <v>2</v>
      </c>
      <c r="D2353" s="391" t="str">
        <f t="shared" ref="D2353:E2353" si="6980">D2350</f>
        <v>0,01-0,1</v>
      </c>
      <c r="E2353" s="391">
        <f t="shared" si="6980"/>
        <v>0.1</v>
      </c>
      <c r="F2353" s="391" t="str">
        <f t="shared" ref="F2353:G2353" si="6981">F2352</f>
        <v>fresh water</v>
      </c>
      <c r="G2353" s="401" t="str">
        <f t="shared" si="6981"/>
        <v>DE: PBSA film 0,01-0,1 mm (emission to fresh water)</v>
      </c>
      <c r="H2353" s="465">
        <v>0.11</v>
      </c>
      <c r="I2353" s="394" t="s">
        <v>1163</v>
      </c>
      <c r="J2353" s="635"/>
      <c r="K2353" s="389">
        <v>33.549999999999997</v>
      </c>
      <c r="L2353" s="536"/>
      <c r="M2353" s="509">
        <f t="shared" si="6844"/>
        <v>1.4903129657228018</v>
      </c>
      <c r="N2353" s="646"/>
      <c r="O2353" s="626"/>
      <c r="P2353" s="629"/>
      <c r="Q2353" s="629"/>
    </row>
    <row r="2354" spans="1:17" ht="15.75" hidden="1" thickBot="1">
      <c r="A2354" s="390" t="str">
        <f t="shared" ref="A2354:B2354" si="6982">A2351</f>
        <v>PBSA</v>
      </c>
      <c r="B2354" s="391" t="str">
        <f t="shared" si="6982"/>
        <v>film</v>
      </c>
      <c r="C2354" s="391">
        <f t="shared" ref="C2354" si="6983">C2353</f>
        <v>2</v>
      </c>
      <c r="D2354" s="391" t="str">
        <f t="shared" ref="D2354:E2354" si="6984">D2351</f>
        <v>0,01-0,1</v>
      </c>
      <c r="E2354" s="391">
        <f t="shared" si="6984"/>
        <v>0.1</v>
      </c>
      <c r="F2354" s="402" t="str">
        <f>F2351</f>
        <v>fresh water</v>
      </c>
      <c r="G2354" s="401" t="str">
        <f t="shared" ref="G2354" si="6985">G2353</f>
        <v>DE: PBSA film 0,01-0,1 mm (emission to fresh water)</v>
      </c>
      <c r="H2354" s="465">
        <v>0</v>
      </c>
      <c r="I2354" s="397" t="s">
        <v>1034</v>
      </c>
      <c r="J2354" s="654"/>
      <c r="K2354" s="398" t="s">
        <v>596</v>
      </c>
      <c r="L2354" s="538"/>
      <c r="M2354" s="509">
        <f t="shared" si="6844"/>
        <v>0</v>
      </c>
      <c r="N2354" s="647"/>
      <c r="O2354" s="627"/>
      <c r="P2354" s="629"/>
      <c r="Q2354" s="629"/>
    </row>
    <row r="2355" spans="1:17" ht="15.75" hidden="1" thickBot="1">
      <c r="A2355" s="390" t="str">
        <f t="shared" ref="A2355:B2355" si="6986">A2352</f>
        <v>PBSA</v>
      </c>
      <c r="B2355" s="391" t="str">
        <f t="shared" si="6986"/>
        <v>film</v>
      </c>
      <c r="C2355" s="391">
        <f t="shared" ref="C2355" si="6987">C2354</f>
        <v>2</v>
      </c>
      <c r="D2355" s="391" t="str">
        <f t="shared" ref="D2355:E2355" si="6988">D2352</f>
        <v>0,01-0,1</v>
      </c>
      <c r="E2355" s="391">
        <f t="shared" si="6988"/>
        <v>0.1</v>
      </c>
      <c r="F2355" s="385" t="s">
        <v>1097</v>
      </c>
      <c r="G2355" s="422" t="str">
        <f>CONCATENATE("DE: ",A2355," ",B2355," ",D2355," mm (emission to ",F2355,")")</f>
        <v>DE: PBSA film 0,01-0,1 mm (emission to marine water)</v>
      </c>
      <c r="H2355" s="467">
        <v>0</v>
      </c>
      <c r="I2355" s="388" t="s">
        <v>1153</v>
      </c>
      <c r="J2355" s="634">
        <v>0.22800000000000001</v>
      </c>
      <c r="K2355" s="389">
        <v>50.41</v>
      </c>
      <c r="L2355" s="536"/>
      <c r="M2355" s="509">
        <f t="shared" si="6844"/>
        <v>0.99186669311644526</v>
      </c>
      <c r="N2355" s="645">
        <f t="shared" si="6835"/>
        <v>1.4903129657228018</v>
      </c>
      <c r="O2355" s="625"/>
      <c r="P2355" s="628">
        <f t="shared" si="6961"/>
        <v>1.4903129657228018</v>
      </c>
      <c r="Q2355" s="628">
        <f t="shared" ref="Q2355:Q2415" si="6989">IFERROR(IF(H2355*M2355+H2356*M2356+H2357*M2357+H2358*M2358+H2359*M2359&gt;500,500,H2355*M2355+H2356*M2356+H2357*M2357+H2358*M2358+H2359*M2359),"N.A.")</f>
        <v>1.4903129657228018</v>
      </c>
    </row>
    <row r="2356" spans="1:17" ht="15.75" hidden="1" thickBot="1">
      <c r="A2356" s="390" t="str">
        <f t="shared" ref="A2356:B2356" si="6990">A2353</f>
        <v>PBSA</v>
      </c>
      <c r="B2356" s="391" t="str">
        <f t="shared" si="6990"/>
        <v>film</v>
      </c>
      <c r="C2356" s="391">
        <f t="shared" ref="C2356" si="6991">C2355</f>
        <v>2</v>
      </c>
      <c r="D2356" s="391" t="str">
        <f t="shared" ref="D2356:E2356" si="6992">D2353</f>
        <v>0,01-0,1</v>
      </c>
      <c r="E2356" s="391">
        <f t="shared" si="6992"/>
        <v>0.1</v>
      </c>
      <c r="F2356" s="391" t="str">
        <f t="shared" ref="F2356:G2356" si="6993">F2355</f>
        <v>marine water</v>
      </c>
      <c r="G2356" s="401" t="str">
        <f t="shared" si="6993"/>
        <v>DE: PBSA film 0,01-0,1 mm (emission to marine water)</v>
      </c>
      <c r="H2356" s="465">
        <v>0</v>
      </c>
      <c r="I2356" s="394" t="s">
        <v>1097</v>
      </c>
      <c r="J2356" s="635"/>
      <c r="K2356" s="389">
        <v>33.549999999999997</v>
      </c>
      <c r="L2356" s="536"/>
      <c r="M2356" s="509">
        <f t="shared" si="6844"/>
        <v>1.4903129657228018</v>
      </c>
      <c r="N2356" s="646"/>
      <c r="O2356" s="626"/>
      <c r="P2356" s="629"/>
      <c r="Q2356" s="629"/>
    </row>
    <row r="2357" spans="1:17" ht="15.75" hidden="1" thickBot="1">
      <c r="A2357" s="390" t="str">
        <f t="shared" ref="A2357:B2357" si="6994">A2354</f>
        <v>PBSA</v>
      </c>
      <c r="B2357" s="391" t="str">
        <f t="shared" si="6994"/>
        <v>film</v>
      </c>
      <c r="C2357" s="391">
        <f t="shared" ref="C2357" si="6995">C2356</f>
        <v>2</v>
      </c>
      <c r="D2357" s="391" t="str">
        <f t="shared" ref="D2357:E2357" si="6996">D2354</f>
        <v>0,01-0,1</v>
      </c>
      <c r="E2357" s="391">
        <f t="shared" si="6996"/>
        <v>0.1</v>
      </c>
      <c r="F2357" s="391" t="str">
        <f t="shared" ref="F2357:G2357" si="6997">F2356</f>
        <v>marine water</v>
      </c>
      <c r="G2357" s="401" t="str">
        <f t="shared" si="6997"/>
        <v>DE: PBSA film 0,01-0,1 mm (emission to marine water)</v>
      </c>
      <c r="H2357" s="465">
        <v>0</v>
      </c>
      <c r="I2357" s="394" t="s">
        <v>1162</v>
      </c>
      <c r="J2357" s="635"/>
      <c r="K2357" s="389">
        <v>33.549999999999997</v>
      </c>
      <c r="L2357" s="536"/>
      <c r="M2357" s="509">
        <f t="shared" si="6844"/>
        <v>1.4903129657228018</v>
      </c>
      <c r="N2357" s="646"/>
      <c r="O2357" s="626"/>
      <c r="P2357" s="629"/>
      <c r="Q2357" s="629"/>
    </row>
    <row r="2358" spans="1:17" ht="15.75" hidden="1" thickBot="1">
      <c r="A2358" s="390" t="str">
        <f t="shared" ref="A2358:B2358" si="6998">A2355</f>
        <v>PBSA</v>
      </c>
      <c r="B2358" s="391" t="str">
        <f t="shared" si="6998"/>
        <v>film</v>
      </c>
      <c r="C2358" s="391">
        <f t="shared" ref="C2358" si="6999">C2357</f>
        <v>2</v>
      </c>
      <c r="D2358" s="391" t="str">
        <f t="shared" ref="D2358:E2358" si="7000">D2355</f>
        <v>0,01-0,1</v>
      </c>
      <c r="E2358" s="391">
        <f t="shared" si="7000"/>
        <v>0.1</v>
      </c>
      <c r="F2358" s="391" t="str">
        <f t="shared" ref="F2358:G2358" si="7001">F2357</f>
        <v>marine water</v>
      </c>
      <c r="G2358" s="401" t="str">
        <f t="shared" si="7001"/>
        <v>DE: PBSA film 0,01-0,1 mm (emission to marine water)</v>
      </c>
      <c r="H2358" s="465">
        <v>1</v>
      </c>
      <c r="I2358" s="394" t="s">
        <v>1163</v>
      </c>
      <c r="J2358" s="635"/>
      <c r="K2358" s="389">
        <v>33.549999999999997</v>
      </c>
      <c r="L2358" s="536"/>
      <c r="M2358" s="509">
        <f t="shared" si="6844"/>
        <v>1.4903129657228018</v>
      </c>
      <c r="N2358" s="646"/>
      <c r="O2358" s="626"/>
      <c r="P2358" s="629"/>
      <c r="Q2358" s="629"/>
    </row>
    <row r="2359" spans="1:17" ht="15.75" hidden="1" thickBot="1">
      <c r="A2359" s="390" t="str">
        <f t="shared" ref="A2359:B2359" si="7002">A2356</f>
        <v>PBSA</v>
      </c>
      <c r="B2359" s="391" t="str">
        <f t="shared" si="7002"/>
        <v>film</v>
      </c>
      <c r="C2359" s="391">
        <f t="shared" ref="C2359" si="7003">C2358</f>
        <v>2</v>
      </c>
      <c r="D2359" s="391" t="str">
        <f t="shared" ref="D2359:E2359" si="7004">D2356</f>
        <v>0,01-0,1</v>
      </c>
      <c r="E2359" s="391">
        <f t="shared" si="7004"/>
        <v>0.1</v>
      </c>
      <c r="F2359" s="391" t="str">
        <f t="shared" ref="F2359:G2359" si="7005">F2358</f>
        <v>marine water</v>
      </c>
      <c r="G2359" s="401" t="str">
        <f t="shared" si="7005"/>
        <v>DE: PBSA film 0,01-0,1 mm (emission to marine water)</v>
      </c>
      <c r="H2359" s="465">
        <v>0</v>
      </c>
      <c r="I2359" s="397" t="s">
        <v>1034</v>
      </c>
      <c r="J2359" s="654"/>
      <c r="K2359" s="398" t="s">
        <v>596</v>
      </c>
      <c r="L2359" s="538"/>
      <c r="M2359" s="509">
        <f t="shared" si="6844"/>
        <v>0</v>
      </c>
      <c r="N2359" s="647"/>
      <c r="O2359" s="627"/>
      <c r="P2359" s="629"/>
      <c r="Q2359" s="629"/>
    </row>
    <row r="2360" spans="1:17" ht="15.75" hidden="1" thickBot="1">
      <c r="A2360" s="390" t="str">
        <f t="shared" ref="A2360:B2360" si="7006">A2357</f>
        <v>PBSA</v>
      </c>
      <c r="B2360" s="391" t="str">
        <f t="shared" si="7006"/>
        <v>film</v>
      </c>
      <c r="C2360" s="391">
        <f t="shared" ref="C2360" si="7007">C2359</f>
        <v>2</v>
      </c>
      <c r="D2360" s="391" t="str">
        <f t="shared" ref="D2360:E2360" si="7008">D2357</f>
        <v>0,01-0,1</v>
      </c>
      <c r="E2360" s="391">
        <f t="shared" si="7008"/>
        <v>0.1</v>
      </c>
      <c r="F2360" s="400" t="s">
        <v>1057</v>
      </c>
      <c r="G2360" s="422" t="str">
        <f>CONCATENATE("DE: ",A2360," ",B2360," ",D2360," mm (emission to ",F2360,")")</f>
        <v>DE: PBSA film 0,01-0,1 mm (emission to air)</v>
      </c>
      <c r="H2360" s="467">
        <v>0.94799999999999995</v>
      </c>
      <c r="I2360" s="388" t="s">
        <v>1153</v>
      </c>
      <c r="J2360" s="634">
        <v>0.22800000000000001</v>
      </c>
      <c r="K2360" s="389">
        <v>50.41</v>
      </c>
      <c r="L2360" s="536"/>
      <c r="M2360" s="509">
        <f t="shared" si="6844"/>
        <v>0.99186669311644526</v>
      </c>
      <c r="N2360" s="645">
        <f t="shared" si="6835"/>
        <v>1.0177858992919757</v>
      </c>
      <c r="O2360" s="625"/>
      <c r="P2360" s="628">
        <f t="shared" si="6961"/>
        <v>1.0177858992919757</v>
      </c>
      <c r="Q2360" s="628">
        <f t="shared" si="6989"/>
        <v>1.0177858992919757</v>
      </c>
    </row>
    <row r="2361" spans="1:17" ht="15.75" hidden="1" thickBot="1">
      <c r="A2361" s="390" t="str">
        <f t="shared" ref="A2361:B2361" si="7009">A2358</f>
        <v>PBSA</v>
      </c>
      <c r="B2361" s="391" t="str">
        <f t="shared" si="7009"/>
        <v>film</v>
      </c>
      <c r="C2361" s="391">
        <f t="shared" ref="C2361" si="7010">C2360</f>
        <v>2</v>
      </c>
      <c r="D2361" s="391" t="str">
        <f t="shared" ref="D2361:E2361" si="7011">D2358</f>
        <v>0,01-0,1</v>
      </c>
      <c r="E2361" s="391">
        <f t="shared" si="7011"/>
        <v>0.1</v>
      </c>
      <c r="F2361" s="391" t="str">
        <f t="shared" ref="F2361:G2361" si="7012">F2360</f>
        <v>air</v>
      </c>
      <c r="G2361" s="401" t="str">
        <f t="shared" si="7012"/>
        <v>DE: PBSA film 0,01-0,1 mm (emission to air)</v>
      </c>
      <c r="H2361" s="465">
        <v>0</v>
      </c>
      <c r="I2361" s="394" t="s">
        <v>1097</v>
      </c>
      <c r="J2361" s="635"/>
      <c r="K2361" s="389">
        <v>33.549999999999997</v>
      </c>
      <c r="L2361" s="536"/>
      <c r="M2361" s="509">
        <f t="shared" si="6844"/>
        <v>1.4903129657228018</v>
      </c>
      <c r="N2361" s="646"/>
      <c r="O2361" s="626"/>
      <c r="P2361" s="629"/>
      <c r="Q2361" s="629"/>
    </row>
    <row r="2362" spans="1:17" ht="15.75" hidden="1" thickBot="1">
      <c r="A2362" s="390" t="str">
        <f t="shared" ref="A2362:B2362" si="7013">A2359</f>
        <v>PBSA</v>
      </c>
      <c r="B2362" s="391" t="str">
        <f t="shared" si="7013"/>
        <v>film</v>
      </c>
      <c r="C2362" s="391">
        <f t="shared" ref="C2362" si="7014">C2361</f>
        <v>2</v>
      </c>
      <c r="D2362" s="391" t="str">
        <f t="shared" ref="D2362:E2362" si="7015">D2359</f>
        <v>0,01-0,1</v>
      </c>
      <c r="E2362" s="391">
        <f t="shared" si="7015"/>
        <v>0.1</v>
      </c>
      <c r="F2362" s="391" t="str">
        <f t="shared" ref="F2362:G2362" si="7016">F2361</f>
        <v>air</v>
      </c>
      <c r="G2362" s="401" t="str">
        <f t="shared" si="7016"/>
        <v>DE: PBSA film 0,01-0,1 mm (emission to air)</v>
      </c>
      <c r="H2362" s="465">
        <v>4.7E-2</v>
      </c>
      <c r="I2362" s="394" t="s">
        <v>1162</v>
      </c>
      <c r="J2362" s="635"/>
      <c r="K2362" s="389">
        <v>33.549999999999997</v>
      </c>
      <c r="L2362" s="536"/>
      <c r="M2362" s="509">
        <f t="shared" si="6844"/>
        <v>1.4903129657228018</v>
      </c>
      <c r="N2362" s="646"/>
      <c r="O2362" s="626"/>
      <c r="P2362" s="629"/>
      <c r="Q2362" s="629"/>
    </row>
    <row r="2363" spans="1:17" ht="15.75" hidden="1" thickBot="1">
      <c r="A2363" s="390" t="str">
        <f t="shared" ref="A2363:B2363" si="7017">A2360</f>
        <v>PBSA</v>
      </c>
      <c r="B2363" s="391" t="str">
        <f t="shared" si="7017"/>
        <v>film</v>
      </c>
      <c r="C2363" s="391">
        <f t="shared" ref="C2363" si="7018">C2362</f>
        <v>2</v>
      </c>
      <c r="D2363" s="391" t="str">
        <f t="shared" ref="D2363:E2363" si="7019">D2360</f>
        <v>0,01-0,1</v>
      </c>
      <c r="E2363" s="391">
        <f t="shared" si="7019"/>
        <v>0.1</v>
      </c>
      <c r="F2363" s="391" t="str">
        <f t="shared" ref="F2363:G2363" si="7020">F2362</f>
        <v>air</v>
      </c>
      <c r="G2363" s="401" t="str">
        <f t="shared" si="7020"/>
        <v>DE: PBSA film 0,01-0,1 mm (emission to air)</v>
      </c>
      <c r="H2363" s="465">
        <v>5.0000000000000001E-3</v>
      </c>
      <c r="I2363" s="394" t="s">
        <v>1163</v>
      </c>
      <c r="J2363" s="635"/>
      <c r="K2363" s="389">
        <v>33.549999999999997</v>
      </c>
      <c r="L2363" s="536"/>
      <c r="M2363" s="509">
        <f t="shared" si="6844"/>
        <v>1.4903129657228018</v>
      </c>
      <c r="N2363" s="646"/>
      <c r="O2363" s="626"/>
      <c r="P2363" s="629"/>
      <c r="Q2363" s="629"/>
    </row>
    <row r="2364" spans="1:17" ht="15.75" hidden="1" thickBot="1">
      <c r="A2364" s="390" t="str">
        <f t="shared" ref="A2364:B2364" si="7021">A2359</f>
        <v>PBSA</v>
      </c>
      <c r="B2364" s="391" t="str">
        <f t="shared" si="7021"/>
        <v>film</v>
      </c>
      <c r="C2364" s="391">
        <f t="shared" ref="C2364" si="7022">C2363</f>
        <v>2</v>
      </c>
      <c r="D2364" s="391" t="str">
        <f t="shared" ref="D2364:E2364" si="7023">D2359</f>
        <v>0,01-0,1</v>
      </c>
      <c r="E2364" s="391">
        <f t="shared" si="7023"/>
        <v>0.1</v>
      </c>
      <c r="F2364" s="391" t="str">
        <f t="shared" ref="F2364:G2364" si="7024">F2363</f>
        <v>air</v>
      </c>
      <c r="G2364" s="401" t="str">
        <f t="shared" si="7024"/>
        <v>DE: PBSA film 0,01-0,1 mm (emission to air)</v>
      </c>
      <c r="H2364" s="471">
        <v>0</v>
      </c>
      <c r="I2364" s="422" t="s">
        <v>1034</v>
      </c>
      <c r="J2364" s="636"/>
      <c r="K2364" s="451" t="s">
        <v>596</v>
      </c>
      <c r="L2364" s="542"/>
      <c r="M2364" s="509">
        <f t="shared" si="6844"/>
        <v>0</v>
      </c>
      <c r="N2364" s="647"/>
      <c r="O2364" s="627"/>
      <c r="P2364" s="629"/>
      <c r="Q2364" s="629"/>
    </row>
    <row r="2365" spans="1:17" ht="15.75" hidden="1" thickBot="1">
      <c r="A2365" s="405" t="s">
        <v>654</v>
      </c>
      <c r="B2365" s="406" t="s">
        <v>996</v>
      </c>
      <c r="C2365" s="407">
        <f>IF(OR(B2365="Folie", B2365="Strips", B2365="Film",B2365="Flakes",B2365="Coupon"), 2,IF(OR(B2365="Fibers",B2365="Pellets"),4,IF(OR(B2365="Particles",B2365="Shreds",B2365="Powder",B2365="Fragments",B2365="Granules"),6,"")))</f>
        <v>2</v>
      </c>
      <c r="D2365" s="423" t="s">
        <v>1028</v>
      </c>
      <c r="E2365" s="408">
        <v>1</v>
      </c>
      <c r="F2365" s="424" t="s">
        <v>1019</v>
      </c>
      <c r="G2365" s="425" t="str">
        <f>CONCATENATE("DE: ",A2365," ",B2365," ",D2365," mm (emission to ",F2365,")")</f>
        <v>DE: PBSA film 0,1-1 mm (emission to soil)</v>
      </c>
      <c r="H2365" s="474">
        <v>0.97</v>
      </c>
      <c r="I2365" s="427" t="s">
        <v>1153</v>
      </c>
      <c r="J2365" s="632">
        <v>0.22800000000000001</v>
      </c>
      <c r="K2365" s="428">
        <v>50.41</v>
      </c>
      <c r="L2365" s="539"/>
      <c r="M2365" s="509">
        <f t="shared" si="6844"/>
        <v>9.9186669311644522</v>
      </c>
      <c r="N2365" s="645">
        <f t="shared" si="6835"/>
        <v>10.06820081294636</v>
      </c>
      <c r="O2365" s="625"/>
      <c r="P2365" s="628">
        <f t="shared" si="6961"/>
        <v>10.06820081294636</v>
      </c>
      <c r="Q2365" s="628">
        <f t="shared" si="6989"/>
        <v>10.06820081294636</v>
      </c>
    </row>
    <row r="2366" spans="1:17" ht="15.75" hidden="1" thickBot="1">
      <c r="A2366" s="390" t="str">
        <f>A2365</f>
        <v>PBSA</v>
      </c>
      <c r="B2366" s="391" t="str">
        <f>B2365</f>
        <v>film</v>
      </c>
      <c r="C2366" s="391">
        <f t="shared" ref="C2366:G2366" si="7025">C2365</f>
        <v>2</v>
      </c>
      <c r="D2366" s="391" t="str">
        <f t="shared" si="7025"/>
        <v>0,1-1</v>
      </c>
      <c r="E2366" s="391">
        <f t="shared" si="7025"/>
        <v>1</v>
      </c>
      <c r="F2366" s="391" t="str">
        <f t="shared" si="7025"/>
        <v>soil</v>
      </c>
      <c r="G2366" s="392" t="str">
        <f t="shared" si="7025"/>
        <v>DE: PBSA film 0,1-1 mm (emission to soil)</v>
      </c>
      <c r="H2366" s="465">
        <v>0</v>
      </c>
      <c r="I2366" s="394" t="s">
        <v>1097</v>
      </c>
      <c r="J2366" s="632"/>
      <c r="K2366" s="395">
        <v>33.549999999999997</v>
      </c>
      <c r="L2366" s="537"/>
      <c r="M2366" s="509">
        <f t="shared" si="6844"/>
        <v>14.903129657228019</v>
      </c>
      <c r="N2366" s="646"/>
      <c r="O2366" s="626"/>
      <c r="P2366" s="629"/>
      <c r="Q2366" s="629"/>
    </row>
    <row r="2367" spans="1:17" ht="15.75" hidden="1" thickBot="1">
      <c r="A2367" s="390" t="str">
        <f t="shared" ref="A2367:G2367" si="7026">A2366</f>
        <v>PBSA</v>
      </c>
      <c r="B2367" s="391" t="str">
        <f t="shared" si="7026"/>
        <v>film</v>
      </c>
      <c r="C2367" s="391">
        <f t="shared" si="7026"/>
        <v>2</v>
      </c>
      <c r="D2367" s="391" t="str">
        <f t="shared" si="7026"/>
        <v>0,1-1</v>
      </c>
      <c r="E2367" s="391">
        <f t="shared" si="7026"/>
        <v>1</v>
      </c>
      <c r="F2367" s="391" t="str">
        <f t="shared" si="7026"/>
        <v>soil</v>
      </c>
      <c r="G2367" s="392" t="str">
        <f t="shared" si="7026"/>
        <v>DE: PBSA film 0,1-1 mm (emission to soil)</v>
      </c>
      <c r="H2367" s="465">
        <v>2.7E-2</v>
      </c>
      <c r="I2367" s="394" t="s">
        <v>1162</v>
      </c>
      <c r="J2367" s="632"/>
      <c r="K2367" s="395">
        <v>33.549999999999997</v>
      </c>
      <c r="L2367" s="537"/>
      <c r="M2367" s="509">
        <f t="shared" si="6844"/>
        <v>14.903129657228019</v>
      </c>
      <c r="N2367" s="646"/>
      <c r="O2367" s="626"/>
      <c r="P2367" s="629"/>
      <c r="Q2367" s="629"/>
    </row>
    <row r="2368" spans="1:17" ht="15.75" hidden="1" thickBot="1">
      <c r="A2368" s="390" t="str">
        <f t="shared" ref="A2368:G2368" si="7027">A2367</f>
        <v>PBSA</v>
      </c>
      <c r="B2368" s="391" t="str">
        <f t="shared" si="7027"/>
        <v>film</v>
      </c>
      <c r="C2368" s="391">
        <f t="shared" si="7027"/>
        <v>2</v>
      </c>
      <c r="D2368" s="391" t="str">
        <f t="shared" si="7027"/>
        <v>0,1-1</v>
      </c>
      <c r="E2368" s="391">
        <f t="shared" si="7027"/>
        <v>1</v>
      </c>
      <c r="F2368" s="391" t="str">
        <f t="shared" si="7027"/>
        <v>soil</v>
      </c>
      <c r="G2368" s="392" t="str">
        <f t="shared" si="7027"/>
        <v>DE: PBSA film 0,1-1 mm (emission to soil)</v>
      </c>
      <c r="H2368" s="465">
        <v>3.0000000000000001E-3</v>
      </c>
      <c r="I2368" s="394" t="s">
        <v>1163</v>
      </c>
      <c r="J2368" s="632"/>
      <c r="K2368" s="395">
        <v>33.549999999999997</v>
      </c>
      <c r="L2368" s="537"/>
      <c r="M2368" s="509">
        <f t="shared" si="6844"/>
        <v>14.903129657228019</v>
      </c>
      <c r="N2368" s="646"/>
      <c r="O2368" s="626"/>
      <c r="P2368" s="629"/>
      <c r="Q2368" s="629"/>
    </row>
    <row r="2369" spans="1:17" ht="15.75" hidden="1" thickBot="1">
      <c r="A2369" s="390" t="str">
        <f>A2366</f>
        <v>PBSA</v>
      </c>
      <c r="B2369" s="391" t="str">
        <f>B2366</f>
        <v>film</v>
      </c>
      <c r="C2369" s="391">
        <f t="shared" ref="C2369" si="7028">C2368</f>
        <v>2</v>
      </c>
      <c r="D2369" s="391" t="str">
        <f>D2366</f>
        <v>0,1-1</v>
      </c>
      <c r="E2369" s="391">
        <f>E2366</f>
        <v>1</v>
      </c>
      <c r="F2369" s="391" t="str">
        <f>F2366</f>
        <v>soil</v>
      </c>
      <c r="G2369" s="396" t="str">
        <f t="shared" ref="G2369" si="7029">G2368</f>
        <v>DE: PBSA film 0,1-1 mm (emission to soil)</v>
      </c>
      <c r="H2369" s="465">
        <v>0</v>
      </c>
      <c r="I2369" s="397" t="s">
        <v>1034</v>
      </c>
      <c r="J2369" s="633"/>
      <c r="K2369" s="398" t="s">
        <v>596</v>
      </c>
      <c r="L2369" s="538"/>
      <c r="M2369" s="509">
        <f t="shared" si="6844"/>
        <v>0</v>
      </c>
      <c r="N2369" s="647"/>
      <c r="O2369" s="627"/>
      <c r="P2369" s="629"/>
      <c r="Q2369" s="629"/>
    </row>
    <row r="2370" spans="1:17" ht="15.75" hidden="1" thickBot="1">
      <c r="A2370" s="390" t="str">
        <f t="shared" ref="A2370:B2370" si="7030">A2367</f>
        <v>PBSA</v>
      </c>
      <c r="B2370" s="391" t="str">
        <f t="shared" si="7030"/>
        <v>film</v>
      </c>
      <c r="C2370" s="391">
        <f t="shared" ref="C2370" si="7031">C2369</f>
        <v>2</v>
      </c>
      <c r="D2370" s="399" t="str">
        <f t="shared" ref="D2370:E2370" si="7032">D2367</f>
        <v>0,1-1</v>
      </c>
      <c r="E2370" s="391">
        <f t="shared" si="7032"/>
        <v>1</v>
      </c>
      <c r="F2370" s="400" t="s">
        <v>1147</v>
      </c>
      <c r="G2370" s="386" t="str">
        <f>CONCATENATE("DE: ",A2370," ",B2370," ",D2370," mm (emission to ",F2370,")")</f>
        <v>DE: PBSA film 0,1-1 mm (emission to fresh water)</v>
      </c>
      <c r="H2370" s="466">
        <v>0</v>
      </c>
      <c r="I2370" s="388" t="s">
        <v>1153</v>
      </c>
      <c r="J2370" s="634">
        <v>0.22800000000000001</v>
      </c>
      <c r="K2370" s="389">
        <v>50.41</v>
      </c>
      <c r="L2370" s="536"/>
      <c r="M2370" s="509">
        <f t="shared" si="6844"/>
        <v>9.9186669311644522</v>
      </c>
      <c r="N2370" s="645">
        <f t="shared" ref="N2370:N2430" si="7033">IFERROR(H2370*M2370+H2371*M2371+H2372*M2372+H2373*M2373+H2374*M2374,"N.A.")</f>
        <v>14.903129657228021</v>
      </c>
      <c r="O2370" s="625"/>
      <c r="P2370" s="628">
        <f t="shared" si="6961"/>
        <v>14.903129657228021</v>
      </c>
      <c r="Q2370" s="628">
        <f t="shared" si="6989"/>
        <v>14.903129657228021</v>
      </c>
    </row>
    <row r="2371" spans="1:17" ht="15.75" hidden="1" thickBot="1">
      <c r="A2371" s="390" t="str">
        <f t="shared" ref="A2371:B2371" si="7034">A2368</f>
        <v>PBSA</v>
      </c>
      <c r="B2371" s="391" t="str">
        <f t="shared" si="7034"/>
        <v>film</v>
      </c>
      <c r="C2371" s="391">
        <f t="shared" ref="C2371" si="7035">C2370</f>
        <v>2</v>
      </c>
      <c r="D2371" s="391" t="str">
        <f t="shared" ref="D2371:E2371" si="7036">D2368</f>
        <v>0,1-1</v>
      </c>
      <c r="E2371" s="391">
        <f t="shared" si="7036"/>
        <v>1</v>
      </c>
      <c r="F2371" s="391" t="str">
        <f t="shared" ref="F2371:G2371" si="7037">F2370</f>
        <v>fresh water</v>
      </c>
      <c r="G2371" s="401" t="str">
        <f t="shared" si="7037"/>
        <v>DE: PBSA film 0,1-1 mm (emission to fresh water)</v>
      </c>
      <c r="H2371" s="465">
        <v>0</v>
      </c>
      <c r="I2371" s="394" t="s">
        <v>1097</v>
      </c>
      <c r="J2371" s="635"/>
      <c r="K2371" s="389">
        <v>33.549999999999997</v>
      </c>
      <c r="L2371" s="536"/>
      <c r="M2371" s="509">
        <f t="shared" si="6844"/>
        <v>14.903129657228019</v>
      </c>
      <c r="N2371" s="646"/>
      <c r="O2371" s="626"/>
      <c r="P2371" s="629"/>
      <c r="Q2371" s="629"/>
    </row>
    <row r="2372" spans="1:17" ht="15.75" hidden="1" thickBot="1">
      <c r="A2372" s="390" t="str">
        <f t="shared" ref="A2372:B2372" si="7038">A2369</f>
        <v>PBSA</v>
      </c>
      <c r="B2372" s="391" t="str">
        <f t="shared" si="7038"/>
        <v>film</v>
      </c>
      <c r="C2372" s="391">
        <f t="shared" ref="C2372" si="7039">C2371</f>
        <v>2</v>
      </c>
      <c r="D2372" s="391" t="str">
        <f t="shared" ref="D2372:E2372" si="7040">D2369</f>
        <v>0,1-1</v>
      </c>
      <c r="E2372" s="391">
        <f t="shared" si="7040"/>
        <v>1</v>
      </c>
      <c r="F2372" s="391" t="str">
        <f t="shared" ref="F2372:G2372" si="7041">F2371</f>
        <v>fresh water</v>
      </c>
      <c r="G2372" s="401" t="str">
        <f t="shared" si="7041"/>
        <v>DE: PBSA film 0,1-1 mm (emission to fresh water)</v>
      </c>
      <c r="H2372" s="465">
        <v>0.89</v>
      </c>
      <c r="I2372" s="394" t="s">
        <v>1162</v>
      </c>
      <c r="J2372" s="635"/>
      <c r="K2372" s="389">
        <v>33.549999999999997</v>
      </c>
      <c r="L2372" s="536"/>
      <c r="M2372" s="509">
        <f t="shared" si="6844"/>
        <v>14.903129657228019</v>
      </c>
      <c r="N2372" s="646"/>
      <c r="O2372" s="626"/>
      <c r="P2372" s="629"/>
      <c r="Q2372" s="629"/>
    </row>
    <row r="2373" spans="1:17" ht="15.75" hidden="1" thickBot="1">
      <c r="A2373" s="390" t="str">
        <f t="shared" ref="A2373:B2373" si="7042">A2370</f>
        <v>PBSA</v>
      </c>
      <c r="B2373" s="391" t="str">
        <f t="shared" si="7042"/>
        <v>film</v>
      </c>
      <c r="C2373" s="391">
        <f t="shared" ref="C2373" si="7043">C2372</f>
        <v>2</v>
      </c>
      <c r="D2373" s="391" t="str">
        <f t="shared" ref="D2373:E2373" si="7044">D2370</f>
        <v>0,1-1</v>
      </c>
      <c r="E2373" s="391">
        <f t="shared" si="7044"/>
        <v>1</v>
      </c>
      <c r="F2373" s="391" t="str">
        <f t="shared" ref="F2373:G2373" si="7045">F2372</f>
        <v>fresh water</v>
      </c>
      <c r="G2373" s="401" t="str">
        <f t="shared" si="7045"/>
        <v>DE: PBSA film 0,1-1 mm (emission to fresh water)</v>
      </c>
      <c r="H2373" s="465">
        <v>0.11</v>
      </c>
      <c r="I2373" s="394" t="s">
        <v>1163</v>
      </c>
      <c r="J2373" s="635"/>
      <c r="K2373" s="389">
        <v>33.549999999999997</v>
      </c>
      <c r="L2373" s="536"/>
      <c r="M2373" s="509">
        <f t="shared" si="6844"/>
        <v>14.903129657228019</v>
      </c>
      <c r="N2373" s="646"/>
      <c r="O2373" s="626"/>
      <c r="P2373" s="629"/>
      <c r="Q2373" s="629"/>
    </row>
    <row r="2374" spans="1:17" ht="15.75" hidden="1" thickBot="1">
      <c r="A2374" s="390" t="str">
        <f t="shared" ref="A2374:B2374" si="7046">A2371</f>
        <v>PBSA</v>
      </c>
      <c r="B2374" s="391" t="str">
        <f t="shared" si="7046"/>
        <v>film</v>
      </c>
      <c r="C2374" s="391">
        <f t="shared" ref="C2374" si="7047">C2373</f>
        <v>2</v>
      </c>
      <c r="D2374" s="391" t="str">
        <f t="shared" ref="D2374:E2374" si="7048">D2371</f>
        <v>0,1-1</v>
      </c>
      <c r="E2374" s="391">
        <f t="shared" si="7048"/>
        <v>1</v>
      </c>
      <c r="F2374" s="402" t="str">
        <f>F2371</f>
        <v>fresh water</v>
      </c>
      <c r="G2374" s="401" t="str">
        <f t="shared" ref="G2374" si="7049">G2373</f>
        <v>DE: PBSA film 0,1-1 mm (emission to fresh water)</v>
      </c>
      <c r="H2374" s="465">
        <v>0</v>
      </c>
      <c r="I2374" s="397" t="s">
        <v>1034</v>
      </c>
      <c r="J2374" s="654"/>
      <c r="K2374" s="398" t="s">
        <v>596</v>
      </c>
      <c r="L2374" s="538"/>
      <c r="M2374" s="509">
        <f t="shared" ref="M2374:M2437" si="7050">IFERROR(IF(K2374="--",0,IF(E2374*1000/K2374*(1-0.5)^(C2374/2)&gt;1000,1000,E2374*1000/K2374*(1-0.5)^(C2374/2))),1000)</f>
        <v>0</v>
      </c>
      <c r="N2374" s="647"/>
      <c r="O2374" s="627"/>
      <c r="P2374" s="629"/>
      <c r="Q2374" s="629"/>
    </row>
    <row r="2375" spans="1:17" ht="15.75" hidden="1" thickBot="1">
      <c r="A2375" s="390" t="str">
        <f t="shared" ref="A2375:B2375" si="7051">A2372</f>
        <v>PBSA</v>
      </c>
      <c r="B2375" s="391" t="str">
        <f t="shared" si="7051"/>
        <v>film</v>
      </c>
      <c r="C2375" s="391">
        <f t="shared" ref="C2375" si="7052">C2374</f>
        <v>2</v>
      </c>
      <c r="D2375" s="391" t="str">
        <f t="shared" ref="D2375:E2375" si="7053">D2372</f>
        <v>0,1-1</v>
      </c>
      <c r="E2375" s="391">
        <f t="shared" si="7053"/>
        <v>1</v>
      </c>
      <c r="F2375" s="385" t="s">
        <v>1097</v>
      </c>
      <c r="G2375" s="422" t="str">
        <f>CONCATENATE("DE: ",A2375," ",B2375," ",D2375," mm (emission to ",F2375,")")</f>
        <v>DE: PBSA film 0,1-1 mm (emission to marine water)</v>
      </c>
      <c r="H2375" s="467">
        <v>0</v>
      </c>
      <c r="I2375" s="388" t="s">
        <v>1153</v>
      </c>
      <c r="J2375" s="634">
        <v>0.22800000000000001</v>
      </c>
      <c r="K2375" s="389">
        <v>50.41</v>
      </c>
      <c r="L2375" s="536"/>
      <c r="M2375" s="509">
        <f t="shared" si="7050"/>
        <v>9.9186669311644522</v>
      </c>
      <c r="N2375" s="645">
        <f t="shared" si="7033"/>
        <v>14.903129657228019</v>
      </c>
      <c r="O2375" s="625"/>
      <c r="P2375" s="628">
        <f t="shared" si="6961"/>
        <v>14.903129657228019</v>
      </c>
      <c r="Q2375" s="628">
        <f t="shared" si="6989"/>
        <v>14.903129657228019</v>
      </c>
    </row>
    <row r="2376" spans="1:17" ht="15.75" hidden="1" thickBot="1">
      <c r="A2376" s="390" t="str">
        <f t="shared" ref="A2376:B2376" si="7054">A2373</f>
        <v>PBSA</v>
      </c>
      <c r="B2376" s="391" t="str">
        <f t="shared" si="7054"/>
        <v>film</v>
      </c>
      <c r="C2376" s="391">
        <f t="shared" ref="C2376" si="7055">C2375</f>
        <v>2</v>
      </c>
      <c r="D2376" s="391" t="str">
        <f t="shared" ref="D2376:E2376" si="7056">D2373</f>
        <v>0,1-1</v>
      </c>
      <c r="E2376" s="391">
        <f t="shared" si="7056"/>
        <v>1</v>
      </c>
      <c r="F2376" s="391" t="str">
        <f t="shared" ref="F2376:G2376" si="7057">F2375</f>
        <v>marine water</v>
      </c>
      <c r="G2376" s="401" t="str">
        <f t="shared" si="7057"/>
        <v>DE: PBSA film 0,1-1 mm (emission to marine water)</v>
      </c>
      <c r="H2376" s="465">
        <v>0</v>
      </c>
      <c r="I2376" s="394" t="s">
        <v>1097</v>
      </c>
      <c r="J2376" s="635"/>
      <c r="K2376" s="389">
        <v>33.549999999999997</v>
      </c>
      <c r="L2376" s="536"/>
      <c r="M2376" s="509">
        <f t="shared" si="7050"/>
        <v>14.903129657228019</v>
      </c>
      <c r="N2376" s="646"/>
      <c r="O2376" s="626"/>
      <c r="P2376" s="629"/>
      <c r="Q2376" s="629"/>
    </row>
    <row r="2377" spans="1:17" ht="15.75" hidden="1" thickBot="1">
      <c r="A2377" s="390" t="str">
        <f t="shared" ref="A2377:B2377" si="7058">A2374</f>
        <v>PBSA</v>
      </c>
      <c r="B2377" s="391" t="str">
        <f t="shared" si="7058"/>
        <v>film</v>
      </c>
      <c r="C2377" s="391">
        <f t="shared" ref="C2377" si="7059">C2376</f>
        <v>2</v>
      </c>
      <c r="D2377" s="391" t="str">
        <f t="shared" ref="D2377:E2377" si="7060">D2374</f>
        <v>0,1-1</v>
      </c>
      <c r="E2377" s="391">
        <f t="shared" si="7060"/>
        <v>1</v>
      </c>
      <c r="F2377" s="391" t="str">
        <f t="shared" ref="F2377:G2377" si="7061">F2376</f>
        <v>marine water</v>
      </c>
      <c r="G2377" s="401" t="str">
        <f t="shared" si="7061"/>
        <v>DE: PBSA film 0,1-1 mm (emission to marine water)</v>
      </c>
      <c r="H2377" s="465">
        <v>0</v>
      </c>
      <c r="I2377" s="394" t="s">
        <v>1162</v>
      </c>
      <c r="J2377" s="635"/>
      <c r="K2377" s="389">
        <v>33.549999999999997</v>
      </c>
      <c r="L2377" s="536"/>
      <c r="M2377" s="509">
        <f t="shared" si="7050"/>
        <v>14.903129657228019</v>
      </c>
      <c r="N2377" s="646"/>
      <c r="O2377" s="626"/>
      <c r="P2377" s="629"/>
      <c r="Q2377" s="629"/>
    </row>
    <row r="2378" spans="1:17" ht="15.75" hidden="1" thickBot="1">
      <c r="A2378" s="390" t="str">
        <f t="shared" ref="A2378:B2378" si="7062">A2375</f>
        <v>PBSA</v>
      </c>
      <c r="B2378" s="391" t="str">
        <f t="shared" si="7062"/>
        <v>film</v>
      </c>
      <c r="C2378" s="391">
        <f t="shared" ref="C2378" si="7063">C2377</f>
        <v>2</v>
      </c>
      <c r="D2378" s="391" t="str">
        <f t="shared" ref="D2378:E2378" si="7064">D2375</f>
        <v>0,1-1</v>
      </c>
      <c r="E2378" s="391">
        <f t="shared" si="7064"/>
        <v>1</v>
      </c>
      <c r="F2378" s="391" t="str">
        <f t="shared" ref="F2378:G2378" si="7065">F2377</f>
        <v>marine water</v>
      </c>
      <c r="G2378" s="401" t="str">
        <f t="shared" si="7065"/>
        <v>DE: PBSA film 0,1-1 mm (emission to marine water)</v>
      </c>
      <c r="H2378" s="465">
        <v>1</v>
      </c>
      <c r="I2378" s="394" t="s">
        <v>1163</v>
      </c>
      <c r="J2378" s="635"/>
      <c r="K2378" s="389">
        <v>33.549999999999997</v>
      </c>
      <c r="L2378" s="536"/>
      <c r="M2378" s="509">
        <f t="shared" si="7050"/>
        <v>14.903129657228019</v>
      </c>
      <c r="N2378" s="646"/>
      <c r="O2378" s="626"/>
      <c r="P2378" s="629"/>
      <c r="Q2378" s="629"/>
    </row>
    <row r="2379" spans="1:17" ht="15.75" hidden="1" thickBot="1">
      <c r="A2379" s="390" t="str">
        <f t="shared" ref="A2379:B2379" si="7066">A2376</f>
        <v>PBSA</v>
      </c>
      <c r="B2379" s="391" t="str">
        <f t="shared" si="7066"/>
        <v>film</v>
      </c>
      <c r="C2379" s="391">
        <f t="shared" ref="C2379" si="7067">C2378</f>
        <v>2</v>
      </c>
      <c r="D2379" s="391" t="str">
        <f t="shared" ref="D2379:E2379" si="7068">D2376</f>
        <v>0,1-1</v>
      </c>
      <c r="E2379" s="391">
        <f t="shared" si="7068"/>
        <v>1</v>
      </c>
      <c r="F2379" s="391" t="str">
        <f t="shared" ref="F2379:G2379" si="7069">F2378</f>
        <v>marine water</v>
      </c>
      <c r="G2379" s="401" t="str">
        <f t="shared" si="7069"/>
        <v>DE: PBSA film 0,1-1 mm (emission to marine water)</v>
      </c>
      <c r="H2379" s="465">
        <v>0</v>
      </c>
      <c r="I2379" s="397" t="s">
        <v>1034</v>
      </c>
      <c r="J2379" s="654"/>
      <c r="K2379" s="398" t="s">
        <v>596</v>
      </c>
      <c r="L2379" s="538"/>
      <c r="M2379" s="509">
        <f t="shared" si="7050"/>
        <v>0</v>
      </c>
      <c r="N2379" s="647"/>
      <c r="O2379" s="627"/>
      <c r="P2379" s="629"/>
      <c r="Q2379" s="629"/>
    </row>
    <row r="2380" spans="1:17" ht="15.75" hidden="1" thickBot="1">
      <c r="A2380" s="390" t="str">
        <f t="shared" ref="A2380:B2380" si="7070">A2377</f>
        <v>PBSA</v>
      </c>
      <c r="B2380" s="391" t="str">
        <f t="shared" si="7070"/>
        <v>film</v>
      </c>
      <c r="C2380" s="391">
        <f t="shared" ref="C2380" si="7071">C2379</f>
        <v>2</v>
      </c>
      <c r="D2380" s="391" t="str">
        <f t="shared" ref="D2380:E2380" si="7072">D2377</f>
        <v>0,1-1</v>
      </c>
      <c r="E2380" s="391">
        <f t="shared" si="7072"/>
        <v>1</v>
      </c>
      <c r="F2380" s="400" t="s">
        <v>1057</v>
      </c>
      <c r="G2380" s="422" t="str">
        <f>CONCATENATE("DE: ",A2380," ",B2380," ",D2380," mm (emission to ",F2380,")")</f>
        <v>DE: PBSA film 0,1-1 mm (emission to air)</v>
      </c>
      <c r="H2380" s="467">
        <v>0.94799999999999995</v>
      </c>
      <c r="I2380" s="388" t="s">
        <v>1153</v>
      </c>
      <c r="J2380" s="634">
        <v>0.22800000000000001</v>
      </c>
      <c r="K2380" s="389">
        <v>50.41</v>
      </c>
      <c r="L2380" s="536"/>
      <c r="M2380" s="509">
        <f t="shared" si="7050"/>
        <v>9.9186669311644522</v>
      </c>
      <c r="N2380" s="645">
        <f t="shared" si="7033"/>
        <v>10.177858992919758</v>
      </c>
      <c r="O2380" s="625"/>
      <c r="P2380" s="628">
        <f t="shared" si="6961"/>
        <v>10.177858992919758</v>
      </c>
      <c r="Q2380" s="628">
        <f t="shared" si="6989"/>
        <v>10.177858992919758</v>
      </c>
    </row>
    <row r="2381" spans="1:17" ht="15.75" hidden="1" thickBot="1">
      <c r="A2381" s="390" t="str">
        <f t="shared" ref="A2381:B2381" si="7073">A2378</f>
        <v>PBSA</v>
      </c>
      <c r="B2381" s="391" t="str">
        <f t="shared" si="7073"/>
        <v>film</v>
      </c>
      <c r="C2381" s="391">
        <f t="shared" ref="C2381" si="7074">C2380</f>
        <v>2</v>
      </c>
      <c r="D2381" s="391" t="str">
        <f t="shared" ref="D2381:E2381" si="7075">D2378</f>
        <v>0,1-1</v>
      </c>
      <c r="E2381" s="391">
        <f t="shared" si="7075"/>
        <v>1</v>
      </c>
      <c r="F2381" s="391" t="str">
        <f t="shared" ref="F2381:G2381" si="7076">F2380</f>
        <v>air</v>
      </c>
      <c r="G2381" s="401" t="str">
        <f t="shared" si="7076"/>
        <v>DE: PBSA film 0,1-1 mm (emission to air)</v>
      </c>
      <c r="H2381" s="465">
        <v>0</v>
      </c>
      <c r="I2381" s="394" t="s">
        <v>1097</v>
      </c>
      <c r="J2381" s="635"/>
      <c r="K2381" s="389">
        <v>33.549999999999997</v>
      </c>
      <c r="L2381" s="536"/>
      <c r="M2381" s="509">
        <f t="shared" si="7050"/>
        <v>14.903129657228019</v>
      </c>
      <c r="N2381" s="646"/>
      <c r="O2381" s="626"/>
      <c r="P2381" s="629"/>
      <c r="Q2381" s="629"/>
    </row>
    <row r="2382" spans="1:17" ht="15.75" hidden="1" thickBot="1">
      <c r="A2382" s="390" t="str">
        <f t="shared" ref="A2382:B2382" si="7077">A2379</f>
        <v>PBSA</v>
      </c>
      <c r="B2382" s="391" t="str">
        <f t="shared" si="7077"/>
        <v>film</v>
      </c>
      <c r="C2382" s="391">
        <f t="shared" ref="C2382" si="7078">C2381</f>
        <v>2</v>
      </c>
      <c r="D2382" s="391" t="str">
        <f t="shared" ref="D2382:E2382" si="7079">D2379</f>
        <v>0,1-1</v>
      </c>
      <c r="E2382" s="391">
        <f t="shared" si="7079"/>
        <v>1</v>
      </c>
      <c r="F2382" s="391" t="str">
        <f t="shared" ref="F2382:G2382" si="7080">F2381</f>
        <v>air</v>
      </c>
      <c r="G2382" s="401" t="str">
        <f t="shared" si="7080"/>
        <v>DE: PBSA film 0,1-1 mm (emission to air)</v>
      </c>
      <c r="H2382" s="465">
        <v>4.7E-2</v>
      </c>
      <c r="I2382" s="394" t="s">
        <v>1162</v>
      </c>
      <c r="J2382" s="635"/>
      <c r="K2382" s="389">
        <v>33.549999999999997</v>
      </c>
      <c r="L2382" s="536"/>
      <c r="M2382" s="509">
        <f t="shared" si="7050"/>
        <v>14.903129657228019</v>
      </c>
      <c r="N2382" s="646"/>
      <c r="O2382" s="626"/>
      <c r="P2382" s="629"/>
      <c r="Q2382" s="629"/>
    </row>
    <row r="2383" spans="1:17" ht="15.75" hidden="1" thickBot="1">
      <c r="A2383" s="390" t="str">
        <f t="shared" ref="A2383:B2383" si="7081">A2380</f>
        <v>PBSA</v>
      </c>
      <c r="B2383" s="391" t="str">
        <f t="shared" si="7081"/>
        <v>film</v>
      </c>
      <c r="C2383" s="391">
        <f t="shared" ref="C2383" si="7082">C2382</f>
        <v>2</v>
      </c>
      <c r="D2383" s="391" t="str">
        <f t="shared" ref="D2383:E2383" si="7083">D2380</f>
        <v>0,1-1</v>
      </c>
      <c r="E2383" s="391">
        <f t="shared" si="7083"/>
        <v>1</v>
      </c>
      <c r="F2383" s="391" t="str">
        <f t="shared" ref="F2383:G2383" si="7084">F2382</f>
        <v>air</v>
      </c>
      <c r="G2383" s="401" t="str">
        <f t="shared" si="7084"/>
        <v>DE: PBSA film 0,1-1 mm (emission to air)</v>
      </c>
      <c r="H2383" s="465">
        <v>5.0000000000000001E-3</v>
      </c>
      <c r="I2383" s="394" t="s">
        <v>1163</v>
      </c>
      <c r="J2383" s="635"/>
      <c r="K2383" s="389">
        <v>33.549999999999997</v>
      </c>
      <c r="L2383" s="536"/>
      <c r="M2383" s="509">
        <f t="shared" si="7050"/>
        <v>14.903129657228019</v>
      </c>
      <c r="N2383" s="646"/>
      <c r="O2383" s="626"/>
      <c r="P2383" s="629"/>
      <c r="Q2383" s="629"/>
    </row>
    <row r="2384" spans="1:17" ht="15.75" hidden="1" thickBot="1">
      <c r="A2384" s="452" t="str">
        <f t="shared" ref="A2384:B2384" si="7085">A2379</f>
        <v>PBSA</v>
      </c>
      <c r="B2384" s="453" t="str">
        <f t="shared" si="7085"/>
        <v>film</v>
      </c>
      <c r="C2384" s="453">
        <f t="shared" ref="C2384" si="7086">C2383</f>
        <v>2</v>
      </c>
      <c r="D2384" s="453" t="str">
        <f t="shared" ref="D2384:E2384" si="7087">D2379</f>
        <v>0,1-1</v>
      </c>
      <c r="E2384" s="453">
        <f t="shared" si="7087"/>
        <v>1</v>
      </c>
      <c r="F2384" s="453" t="str">
        <f t="shared" ref="F2384:G2384" si="7088">F2383</f>
        <v>air</v>
      </c>
      <c r="G2384" s="454" t="str">
        <f t="shared" si="7088"/>
        <v>DE: PBSA film 0,1-1 mm (emission to air)</v>
      </c>
      <c r="H2384" s="473">
        <v>0</v>
      </c>
      <c r="I2384" s="456" t="s">
        <v>1034</v>
      </c>
      <c r="J2384" s="636"/>
      <c r="K2384" s="457" t="s">
        <v>596</v>
      </c>
      <c r="L2384" s="543"/>
      <c r="M2384" s="509">
        <f t="shared" si="7050"/>
        <v>0</v>
      </c>
      <c r="N2384" s="647"/>
      <c r="O2384" s="627"/>
      <c r="P2384" s="629"/>
      <c r="Q2384" s="629"/>
    </row>
    <row r="2385" spans="1:17" ht="15.75" hidden="1" thickBot="1">
      <c r="A2385" s="381" t="s">
        <v>654</v>
      </c>
      <c r="B2385" s="382" t="s">
        <v>996</v>
      </c>
      <c r="C2385" s="383">
        <f>IF(OR(B2385="Folie", B2385="Strips", B2385="Film",B2385="Flakes",B2385="Coupon"), 2,IF(OR(B2385="Fibers",B2385="Pellets"),4,IF(OR(B2385="Particles",B2385="Shreds",B2385="Powder",B2385="Fragments",B2385="Granules"),6,"")))</f>
        <v>2</v>
      </c>
      <c r="D2385" s="475" t="s">
        <v>1026</v>
      </c>
      <c r="E2385" s="384">
        <v>10</v>
      </c>
      <c r="F2385" s="385" t="s">
        <v>1019</v>
      </c>
      <c r="G2385" s="386" t="str">
        <f>CONCATENATE("DE: ",A2385," ",B2385," ",D2385," mm (emission to ",F2385,")")</f>
        <v>DE: PBSA film 1-10 mm (emission to soil)</v>
      </c>
      <c r="H2385" s="466">
        <v>0.97</v>
      </c>
      <c r="I2385" s="388" t="s">
        <v>1153</v>
      </c>
      <c r="J2385" s="632">
        <v>0.22800000000000001</v>
      </c>
      <c r="K2385" s="389">
        <v>50.41</v>
      </c>
      <c r="L2385" s="536"/>
      <c r="M2385" s="509">
        <f t="shared" si="7050"/>
        <v>99.186669311644522</v>
      </c>
      <c r="N2385" s="645">
        <f t="shared" si="7033"/>
        <v>100.6820081294636</v>
      </c>
      <c r="O2385" s="625"/>
      <c r="P2385" s="628">
        <f t="shared" si="6961"/>
        <v>100</v>
      </c>
      <c r="Q2385" s="628">
        <f t="shared" si="6989"/>
        <v>100.6820081294636</v>
      </c>
    </row>
    <row r="2386" spans="1:17" ht="15.75" hidden="1" thickBot="1">
      <c r="A2386" s="390" t="str">
        <f>A2385</f>
        <v>PBSA</v>
      </c>
      <c r="B2386" s="391" t="str">
        <f>B2385</f>
        <v>film</v>
      </c>
      <c r="C2386" s="391">
        <f t="shared" ref="C2386:G2386" si="7089">C2385</f>
        <v>2</v>
      </c>
      <c r="D2386" s="391" t="str">
        <f t="shared" si="7089"/>
        <v>1-10</v>
      </c>
      <c r="E2386" s="391">
        <f t="shared" si="7089"/>
        <v>10</v>
      </c>
      <c r="F2386" s="391" t="str">
        <f t="shared" si="7089"/>
        <v>soil</v>
      </c>
      <c r="G2386" s="392" t="str">
        <f t="shared" si="7089"/>
        <v>DE: PBSA film 1-10 mm (emission to soil)</v>
      </c>
      <c r="H2386" s="465">
        <v>0</v>
      </c>
      <c r="I2386" s="394" t="s">
        <v>1097</v>
      </c>
      <c r="J2386" s="632"/>
      <c r="K2386" s="389">
        <v>33.549999999999997</v>
      </c>
      <c r="L2386" s="537"/>
      <c r="M2386" s="509">
        <f t="shared" si="7050"/>
        <v>149.03129657228018</v>
      </c>
      <c r="N2386" s="646"/>
      <c r="O2386" s="626"/>
      <c r="P2386" s="629"/>
      <c r="Q2386" s="629"/>
    </row>
    <row r="2387" spans="1:17" ht="15.75" hidden="1" thickBot="1">
      <c r="A2387" s="390" t="str">
        <f t="shared" ref="A2387:G2387" si="7090">A2386</f>
        <v>PBSA</v>
      </c>
      <c r="B2387" s="391" t="str">
        <f t="shared" si="7090"/>
        <v>film</v>
      </c>
      <c r="C2387" s="391">
        <f t="shared" si="7090"/>
        <v>2</v>
      </c>
      <c r="D2387" s="391" t="str">
        <f t="shared" si="7090"/>
        <v>1-10</v>
      </c>
      <c r="E2387" s="391">
        <f t="shared" si="7090"/>
        <v>10</v>
      </c>
      <c r="F2387" s="391" t="str">
        <f t="shared" si="7090"/>
        <v>soil</v>
      </c>
      <c r="G2387" s="392" t="str">
        <f t="shared" si="7090"/>
        <v>DE: PBSA film 1-10 mm (emission to soil)</v>
      </c>
      <c r="H2387" s="465">
        <v>2.7E-2</v>
      </c>
      <c r="I2387" s="394" t="s">
        <v>1162</v>
      </c>
      <c r="J2387" s="632"/>
      <c r="K2387" s="389">
        <v>33.549999999999997</v>
      </c>
      <c r="L2387" s="537"/>
      <c r="M2387" s="509">
        <f t="shared" si="7050"/>
        <v>149.03129657228018</v>
      </c>
      <c r="N2387" s="646"/>
      <c r="O2387" s="626"/>
      <c r="P2387" s="629"/>
      <c r="Q2387" s="629"/>
    </row>
    <row r="2388" spans="1:17" ht="15.75" hidden="1" thickBot="1">
      <c r="A2388" s="390" t="str">
        <f t="shared" ref="A2388:G2388" si="7091">A2387</f>
        <v>PBSA</v>
      </c>
      <c r="B2388" s="391" t="str">
        <f t="shared" si="7091"/>
        <v>film</v>
      </c>
      <c r="C2388" s="391">
        <f t="shared" si="7091"/>
        <v>2</v>
      </c>
      <c r="D2388" s="391" t="str">
        <f t="shared" si="7091"/>
        <v>1-10</v>
      </c>
      <c r="E2388" s="391">
        <f t="shared" si="7091"/>
        <v>10</v>
      </c>
      <c r="F2388" s="391" t="str">
        <f t="shared" si="7091"/>
        <v>soil</v>
      </c>
      <c r="G2388" s="392" t="str">
        <f t="shared" si="7091"/>
        <v>DE: PBSA film 1-10 mm (emission to soil)</v>
      </c>
      <c r="H2388" s="465">
        <v>3.0000000000000001E-3</v>
      </c>
      <c r="I2388" s="394" t="s">
        <v>1163</v>
      </c>
      <c r="J2388" s="632"/>
      <c r="K2388" s="389">
        <v>33.549999999999997</v>
      </c>
      <c r="L2388" s="537"/>
      <c r="M2388" s="509">
        <f t="shared" si="7050"/>
        <v>149.03129657228018</v>
      </c>
      <c r="N2388" s="646"/>
      <c r="O2388" s="626"/>
      <c r="P2388" s="629"/>
      <c r="Q2388" s="629"/>
    </row>
    <row r="2389" spans="1:17" ht="15.75" hidden="1" thickBot="1">
      <c r="A2389" s="390" t="str">
        <f>A2386</f>
        <v>PBSA</v>
      </c>
      <c r="B2389" s="391" t="str">
        <f>B2386</f>
        <v>film</v>
      </c>
      <c r="C2389" s="391">
        <f t="shared" ref="C2389" si="7092">C2388</f>
        <v>2</v>
      </c>
      <c r="D2389" s="391" t="str">
        <f>D2386</f>
        <v>1-10</v>
      </c>
      <c r="E2389" s="391">
        <f>E2386</f>
        <v>10</v>
      </c>
      <c r="F2389" s="391" t="str">
        <f>F2386</f>
        <v>soil</v>
      </c>
      <c r="G2389" s="396" t="str">
        <f t="shared" ref="G2389" si="7093">G2388</f>
        <v>DE: PBSA film 1-10 mm (emission to soil)</v>
      </c>
      <c r="H2389" s="465">
        <v>0</v>
      </c>
      <c r="I2389" s="397" t="s">
        <v>1034</v>
      </c>
      <c r="J2389" s="633"/>
      <c r="K2389" s="398" t="s">
        <v>596</v>
      </c>
      <c r="L2389" s="538"/>
      <c r="M2389" s="509">
        <f t="shared" si="7050"/>
        <v>0</v>
      </c>
      <c r="N2389" s="647"/>
      <c r="O2389" s="627"/>
      <c r="P2389" s="629"/>
      <c r="Q2389" s="629"/>
    </row>
    <row r="2390" spans="1:17" ht="15.75" hidden="1" thickBot="1">
      <c r="A2390" s="390" t="str">
        <f t="shared" ref="A2390:B2390" si="7094">A2387</f>
        <v>PBSA</v>
      </c>
      <c r="B2390" s="391" t="str">
        <f t="shared" si="7094"/>
        <v>film</v>
      </c>
      <c r="C2390" s="391">
        <f t="shared" ref="C2390" si="7095">C2389</f>
        <v>2</v>
      </c>
      <c r="D2390" s="399" t="str">
        <f t="shared" ref="D2390:E2390" si="7096">D2387</f>
        <v>1-10</v>
      </c>
      <c r="E2390" s="391">
        <f t="shared" si="7096"/>
        <v>10</v>
      </c>
      <c r="F2390" s="400" t="s">
        <v>1147</v>
      </c>
      <c r="G2390" s="386" t="str">
        <f>CONCATENATE("DE: ",A2390," ",B2390," ",D2390," mm (emission to ",F2390,")")</f>
        <v>DE: PBSA film 1-10 mm (emission to fresh water)</v>
      </c>
      <c r="H2390" s="466">
        <v>0</v>
      </c>
      <c r="I2390" s="388" t="s">
        <v>1153</v>
      </c>
      <c r="J2390" s="634">
        <v>0.22800000000000001</v>
      </c>
      <c r="K2390" s="389">
        <v>50.41</v>
      </c>
      <c r="L2390" s="536"/>
      <c r="M2390" s="509">
        <f t="shared" si="7050"/>
        <v>99.186669311644522</v>
      </c>
      <c r="N2390" s="645">
        <f t="shared" si="7033"/>
        <v>149.03129657228018</v>
      </c>
      <c r="O2390" s="625"/>
      <c r="P2390" s="628">
        <f t="shared" si="6961"/>
        <v>100</v>
      </c>
      <c r="Q2390" s="628">
        <f t="shared" si="6989"/>
        <v>149.03129657228018</v>
      </c>
    </row>
    <row r="2391" spans="1:17" ht="15.75" hidden="1" thickBot="1">
      <c r="A2391" s="390" t="str">
        <f t="shared" ref="A2391:B2391" si="7097">A2388</f>
        <v>PBSA</v>
      </c>
      <c r="B2391" s="391" t="str">
        <f t="shared" si="7097"/>
        <v>film</v>
      </c>
      <c r="C2391" s="391">
        <f t="shared" ref="C2391" si="7098">C2390</f>
        <v>2</v>
      </c>
      <c r="D2391" s="391" t="str">
        <f t="shared" ref="D2391:E2391" si="7099">D2388</f>
        <v>1-10</v>
      </c>
      <c r="E2391" s="391">
        <f t="shared" si="7099"/>
        <v>10</v>
      </c>
      <c r="F2391" s="391" t="str">
        <f t="shared" ref="F2391:G2391" si="7100">F2390</f>
        <v>fresh water</v>
      </c>
      <c r="G2391" s="401" t="str">
        <f t="shared" si="7100"/>
        <v>DE: PBSA film 1-10 mm (emission to fresh water)</v>
      </c>
      <c r="H2391" s="465">
        <v>0</v>
      </c>
      <c r="I2391" s="394" t="s">
        <v>1097</v>
      </c>
      <c r="J2391" s="635"/>
      <c r="K2391" s="389">
        <v>33.549999999999997</v>
      </c>
      <c r="L2391" s="536"/>
      <c r="M2391" s="509">
        <f t="shared" si="7050"/>
        <v>149.03129657228018</v>
      </c>
      <c r="N2391" s="646"/>
      <c r="O2391" s="626"/>
      <c r="P2391" s="629"/>
      <c r="Q2391" s="629"/>
    </row>
    <row r="2392" spans="1:17" ht="15.75" hidden="1" thickBot="1">
      <c r="A2392" s="390" t="str">
        <f t="shared" ref="A2392:B2392" si="7101">A2389</f>
        <v>PBSA</v>
      </c>
      <c r="B2392" s="391" t="str">
        <f t="shared" si="7101"/>
        <v>film</v>
      </c>
      <c r="C2392" s="391">
        <f t="shared" ref="C2392" si="7102">C2391</f>
        <v>2</v>
      </c>
      <c r="D2392" s="391" t="str">
        <f t="shared" ref="D2392:E2392" si="7103">D2389</f>
        <v>1-10</v>
      </c>
      <c r="E2392" s="391">
        <f t="shared" si="7103"/>
        <v>10</v>
      </c>
      <c r="F2392" s="391" t="str">
        <f t="shared" ref="F2392:G2392" si="7104">F2391</f>
        <v>fresh water</v>
      </c>
      <c r="G2392" s="401" t="str">
        <f t="shared" si="7104"/>
        <v>DE: PBSA film 1-10 mm (emission to fresh water)</v>
      </c>
      <c r="H2392" s="465">
        <v>0.89</v>
      </c>
      <c r="I2392" s="394" t="s">
        <v>1162</v>
      </c>
      <c r="J2392" s="635"/>
      <c r="K2392" s="389">
        <v>33.549999999999997</v>
      </c>
      <c r="L2392" s="536"/>
      <c r="M2392" s="509">
        <f t="shared" si="7050"/>
        <v>149.03129657228018</v>
      </c>
      <c r="N2392" s="646"/>
      <c r="O2392" s="626"/>
      <c r="P2392" s="629"/>
      <c r="Q2392" s="629"/>
    </row>
    <row r="2393" spans="1:17" ht="15.75" hidden="1" thickBot="1">
      <c r="A2393" s="390" t="str">
        <f t="shared" ref="A2393:B2393" si="7105">A2390</f>
        <v>PBSA</v>
      </c>
      <c r="B2393" s="391" t="str">
        <f t="shared" si="7105"/>
        <v>film</v>
      </c>
      <c r="C2393" s="391">
        <f t="shared" ref="C2393" si="7106">C2392</f>
        <v>2</v>
      </c>
      <c r="D2393" s="391" t="str">
        <f t="shared" ref="D2393:E2393" si="7107">D2390</f>
        <v>1-10</v>
      </c>
      <c r="E2393" s="391">
        <f t="shared" si="7107"/>
        <v>10</v>
      </c>
      <c r="F2393" s="391" t="str">
        <f t="shared" ref="F2393:G2393" si="7108">F2392</f>
        <v>fresh water</v>
      </c>
      <c r="G2393" s="401" t="str">
        <f t="shared" si="7108"/>
        <v>DE: PBSA film 1-10 mm (emission to fresh water)</v>
      </c>
      <c r="H2393" s="465">
        <v>0.11</v>
      </c>
      <c r="I2393" s="394" t="s">
        <v>1163</v>
      </c>
      <c r="J2393" s="635"/>
      <c r="K2393" s="389">
        <v>33.549999999999997</v>
      </c>
      <c r="L2393" s="536"/>
      <c r="M2393" s="509">
        <f t="shared" si="7050"/>
        <v>149.03129657228018</v>
      </c>
      <c r="N2393" s="646"/>
      <c r="O2393" s="626"/>
      <c r="P2393" s="629"/>
      <c r="Q2393" s="629"/>
    </row>
    <row r="2394" spans="1:17" ht="15.75" hidden="1" thickBot="1">
      <c r="A2394" s="390" t="str">
        <f t="shared" ref="A2394:B2394" si="7109">A2391</f>
        <v>PBSA</v>
      </c>
      <c r="B2394" s="391" t="str">
        <f t="shared" si="7109"/>
        <v>film</v>
      </c>
      <c r="C2394" s="391">
        <f t="shared" ref="C2394" si="7110">C2393</f>
        <v>2</v>
      </c>
      <c r="D2394" s="391" t="str">
        <f t="shared" ref="D2394:E2394" si="7111">D2391</f>
        <v>1-10</v>
      </c>
      <c r="E2394" s="391">
        <f t="shared" si="7111"/>
        <v>10</v>
      </c>
      <c r="F2394" s="402" t="str">
        <f>F2391</f>
        <v>fresh water</v>
      </c>
      <c r="G2394" s="401" t="str">
        <f t="shared" ref="G2394" si="7112">G2393</f>
        <v>DE: PBSA film 1-10 mm (emission to fresh water)</v>
      </c>
      <c r="H2394" s="465">
        <v>0</v>
      </c>
      <c r="I2394" s="397" t="s">
        <v>1034</v>
      </c>
      <c r="J2394" s="654"/>
      <c r="K2394" s="398" t="s">
        <v>596</v>
      </c>
      <c r="L2394" s="538"/>
      <c r="M2394" s="509">
        <f t="shared" si="7050"/>
        <v>0</v>
      </c>
      <c r="N2394" s="647"/>
      <c r="O2394" s="627"/>
      <c r="P2394" s="629"/>
      <c r="Q2394" s="629"/>
    </row>
    <row r="2395" spans="1:17" ht="15.75" hidden="1" thickBot="1">
      <c r="A2395" s="390" t="str">
        <f t="shared" ref="A2395:B2395" si="7113">A2392</f>
        <v>PBSA</v>
      </c>
      <c r="B2395" s="391" t="str">
        <f t="shared" si="7113"/>
        <v>film</v>
      </c>
      <c r="C2395" s="391">
        <f t="shared" ref="C2395" si="7114">C2394</f>
        <v>2</v>
      </c>
      <c r="D2395" s="391" t="str">
        <f t="shared" ref="D2395:E2395" si="7115">D2392</f>
        <v>1-10</v>
      </c>
      <c r="E2395" s="391">
        <f t="shared" si="7115"/>
        <v>10</v>
      </c>
      <c r="F2395" s="385" t="s">
        <v>1097</v>
      </c>
      <c r="G2395" s="422" t="str">
        <f>CONCATENATE("DE: ",A2395," ",B2395," ",D2395," mm (emission to ",F2395,")")</f>
        <v>DE: PBSA film 1-10 mm (emission to marine water)</v>
      </c>
      <c r="H2395" s="467">
        <v>0</v>
      </c>
      <c r="I2395" s="388" t="s">
        <v>1153</v>
      </c>
      <c r="J2395" s="634">
        <v>0.22800000000000001</v>
      </c>
      <c r="K2395" s="389">
        <v>50.41</v>
      </c>
      <c r="L2395" s="536"/>
      <c r="M2395" s="509">
        <f t="shared" si="7050"/>
        <v>99.186669311644522</v>
      </c>
      <c r="N2395" s="645">
        <f t="shared" si="7033"/>
        <v>149.03129657228018</v>
      </c>
      <c r="O2395" s="625"/>
      <c r="P2395" s="628">
        <f t="shared" si="6961"/>
        <v>100</v>
      </c>
      <c r="Q2395" s="628">
        <f t="shared" si="6989"/>
        <v>149.03129657228018</v>
      </c>
    </row>
    <row r="2396" spans="1:17" ht="15.75" hidden="1" thickBot="1">
      <c r="A2396" s="390" t="str">
        <f t="shared" ref="A2396:B2396" si="7116">A2393</f>
        <v>PBSA</v>
      </c>
      <c r="B2396" s="391" t="str">
        <f t="shared" si="7116"/>
        <v>film</v>
      </c>
      <c r="C2396" s="391">
        <f t="shared" ref="C2396" si="7117">C2395</f>
        <v>2</v>
      </c>
      <c r="D2396" s="391" t="str">
        <f t="shared" ref="D2396:E2396" si="7118">D2393</f>
        <v>1-10</v>
      </c>
      <c r="E2396" s="391">
        <f t="shared" si="7118"/>
        <v>10</v>
      </c>
      <c r="F2396" s="391" t="str">
        <f t="shared" ref="F2396:G2396" si="7119">F2395</f>
        <v>marine water</v>
      </c>
      <c r="G2396" s="401" t="str">
        <f t="shared" si="7119"/>
        <v>DE: PBSA film 1-10 mm (emission to marine water)</v>
      </c>
      <c r="H2396" s="465">
        <v>0</v>
      </c>
      <c r="I2396" s="394" t="s">
        <v>1097</v>
      </c>
      <c r="J2396" s="635"/>
      <c r="K2396" s="389">
        <v>33.549999999999997</v>
      </c>
      <c r="L2396" s="536"/>
      <c r="M2396" s="509">
        <f t="shared" si="7050"/>
        <v>149.03129657228018</v>
      </c>
      <c r="N2396" s="646"/>
      <c r="O2396" s="626"/>
      <c r="P2396" s="629"/>
      <c r="Q2396" s="629"/>
    </row>
    <row r="2397" spans="1:17" ht="15.75" hidden="1" thickBot="1">
      <c r="A2397" s="390" t="str">
        <f t="shared" ref="A2397:B2397" si="7120">A2394</f>
        <v>PBSA</v>
      </c>
      <c r="B2397" s="391" t="str">
        <f t="shared" si="7120"/>
        <v>film</v>
      </c>
      <c r="C2397" s="391">
        <f t="shared" ref="C2397" si="7121">C2396</f>
        <v>2</v>
      </c>
      <c r="D2397" s="391" t="str">
        <f t="shared" ref="D2397:E2397" si="7122">D2394</f>
        <v>1-10</v>
      </c>
      <c r="E2397" s="391">
        <f t="shared" si="7122"/>
        <v>10</v>
      </c>
      <c r="F2397" s="391" t="str">
        <f t="shared" ref="F2397:G2397" si="7123">F2396</f>
        <v>marine water</v>
      </c>
      <c r="G2397" s="401" t="str">
        <f t="shared" si="7123"/>
        <v>DE: PBSA film 1-10 mm (emission to marine water)</v>
      </c>
      <c r="H2397" s="465">
        <v>0</v>
      </c>
      <c r="I2397" s="394" t="s">
        <v>1162</v>
      </c>
      <c r="J2397" s="635"/>
      <c r="K2397" s="389">
        <v>33.549999999999997</v>
      </c>
      <c r="L2397" s="536"/>
      <c r="M2397" s="509">
        <f t="shared" si="7050"/>
        <v>149.03129657228018</v>
      </c>
      <c r="N2397" s="646"/>
      <c r="O2397" s="626"/>
      <c r="P2397" s="629"/>
      <c r="Q2397" s="629"/>
    </row>
    <row r="2398" spans="1:17" ht="15.75" hidden="1" thickBot="1">
      <c r="A2398" s="390" t="str">
        <f t="shared" ref="A2398:B2398" si="7124">A2395</f>
        <v>PBSA</v>
      </c>
      <c r="B2398" s="391" t="str">
        <f t="shared" si="7124"/>
        <v>film</v>
      </c>
      <c r="C2398" s="391">
        <f t="shared" ref="C2398" si="7125">C2397</f>
        <v>2</v>
      </c>
      <c r="D2398" s="391" t="str">
        <f t="shared" ref="D2398:E2398" si="7126">D2395</f>
        <v>1-10</v>
      </c>
      <c r="E2398" s="391">
        <f t="shared" si="7126"/>
        <v>10</v>
      </c>
      <c r="F2398" s="391" t="str">
        <f t="shared" ref="F2398:G2398" si="7127">F2397</f>
        <v>marine water</v>
      </c>
      <c r="G2398" s="401" t="str">
        <f t="shared" si="7127"/>
        <v>DE: PBSA film 1-10 mm (emission to marine water)</v>
      </c>
      <c r="H2398" s="465">
        <v>1</v>
      </c>
      <c r="I2398" s="394" t="s">
        <v>1163</v>
      </c>
      <c r="J2398" s="635"/>
      <c r="K2398" s="389">
        <v>33.549999999999997</v>
      </c>
      <c r="L2398" s="536"/>
      <c r="M2398" s="509">
        <f t="shared" si="7050"/>
        <v>149.03129657228018</v>
      </c>
      <c r="N2398" s="646"/>
      <c r="O2398" s="626"/>
      <c r="P2398" s="629"/>
      <c r="Q2398" s="629"/>
    </row>
    <row r="2399" spans="1:17" ht="15.75" hidden="1" thickBot="1">
      <c r="A2399" s="390" t="str">
        <f t="shared" ref="A2399:B2399" si="7128">A2396</f>
        <v>PBSA</v>
      </c>
      <c r="B2399" s="391" t="str">
        <f t="shared" si="7128"/>
        <v>film</v>
      </c>
      <c r="C2399" s="391">
        <f t="shared" ref="C2399" si="7129">C2398</f>
        <v>2</v>
      </c>
      <c r="D2399" s="391" t="str">
        <f t="shared" ref="D2399:E2399" si="7130">D2396</f>
        <v>1-10</v>
      </c>
      <c r="E2399" s="391">
        <f t="shared" si="7130"/>
        <v>10</v>
      </c>
      <c r="F2399" s="391" t="str">
        <f t="shared" ref="F2399:G2399" si="7131">F2398</f>
        <v>marine water</v>
      </c>
      <c r="G2399" s="401" t="str">
        <f t="shared" si="7131"/>
        <v>DE: PBSA film 1-10 mm (emission to marine water)</v>
      </c>
      <c r="H2399" s="465">
        <v>0</v>
      </c>
      <c r="I2399" s="397" t="s">
        <v>1034</v>
      </c>
      <c r="J2399" s="654"/>
      <c r="K2399" s="398" t="s">
        <v>596</v>
      </c>
      <c r="L2399" s="538"/>
      <c r="M2399" s="509">
        <f t="shared" si="7050"/>
        <v>0</v>
      </c>
      <c r="N2399" s="647"/>
      <c r="O2399" s="627"/>
      <c r="P2399" s="629"/>
      <c r="Q2399" s="629"/>
    </row>
    <row r="2400" spans="1:17" ht="15.75" hidden="1" thickBot="1">
      <c r="A2400" s="390" t="str">
        <f t="shared" ref="A2400:B2400" si="7132">A2397</f>
        <v>PBSA</v>
      </c>
      <c r="B2400" s="391" t="str">
        <f t="shared" si="7132"/>
        <v>film</v>
      </c>
      <c r="C2400" s="391">
        <f t="shared" ref="C2400" si="7133">C2399</f>
        <v>2</v>
      </c>
      <c r="D2400" s="391" t="str">
        <f t="shared" ref="D2400:E2400" si="7134">D2397</f>
        <v>1-10</v>
      </c>
      <c r="E2400" s="391">
        <f t="shared" si="7134"/>
        <v>10</v>
      </c>
      <c r="F2400" s="400" t="s">
        <v>1057</v>
      </c>
      <c r="G2400" s="422" t="str">
        <f>CONCATENATE("DE: ",A2400," ",B2400," ",D2400," mm (emission to ",F2400,")")</f>
        <v>DE: PBSA film 1-10 mm (emission to air)</v>
      </c>
      <c r="H2400" s="467">
        <v>0.94799999999999995</v>
      </c>
      <c r="I2400" s="388" t="s">
        <v>1153</v>
      </c>
      <c r="J2400" s="634">
        <v>0.22800000000000001</v>
      </c>
      <c r="K2400" s="389">
        <v>50.41</v>
      </c>
      <c r="L2400" s="536"/>
      <c r="M2400" s="509">
        <f t="shared" si="7050"/>
        <v>99.186669311644522</v>
      </c>
      <c r="N2400" s="645">
        <f t="shared" si="7033"/>
        <v>101.77858992919758</v>
      </c>
      <c r="O2400" s="625"/>
      <c r="P2400" s="628">
        <f t="shared" si="6961"/>
        <v>100</v>
      </c>
      <c r="Q2400" s="628">
        <f t="shared" si="6989"/>
        <v>101.77858992919758</v>
      </c>
    </row>
    <row r="2401" spans="1:17" ht="15.75" hidden="1" thickBot="1">
      <c r="A2401" s="390" t="str">
        <f t="shared" ref="A2401:B2401" si="7135">A2398</f>
        <v>PBSA</v>
      </c>
      <c r="B2401" s="391" t="str">
        <f t="shared" si="7135"/>
        <v>film</v>
      </c>
      <c r="C2401" s="391">
        <f t="shared" ref="C2401" si="7136">C2400</f>
        <v>2</v>
      </c>
      <c r="D2401" s="391" t="str">
        <f t="shared" ref="D2401:E2401" si="7137">D2398</f>
        <v>1-10</v>
      </c>
      <c r="E2401" s="391">
        <f t="shared" si="7137"/>
        <v>10</v>
      </c>
      <c r="F2401" s="391" t="str">
        <f t="shared" ref="F2401:G2401" si="7138">F2400</f>
        <v>air</v>
      </c>
      <c r="G2401" s="401" t="str">
        <f t="shared" si="7138"/>
        <v>DE: PBSA film 1-10 mm (emission to air)</v>
      </c>
      <c r="H2401" s="465">
        <v>0</v>
      </c>
      <c r="I2401" s="394" t="s">
        <v>1097</v>
      </c>
      <c r="J2401" s="635"/>
      <c r="K2401" s="389">
        <v>33.549999999999997</v>
      </c>
      <c r="L2401" s="536"/>
      <c r="M2401" s="509">
        <f t="shared" si="7050"/>
        <v>149.03129657228018</v>
      </c>
      <c r="N2401" s="646"/>
      <c r="O2401" s="626"/>
      <c r="P2401" s="629"/>
      <c r="Q2401" s="629"/>
    </row>
    <row r="2402" spans="1:17" ht="15.75" hidden="1" thickBot="1">
      <c r="A2402" s="390" t="str">
        <f t="shared" ref="A2402:B2402" si="7139">A2399</f>
        <v>PBSA</v>
      </c>
      <c r="B2402" s="391" t="str">
        <f t="shared" si="7139"/>
        <v>film</v>
      </c>
      <c r="C2402" s="391">
        <f t="shared" ref="C2402" si="7140">C2401</f>
        <v>2</v>
      </c>
      <c r="D2402" s="391" t="str">
        <f t="shared" ref="D2402:E2402" si="7141">D2399</f>
        <v>1-10</v>
      </c>
      <c r="E2402" s="391">
        <f t="shared" si="7141"/>
        <v>10</v>
      </c>
      <c r="F2402" s="391" t="str">
        <f t="shared" ref="F2402:G2402" si="7142">F2401</f>
        <v>air</v>
      </c>
      <c r="G2402" s="401" t="str">
        <f t="shared" si="7142"/>
        <v>DE: PBSA film 1-10 mm (emission to air)</v>
      </c>
      <c r="H2402" s="465">
        <v>4.7E-2</v>
      </c>
      <c r="I2402" s="394" t="s">
        <v>1162</v>
      </c>
      <c r="J2402" s="635"/>
      <c r="K2402" s="389">
        <v>33.549999999999997</v>
      </c>
      <c r="L2402" s="536"/>
      <c r="M2402" s="509">
        <f t="shared" si="7050"/>
        <v>149.03129657228018</v>
      </c>
      <c r="N2402" s="646"/>
      <c r="O2402" s="626"/>
      <c r="P2402" s="629"/>
      <c r="Q2402" s="629"/>
    </row>
    <row r="2403" spans="1:17" ht="15.75" hidden="1" thickBot="1">
      <c r="A2403" s="390" t="str">
        <f t="shared" ref="A2403:B2403" si="7143">A2400</f>
        <v>PBSA</v>
      </c>
      <c r="B2403" s="391" t="str">
        <f t="shared" si="7143"/>
        <v>film</v>
      </c>
      <c r="C2403" s="391">
        <f t="shared" ref="C2403" si="7144">C2402</f>
        <v>2</v>
      </c>
      <c r="D2403" s="391" t="str">
        <f t="shared" ref="D2403:E2403" si="7145">D2400</f>
        <v>1-10</v>
      </c>
      <c r="E2403" s="391">
        <f t="shared" si="7145"/>
        <v>10</v>
      </c>
      <c r="F2403" s="391" t="str">
        <f t="shared" ref="F2403:G2403" si="7146">F2402</f>
        <v>air</v>
      </c>
      <c r="G2403" s="401" t="str">
        <f t="shared" si="7146"/>
        <v>DE: PBSA film 1-10 mm (emission to air)</v>
      </c>
      <c r="H2403" s="465">
        <v>5.0000000000000001E-3</v>
      </c>
      <c r="I2403" s="394" t="s">
        <v>1163</v>
      </c>
      <c r="J2403" s="635"/>
      <c r="K2403" s="389">
        <v>33.549999999999997</v>
      </c>
      <c r="L2403" s="536"/>
      <c r="M2403" s="509">
        <f t="shared" si="7050"/>
        <v>149.03129657228018</v>
      </c>
      <c r="N2403" s="646"/>
      <c r="O2403" s="626"/>
      <c r="P2403" s="629"/>
      <c r="Q2403" s="629"/>
    </row>
    <row r="2404" spans="1:17" ht="15.75" hidden="1" thickBot="1">
      <c r="A2404" s="390" t="str">
        <f t="shared" ref="A2404:B2404" si="7147">A2399</f>
        <v>PBSA</v>
      </c>
      <c r="B2404" s="391" t="str">
        <f t="shared" si="7147"/>
        <v>film</v>
      </c>
      <c r="C2404" s="391">
        <f t="shared" ref="C2404" si="7148">C2403</f>
        <v>2</v>
      </c>
      <c r="D2404" s="391" t="str">
        <f t="shared" ref="D2404:E2404" si="7149">D2399</f>
        <v>1-10</v>
      </c>
      <c r="E2404" s="391">
        <f t="shared" si="7149"/>
        <v>10</v>
      </c>
      <c r="F2404" s="391" t="str">
        <f t="shared" ref="F2404:G2404" si="7150">F2403</f>
        <v>air</v>
      </c>
      <c r="G2404" s="401" t="str">
        <f t="shared" si="7150"/>
        <v>DE: PBSA film 1-10 mm (emission to air)</v>
      </c>
      <c r="H2404" s="471">
        <v>0</v>
      </c>
      <c r="I2404" s="422" t="s">
        <v>1034</v>
      </c>
      <c r="J2404" s="636"/>
      <c r="K2404" s="451" t="s">
        <v>596</v>
      </c>
      <c r="L2404" s="542"/>
      <c r="M2404" s="509">
        <f t="shared" si="7050"/>
        <v>0</v>
      </c>
      <c r="N2404" s="647"/>
      <c r="O2404" s="627"/>
      <c r="P2404" s="629"/>
      <c r="Q2404" s="629"/>
    </row>
    <row r="2405" spans="1:17" ht="15.75" hidden="1" thickBot="1">
      <c r="A2405" s="405" t="s">
        <v>654</v>
      </c>
      <c r="B2405" s="406" t="s">
        <v>1151</v>
      </c>
      <c r="C2405" s="407">
        <v>4</v>
      </c>
      <c r="D2405" s="423" t="s">
        <v>1018</v>
      </c>
      <c r="E2405" s="408">
        <v>0.1</v>
      </c>
      <c r="F2405" s="424" t="s">
        <v>1019</v>
      </c>
      <c r="G2405" s="425" t="str">
        <f>CONCATENATE("DE: ",A2405," ",B2405," ",D2405," mm (emission to ",F2405,")")</f>
        <v>DE: PBSA fiber 0,01-0,1 mm (emission to soil)</v>
      </c>
      <c r="H2405" s="474">
        <v>0.97</v>
      </c>
      <c r="I2405" s="427" t="s">
        <v>1153</v>
      </c>
      <c r="J2405" s="632">
        <v>0.22800000000000001</v>
      </c>
      <c r="K2405" s="428">
        <v>50.41</v>
      </c>
      <c r="L2405" s="539"/>
      <c r="M2405" s="509">
        <f t="shared" si="7050"/>
        <v>0.49593334655822263</v>
      </c>
      <c r="N2405" s="645">
        <f t="shared" si="7033"/>
        <v>0.50341004064731798</v>
      </c>
      <c r="O2405" s="625"/>
      <c r="P2405" s="628">
        <f t="shared" si="6961"/>
        <v>0.50341004064731798</v>
      </c>
      <c r="Q2405" s="628">
        <f t="shared" si="6989"/>
        <v>0.50341004064731798</v>
      </c>
    </row>
    <row r="2406" spans="1:17" ht="15.75" hidden="1" thickBot="1">
      <c r="A2406" s="390" t="str">
        <f>A2405</f>
        <v>PBSA</v>
      </c>
      <c r="B2406" s="391" t="str">
        <f>B2405</f>
        <v>fiber</v>
      </c>
      <c r="C2406" s="391">
        <f t="shared" ref="C2406:G2406" si="7151">C2405</f>
        <v>4</v>
      </c>
      <c r="D2406" s="391" t="str">
        <f t="shared" si="7151"/>
        <v>0,01-0,1</v>
      </c>
      <c r="E2406" s="391">
        <f t="shared" si="7151"/>
        <v>0.1</v>
      </c>
      <c r="F2406" s="391" t="str">
        <f t="shared" si="7151"/>
        <v>soil</v>
      </c>
      <c r="G2406" s="392" t="str">
        <f t="shared" si="7151"/>
        <v>DE: PBSA fiber 0,01-0,1 mm (emission to soil)</v>
      </c>
      <c r="H2406" s="465">
        <v>0</v>
      </c>
      <c r="I2406" s="394" t="s">
        <v>1097</v>
      </c>
      <c r="J2406" s="632"/>
      <c r="K2406" s="389">
        <v>33.549999999999997</v>
      </c>
      <c r="L2406" s="537"/>
      <c r="M2406" s="509">
        <f t="shared" si="7050"/>
        <v>0.7451564828614009</v>
      </c>
      <c r="N2406" s="646"/>
      <c r="O2406" s="626"/>
      <c r="P2406" s="629"/>
      <c r="Q2406" s="629"/>
    </row>
    <row r="2407" spans="1:17" ht="15.75" hidden="1" thickBot="1">
      <c r="A2407" s="390" t="str">
        <f t="shared" ref="A2407:G2407" si="7152">A2406</f>
        <v>PBSA</v>
      </c>
      <c r="B2407" s="391" t="str">
        <f t="shared" si="7152"/>
        <v>fiber</v>
      </c>
      <c r="C2407" s="391">
        <f t="shared" si="7152"/>
        <v>4</v>
      </c>
      <c r="D2407" s="391" t="str">
        <f t="shared" si="7152"/>
        <v>0,01-0,1</v>
      </c>
      <c r="E2407" s="391">
        <f t="shared" si="7152"/>
        <v>0.1</v>
      </c>
      <c r="F2407" s="391" t="str">
        <f t="shared" si="7152"/>
        <v>soil</v>
      </c>
      <c r="G2407" s="392" t="str">
        <f t="shared" si="7152"/>
        <v>DE: PBSA fiber 0,01-0,1 mm (emission to soil)</v>
      </c>
      <c r="H2407" s="465">
        <v>2.7E-2</v>
      </c>
      <c r="I2407" s="394" t="s">
        <v>1162</v>
      </c>
      <c r="J2407" s="632"/>
      <c r="K2407" s="389">
        <v>33.549999999999997</v>
      </c>
      <c r="L2407" s="537"/>
      <c r="M2407" s="509">
        <f t="shared" si="7050"/>
        <v>0.7451564828614009</v>
      </c>
      <c r="N2407" s="646"/>
      <c r="O2407" s="626"/>
      <c r="P2407" s="629"/>
      <c r="Q2407" s="629"/>
    </row>
    <row r="2408" spans="1:17" ht="15.75" hidden="1" thickBot="1">
      <c r="A2408" s="390" t="str">
        <f t="shared" ref="A2408:G2408" si="7153">A2407</f>
        <v>PBSA</v>
      </c>
      <c r="B2408" s="391" t="str">
        <f t="shared" si="7153"/>
        <v>fiber</v>
      </c>
      <c r="C2408" s="391">
        <f t="shared" si="7153"/>
        <v>4</v>
      </c>
      <c r="D2408" s="391" t="str">
        <f t="shared" si="7153"/>
        <v>0,01-0,1</v>
      </c>
      <c r="E2408" s="391">
        <f t="shared" si="7153"/>
        <v>0.1</v>
      </c>
      <c r="F2408" s="391" t="str">
        <f t="shared" si="7153"/>
        <v>soil</v>
      </c>
      <c r="G2408" s="392" t="str">
        <f t="shared" si="7153"/>
        <v>DE: PBSA fiber 0,01-0,1 mm (emission to soil)</v>
      </c>
      <c r="H2408" s="465">
        <v>3.0000000000000001E-3</v>
      </c>
      <c r="I2408" s="394" t="s">
        <v>1163</v>
      </c>
      <c r="J2408" s="632"/>
      <c r="K2408" s="389">
        <v>33.549999999999997</v>
      </c>
      <c r="L2408" s="537"/>
      <c r="M2408" s="509">
        <f t="shared" si="7050"/>
        <v>0.7451564828614009</v>
      </c>
      <c r="N2408" s="646"/>
      <c r="O2408" s="626"/>
      <c r="P2408" s="629"/>
      <c r="Q2408" s="629"/>
    </row>
    <row r="2409" spans="1:17" ht="15.75" hidden="1" thickBot="1">
      <c r="A2409" s="390" t="str">
        <f>A2406</f>
        <v>PBSA</v>
      </c>
      <c r="B2409" s="391" t="str">
        <f>B2406</f>
        <v>fiber</v>
      </c>
      <c r="C2409" s="391">
        <f t="shared" ref="C2409" si="7154">C2408</f>
        <v>4</v>
      </c>
      <c r="D2409" s="391" t="str">
        <f>D2406</f>
        <v>0,01-0,1</v>
      </c>
      <c r="E2409" s="391">
        <f>E2406</f>
        <v>0.1</v>
      </c>
      <c r="F2409" s="391" t="str">
        <f>F2406</f>
        <v>soil</v>
      </c>
      <c r="G2409" s="396" t="str">
        <f t="shared" ref="G2409" si="7155">G2408</f>
        <v>DE: PBSA fiber 0,01-0,1 mm (emission to soil)</v>
      </c>
      <c r="H2409" s="465">
        <v>0</v>
      </c>
      <c r="I2409" s="397" t="s">
        <v>1034</v>
      </c>
      <c r="J2409" s="633"/>
      <c r="K2409" s="398" t="s">
        <v>596</v>
      </c>
      <c r="L2409" s="538"/>
      <c r="M2409" s="509">
        <f t="shared" si="7050"/>
        <v>0</v>
      </c>
      <c r="N2409" s="647"/>
      <c r="O2409" s="627"/>
      <c r="P2409" s="629"/>
      <c r="Q2409" s="629"/>
    </row>
    <row r="2410" spans="1:17" ht="15.75" hidden="1" thickBot="1">
      <c r="A2410" s="390" t="str">
        <f t="shared" ref="A2410:B2410" si="7156">A2407</f>
        <v>PBSA</v>
      </c>
      <c r="B2410" s="391" t="str">
        <f t="shared" si="7156"/>
        <v>fiber</v>
      </c>
      <c r="C2410" s="391">
        <f t="shared" ref="C2410" si="7157">C2409</f>
        <v>4</v>
      </c>
      <c r="D2410" s="399" t="str">
        <f t="shared" ref="D2410:E2410" si="7158">D2407</f>
        <v>0,01-0,1</v>
      </c>
      <c r="E2410" s="391">
        <f t="shared" si="7158"/>
        <v>0.1</v>
      </c>
      <c r="F2410" s="400" t="s">
        <v>1147</v>
      </c>
      <c r="G2410" s="386" t="str">
        <f>CONCATENATE("DE: ",A2410," ",B2410," ",D2410," mm (emission to ",F2410,")")</f>
        <v>DE: PBSA fiber 0,01-0,1 mm (emission to fresh water)</v>
      </c>
      <c r="H2410" s="466">
        <v>0</v>
      </c>
      <c r="I2410" s="388" t="s">
        <v>1153</v>
      </c>
      <c r="J2410" s="634">
        <v>0.22800000000000001</v>
      </c>
      <c r="K2410" s="389">
        <v>50.41</v>
      </c>
      <c r="L2410" s="536"/>
      <c r="M2410" s="509">
        <f t="shared" si="7050"/>
        <v>0.49593334655822263</v>
      </c>
      <c r="N2410" s="645">
        <f t="shared" si="7033"/>
        <v>0.7451564828614009</v>
      </c>
      <c r="O2410" s="625"/>
      <c r="P2410" s="628">
        <f t="shared" ref="P2410:P2470" si="7159">IFERROR(IF(H2410*M2410+H2411*M2411+H2412*M2412+H2413*M2413+H2414*M2414&gt;100,100,H2410*M2410+H2411*M2411+H2412*M2412+H2413*M2413+H2414*M2414),"N.A.")</f>
        <v>0.7451564828614009</v>
      </c>
      <c r="Q2410" s="628">
        <f t="shared" si="6989"/>
        <v>0.7451564828614009</v>
      </c>
    </row>
    <row r="2411" spans="1:17" ht="15.75" hidden="1" thickBot="1">
      <c r="A2411" s="390" t="str">
        <f t="shared" ref="A2411:B2411" si="7160">A2408</f>
        <v>PBSA</v>
      </c>
      <c r="B2411" s="391" t="str">
        <f t="shared" si="7160"/>
        <v>fiber</v>
      </c>
      <c r="C2411" s="391">
        <f t="shared" ref="C2411" si="7161">C2410</f>
        <v>4</v>
      </c>
      <c r="D2411" s="391" t="str">
        <f t="shared" ref="D2411:E2411" si="7162">D2408</f>
        <v>0,01-0,1</v>
      </c>
      <c r="E2411" s="391">
        <f t="shared" si="7162"/>
        <v>0.1</v>
      </c>
      <c r="F2411" s="391" t="str">
        <f t="shared" ref="F2411:G2411" si="7163">F2410</f>
        <v>fresh water</v>
      </c>
      <c r="G2411" s="401" t="str">
        <f t="shared" si="7163"/>
        <v>DE: PBSA fiber 0,01-0,1 mm (emission to fresh water)</v>
      </c>
      <c r="H2411" s="465">
        <v>0</v>
      </c>
      <c r="I2411" s="394" t="s">
        <v>1097</v>
      </c>
      <c r="J2411" s="635"/>
      <c r="K2411" s="389">
        <v>33.549999999999997</v>
      </c>
      <c r="L2411" s="536"/>
      <c r="M2411" s="509">
        <f t="shared" si="7050"/>
        <v>0.7451564828614009</v>
      </c>
      <c r="N2411" s="646"/>
      <c r="O2411" s="626"/>
      <c r="P2411" s="629"/>
      <c r="Q2411" s="629"/>
    </row>
    <row r="2412" spans="1:17" ht="15.75" hidden="1" thickBot="1">
      <c r="A2412" s="390" t="str">
        <f t="shared" ref="A2412:B2412" si="7164">A2409</f>
        <v>PBSA</v>
      </c>
      <c r="B2412" s="391" t="str">
        <f t="shared" si="7164"/>
        <v>fiber</v>
      </c>
      <c r="C2412" s="391">
        <f t="shared" ref="C2412" si="7165">C2411</f>
        <v>4</v>
      </c>
      <c r="D2412" s="391" t="str">
        <f t="shared" ref="D2412:E2412" si="7166">D2409</f>
        <v>0,01-0,1</v>
      </c>
      <c r="E2412" s="391">
        <f t="shared" si="7166"/>
        <v>0.1</v>
      </c>
      <c r="F2412" s="391" t="str">
        <f t="shared" ref="F2412:G2412" si="7167">F2411</f>
        <v>fresh water</v>
      </c>
      <c r="G2412" s="401" t="str">
        <f t="shared" si="7167"/>
        <v>DE: PBSA fiber 0,01-0,1 mm (emission to fresh water)</v>
      </c>
      <c r="H2412" s="465">
        <v>0.89</v>
      </c>
      <c r="I2412" s="394" t="s">
        <v>1162</v>
      </c>
      <c r="J2412" s="635"/>
      <c r="K2412" s="389">
        <v>33.549999999999997</v>
      </c>
      <c r="L2412" s="536"/>
      <c r="M2412" s="509">
        <f t="shared" si="7050"/>
        <v>0.7451564828614009</v>
      </c>
      <c r="N2412" s="646"/>
      <c r="O2412" s="626"/>
      <c r="P2412" s="629"/>
      <c r="Q2412" s="629"/>
    </row>
    <row r="2413" spans="1:17" ht="15.75" hidden="1" thickBot="1">
      <c r="A2413" s="390" t="str">
        <f t="shared" ref="A2413:B2413" si="7168">A2410</f>
        <v>PBSA</v>
      </c>
      <c r="B2413" s="391" t="str">
        <f t="shared" si="7168"/>
        <v>fiber</v>
      </c>
      <c r="C2413" s="391">
        <f t="shared" ref="C2413" si="7169">C2412</f>
        <v>4</v>
      </c>
      <c r="D2413" s="391" t="str">
        <f t="shared" ref="D2413:E2413" si="7170">D2410</f>
        <v>0,01-0,1</v>
      </c>
      <c r="E2413" s="391">
        <f t="shared" si="7170"/>
        <v>0.1</v>
      </c>
      <c r="F2413" s="391" t="str">
        <f t="shared" ref="F2413:G2413" si="7171">F2412</f>
        <v>fresh water</v>
      </c>
      <c r="G2413" s="401" t="str">
        <f t="shared" si="7171"/>
        <v>DE: PBSA fiber 0,01-0,1 mm (emission to fresh water)</v>
      </c>
      <c r="H2413" s="465">
        <v>0.11</v>
      </c>
      <c r="I2413" s="394" t="s">
        <v>1163</v>
      </c>
      <c r="J2413" s="635"/>
      <c r="K2413" s="389">
        <v>33.549999999999997</v>
      </c>
      <c r="L2413" s="536"/>
      <c r="M2413" s="509">
        <f t="shared" si="7050"/>
        <v>0.7451564828614009</v>
      </c>
      <c r="N2413" s="646"/>
      <c r="O2413" s="626"/>
      <c r="P2413" s="629"/>
      <c r="Q2413" s="629"/>
    </row>
    <row r="2414" spans="1:17" ht="15.75" hidden="1" thickBot="1">
      <c r="A2414" s="390" t="str">
        <f t="shared" ref="A2414:B2414" si="7172">A2411</f>
        <v>PBSA</v>
      </c>
      <c r="B2414" s="391" t="str">
        <f t="shared" si="7172"/>
        <v>fiber</v>
      </c>
      <c r="C2414" s="391">
        <f t="shared" ref="C2414" si="7173">C2413</f>
        <v>4</v>
      </c>
      <c r="D2414" s="391" t="str">
        <f t="shared" ref="D2414:E2414" si="7174">D2411</f>
        <v>0,01-0,1</v>
      </c>
      <c r="E2414" s="391">
        <f t="shared" si="7174"/>
        <v>0.1</v>
      </c>
      <c r="F2414" s="402" t="str">
        <f>F2411</f>
        <v>fresh water</v>
      </c>
      <c r="G2414" s="401" t="str">
        <f t="shared" ref="G2414" si="7175">G2413</f>
        <v>DE: PBSA fiber 0,01-0,1 mm (emission to fresh water)</v>
      </c>
      <c r="H2414" s="465">
        <v>0</v>
      </c>
      <c r="I2414" s="397" t="s">
        <v>1034</v>
      </c>
      <c r="J2414" s="654"/>
      <c r="K2414" s="398" t="s">
        <v>596</v>
      </c>
      <c r="L2414" s="538"/>
      <c r="M2414" s="509">
        <f t="shared" si="7050"/>
        <v>0</v>
      </c>
      <c r="N2414" s="647"/>
      <c r="O2414" s="627"/>
      <c r="P2414" s="629"/>
      <c r="Q2414" s="629"/>
    </row>
    <row r="2415" spans="1:17" ht="15.75" hidden="1" thickBot="1">
      <c r="A2415" s="390" t="str">
        <f t="shared" ref="A2415:B2415" si="7176">A2412</f>
        <v>PBSA</v>
      </c>
      <c r="B2415" s="391" t="str">
        <f t="shared" si="7176"/>
        <v>fiber</v>
      </c>
      <c r="C2415" s="391">
        <f t="shared" ref="C2415" si="7177">C2414</f>
        <v>4</v>
      </c>
      <c r="D2415" s="391" t="str">
        <f t="shared" ref="D2415:E2415" si="7178">D2412</f>
        <v>0,01-0,1</v>
      </c>
      <c r="E2415" s="391">
        <f t="shared" si="7178"/>
        <v>0.1</v>
      </c>
      <c r="F2415" s="385" t="s">
        <v>1097</v>
      </c>
      <c r="G2415" s="422" t="str">
        <f>CONCATENATE("DE: ",A2415," ",B2415," ",D2415," mm (emission to ",F2415,")")</f>
        <v>DE: PBSA fiber 0,01-0,1 mm (emission to marine water)</v>
      </c>
      <c r="H2415" s="467">
        <v>0</v>
      </c>
      <c r="I2415" s="388" t="s">
        <v>1153</v>
      </c>
      <c r="J2415" s="634">
        <v>0.22800000000000001</v>
      </c>
      <c r="K2415" s="389">
        <v>50.41</v>
      </c>
      <c r="L2415" s="536"/>
      <c r="M2415" s="509">
        <f t="shared" si="7050"/>
        <v>0.49593334655822263</v>
      </c>
      <c r="N2415" s="645">
        <f t="shared" si="7033"/>
        <v>0.7451564828614009</v>
      </c>
      <c r="O2415" s="625"/>
      <c r="P2415" s="628">
        <f t="shared" si="7159"/>
        <v>0.7451564828614009</v>
      </c>
      <c r="Q2415" s="628">
        <f t="shared" si="6989"/>
        <v>0.7451564828614009</v>
      </c>
    </row>
    <row r="2416" spans="1:17" ht="15.75" hidden="1" thickBot="1">
      <c r="A2416" s="390" t="str">
        <f t="shared" ref="A2416:B2416" si="7179">A2413</f>
        <v>PBSA</v>
      </c>
      <c r="B2416" s="391" t="str">
        <f t="shared" si="7179"/>
        <v>fiber</v>
      </c>
      <c r="C2416" s="391">
        <f t="shared" ref="C2416" si="7180">C2415</f>
        <v>4</v>
      </c>
      <c r="D2416" s="391" t="str">
        <f t="shared" ref="D2416:E2416" si="7181">D2413</f>
        <v>0,01-0,1</v>
      </c>
      <c r="E2416" s="391">
        <f t="shared" si="7181"/>
        <v>0.1</v>
      </c>
      <c r="F2416" s="391" t="str">
        <f t="shared" ref="F2416:G2416" si="7182">F2415</f>
        <v>marine water</v>
      </c>
      <c r="G2416" s="401" t="str">
        <f t="shared" si="7182"/>
        <v>DE: PBSA fiber 0,01-0,1 mm (emission to marine water)</v>
      </c>
      <c r="H2416" s="465">
        <v>0</v>
      </c>
      <c r="I2416" s="394" t="s">
        <v>1097</v>
      </c>
      <c r="J2416" s="635"/>
      <c r="K2416" s="389">
        <v>33.549999999999997</v>
      </c>
      <c r="L2416" s="536"/>
      <c r="M2416" s="509">
        <f t="shared" si="7050"/>
        <v>0.7451564828614009</v>
      </c>
      <c r="N2416" s="646"/>
      <c r="O2416" s="626"/>
      <c r="P2416" s="629"/>
      <c r="Q2416" s="629"/>
    </row>
    <row r="2417" spans="1:17" ht="15.75" hidden="1" thickBot="1">
      <c r="A2417" s="390" t="str">
        <f t="shared" ref="A2417:B2417" si="7183">A2414</f>
        <v>PBSA</v>
      </c>
      <c r="B2417" s="391" t="str">
        <f t="shared" si="7183"/>
        <v>fiber</v>
      </c>
      <c r="C2417" s="391">
        <f t="shared" ref="C2417" si="7184">C2416</f>
        <v>4</v>
      </c>
      <c r="D2417" s="391" t="str">
        <f t="shared" ref="D2417:E2417" si="7185">D2414</f>
        <v>0,01-0,1</v>
      </c>
      <c r="E2417" s="391">
        <f t="shared" si="7185"/>
        <v>0.1</v>
      </c>
      <c r="F2417" s="391" t="str">
        <f t="shared" ref="F2417:G2417" si="7186">F2416</f>
        <v>marine water</v>
      </c>
      <c r="G2417" s="401" t="str">
        <f t="shared" si="7186"/>
        <v>DE: PBSA fiber 0,01-0,1 mm (emission to marine water)</v>
      </c>
      <c r="H2417" s="465">
        <v>0</v>
      </c>
      <c r="I2417" s="394" t="s">
        <v>1162</v>
      </c>
      <c r="J2417" s="635"/>
      <c r="K2417" s="389">
        <v>33.549999999999997</v>
      </c>
      <c r="L2417" s="536"/>
      <c r="M2417" s="509">
        <f t="shared" si="7050"/>
        <v>0.7451564828614009</v>
      </c>
      <c r="N2417" s="646"/>
      <c r="O2417" s="626"/>
      <c r="P2417" s="629"/>
      <c r="Q2417" s="629"/>
    </row>
    <row r="2418" spans="1:17" ht="15.75" hidden="1" thickBot="1">
      <c r="A2418" s="390" t="str">
        <f t="shared" ref="A2418:B2418" si="7187">A2415</f>
        <v>PBSA</v>
      </c>
      <c r="B2418" s="391" t="str">
        <f t="shared" si="7187"/>
        <v>fiber</v>
      </c>
      <c r="C2418" s="391">
        <f t="shared" ref="C2418" si="7188">C2417</f>
        <v>4</v>
      </c>
      <c r="D2418" s="391" t="str">
        <f t="shared" ref="D2418:E2418" si="7189">D2415</f>
        <v>0,01-0,1</v>
      </c>
      <c r="E2418" s="391">
        <f t="shared" si="7189"/>
        <v>0.1</v>
      </c>
      <c r="F2418" s="391" t="str">
        <f t="shared" ref="F2418:G2418" si="7190">F2417</f>
        <v>marine water</v>
      </c>
      <c r="G2418" s="401" t="str">
        <f t="shared" si="7190"/>
        <v>DE: PBSA fiber 0,01-0,1 mm (emission to marine water)</v>
      </c>
      <c r="H2418" s="465">
        <v>1</v>
      </c>
      <c r="I2418" s="394" t="s">
        <v>1163</v>
      </c>
      <c r="J2418" s="635"/>
      <c r="K2418" s="389">
        <v>33.549999999999997</v>
      </c>
      <c r="L2418" s="536"/>
      <c r="M2418" s="509">
        <f t="shared" si="7050"/>
        <v>0.7451564828614009</v>
      </c>
      <c r="N2418" s="646"/>
      <c r="O2418" s="626"/>
      <c r="P2418" s="629"/>
      <c r="Q2418" s="629"/>
    </row>
    <row r="2419" spans="1:17" ht="15.75" hidden="1" thickBot="1">
      <c r="A2419" s="390" t="str">
        <f t="shared" ref="A2419:B2419" si="7191">A2416</f>
        <v>PBSA</v>
      </c>
      <c r="B2419" s="391" t="str">
        <f t="shared" si="7191"/>
        <v>fiber</v>
      </c>
      <c r="C2419" s="391">
        <f t="shared" ref="C2419" si="7192">C2418</f>
        <v>4</v>
      </c>
      <c r="D2419" s="391" t="str">
        <f t="shared" ref="D2419:E2419" si="7193">D2416</f>
        <v>0,01-0,1</v>
      </c>
      <c r="E2419" s="391">
        <f t="shared" si="7193"/>
        <v>0.1</v>
      </c>
      <c r="F2419" s="391" t="str">
        <f t="shared" ref="F2419:G2419" si="7194">F2418</f>
        <v>marine water</v>
      </c>
      <c r="G2419" s="401" t="str">
        <f t="shared" si="7194"/>
        <v>DE: PBSA fiber 0,01-0,1 mm (emission to marine water)</v>
      </c>
      <c r="H2419" s="465">
        <v>0</v>
      </c>
      <c r="I2419" s="397" t="s">
        <v>1034</v>
      </c>
      <c r="J2419" s="654"/>
      <c r="K2419" s="398" t="s">
        <v>596</v>
      </c>
      <c r="L2419" s="538"/>
      <c r="M2419" s="509">
        <f t="shared" si="7050"/>
        <v>0</v>
      </c>
      <c r="N2419" s="647"/>
      <c r="O2419" s="627"/>
      <c r="P2419" s="629"/>
      <c r="Q2419" s="629"/>
    </row>
    <row r="2420" spans="1:17" ht="15.75" hidden="1" thickBot="1">
      <c r="A2420" s="390" t="str">
        <f t="shared" ref="A2420:B2420" si="7195">A2417</f>
        <v>PBSA</v>
      </c>
      <c r="B2420" s="391" t="str">
        <f t="shared" si="7195"/>
        <v>fiber</v>
      </c>
      <c r="C2420" s="391">
        <f t="shared" ref="C2420" si="7196">C2419</f>
        <v>4</v>
      </c>
      <c r="D2420" s="391" t="str">
        <f t="shared" ref="D2420:E2420" si="7197">D2417</f>
        <v>0,01-0,1</v>
      </c>
      <c r="E2420" s="391">
        <f t="shared" si="7197"/>
        <v>0.1</v>
      </c>
      <c r="F2420" s="400" t="s">
        <v>1057</v>
      </c>
      <c r="G2420" s="422" t="str">
        <f>CONCATENATE("DE: ",A2420," ",B2420," ",D2420," mm (emission to ",F2420,")")</f>
        <v>DE: PBSA fiber 0,01-0,1 mm (emission to air)</v>
      </c>
      <c r="H2420" s="467">
        <v>0.94799999999999995</v>
      </c>
      <c r="I2420" s="388" t="s">
        <v>1153</v>
      </c>
      <c r="J2420" s="634">
        <v>0.22800000000000001</v>
      </c>
      <c r="K2420" s="389">
        <v>50.41</v>
      </c>
      <c r="L2420" s="536"/>
      <c r="M2420" s="509">
        <f t="shared" si="7050"/>
        <v>0.49593334655822263</v>
      </c>
      <c r="N2420" s="645">
        <f t="shared" si="7033"/>
        <v>0.50889294964598786</v>
      </c>
      <c r="O2420" s="625"/>
      <c r="P2420" s="628">
        <f t="shared" si="7159"/>
        <v>0.50889294964598786</v>
      </c>
      <c r="Q2420" s="628">
        <f t="shared" ref="Q2420:Q2480" si="7198">IFERROR(IF(H2420*M2420+H2421*M2421+H2422*M2422+H2423*M2423+H2424*M2424&gt;500,500,H2420*M2420+H2421*M2421+H2422*M2422+H2423*M2423+H2424*M2424),"N.A.")</f>
        <v>0.50889294964598786</v>
      </c>
    </row>
    <row r="2421" spans="1:17" ht="15.75" hidden="1" thickBot="1">
      <c r="A2421" s="390" t="str">
        <f t="shared" ref="A2421:B2421" si="7199">A2418</f>
        <v>PBSA</v>
      </c>
      <c r="B2421" s="391" t="str">
        <f t="shared" si="7199"/>
        <v>fiber</v>
      </c>
      <c r="C2421" s="391">
        <f t="shared" ref="C2421" si="7200">C2420</f>
        <v>4</v>
      </c>
      <c r="D2421" s="391" t="str">
        <f t="shared" ref="D2421:E2421" si="7201">D2418</f>
        <v>0,01-0,1</v>
      </c>
      <c r="E2421" s="391">
        <f t="shared" si="7201"/>
        <v>0.1</v>
      </c>
      <c r="F2421" s="391" t="str">
        <f t="shared" ref="F2421:G2421" si="7202">F2420</f>
        <v>air</v>
      </c>
      <c r="G2421" s="401" t="str">
        <f t="shared" si="7202"/>
        <v>DE: PBSA fiber 0,01-0,1 mm (emission to air)</v>
      </c>
      <c r="H2421" s="465">
        <v>0</v>
      </c>
      <c r="I2421" s="394" t="s">
        <v>1097</v>
      </c>
      <c r="J2421" s="635"/>
      <c r="K2421" s="389">
        <v>33.549999999999997</v>
      </c>
      <c r="L2421" s="536"/>
      <c r="M2421" s="509">
        <f t="shared" si="7050"/>
        <v>0.7451564828614009</v>
      </c>
      <c r="N2421" s="646"/>
      <c r="O2421" s="626"/>
      <c r="P2421" s="629"/>
      <c r="Q2421" s="629"/>
    </row>
    <row r="2422" spans="1:17" ht="15.75" hidden="1" thickBot="1">
      <c r="A2422" s="390" t="str">
        <f t="shared" ref="A2422:B2422" si="7203">A2419</f>
        <v>PBSA</v>
      </c>
      <c r="B2422" s="391" t="str">
        <f t="shared" si="7203"/>
        <v>fiber</v>
      </c>
      <c r="C2422" s="391">
        <f t="shared" ref="C2422" si="7204">C2421</f>
        <v>4</v>
      </c>
      <c r="D2422" s="391" t="str">
        <f t="shared" ref="D2422:E2422" si="7205">D2419</f>
        <v>0,01-0,1</v>
      </c>
      <c r="E2422" s="391">
        <f t="shared" si="7205"/>
        <v>0.1</v>
      </c>
      <c r="F2422" s="391" t="str">
        <f t="shared" ref="F2422:G2422" si="7206">F2421</f>
        <v>air</v>
      </c>
      <c r="G2422" s="401" t="str">
        <f t="shared" si="7206"/>
        <v>DE: PBSA fiber 0,01-0,1 mm (emission to air)</v>
      </c>
      <c r="H2422" s="465">
        <v>4.7E-2</v>
      </c>
      <c r="I2422" s="394" t="s">
        <v>1162</v>
      </c>
      <c r="J2422" s="635"/>
      <c r="K2422" s="389">
        <v>33.549999999999997</v>
      </c>
      <c r="L2422" s="536"/>
      <c r="M2422" s="509">
        <f t="shared" si="7050"/>
        <v>0.7451564828614009</v>
      </c>
      <c r="N2422" s="646"/>
      <c r="O2422" s="626"/>
      <c r="P2422" s="629"/>
      <c r="Q2422" s="629"/>
    </row>
    <row r="2423" spans="1:17" ht="15.75" hidden="1" thickBot="1">
      <c r="A2423" s="390" t="str">
        <f t="shared" ref="A2423:B2423" si="7207">A2420</f>
        <v>PBSA</v>
      </c>
      <c r="B2423" s="391" t="str">
        <f t="shared" si="7207"/>
        <v>fiber</v>
      </c>
      <c r="C2423" s="391">
        <f t="shared" ref="C2423" si="7208">C2422</f>
        <v>4</v>
      </c>
      <c r="D2423" s="391" t="str">
        <f t="shared" ref="D2423:E2423" si="7209">D2420</f>
        <v>0,01-0,1</v>
      </c>
      <c r="E2423" s="391">
        <f t="shared" si="7209"/>
        <v>0.1</v>
      </c>
      <c r="F2423" s="391" t="str">
        <f t="shared" ref="F2423:G2423" si="7210">F2422</f>
        <v>air</v>
      </c>
      <c r="G2423" s="401" t="str">
        <f t="shared" si="7210"/>
        <v>DE: PBSA fiber 0,01-0,1 mm (emission to air)</v>
      </c>
      <c r="H2423" s="465">
        <v>5.0000000000000001E-3</v>
      </c>
      <c r="I2423" s="394" t="s">
        <v>1163</v>
      </c>
      <c r="J2423" s="635"/>
      <c r="K2423" s="389">
        <v>33.549999999999997</v>
      </c>
      <c r="L2423" s="536"/>
      <c r="M2423" s="509">
        <f t="shared" si="7050"/>
        <v>0.7451564828614009</v>
      </c>
      <c r="N2423" s="646"/>
      <c r="O2423" s="626"/>
      <c r="P2423" s="629"/>
      <c r="Q2423" s="629"/>
    </row>
    <row r="2424" spans="1:17" ht="15.75" hidden="1" thickBot="1">
      <c r="A2424" s="452" t="str">
        <f t="shared" ref="A2424:B2424" si="7211">A2419</f>
        <v>PBSA</v>
      </c>
      <c r="B2424" s="453" t="str">
        <f t="shared" si="7211"/>
        <v>fiber</v>
      </c>
      <c r="C2424" s="453">
        <f t="shared" ref="C2424" si="7212">C2423</f>
        <v>4</v>
      </c>
      <c r="D2424" s="453" t="str">
        <f t="shared" ref="D2424:E2424" si="7213">D2419</f>
        <v>0,01-0,1</v>
      </c>
      <c r="E2424" s="453">
        <f t="shared" si="7213"/>
        <v>0.1</v>
      </c>
      <c r="F2424" s="453" t="str">
        <f t="shared" ref="F2424:G2424" si="7214">F2423</f>
        <v>air</v>
      </c>
      <c r="G2424" s="454" t="str">
        <f t="shared" si="7214"/>
        <v>DE: PBSA fiber 0,01-0,1 mm (emission to air)</v>
      </c>
      <c r="H2424" s="473">
        <v>0</v>
      </c>
      <c r="I2424" s="456" t="s">
        <v>1034</v>
      </c>
      <c r="J2424" s="636"/>
      <c r="K2424" s="457" t="s">
        <v>596</v>
      </c>
      <c r="L2424" s="543"/>
      <c r="M2424" s="509">
        <f t="shared" si="7050"/>
        <v>0</v>
      </c>
      <c r="N2424" s="647"/>
      <c r="O2424" s="627"/>
      <c r="P2424" s="629"/>
      <c r="Q2424" s="629"/>
    </row>
    <row r="2425" spans="1:17" ht="15.75" hidden="1" thickBot="1">
      <c r="A2425" s="381" t="s">
        <v>654</v>
      </c>
      <c r="B2425" s="382" t="s">
        <v>1151</v>
      </c>
      <c r="C2425" s="383">
        <v>4</v>
      </c>
      <c r="D2425" s="475" t="s">
        <v>1028</v>
      </c>
      <c r="E2425" s="384">
        <v>1</v>
      </c>
      <c r="F2425" s="385" t="s">
        <v>1019</v>
      </c>
      <c r="G2425" s="386" t="str">
        <f>CONCATENATE("DE: ",A2425," ",B2425," ",D2425," mm (emission to ",F2425,")")</f>
        <v>DE: PBSA fiber 0,1-1 mm (emission to soil)</v>
      </c>
      <c r="H2425" s="466">
        <v>0.97</v>
      </c>
      <c r="I2425" s="388" t="s">
        <v>1153</v>
      </c>
      <c r="J2425" s="632">
        <v>0.22800000000000001</v>
      </c>
      <c r="K2425" s="389">
        <v>50.41</v>
      </c>
      <c r="L2425" s="536"/>
      <c r="M2425" s="509">
        <f t="shared" si="7050"/>
        <v>4.9593334655822261</v>
      </c>
      <c r="N2425" s="645">
        <f t="shared" si="7033"/>
        <v>5.03410040647318</v>
      </c>
      <c r="O2425" s="625"/>
      <c r="P2425" s="628">
        <f t="shared" si="7159"/>
        <v>5.03410040647318</v>
      </c>
      <c r="Q2425" s="628">
        <f t="shared" si="7198"/>
        <v>5.03410040647318</v>
      </c>
    </row>
    <row r="2426" spans="1:17" ht="15.75" hidden="1" thickBot="1">
      <c r="A2426" s="390" t="str">
        <f>A2425</f>
        <v>PBSA</v>
      </c>
      <c r="B2426" s="391" t="str">
        <f>B2425</f>
        <v>fiber</v>
      </c>
      <c r="C2426" s="391">
        <f t="shared" ref="C2426:G2426" si="7215">C2425</f>
        <v>4</v>
      </c>
      <c r="D2426" s="391" t="str">
        <f t="shared" si="7215"/>
        <v>0,1-1</v>
      </c>
      <c r="E2426" s="391">
        <f t="shared" si="7215"/>
        <v>1</v>
      </c>
      <c r="F2426" s="391" t="str">
        <f t="shared" si="7215"/>
        <v>soil</v>
      </c>
      <c r="G2426" s="392" t="str">
        <f t="shared" si="7215"/>
        <v>DE: PBSA fiber 0,1-1 mm (emission to soil)</v>
      </c>
      <c r="H2426" s="465">
        <v>0</v>
      </c>
      <c r="I2426" s="394" t="s">
        <v>1097</v>
      </c>
      <c r="J2426" s="632"/>
      <c r="K2426" s="389">
        <v>33.549999999999997</v>
      </c>
      <c r="L2426" s="537"/>
      <c r="M2426" s="509">
        <f t="shared" si="7050"/>
        <v>7.4515648286140097</v>
      </c>
      <c r="N2426" s="646"/>
      <c r="O2426" s="626"/>
      <c r="P2426" s="629"/>
      <c r="Q2426" s="629"/>
    </row>
    <row r="2427" spans="1:17" ht="15.75" hidden="1" thickBot="1">
      <c r="A2427" s="390" t="str">
        <f t="shared" ref="A2427:G2427" si="7216">A2426</f>
        <v>PBSA</v>
      </c>
      <c r="B2427" s="391" t="str">
        <f t="shared" si="7216"/>
        <v>fiber</v>
      </c>
      <c r="C2427" s="391">
        <f t="shared" si="7216"/>
        <v>4</v>
      </c>
      <c r="D2427" s="391" t="str">
        <f t="shared" si="7216"/>
        <v>0,1-1</v>
      </c>
      <c r="E2427" s="391">
        <f t="shared" si="7216"/>
        <v>1</v>
      </c>
      <c r="F2427" s="391" t="str">
        <f t="shared" si="7216"/>
        <v>soil</v>
      </c>
      <c r="G2427" s="392" t="str">
        <f t="shared" si="7216"/>
        <v>DE: PBSA fiber 0,1-1 mm (emission to soil)</v>
      </c>
      <c r="H2427" s="465">
        <v>2.7E-2</v>
      </c>
      <c r="I2427" s="394" t="s">
        <v>1162</v>
      </c>
      <c r="J2427" s="632"/>
      <c r="K2427" s="389">
        <v>33.549999999999997</v>
      </c>
      <c r="L2427" s="537"/>
      <c r="M2427" s="509">
        <f t="shared" si="7050"/>
        <v>7.4515648286140097</v>
      </c>
      <c r="N2427" s="646"/>
      <c r="O2427" s="626"/>
      <c r="P2427" s="629"/>
      <c r="Q2427" s="629"/>
    </row>
    <row r="2428" spans="1:17" ht="15.75" hidden="1" thickBot="1">
      <c r="A2428" s="390" t="str">
        <f t="shared" ref="A2428:G2428" si="7217">A2427</f>
        <v>PBSA</v>
      </c>
      <c r="B2428" s="391" t="str">
        <f t="shared" si="7217"/>
        <v>fiber</v>
      </c>
      <c r="C2428" s="391">
        <f t="shared" si="7217"/>
        <v>4</v>
      </c>
      <c r="D2428" s="391" t="str">
        <f t="shared" si="7217"/>
        <v>0,1-1</v>
      </c>
      <c r="E2428" s="391">
        <f t="shared" si="7217"/>
        <v>1</v>
      </c>
      <c r="F2428" s="391" t="str">
        <f t="shared" si="7217"/>
        <v>soil</v>
      </c>
      <c r="G2428" s="392" t="str">
        <f t="shared" si="7217"/>
        <v>DE: PBSA fiber 0,1-1 mm (emission to soil)</v>
      </c>
      <c r="H2428" s="465">
        <v>3.0000000000000001E-3</v>
      </c>
      <c r="I2428" s="394" t="s">
        <v>1163</v>
      </c>
      <c r="J2428" s="632"/>
      <c r="K2428" s="389">
        <v>33.549999999999997</v>
      </c>
      <c r="L2428" s="537"/>
      <c r="M2428" s="509">
        <f t="shared" si="7050"/>
        <v>7.4515648286140097</v>
      </c>
      <c r="N2428" s="646"/>
      <c r="O2428" s="626"/>
      <c r="P2428" s="629"/>
      <c r="Q2428" s="629"/>
    </row>
    <row r="2429" spans="1:17" ht="15.75" hidden="1" thickBot="1">
      <c r="A2429" s="390" t="str">
        <f>A2426</f>
        <v>PBSA</v>
      </c>
      <c r="B2429" s="391" t="str">
        <f>B2426</f>
        <v>fiber</v>
      </c>
      <c r="C2429" s="391">
        <f t="shared" ref="C2429" si="7218">C2428</f>
        <v>4</v>
      </c>
      <c r="D2429" s="391" t="str">
        <f>D2426</f>
        <v>0,1-1</v>
      </c>
      <c r="E2429" s="391">
        <f>E2426</f>
        <v>1</v>
      </c>
      <c r="F2429" s="391" t="str">
        <f>F2426</f>
        <v>soil</v>
      </c>
      <c r="G2429" s="396" t="str">
        <f t="shared" ref="G2429" si="7219">G2428</f>
        <v>DE: PBSA fiber 0,1-1 mm (emission to soil)</v>
      </c>
      <c r="H2429" s="465">
        <v>0</v>
      </c>
      <c r="I2429" s="397" t="s">
        <v>1034</v>
      </c>
      <c r="J2429" s="633"/>
      <c r="K2429" s="398" t="s">
        <v>596</v>
      </c>
      <c r="L2429" s="538"/>
      <c r="M2429" s="509">
        <f t="shared" si="7050"/>
        <v>0</v>
      </c>
      <c r="N2429" s="647"/>
      <c r="O2429" s="627"/>
      <c r="P2429" s="629"/>
      <c r="Q2429" s="629"/>
    </row>
    <row r="2430" spans="1:17" ht="15.75" hidden="1" thickBot="1">
      <c r="A2430" s="390" t="str">
        <f t="shared" ref="A2430:B2430" si="7220">A2427</f>
        <v>PBSA</v>
      </c>
      <c r="B2430" s="391" t="str">
        <f t="shared" si="7220"/>
        <v>fiber</v>
      </c>
      <c r="C2430" s="391">
        <f t="shared" ref="C2430" si="7221">C2429</f>
        <v>4</v>
      </c>
      <c r="D2430" s="399" t="str">
        <f t="shared" ref="D2430:E2430" si="7222">D2427</f>
        <v>0,1-1</v>
      </c>
      <c r="E2430" s="391">
        <f t="shared" si="7222"/>
        <v>1</v>
      </c>
      <c r="F2430" s="400" t="s">
        <v>1147</v>
      </c>
      <c r="G2430" s="386" t="str">
        <f>CONCATENATE("DE: ",A2430," ",B2430," ",D2430," mm (emission to ",F2430,")")</f>
        <v>DE: PBSA fiber 0,1-1 mm (emission to fresh water)</v>
      </c>
      <c r="H2430" s="466">
        <v>0</v>
      </c>
      <c r="I2430" s="388" t="s">
        <v>1153</v>
      </c>
      <c r="J2430" s="634">
        <v>0.22800000000000001</v>
      </c>
      <c r="K2430" s="389">
        <v>50.41</v>
      </c>
      <c r="L2430" s="536"/>
      <c r="M2430" s="509">
        <f t="shared" si="7050"/>
        <v>4.9593334655822261</v>
      </c>
      <c r="N2430" s="645">
        <f t="shared" si="7033"/>
        <v>7.4515648286140106</v>
      </c>
      <c r="O2430" s="625"/>
      <c r="P2430" s="628">
        <f t="shared" si="7159"/>
        <v>7.4515648286140106</v>
      </c>
      <c r="Q2430" s="628">
        <f t="shared" si="7198"/>
        <v>7.4515648286140106</v>
      </c>
    </row>
    <row r="2431" spans="1:17" ht="15.75" hidden="1" thickBot="1">
      <c r="A2431" s="390" t="str">
        <f t="shared" ref="A2431:B2431" si="7223">A2428</f>
        <v>PBSA</v>
      </c>
      <c r="B2431" s="391" t="str">
        <f t="shared" si="7223"/>
        <v>fiber</v>
      </c>
      <c r="C2431" s="391">
        <f t="shared" ref="C2431" si="7224">C2430</f>
        <v>4</v>
      </c>
      <c r="D2431" s="391" t="str">
        <f t="shared" ref="D2431:E2431" si="7225">D2428</f>
        <v>0,1-1</v>
      </c>
      <c r="E2431" s="391">
        <f t="shared" si="7225"/>
        <v>1</v>
      </c>
      <c r="F2431" s="391" t="str">
        <f t="shared" ref="F2431:G2431" si="7226">F2430</f>
        <v>fresh water</v>
      </c>
      <c r="G2431" s="401" t="str">
        <f t="shared" si="7226"/>
        <v>DE: PBSA fiber 0,1-1 mm (emission to fresh water)</v>
      </c>
      <c r="H2431" s="465">
        <v>0</v>
      </c>
      <c r="I2431" s="394" t="s">
        <v>1097</v>
      </c>
      <c r="J2431" s="635"/>
      <c r="K2431" s="389">
        <v>33.549999999999997</v>
      </c>
      <c r="L2431" s="536"/>
      <c r="M2431" s="509">
        <f t="shared" si="7050"/>
        <v>7.4515648286140097</v>
      </c>
      <c r="N2431" s="646"/>
      <c r="O2431" s="626"/>
      <c r="P2431" s="629"/>
      <c r="Q2431" s="629"/>
    </row>
    <row r="2432" spans="1:17" ht="15.75" hidden="1" thickBot="1">
      <c r="A2432" s="390" t="str">
        <f t="shared" ref="A2432:B2432" si="7227">A2429</f>
        <v>PBSA</v>
      </c>
      <c r="B2432" s="391" t="str">
        <f t="shared" si="7227"/>
        <v>fiber</v>
      </c>
      <c r="C2432" s="391">
        <f t="shared" ref="C2432" si="7228">C2431</f>
        <v>4</v>
      </c>
      <c r="D2432" s="391" t="str">
        <f t="shared" ref="D2432:E2432" si="7229">D2429</f>
        <v>0,1-1</v>
      </c>
      <c r="E2432" s="391">
        <f t="shared" si="7229"/>
        <v>1</v>
      </c>
      <c r="F2432" s="391" t="str">
        <f t="shared" ref="F2432:G2432" si="7230">F2431</f>
        <v>fresh water</v>
      </c>
      <c r="G2432" s="401" t="str">
        <f t="shared" si="7230"/>
        <v>DE: PBSA fiber 0,1-1 mm (emission to fresh water)</v>
      </c>
      <c r="H2432" s="465">
        <v>0.89</v>
      </c>
      <c r="I2432" s="394" t="s">
        <v>1162</v>
      </c>
      <c r="J2432" s="635"/>
      <c r="K2432" s="389">
        <v>33.549999999999997</v>
      </c>
      <c r="L2432" s="536"/>
      <c r="M2432" s="509">
        <f t="shared" si="7050"/>
        <v>7.4515648286140097</v>
      </c>
      <c r="N2432" s="646"/>
      <c r="O2432" s="626"/>
      <c r="P2432" s="629"/>
      <c r="Q2432" s="629"/>
    </row>
    <row r="2433" spans="1:17" ht="15.75" hidden="1" thickBot="1">
      <c r="A2433" s="390" t="str">
        <f t="shared" ref="A2433:B2433" si="7231">A2430</f>
        <v>PBSA</v>
      </c>
      <c r="B2433" s="391" t="str">
        <f t="shared" si="7231"/>
        <v>fiber</v>
      </c>
      <c r="C2433" s="391">
        <f t="shared" ref="C2433" si="7232">C2432</f>
        <v>4</v>
      </c>
      <c r="D2433" s="391" t="str">
        <f t="shared" ref="D2433:E2433" si="7233">D2430</f>
        <v>0,1-1</v>
      </c>
      <c r="E2433" s="391">
        <f t="shared" si="7233"/>
        <v>1</v>
      </c>
      <c r="F2433" s="391" t="str">
        <f t="shared" ref="F2433:G2433" si="7234">F2432</f>
        <v>fresh water</v>
      </c>
      <c r="G2433" s="401" t="str">
        <f t="shared" si="7234"/>
        <v>DE: PBSA fiber 0,1-1 mm (emission to fresh water)</v>
      </c>
      <c r="H2433" s="465">
        <v>0.11</v>
      </c>
      <c r="I2433" s="394" t="s">
        <v>1163</v>
      </c>
      <c r="J2433" s="635"/>
      <c r="K2433" s="389">
        <v>33.549999999999997</v>
      </c>
      <c r="L2433" s="536"/>
      <c r="M2433" s="509">
        <f t="shared" si="7050"/>
        <v>7.4515648286140097</v>
      </c>
      <c r="N2433" s="646"/>
      <c r="O2433" s="626"/>
      <c r="P2433" s="629"/>
      <c r="Q2433" s="629"/>
    </row>
    <row r="2434" spans="1:17" ht="15.75" hidden="1" thickBot="1">
      <c r="A2434" s="390" t="str">
        <f t="shared" ref="A2434:B2434" si="7235">A2431</f>
        <v>PBSA</v>
      </c>
      <c r="B2434" s="391" t="str">
        <f t="shared" si="7235"/>
        <v>fiber</v>
      </c>
      <c r="C2434" s="391">
        <f t="shared" ref="C2434" si="7236">C2433</f>
        <v>4</v>
      </c>
      <c r="D2434" s="391" t="str">
        <f t="shared" ref="D2434:E2434" si="7237">D2431</f>
        <v>0,1-1</v>
      </c>
      <c r="E2434" s="391">
        <f t="shared" si="7237"/>
        <v>1</v>
      </c>
      <c r="F2434" s="402" t="str">
        <f>F2431</f>
        <v>fresh water</v>
      </c>
      <c r="G2434" s="401" t="str">
        <f t="shared" ref="G2434" si="7238">G2433</f>
        <v>DE: PBSA fiber 0,1-1 mm (emission to fresh water)</v>
      </c>
      <c r="H2434" s="465">
        <v>0</v>
      </c>
      <c r="I2434" s="397" t="s">
        <v>1034</v>
      </c>
      <c r="J2434" s="654"/>
      <c r="K2434" s="398" t="s">
        <v>596</v>
      </c>
      <c r="L2434" s="538"/>
      <c r="M2434" s="509">
        <f t="shared" si="7050"/>
        <v>0</v>
      </c>
      <c r="N2434" s="647"/>
      <c r="O2434" s="627"/>
      <c r="P2434" s="629"/>
      <c r="Q2434" s="629"/>
    </row>
    <row r="2435" spans="1:17" ht="15.75" hidden="1" thickBot="1">
      <c r="A2435" s="390" t="str">
        <f t="shared" ref="A2435:B2435" si="7239">A2432</f>
        <v>PBSA</v>
      </c>
      <c r="B2435" s="391" t="str">
        <f t="shared" si="7239"/>
        <v>fiber</v>
      </c>
      <c r="C2435" s="391">
        <f t="shared" ref="C2435" si="7240">C2434</f>
        <v>4</v>
      </c>
      <c r="D2435" s="391" t="str">
        <f t="shared" ref="D2435:E2435" si="7241">D2432</f>
        <v>0,1-1</v>
      </c>
      <c r="E2435" s="391">
        <f t="shared" si="7241"/>
        <v>1</v>
      </c>
      <c r="F2435" s="385" t="s">
        <v>1097</v>
      </c>
      <c r="G2435" s="422" t="str">
        <f>CONCATENATE("DE: ",A2435," ",B2435," ",D2435," mm (emission to ",F2435,")")</f>
        <v>DE: PBSA fiber 0,1-1 mm (emission to marine water)</v>
      </c>
      <c r="H2435" s="467">
        <v>0</v>
      </c>
      <c r="I2435" s="388" t="s">
        <v>1153</v>
      </c>
      <c r="J2435" s="634">
        <v>0.22800000000000001</v>
      </c>
      <c r="K2435" s="389">
        <v>50.41</v>
      </c>
      <c r="L2435" s="536"/>
      <c r="M2435" s="509">
        <f t="shared" si="7050"/>
        <v>4.9593334655822261</v>
      </c>
      <c r="N2435" s="645">
        <f t="shared" ref="N2435:N2495" si="7242">IFERROR(H2435*M2435+H2436*M2436+H2437*M2437+H2438*M2438+H2439*M2439,"N.A.")</f>
        <v>7.4515648286140097</v>
      </c>
      <c r="O2435" s="625"/>
      <c r="P2435" s="628">
        <f t="shared" si="7159"/>
        <v>7.4515648286140097</v>
      </c>
      <c r="Q2435" s="628">
        <f t="shared" si="7198"/>
        <v>7.4515648286140097</v>
      </c>
    </row>
    <row r="2436" spans="1:17" ht="15.75" hidden="1" thickBot="1">
      <c r="A2436" s="390" t="str">
        <f t="shared" ref="A2436:B2436" si="7243">A2433</f>
        <v>PBSA</v>
      </c>
      <c r="B2436" s="391" t="str">
        <f t="shared" si="7243"/>
        <v>fiber</v>
      </c>
      <c r="C2436" s="391">
        <f t="shared" ref="C2436" si="7244">C2435</f>
        <v>4</v>
      </c>
      <c r="D2436" s="391" t="str">
        <f t="shared" ref="D2436:E2436" si="7245">D2433</f>
        <v>0,1-1</v>
      </c>
      <c r="E2436" s="391">
        <f t="shared" si="7245"/>
        <v>1</v>
      </c>
      <c r="F2436" s="391" t="str">
        <f t="shared" ref="F2436:G2436" si="7246">F2435</f>
        <v>marine water</v>
      </c>
      <c r="G2436" s="401" t="str">
        <f t="shared" si="7246"/>
        <v>DE: PBSA fiber 0,1-1 mm (emission to marine water)</v>
      </c>
      <c r="H2436" s="465">
        <v>0</v>
      </c>
      <c r="I2436" s="394" t="s">
        <v>1097</v>
      </c>
      <c r="J2436" s="635"/>
      <c r="K2436" s="389">
        <v>33.549999999999997</v>
      </c>
      <c r="L2436" s="536"/>
      <c r="M2436" s="509">
        <f t="shared" si="7050"/>
        <v>7.4515648286140097</v>
      </c>
      <c r="N2436" s="646"/>
      <c r="O2436" s="626"/>
      <c r="P2436" s="629"/>
      <c r="Q2436" s="629"/>
    </row>
    <row r="2437" spans="1:17" ht="15.75" hidden="1" thickBot="1">
      <c r="A2437" s="390" t="str">
        <f t="shared" ref="A2437:B2437" si="7247">A2434</f>
        <v>PBSA</v>
      </c>
      <c r="B2437" s="391" t="str">
        <f t="shared" si="7247"/>
        <v>fiber</v>
      </c>
      <c r="C2437" s="391">
        <f t="shared" ref="C2437" si="7248">C2436</f>
        <v>4</v>
      </c>
      <c r="D2437" s="391" t="str">
        <f t="shared" ref="D2437:E2437" si="7249">D2434</f>
        <v>0,1-1</v>
      </c>
      <c r="E2437" s="391">
        <f t="shared" si="7249"/>
        <v>1</v>
      </c>
      <c r="F2437" s="391" t="str">
        <f t="shared" ref="F2437:G2437" si="7250">F2436</f>
        <v>marine water</v>
      </c>
      <c r="G2437" s="401" t="str">
        <f t="shared" si="7250"/>
        <v>DE: PBSA fiber 0,1-1 mm (emission to marine water)</v>
      </c>
      <c r="H2437" s="465">
        <v>0</v>
      </c>
      <c r="I2437" s="394" t="s">
        <v>1162</v>
      </c>
      <c r="J2437" s="635"/>
      <c r="K2437" s="389">
        <v>33.549999999999997</v>
      </c>
      <c r="L2437" s="536"/>
      <c r="M2437" s="509">
        <f t="shared" si="7050"/>
        <v>7.4515648286140097</v>
      </c>
      <c r="N2437" s="646"/>
      <c r="O2437" s="626"/>
      <c r="P2437" s="629"/>
      <c r="Q2437" s="629"/>
    </row>
    <row r="2438" spans="1:17" ht="15.75" hidden="1" thickBot="1">
      <c r="A2438" s="390" t="str">
        <f t="shared" ref="A2438:B2438" si="7251">A2435</f>
        <v>PBSA</v>
      </c>
      <c r="B2438" s="391" t="str">
        <f t="shared" si="7251"/>
        <v>fiber</v>
      </c>
      <c r="C2438" s="391">
        <f t="shared" ref="C2438" si="7252">C2437</f>
        <v>4</v>
      </c>
      <c r="D2438" s="391" t="str">
        <f t="shared" ref="D2438:E2438" si="7253">D2435</f>
        <v>0,1-1</v>
      </c>
      <c r="E2438" s="391">
        <f t="shared" si="7253"/>
        <v>1</v>
      </c>
      <c r="F2438" s="391" t="str">
        <f t="shared" ref="F2438:G2438" si="7254">F2437</f>
        <v>marine water</v>
      </c>
      <c r="G2438" s="401" t="str">
        <f t="shared" si="7254"/>
        <v>DE: PBSA fiber 0,1-1 mm (emission to marine water)</v>
      </c>
      <c r="H2438" s="465">
        <v>1</v>
      </c>
      <c r="I2438" s="394" t="s">
        <v>1163</v>
      </c>
      <c r="J2438" s="635"/>
      <c r="K2438" s="389">
        <v>33.549999999999997</v>
      </c>
      <c r="L2438" s="536"/>
      <c r="M2438" s="509">
        <f t="shared" ref="M2438:M2501" si="7255">IFERROR(IF(K2438="--",0,IF(E2438*1000/K2438*(1-0.5)^(C2438/2)&gt;1000,1000,E2438*1000/K2438*(1-0.5)^(C2438/2))),1000)</f>
        <v>7.4515648286140097</v>
      </c>
      <c r="N2438" s="646"/>
      <c r="O2438" s="626"/>
      <c r="P2438" s="629"/>
      <c r="Q2438" s="629"/>
    </row>
    <row r="2439" spans="1:17" ht="15.75" hidden="1" thickBot="1">
      <c r="A2439" s="390" t="str">
        <f t="shared" ref="A2439:B2439" si="7256">A2436</f>
        <v>PBSA</v>
      </c>
      <c r="B2439" s="391" t="str">
        <f t="shared" si="7256"/>
        <v>fiber</v>
      </c>
      <c r="C2439" s="391">
        <f t="shared" ref="C2439" si="7257">C2438</f>
        <v>4</v>
      </c>
      <c r="D2439" s="391" t="str">
        <f t="shared" ref="D2439:E2439" si="7258">D2436</f>
        <v>0,1-1</v>
      </c>
      <c r="E2439" s="391">
        <f t="shared" si="7258"/>
        <v>1</v>
      </c>
      <c r="F2439" s="391" t="str">
        <f t="shared" ref="F2439:G2439" si="7259">F2438</f>
        <v>marine water</v>
      </c>
      <c r="G2439" s="401" t="str">
        <f t="shared" si="7259"/>
        <v>DE: PBSA fiber 0,1-1 mm (emission to marine water)</v>
      </c>
      <c r="H2439" s="465">
        <v>0</v>
      </c>
      <c r="I2439" s="397" t="s">
        <v>1034</v>
      </c>
      <c r="J2439" s="654"/>
      <c r="K2439" s="398" t="s">
        <v>596</v>
      </c>
      <c r="L2439" s="538"/>
      <c r="M2439" s="509">
        <f t="shared" si="7255"/>
        <v>0</v>
      </c>
      <c r="N2439" s="647"/>
      <c r="O2439" s="627"/>
      <c r="P2439" s="629"/>
      <c r="Q2439" s="629"/>
    </row>
    <row r="2440" spans="1:17" ht="15.75" hidden="1" thickBot="1">
      <c r="A2440" s="390" t="str">
        <f t="shared" ref="A2440:B2440" si="7260">A2437</f>
        <v>PBSA</v>
      </c>
      <c r="B2440" s="391" t="str">
        <f t="shared" si="7260"/>
        <v>fiber</v>
      </c>
      <c r="C2440" s="391">
        <f t="shared" ref="C2440" si="7261">C2439</f>
        <v>4</v>
      </c>
      <c r="D2440" s="391" t="str">
        <f t="shared" ref="D2440:E2440" si="7262">D2437</f>
        <v>0,1-1</v>
      </c>
      <c r="E2440" s="391">
        <f t="shared" si="7262"/>
        <v>1</v>
      </c>
      <c r="F2440" s="400" t="s">
        <v>1057</v>
      </c>
      <c r="G2440" s="422" t="str">
        <f>CONCATENATE("DE: ",A2440," ",B2440," ",D2440," mm (emission to ",F2440,")")</f>
        <v>DE: PBSA fiber 0,1-1 mm (emission to air)</v>
      </c>
      <c r="H2440" s="467">
        <v>0.94799999999999995</v>
      </c>
      <c r="I2440" s="388" t="s">
        <v>1153</v>
      </c>
      <c r="J2440" s="634">
        <v>0.22800000000000001</v>
      </c>
      <c r="K2440" s="389">
        <v>50.41</v>
      </c>
      <c r="L2440" s="536"/>
      <c r="M2440" s="509">
        <f t="shared" si="7255"/>
        <v>4.9593334655822261</v>
      </c>
      <c r="N2440" s="645">
        <f t="shared" si="7242"/>
        <v>5.0889294964598788</v>
      </c>
      <c r="O2440" s="625"/>
      <c r="P2440" s="628">
        <f t="shared" si="7159"/>
        <v>5.0889294964598788</v>
      </c>
      <c r="Q2440" s="628">
        <f t="shared" si="7198"/>
        <v>5.0889294964598788</v>
      </c>
    </row>
    <row r="2441" spans="1:17" ht="15.75" hidden="1" thickBot="1">
      <c r="A2441" s="390" t="str">
        <f t="shared" ref="A2441:B2441" si="7263">A2438</f>
        <v>PBSA</v>
      </c>
      <c r="B2441" s="391" t="str">
        <f t="shared" si="7263"/>
        <v>fiber</v>
      </c>
      <c r="C2441" s="391">
        <f t="shared" ref="C2441" si="7264">C2440</f>
        <v>4</v>
      </c>
      <c r="D2441" s="391" t="str">
        <f t="shared" ref="D2441:E2441" si="7265">D2438</f>
        <v>0,1-1</v>
      </c>
      <c r="E2441" s="391">
        <f t="shared" si="7265"/>
        <v>1</v>
      </c>
      <c r="F2441" s="391" t="str">
        <f t="shared" ref="F2441:G2441" si="7266">F2440</f>
        <v>air</v>
      </c>
      <c r="G2441" s="401" t="str">
        <f t="shared" si="7266"/>
        <v>DE: PBSA fiber 0,1-1 mm (emission to air)</v>
      </c>
      <c r="H2441" s="465">
        <v>0</v>
      </c>
      <c r="I2441" s="394" t="s">
        <v>1097</v>
      </c>
      <c r="J2441" s="635"/>
      <c r="K2441" s="389">
        <v>33.549999999999997</v>
      </c>
      <c r="L2441" s="536"/>
      <c r="M2441" s="509">
        <f t="shared" si="7255"/>
        <v>7.4515648286140097</v>
      </c>
      <c r="N2441" s="646"/>
      <c r="O2441" s="626"/>
      <c r="P2441" s="629"/>
      <c r="Q2441" s="629"/>
    </row>
    <row r="2442" spans="1:17" ht="15.75" hidden="1" thickBot="1">
      <c r="A2442" s="390" t="str">
        <f t="shared" ref="A2442:B2442" si="7267">A2439</f>
        <v>PBSA</v>
      </c>
      <c r="B2442" s="391" t="str">
        <f t="shared" si="7267"/>
        <v>fiber</v>
      </c>
      <c r="C2442" s="391">
        <f t="shared" ref="C2442" si="7268">C2441</f>
        <v>4</v>
      </c>
      <c r="D2442" s="391" t="str">
        <f t="shared" ref="D2442:E2442" si="7269">D2439</f>
        <v>0,1-1</v>
      </c>
      <c r="E2442" s="391">
        <f t="shared" si="7269"/>
        <v>1</v>
      </c>
      <c r="F2442" s="391" t="str">
        <f t="shared" ref="F2442:G2442" si="7270">F2441</f>
        <v>air</v>
      </c>
      <c r="G2442" s="401" t="str">
        <f t="shared" si="7270"/>
        <v>DE: PBSA fiber 0,1-1 mm (emission to air)</v>
      </c>
      <c r="H2442" s="465">
        <v>4.7E-2</v>
      </c>
      <c r="I2442" s="394" t="s">
        <v>1162</v>
      </c>
      <c r="J2442" s="635"/>
      <c r="K2442" s="389">
        <v>33.549999999999997</v>
      </c>
      <c r="L2442" s="536"/>
      <c r="M2442" s="509">
        <f t="shared" si="7255"/>
        <v>7.4515648286140097</v>
      </c>
      <c r="N2442" s="646"/>
      <c r="O2442" s="626"/>
      <c r="P2442" s="629"/>
      <c r="Q2442" s="629"/>
    </row>
    <row r="2443" spans="1:17" ht="15.75" hidden="1" thickBot="1">
      <c r="A2443" s="390" t="str">
        <f t="shared" ref="A2443:B2443" si="7271">A2440</f>
        <v>PBSA</v>
      </c>
      <c r="B2443" s="391" t="str">
        <f t="shared" si="7271"/>
        <v>fiber</v>
      </c>
      <c r="C2443" s="391">
        <f t="shared" ref="C2443" si="7272">C2442</f>
        <v>4</v>
      </c>
      <c r="D2443" s="391" t="str">
        <f t="shared" ref="D2443:E2443" si="7273">D2440</f>
        <v>0,1-1</v>
      </c>
      <c r="E2443" s="391">
        <f t="shared" si="7273"/>
        <v>1</v>
      </c>
      <c r="F2443" s="391" t="str">
        <f t="shared" ref="F2443:G2443" si="7274">F2442</f>
        <v>air</v>
      </c>
      <c r="G2443" s="401" t="str">
        <f t="shared" si="7274"/>
        <v>DE: PBSA fiber 0,1-1 mm (emission to air)</v>
      </c>
      <c r="H2443" s="465">
        <v>5.0000000000000001E-3</v>
      </c>
      <c r="I2443" s="394" t="s">
        <v>1163</v>
      </c>
      <c r="J2443" s="635"/>
      <c r="K2443" s="389">
        <v>33.549999999999997</v>
      </c>
      <c r="L2443" s="536"/>
      <c r="M2443" s="509">
        <f t="shared" si="7255"/>
        <v>7.4515648286140097</v>
      </c>
      <c r="N2443" s="646"/>
      <c r="O2443" s="626"/>
      <c r="P2443" s="629"/>
      <c r="Q2443" s="629"/>
    </row>
    <row r="2444" spans="1:17" ht="15.75" hidden="1" thickBot="1">
      <c r="A2444" s="390" t="str">
        <f t="shared" ref="A2444:B2444" si="7275">A2439</f>
        <v>PBSA</v>
      </c>
      <c r="B2444" s="391" t="str">
        <f t="shared" si="7275"/>
        <v>fiber</v>
      </c>
      <c r="C2444" s="391">
        <f t="shared" ref="C2444" si="7276">C2443</f>
        <v>4</v>
      </c>
      <c r="D2444" s="391" t="str">
        <f t="shared" ref="D2444:E2444" si="7277">D2439</f>
        <v>0,1-1</v>
      </c>
      <c r="E2444" s="391">
        <f t="shared" si="7277"/>
        <v>1</v>
      </c>
      <c r="F2444" s="391" t="str">
        <f t="shared" ref="F2444:G2444" si="7278">F2443</f>
        <v>air</v>
      </c>
      <c r="G2444" s="401" t="str">
        <f t="shared" si="7278"/>
        <v>DE: PBSA fiber 0,1-1 mm (emission to air)</v>
      </c>
      <c r="H2444" s="471">
        <v>0</v>
      </c>
      <c r="I2444" s="422" t="s">
        <v>1034</v>
      </c>
      <c r="J2444" s="636"/>
      <c r="K2444" s="451" t="s">
        <v>596</v>
      </c>
      <c r="L2444" s="542"/>
      <c r="M2444" s="509">
        <f t="shared" si="7255"/>
        <v>0</v>
      </c>
      <c r="N2444" s="647"/>
      <c r="O2444" s="627"/>
      <c r="P2444" s="629"/>
      <c r="Q2444" s="629"/>
    </row>
    <row r="2445" spans="1:17" ht="15.75" hidden="1" thickBot="1">
      <c r="A2445" s="405" t="s">
        <v>654</v>
      </c>
      <c r="B2445" s="406" t="s">
        <v>1151</v>
      </c>
      <c r="C2445" s="407">
        <v>4</v>
      </c>
      <c r="D2445" s="423" t="s">
        <v>1026</v>
      </c>
      <c r="E2445" s="408">
        <v>10</v>
      </c>
      <c r="F2445" s="424" t="s">
        <v>1019</v>
      </c>
      <c r="G2445" s="425" t="str">
        <f>CONCATENATE("DE: ",A2445," ",B2445," ",D2445," mm (emission to ",F2445,")")</f>
        <v>DE: PBSA fiber 1-10 mm (emission to soil)</v>
      </c>
      <c r="H2445" s="474">
        <v>0.97</v>
      </c>
      <c r="I2445" s="427" t="s">
        <v>1153</v>
      </c>
      <c r="J2445" s="632">
        <v>0.22800000000000001</v>
      </c>
      <c r="K2445" s="428">
        <v>50.41</v>
      </c>
      <c r="L2445" s="539"/>
      <c r="M2445" s="509">
        <f t="shared" si="7255"/>
        <v>49.593334655822261</v>
      </c>
      <c r="N2445" s="645">
        <f t="shared" si="7242"/>
        <v>50.341004064731798</v>
      </c>
      <c r="O2445" s="625"/>
      <c r="P2445" s="628">
        <f t="shared" si="7159"/>
        <v>50.341004064731798</v>
      </c>
      <c r="Q2445" s="628">
        <f t="shared" si="7198"/>
        <v>50.341004064731798</v>
      </c>
    </row>
    <row r="2446" spans="1:17" ht="15.75" hidden="1" thickBot="1">
      <c r="A2446" s="390" t="str">
        <f>A2445</f>
        <v>PBSA</v>
      </c>
      <c r="B2446" s="391" t="str">
        <f>B2445</f>
        <v>fiber</v>
      </c>
      <c r="C2446" s="391">
        <f t="shared" ref="C2446:G2446" si="7279">C2445</f>
        <v>4</v>
      </c>
      <c r="D2446" s="391" t="str">
        <f t="shared" si="7279"/>
        <v>1-10</v>
      </c>
      <c r="E2446" s="391">
        <f t="shared" si="7279"/>
        <v>10</v>
      </c>
      <c r="F2446" s="391" t="str">
        <f t="shared" si="7279"/>
        <v>soil</v>
      </c>
      <c r="G2446" s="392" t="str">
        <f t="shared" si="7279"/>
        <v>DE: PBSA fiber 1-10 mm (emission to soil)</v>
      </c>
      <c r="H2446" s="465">
        <v>0</v>
      </c>
      <c r="I2446" s="394" t="s">
        <v>1097</v>
      </c>
      <c r="J2446" s="632"/>
      <c r="K2446" s="389">
        <v>33.549999999999997</v>
      </c>
      <c r="L2446" s="537"/>
      <c r="M2446" s="509">
        <f t="shared" si="7255"/>
        <v>74.515648286140092</v>
      </c>
      <c r="N2446" s="646"/>
      <c r="O2446" s="626"/>
      <c r="P2446" s="629"/>
      <c r="Q2446" s="629"/>
    </row>
    <row r="2447" spans="1:17" ht="15.75" hidden="1" thickBot="1">
      <c r="A2447" s="390" t="str">
        <f t="shared" ref="A2447:G2447" si="7280">A2446</f>
        <v>PBSA</v>
      </c>
      <c r="B2447" s="391" t="str">
        <f t="shared" si="7280"/>
        <v>fiber</v>
      </c>
      <c r="C2447" s="391">
        <f t="shared" si="7280"/>
        <v>4</v>
      </c>
      <c r="D2447" s="391" t="str">
        <f t="shared" si="7280"/>
        <v>1-10</v>
      </c>
      <c r="E2447" s="391">
        <f t="shared" si="7280"/>
        <v>10</v>
      </c>
      <c r="F2447" s="391" t="str">
        <f t="shared" si="7280"/>
        <v>soil</v>
      </c>
      <c r="G2447" s="392" t="str">
        <f t="shared" si="7280"/>
        <v>DE: PBSA fiber 1-10 mm (emission to soil)</v>
      </c>
      <c r="H2447" s="465">
        <v>2.7E-2</v>
      </c>
      <c r="I2447" s="394" t="s">
        <v>1162</v>
      </c>
      <c r="J2447" s="632"/>
      <c r="K2447" s="389">
        <v>33.549999999999997</v>
      </c>
      <c r="L2447" s="537"/>
      <c r="M2447" s="509">
        <f t="shared" si="7255"/>
        <v>74.515648286140092</v>
      </c>
      <c r="N2447" s="646"/>
      <c r="O2447" s="626"/>
      <c r="P2447" s="629"/>
      <c r="Q2447" s="629"/>
    </row>
    <row r="2448" spans="1:17" ht="15.75" hidden="1" thickBot="1">
      <c r="A2448" s="390" t="str">
        <f t="shared" ref="A2448:G2448" si="7281">A2447</f>
        <v>PBSA</v>
      </c>
      <c r="B2448" s="391" t="str">
        <f t="shared" si="7281"/>
        <v>fiber</v>
      </c>
      <c r="C2448" s="391">
        <f t="shared" si="7281"/>
        <v>4</v>
      </c>
      <c r="D2448" s="391" t="str">
        <f t="shared" si="7281"/>
        <v>1-10</v>
      </c>
      <c r="E2448" s="391">
        <f t="shared" si="7281"/>
        <v>10</v>
      </c>
      <c r="F2448" s="391" t="str">
        <f t="shared" si="7281"/>
        <v>soil</v>
      </c>
      <c r="G2448" s="392" t="str">
        <f t="shared" si="7281"/>
        <v>DE: PBSA fiber 1-10 mm (emission to soil)</v>
      </c>
      <c r="H2448" s="465">
        <v>3.0000000000000001E-3</v>
      </c>
      <c r="I2448" s="394" t="s">
        <v>1163</v>
      </c>
      <c r="J2448" s="632"/>
      <c r="K2448" s="389">
        <v>33.549999999999997</v>
      </c>
      <c r="L2448" s="537"/>
      <c r="M2448" s="509">
        <f t="shared" si="7255"/>
        <v>74.515648286140092</v>
      </c>
      <c r="N2448" s="646"/>
      <c r="O2448" s="626"/>
      <c r="P2448" s="629"/>
      <c r="Q2448" s="629"/>
    </row>
    <row r="2449" spans="1:17" ht="15.75" hidden="1" thickBot="1">
      <c r="A2449" s="390" t="str">
        <f>A2446</f>
        <v>PBSA</v>
      </c>
      <c r="B2449" s="391" t="str">
        <f>B2446</f>
        <v>fiber</v>
      </c>
      <c r="C2449" s="391">
        <f t="shared" ref="C2449" si="7282">C2448</f>
        <v>4</v>
      </c>
      <c r="D2449" s="391" t="str">
        <f>D2446</f>
        <v>1-10</v>
      </c>
      <c r="E2449" s="391">
        <f>E2446</f>
        <v>10</v>
      </c>
      <c r="F2449" s="391" t="str">
        <f>F2446</f>
        <v>soil</v>
      </c>
      <c r="G2449" s="396" t="str">
        <f t="shared" ref="G2449" si="7283">G2448</f>
        <v>DE: PBSA fiber 1-10 mm (emission to soil)</v>
      </c>
      <c r="H2449" s="465">
        <v>0</v>
      </c>
      <c r="I2449" s="397" t="s">
        <v>1034</v>
      </c>
      <c r="J2449" s="633"/>
      <c r="K2449" s="398" t="s">
        <v>596</v>
      </c>
      <c r="L2449" s="538"/>
      <c r="M2449" s="509">
        <f t="shared" si="7255"/>
        <v>0</v>
      </c>
      <c r="N2449" s="647"/>
      <c r="O2449" s="627"/>
      <c r="P2449" s="629"/>
      <c r="Q2449" s="629"/>
    </row>
    <row r="2450" spans="1:17" ht="15.75" hidden="1" thickBot="1">
      <c r="A2450" s="390" t="str">
        <f t="shared" ref="A2450:B2450" si="7284">A2447</f>
        <v>PBSA</v>
      </c>
      <c r="B2450" s="391" t="str">
        <f t="shared" si="7284"/>
        <v>fiber</v>
      </c>
      <c r="C2450" s="391">
        <f t="shared" ref="C2450" si="7285">C2449</f>
        <v>4</v>
      </c>
      <c r="D2450" s="399" t="str">
        <f t="shared" ref="D2450:E2450" si="7286">D2447</f>
        <v>1-10</v>
      </c>
      <c r="E2450" s="391">
        <f t="shared" si="7286"/>
        <v>10</v>
      </c>
      <c r="F2450" s="400" t="s">
        <v>1147</v>
      </c>
      <c r="G2450" s="386" t="str">
        <f>CONCATENATE("DE: ",A2450," ",B2450," ",D2450," mm (emission to ",F2450,")")</f>
        <v>DE: PBSA fiber 1-10 mm (emission to fresh water)</v>
      </c>
      <c r="H2450" s="466">
        <v>0</v>
      </c>
      <c r="I2450" s="388" t="s">
        <v>1153</v>
      </c>
      <c r="J2450" s="634">
        <v>0.22800000000000001</v>
      </c>
      <c r="K2450" s="389">
        <v>50.41</v>
      </c>
      <c r="L2450" s="536"/>
      <c r="M2450" s="509">
        <f t="shared" si="7255"/>
        <v>49.593334655822261</v>
      </c>
      <c r="N2450" s="645">
        <f t="shared" si="7242"/>
        <v>74.515648286140092</v>
      </c>
      <c r="O2450" s="625"/>
      <c r="P2450" s="628">
        <f t="shared" si="7159"/>
        <v>74.515648286140092</v>
      </c>
      <c r="Q2450" s="628">
        <f t="shared" si="7198"/>
        <v>74.515648286140092</v>
      </c>
    </row>
    <row r="2451" spans="1:17" ht="15.75" hidden="1" thickBot="1">
      <c r="A2451" s="390" t="str">
        <f t="shared" ref="A2451:B2451" si="7287">A2448</f>
        <v>PBSA</v>
      </c>
      <c r="B2451" s="391" t="str">
        <f t="shared" si="7287"/>
        <v>fiber</v>
      </c>
      <c r="C2451" s="391">
        <f t="shared" ref="C2451" si="7288">C2450</f>
        <v>4</v>
      </c>
      <c r="D2451" s="391" t="str">
        <f t="shared" ref="D2451:E2451" si="7289">D2448</f>
        <v>1-10</v>
      </c>
      <c r="E2451" s="391">
        <f t="shared" si="7289"/>
        <v>10</v>
      </c>
      <c r="F2451" s="391" t="str">
        <f t="shared" ref="F2451:G2451" si="7290">F2450</f>
        <v>fresh water</v>
      </c>
      <c r="G2451" s="401" t="str">
        <f t="shared" si="7290"/>
        <v>DE: PBSA fiber 1-10 mm (emission to fresh water)</v>
      </c>
      <c r="H2451" s="465">
        <v>0</v>
      </c>
      <c r="I2451" s="394" t="s">
        <v>1097</v>
      </c>
      <c r="J2451" s="635"/>
      <c r="K2451" s="389">
        <v>33.549999999999997</v>
      </c>
      <c r="L2451" s="536"/>
      <c r="M2451" s="509">
        <f t="shared" si="7255"/>
        <v>74.515648286140092</v>
      </c>
      <c r="N2451" s="646"/>
      <c r="O2451" s="626"/>
      <c r="P2451" s="629"/>
      <c r="Q2451" s="629"/>
    </row>
    <row r="2452" spans="1:17" ht="15.75" hidden="1" thickBot="1">
      <c r="A2452" s="390" t="str">
        <f t="shared" ref="A2452:B2452" si="7291">A2449</f>
        <v>PBSA</v>
      </c>
      <c r="B2452" s="391" t="str">
        <f t="shared" si="7291"/>
        <v>fiber</v>
      </c>
      <c r="C2452" s="391">
        <f t="shared" ref="C2452" si="7292">C2451</f>
        <v>4</v>
      </c>
      <c r="D2452" s="391" t="str">
        <f t="shared" ref="D2452:E2452" si="7293">D2449</f>
        <v>1-10</v>
      </c>
      <c r="E2452" s="391">
        <f t="shared" si="7293"/>
        <v>10</v>
      </c>
      <c r="F2452" s="391" t="str">
        <f t="shared" ref="F2452:G2452" si="7294">F2451</f>
        <v>fresh water</v>
      </c>
      <c r="G2452" s="401" t="str">
        <f t="shared" si="7294"/>
        <v>DE: PBSA fiber 1-10 mm (emission to fresh water)</v>
      </c>
      <c r="H2452" s="465">
        <v>0.89</v>
      </c>
      <c r="I2452" s="394" t="s">
        <v>1162</v>
      </c>
      <c r="J2452" s="635"/>
      <c r="K2452" s="389">
        <v>33.549999999999997</v>
      </c>
      <c r="L2452" s="536"/>
      <c r="M2452" s="509">
        <f t="shared" si="7255"/>
        <v>74.515648286140092</v>
      </c>
      <c r="N2452" s="646"/>
      <c r="O2452" s="626"/>
      <c r="P2452" s="629"/>
      <c r="Q2452" s="629"/>
    </row>
    <row r="2453" spans="1:17" ht="15.75" hidden="1" thickBot="1">
      <c r="A2453" s="390" t="str">
        <f t="shared" ref="A2453:B2453" si="7295">A2450</f>
        <v>PBSA</v>
      </c>
      <c r="B2453" s="391" t="str">
        <f t="shared" si="7295"/>
        <v>fiber</v>
      </c>
      <c r="C2453" s="391">
        <f t="shared" ref="C2453" si="7296">C2452</f>
        <v>4</v>
      </c>
      <c r="D2453" s="391" t="str">
        <f t="shared" ref="D2453:E2453" si="7297">D2450</f>
        <v>1-10</v>
      </c>
      <c r="E2453" s="391">
        <f t="shared" si="7297"/>
        <v>10</v>
      </c>
      <c r="F2453" s="391" t="str">
        <f t="shared" ref="F2453:G2453" si="7298">F2452</f>
        <v>fresh water</v>
      </c>
      <c r="G2453" s="401" t="str">
        <f t="shared" si="7298"/>
        <v>DE: PBSA fiber 1-10 mm (emission to fresh water)</v>
      </c>
      <c r="H2453" s="465">
        <v>0.11</v>
      </c>
      <c r="I2453" s="394" t="s">
        <v>1163</v>
      </c>
      <c r="J2453" s="635"/>
      <c r="K2453" s="389">
        <v>33.549999999999997</v>
      </c>
      <c r="L2453" s="536"/>
      <c r="M2453" s="509">
        <f t="shared" si="7255"/>
        <v>74.515648286140092</v>
      </c>
      <c r="N2453" s="646"/>
      <c r="O2453" s="626"/>
      <c r="P2453" s="629"/>
      <c r="Q2453" s="629"/>
    </row>
    <row r="2454" spans="1:17" ht="15.75" hidden="1" thickBot="1">
      <c r="A2454" s="390" t="str">
        <f t="shared" ref="A2454:B2454" si="7299">A2451</f>
        <v>PBSA</v>
      </c>
      <c r="B2454" s="391" t="str">
        <f t="shared" si="7299"/>
        <v>fiber</v>
      </c>
      <c r="C2454" s="391">
        <f t="shared" ref="C2454" si="7300">C2453</f>
        <v>4</v>
      </c>
      <c r="D2454" s="391" t="str">
        <f t="shared" ref="D2454:E2454" si="7301">D2451</f>
        <v>1-10</v>
      </c>
      <c r="E2454" s="391">
        <f t="shared" si="7301"/>
        <v>10</v>
      </c>
      <c r="F2454" s="402" t="str">
        <f>F2451</f>
        <v>fresh water</v>
      </c>
      <c r="G2454" s="401" t="str">
        <f t="shared" ref="G2454" si="7302">G2453</f>
        <v>DE: PBSA fiber 1-10 mm (emission to fresh water)</v>
      </c>
      <c r="H2454" s="465">
        <v>0</v>
      </c>
      <c r="I2454" s="397" t="s">
        <v>1034</v>
      </c>
      <c r="J2454" s="654"/>
      <c r="K2454" s="398" t="s">
        <v>596</v>
      </c>
      <c r="L2454" s="538"/>
      <c r="M2454" s="509">
        <f t="shared" si="7255"/>
        <v>0</v>
      </c>
      <c r="N2454" s="647"/>
      <c r="O2454" s="627"/>
      <c r="P2454" s="629"/>
      <c r="Q2454" s="629"/>
    </row>
    <row r="2455" spans="1:17" ht="15.75" hidden="1" thickBot="1">
      <c r="A2455" s="390" t="str">
        <f t="shared" ref="A2455:B2455" si="7303">A2452</f>
        <v>PBSA</v>
      </c>
      <c r="B2455" s="391" t="str">
        <f t="shared" si="7303"/>
        <v>fiber</v>
      </c>
      <c r="C2455" s="391">
        <f t="shared" ref="C2455" si="7304">C2454</f>
        <v>4</v>
      </c>
      <c r="D2455" s="391" t="str">
        <f t="shared" ref="D2455:E2455" si="7305">D2452</f>
        <v>1-10</v>
      </c>
      <c r="E2455" s="391">
        <f t="shared" si="7305"/>
        <v>10</v>
      </c>
      <c r="F2455" s="385" t="s">
        <v>1097</v>
      </c>
      <c r="G2455" s="422" t="str">
        <f>CONCATENATE("DE: ",A2455," ",B2455," ",D2455," mm (emission to ",F2455,")")</f>
        <v>DE: PBSA fiber 1-10 mm (emission to marine water)</v>
      </c>
      <c r="H2455" s="467">
        <v>0</v>
      </c>
      <c r="I2455" s="388" t="s">
        <v>1153</v>
      </c>
      <c r="J2455" s="634">
        <v>0.22800000000000001</v>
      </c>
      <c r="K2455" s="389">
        <v>50.41</v>
      </c>
      <c r="L2455" s="536"/>
      <c r="M2455" s="509">
        <f t="shared" si="7255"/>
        <v>49.593334655822261</v>
      </c>
      <c r="N2455" s="645">
        <f t="shared" si="7242"/>
        <v>74.515648286140092</v>
      </c>
      <c r="O2455" s="625"/>
      <c r="P2455" s="628">
        <f t="shared" si="7159"/>
        <v>74.515648286140092</v>
      </c>
      <c r="Q2455" s="628">
        <f t="shared" si="7198"/>
        <v>74.515648286140092</v>
      </c>
    </row>
    <row r="2456" spans="1:17" ht="15.75" hidden="1" thickBot="1">
      <c r="A2456" s="390" t="str">
        <f t="shared" ref="A2456:B2456" si="7306">A2453</f>
        <v>PBSA</v>
      </c>
      <c r="B2456" s="391" t="str">
        <f t="shared" si="7306"/>
        <v>fiber</v>
      </c>
      <c r="C2456" s="391">
        <f t="shared" ref="C2456" si="7307">C2455</f>
        <v>4</v>
      </c>
      <c r="D2456" s="391" t="str">
        <f t="shared" ref="D2456:E2456" si="7308">D2453</f>
        <v>1-10</v>
      </c>
      <c r="E2456" s="391">
        <f t="shared" si="7308"/>
        <v>10</v>
      </c>
      <c r="F2456" s="391" t="str">
        <f t="shared" ref="F2456:G2456" si="7309">F2455</f>
        <v>marine water</v>
      </c>
      <c r="G2456" s="401" t="str">
        <f t="shared" si="7309"/>
        <v>DE: PBSA fiber 1-10 mm (emission to marine water)</v>
      </c>
      <c r="H2456" s="465">
        <v>0</v>
      </c>
      <c r="I2456" s="394" t="s">
        <v>1097</v>
      </c>
      <c r="J2456" s="635"/>
      <c r="K2456" s="389">
        <v>33.549999999999997</v>
      </c>
      <c r="L2456" s="536"/>
      <c r="M2456" s="509">
        <f t="shared" si="7255"/>
        <v>74.515648286140092</v>
      </c>
      <c r="N2456" s="646"/>
      <c r="O2456" s="626"/>
      <c r="P2456" s="629"/>
      <c r="Q2456" s="629"/>
    </row>
    <row r="2457" spans="1:17" ht="15.75" hidden="1" thickBot="1">
      <c r="A2457" s="390" t="str">
        <f t="shared" ref="A2457:B2457" si="7310">A2454</f>
        <v>PBSA</v>
      </c>
      <c r="B2457" s="391" t="str">
        <f t="shared" si="7310"/>
        <v>fiber</v>
      </c>
      <c r="C2457" s="391">
        <f t="shared" ref="C2457" si="7311">C2456</f>
        <v>4</v>
      </c>
      <c r="D2457" s="391" t="str">
        <f t="shared" ref="D2457:E2457" si="7312">D2454</f>
        <v>1-10</v>
      </c>
      <c r="E2457" s="391">
        <f t="shared" si="7312"/>
        <v>10</v>
      </c>
      <c r="F2457" s="391" t="str">
        <f t="shared" ref="F2457:G2457" si="7313">F2456</f>
        <v>marine water</v>
      </c>
      <c r="G2457" s="401" t="str">
        <f t="shared" si="7313"/>
        <v>DE: PBSA fiber 1-10 mm (emission to marine water)</v>
      </c>
      <c r="H2457" s="465">
        <v>0</v>
      </c>
      <c r="I2457" s="394" t="s">
        <v>1162</v>
      </c>
      <c r="J2457" s="635"/>
      <c r="K2457" s="389">
        <v>33.549999999999997</v>
      </c>
      <c r="L2457" s="536"/>
      <c r="M2457" s="509">
        <f t="shared" si="7255"/>
        <v>74.515648286140092</v>
      </c>
      <c r="N2457" s="646"/>
      <c r="O2457" s="626"/>
      <c r="P2457" s="629"/>
      <c r="Q2457" s="629"/>
    </row>
    <row r="2458" spans="1:17" ht="15.75" hidden="1" thickBot="1">
      <c r="A2458" s="390" t="str">
        <f t="shared" ref="A2458:B2458" si="7314">A2455</f>
        <v>PBSA</v>
      </c>
      <c r="B2458" s="391" t="str">
        <f t="shared" si="7314"/>
        <v>fiber</v>
      </c>
      <c r="C2458" s="391">
        <f t="shared" ref="C2458" si="7315">C2457</f>
        <v>4</v>
      </c>
      <c r="D2458" s="391" t="str">
        <f t="shared" ref="D2458:E2458" si="7316">D2455</f>
        <v>1-10</v>
      </c>
      <c r="E2458" s="391">
        <f t="shared" si="7316"/>
        <v>10</v>
      </c>
      <c r="F2458" s="391" t="str">
        <f t="shared" ref="F2458:G2458" si="7317">F2457</f>
        <v>marine water</v>
      </c>
      <c r="G2458" s="401" t="str">
        <f t="shared" si="7317"/>
        <v>DE: PBSA fiber 1-10 mm (emission to marine water)</v>
      </c>
      <c r="H2458" s="465">
        <v>1</v>
      </c>
      <c r="I2458" s="394" t="s">
        <v>1163</v>
      </c>
      <c r="J2458" s="635"/>
      <c r="K2458" s="389">
        <v>33.549999999999997</v>
      </c>
      <c r="L2458" s="536"/>
      <c r="M2458" s="509">
        <f t="shared" si="7255"/>
        <v>74.515648286140092</v>
      </c>
      <c r="N2458" s="646"/>
      <c r="O2458" s="626"/>
      <c r="P2458" s="629"/>
      <c r="Q2458" s="629"/>
    </row>
    <row r="2459" spans="1:17" ht="15.75" hidden="1" thickBot="1">
      <c r="A2459" s="390" t="str">
        <f t="shared" ref="A2459:B2459" si="7318">A2456</f>
        <v>PBSA</v>
      </c>
      <c r="B2459" s="391" t="str">
        <f t="shared" si="7318"/>
        <v>fiber</v>
      </c>
      <c r="C2459" s="391">
        <f t="shared" ref="C2459" si="7319">C2458</f>
        <v>4</v>
      </c>
      <c r="D2459" s="391" t="str">
        <f t="shared" ref="D2459:E2459" si="7320">D2456</f>
        <v>1-10</v>
      </c>
      <c r="E2459" s="391">
        <f t="shared" si="7320"/>
        <v>10</v>
      </c>
      <c r="F2459" s="391" t="str">
        <f t="shared" ref="F2459:G2459" si="7321">F2458</f>
        <v>marine water</v>
      </c>
      <c r="G2459" s="401" t="str">
        <f t="shared" si="7321"/>
        <v>DE: PBSA fiber 1-10 mm (emission to marine water)</v>
      </c>
      <c r="H2459" s="465">
        <v>0</v>
      </c>
      <c r="I2459" s="397" t="s">
        <v>1034</v>
      </c>
      <c r="J2459" s="654"/>
      <c r="K2459" s="398" t="s">
        <v>596</v>
      </c>
      <c r="L2459" s="538"/>
      <c r="M2459" s="509">
        <f t="shared" si="7255"/>
        <v>0</v>
      </c>
      <c r="N2459" s="647"/>
      <c r="O2459" s="627"/>
      <c r="P2459" s="629"/>
      <c r="Q2459" s="629"/>
    </row>
    <row r="2460" spans="1:17" ht="15.75" hidden="1" thickBot="1">
      <c r="A2460" s="390" t="str">
        <f t="shared" ref="A2460:B2460" si="7322">A2457</f>
        <v>PBSA</v>
      </c>
      <c r="B2460" s="391" t="str">
        <f t="shared" si="7322"/>
        <v>fiber</v>
      </c>
      <c r="C2460" s="391">
        <f t="shared" ref="C2460" si="7323">C2459</f>
        <v>4</v>
      </c>
      <c r="D2460" s="391" t="str">
        <f t="shared" ref="D2460:E2460" si="7324">D2457</f>
        <v>1-10</v>
      </c>
      <c r="E2460" s="391">
        <f t="shared" si="7324"/>
        <v>10</v>
      </c>
      <c r="F2460" s="400" t="s">
        <v>1057</v>
      </c>
      <c r="G2460" s="422" t="str">
        <f>CONCATENATE("DE: ",A2460," ",B2460," ",D2460," mm (emission to ",F2460,")")</f>
        <v>DE: PBSA fiber 1-10 mm (emission to air)</v>
      </c>
      <c r="H2460" s="467">
        <v>0.94799999999999995</v>
      </c>
      <c r="I2460" s="388" t="s">
        <v>1153</v>
      </c>
      <c r="J2460" s="634">
        <v>0.22800000000000001</v>
      </c>
      <c r="K2460" s="389">
        <v>50.41</v>
      </c>
      <c r="L2460" s="536"/>
      <c r="M2460" s="509">
        <f t="shared" si="7255"/>
        <v>49.593334655822261</v>
      </c>
      <c r="N2460" s="645">
        <f t="shared" si="7242"/>
        <v>50.88929496459879</v>
      </c>
      <c r="O2460" s="625"/>
      <c r="P2460" s="628">
        <f t="shared" si="7159"/>
        <v>50.88929496459879</v>
      </c>
      <c r="Q2460" s="628">
        <f t="shared" si="7198"/>
        <v>50.88929496459879</v>
      </c>
    </row>
    <row r="2461" spans="1:17" ht="15.75" hidden="1" thickBot="1">
      <c r="A2461" s="390" t="str">
        <f t="shared" ref="A2461:B2461" si="7325">A2458</f>
        <v>PBSA</v>
      </c>
      <c r="B2461" s="391" t="str">
        <f t="shared" si="7325"/>
        <v>fiber</v>
      </c>
      <c r="C2461" s="391">
        <f t="shared" ref="C2461" si="7326">C2460</f>
        <v>4</v>
      </c>
      <c r="D2461" s="391" t="str">
        <f t="shared" ref="D2461:E2461" si="7327">D2458</f>
        <v>1-10</v>
      </c>
      <c r="E2461" s="391">
        <f t="shared" si="7327"/>
        <v>10</v>
      </c>
      <c r="F2461" s="391" t="str">
        <f t="shared" ref="F2461:G2461" si="7328">F2460</f>
        <v>air</v>
      </c>
      <c r="G2461" s="401" t="str">
        <f t="shared" si="7328"/>
        <v>DE: PBSA fiber 1-10 mm (emission to air)</v>
      </c>
      <c r="H2461" s="465">
        <v>0</v>
      </c>
      <c r="I2461" s="394" t="s">
        <v>1097</v>
      </c>
      <c r="J2461" s="635"/>
      <c r="K2461" s="389">
        <v>33.549999999999997</v>
      </c>
      <c r="L2461" s="536"/>
      <c r="M2461" s="509">
        <f t="shared" si="7255"/>
        <v>74.515648286140092</v>
      </c>
      <c r="N2461" s="646"/>
      <c r="O2461" s="626"/>
      <c r="P2461" s="629"/>
      <c r="Q2461" s="629"/>
    </row>
    <row r="2462" spans="1:17" ht="15.75" hidden="1" thickBot="1">
      <c r="A2462" s="390" t="str">
        <f t="shared" ref="A2462:B2462" si="7329">A2459</f>
        <v>PBSA</v>
      </c>
      <c r="B2462" s="391" t="str">
        <f t="shared" si="7329"/>
        <v>fiber</v>
      </c>
      <c r="C2462" s="391">
        <f t="shared" ref="C2462" si="7330">C2461</f>
        <v>4</v>
      </c>
      <c r="D2462" s="391" t="str">
        <f t="shared" ref="D2462:E2462" si="7331">D2459</f>
        <v>1-10</v>
      </c>
      <c r="E2462" s="391">
        <f t="shared" si="7331"/>
        <v>10</v>
      </c>
      <c r="F2462" s="391" t="str">
        <f t="shared" ref="F2462:G2462" si="7332">F2461</f>
        <v>air</v>
      </c>
      <c r="G2462" s="401" t="str">
        <f t="shared" si="7332"/>
        <v>DE: PBSA fiber 1-10 mm (emission to air)</v>
      </c>
      <c r="H2462" s="465">
        <v>4.7E-2</v>
      </c>
      <c r="I2462" s="394" t="s">
        <v>1162</v>
      </c>
      <c r="J2462" s="635"/>
      <c r="K2462" s="389">
        <v>33.549999999999997</v>
      </c>
      <c r="L2462" s="536"/>
      <c r="M2462" s="509">
        <f t="shared" si="7255"/>
        <v>74.515648286140092</v>
      </c>
      <c r="N2462" s="646"/>
      <c r="O2462" s="626"/>
      <c r="P2462" s="629"/>
      <c r="Q2462" s="629"/>
    </row>
    <row r="2463" spans="1:17" ht="15.75" hidden="1" thickBot="1">
      <c r="A2463" s="390" t="str">
        <f t="shared" ref="A2463:B2463" si="7333">A2460</f>
        <v>PBSA</v>
      </c>
      <c r="B2463" s="391" t="str">
        <f t="shared" si="7333"/>
        <v>fiber</v>
      </c>
      <c r="C2463" s="391">
        <f t="shared" ref="C2463" si="7334">C2462</f>
        <v>4</v>
      </c>
      <c r="D2463" s="391" t="str">
        <f t="shared" ref="D2463:E2463" si="7335">D2460</f>
        <v>1-10</v>
      </c>
      <c r="E2463" s="391">
        <f t="shared" si="7335"/>
        <v>10</v>
      </c>
      <c r="F2463" s="391" t="str">
        <f t="shared" ref="F2463:G2463" si="7336">F2462</f>
        <v>air</v>
      </c>
      <c r="G2463" s="401" t="str">
        <f t="shared" si="7336"/>
        <v>DE: PBSA fiber 1-10 mm (emission to air)</v>
      </c>
      <c r="H2463" s="465">
        <v>5.0000000000000001E-3</v>
      </c>
      <c r="I2463" s="394" t="s">
        <v>1163</v>
      </c>
      <c r="J2463" s="635"/>
      <c r="K2463" s="389">
        <v>33.549999999999997</v>
      </c>
      <c r="L2463" s="536"/>
      <c r="M2463" s="509">
        <f t="shared" si="7255"/>
        <v>74.515648286140092</v>
      </c>
      <c r="N2463" s="646"/>
      <c r="O2463" s="626"/>
      <c r="P2463" s="629"/>
      <c r="Q2463" s="629"/>
    </row>
    <row r="2464" spans="1:17" ht="15.75" hidden="1" thickBot="1">
      <c r="A2464" s="452" t="str">
        <f t="shared" ref="A2464:B2464" si="7337">A2459</f>
        <v>PBSA</v>
      </c>
      <c r="B2464" s="453" t="str">
        <f t="shared" si="7337"/>
        <v>fiber</v>
      </c>
      <c r="C2464" s="453">
        <f t="shared" ref="C2464" si="7338">C2463</f>
        <v>4</v>
      </c>
      <c r="D2464" s="453" t="str">
        <f t="shared" ref="D2464:E2464" si="7339">D2459</f>
        <v>1-10</v>
      </c>
      <c r="E2464" s="453">
        <f t="shared" si="7339"/>
        <v>10</v>
      </c>
      <c r="F2464" s="453" t="str">
        <f t="shared" ref="F2464:G2464" si="7340">F2463</f>
        <v>air</v>
      </c>
      <c r="G2464" s="454" t="str">
        <f t="shared" si="7340"/>
        <v>DE: PBSA fiber 1-10 mm (emission to air)</v>
      </c>
      <c r="H2464" s="473">
        <v>0</v>
      </c>
      <c r="I2464" s="479" t="s">
        <v>1034</v>
      </c>
      <c r="J2464" s="636"/>
      <c r="K2464" s="457" t="s">
        <v>596</v>
      </c>
      <c r="L2464" s="543"/>
      <c r="M2464" s="509">
        <f t="shared" si="7255"/>
        <v>0</v>
      </c>
      <c r="N2464" s="647"/>
      <c r="O2464" s="627"/>
      <c r="P2464" s="629"/>
      <c r="Q2464" s="629"/>
    </row>
    <row r="2465" spans="1:17" ht="15.75" hidden="1" thickBot="1">
      <c r="A2465" s="381" t="s">
        <v>654</v>
      </c>
      <c r="B2465" s="382" t="s">
        <v>1152</v>
      </c>
      <c r="C2465" s="383">
        <v>6</v>
      </c>
      <c r="D2465" s="475" t="s">
        <v>1018</v>
      </c>
      <c r="E2465" s="384">
        <v>0.1</v>
      </c>
      <c r="F2465" s="385" t="s">
        <v>1019</v>
      </c>
      <c r="G2465" s="386" t="str">
        <f>CONCATENATE("DE: ",A2465," ",B2465," ",D2465," mm (emission to ",F2465,")")</f>
        <v>DE: PBSA particle 0,01-0,1 mm (emission to soil)</v>
      </c>
      <c r="H2465" s="466">
        <v>0.97</v>
      </c>
      <c r="I2465" s="388" t="s">
        <v>1153</v>
      </c>
      <c r="J2465" s="632">
        <v>0.22800000000000001</v>
      </c>
      <c r="K2465" s="389">
        <v>50.41</v>
      </c>
      <c r="L2465" s="536"/>
      <c r="M2465" s="509">
        <f t="shared" si="7255"/>
        <v>0.24796667327911132</v>
      </c>
      <c r="N2465" s="645">
        <f t="shared" si="7242"/>
        <v>0.25170502032365899</v>
      </c>
      <c r="O2465" s="625"/>
      <c r="P2465" s="628">
        <f t="shared" si="7159"/>
        <v>0.25170502032365899</v>
      </c>
      <c r="Q2465" s="628">
        <f t="shared" si="7198"/>
        <v>0.25170502032365899</v>
      </c>
    </row>
    <row r="2466" spans="1:17" ht="15.75" hidden="1" thickBot="1">
      <c r="A2466" s="390" t="str">
        <f>A2465</f>
        <v>PBSA</v>
      </c>
      <c r="B2466" s="391" t="str">
        <f>B2465</f>
        <v>particle</v>
      </c>
      <c r="C2466" s="391">
        <f t="shared" ref="C2466:G2466" si="7341">C2465</f>
        <v>6</v>
      </c>
      <c r="D2466" s="391" t="str">
        <f t="shared" si="7341"/>
        <v>0,01-0,1</v>
      </c>
      <c r="E2466" s="391">
        <f t="shared" si="7341"/>
        <v>0.1</v>
      </c>
      <c r="F2466" s="391" t="str">
        <f t="shared" si="7341"/>
        <v>soil</v>
      </c>
      <c r="G2466" s="392" t="str">
        <f t="shared" si="7341"/>
        <v>DE: PBSA particle 0,01-0,1 mm (emission to soil)</v>
      </c>
      <c r="H2466" s="465">
        <v>0</v>
      </c>
      <c r="I2466" s="394" t="s">
        <v>1097</v>
      </c>
      <c r="J2466" s="632"/>
      <c r="K2466" s="389">
        <v>33.549999999999997</v>
      </c>
      <c r="L2466" s="537"/>
      <c r="M2466" s="509">
        <f t="shared" si="7255"/>
        <v>0.37257824143070045</v>
      </c>
      <c r="N2466" s="646"/>
      <c r="O2466" s="626"/>
      <c r="P2466" s="629"/>
      <c r="Q2466" s="629"/>
    </row>
    <row r="2467" spans="1:17" ht="15.75" hidden="1" thickBot="1">
      <c r="A2467" s="390" t="str">
        <f t="shared" ref="A2467:G2467" si="7342">A2466</f>
        <v>PBSA</v>
      </c>
      <c r="B2467" s="391" t="str">
        <f t="shared" si="7342"/>
        <v>particle</v>
      </c>
      <c r="C2467" s="391">
        <f t="shared" si="7342"/>
        <v>6</v>
      </c>
      <c r="D2467" s="391" t="str">
        <f t="shared" si="7342"/>
        <v>0,01-0,1</v>
      </c>
      <c r="E2467" s="391">
        <f t="shared" si="7342"/>
        <v>0.1</v>
      </c>
      <c r="F2467" s="391" t="str">
        <f t="shared" si="7342"/>
        <v>soil</v>
      </c>
      <c r="G2467" s="392" t="str">
        <f t="shared" si="7342"/>
        <v>DE: PBSA particle 0,01-0,1 mm (emission to soil)</v>
      </c>
      <c r="H2467" s="465">
        <v>2.7E-2</v>
      </c>
      <c r="I2467" s="394" t="s">
        <v>1162</v>
      </c>
      <c r="J2467" s="632"/>
      <c r="K2467" s="389">
        <v>33.549999999999997</v>
      </c>
      <c r="L2467" s="537"/>
      <c r="M2467" s="509">
        <f t="shared" si="7255"/>
        <v>0.37257824143070045</v>
      </c>
      <c r="N2467" s="646"/>
      <c r="O2467" s="626"/>
      <c r="P2467" s="629"/>
      <c r="Q2467" s="629"/>
    </row>
    <row r="2468" spans="1:17" ht="15.75" hidden="1" thickBot="1">
      <c r="A2468" s="390" t="str">
        <f t="shared" ref="A2468:G2468" si="7343">A2467</f>
        <v>PBSA</v>
      </c>
      <c r="B2468" s="391" t="str">
        <f t="shared" si="7343"/>
        <v>particle</v>
      </c>
      <c r="C2468" s="391">
        <f t="shared" si="7343"/>
        <v>6</v>
      </c>
      <c r="D2468" s="391" t="str">
        <f t="shared" si="7343"/>
        <v>0,01-0,1</v>
      </c>
      <c r="E2468" s="391">
        <f t="shared" si="7343"/>
        <v>0.1</v>
      </c>
      <c r="F2468" s="391" t="str">
        <f t="shared" si="7343"/>
        <v>soil</v>
      </c>
      <c r="G2468" s="392" t="str">
        <f t="shared" si="7343"/>
        <v>DE: PBSA particle 0,01-0,1 mm (emission to soil)</v>
      </c>
      <c r="H2468" s="465">
        <v>3.0000000000000001E-3</v>
      </c>
      <c r="I2468" s="394" t="s">
        <v>1163</v>
      </c>
      <c r="J2468" s="632"/>
      <c r="K2468" s="389">
        <v>33.549999999999997</v>
      </c>
      <c r="L2468" s="537"/>
      <c r="M2468" s="509">
        <f t="shared" si="7255"/>
        <v>0.37257824143070045</v>
      </c>
      <c r="N2468" s="646"/>
      <c r="O2468" s="626"/>
      <c r="P2468" s="629"/>
      <c r="Q2468" s="629"/>
    </row>
    <row r="2469" spans="1:17" ht="15.75" hidden="1" thickBot="1">
      <c r="A2469" s="390" t="str">
        <f>A2466</f>
        <v>PBSA</v>
      </c>
      <c r="B2469" s="391" t="str">
        <f>B2466</f>
        <v>particle</v>
      </c>
      <c r="C2469" s="391">
        <f t="shared" ref="C2469" si="7344">C2468</f>
        <v>6</v>
      </c>
      <c r="D2469" s="391" t="str">
        <f>D2466</f>
        <v>0,01-0,1</v>
      </c>
      <c r="E2469" s="391">
        <f>E2466</f>
        <v>0.1</v>
      </c>
      <c r="F2469" s="391" t="str">
        <f>F2466</f>
        <v>soil</v>
      </c>
      <c r="G2469" s="396" t="str">
        <f t="shared" ref="G2469" si="7345">G2468</f>
        <v>DE: PBSA particle 0,01-0,1 mm (emission to soil)</v>
      </c>
      <c r="H2469" s="465">
        <v>0</v>
      </c>
      <c r="I2469" s="397" t="s">
        <v>1034</v>
      </c>
      <c r="J2469" s="633"/>
      <c r="K2469" s="398" t="s">
        <v>596</v>
      </c>
      <c r="L2469" s="538"/>
      <c r="M2469" s="509">
        <f t="shared" si="7255"/>
        <v>0</v>
      </c>
      <c r="N2469" s="647"/>
      <c r="O2469" s="627"/>
      <c r="P2469" s="629"/>
      <c r="Q2469" s="629"/>
    </row>
    <row r="2470" spans="1:17" ht="15.75" hidden="1" thickBot="1">
      <c r="A2470" s="390" t="str">
        <f t="shared" ref="A2470:B2470" si="7346">A2467</f>
        <v>PBSA</v>
      </c>
      <c r="B2470" s="391" t="str">
        <f t="shared" si="7346"/>
        <v>particle</v>
      </c>
      <c r="C2470" s="391">
        <f t="shared" ref="C2470" si="7347">C2469</f>
        <v>6</v>
      </c>
      <c r="D2470" s="399" t="str">
        <f t="shared" ref="D2470:E2470" si="7348">D2467</f>
        <v>0,01-0,1</v>
      </c>
      <c r="E2470" s="391">
        <f t="shared" si="7348"/>
        <v>0.1</v>
      </c>
      <c r="F2470" s="400" t="s">
        <v>1147</v>
      </c>
      <c r="G2470" s="386" t="str">
        <f>CONCATENATE("DE: ",A2470," ",B2470," ",D2470," mm (emission to ",F2470,")")</f>
        <v>DE: PBSA particle 0,01-0,1 mm (emission to fresh water)</v>
      </c>
      <c r="H2470" s="466">
        <v>0</v>
      </c>
      <c r="I2470" s="388" t="s">
        <v>1153</v>
      </c>
      <c r="J2470" s="634">
        <v>0.22800000000000001</v>
      </c>
      <c r="K2470" s="389">
        <v>50.41</v>
      </c>
      <c r="L2470" s="536"/>
      <c r="M2470" s="509">
        <f t="shared" si="7255"/>
        <v>0.24796667327911132</v>
      </c>
      <c r="N2470" s="645">
        <f t="shared" si="7242"/>
        <v>0.37257824143070045</v>
      </c>
      <c r="O2470" s="625"/>
      <c r="P2470" s="628">
        <f t="shared" si="7159"/>
        <v>0.37257824143070045</v>
      </c>
      <c r="Q2470" s="628">
        <f t="shared" si="7198"/>
        <v>0.37257824143070045</v>
      </c>
    </row>
    <row r="2471" spans="1:17" ht="15.75" hidden="1" thickBot="1">
      <c r="A2471" s="390" t="str">
        <f t="shared" ref="A2471:B2471" si="7349">A2468</f>
        <v>PBSA</v>
      </c>
      <c r="B2471" s="391" t="str">
        <f t="shared" si="7349"/>
        <v>particle</v>
      </c>
      <c r="C2471" s="391">
        <f t="shared" ref="C2471" si="7350">C2470</f>
        <v>6</v>
      </c>
      <c r="D2471" s="391" t="str">
        <f t="shared" ref="D2471:E2471" si="7351">D2468</f>
        <v>0,01-0,1</v>
      </c>
      <c r="E2471" s="391">
        <f t="shared" si="7351"/>
        <v>0.1</v>
      </c>
      <c r="F2471" s="391" t="str">
        <f t="shared" ref="F2471:G2471" si="7352">F2470</f>
        <v>fresh water</v>
      </c>
      <c r="G2471" s="401" t="str">
        <f t="shared" si="7352"/>
        <v>DE: PBSA particle 0,01-0,1 mm (emission to fresh water)</v>
      </c>
      <c r="H2471" s="465">
        <v>0</v>
      </c>
      <c r="I2471" s="394" t="s">
        <v>1097</v>
      </c>
      <c r="J2471" s="635"/>
      <c r="K2471" s="389">
        <v>33.549999999999997</v>
      </c>
      <c r="L2471" s="536"/>
      <c r="M2471" s="509">
        <f t="shared" si="7255"/>
        <v>0.37257824143070045</v>
      </c>
      <c r="N2471" s="646"/>
      <c r="O2471" s="626"/>
      <c r="P2471" s="629"/>
      <c r="Q2471" s="629"/>
    </row>
    <row r="2472" spans="1:17" ht="15.75" hidden="1" thickBot="1">
      <c r="A2472" s="390" t="str">
        <f t="shared" ref="A2472:B2472" si="7353">A2469</f>
        <v>PBSA</v>
      </c>
      <c r="B2472" s="391" t="str">
        <f t="shared" si="7353"/>
        <v>particle</v>
      </c>
      <c r="C2472" s="391">
        <f t="shared" ref="C2472" si="7354">C2471</f>
        <v>6</v>
      </c>
      <c r="D2472" s="391" t="str">
        <f t="shared" ref="D2472:E2472" si="7355">D2469</f>
        <v>0,01-0,1</v>
      </c>
      <c r="E2472" s="391">
        <f t="shared" si="7355"/>
        <v>0.1</v>
      </c>
      <c r="F2472" s="391" t="str">
        <f t="shared" ref="F2472:G2472" si="7356">F2471</f>
        <v>fresh water</v>
      </c>
      <c r="G2472" s="401" t="str">
        <f t="shared" si="7356"/>
        <v>DE: PBSA particle 0,01-0,1 mm (emission to fresh water)</v>
      </c>
      <c r="H2472" s="465">
        <v>0.89</v>
      </c>
      <c r="I2472" s="394" t="s">
        <v>1162</v>
      </c>
      <c r="J2472" s="635"/>
      <c r="K2472" s="389">
        <v>33.549999999999997</v>
      </c>
      <c r="L2472" s="536"/>
      <c r="M2472" s="509">
        <f t="shared" si="7255"/>
        <v>0.37257824143070045</v>
      </c>
      <c r="N2472" s="646"/>
      <c r="O2472" s="626"/>
      <c r="P2472" s="629"/>
      <c r="Q2472" s="629"/>
    </row>
    <row r="2473" spans="1:17" ht="15.75" hidden="1" thickBot="1">
      <c r="A2473" s="390" t="str">
        <f t="shared" ref="A2473:B2473" si="7357">A2470</f>
        <v>PBSA</v>
      </c>
      <c r="B2473" s="391" t="str">
        <f t="shared" si="7357"/>
        <v>particle</v>
      </c>
      <c r="C2473" s="391">
        <f t="shared" ref="C2473" si="7358">C2472</f>
        <v>6</v>
      </c>
      <c r="D2473" s="391" t="str">
        <f t="shared" ref="D2473:E2473" si="7359">D2470</f>
        <v>0,01-0,1</v>
      </c>
      <c r="E2473" s="391">
        <f t="shared" si="7359"/>
        <v>0.1</v>
      </c>
      <c r="F2473" s="391" t="str">
        <f t="shared" ref="F2473:G2473" si="7360">F2472</f>
        <v>fresh water</v>
      </c>
      <c r="G2473" s="401" t="str">
        <f t="shared" si="7360"/>
        <v>DE: PBSA particle 0,01-0,1 mm (emission to fresh water)</v>
      </c>
      <c r="H2473" s="465">
        <v>0.11</v>
      </c>
      <c r="I2473" s="394" t="s">
        <v>1163</v>
      </c>
      <c r="J2473" s="635"/>
      <c r="K2473" s="389">
        <v>33.549999999999997</v>
      </c>
      <c r="L2473" s="536"/>
      <c r="M2473" s="509">
        <f t="shared" si="7255"/>
        <v>0.37257824143070045</v>
      </c>
      <c r="N2473" s="646"/>
      <c r="O2473" s="626"/>
      <c r="P2473" s="629"/>
      <c r="Q2473" s="629"/>
    </row>
    <row r="2474" spans="1:17" ht="15.75" hidden="1" thickBot="1">
      <c r="A2474" s="390" t="str">
        <f t="shared" ref="A2474:B2474" si="7361">A2471</f>
        <v>PBSA</v>
      </c>
      <c r="B2474" s="391" t="str">
        <f t="shared" si="7361"/>
        <v>particle</v>
      </c>
      <c r="C2474" s="391">
        <f t="shared" ref="C2474" si="7362">C2473</f>
        <v>6</v>
      </c>
      <c r="D2474" s="391" t="str">
        <f t="shared" ref="D2474:E2474" si="7363">D2471</f>
        <v>0,01-0,1</v>
      </c>
      <c r="E2474" s="391">
        <f t="shared" si="7363"/>
        <v>0.1</v>
      </c>
      <c r="F2474" s="402" t="str">
        <f>F2471</f>
        <v>fresh water</v>
      </c>
      <c r="G2474" s="401" t="str">
        <f t="shared" ref="G2474" si="7364">G2473</f>
        <v>DE: PBSA particle 0,01-0,1 mm (emission to fresh water)</v>
      </c>
      <c r="H2474" s="465">
        <v>0</v>
      </c>
      <c r="I2474" s="397" t="s">
        <v>1034</v>
      </c>
      <c r="J2474" s="654"/>
      <c r="K2474" s="398" t="s">
        <v>596</v>
      </c>
      <c r="L2474" s="538"/>
      <c r="M2474" s="509">
        <f t="shared" si="7255"/>
        <v>0</v>
      </c>
      <c r="N2474" s="647"/>
      <c r="O2474" s="627"/>
      <c r="P2474" s="629"/>
      <c r="Q2474" s="629"/>
    </row>
    <row r="2475" spans="1:17" ht="15.75" hidden="1" thickBot="1">
      <c r="A2475" s="390" t="str">
        <f t="shared" ref="A2475:B2475" si="7365">A2472</f>
        <v>PBSA</v>
      </c>
      <c r="B2475" s="391" t="str">
        <f t="shared" si="7365"/>
        <v>particle</v>
      </c>
      <c r="C2475" s="391">
        <f t="shared" ref="C2475" si="7366">C2474</f>
        <v>6</v>
      </c>
      <c r="D2475" s="391" t="str">
        <f t="shared" ref="D2475:E2475" si="7367">D2472</f>
        <v>0,01-0,1</v>
      </c>
      <c r="E2475" s="391">
        <f t="shared" si="7367"/>
        <v>0.1</v>
      </c>
      <c r="F2475" s="385" t="s">
        <v>1097</v>
      </c>
      <c r="G2475" s="422" t="str">
        <f>CONCATENATE("DE: ",A2475," ",B2475," ",D2475," mm (emission to ",F2475,")")</f>
        <v>DE: PBSA particle 0,01-0,1 mm (emission to marine water)</v>
      </c>
      <c r="H2475" s="467">
        <v>0</v>
      </c>
      <c r="I2475" s="388" t="s">
        <v>1153</v>
      </c>
      <c r="J2475" s="634">
        <v>0.22800000000000001</v>
      </c>
      <c r="K2475" s="389">
        <v>50.41</v>
      </c>
      <c r="L2475" s="536"/>
      <c r="M2475" s="509">
        <f t="shared" si="7255"/>
        <v>0.24796667327911132</v>
      </c>
      <c r="N2475" s="645">
        <f t="shared" si="7242"/>
        <v>0.37257824143070045</v>
      </c>
      <c r="O2475" s="625"/>
      <c r="P2475" s="628">
        <f t="shared" ref="P2475:P2520" si="7368">IFERROR(IF(H2475*M2475+H2476*M2476+H2477*M2477+H2478*M2478+H2479*M2479&gt;100,100,H2475*M2475+H2476*M2476+H2477*M2477+H2478*M2478+H2479*M2479),"N.A.")</f>
        <v>0.37257824143070045</v>
      </c>
      <c r="Q2475" s="628">
        <f t="shared" si="7198"/>
        <v>0.37257824143070045</v>
      </c>
    </row>
    <row r="2476" spans="1:17" ht="15.75" hidden="1" thickBot="1">
      <c r="A2476" s="390" t="str">
        <f t="shared" ref="A2476:B2476" si="7369">A2473</f>
        <v>PBSA</v>
      </c>
      <c r="B2476" s="391" t="str">
        <f t="shared" si="7369"/>
        <v>particle</v>
      </c>
      <c r="C2476" s="391">
        <f t="shared" ref="C2476" si="7370">C2475</f>
        <v>6</v>
      </c>
      <c r="D2476" s="391" t="str">
        <f t="shared" ref="D2476:E2476" si="7371">D2473</f>
        <v>0,01-0,1</v>
      </c>
      <c r="E2476" s="391">
        <f t="shared" si="7371"/>
        <v>0.1</v>
      </c>
      <c r="F2476" s="391" t="str">
        <f t="shared" ref="F2476:G2476" si="7372">F2475</f>
        <v>marine water</v>
      </c>
      <c r="G2476" s="401" t="str">
        <f t="shared" si="7372"/>
        <v>DE: PBSA particle 0,01-0,1 mm (emission to marine water)</v>
      </c>
      <c r="H2476" s="465">
        <v>0</v>
      </c>
      <c r="I2476" s="394" t="s">
        <v>1097</v>
      </c>
      <c r="J2476" s="635"/>
      <c r="K2476" s="389">
        <v>33.549999999999997</v>
      </c>
      <c r="L2476" s="536"/>
      <c r="M2476" s="509">
        <f t="shared" si="7255"/>
        <v>0.37257824143070045</v>
      </c>
      <c r="N2476" s="646"/>
      <c r="O2476" s="626"/>
      <c r="P2476" s="629"/>
      <c r="Q2476" s="629"/>
    </row>
    <row r="2477" spans="1:17" ht="15.75" hidden="1" thickBot="1">
      <c r="A2477" s="390" t="str">
        <f t="shared" ref="A2477:B2477" si="7373">A2474</f>
        <v>PBSA</v>
      </c>
      <c r="B2477" s="391" t="str">
        <f t="shared" si="7373"/>
        <v>particle</v>
      </c>
      <c r="C2477" s="391">
        <f t="shared" ref="C2477" si="7374">C2476</f>
        <v>6</v>
      </c>
      <c r="D2477" s="391" t="str">
        <f t="shared" ref="D2477:E2477" si="7375">D2474</f>
        <v>0,01-0,1</v>
      </c>
      <c r="E2477" s="391">
        <f t="shared" si="7375"/>
        <v>0.1</v>
      </c>
      <c r="F2477" s="391" t="str">
        <f t="shared" ref="F2477:G2477" si="7376">F2476</f>
        <v>marine water</v>
      </c>
      <c r="G2477" s="401" t="str">
        <f t="shared" si="7376"/>
        <v>DE: PBSA particle 0,01-0,1 mm (emission to marine water)</v>
      </c>
      <c r="H2477" s="465">
        <v>0</v>
      </c>
      <c r="I2477" s="394" t="s">
        <v>1162</v>
      </c>
      <c r="J2477" s="635"/>
      <c r="K2477" s="389">
        <v>33.549999999999997</v>
      </c>
      <c r="L2477" s="536"/>
      <c r="M2477" s="509">
        <f t="shared" si="7255"/>
        <v>0.37257824143070045</v>
      </c>
      <c r="N2477" s="646"/>
      <c r="O2477" s="626"/>
      <c r="P2477" s="629"/>
      <c r="Q2477" s="629"/>
    </row>
    <row r="2478" spans="1:17" ht="15.75" hidden="1" thickBot="1">
      <c r="A2478" s="390" t="str">
        <f t="shared" ref="A2478:B2478" si="7377">A2475</f>
        <v>PBSA</v>
      </c>
      <c r="B2478" s="391" t="str">
        <f t="shared" si="7377"/>
        <v>particle</v>
      </c>
      <c r="C2478" s="391">
        <f t="shared" ref="C2478" si="7378">C2477</f>
        <v>6</v>
      </c>
      <c r="D2478" s="391" t="str">
        <f t="shared" ref="D2478:E2478" si="7379">D2475</f>
        <v>0,01-0,1</v>
      </c>
      <c r="E2478" s="391">
        <f t="shared" si="7379"/>
        <v>0.1</v>
      </c>
      <c r="F2478" s="391" t="str">
        <f t="shared" ref="F2478:G2478" si="7380">F2477</f>
        <v>marine water</v>
      </c>
      <c r="G2478" s="401" t="str">
        <f t="shared" si="7380"/>
        <v>DE: PBSA particle 0,01-0,1 mm (emission to marine water)</v>
      </c>
      <c r="H2478" s="465">
        <v>1</v>
      </c>
      <c r="I2478" s="394" t="s">
        <v>1163</v>
      </c>
      <c r="J2478" s="635"/>
      <c r="K2478" s="389">
        <v>33.549999999999997</v>
      </c>
      <c r="L2478" s="536"/>
      <c r="M2478" s="509">
        <f t="shared" si="7255"/>
        <v>0.37257824143070045</v>
      </c>
      <c r="N2478" s="646"/>
      <c r="O2478" s="626"/>
      <c r="P2478" s="629"/>
      <c r="Q2478" s="629"/>
    </row>
    <row r="2479" spans="1:17" ht="15.75" hidden="1" thickBot="1">
      <c r="A2479" s="390" t="str">
        <f t="shared" ref="A2479:B2479" si="7381">A2476</f>
        <v>PBSA</v>
      </c>
      <c r="B2479" s="391" t="str">
        <f t="shared" si="7381"/>
        <v>particle</v>
      </c>
      <c r="C2479" s="391">
        <f t="shared" ref="C2479" si="7382">C2478</f>
        <v>6</v>
      </c>
      <c r="D2479" s="391" t="str">
        <f t="shared" ref="D2479:E2479" si="7383">D2476</f>
        <v>0,01-0,1</v>
      </c>
      <c r="E2479" s="391">
        <f t="shared" si="7383"/>
        <v>0.1</v>
      </c>
      <c r="F2479" s="391" t="str">
        <f t="shared" ref="F2479:G2479" si="7384">F2478</f>
        <v>marine water</v>
      </c>
      <c r="G2479" s="401" t="str">
        <f t="shared" si="7384"/>
        <v>DE: PBSA particle 0,01-0,1 mm (emission to marine water)</v>
      </c>
      <c r="H2479" s="465">
        <v>0</v>
      </c>
      <c r="I2479" s="397" t="s">
        <v>1034</v>
      </c>
      <c r="J2479" s="654"/>
      <c r="K2479" s="398" t="s">
        <v>596</v>
      </c>
      <c r="L2479" s="538"/>
      <c r="M2479" s="509">
        <f t="shared" si="7255"/>
        <v>0</v>
      </c>
      <c r="N2479" s="647"/>
      <c r="O2479" s="627"/>
      <c r="P2479" s="629"/>
      <c r="Q2479" s="629"/>
    </row>
    <row r="2480" spans="1:17" ht="15.75" hidden="1" thickBot="1">
      <c r="A2480" s="390" t="str">
        <f t="shared" ref="A2480:B2480" si="7385">A2477</f>
        <v>PBSA</v>
      </c>
      <c r="B2480" s="391" t="str">
        <f t="shared" si="7385"/>
        <v>particle</v>
      </c>
      <c r="C2480" s="391">
        <f t="shared" ref="C2480" si="7386">C2479</f>
        <v>6</v>
      </c>
      <c r="D2480" s="391" t="str">
        <f t="shared" ref="D2480:E2480" si="7387">D2477</f>
        <v>0,01-0,1</v>
      </c>
      <c r="E2480" s="391">
        <f t="shared" si="7387"/>
        <v>0.1</v>
      </c>
      <c r="F2480" s="400" t="s">
        <v>1057</v>
      </c>
      <c r="G2480" s="422" t="str">
        <f>CONCATENATE("DE: ",A2480," ",B2480," ",D2480," mm (emission to ",F2480,")")</f>
        <v>DE: PBSA particle 0,01-0,1 mm (emission to air)</v>
      </c>
      <c r="H2480" s="467">
        <v>0.94799999999999995</v>
      </c>
      <c r="I2480" s="388" t="s">
        <v>1153</v>
      </c>
      <c r="J2480" s="634">
        <v>0.22800000000000001</v>
      </c>
      <c r="K2480" s="389">
        <v>50.41</v>
      </c>
      <c r="L2480" s="536"/>
      <c r="M2480" s="509">
        <f t="shared" si="7255"/>
        <v>0.24796667327911132</v>
      </c>
      <c r="N2480" s="645">
        <f t="shared" si="7242"/>
        <v>0.25444647482299393</v>
      </c>
      <c r="O2480" s="625"/>
      <c r="P2480" s="628">
        <f t="shared" si="7368"/>
        <v>0.25444647482299393</v>
      </c>
      <c r="Q2480" s="628">
        <f t="shared" si="7198"/>
        <v>0.25444647482299393</v>
      </c>
    </row>
    <row r="2481" spans="1:17" ht="15.75" hidden="1" thickBot="1">
      <c r="A2481" s="390" t="str">
        <f t="shared" ref="A2481:B2481" si="7388">A2478</f>
        <v>PBSA</v>
      </c>
      <c r="B2481" s="391" t="str">
        <f t="shared" si="7388"/>
        <v>particle</v>
      </c>
      <c r="C2481" s="391">
        <f t="shared" ref="C2481" si="7389">C2480</f>
        <v>6</v>
      </c>
      <c r="D2481" s="391" t="str">
        <f t="shared" ref="D2481:E2481" si="7390">D2478</f>
        <v>0,01-0,1</v>
      </c>
      <c r="E2481" s="391">
        <f t="shared" si="7390"/>
        <v>0.1</v>
      </c>
      <c r="F2481" s="391" t="str">
        <f t="shared" ref="F2481:G2481" si="7391">F2480</f>
        <v>air</v>
      </c>
      <c r="G2481" s="401" t="str">
        <f t="shared" si="7391"/>
        <v>DE: PBSA particle 0,01-0,1 mm (emission to air)</v>
      </c>
      <c r="H2481" s="465">
        <v>0</v>
      </c>
      <c r="I2481" s="394" t="s">
        <v>1097</v>
      </c>
      <c r="J2481" s="635"/>
      <c r="K2481" s="389">
        <v>33.549999999999997</v>
      </c>
      <c r="L2481" s="536"/>
      <c r="M2481" s="509">
        <f t="shared" si="7255"/>
        <v>0.37257824143070045</v>
      </c>
      <c r="N2481" s="646"/>
      <c r="O2481" s="626"/>
      <c r="P2481" s="629"/>
      <c r="Q2481" s="629"/>
    </row>
    <row r="2482" spans="1:17" ht="15.75" hidden="1" thickBot="1">
      <c r="A2482" s="390" t="str">
        <f t="shared" ref="A2482:B2482" si="7392">A2479</f>
        <v>PBSA</v>
      </c>
      <c r="B2482" s="391" t="str">
        <f t="shared" si="7392"/>
        <v>particle</v>
      </c>
      <c r="C2482" s="391">
        <f t="shared" ref="C2482" si="7393">C2481</f>
        <v>6</v>
      </c>
      <c r="D2482" s="391" t="str">
        <f t="shared" ref="D2482:E2482" si="7394">D2479</f>
        <v>0,01-0,1</v>
      </c>
      <c r="E2482" s="391">
        <f t="shared" si="7394"/>
        <v>0.1</v>
      </c>
      <c r="F2482" s="391" t="str">
        <f t="shared" ref="F2482:G2482" si="7395">F2481</f>
        <v>air</v>
      </c>
      <c r="G2482" s="401" t="str">
        <f t="shared" si="7395"/>
        <v>DE: PBSA particle 0,01-0,1 mm (emission to air)</v>
      </c>
      <c r="H2482" s="465">
        <v>4.7E-2</v>
      </c>
      <c r="I2482" s="394" t="s">
        <v>1162</v>
      </c>
      <c r="J2482" s="635"/>
      <c r="K2482" s="389">
        <v>33.549999999999997</v>
      </c>
      <c r="L2482" s="536"/>
      <c r="M2482" s="509">
        <f t="shared" si="7255"/>
        <v>0.37257824143070045</v>
      </c>
      <c r="N2482" s="646"/>
      <c r="O2482" s="626"/>
      <c r="P2482" s="629"/>
      <c r="Q2482" s="629"/>
    </row>
    <row r="2483" spans="1:17" ht="15.75" hidden="1" thickBot="1">
      <c r="A2483" s="390" t="str">
        <f t="shared" ref="A2483:B2483" si="7396">A2480</f>
        <v>PBSA</v>
      </c>
      <c r="B2483" s="391" t="str">
        <f t="shared" si="7396"/>
        <v>particle</v>
      </c>
      <c r="C2483" s="391">
        <f t="shared" ref="C2483" si="7397">C2482</f>
        <v>6</v>
      </c>
      <c r="D2483" s="391" t="str">
        <f t="shared" ref="D2483:E2483" si="7398">D2480</f>
        <v>0,01-0,1</v>
      </c>
      <c r="E2483" s="391">
        <f t="shared" si="7398"/>
        <v>0.1</v>
      </c>
      <c r="F2483" s="391" t="str">
        <f t="shared" ref="F2483:G2483" si="7399">F2482</f>
        <v>air</v>
      </c>
      <c r="G2483" s="401" t="str">
        <f t="shared" si="7399"/>
        <v>DE: PBSA particle 0,01-0,1 mm (emission to air)</v>
      </c>
      <c r="H2483" s="465">
        <v>5.0000000000000001E-3</v>
      </c>
      <c r="I2483" s="394" t="s">
        <v>1163</v>
      </c>
      <c r="J2483" s="635"/>
      <c r="K2483" s="389">
        <v>33.549999999999997</v>
      </c>
      <c r="L2483" s="536"/>
      <c r="M2483" s="509">
        <f t="shared" si="7255"/>
        <v>0.37257824143070045</v>
      </c>
      <c r="N2483" s="646"/>
      <c r="O2483" s="626"/>
      <c r="P2483" s="629"/>
      <c r="Q2483" s="629"/>
    </row>
    <row r="2484" spans="1:17" ht="15.75" hidden="1" thickBot="1">
      <c r="A2484" s="390" t="str">
        <f t="shared" ref="A2484:B2484" si="7400">A2479</f>
        <v>PBSA</v>
      </c>
      <c r="B2484" s="391" t="str">
        <f t="shared" si="7400"/>
        <v>particle</v>
      </c>
      <c r="C2484" s="391">
        <f t="shared" ref="C2484" si="7401">C2483</f>
        <v>6</v>
      </c>
      <c r="D2484" s="391" t="str">
        <f t="shared" ref="D2484:E2484" si="7402">D2479</f>
        <v>0,01-0,1</v>
      </c>
      <c r="E2484" s="391">
        <f t="shared" si="7402"/>
        <v>0.1</v>
      </c>
      <c r="F2484" s="391" t="str">
        <f t="shared" ref="F2484:G2484" si="7403">F2483</f>
        <v>air</v>
      </c>
      <c r="G2484" s="401" t="str">
        <f t="shared" si="7403"/>
        <v>DE: PBSA particle 0,01-0,1 mm (emission to air)</v>
      </c>
      <c r="H2484" s="471">
        <v>0</v>
      </c>
      <c r="I2484" s="422" t="s">
        <v>1034</v>
      </c>
      <c r="J2484" s="636"/>
      <c r="K2484" s="451" t="s">
        <v>596</v>
      </c>
      <c r="L2484" s="542"/>
      <c r="M2484" s="509">
        <f t="shared" si="7255"/>
        <v>0</v>
      </c>
      <c r="N2484" s="647"/>
      <c r="O2484" s="627"/>
      <c r="P2484" s="629"/>
      <c r="Q2484" s="629"/>
    </row>
    <row r="2485" spans="1:17" ht="15.75" hidden="1" thickBot="1">
      <c r="A2485" s="405" t="s">
        <v>654</v>
      </c>
      <c r="B2485" s="406" t="s">
        <v>1152</v>
      </c>
      <c r="C2485" s="407">
        <v>6</v>
      </c>
      <c r="D2485" s="423" t="s">
        <v>1028</v>
      </c>
      <c r="E2485" s="408">
        <v>1</v>
      </c>
      <c r="F2485" s="424" t="s">
        <v>1019</v>
      </c>
      <c r="G2485" s="425" t="str">
        <f>CONCATENATE("DE: ",A2485," ",B2485," ",D2485," mm (emission to ",F2485,")")</f>
        <v>DE: PBSA particle 0,1-1 mm (emission to soil)</v>
      </c>
      <c r="H2485" s="474">
        <v>0.97</v>
      </c>
      <c r="I2485" s="427" t="s">
        <v>1153</v>
      </c>
      <c r="J2485" s="632">
        <v>0.22800000000000001</v>
      </c>
      <c r="K2485" s="428">
        <v>50.41</v>
      </c>
      <c r="L2485" s="539"/>
      <c r="M2485" s="509">
        <f t="shared" si="7255"/>
        <v>2.479666732791113</v>
      </c>
      <c r="N2485" s="645">
        <f t="shared" si="7242"/>
        <v>2.51705020323659</v>
      </c>
      <c r="O2485" s="625"/>
      <c r="P2485" s="628">
        <f t="shared" si="7368"/>
        <v>2.51705020323659</v>
      </c>
      <c r="Q2485" s="628">
        <f t="shared" ref="Q2485:Q2545" si="7404">IFERROR(IF(H2485*M2485+H2486*M2486+H2487*M2487+H2488*M2488+H2489*M2489&gt;500,500,H2485*M2485+H2486*M2486+H2487*M2487+H2488*M2488+H2489*M2489),"N.A.")</f>
        <v>2.51705020323659</v>
      </c>
    </row>
    <row r="2486" spans="1:17" ht="15.75" hidden="1" thickBot="1">
      <c r="A2486" s="390" t="str">
        <f>A2485</f>
        <v>PBSA</v>
      </c>
      <c r="B2486" s="391" t="str">
        <f>B2485</f>
        <v>particle</v>
      </c>
      <c r="C2486" s="391">
        <f t="shared" ref="C2486:G2486" si="7405">C2485</f>
        <v>6</v>
      </c>
      <c r="D2486" s="391" t="str">
        <f t="shared" si="7405"/>
        <v>0,1-1</v>
      </c>
      <c r="E2486" s="391">
        <f t="shared" si="7405"/>
        <v>1</v>
      </c>
      <c r="F2486" s="391" t="str">
        <f t="shared" si="7405"/>
        <v>soil</v>
      </c>
      <c r="G2486" s="392" t="str">
        <f t="shared" si="7405"/>
        <v>DE: PBSA particle 0,1-1 mm (emission to soil)</v>
      </c>
      <c r="H2486" s="465">
        <v>0</v>
      </c>
      <c r="I2486" s="394" t="s">
        <v>1097</v>
      </c>
      <c r="J2486" s="632"/>
      <c r="K2486" s="389">
        <v>33.549999999999997</v>
      </c>
      <c r="L2486" s="537"/>
      <c r="M2486" s="509">
        <f t="shared" si="7255"/>
        <v>3.7257824143070049</v>
      </c>
      <c r="N2486" s="646"/>
      <c r="O2486" s="626"/>
      <c r="P2486" s="629"/>
      <c r="Q2486" s="629"/>
    </row>
    <row r="2487" spans="1:17" ht="15.75" hidden="1" thickBot="1">
      <c r="A2487" s="390" t="str">
        <f t="shared" ref="A2487:G2487" si="7406">A2486</f>
        <v>PBSA</v>
      </c>
      <c r="B2487" s="391" t="str">
        <f t="shared" si="7406"/>
        <v>particle</v>
      </c>
      <c r="C2487" s="391">
        <f t="shared" si="7406"/>
        <v>6</v>
      </c>
      <c r="D2487" s="391" t="str">
        <f t="shared" si="7406"/>
        <v>0,1-1</v>
      </c>
      <c r="E2487" s="391">
        <f t="shared" si="7406"/>
        <v>1</v>
      </c>
      <c r="F2487" s="391" t="str">
        <f t="shared" si="7406"/>
        <v>soil</v>
      </c>
      <c r="G2487" s="392" t="str">
        <f t="shared" si="7406"/>
        <v>DE: PBSA particle 0,1-1 mm (emission to soil)</v>
      </c>
      <c r="H2487" s="465">
        <v>2.7E-2</v>
      </c>
      <c r="I2487" s="394" t="s">
        <v>1162</v>
      </c>
      <c r="J2487" s="632"/>
      <c r="K2487" s="389">
        <v>33.549999999999997</v>
      </c>
      <c r="L2487" s="537"/>
      <c r="M2487" s="509">
        <f t="shared" si="7255"/>
        <v>3.7257824143070049</v>
      </c>
      <c r="N2487" s="646"/>
      <c r="O2487" s="626"/>
      <c r="P2487" s="629"/>
      <c r="Q2487" s="629"/>
    </row>
    <row r="2488" spans="1:17" ht="15.75" hidden="1" thickBot="1">
      <c r="A2488" s="390" t="str">
        <f t="shared" ref="A2488:G2488" si="7407">A2487</f>
        <v>PBSA</v>
      </c>
      <c r="B2488" s="391" t="str">
        <f t="shared" si="7407"/>
        <v>particle</v>
      </c>
      <c r="C2488" s="391">
        <f t="shared" si="7407"/>
        <v>6</v>
      </c>
      <c r="D2488" s="391" t="str">
        <f t="shared" si="7407"/>
        <v>0,1-1</v>
      </c>
      <c r="E2488" s="391">
        <f t="shared" si="7407"/>
        <v>1</v>
      </c>
      <c r="F2488" s="391" t="str">
        <f t="shared" si="7407"/>
        <v>soil</v>
      </c>
      <c r="G2488" s="392" t="str">
        <f t="shared" si="7407"/>
        <v>DE: PBSA particle 0,1-1 mm (emission to soil)</v>
      </c>
      <c r="H2488" s="465">
        <v>3.0000000000000001E-3</v>
      </c>
      <c r="I2488" s="394" t="s">
        <v>1163</v>
      </c>
      <c r="J2488" s="632"/>
      <c r="K2488" s="389">
        <v>33.549999999999997</v>
      </c>
      <c r="L2488" s="537"/>
      <c r="M2488" s="509">
        <f t="shared" si="7255"/>
        <v>3.7257824143070049</v>
      </c>
      <c r="N2488" s="646"/>
      <c r="O2488" s="626"/>
      <c r="P2488" s="629"/>
      <c r="Q2488" s="629"/>
    </row>
    <row r="2489" spans="1:17" ht="15.75" hidden="1" thickBot="1">
      <c r="A2489" s="390" t="str">
        <f>A2486</f>
        <v>PBSA</v>
      </c>
      <c r="B2489" s="391" t="str">
        <f>B2486</f>
        <v>particle</v>
      </c>
      <c r="C2489" s="391">
        <f t="shared" ref="C2489" si="7408">C2488</f>
        <v>6</v>
      </c>
      <c r="D2489" s="391" t="str">
        <f>D2486</f>
        <v>0,1-1</v>
      </c>
      <c r="E2489" s="391">
        <f>E2486</f>
        <v>1</v>
      </c>
      <c r="F2489" s="391" t="str">
        <f>F2486</f>
        <v>soil</v>
      </c>
      <c r="G2489" s="396" t="str">
        <f t="shared" ref="G2489" si="7409">G2488</f>
        <v>DE: PBSA particle 0,1-1 mm (emission to soil)</v>
      </c>
      <c r="H2489" s="465">
        <v>0</v>
      </c>
      <c r="I2489" s="397" t="s">
        <v>1034</v>
      </c>
      <c r="J2489" s="633"/>
      <c r="K2489" s="398" t="s">
        <v>596</v>
      </c>
      <c r="L2489" s="538"/>
      <c r="M2489" s="509">
        <f t="shared" si="7255"/>
        <v>0</v>
      </c>
      <c r="N2489" s="647"/>
      <c r="O2489" s="627"/>
      <c r="P2489" s="629"/>
      <c r="Q2489" s="629"/>
    </row>
    <row r="2490" spans="1:17" ht="15.75" hidden="1" thickBot="1">
      <c r="A2490" s="390" t="str">
        <f t="shared" ref="A2490:B2490" si="7410">A2487</f>
        <v>PBSA</v>
      </c>
      <c r="B2490" s="391" t="str">
        <f t="shared" si="7410"/>
        <v>particle</v>
      </c>
      <c r="C2490" s="391">
        <f t="shared" ref="C2490" si="7411">C2489</f>
        <v>6</v>
      </c>
      <c r="D2490" s="399" t="str">
        <f t="shared" ref="D2490:E2490" si="7412">D2487</f>
        <v>0,1-1</v>
      </c>
      <c r="E2490" s="391">
        <f t="shared" si="7412"/>
        <v>1</v>
      </c>
      <c r="F2490" s="400" t="s">
        <v>1147</v>
      </c>
      <c r="G2490" s="386" t="str">
        <f>CONCATENATE("DE: ",A2490," ",B2490," ",D2490," mm (emission to ",F2490,")")</f>
        <v>DE: PBSA particle 0,1-1 mm (emission to fresh water)</v>
      </c>
      <c r="H2490" s="466">
        <v>0</v>
      </c>
      <c r="I2490" s="388" t="s">
        <v>1153</v>
      </c>
      <c r="J2490" s="634">
        <v>0.22800000000000001</v>
      </c>
      <c r="K2490" s="389">
        <v>50.41</v>
      </c>
      <c r="L2490" s="536"/>
      <c r="M2490" s="509">
        <f t="shared" si="7255"/>
        <v>2.479666732791113</v>
      </c>
      <c r="N2490" s="645">
        <f t="shared" si="7242"/>
        <v>3.7257824143070053</v>
      </c>
      <c r="O2490" s="625"/>
      <c r="P2490" s="628">
        <f t="shared" si="7368"/>
        <v>3.7257824143070053</v>
      </c>
      <c r="Q2490" s="628">
        <f t="shared" si="7404"/>
        <v>3.7257824143070053</v>
      </c>
    </row>
    <row r="2491" spans="1:17" ht="15.75" hidden="1" thickBot="1">
      <c r="A2491" s="390" t="str">
        <f t="shared" ref="A2491:B2491" si="7413">A2488</f>
        <v>PBSA</v>
      </c>
      <c r="B2491" s="391" t="str">
        <f t="shared" si="7413"/>
        <v>particle</v>
      </c>
      <c r="C2491" s="391">
        <f t="shared" ref="C2491" si="7414">C2490</f>
        <v>6</v>
      </c>
      <c r="D2491" s="391" t="str">
        <f t="shared" ref="D2491:E2491" si="7415">D2488</f>
        <v>0,1-1</v>
      </c>
      <c r="E2491" s="391">
        <f t="shared" si="7415"/>
        <v>1</v>
      </c>
      <c r="F2491" s="391" t="str">
        <f t="shared" ref="F2491:G2491" si="7416">F2490</f>
        <v>fresh water</v>
      </c>
      <c r="G2491" s="401" t="str">
        <f t="shared" si="7416"/>
        <v>DE: PBSA particle 0,1-1 mm (emission to fresh water)</v>
      </c>
      <c r="H2491" s="465">
        <v>0</v>
      </c>
      <c r="I2491" s="394" t="s">
        <v>1097</v>
      </c>
      <c r="J2491" s="635"/>
      <c r="K2491" s="389">
        <v>33.549999999999997</v>
      </c>
      <c r="L2491" s="536"/>
      <c r="M2491" s="509">
        <f t="shared" si="7255"/>
        <v>3.7257824143070049</v>
      </c>
      <c r="N2491" s="646"/>
      <c r="O2491" s="626"/>
      <c r="P2491" s="629"/>
      <c r="Q2491" s="629"/>
    </row>
    <row r="2492" spans="1:17" ht="15.75" hidden="1" thickBot="1">
      <c r="A2492" s="390" t="str">
        <f t="shared" ref="A2492:B2492" si="7417">A2489</f>
        <v>PBSA</v>
      </c>
      <c r="B2492" s="391" t="str">
        <f t="shared" si="7417"/>
        <v>particle</v>
      </c>
      <c r="C2492" s="391">
        <f t="shared" ref="C2492" si="7418">C2491</f>
        <v>6</v>
      </c>
      <c r="D2492" s="391" t="str">
        <f t="shared" ref="D2492:E2492" si="7419">D2489</f>
        <v>0,1-1</v>
      </c>
      <c r="E2492" s="391">
        <f t="shared" si="7419"/>
        <v>1</v>
      </c>
      <c r="F2492" s="391" t="str">
        <f t="shared" ref="F2492:G2492" si="7420">F2491</f>
        <v>fresh water</v>
      </c>
      <c r="G2492" s="401" t="str">
        <f t="shared" si="7420"/>
        <v>DE: PBSA particle 0,1-1 mm (emission to fresh water)</v>
      </c>
      <c r="H2492" s="465">
        <v>0.89</v>
      </c>
      <c r="I2492" s="394" t="s">
        <v>1162</v>
      </c>
      <c r="J2492" s="635"/>
      <c r="K2492" s="389">
        <v>33.549999999999997</v>
      </c>
      <c r="L2492" s="536"/>
      <c r="M2492" s="509">
        <f t="shared" si="7255"/>
        <v>3.7257824143070049</v>
      </c>
      <c r="N2492" s="646"/>
      <c r="O2492" s="626"/>
      <c r="P2492" s="629"/>
      <c r="Q2492" s="629"/>
    </row>
    <row r="2493" spans="1:17" ht="15.75" hidden="1" thickBot="1">
      <c r="A2493" s="390" t="str">
        <f t="shared" ref="A2493:B2493" si="7421">A2490</f>
        <v>PBSA</v>
      </c>
      <c r="B2493" s="391" t="str">
        <f t="shared" si="7421"/>
        <v>particle</v>
      </c>
      <c r="C2493" s="391">
        <f t="shared" ref="C2493" si="7422">C2492</f>
        <v>6</v>
      </c>
      <c r="D2493" s="391" t="str">
        <f t="shared" ref="D2493:E2493" si="7423">D2490</f>
        <v>0,1-1</v>
      </c>
      <c r="E2493" s="391">
        <f t="shared" si="7423"/>
        <v>1</v>
      </c>
      <c r="F2493" s="391" t="str">
        <f t="shared" ref="F2493:G2493" si="7424">F2492</f>
        <v>fresh water</v>
      </c>
      <c r="G2493" s="401" t="str">
        <f t="shared" si="7424"/>
        <v>DE: PBSA particle 0,1-1 mm (emission to fresh water)</v>
      </c>
      <c r="H2493" s="465">
        <v>0.11</v>
      </c>
      <c r="I2493" s="394" t="s">
        <v>1163</v>
      </c>
      <c r="J2493" s="635"/>
      <c r="K2493" s="389">
        <v>33.549999999999997</v>
      </c>
      <c r="L2493" s="536"/>
      <c r="M2493" s="509">
        <f t="shared" si="7255"/>
        <v>3.7257824143070049</v>
      </c>
      <c r="N2493" s="646"/>
      <c r="O2493" s="626"/>
      <c r="P2493" s="629"/>
      <c r="Q2493" s="629"/>
    </row>
    <row r="2494" spans="1:17" ht="15.75" hidden="1" thickBot="1">
      <c r="A2494" s="390" t="str">
        <f t="shared" ref="A2494:B2494" si="7425">A2491</f>
        <v>PBSA</v>
      </c>
      <c r="B2494" s="391" t="str">
        <f t="shared" si="7425"/>
        <v>particle</v>
      </c>
      <c r="C2494" s="391">
        <f t="shared" ref="C2494" si="7426">C2493</f>
        <v>6</v>
      </c>
      <c r="D2494" s="391" t="str">
        <f t="shared" ref="D2494:E2494" si="7427">D2491</f>
        <v>0,1-1</v>
      </c>
      <c r="E2494" s="391">
        <f t="shared" si="7427"/>
        <v>1</v>
      </c>
      <c r="F2494" s="402" t="str">
        <f>F2491</f>
        <v>fresh water</v>
      </c>
      <c r="G2494" s="401" t="str">
        <f t="shared" ref="G2494" si="7428">G2493</f>
        <v>DE: PBSA particle 0,1-1 mm (emission to fresh water)</v>
      </c>
      <c r="H2494" s="465">
        <v>0</v>
      </c>
      <c r="I2494" s="397" t="s">
        <v>1034</v>
      </c>
      <c r="J2494" s="654"/>
      <c r="K2494" s="398" t="s">
        <v>596</v>
      </c>
      <c r="L2494" s="538"/>
      <c r="M2494" s="509">
        <f t="shared" si="7255"/>
        <v>0</v>
      </c>
      <c r="N2494" s="647"/>
      <c r="O2494" s="627"/>
      <c r="P2494" s="629"/>
      <c r="Q2494" s="629"/>
    </row>
    <row r="2495" spans="1:17" ht="15.75" hidden="1" thickBot="1">
      <c r="A2495" s="390" t="str">
        <f t="shared" ref="A2495:B2495" si="7429">A2492</f>
        <v>PBSA</v>
      </c>
      <c r="B2495" s="391" t="str">
        <f t="shared" si="7429"/>
        <v>particle</v>
      </c>
      <c r="C2495" s="391">
        <f t="shared" ref="C2495" si="7430">C2494</f>
        <v>6</v>
      </c>
      <c r="D2495" s="391" t="str">
        <f t="shared" ref="D2495:E2495" si="7431">D2492</f>
        <v>0,1-1</v>
      </c>
      <c r="E2495" s="391">
        <f t="shared" si="7431"/>
        <v>1</v>
      </c>
      <c r="F2495" s="385" t="s">
        <v>1097</v>
      </c>
      <c r="G2495" s="422" t="str">
        <f>CONCATENATE("DE: ",A2495," ",B2495," ",D2495," mm (emission to ",F2495,")")</f>
        <v>DE: PBSA particle 0,1-1 mm (emission to marine water)</v>
      </c>
      <c r="H2495" s="467">
        <v>0</v>
      </c>
      <c r="I2495" s="388" t="s">
        <v>1153</v>
      </c>
      <c r="J2495" s="634">
        <v>0.22800000000000001</v>
      </c>
      <c r="K2495" s="389">
        <v>50.41</v>
      </c>
      <c r="L2495" s="536"/>
      <c r="M2495" s="509">
        <f t="shared" si="7255"/>
        <v>2.479666732791113</v>
      </c>
      <c r="N2495" s="645">
        <f t="shared" si="7242"/>
        <v>3.7257824143070049</v>
      </c>
      <c r="O2495" s="625"/>
      <c r="P2495" s="628">
        <f t="shared" si="7368"/>
        <v>3.7257824143070049</v>
      </c>
      <c r="Q2495" s="628">
        <f t="shared" si="7404"/>
        <v>3.7257824143070049</v>
      </c>
    </row>
    <row r="2496" spans="1:17" ht="15.75" hidden="1" thickBot="1">
      <c r="A2496" s="390" t="str">
        <f t="shared" ref="A2496:B2496" si="7432">A2493</f>
        <v>PBSA</v>
      </c>
      <c r="B2496" s="391" t="str">
        <f t="shared" si="7432"/>
        <v>particle</v>
      </c>
      <c r="C2496" s="391">
        <f t="shared" ref="C2496" si="7433">C2495</f>
        <v>6</v>
      </c>
      <c r="D2496" s="391" t="str">
        <f t="shared" ref="D2496:E2496" si="7434">D2493</f>
        <v>0,1-1</v>
      </c>
      <c r="E2496" s="391">
        <f t="shared" si="7434"/>
        <v>1</v>
      </c>
      <c r="F2496" s="391" t="str">
        <f t="shared" ref="F2496:G2496" si="7435">F2495</f>
        <v>marine water</v>
      </c>
      <c r="G2496" s="401" t="str">
        <f t="shared" si="7435"/>
        <v>DE: PBSA particle 0,1-1 mm (emission to marine water)</v>
      </c>
      <c r="H2496" s="465">
        <v>0</v>
      </c>
      <c r="I2496" s="394" t="s">
        <v>1097</v>
      </c>
      <c r="J2496" s="635"/>
      <c r="K2496" s="389">
        <v>33.549999999999997</v>
      </c>
      <c r="L2496" s="536"/>
      <c r="M2496" s="509">
        <f t="shared" si="7255"/>
        <v>3.7257824143070049</v>
      </c>
      <c r="N2496" s="646"/>
      <c r="O2496" s="626"/>
      <c r="P2496" s="629"/>
      <c r="Q2496" s="629"/>
    </row>
    <row r="2497" spans="1:17" ht="15.75" hidden="1" thickBot="1">
      <c r="A2497" s="390" t="str">
        <f t="shared" ref="A2497:B2497" si="7436">A2494</f>
        <v>PBSA</v>
      </c>
      <c r="B2497" s="391" t="str">
        <f t="shared" si="7436"/>
        <v>particle</v>
      </c>
      <c r="C2497" s="391">
        <f t="shared" ref="C2497" si="7437">C2496</f>
        <v>6</v>
      </c>
      <c r="D2497" s="391" t="str">
        <f t="shared" ref="D2497:E2497" si="7438">D2494</f>
        <v>0,1-1</v>
      </c>
      <c r="E2497" s="391">
        <f t="shared" si="7438"/>
        <v>1</v>
      </c>
      <c r="F2497" s="391" t="str">
        <f t="shared" ref="F2497:G2497" si="7439">F2496</f>
        <v>marine water</v>
      </c>
      <c r="G2497" s="401" t="str">
        <f t="shared" si="7439"/>
        <v>DE: PBSA particle 0,1-1 mm (emission to marine water)</v>
      </c>
      <c r="H2497" s="465">
        <v>0</v>
      </c>
      <c r="I2497" s="394" t="s">
        <v>1162</v>
      </c>
      <c r="J2497" s="635"/>
      <c r="K2497" s="389">
        <v>33.549999999999997</v>
      </c>
      <c r="L2497" s="536"/>
      <c r="M2497" s="509">
        <f t="shared" si="7255"/>
        <v>3.7257824143070049</v>
      </c>
      <c r="N2497" s="646"/>
      <c r="O2497" s="626"/>
      <c r="P2497" s="629"/>
      <c r="Q2497" s="629"/>
    </row>
    <row r="2498" spans="1:17" ht="15.75" hidden="1" thickBot="1">
      <c r="A2498" s="390" t="str">
        <f t="shared" ref="A2498:B2498" si="7440">A2495</f>
        <v>PBSA</v>
      </c>
      <c r="B2498" s="391" t="str">
        <f t="shared" si="7440"/>
        <v>particle</v>
      </c>
      <c r="C2498" s="391">
        <f t="shared" ref="C2498" si="7441">C2497</f>
        <v>6</v>
      </c>
      <c r="D2498" s="391" t="str">
        <f t="shared" ref="D2498:E2498" si="7442">D2495</f>
        <v>0,1-1</v>
      </c>
      <c r="E2498" s="391">
        <f t="shared" si="7442"/>
        <v>1</v>
      </c>
      <c r="F2498" s="391" t="str">
        <f t="shared" ref="F2498:G2498" si="7443">F2497</f>
        <v>marine water</v>
      </c>
      <c r="G2498" s="401" t="str">
        <f t="shared" si="7443"/>
        <v>DE: PBSA particle 0,1-1 mm (emission to marine water)</v>
      </c>
      <c r="H2498" s="465">
        <v>1</v>
      </c>
      <c r="I2498" s="394" t="s">
        <v>1163</v>
      </c>
      <c r="J2498" s="635"/>
      <c r="K2498" s="389">
        <v>33.549999999999997</v>
      </c>
      <c r="L2498" s="536"/>
      <c r="M2498" s="509">
        <f t="shared" si="7255"/>
        <v>3.7257824143070049</v>
      </c>
      <c r="N2498" s="646"/>
      <c r="O2498" s="626"/>
      <c r="P2498" s="629"/>
      <c r="Q2498" s="629"/>
    </row>
    <row r="2499" spans="1:17" ht="15.75" hidden="1" thickBot="1">
      <c r="A2499" s="390" t="str">
        <f t="shared" ref="A2499:B2499" si="7444">A2496</f>
        <v>PBSA</v>
      </c>
      <c r="B2499" s="391" t="str">
        <f t="shared" si="7444"/>
        <v>particle</v>
      </c>
      <c r="C2499" s="391">
        <f t="shared" ref="C2499" si="7445">C2498</f>
        <v>6</v>
      </c>
      <c r="D2499" s="391" t="str">
        <f t="shared" ref="D2499:E2499" si="7446">D2496</f>
        <v>0,1-1</v>
      </c>
      <c r="E2499" s="391">
        <f t="shared" si="7446"/>
        <v>1</v>
      </c>
      <c r="F2499" s="391" t="str">
        <f t="shared" ref="F2499:G2499" si="7447">F2498</f>
        <v>marine water</v>
      </c>
      <c r="G2499" s="401" t="str">
        <f t="shared" si="7447"/>
        <v>DE: PBSA particle 0,1-1 mm (emission to marine water)</v>
      </c>
      <c r="H2499" s="465">
        <v>0</v>
      </c>
      <c r="I2499" s="397" t="s">
        <v>1034</v>
      </c>
      <c r="J2499" s="654"/>
      <c r="K2499" s="398" t="s">
        <v>596</v>
      </c>
      <c r="L2499" s="538"/>
      <c r="M2499" s="509">
        <f t="shared" si="7255"/>
        <v>0</v>
      </c>
      <c r="N2499" s="647"/>
      <c r="O2499" s="627"/>
      <c r="P2499" s="629"/>
      <c r="Q2499" s="629"/>
    </row>
    <row r="2500" spans="1:17" ht="15.75" hidden="1" thickBot="1">
      <c r="A2500" s="390" t="str">
        <f t="shared" ref="A2500:B2500" si="7448">A2497</f>
        <v>PBSA</v>
      </c>
      <c r="B2500" s="391" t="str">
        <f t="shared" si="7448"/>
        <v>particle</v>
      </c>
      <c r="C2500" s="391">
        <f t="shared" ref="C2500" si="7449">C2499</f>
        <v>6</v>
      </c>
      <c r="D2500" s="391" t="str">
        <f t="shared" ref="D2500:E2500" si="7450">D2497</f>
        <v>0,1-1</v>
      </c>
      <c r="E2500" s="391">
        <f t="shared" si="7450"/>
        <v>1</v>
      </c>
      <c r="F2500" s="400" t="s">
        <v>1057</v>
      </c>
      <c r="G2500" s="422" t="str">
        <f>CONCATENATE("DE: ",A2500," ",B2500," ",D2500," mm (emission to ",F2500,")")</f>
        <v>DE: PBSA particle 0,1-1 mm (emission to air)</v>
      </c>
      <c r="H2500" s="467">
        <v>0.94799999999999995</v>
      </c>
      <c r="I2500" s="388" t="s">
        <v>1153</v>
      </c>
      <c r="J2500" s="634">
        <v>0.22800000000000001</v>
      </c>
      <c r="K2500" s="389">
        <v>50.41</v>
      </c>
      <c r="L2500" s="536"/>
      <c r="M2500" s="509">
        <f t="shared" si="7255"/>
        <v>2.479666732791113</v>
      </c>
      <c r="N2500" s="645">
        <f t="shared" ref="N2500:N2560" si="7451">IFERROR(H2500*M2500+H2501*M2501+H2502*M2502+H2503*M2503+H2504*M2504,"N.A.")</f>
        <v>2.5444647482299394</v>
      </c>
      <c r="O2500" s="625"/>
      <c r="P2500" s="628">
        <f t="shared" si="7368"/>
        <v>2.5444647482299394</v>
      </c>
      <c r="Q2500" s="628">
        <f t="shared" si="7404"/>
        <v>2.5444647482299394</v>
      </c>
    </row>
    <row r="2501" spans="1:17" ht="15.75" hidden="1" thickBot="1">
      <c r="A2501" s="390" t="str">
        <f t="shared" ref="A2501:B2501" si="7452">A2498</f>
        <v>PBSA</v>
      </c>
      <c r="B2501" s="391" t="str">
        <f t="shared" si="7452"/>
        <v>particle</v>
      </c>
      <c r="C2501" s="391">
        <f t="shared" ref="C2501" si="7453">C2500</f>
        <v>6</v>
      </c>
      <c r="D2501" s="391" t="str">
        <f t="shared" ref="D2501:E2501" si="7454">D2498</f>
        <v>0,1-1</v>
      </c>
      <c r="E2501" s="391">
        <f t="shared" si="7454"/>
        <v>1</v>
      </c>
      <c r="F2501" s="391" t="str">
        <f t="shared" ref="F2501:G2501" si="7455">F2500</f>
        <v>air</v>
      </c>
      <c r="G2501" s="401" t="str">
        <f t="shared" si="7455"/>
        <v>DE: PBSA particle 0,1-1 mm (emission to air)</v>
      </c>
      <c r="H2501" s="465">
        <v>0</v>
      </c>
      <c r="I2501" s="394" t="s">
        <v>1097</v>
      </c>
      <c r="J2501" s="635"/>
      <c r="K2501" s="389">
        <v>33.549999999999997</v>
      </c>
      <c r="L2501" s="536"/>
      <c r="M2501" s="509">
        <f t="shared" si="7255"/>
        <v>3.7257824143070049</v>
      </c>
      <c r="N2501" s="646"/>
      <c r="O2501" s="626"/>
      <c r="P2501" s="629"/>
      <c r="Q2501" s="629"/>
    </row>
    <row r="2502" spans="1:17" ht="15.75" hidden="1" thickBot="1">
      <c r="A2502" s="390" t="str">
        <f t="shared" ref="A2502:B2502" si="7456">A2499</f>
        <v>PBSA</v>
      </c>
      <c r="B2502" s="391" t="str">
        <f t="shared" si="7456"/>
        <v>particle</v>
      </c>
      <c r="C2502" s="391">
        <f t="shared" ref="C2502" si="7457">C2501</f>
        <v>6</v>
      </c>
      <c r="D2502" s="391" t="str">
        <f t="shared" ref="D2502:E2502" si="7458">D2499</f>
        <v>0,1-1</v>
      </c>
      <c r="E2502" s="391">
        <f t="shared" si="7458"/>
        <v>1</v>
      </c>
      <c r="F2502" s="391" t="str">
        <f t="shared" ref="F2502:G2502" si="7459">F2501</f>
        <v>air</v>
      </c>
      <c r="G2502" s="401" t="str">
        <f t="shared" si="7459"/>
        <v>DE: PBSA particle 0,1-1 mm (emission to air)</v>
      </c>
      <c r="H2502" s="465">
        <v>4.7E-2</v>
      </c>
      <c r="I2502" s="394" t="s">
        <v>1162</v>
      </c>
      <c r="J2502" s="635"/>
      <c r="K2502" s="389">
        <v>33.549999999999997</v>
      </c>
      <c r="L2502" s="536"/>
      <c r="M2502" s="509">
        <f t="shared" ref="M2502:M2565" si="7460">IFERROR(IF(K2502="--",0,IF(E2502*1000/K2502*(1-0.5)^(C2502/2)&gt;1000,1000,E2502*1000/K2502*(1-0.5)^(C2502/2))),1000)</f>
        <v>3.7257824143070049</v>
      </c>
      <c r="N2502" s="646"/>
      <c r="O2502" s="626"/>
      <c r="P2502" s="629"/>
      <c r="Q2502" s="629"/>
    </row>
    <row r="2503" spans="1:17" ht="15.75" hidden="1" thickBot="1">
      <c r="A2503" s="390" t="str">
        <f t="shared" ref="A2503:B2503" si="7461">A2500</f>
        <v>PBSA</v>
      </c>
      <c r="B2503" s="391" t="str">
        <f t="shared" si="7461"/>
        <v>particle</v>
      </c>
      <c r="C2503" s="391">
        <f t="shared" ref="C2503" si="7462">C2502</f>
        <v>6</v>
      </c>
      <c r="D2503" s="391" t="str">
        <f t="shared" ref="D2503:E2503" si="7463">D2500</f>
        <v>0,1-1</v>
      </c>
      <c r="E2503" s="391">
        <f t="shared" si="7463"/>
        <v>1</v>
      </c>
      <c r="F2503" s="391" t="str">
        <f t="shared" ref="F2503:G2503" si="7464">F2502</f>
        <v>air</v>
      </c>
      <c r="G2503" s="401" t="str">
        <f t="shared" si="7464"/>
        <v>DE: PBSA particle 0,1-1 mm (emission to air)</v>
      </c>
      <c r="H2503" s="465">
        <v>5.0000000000000001E-3</v>
      </c>
      <c r="I2503" s="394" t="s">
        <v>1163</v>
      </c>
      <c r="J2503" s="635"/>
      <c r="K2503" s="389">
        <v>33.549999999999997</v>
      </c>
      <c r="L2503" s="536"/>
      <c r="M2503" s="509">
        <f t="shared" si="7460"/>
        <v>3.7257824143070049</v>
      </c>
      <c r="N2503" s="646"/>
      <c r="O2503" s="626"/>
      <c r="P2503" s="629"/>
      <c r="Q2503" s="629"/>
    </row>
    <row r="2504" spans="1:17" ht="15.75" hidden="1" thickBot="1">
      <c r="A2504" s="452" t="str">
        <f t="shared" ref="A2504:B2504" si="7465">A2499</f>
        <v>PBSA</v>
      </c>
      <c r="B2504" s="453" t="str">
        <f t="shared" si="7465"/>
        <v>particle</v>
      </c>
      <c r="C2504" s="453">
        <f t="shared" ref="C2504" si="7466">C2503</f>
        <v>6</v>
      </c>
      <c r="D2504" s="453" t="str">
        <f t="shared" ref="D2504:E2504" si="7467">D2499</f>
        <v>0,1-1</v>
      </c>
      <c r="E2504" s="453">
        <f t="shared" si="7467"/>
        <v>1</v>
      </c>
      <c r="F2504" s="453" t="str">
        <f t="shared" ref="F2504:G2504" si="7468">F2503</f>
        <v>air</v>
      </c>
      <c r="G2504" s="454" t="str">
        <f t="shared" si="7468"/>
        <v>DE: PBSA particle 0,1-1 mm (emission to air)</v>
      </c>
      <c r="H2504" s="473">
        <v>0</v>
      </c>
      <c r="I2504" s="456" t="s">
        <v>1034</v>
      </c>
      <c r="J2504" s="636"/>
      <c r="K2504" s="457" t="s">
        <v>596</v>
      </c>
      <c r="L2504" s="543"/>
      <c r="M2504" s="509">
        <f t="shared" si="7460"/>
        <v>0</v>
      </c>
      <c r="N2504" s="647"/>
      <c r="O2504" s="627"/>
      <c r="P2504" s="629"/>
      <c r="Q2504" s="629"/>
    </row>
    <row r="2505" spans="1:17" ht="15.75" hidden="1" thickBot="1">
      <c r="A2505" s="405" t="s">
        <v>654</v>
      </c>
      <c r="B2505" s="406" t="s">
        <v>1152</v>
      </c>
      <c r="C2505" s="407">
        <v>6</v>
      </c>
      <c r="D2505" s="423" t="s">
        <v>1026</v>
      </c>
      <c r="E2505" s="408">
        <v>10</v>
      </c>
      <c r="F2505" s="424" t="s">
        <v>1019</v>
      </c>
      <c r="G2505" s="425" t="str">
        <f>CONCATENATE("DE: ",A2505," ",B2505," ",D2505," mm (emission to ",F2505,")")</f>
        <v>DE: PBSA particle 1-10 mm (emission to soil)</v>
      </c>
      <c r="H2505" s="474">
        <v>0.97</v>
      </c>
      <c r="I2505" s="427" t="s">
        <v>1153</v>
      </c>
      <c r="J2505" s="632">
        <v>0.22800000000000001</v>
      </c>
      <c r="K2505" s="389">
        <v>50.41</v>
      </c>
      <c r="L2505" s="539"/>
      <c r="M2505" s="509">
        <f t="shared" si="7460"/>
        <v>24.79666732791113</v>
      </c>
      <c r="N2505" s="645">
        <f t="shared" si="7451"/>
        <v>25.170502032365899</v>
      </c>
      <c r="O2505" s="625"/>
      <c r="P2505" s="628">
        <f t="shared" si="7368"/>
        <v>25.170502032365899</v>
      </c>
      <c r="Q2505" s="628">
        <f t="shared" si="7404"/>
        <v>25.170502032365899</v>
      </c>
    </row>
    <row r="2506" spans="1:17" ht="15.75" hidden="1" thickBot="1">
      <c r="A2506" s="390" t="str">
        <f>A2505</f>
        <v>PBSA</v>
      </c>
      <c r="B2506" s="391" t="str">
        <f>B2505</f>
        <v>particle</v>
      </c>
      <c r="C2506" s="391">
        <f t="shared" ref="C2506:G2506" si="7469">C2505</f>
        <v>6</v>
      </c>
      <c r="D2506" s="391" t="str">
        <f t="shared" si="7469"/>
        <v>1-10</v>
      </c>
      <c r="E2506" s="391">
        <f t="shared" si="7469"/>
        <v>10</v>
      </c>
      <c r="F2506" s="391" t="str">
        <f t="shared" si="7469"/>
        <v>soil</v>
      </c>
      <c r="G2506" s="392" t="str">
        <f t="shared" si="7469"/>
        <v>DE: PBSA particle 1-10 mm (emission to soil)</v>
      </c>
      <c r="H2506" s="465">
        <v>0</v>
      </c>
      <c r="I2506" s="394" t="s">
        <v>1097</v>
      </c>
      <c r="J2506" s="632"/>
      <c r="K2506" s="389">
        <v>33.549999999999997</v>
      </c>
      <c r="L2506" s="537"/>
      <c r="M2506" s="509">
        <f t="shared" si="7460"/>
        <v>37.257824143070046</v>
      </c>
      <c r="N2506" s="646"/>
      <c r="O2506" s="626"/>
      <c r="P2506" s="629"/>
      <c r="Q2506" s="629"/>
    </row>
    <row r="2507" spans="1:17" ht="15.75" hidden="1" thickBot="1">
      <c r="A2507" s="390" t="str">
        <f t="shared" ref="A2507:G2507" si="7470">A2506</f>
        <v>PBSA</v>
      </c>
      <c r="B2507" s="391" t="str">
        <f t="shared" si="7470"/>
        <v>particle</v>
      </c>
      <c r="C2507" s="391">
        <f t="shared" si="7470"/>
        <v>6</v>
      </c>
      <c r="D2507" s="391" t="str">
        <f t="shared" si="7470"/>
        <v>1-10</v>
      </c>
      <c r="E2507" s="391">
        <f t="shared" si="7470"/>
        <v>10</v>
      </c>
      <c r="F2507" s="391" t="str">
        <f t="shared" si="7470"/>
        <v>soil</v>
      </c>
      <c r="G2507" s="392" t="str">
        <f t="shared" si="7470"/>
        <v>DE: PBSA particle 1-10 mm (emission to soil)</v>
      </c>
      <c r="H2507" s="465">
        <v>2.7E-2</v>
      </c>
      <c r="I2507" s="394" t="s">
        <v>1162</v>
      </c>
      <c r="J2507" s="632"/>
      <c r="K2507" s="389">
        <v>33.549999999999997</v>
      </c>
      <c r="L2507" s="537"/>
      <c r="M2507" s="509">
        <f t="shared" si="7460"/>
        <v>37.257824143070046</v>
      </c>
      <c r="N2507" s="646"/>
      <c r="O2507" s="626"/>
      <c r="P2507" s="629"/>
      <c r="Q2507" s="629"/>
    </row>
    <row r="2508" spans="1:17" ht="15.75" hidden="1" thickBot="1">
      <c r="A2508" s="390" t="str">
        <f t="shared" ref="A2508:G2508" si="7471">A2507</f>
        <v>PBSA</v>
      </c>
      <c r="B2508" s="391" t="str">
        <f t="shared" si="7471"/>
        <v>particle</v>
      </c>
      <c r="C2508" s="391">
        <f t="shared" si="7471"/>
        <v>6</v>
      </c>
      <c r="D2508" s="391" t="str">
        <f t="shared" si="7471"/>
        <v>1-10</v>
      </c>
      <c r="E2508" s="391">
        <f t="shared" si="7471"/>
        <v>10</v>
      </c>
      <c r="F2508" s="391" t="str">
        <f t="shared" si="7471"/>
        <v>soil</v>
      </c>
      <c r="G2508" s="392" t="str">
        <f t="shared" si="7471"/>
        <v>DE: PBSA particle 1-10 mm (emission to soil)</v>
      </c>
      <c r="H2508" s="465">
        <v>3.0000000000000001E-3</v>
      </c>
      <c r="I2508" s="394" t="s">
        <v>1163</v>
      </c>
      <c r="J2508" s="632"/>
      <c r="K2508" s="389">
        <v>33.549999999999997</v>
      </c>
      <c r="L2508" s="537"/>
      <c r="M2508" s="509">
        <f t="shared" si="7460"/>
        <v>37.257824143070046</v>
      </c>
      <c r="N2508" s="646"/>
      <c r="O2508" s="626"/>
      <c r="P2508" s="629"/>
      <c r="Q2508" s="629"/>
    </row>
    <row r="2509" spans="1:17" ht="15.75" hidden="1" thickBot="1">
      <c r="A2509" s="390" t="str">
        <f>A2506</f>
        <v>PBSA</v>
      </c>
      <c r="B2509" s="391" t="str">
        <f>B2506</f>
        <v>particle</v>
      </c>
      <c r="C2509" s="391">
        <f t="shared" ref="C2509" si="7472">C2508</f>
        <v>6</v>
      </c>
      <c r="D2509" s="391" t="str">
        <f>D2506</f>
        <v>1-10</v>
      </c>
      <c r="E2509" s="391">
        <f>E2506</f>
        <v>10</v>
      </c>
      <c r="F2509" s="391" t="str">
        <f>F2506</f>
        <v>soil</v>
      </c>
      <c r="G2509" s="396" t="str">
        <f t="shared" ref="G2509" si="7473">G2508</f>
        <v>DE: PBSA particle 1-10 mm (emission to soil)</v>
      </c>
      <c r="H2509" s="465">
        <v>0</v>
      </c>
      <c r="I2509" s="397" t="s">
        <v>1034</v>
      </c>
      <c r="J2509" s="633"/>
      <c r="K2509" s="398" t="s">
        <v>596</v>
      </c>
      <c r="L2509" s="538"/>
      <c r="M2509" s="509">
        <f t="shared" si="7460"/>
        <v>0</v>
      </c>
      <c r="N2509" s="647"/>
      <c r="O2509" s="627"/>
      <c r="P2509" s="629"/>
      <c r="Q2509" s="629"/>
    </row>
    <row r="2510" spans="1:17" ht="15.75" hidden="1" thickBot="1">
      <c r="A2510" s="390" t="str">
        <f t="shared" ref="A2510:B2510" si="7474">A2507</f>
        <v>PBSA</v>
      </c>
      <c r="B2510" s="391" t="str">
        <f t="shared" si="7474"/>
        <v>particle</v>
      </c>
      <c r="C2510" s="391">
        <f t="shared" ref="C2510" si="7475">C2509</f>
        <v>6</v>
      </c>
      <c r="D2510" s="399" t="str">
        <f t="shared" ref="D2510:E2510" si="7476">D2507</f>
        <v>1-10</v>
      </c>
      <c r="E2510" s="391">
        <f t="shared" si="7476"/>
        <v>10</v>
      </c>
      <c r="F2510" s="400" t="s">
        <v>1147</v>
      </c>
      <c r="G2510" s="386" t="str">
        <f>CONCATENATE("DE: ",A2510," ",B2510," ",D2510," mm (emission to ",F2510,")")</f>
        <v>DE: PBSA particle 1-10 mm (emission to fresh water)</v>
      </c>
      <c r="H2510" s="466">
        <v>0</v>
      </c>
      <c r="I2510" s="388" t="s">
        <v>1153</v>
      </c>
      <c r="J2510" s="634">
        <v>0.22800000000000001</v>
      </c>
      <c r="K2510" s="389">
        <v>50.41</v>
      </c>
      <c r="L2510" s="536"/>
      <c r="M2510" s="509">
        <f t="shared" si="7460"/>
        <v>24.79666732791113</v>
      </c>
      <c r="N2510" s="645">
        <f t="shared" si="7451"/>
        <v>37.257824143070046</v>
      </c>
      <c r="O2510" s="625"/>
      <c r="P2510" s="628">
        <f t="shared" si="7368"/>
        <v>37.257824143070046</v>
      </c>
      <c r="Q2510" s="628">
        <f t="shared" si="7404"/>
        <v>37.257824143070046</v>
      </c>
    </row>
    <row r="2511" spans="1:17" ht="15.75" hidden="1" thickBot="1">
      <c r="A2511" s="390" t="str">
        <f t="shared" ref="A2511:B2511" si="7477">A2508</f>
        <v>PBSA</v>
      </c>
      <c r="B2511" s="391" t="str">
        <f t="shared" si="7477"/>
        <v>particle</v>
      </c>
      <c r="C2511" s="391">
        <f t="shared" ref="C2511" si="7478">C2510</f>
        <v>6</v>
      </c>
      <c r="D2511" s="391" t="str">
        <f t="shared" ref="D2511:E2511" si="7479">D2508</f>
        <v>1-10</v>
      </c>
      <c r="E2511" s="391">
        <f t="shared" si="7479"/>
        <v>10</v>
      </c>
      <c r="F2511" s="391" t="str">
        <f t="shared" ref="F2511:G2511" si="7480">F2510</f>
        <v>fresh water</v>
      </c>
      <c r="G2511" s="401" t="str">
        <f t="shared" si="7480"/>
        <v>DE: PBSA particle 1-10 mm (emission to fresh water)</v>
      </c>
      <c r="H2511" s="465">
        <v>0</v>
      </c>
      <c r="I2511" s="394" t="s">
        <v>1097</v>
      </c>
      <c r="J2511" s="635"/>
      <c r="K2511" s="389">
        <v>33.549999999999997</v>
      </c>
      <c r="L2511" s="536"/>
      <c r="M2511" s="509">
        <f t="shared" si="7460"/>
        <v>37.257824143070046</v>
      </c>
      <c r="N2511" s="646"/>
      <c r="O2511" s="626"/>
      <c r="P2511" s="629"/>
      <c r="Q2511" s="629"/>
    </row>
    <row r="2512" spans="1:17" ht="15.75" hidden="1" thickBot="1">
      <c r="A2512" s="390" t="str">
        <f t="shared" ref="A2512:B2512" si="7481">A2509</f>
        <v>PBSA</v>
      </c>
      <c r="B2512" s="391" t="str">
        <f t="shared" si="7481"/>
        <v>particle</v>
      </c>
      <c r="C2512" s="391">
        <f t="shared" ref="C2512" si="7482">C2511</f>
        <v>6</v>
      </c>
      <c r="D2512" s="391" t="str">
        <f t="shared" ref="D2512:E2512" si="7483">D2509</f>
        <v>1-10</v>
      </c>
      <c r="E2512" s="391">
        <f t="shared" si="7483"/>
        <v>10</v>
      </c>
      <c r="F2512" s="391" t="str">
        <f t="shared" ref="F2512:G2512" si="7484">F2511</f>
        <v>fresh water</v>
      </c>
      <c r="G2512" s="401" t="str">
        <f t="shared" si="7484"/>
        <v>DE: PBSA particle 1-10 mm (emission to fresh water)</v>
      </c>
      <c r="H2512" s="465">
        <v>0.89</v>
      </c>
      <c r="I2512" s="394" t="s">
        <v>1162</v>
      </c>
      <c r="J2512" s="635"/>
      <c r="K2512" s="389">
        <v>33.549999999999997</v>
      </c>
      <c r="L2512" s="536"/>
      <c r="M2512" s="509">
        <f t="shared" si="7460"/>
        <v>37.257824143070046</v>
      </c>
      <c r="N2512" s="646"/>
      <c r="O2512" s="626"/>
      <c r="P2512" s="629"/>
      <c r="Q2512" s="629"/>
    </row>
    <row r="2513" spans="1:17" ht="15.75" hidden="1" thickBot="1">
      <c r="A2513" s="390" t="str">
        <f t="shared" ref="A2513:B2513" si="7485">A2510</f>
        <v>PBSA</v>
      </c>
      <c r="B2513" s="391" t="str">
        <f t="shared" si="7485"/>
        <v>particle</v>
      </c>
      <c r="C2513" s="391">
        <f t="shared" ref="C2513" si="7486">C2512</f>
        <v>6</v>
      </c>
      <c r="D2513" s="391" t="str">
        <f t="shared" ref="D2513:E2513" si="7487">D2510</f>
        <v>1-10</v>
      </c>
      <c r="E2513" s="391">
        <f t="shared" si="7487"/>
        <v>10</v>
      </c>
      <c r="F2513" s="391" t="str">
        <f t="shared" ref="F2513:G2513" si="7488">F2512</f>
        <v>fresh water</v>
      </c>
      <c r="G2513" s="401" t="str">
        <f t="shared" si="7488"/>
        <v>DE: PBSA particle 1-10 mm (emission to fresh water)</v>
      </c>
      <c r="H2513" s="465">
        <v>0.11</v>
      </c>
      <c r="I2513" s="394" t="s">
        <v>1163</v>
      </c>
      <c r="J2513" s="635"/>
      <c r="K2513" s="389">
        <v>33.549999999999997</v>
      </c>
      <c r="L2513" s="536"/>
      <c r="M2513" s="509">
        <f t="shared" si="7460"/>
        <v>37.257824143070046</v>
      </c>
      <c r="N2513" s="646"/>
      <c r="O2513" s="626"/>
      <c r="P2513" s="629"/>
      <c r="Q2513" s="629"/>
    </row>
    <row r="2514" spans="1:17" ht="15.75" hidden="1" thickBot="1">
      <c r="A2514" s="390" t="str">
        <f t="shared" ref="A2514:B2514" si="7489">A2511</f>
        <v>PBSA</v>
      </c>
      <c r="B2514" s="391" t="str">
        <f t="shared" si="7489"/>
        <v>particle</v>
      </c>
      <c r="C2514" s="391">
        <f t="shared" ref="C2514" si="7490">C2513</f>
        <v>6</v>
      </c>
      <c r="D2514" s="391" t="str">
        <f t="shared" ref="D2514:E2514" si="7491">D2511</f>
        <v>1-10</v>
      </c>
      <c r="E2514" s="391">
        <f t="shared" si="7491"/>
        <v>10</v>
      </c>
      <c r="F2514" s="402" t="str">
        <f>F2511</f>
        <v>fresh water</v>
      </c>
      <c r="G2514" s="401" t="str">
        <f t="shared" ref="G2514" si="7492">G2513</f>
        <v>DE: PBSA particle 1-10 mm (emission to fresh water)</v>
      </c>
      <c r="H2514" s="465">
        <v>0</v>
      </c>
      <c r="I2514" s="397" t="s">
        <v>1034</v>
      </c>
      <c r="J2514" s="654"/>
      <c r="K2514" s="398" t="s">
        <v>596</v>
      </c>
      <c r="L2514" s="538"/>
      <c r="M2514" s="509">
        <f t="shared" si="7460"/>
        <v>0</v>
      </c>
      <c r="N2514" s="647"/>
      <c r="O2514" s="627"/>
      <c r="P2514" s="629"/>
      <c r="Q2514" s="629"/>
    </row>
    <row r="2515" spans="1:17" ht="15.75" hidden="1" thickBot="1">
      <c r="A2515" s="390" t="str">
        <f t="shared" ref="A2515:B2515" si="7493">A2512</f>
        <v>PBSA</v>
      </c>
      <c r="B2515" s="391" t="str">
        <f t="shared" si="7493"/>
        <v>particle</v>
      </c>
      <c r="C2515" s="391">
        <f t="shared" ref="C2515" si="7494">C2514</f>
        <v>6</v>
      </c>
      <c r="D2515" s="391" t="str">
        <f t="shared" ref="D2515:E2515" si="7495">D2512</f>
        <v>1-10</v>
      </c>
      <c r="E2515" s="391">
        <f t="shared" si="7495"/>
        <v>10</v>
      </c>
      <c r="F2515" s="385" t="s">
        <v>1097</v>
      </c>
      <c r="G2515" s="422" t="str">
        <f>CONCATENATE("DE: ",A2515," ",B2515," ",D2515," mm (emission to ",F2515,")")</f>
        <v>DE: PBSA particle 1-10 mm (emission to marine water)</v>
      </c>
      <c r="H2515" s="467">
        <v>0</v>
      </c>
      <c r="I2515" s="388" t="s">
        <v>1153</v>
      </c>
      <c r="J2515" s="634">
        <v>0.22800000000000001</v>
      </c>
      <c r="K2515" s="389">
        <v>50.41</v>
      </c>
      <c r="L2515" s="536"/>
      <c r="M2515" s="509">
        <f t="shared" si="7460"/>
        <v>24.79666732791113</v>
      </c>
      <c r="N2515" s="645">
        <f t="shared" si="7451"/>
        <v>37.257824143070046</v>
      </c>
      <c r="O2515" s="625"/>
      <c r="P2515" s="628">
        <f t="shared" si="7368"/>
        <v>37.257824143070046</v>
      </c>
      <c r="Q2515" s="628">
        <f t="shared" si="7404"/>
        <v>37.257824143070046</v>
      </c>
    </row>
    <row r="2516" spans="1:17" ht="15.75" hidden="1" thickBot="1">
      <c r="A2516" s="390" t="str">
        <f t="shared" ref="A2516:B2516" si="7496">A2513</f>
        <v>PBSA</v>
      </c>
      <c r="B2516" s="391" t="str">
        <f t="shared" si="7496"/>
        <v>particle</v>
      </c>
      <c r="C2516" s="391">
        <f t="shared" ref="C2516" si="7497">C2515</f>
        <v>6</v>
      </c>
      <c r="D2516" s="391" t="str">
        <f t="shared" ref="D2516:E2516" si="7498">D2513</f>
        <v>1-10</v>
      </c>
      <c r="E2516" s="391">
        <f t="shared" si="7498"/>
        <v>10</v>
      </c>
      <c r="F2516" s="391" t="str">
        <f t="shared" ref="F2516:G2516" si="7499">F2515</f>
        <v>marine water</v>
      </c>
      <c r="G2516" s="401" t="str">
        <f t="shared" si="7499"/>
        <v>DE: PBSA particle 1-10 mm (emission to marine water)</v>
      </c>
      <c r="H2516" s="465">
        <v>0</v>
      </c>
      <c r="I2516" s="394" t="s">
        <v>1097</v>
      </c>
      <c r="J2516" s="635"/>
      <c r="K2516" s="389">
        <v>33.549999999999997</v>
      </c>
      <c r="L2516" s="536"/>
      <c r="M2516" s="509">
        <f t="shared" si="7460"/>
        <v>37.257824143070046</v>
      </c>
      <c r="N2516" s="646"/>
      <c r="O2516" s="626"/>
      <c r="P2516" s="629"/>
      <c r="Q2516" s="629"/>
    </row>
    <row r="2517" spans="1:17" ht="15.75" hidden="1" thickBot="1">
      <c r="A2517" s="390" t="str">
        <f t="shared" ref="A2517:B2517" si="7500">A2514</f>
        <v>PBSA</v>
      </c>
      <c r="B2517" s="391" t="str">
        <f t="shared" si="7500"/>
        <v>particle</v>
      </c>
      <c r="C2517" s="391">
        <f t="shared" ref="C2517" si="7501">C2516</f>
        <v>6</v>
      </c>
      <c r="D2517" s="391" t="str">
        <f t="shared" ref="D2517:E2517" si="7502">D2514</f>
        <v>1-10</v>
      </c>
      <c r="E2517" s="391">
        <f t="shared" si="7502"/>
        <v>10</v>
      </c>
      <c r="F2517" s="391" t="str">
        <f t="shared" ref="F2517:G2517" si="7503">F2516</f>
        <v>marine water</v>
      </c>
      <c r="G2517" s="401" t="str">
        <f t="shared" si="7503"/>
        <v>DE: PBSA particle 1-10 mm (emission to marine water)</v>
      </c>
      <c r="H2517" s="465">
        <v>0</v>
      </c>
      <c r="I2517" s="394" t="s">
        <v>1162</v>
      </c>
      <c r="J2517" s="635"/>
      <c r="K2517" s="389">
        <v>33.549999999999997</v>
      </c>
      <c r="L2517" s="536"/>
      <c r="M2517" s="509">
        <f t="shared" si="7460"/>
        <v>37.257824143070046</v>
      </c>
      <c r="N2517" s="646"/>
      <c r="O2517" s="626"/>
      <c r="P2517" s="629"/>
      <c r="Q2517" s="629"/>
    </row>
    <row r="2518" spans="1:17" ht="15.75" hidden="1" thickBot="1">
      <c r="A2518" s="390" t="str">
        <f t="shared" ref="A2518:B2518" si="7504">A2515</f>
        <v>PBSA</v>
      </c>
      <c r="B2518" s="391" t="str">
        <f t="shared" si="7504"/>
        <v>particle</v>
      </c>
      <c r="C2518" s="391">
        <f t="shared" ref="C2518" si="7505">C2517</f>
        <v>6</v>
      </c>
      <c r="D2518" s="391" t="str">
        <f t="shared" ref="D2518:E2518" si="7506">D2515</f>
        <v>1-10</v>
      </c>
      <c r="E2518" s="391">
        <f t="shared" si="7506"/>
        <v>10</v>
      </c>
      <c r="F2518" s="391" t="str">
        <f t="shared" ref="F2518:G2518" si="7507">F2517</f>
        <v>marine water</v>
      </c>
      <c r="G2518" s="401" t="str">
        <f t="shared" si="7507"/>
        <v>DE: PBSA particle 1-10 mm (emission to marine water)</v>
      </c>
      <c r="H2518" s="465">
        <v>1</v>
      </c>
      <c r="I2518" s="394" t="s">
        <v>1163</v>
      </c>
      <c r="J2518" s="635"/>
      <c r="K2518" s="389">
        <v>33.549999999999997</v>
      </c>
      <c r="L2518" s="536"/>
      <c r="M2518" s="509">
        <f t="shared" si="7460"/>
        <v>37.257824143070046</v>
      </c>
      <c r="N2518" s="646"/>
      <c r="O2518" s="626"/>
      <c r="P2518" s="629"/>
      <c r="Q2518" s="629"/>
    </row>
    <row r="2519" spans="1:17" ht="15.75" hidden="1" thickBot="1">
      <c r="A2519" s="390" t="str">
        <f t="shared" ref="A2519:B2519" si="7508">A2516</f>
        <v>PBSA</v>
      </c>
      <c r="B2519" s="391" t="str">
        <f t="shared" si="7508"/>
        <v>particle</v>
      </c>
      <c r="C2519" s="391">
        <f t="shared" ref="C2519" si="7509">C2518</f>
        <v>6</v>
      </c>
      <c r="D2519" s="391" t="str">
        <f t="shared" ref="D2519:E2519" si="7510">D2516</f>
        <v>1-10</v>
      </c>
      <c r="E2519" s="391">
        <f t="shared" si="7510"/>
        <v>10</v>
      </c>
      <c r="F2519" s="391" t="str">
        <f t="shared" ref="F2519:G2519" si="7511">F2518</f>
        <v>marine water</v>
      </c>
      <c r="G2519" s="401" t="str">
        <f t="shared" si="7511"/>
        <v>DE: PBSA particle 1-10 mm (emission to marine water)</v>
      </c>
      <c r="H2519" s="465">
        <v>0</v>
      </c>
      <c r="I2519" s="397" t="s">
        <v>1034</v>
      </c>
      <c r="J2519" s="654"/>
      <c r="K2519" s="398" t="s">
        <v>596</v>
      </c>
      <c r="L2519" s="538"/>
      <c r="M2519" s="509">
        <f t="shared" si="7460"/>
        <v>0</v>
      </c>
      <c r="N2519" s="647"/>
      <c r="O2519" s="627"/>
      <c r="P2519" s="629"/>
      <c r="Q2519" s="629"/>
    </row>
    <row r="2520" spans="1:17" ht="15.75" hidden="1" thickBot="1">
      <c r="A2520" s="390" t="str">
        <f t="shared" ref="A2520:B2520" si="7512">A2517</f>
        <v>PBSA</v>
      </c>
      <c r="B2520" s="391" t="str">
        <f t="shared" si="7512"/>
        <v>particle</v>
      </c>
      <c r="C2520" s="391">
        <f t="shared" ref="C2520" si="7513">C2519</f>
        <v>6</v>
      </c>
      <c r="D2520" s="391" t="str">
        <f t="shared" ref="D2520:E2520" si="7514">D2517</f>
        <v>1-10</v>
      </c>
      <c r="E2520" s="391">
        <f t="shared" si="7514"/>
        <v>10</v>
      </c>
      <c r="F2520" s="400" t="s">
        <v>1057</v>
      </c>
      <c r="G2520" s="422" t="str">
        <f>CONCATENATE("DE: ",A2520," ",B2520," ",D2520," mm (emission to ",F2520,")")</f>
        <v>DE: PBSA particle 1-10 mm (emission to air)</v>
      </c>
      <c r="H2520" s="467">
        <v>0.94799999999999995</v>
      </c>
      <c r="I2520" s="388" t="s">
        <v>1153</v>
      </c>
      <c r="J2520" s="634">
        <v>0.22800000000000001</v>
      </c>
      <c r="K2520" s="389">
        <v>50.41</v>
      </c>
      <c r="L2520" s="536"/>
      <c r="M2520" s="509">
        <f t="shared" si="7460"/>
        <v>24.79666732791113</v>
      </c>
      <c r="N2520" s="645">
        <f t="shared" si="7451"/>
        <v>25.444647482299395</v>
      </c>
      <c r="O2520" s="625"/>
      <c r="P2520" s="628">
        <f t="shared" si="7368"/>
        <v>25.444647482299395</v>
      </c>
      <c r="Q2520" s="628">
        <f t="shared" si="7404"/>
        <v>25.444647482299395</v>
      </c>
    </row>
    <row r="2521" spans="1:17" ht="15.75" hidden="1" thickBot="1">
      <c r="A2521" s="390" t="str">
        <f t="shared" ref="A2521:B2521" si="7515">A2518</f>
        <v>PBSA</v>
      </c>
      <c r="B2521" s="391" t="str">
        <f t="shared" si="7515"/>
        <v>particle</v>
      </c>
      <c r="C2521" s="391">
        <f t="shared" ref="C2521" si="7516">C2520</f>
        <v>6</v>
      </c>
      <c r="D2521" s="391" t="str">
        <f t="shared" ref="D2521:E2521" si="7517">D2518</f>
        <v>1-10</v>
      </c>
      <c r="E2521" s="391">
        <f t="shared" si="7517"/>
        <v>10</v>
      </c>
      <c r="F2521" s="391" t="str">
        <f t="shared" ref="F2521:G2521" si="7518">F2520</f>
        <v>air</v>
      </c>
      <c r="G2521" s="401" t="str">
        <f t="shared" si="7518"/>
        <v>DE: PBSA particle 1-10 mm (emission to air)</v>
      </c>
      <c r="H2521" s="465">
        <v>0</v>
      </c>
      <c r="I2521" s="394" t="s">
        <v>1097</v>
      </c>
      <c r="J2521" s="635"/>
      <c r="K2521" s="389">
        <v>33.549999999999997</v>
      </c>
      <c r="L2521" s="536"/>
      <c r="M2521" s="509">
        <f t="shared" si="7460"/>
        <v>37.257824143070046</v>
      </c>
      <c r="N2521" s="646"/>
      <c r="O2521" s="626"/>
      <c r="P2521" s="629"/>
      <c r="Q2521" s="629"/>
    </row>
    <row r="2522" spans="1:17" ht="15.75" hidden="1" thickBot="1">
      <c r="A2522" s="390" t="str">
        <f t="shared" ref="A2522:B2522" si="7519">A2519</f>
        <v>PBSA</v>
      </c>
      <c r="B2522" s="391" t="str">
        <f t="shared" si="7519"/>
        <v>particle</v>
      </c>
      <c r="C2522" s="391">
        <f t="shared" ref="C2522" si="7520">C2521</f>
        <v>6</v>
      </c>
      <c r="D2522" s="391" t="str">
        <f t="shared" ref="D2522:E2522" si="7521">D2519</f>
        <v>1-10</v>
      </c>
      <c r="E2522" s="391">
        <f t="shared" si="7521"/>
        <v>10</v>
      </c>
      <c r="F2522" s="391" t="str">
        <f t="shared" ref="F2522:G2522" si="7522">F2521</f>
        <v>air</v>
      </c>
      <c r="G2522" s="401" t="str">
        <f t="shared" si="7522"/>
        <v>DE: PBSA particle 1-10 mm (emission to air)</v>
      </c>
      <c r="H2522" s="465">
        <v>4.7E-2</v>
      </c>
      <c r="I2522" s="394" t="s">
        <v>1162</v>
      </c>
      <c r="J2522" s="635"/>
      <c r="K2522" s="389">
        <v>33.549999999999997</v>
      </c>
      <c r="L2522" s="536"/>
      <c r="M2522" s="509">
        <f t="shared" si="7460"/>
        <v>37.257824143070046</v>
      </c>
      <c r="N2522" s="646"/>
      <c r="O2522" s="626"/>
      <c r="P2522" s="629"/>
      <c r="Q2522" s="629"/>
    </row>
    <row r="2523" spans="1:17" ht="15.75" hidden="1" thickBot="1">
      <c r="A2523" s="390" t="str">
        <f t="shared" ref="A2523:B2523" si="7523">A2520</f>
        <v>PBSA</v>
      </c>
      <c r="B2523" s="391" t="str">
        <f t="shared" si="7523"/>
        <v>particle</v>
      </c>
      <c r="C2523" s="391">
        <f t="shared" ref="C2523" si="7524">C2522</f>
        <v>6</v>
      </c>
      <c r="D2523" s="391" t="str">
        <f t="shared" ref="D2523:E2523" si="7525">D2520</f>
        <v>1-10</v>
      </c>
      <c r="E2523" s="391">
        <f t="shared" si="7525"/>
        <v>10</v>
      </c>
      <c r="F2523" s="391" t="str">
        <f t="shared" ref="F2523:G2523" si="7526">F2522</f>
        <v>air</v>
      </c>
      <c r="G2523" s="401" t="str">
        <f t="shared" si="7526"/>
        <v>DE: PBSA particle 1-10 mm (emission to air)</v>
      </c>
      <c r="H2523" s="465">
        <v>5.0000000000000001E-3</v>
      </c>
      <c r="I2523" s="394" t="s">
        <v>1163</v>
      </c>
      <c r="J2523" s="635"/>
      <c r="K2523" s="389">
        <v>33.549999999999997</v>
      </c>
      <c r="L2523" s="536"/>
      <c r="M2523" s="509">
        <f t="shared" si="7460"/>
        <v>37.257824143070046</v>
      </c>
      <c r="N2523" s="646"/>
      <c r="O2523" s="626"/>
      <c r="P2523" s="629"/>
      <c r="Q2523" s="629"/>
    </row>
    <row r="2524" spans="1:17" ht="15.75" hidden="1" thickBot="1">
      <c r="A2524" s="452" t="str">
        <f t="shared" ref="A2524:B2524" si="7527">A2519</f>
        <v>PBSA</v>
      </c>
      <c r="B2524" s="453" t="str">
        <f t="shared" si="7527"/>
        <v>particle</v>
      </c>
      <c r="C2524" s="453">
        <f t="shared" ref="C2524" si="7528">C2523</f>
        <v>6</v>
      </c>
      <c r="D2524" s="453" t="str">
        <f t="shared" ref="D2524:E2524" si="7529">D2519</f>
        <v>1-10</v>
      </c>
      <c r="E2524" s="453">
        <f t="shared" si="7529"/>
        <v>10</v>
      </c>
      <c r="F2524" s="453" t="str">
        <f t="shared" ref="F2524:G2524" si="7530">F2523</f>
        <v>air</v>
      </c>
      <c r="G2524" s="454" t="str">
        <f t="shared" si="7530"/>
        <v>DE: PBSA particle 1-10 mm (emission to air)</v>
      </c>
      <c r="H2524" s="473">
        <v>0</v>
      </c>
      <c r="I2524" s="456" t="s">
        <v>1034</v>
      </c>
      <c r="J2524" s="636"/>
      <c r="K2524" s="457" t="s">
        <v>596</v>
      </c>
      <c r="L2524" s="543"/>
      <c r="M2524" s="509">
        <f t="shared" si="7460"/>
        <v>0</v>
      </c>
      <c r="N2524" s="647"/>
      <c r="O2524" s="627"/>
      <c r="P2524" s="629"/>
      <c r="Q2524" s="629"/>
    </row>
    <row r="2525" spans="1:17" ht="16.5" hidden="1" thickTop="1" thickBot="1">
      <c r="A2525" s="442" t="s">
        <v>1078</v>
      </c>
      <c r="B2525" s="443" t="s">
        <v>996</v>
      </c>
      <c r="C2525" s="444">
        <f>IF(OR(B2525="Folie", B2525="Strips", B2525="Film",B2525="Flakes",B2525="Coupon"), 2,IF(OR(B2525="Fibers",B2525="Pellets"),4,IF(OR(B2525="Particles",B2525="Shreds",B2525="Powder",B2525="Fragments",B2525="Granules"),6,"")))</f>
        <v>2</v>
      </c>
      <c r="D2525" s="444" t="s">
        <v>1018</v>
      </c>
      <c r="E2525" s="445">
        <v>0.1</v>
      </c>
      <c r="F2525" s="446" t="s">
        <v>1019</v>
      </c>
      <c r="G2525" s="447" t="str">
        <f>CONCATENATE("DE: ",A2525," ",B2525," ",D2525," mm (emission to ",F2525,")")</f>
        <v>DE: PBSe film 0,01-0,1 mm (emission to soil)</v>
      </c>
      <c r="H2525" s="464">
        <v>0.97</v>
      </c>
      <c r="I2525" s="448" t="s">
        <v>1153</v>
      </c>
      <c r="J2525" s="632">
        <v>0.22800000000000001</v>
      </c>
      <c r="K2525" s="449">
        <v>25.42</v>
      </c>
      <c r="L2525" s="541"/>
      <c r="M2525" s="509">
        <f t="shared" si="7460"/>
        <v>1.9669551534225018</v>
      </c>
      <c r="N2525" s="645">
        <f t="shared" si="7451"/>
        <v>2.5055560605728147</v>
      </c>
      <c r="O2525" s="625"/>
      <c r="P2525" s="628">
        <f t="shared" ref="P2525:P2585" si="7531">IFERROR(IF(H2525*M2525+H2526*M2526+H2527*M2527+H2528*M2528+H2529*M2529&gt;100,100,H2525*M2525+H2526*M2526+H2527*M2527+H2528*M2528+H2529*M2529),"N.A.")</f>
        <v>2.5055560605728147</v>
      </c>
      <c r="Q2525" s="628">
        <f t="shared" si="7404"/>
        <v>2.5055560605728147</v>
      </c>
    </row>
    <row r="2526" spans="1:17" ht="15.75" hidden="1" thickBot="1">
      <c r="A2526" s="390" t="str">
        <f>A2525</f>
        <v>PBSe</v>
      </c>
      <c r="B2526" s="391" t="str">
        <f>B2525</f>
        <v>film</v>
      </c>
      <c r="C2526" s="391">
        <f t="shared" ref="C2526:G2526" si="7532">C2525</f>
        <v>2</v>
      </c>
      <c r="D2526" s="391" t="str">
        <f t="shared" si="7532"/>
        <v>0,01-0,1</v>
      </c>
      <c r="E2526" s="391">
        <f t="shared" si="7532"/>
        <v>0.1</v>
      </c>
      <c r="F2526" s="391" t="str">
        <f t="shared" si="7532"/>
        <v>soil</v>
      </c>
      <c r="G2526" s="392" t="str">
        <f t="shared" si="7532"/>
        <v>DE: PBSe film 0,01-0,1 mm (emission to soil)</v>
      </c>
      <c r="H2526" s="465">
        <v>0</v>
      </c>
      <c r="I2526" s="394" t="s">
        <v>1097</v>
      </c>
      <c r="J2526" s="632"/>
      <c r="K2526" s="395">
        <v>2.9614427292656194</v>
      </c>
      <c r="L2526" s="537"/>
      <c r="M2526" s="509">
        <f t="shared" si="7460"/>
        <v>16.88366265060241</v>
      </c>
      <c r="N2526" s="646"/>
      <c r="O2526" s="626"/>
      <c r="P2526" s="629"/>
      <c r="Q2526" s="629"/>
    </row>
    <row r="2527" spans="1:17" ht="15.75" hidden="1" thickBot="1">
      <c r="A2527" s="390" t="str">
        <f t="shared" ref="A2527:G2527" si="7533">A2526</f>
        <v>PBSe</v>
      </c>
      <c r="B2527" s="391" t="str">
        <f t="shared" si="7533"/>
        <v>film</v>
      </c>
      <c r="C2527" s="391">
        <f t="shared" si="7533"/>
        <v>2</v>
      </c>
      <c r="D2527" s="391" t="str">
        <f t="shared" si="7533"/>
        <v>0,01-0,1</v>
      </c>
      <c r="E2527" s="391">
        <f t="shared" si="7533"/>
        <v>0.1</v>
      </c>
      <c r="F2527" s="391" t="str">
        <f t="shared" si="7533"/>
        <v>soil</v>
      </c>
      <c r="G2527" s="392" t="str">
        <f t="shared" si="7533"/>
        <v>DE: PBSe film 0,01-0,1 mm (emission to soil)</v>
      </c>
      <c r="H2527" s="465">
        <v>2.7E-2</v>
      </c>
      <c r="I2527" s="394" t="s">
        <v>1162</v>
      </c>
      <c r="J2527" s="632"/>
      <c r="K2527" s="395">
        <v>2.5099999999999998</v>
      </c>
      <c r="L2527" s="537"/>
      <c r="M2527" s="509">
        <f t="shared" si="7460"/>
        <v>19.920318725099602</v>
      </c>
      <c r="N2527" s="646"/>
      <c r="O2527" s="626"/>
      <c r="P2527" s="629"/>
      <c r="Q2527" s="629"/>
    </row>
    <row r="2528" spans="1:17" ht="15.75" hidden="1" thickBot="1">
      <c r="A2528" s="390" t="str">
        <f t="shared" ref="A2528:G2528" si="7534">A2527</f>
        <v>PBSe</v>
      </c>
      <c r="B2528" s="391" t="str">
        <f t="shared" si="7534"/>
        <v>film</v>
      </c>
      <c r="C2528" s="391">
        <f t="shared" si="7534"/>
        <v>2</v>
      </c>
      <c r="D2528" s="391" t="str">
        <f t="shared" si="7534"/>
        <v>0,01-0,1</v>
      </c>
      <c r="E2528" s="391">
        <f t="shared" si="7534"/>
        <v>0.1</v>
      </c>
      <c r="F2528" s="391" t="str">
        <f t="shared" si="7534"/>
        <v>soil</v>
      </c>
      <c r="G2528" s="392" t="str">
        <f t="shared" si="7534"/>
        <v>DE: PBSe film 0,01-0,1 mm (emission to soil)</v>
      </c>
      <c r="H2528" s="465">
        <v>3.0000000000000001E-3</v>
      </c>
      <c r="I2528" s="394" t="s">
        <v>1146</v>
      </c>
      <c r="J2528" s="632"/>
      <c r="K2528" s="395">
        <v>2.5099999999999998</v>
      </c>
      <c r="L2528" s="537"/>
      <c r="M2528" s="509">
        <f t="shared" si="7460"/>
        <v>19.920318725099602</v>
      </c>
      <c r="N2528" s="646"/>
      <c r="O2528" s="626"/>
      <c r="P2528" s="629"/>
      <c r="Q2528" s="629"/>
    </row>
    <row r="2529" spans="1:17" ht="15.75" hidden="1" thickBot="1">
      <c r="A2529" s="390" t="str">
        <f>A2526</f>
        <v>PBSe</v>
      </c>
      <c r="B2529" s="391" t="str">
        <f>B2526</f>
        <v>film</v>
      </c>
      <c r="C2529" s="391">
        <f t="shared" ref="C2529" si="7535">C2528</f>
        <v>2</v>
      </c>
      <c r="D2529" s="391" t="str">
        <f>D2526</f>
        <v>0,01-0,1</v>
      </c>
      <c r="E2529" s="391">
        <f>E2526</f>
        <v>0.1</v>
      </c>
      <c r="F2529" s="391" t="str">
        <f>F2526</f>
        <v>soil</v>
      </c>
      <c r="G2529" s="396" t="str">
        <f t="shared" ref="G2529" si="7536">G2528</f>
        <v>DE: PBSe film 0,01-0,1 mm (emission to soil)</v>
      </c>
      <c r="H2529" s="465">
        <v>0</v>
      </c>
      <c r="I2529" s="397" t="s">
        <v>1034</v>
      </c>
      <c r="J2529" s="633"/>
      <c r="K2529" s="398" t="s">
        <v>596</v>
      </c>
      <c r="L2529" s="538"/>
      <c r="M2529" s="509">
        <f t="shared" si="7460"/>
        <v>0</v>
      </c>
      <c r="N2529" s="647"/>
      <c r="O2529" s="627"/>
      <c r="P2529" s="629"/>
      <c r="Q2529" s="629"/>
    </row>
    <row r="2530" spans="1:17" ht="15.75" hidden="1" thickBot="1">
      <c r="A2530" s="390" t="str">
        <f t="shared" ref="A2530:B2530" si="7537">A2527</f>
        <v>PBSe</v>
      </c>
      <c r="B2530" s="391" t="str">
        <f t="shared" si="7537"/>
        <v>film</v>
      </c>
      <c r="C2530" s="391">
        <f t="shared" ref="C2530" si="7538">C2529</f>
        <v>2</v>
      </c>
      <c r="D2530" s="399" t="str">
        <f t="shared" ref="D2530:E2530" si="7539">D2527</f>
        <v>0,01-0,1</v>
      </c>
      <c r="E2530" s="391">
        <f t="shared" si="7539"/>
        <v>0.1</v>
      </c>
      <c r="F2530" s="400" t="s">
        <v>1147</v>
      </c>
      <c r="G2530" s="386" t="str">
        <f>CONCATENATE("DE: ",A2530," ",B2530," ",D2530," mm (emission to ",F2530,")")</f>
        <v>DE: PBSe film 0,01-0,1 mm (emission to fresh water)</v>
      </c>
      <c r="H2530" s="466">
        <v>0</v>
      </c>
      <c r="I2530" s="388" t="s">
        <v>1153</v>
      </c>
      <c r="J2530" s="634">
        <v>0.22800000000000001</v>
      </c>
      <c r="K2530" s="389">
        <v>25.42</v>
      </c>
      <c r="L2530" s="536"/>
      <c r="M2530" s="509">
        <f t="shared" si="7460"/>
        <v>1.9669551534225018</v>
      </c>
      <c r="N2530" s="645">
        <f t="shared" si="7451"/>
        <v>19.920318725099602</v>
      </c>
      <c r="O2530" s="625"/>
      <c r="P2530" s="628">
        <f t="shared" si="7531"/>
        <v>19.920318725099602</v>
      </c>
      <c r="Q2530" s="628">
        <f t="shared" si="7404"/>
        <v>19.920318725099602</v>
      </c>
    </row>
    <row r="2531" spans="1:17" ht="15.75" hidden="1" thickBot="1">
      <c r="A2531" s="390" t="str">
        <f t="shared" ref="A2531:B2531" si="7540">A2528</f>
        <v>PBSe</v>
      </c>
      <c r="B2531" s="391" t="str">
        <f t="shared" si="7540"/>
        <v>film</v>
      </c>
      <c r="C2531" s="391">
        <f t="shared" ref="C2531" si="7541">C2530</f>
        <v>2</v>
      </c>
      <c r="D2531" s="391" t="str">
        <f t="shared" ref="D2531:E2531" si="7542">D2528</f>
        <v>0,01-0,1</v>
      </c>
      <c r="E2531" s="391">
        <f t="shared" si="7542"/>
        <v>0.1</v>
      </c>
      <c r="F2531" s="391" t="str">
        <f t="shared" ref="F2531:G2531" si="7543">F2530</f>
        <v>fresh water</v>
      </c>
      <c r="G2531" s="401" t="str">
        <f t="shared" si="7543"/>
        <v>DE: PBSe film 0,01-0,1 mm (emission to fresh water)</v>
      </c>
      <c r="H2531" s="465">
        <v>0</v>
      </c>
      <c r="I2531" s="394" t="s">
        <v>1097</v>
      </c>
      <c r="J2531" s="635"/>
      <c r="K2531" s="389">
        <v>2.9614427292656194</v>
      </c>
      <c r="L2531" s="536"/>
      <c r="M2531" s="509">
        <f t="shared" si="7460"/>
        <v>16.88366265060241</v>
      </c>
      <c r="N2531" s="646"/>
      <c r="O2531" s="626"/>
      <c r="P2531" s="629"/>
      <c r="Q2531" s="629"/>
    </row>
    <row r="2532" spans="1:17" ht="15.75" hidden="1" thickBot="1">
      <c r="A2532" s="390" t="str">
        <f t="shared" ref="A2532:B2532" si="7544">A2529</f>
        <v>PBSe</v>
      </c>
      <c r="B2532" s="391" t="str">
        <f t="shared" si="7544"/>
        <v>film</v>
      </c>
      <c r="C2532" s="391">
        <f t="shared" ref="C2532" si="7545">C2531</f>
        <v>2</v>
      </c>
      <c r="D2532" s="391" t="str">
        <f t="shared" ref="D2532:E2532" si="7546">D2529</f>
        <v>0,01-0,1</v>
      </c>
      <c r="E2532" s="391">
        <f t="shared" si="7546"/>
        <v>0.1</v>
      </c>
      <c r="F2532" s="391" t="str">
        <f t="shared" ref="F2532:G2532" si="7547">F2531</f>
        <v>fresh water</v>
      </c>
      <c r="G2532" s="401" t="str">
        <f t="shared" si="7547"/>
        <v>DE: PBSe film 0,01-0,1 mm (emission to fresh water)</v>
      </c>
      <c r="H2532" s="465">
        <v>0.89</v>
      </c>
      <c r="I2532" s="394" t="s">
        <v>1162</v>
      </c>
      <c r="J2532" s="635"/>
      <c r="K2532" s="389">
        <v>2.5099999999999998</v>
      </c>
      <c r="L2532" s="536"/>
      <c r="M2532" s="509">
        <f t="shared" si="7460"/>
        <v>19.920318725099602</v>
      </c>
      <c r="N2532" s="646"/>
      <c r="O2532" s="626"/>
      <c r="P2532" s="629"/>
      <c r="Q2532" s="629"/>
    </row>
    <row r="2533" spans="1:17" ht="15.75" hidden="1" thickBot="1">
      <c r="A2533" s="390" t="str">
        <f t="shared" ref="A2533:B2533" si="7548">A2530</f>
        <v>PBSe</v>
      </c>
      <c r="B2533" s="391" t="str">
        <f t="shared" si="7548"/>
        <v>film</v>
      </c>
      <c r="C2533" s="391">
        <f t="shared" ref="C2533" si="7549">C2532</f>
        <v>2</v>
      </c>
      <c r="D2533" s="391" t="str">
        <f t="shared" ref="D2533:E2533" si="7550">D2530</f>
        <v>0,01-0,1</v>
      </c>
      <c r="E2533" s="391">
        <f t="shared" si="7550"/>
        <v>0.1</v>
      </c>
      <c r="F2533" s="391" t="str">
        <f t="shared" ref="F2533:G2533" si="7551">F2532</f>
        <v>fresh water</v>
      </c>
      <c r="G2533" s="401" t="str">
        <f t="shared" si="7551"/>
        <v>DE: PBSe film 0,01-0,1 mm (emission to fresh water)</v>
      </c>
      <c r="H2533" s="465">
        <v>0.11</v>
      </c>
      <c r="I2533" s="394" t="s">
        <v>1146</v>
      </c>
      <c r="J2533" s="635"/>
      <c r="K2533" s="389">
        <v>2.5099999999999998</v>
      </c>
      <c r="L2533" s="536"/>
      <c r="M2533" s="509">
        <f t="shared" si="7460"/>
        <v>19.920318725099602</v>
      </c>
      <c r="N2533" s="646"/>
      <c r="O2533" s="626"/>
      <c r="P2533" s="629"/>
      <c r="Q2533" s="629"/>
    </row>
    <row r="2534" spans="1:17" ht="15.75" hidden="1" thickBot="1">
      <c r="A2534" s="390" t="str">
        <f t="shared" ref="A2534:B2534" si="7552">A2531</f>
        <v>PBSe</v>
      </c>
      <c r="B2534" s="391" t="str">
        <f t="shared" si="7552"/>
        <v>film</v>
      </c>
      <c r="C2534" s="391">
        <f t="shared" ref="C2534" si="7553">C2533</f>
        <v>2</v>
      </c>
      <c r="D2534" s="391" t="str">
        <f t="shared" ref="D2534:E2534" si="7554">D2531</f>
        <v>0,01-0,1</v>
      </c>
      <c r="E2534" s="391">
        <f t="shared" si="7554"/>
        <v>0.1</v>
      </c>
      <c r="F2534" s="402" t="str">
        <f>F2531</f>
        <v>fresh water</v>
      </c>
      <c r="G2534" s="401" t="str">
        <f t="shared" ref="G2534" si="7555">G2533</f>
        <v>DE: PBSe film 0,01-0,1 mm (emission to fresh water)</v>
      </c>
      <c r="H2534" s="465">
        <v>0</v>
      </c>
      <c r="I2534" s="397" t="s">
        <v>1034</v>
      </c>
      <c r="J2534" s="654"/>
      <c r="K2534" s="398" t="s">
        <v>596</v>
      </c>
      <c r="L2534" s="538"/>
      <c r="M2534" s="509">
        <f t="shared" si="7460"/>
        <v>0</v>
      </c>
      <c r="N2534" s="647"/>
      <c r="O2534" s="627"/>
      <c r="P2534" s="629"/>
      <c r="Q2534" s="629"/>
    </row>
    <row r="2535" spans="1:17" ht="15.75" hidden="1" thickBot="1">
      <c r="A2535" s="390" t="str">
        <f t="shared" ref="A2535:B2535" si="7556">A2532</f>
        <v>PBSe</v>
      </c>
      <c r="B2535" s="391" t="str">
        <f t="shared" si="7556"/>
        <v>film</v>
      </c>
      <c r="C2535" s="391">
        <f t="shared" ref="C2535" si="7557">C2534</f>
        <v>2</v>
      </c>
      <c r="D2535" s="391" t="str">
        <f t="shared" ref="D2535:E2535" si="7558">D2532</f>
        <v>0,01-0,1</v>
      </c>
      <c r="E2535" s="391">
        <f t="shared" si="7558"/>
        <v>0.1</v>
      </c>
      <c r="F2535" s="385" t="s">
        <v>1097</v>
      </c>
      <c r="G2535" s="422" t="str">
        <f>CONCATENATE("DE: ",A2535," ",B2535," ",D2535," mm (emission to ",F2535,")")</f>
        <v>DE: PBSe film 0,01-0,1 mm (emission to marine water)</v>
      </c>
      <c r="H2535" s="467">
        <v>0</v>
      </c>
      <c r="I2535" s="388" t="s">
        <v>1153</v>
      </c>
      <c r="J2535" s="634">
        <v>0.22800000000000001</v>
      </c>
      <c r="K2535" s="389">
        <v>25.42</v>
      </c>
      <c r="L2535" s="536"/>
      <c r="M2535" s="509">
        <f t="shared" si="7460"/>
        <v>1.9669551534225018</v>
      </c>
      <c r="N2535" s="645">
        <f t="shared" si="7451"/>
        <v>19.920318725099602</v>
      </c>
      <c r="O2535" s="625"/>
      <c r="P2535" s="628">
        <f t="shared" si="7531"/>
        <v>19.920318725099602</v>
      </c>
      <c r="Q2535" s="628">
        <f t="shared" si="7404"/>
        <v>19.920318725099602</v>
      </c>
    </row>
    <row r="2536" spans="1:17" ht="15.75" hidden="1" thickBot="1">
      <c r="A2536" s="390" t="str">
        <f t="shared" ref="A2536:B2536" si="7559">A2533</f>
        <v>PBSe</v>
      </c>
      <c r="B2536" s="391" t="str">
        <f t="shared" si="7559"/>
        <v>film</v>
      </c>
      <c r="C2536" s="391">
        <f t="shared" ref="C2536" si="7560">C2535</f>
        <v>2</v>
      </c>
      <c r="D2536" s="391" t="str">
        <f t="shared" ref="D2536:E2536" si="7561">D2533</f>
        <v>0,01-0,1</v>
      </c>
      <c r="E2536" s="391">
        <f t="shared" si="7561"/>
        <v>0.1</v>
      </c>
      <c r="F2536" s="391" t="str">
        <f t="shared" ref="F2536:G2536" si="7562">F2535</f>
        <v>marine water</v>
      </c>
      <c r="G2536" s="401" t="str">
        <f t="shared" si="7562"/>
        <v>DE: PBSe film 0,01-0,1 mm (emission to marine water)</v>
      </c>
      <c r="H2536" s="465">
        <v>0</v>
      </c>
      <c r="I2536" s="394" t="s">
        <v>1097</v>
      </c>
      <c r="J2536" s="635"/>
      <c r="K2536" s="389">
        <v>2.9614427292656194</v>
      </c>
      <c r="L2536" s="536"/>
      <c r="M2536" s="509">
        <f t="shared" si="7460"/>
        <v>16.88366265060241</v>
      </c>
      <c r="N2536" s="646"/>
      <c r="O2536" s="626"/>
      <c r="P2536" s="629"/>
      <c r="Q2536" s="629"/>
    </row>
    <row r="2537" spans="1:17" ht="15.75" hidden="1" thickBot="1">
      <c r="A2537" s="390" t="str">
        <f t="shared" ref="A2537:B2537" si="7563">A2534</f>
        <v>PBSe</v>
      </c>
      <c r="B2537" s="391" t="str">
        <f t="shared" si="7563"/>
        <v>film</v>
      </c>
      <c r="C2537" s="391">
        <f t="shared" ref="C2537" si="7564">C2536</f>
        <v>2</v>
      </c>
      <c r="D2537" s="391" t="str">
        <f t="shared" ref="D2537:E2537" si="7565">D2534</f>
        <v>0,01-0,1</v>
      </c>
      <c r="E2537" s="391">
        <f t="shared" si="7565"/>
        <v>0.1</v>
      </c>
      <c r="F2537" s="391" t="str">
        <f t="shared" ref="F2537:G2537" si="7566">F2536</f>
        <v>marine water</v>
      </c>
      <c r="G2537" s="401" t="str">
        <f t="shared" si="7566"/>
        <v>DE: PBSe film 0,01-0,1 mm (emission to marine water)</v>
      </c>
      <c r="H2537" s="465">
        <v>0</v>
      </c>
      <c r="I2537" s="394" t="s">
        <v>1162</v>
      </c>
      <c r="J2537" s="635"/>
      <c r="K2537" s="389">
        <v>2.5099999999999998</v>
      </c>
      <c r="L2537" s="536"/>
      <c r="M2537" s="509">
        <f t="shared" si="7460"/>
        <v>19.920318725099602</v>
      </c>
      <c r="N2537" s="646"/>
      <c r="O2537" s="626"/>
      <c r="P2537" s="629"/>
      <c r="Q2537" s="629"/>
    </row>
    <row r="2538" spans="1:17" ht="15.75" hidden="1" thickBot="1">
      <c r="A2538" s="390" t="str">
        <f t="shared" ref="A2538:B2538" si="7567">A2535</f>
        <v>PBSe</v>
      </c>
      <c r="B2538" s="391" t="str">
        <f t="shared" si="7567"/>
        <v>film</v>
      </c>
      <c r="C2538" s="391">
        <f t="shared" ref="C2538" si="7568">C2537</f>
        <v>2</v>
      </c>
      <c r="D2538" s="391" t="str">
        <f t="shared" ref="D2538:E2538" si="7569">D2535</f>
        <v>0,01-0,1</v>
      </c>
      <c r="E2538" s="391">
        <f t="shared" si="7569"/>
        <v>0.1</v>
      </c>
      <c r="F2538" s="391" t="str">
        <f t="shared" ref="F2538:G2538" si="7570">F2537</f>
        <v>marine water</v>
      </c>
      <c r="G2538" s="401" t="str">
        <f t="shared" si="7570"/>
        <v>DE: PBSe film 0,01-0,1 mm (emission to marine water)</v>
      </c>
      <c r="H2538" s="465">
        <v>1</v>
      </c>
      <c r="I2538" s="394" t="s">
        <v>1146</v>
      </c>
      <c r="J2538" s="635"/>
      <c r="K2538" s="389">
        <v>2.5099999999999998</v>
      </c>
      <c r="L2538" s="536"/>
      <c r="M2538" s="509">
        <f t="shared" si="7460"/>
        <v>19.920318725099602</v>
      </c>
      <c r="N2538" s="646"/>
      <c r="O2538" s="626"/>
      <c r="P2538" s="629"/>
      <c r="Q2538" s="629"/>
    </row>
    <row r="2539" spans="1:17" ht="15.75" hidden="1" thickBot="1">
      <c r="A2539" s="390" t="str">
        <f t="shared" ref="A2539:B2539" si="7571">A2536</f>
        <v>PBSe</v>
      </c>
      <c r="B2539" s="391" t="str">
        <f t="shared" si="7571"/>
        <v>film</v>
      </c>
      <c r="C2539" s="391">
        <f t="shared" ref="C2539" si="7572">C2538</f>
        <v>2</v>
      </c>
      <c r="D2539" s="391" t="str">
        <f t="shared" ref="D2539:E2539" si="7573">D2536</f>
        <v>0,01-0,1</v>
      </c>
      <c r="E2539" s="391">
        <f t="shared" si="7573"/>
        <v>0.1</v>
      </c>
      <c r="F2539" s="391" t="str">
        <f t="shared" ref="F2539:G2539" si="7574">F2538</f>
        <v>marine water</v>
      </c>
      <c r="G2539" s="401" t="str">
        <f t="shared" si="7574"/>
        <v>DE: PBSe film 0,01-0,1 mm (emission to marine water)</v>
      </c>
      <c r="H2539" s="465">
        <v>0</v>
      </c>
      <c r="I2539" s="397" t="s">
        <v>1034</v>
      </c>
      <c r="J2539" s="654"/>
      <c r="K2539" s="398" t="s">
        <v>596</v>
      </c>
      <c r="L2539" s="538"/>
      <c r="M2539" s="509">
        <f t="shared" si="7460"/>
        <v>0</v>
      </c>
      <c r="N2539" s="647"/>
      <c r="O2539" s="627"/>
      <c r="P2539" s="629"/>
      <c r="Q2539" s="629"/>
    </row>
    <row r="2540" spans="1:17" ht="15.75" hidden="1" thickBot="1">
      <c r="A2540" s="390" t="str">
        <f t="shared" ref="A2540:B2540" si="7575">A2537</f>
        <v>PBSe</v>
      </c>
      <c r="B2540" s="391" t="str">
        <f t="shared" si="7575"/>
        <v>film</v>
      </c>
      <c r="C2540" s="391">
        <f t="shared" ref="C2540" si="7576">C2539</f>
        <v>2</v>
      </c>
      <c r="D2540" s="391" t="str">
        <f t="shared" ref="D2540:E2540" si="7577">D2537</f>
        <v>0,01-0,1</v>
      </c>
      <c r="E2540" s="391">
        <f t="shared" si="7577"/>
        <v>0.1</v>
      </c>
      <c r="F2540" s="400" t="s">
        <v>1057</v>
      </c>
      <c r="G2540" s="422" t="str">
        <f>CONCATENATE("DE: ",A2540," ",B2540," ",D2540," mm (emission to ",F2540,")")</f>
        <v>DE: PBSe film 0,01-0,1 mm (emission to air)</v>
      </c>
      <c r="H2540" s="467">
        <v>0.94799999999999995</v>
      </c>
      <c r="I2540" s="388" t="s">
        <v>1153</v>
      </c>
      <c r="J2540" s="634">
        <v>0.22800000000000001</v>
      </c>
      <c r="K2540" s="389">
        <v>25.42</v>
      </c>
      <c r="L2540" s="536"/>
      <c r="M2540" s="509">
        <f t="shared" si="7460"/>
        <v>1.9669551534225018</v>
      </c>
      <c r="N2540" s="645">
        <f t="shared" si="7451"/>
        <v>2.9005300591497107</v>
      </c>
      <c r="O2540" s="625"/>
      <c r="P2540" s="628">
        <f t="shared" si="7531"/>
        <v>2.9005300591497107</v>
      </c>
      <c r="Q2540" s="628">
        <f t="shared" si="7404"/>
        <v>2.9005300591497107</v>
      </c>
    </row>
    <row r="2541" spans="1:17" ht="15.75" hidden="1" thickBot="1">
      <c r="A2541" s="390" t="str">
        <f t="shared" ref="A2541:B2541" si="7578">A2538</f>
        <v>PBSe</v>
      </c>
      <c r="B2541" s="391" t="str">
        <f t="shared" si="7578"/>
        <v>film</v>
      </c>
      <c r="C2541" s="391">
        <f t="shared" ref="C2541" si="7579">C2540</f>
        <v>2</v>
      </c>
      <c r="D2541" s="391" t="str">
        <f t="shared" ref="D2541:E2541" si="7580">D2538</f>
        <v>0,01-0,1</v>
      </c>
      <c r="E2541" s="391">
        <f t="shared" si="7580"/>
        <v>0.1</v>
      </c>
      <c r="F2541" s="391" t="str">
        <f t="shared" ref="F2541:G2541" si="7581">F2540</f>
        <v>air</v>
      </c>
      <c r="G2541" s="401" t="str">
        <f t="shared" si="7581"/>
        <v>DE: PBSe film 0,01-0,1 mm (emission to air)</v>
      </c>
      <c r="H2541" s="465">
        <v>0</v>
      </c>
      <c r="I2541" s="394" t="s">
        <v>1097</v>
      </c>
      <c r="J2541" s="635"/>
      <c r="K2541" s="389">
        <v>2.9614427292656194</v>
      </c>
      <c r="L2541" s="536"/>
      <c r="M2541" s="509">
        <f t="shared" si="7460"/>
        <v>16.88366265060241</v>
      </c>
      <c r="N2541" s="646"/>
      <c r="O2541" s="626"/>
      <c r="P2541" s="629"/>
      <c r="Q2541" s="629"/>
    </row>
    <row r="2542" spans="1:17" ht="15.75" hidden="1" thickBot="1">
      <c r="A2542" s="390" t="str">
        <f t="shared" ref="A2542:B2542" si="7582">A2539</f>
        <v>PBSe</v>
      </c>
      <c r="B2542" s="391" t="str">
        <f t="shared" si="7582"/>
        <v>film</v>
      </c>
      <c r="C2542" s="391">
        <f t="shared" ref="C2542" si="7583">C2541</f>
        <v>2</v>
      </c>
      <c r="D2542" s="391" t="str">
        <f t="shared" ref="D2542:E2542" si="7584">D2539</f>
        <v>0,01-0,1</v>
      </c>
      <c r="E2542" s="391">
        <f t="shared" si="7584"/>
        <v>0.1</v>
      </c>
      <c r="F2542" s="391" t="str">
        <f t="shared" ref="F2542:G2542" si="7585">F2541</f>
        <v>air</v>
      </c>
      <c r="G2542" s="401" t="str">
        <f t="shared" si="7585"/>
        <v>DE: PBSe film 0,01-0,1 mm (emission to air)</v>
      </c>
      <c r="H2542" s="465">
        <v>4.7E-2</v>
      </c>
      <c r="I2542" s="394" t="s">
        <v>1162</v>
      </c>
      <c r="J2542" s="635"/>
      <c r="K2542" s="389">
        <v>2.5099999999999998</v>
      </c>
      <c r="L2542" s="536"/>
      <c r="M2542" s="509">
        <f t="shared" si="7460"/>
        <v>19.920318725099602</v>
      </c>
      <c r="N2542" s="646"/>
      <c r="O2542" s="626"/>
      <c r="P2542" s="629"/>
      <c r="Q2542" s="629"/>
    </row>
    <row r="2543" spans="1:17" ht="15.75" hidden="1" thickBot="1">
      <c r="A2543" s="390" t="str">
        <f t="shared" ref="A2543:B2543" si="7586">A2540</f>
        <v>PBSe</v>
      </c>
      <c r="B2543" s="391" t="str">
        <f t="shared" si="7586"/>
        <v>film</v>
      </c>
      <c r="C2543" s="391">
        <f t="shared" ref="C2543" si="7587">C2542</f>
        <v>2</v>
      </c>
      <c r="D2543" s="391" t="str">
        <f t="shared" ref="D2543:E2543" si="7588">D2540</f>
        <v>0,01-0,1</v>
      </c>
      <c r="E2543" s="391">
        <f t="shared" si="7588"/>
        <v>0.1</v>
      </c>
      <c r="F2543" s="391" t="str">
        <f t="shared" ref="F2543:G2543" si="7589">F2542</f>
        <v>air</v>
      </c>
      <c r="G2543" s="401" t="str">
        <f t="shared" si="7589"/>
        <v>DE: PBSe film 0,01-0,1 mm (emission to air)</v>
      </c>
      <c r="H2543" s="465">
        <v>5.0000000000000001E-3</v>
      </c>
      <c r="I2543" s="394" t="s">
        <v>1146</v>
      </c>
      <c r="J2543" s="635"/>
      <c r="K2543" s="389">
        <v>2.5099999999999998</v>
      </c>
      <c r="L2543" s="536"/>
      <c r="M2543" s="509">
        <f t="shared" si="7460"/>
        <v>19.920318725099602</v>
      </c>
      <c r="N2543" s="646"/>
      <c r="O2543" s="626"/>
      <c r="P2543" s="629"/>
      <c r="Q2543" s="629"/>
    </row>
    <row r="2544" spans="1:17" ht="15.75" hidden="1" thickBot="1">
      <c r="A2544" s="390" t="str">
        <f t="shared" ref="A2544:B2544" si="7590">A2539</f>
        <v>PBSe</v>
      </c>
      <c r="B2544" s="391" t="str">
        <f t="shared" si="7590"/>
        <v>film</v>
      </c>
      <c r="C2544" s="391">
        <f t="shared" ref="C2544" si="7591">C2543</f>
        <v>2</v>
      </c>
      <c r="D2544" s="391" t="str">
        <f t="shared" ref="D2544:E2544" si="7592">D2539</f>
        <v>0,01-0,1</v>
      </c>
      <c r="E2544" s="391">
        <f t="shared" si="7592"/>
        <v>0.1</v>
      </c>
      <c r="F2544" s="391" t="str">
        <f t="shared" ref="F2544:G2544" si="7593">F2543</f>
        <v>air</v>
      </c>
      <c r="G2544" s="401" t="str">
        <f t="shared" si="7593"/>
        <v>DE: PBSe film 0,01-0,1 mm (emission to air)</v>
      </c>
      <c r="H2544" s="471">
        <v>0</v>
      </c>
      <c r="I2544" s="422" t="s">
        <v>1034</v>
      </c>
      <c r="J2544" s="636"/>
      <c r="K2544" s="451" t="s">
        <v>596</v>
      </c>
      <c r="L2544" s="542"/>
      <c r="M2544" s="509">
        <f t="shared" si="7460"/>
        <v>0</v>
      </c>
      <c r="N2544" s="647"/>
      <c r="O2544" s="627"/>
      <c r="P2544" s="629"/>
      <c r="Q2544" s="629"/>
    </row>
    <row r="2545" spans="1:17" ht="15.75" hidden="1" thickBot="1">
      <c r="A2545" s="405" t="s">
        <v>1078</v>
      </c>
      <c r="B2545" s="406" t="s">
        <v>996</v>
      </c>
      <c r="C2545" s="407">
        <f>IF(OR(B2545="Folie", B2545="Strips", B2545="Film",B2545="Flakes",B2545="Coupon"), 2,IF(OR(B2545="Fibers",B2545="Pellets"),4,IF(OR(B2545="Particles",B2545="Shreds",B2545="Powder",B2545="Fragments",B2545="Granules"),6,"")))</f>
        <v>2</v>
      </c>
      <c r="D2545" s="423" t="s">
        <v>1028</v>
      </c>
      <c r="E2545" s="408">
        <v>1</v>
      </c>
      <c r="F2545" s="424" t="s">
        <v>1019</v>
      </c>
      <c r="G2545" s="425" t="str">
        <f>CONCATENATE("DE: ",A2545," ",B2545," ",D2545," mm (emission to ",F2545,")")</f>
        <v>DE: PBSe film 0,1-1 mm (emission to soil)</v>
      </c>
      <c r="H2545" s="474">
        <v>0.97</v>
      </c>
      <c r="I2545" s="427" t="s">
        <v>1153</v>
      </c>
      <c r="J2545" s="632">
        <v>0.22800000000000001</v>
      </c>
      <c r="K2545" s="428">
        <v>25.42</v>
      </c>
      <c r="L2545" s="539"/>
      <c r="M2545" s="509">
        <f t="shared" si="7460"/>
        <v>19.669551534225018</v>
      </c>
      <c r="N2545" s="645">
        <f t="shared" si="7451"/>
        <v>25.05556060572815</v>
      </c>
      <c r="O2545" s="625"/>
      <c r="P2545" s="628">
        <f t="shared" si="7531"/>
        <v>25.05556060572815</v>
      </c>
      <c r="Q2545" s="628">
        <f t="shared" si="7404"/>
        <v>25.05556060572815</v>
      </c>
    </row>
    <row r="2546" spans="1:17" ht="15.75" hidden="1" thickBot="1">
      <c r="A2546" s="390" t="str">
        <f>A2545</f>
        <v>PBSe</v>
      </c>
      <c r="B2546" s="391" t="str">
        <f>B2545</f>
        <v>film</v>
      </c>
      <c r="C2546" s="391">
        <f t="shared" ref="C2546:G2546" si="7594">C2545</f>
        <v>2</v>
      </c>
      <c r="D2546" s="391" t="str">
        <f t="shared" si="7594"/>
        <v>0,1-1</v>
      </c>
      <c r="E2546" s="391">
        <f t="shared" si="7594"/>
        <v>1</v>
      </c>
      <c r="F2546" s="391" t="str">
        <f t="shared" si="7594"/>
        <v>soil</v>
      </c>
      <c r="G2546" s="392" t="str">
        <f t="shared" si="7594"/>
        <v>DE: PBSe film 0,1-1 mm (emission to soil)</v>
      </c>
      <c r="H2546" s="465">
        <v>0</v>
      </c>
      <c r="I2546" s="394" t="s">
        <v>1097</v>
      </c>
      <c r="J2546" s="632"/>
      <c r="K2546" s="395">
        <v>2.9614427292656194</v>
      </c>
      <c r="L2546" s="537"/>
      <c r="M2546" s="509">
        <f t="shared" si="7460"/>
        <v>168.83662650602409</v>
      </c>
      <c r="N2546" s="646"/>
      <c r="O2546" s="626"/>
      <c r="P2546" s="629"/>
      <c r="Q2546" s="629"/>
    </row>
    <row r="2547" spans="1:17" ht="15.75" hidden="1" thickBot="1">
      <c r="A2547" s="390" t="str">
        <f t="shared" ref="A2547:G2547" si="7595">A2546</f>
        <v>PBSe</v>
      </c>
      <c r="B2547" s="391" t="str">
        <f t="shared" si="7595"/>
        <v>film</v>
      </c>
      <c r="C2547" s="391">
        <f t="shared" si="7595"/>
        <v>2</v>
      </c>
      <c r="D2547" s="391" t="str">
        <f t="shared" si="7595"/>
        <v>0,1-1</v>
      </c>
      <c r="E2547" s="391">
        <f t="shared" si="7595"/>
        <v>1</v>
      </c>
      <c r="F2547" s="391" t="str">
        <f t="shared" si="7595"/>
        <v>soil</v>
      </c>
      <c r="G2547" s="392" t="str">
        <f t="shared" si="7595"/>
        <v>DE: PBSe film 0,1-1 mm (emission to soil)</v>
      </c>
      <c r="H2547" s="465">
        <v>2.7E-2</v>
      </c>
      <c r="I2547" s="394" t="s">
        <v>1162</v>
      </c>
      <c r="J2547" s="632"/>
      <c r="K2547" s="395">
        <v>2.5099999999999998</v>
      </c>
      <c r="L2547" s="537"/>
      <c r="M2547" s="509">
        <f t="shared" si="7460"/>
        <v>199.20318725099602</v>
      </c>
      <c r="N2547" s="646"/>
      <c r="O2547" s="626"/>
      <c r="P2547" s="629"/>
      <c r="Q2547" s="629"/>
    </row>
    <row r="2548" spans="1:17" ht="15.75" hidden="1" thickBot="1">
      <c r="A2548" s="390" t="str">
        <f t="shared" ref="A2548:G2548" si="7596">A2547</f>
        <v>PBSe</v>
      </c>
      <c r="B2548" s="391" t="str">
        <f t="shared" si="7596"/>
        <v>film</v>
      </c>
      <c r="C2548" s="391">
        <f t="shared" si="7596"/>
        <v>2</v>
      </c>
      <c r="D2548" s="391" t="str">
        <f t="shared" si="7596"/>
        <v>0,1-1</v>
      </c>
      <c r="E2548" s="391">
        <f t="shared" si="7596"/>
        <v>1</v>
      </c>
      <c r="F2548" s="391" t="str">
        <f t="shared" si="7596"/>
        <v>soil</v>
      </c>
      <c r="G2548" s="392" t="str">
        <f t="shared" si="7596"/>
        <v>DE: PBSe film 0,1-1 mm (emission to soil)</v>
      </c>
      <c r="H2548" s="465">
        <v>3.0000000000000001E-3</v>
      </c>
      <c r="I2548" s="394" t="s">
        <v>1146</v>
      </c>
      <c r="J2548" s="632"/>
      <c r="K2548" s="395">
        <v>2.5099999999999998</v>
      </c>
      <c r="L2548" s="537"/>
      <c r="M2548" s="509">
        <f t="shared" si="7460"/>
        <v>199.20318725099602</v>
      </c>
      <c r="N2548" s="646"/>
      <c r="O2548" s="626"/>
      <c r="P2548" s="629"/>
      <c r="Q2548" s="629"/>
    </row>
    <row r="2549" spans="1:17" ht="15.75" hidden="1" thickBot="1">
      <c r="A2549" s="390" t="str">
        <f>A2546</f>
        <v>PBSe</v>
      </c>
      <c r="B2549" s="391" t="str">
        <f>B2546</f>
        <v>film</v>
      </c>
      <c r="C2549" s="391">
        <f t="shared" ref="C2549" si="7597">C2548</f>
        <v>2</v>
      </c>
      <c r="D2549" s="391" t="str">
        <f>D2546</f>
        <v>0,1-1</v>
      </c>
      <c r="E2549" s="391">
        <f>E2546</f>
        <v>1</v>
      </c>
      <c r="F2549" s="391" t="str">
        <f>F2546</f>
        <v>soil</v>
      </c>
      <c r="G2549" s="396" t="str">
        <f t="shared" ref="G2549" si="7598">G2548</f>
        <v>DE: PBSe film 0,1-1 mm (emission to soil)</v>
      </c>
      <c r="H2549" s="465">
        <v>0</v>
      </c>
      <c r="I2549" s="397" t="s">
        <v>1034</v>
      </c>
      <c r="J2549" s="633"/>
      <c r="K2549" s="398" t="s">
        <v>596</v>
      </c>
      <c r="L2549" s="538"/>
      <c r="M2549" s="509">
        <f t="shared" si="7460"/>
        <v>0</v>
      </c>
      <c r="N2549" s="647"/>
      <c r="O2549" s="627"/>
      <c r="P2549" s="629"/>
      <c r="Q2549" s="629"/>
    </row>
    <row r="2550" spans="1:17" ht="15.75" hidden="1" thickBot="1">
      <c r="A2550" s="390" t="str">
        <f t="shared" ref="A2550:B2550" si="7599">A2547</f>
        <v>PBSe</v>
      </c>
      <c r="B2550" s="391" t="str">
        <f t="shared" si="7599"/>
        <v>film</v>
      </c>
      <c r="C2550" s="391">
        <f t="shared" ref="C2550" si="7600">C2549</f>
        <v>2</v>
      </c>
      <c r="D2550" s="399" t="str">
        <f t="shared" ref="D2550:E2550" si="7601">D2547</f>
        <v>0,1-1</v>
      </c>
      <c r="E2550" s="391">
        <f t="shared" si="7601"/>
        <v>1</v>
      </c>
      <c r="F2550" s="400" t="s">
        <v>1147</v>
      </c>
      <c r="G2550" s="386" t="str">
        <f>CONCATENATE("DE: ",A2550," ",B2550," ",D2550," mm (emission to ",F2550,")")</f>
        <v>DE: PBSe film 0,1-1 mm (emission to fresh water)</v>
      </c>
      <c r="H2550" s="466">
        <v>0</v>
      </c>
      <c r="I2550" s="388" t="s">
        <v>1153</v>
      </c>
      <c r="J2550" s="634">
        <v>0.22800000000000001</v>
      </c>
      <c r="K2550" s="389">
        <v>25.42</v>
      </c>
      <c r="L2550" s="536"/>
      <c r="M2550" s="509">
        <f t="shared" si="7460"/>
        <v>19.669551534225018</v>
      </c>
      <c r="N2550" s="645">
        <f t="shared" si="7451"/>
        <v>199.20318725099602</v>
      </c>
      <c r="O2550" s="625"/>
      <c r="P2550" s="628">
        <f t="shared" si="7531"/>
        <v>100</v>
      </c>
      <c r="Q2550" s="628">
        <f t="shared" ref="Q2550:Q2610" si="7602">IFERROR(IF(H2550*M2550+H2551*M2551+H2552*M2552+H2553*M2553+H2554*M2554&gt;500,500,H2550*M2550+H2551*M2551+H2552*M2552+H2553*M2553+H2554*M2554),"N.A.")</f>
        <v>199.20318725099602</v>
      </c>
    </row>
    <row r="2551" spans="1:17" ht="15.75" hidden="1" thickBot="1">
      <c r="A2551" s="390" t="str">
        <f t="shared" ref="A2551:B2551" si="7603">A2548</f>
        <v>PBSe</v>
      </c>
      <c r="B2551" s="391" t="str">
        <f t="shared" si="7603"/>
        <v>film</v>
      </c>
      <c r="C2551" s="391">
        <f t="shared" ref="C2551" si="7604">C2550</f>
        <v>2</v>
      </c>
      <c r="D2551" s="391" t="str">
        <f t="shared" ref="D2551:E2551" si="7605">D2548</f>
        <v>0,1-1</v>
      </c>
      <c r="E2551" s="391">
        <f t="shared" si="7605"/>
        <v>1</v>
      </c>
      <c r="F2551" s="391" t="str">
        <f t="shared" ref="F2551:G2551" si="7606">F2550</f>
        <v>fresh water</v>
      </c>
      <c r="G2551" s="401" t="str">
        <f t="shared" si="7606"/>
        <v>DE: PBSe film 0,1-1 mm (emission to fresh water)</v>
      </c>
      <c r="H2551" s="465">
        <v>0</v>
      </c>
      <c r="I2551" s="394" t="s">
        <v>1097</v>
      </c>
      <c r="J2551" s="635"/>
      <c r="K2551" s="389">
        <v>2.9614427292656194</v>
      </c>
      <c r="L2551" s="536"/>
      <c r="M2551" s="509">
        <f t="shared" si="7460"/>
        <v>168.83662650602409</v>
      </c>
      <c r="N2551" s="646"/>
      <c r="O2551" s="626"/>
      <c r="P2551" s="629"/>
      <c r="Q2551" s="629"/>
    </row>
    <row r="2552" spans="1:17" ht="15.75" hidden="1" thickBot="1">
      <c r="A2552" s="390" t="str">
        <f t="shared" ref="A2552:B2552" si="7607">A2549</f>
        <v>PBSe</v>
      </c>
      <c r="B2552" s="391" t="str">
        <f t="shared" si="7607"/>
        <v>film</v>
      </c>
      <c r="C2552" s="391">
        <f t="shared" ref="C2552" si="7608">C2551</f>
        <v>2</v>
      </c>
      <c r="D2552" s="391" t="str">
        <f t="shared" ref="D2552:E2552" si="7609">D2549</f>
        <v>0,1-1</v>
      </c>
      <c r="E2552" s="391">
        <f t="shared" si="7609"/>
        <v>1</v>
      </c>
      <c r="F2552" s="391" t="str">
        <f t="shared" ref="F2552:G2552" si="7610">F2551</f>
        <v>fresh water</v>
      </c>
      <c r="G2552" s="401" t="str">
        <f t="shared" si="7610"/>
        <v>DE: PBSe film 0,1-1 mm (emission to fresh water)</v>
      </c>
      <c r="H2552" s="465">
        <v>0.89</v>
      </c>
      <c r="I2552" s="394" t="s">
        <v>1162</v>
      </c>
      <c r="J2552" s="635"/>
      <c r="K2552" s="389">
        <v>2.5099999999999998</v>
      </c>
      <c r="L2552" s="536"/>
      <c r="M2552" s="509">
        <f t="shared" si="7460"/>
        <v>199.20318725099602</v>
      </c>
      <c r="N2552" s="646"/>
      <c r="O2552" s="626"/>
      <c r="P2552" s="629"/>
      <c r="Q2552" s="629"/>
    </row>
    <row r="2553" spans="1:17" ht="15.75" hidden="1" thickBot="1">
      <c r="A2553" s="390" t="str">
        <f t="shared" ref="A2553:B2553" si="7611">A2550</f>
        <v>PBSe</v>
      </c>
      <c r="B2553" s="391" t="str">
        <f t="shared" si="7611"/>
        <v>film</v>
      </c>
      <c r="C2553" s="391">
        <f t="shared" ref="C2553" si="7612">C2552</f>
        <v>2</v>
      </c>
      <c r="D2553" s="391" t="str">
        <f t="shared" ref="D2553:E2553" si="7613">D2550</f>
        <v>0,1-1</v>
      </c>
      <c r="E2553" s="391">
        <f t="shared" si="7613"/>
        <v>1</v>
      </c>
      <c r="F2553" s="391" t="str">
        <f t="shared" ref="F2553:G2553" si="7614">F2552</f>
        <v>fresh water</v>
      </c>
      <c r="G2553" s="401" t="str">
        <f t="shared" si="7614"/>
        <v>DE: PBSe film 0,1-1 mm (emission to fresh water)</v>
      </c>
      <c r="H2553" s="465">
        <v>0.11</v>
      </c>
      <c r="I2553" s="394" t="s">
        <v>1146</v>
      </c>
      <c r="J2553" s="635"/>
      <c r="K2553" s="389">
        <v>2.5099999999999998</v>
      </c>
      <c r="L2553" s="536"/>
      <c r="M2553" s="509">
        <f t="shared" si="7460"/>
        <v>199.20318725099602</v>
      </c>
      <c r="N2553" s="646"/>
      <c r="O2553" s="626"/>
      <c r="P2553" s="629"/>
      <c r="Q2553" s="629"/>
    </row>
    <row r="2554" spans="1:17" ht="15.75" hidden="1" thickBot="1">
      <c r="A2554" s="390" t="str">
        <f t="shared" ref="A2554:B2554" si="7615">A2551</f>
        <v>PBSe</v>
      </c>
      <c r="B2554" s="391" t="str">
        <f t="shared" si="7615"/>
        <v>film</v>
      </c>
      <c r="C2554" s="391">
        <f t="shared" ref="C2554" si="7616">C2553</f>
        <v>2</v>
      </c>
      <c r="D2554" s="391" t="str">
        <f t="shared" ref="D2554:E2554" si="7617">D2551</f>
        <v>0,1-1</v>
      </c>
      <c r="E2554" s="391">
        <f t="shared" si="7617"/>
        <v>1</v>
      </c>
      <c r="F2554" s="402" t="str">
        <f>F2551</f>
        <v>fresh water</v>
      </c>
      <c r="G2554" s="401" t="str">
        <f t="shared" ref="G2554" si="7618">G2553</f>
        <v>DE: PBSe film 0,1-1 mm (emission to fresh water)</v>
      </c>
      <c r="H2554" s="465">
        <v>0</v>
      </c>
      <c r="I2554" s="397" t="s">
        <v>1034</v>
      </c>
      <c r="J2554" s="654"/>
      <c r="K2554" s="398" t="s">
        <v>596</v>
      </c>
      <c r="L2554" s="538"/>
      <c r="M2554" s="509">
        <f t="shared" si="7460"/>
        <v>0</v>
      </c>
      <c r="N2554" s="647"/>
      <c r="O2554" s="627"/>
      <c r="P2554" s="629"/>
      <c r="Q2554" s="629"/>
    </row>
    <row r="2555" spans="1:17" ht="15.75" hidden="1" thickBot="1">
      <c r="A2555" s="390" t="str">
        <f t="shared" ref="A2555:B2555" si="7619">A2552</f>
        <v>PBSe</v>
      </c>
      <c r="B2555" s="391" t="str">
        <f t="shared" si="7619"/>
        <v>film</v>
      </c>
      <c r="C2555" s="391">
        <f t="shared" ref="C2555" si="7620">C2554</f>
        <v>2</v>
      </c>
      <c r="D2555" s="391" t="str">
        <f t="shared" ref="D2555:E2555" si="7621">D2552</f>
        <v>0,1-1</v>
      </c>
      <c r="E2555" s="391">
        <f t="shared" si="7621"/>
        <v>1</v>
      </c>
      <c r="F2555" s="385" t="s">
        <v>1097</v>
      </c>
      <c r="G2555" s="422" t="str">
        <f>CONCATENATE("DE: ",A2555," ",B2555," ",D2555," mm (emission to ",F2555,")")</f>
        <v>DE: PBSe film 0,1-1 mm (emission to marine water)</v>
      </c>
      <c r="H2555" s="467">
        <v>0</v>
      </c>
      <c r="I2555" s="388" t="s">
        <v>1153</v>
      </c>
      <c r="J2555" s="634">
        <v>0.22800000000000001</v>
      </c>
      <c r="K2555" s="389">
        <v>25.42</v>
      </c>
      <c r="L2555" s="536"/>
      <c r="M2555" s="509">
        <f t="shared" si="7460"/>
        <v>19.669551534225018</v>
      </c>
      <c r="N2555" s="645">
        <f t="shared" si="7451"/>
        <v>199.20318725099602</v>
      </c>
      <c r="O2555" s="625"/>
      <c r="P2555" s="628">
        <f t="shared" si="7531"/>
        <v>100</v>
      </c>
      <c r="Q2555" s="628">
        <f t="shared" si="7602"/>
        <v>199.20318725099602</v>
      </c>
    </row>
    <row r="2556" spans="1:17" ht="15.75" hidden="1" thickBot="1">
      <c r="A2556" s="390" t="str">
        <f t="shared" ref="A2556:B2556" si="7622">A2553</f>
        <v>PBSe</v>
      </c>
      <c r="B2556" s="391" t="str">
        <f t="shared" si="7622"/>
        <v>film</v>
      </c>
      <c r="C2556" s="391">
        <f t="shared" ref="C2556" si="7623">C2555</f>
        <v>2</v>
      </c>
      <c r="D2556" s="391" t="str">
        <f t="shared" ref="D2556:E2556" si="7624">D2553</f>
        <v>0,1-1</v>
      </c>
      <c r="E2556" s="391">
        <f t="shared" si="7624"/>
        <v>1</v>
      </c>
      <c r="F2556" s="391" t="str">
        <f t="shared" ref="F2556:G2556" si="7625">F2555</f>
        <v>marine water</v>
      </c>
      <c r="G2556" s="401" t="str">
        <f t="shared" si="7625"/>
        <v>DE: PBSe film 0,1-1 mm (emission to marine water)</v>
      </c>
      <c r="H2556" s="465">
        <v>0</v>
      </c>
      <c r="I2556" s="394" t="s">
        <v>1097</v>
      </c>
      <c r="J2556" s="635"/>
      <c r="K2556" s="389">
        <v>2.9614427292656194</v>
      </c>
      <c r="L2556" s="536"/>
      <c r="M2556" s="509">
        <f t="shared" si="7460"/>
        <v>168.83662650602409</v>
      </c>
      <c r="N2556" s="646"/>
      <c r="O2556" s="626"/>
      <c r="P2556" s="629"/>
      <c r="Q2556" s="629"/>
    </row>
    <row r="2557" spans="1:17" ht="15.75" hidden="1" thickBot="1">
      <c r="A2557" s="390" t="str">
        <f t="shared" ref="A2557:B2557" si="7626">A2554</f>
        <v>PBSe</v>
      </c>
      <c r="B2557" s="391" t="str">
        <f t="shared" si="7626"/>
        <v>film</v>
      </c>
      <c r="C2557" s="391">
        <f t="shared" ref="C2557" si="7627">C2556</f>
        <v>2</v>
      </c>
      <c r="D2557" s="391" t="str">
        <f t="shared" ref="D2557:E2557" si="7628">D2554</f>
        <v>0,1-1</v>
      </c>
      <c r="E2557" s="391">
        <f t="shared" si="7628"/>
        <v>1</v>
      </c>
      <c r="F2557" s="391" t="str">
        <f t="shared" ref="F2557:G2557" si="7629">F2556</f>
        <v>marine water</v>
      </c>
      <c r="G2557" s="401" t="str">
        <f t="shared" si="7629"/>
        <v>DE: PBSe film 0,1-1 mm (emission to marine water)</v>
      </c>
      <c r="H2557" s="465">
        <v>0</v>
      </c>
      <c r="I2557" s="394" t="s">
        <v>1162</v>
      </c>
      <c r="J2557" s="635"/>
      <c r="K2557" s="389">
        <v>2.5099999999999998</v>
      </c>
      <c r="L2557" s="536"/>
      <c r="M2557" s="509">
        <f t="shared" si="7460"/>
        <v>199.20318725099602</v>
      </c>
      <c r="N2557" s="646"/>
      <c r="O2557" s="626"/>
      <c r="P2557" s="629"/>
      <c r="Q2557" s="629"/>
    </row>
    <row r="2558" spans="1:17" ht="15.75" hidden="1" thickBot="1">
      <c r="A2558" s="390" t="str">
        <f t="shared" ref="A2558:B2558" si="7630">A2555</f>
        <v>PBSe</v>
      </c>
      <c r="B2558" s="391" t="str">
        <f t="shared" si="7630"/>
        <v>film</v>
      </c>
      <c r="C2558" s="391">
        <f t="shared" ref="C2558" si="7631">C2557</f>
        <v>2</v>
      </c>
      <c r="D2558" s="391" t="str">
        <f t="shared" ref="D2558:E2558" si="7632">D2555</f>
        <v>0,1-1</v>
      </c>
      <c r="E2558" s="391">
        <f t="shared" si="7632"/>
        <v>1</v>
      </c>
      <c r="F2558" s="391" t="str">
        <f t="shared" ref="F2558:G2558" si="7633">F2557</f>
        <v>marine water</v>
      </c>
      <c r="G2558" s="401" t="str">
        <f t="shared" si="7633"/>
        <v>DE: PBSe film 0,1-1 mm (emission to marine water)</v>
      </c>
      <c r="H2558" s="465">
        <v>1</v>
      </c>
      <c r="I2558" s="394" t="s">
        <v>1146</v>
      </c>
      <c r="J2558" s="635"/>
      <c r="K2558" s="389">
        <v>2.5099999999999998</v>
      </c>
      <c r="L2558" s="536"/>
      <c r="M2558" s="509">
        <f t="shared" si="7460"/>
        <v>199.20318725099602</v>
      </c>
      <c r="N2558" s="646"/>
      <c r="O2558" s="626"/>
      <c r="P2558" s="629"/>
      <c r="Q2558" s="629"/>
    </row>
    <row r="2559" spans="1:17" ht="15.75" hidden="1" thickBot="1">
      <c r="A2559" s="390" t="str">
        <f t="shared" ref="A2559:B2559" si="7634">A2556</f>
        <v>PBSe</v>
      </c>
      <c r="B2559" s="391" t="str">
        <f t="shared" si="7634"/>
        <v>film</v>
      </c>
      <c r="C2559" s="391">
        <f t="shared" ref="C2559" si="7635">C2558</f>
        <v>2</v>
      </c>
      <c r="D2559" s="391" t="str">
        <f t="shared" ref="D2559:E2559" si="7636">D2556</f>
        <v>0,1-1</v>
      </c>
      <c r="E2559" s="391">
        <f t="shared" si="7636"/>
        <v>1</v>
      </c>
      <c r="F2559" s="391" t="str">
        <f t="shared" ref="F2559:G2559" si="7637">F2558</f>
        <v>marine water</v>
      </c>
      <c r="G2559" s="401" t="str">
        <f t="shared" si="7637"/>
        <v>DE: PBSe film 0,1-1 mm (emission to marine water)</v>
      </c>
      <c r="H2559" s="465">
        <v>0</v>
      </c>
      <c r="I2559" s="397" t="s">
        <v>1034</v>
      </c>
      <c r="J2559" s="654"/>
      <c r="K2559" s="398" t="s">
        <v>596</v>
      </c>
      <c r="L2559" s="538"/>
      <c r="M2559" s="509">
        <f t="shared" si="7460"/>
        <v>0</v>
      </c>
      <c r="N2559" s="647"/>
      <c r="O2559" s="627"/>
      <c r="P2559" s="629"/>
      <c r="Q2559" s="629"/>
    </row>
    <row r="2560" spans="1:17" ht="15.75" hidden="1" thickBot="1">
      <c r="A2560" s="390" t="str">
        <f t="shared" ref="A2560:B2560" si="7638">A2557</f>
        <v>PBSe</v>
      </c>
      <c r="B2560" s="391" t="str">
        <f t="shared" si="7638"/>
        <v>film</v>
      </c>
      <c r="C2560" s="391">
        <f t="shared" ref="C2560" si="7639">C2559</f>
        <v>2</v>
      </c>
      <c r="D2560" s="391" t="str">
        <f t="shared" ref="D2560:E2560" si="7640">D2557</f>
        <v>0,1-1</v>
      </c>
      <c r="E2560" s="391">
        <f t="shared" si="7640"/>
        <v>1</v>
      </c>
      <c r="F2560" s="400" t="s">
        <v>1057</v>
      </c>
      <c r="G2560" s="422" t="str">
        <f>CONCATENATE("DE: ",A2560," ",B2560," ",D2560," mm (emission to ",F2560,")")</f>
        <v>DE: PBSe film 0,1-1 mm (emission to air)</v>
      </c>
      <c r="H2560" s="467">
        <v>0.94799999999999995</v>
      </c>
      <c r="I2560" s="388" t="s">
        <v>1153</v>
      </c>
      <c r="J2560" s="634">
        <v>0.22800000000000001</v>
      </c>
      <c r="K2560" s="389">
        <v>25.42</v>
      </c>
      <c r="L2560" s="536"/>
      <c r="M2560" s="509">
        <f t="shared" si="7460"/>
        <v>19.669551534225018</v>
      </c>
      <c r="N2560" s="645">
        <f t="shared" si="7451"/>
        <v>29.005300591497111</v>
      </c>
      <c r="O2560" s="625"/>
      <c r="P2560" s="628">
        <f t="shared" si="7531"/>
        <v>29.005300591497111</v>
      </c>
      <c r="Q2560" s="628">
        <f t="shared" si="7602"/>
        <v>29.005300591497111</v>
      </c>
    </row>
    <row r="2561" spans="1:17" ht="15.75" hidden="1" thickBot="1">
      <c r="A2561" s="390" t="str">
        <f t="shared" ref="A2561:B2561" si="7641">A2558</f>
        <v>PBSe</v>
      </c>
      <c r="B2561" s="391" t="str">
        <f t="shared" si="7641"/>
        <v>film</v>
      </c>
      <c r="C2561" s="391">
        <f t="shared" ref="C2561" si="7642">C2560</f>
        <v>2</v>
      </c>
      <c r="D2561" s="391" t="str">
        <f t="shared" ref="D2561:E2561" si="7643">D2558</f>
        <v>0,1-1</v>
      </c>
      <c r="E2561" s="391">
        <f t="shared" si="7643"/>
        <v>1</v>
      </c>
      <c r="F2561" s="391" t="str">
        <f t="shared" ref="F2561:G2561" si="7644">F2560</f>
        <v>air</v>
      </c>
      <c r="G2561" s="401" t="str">
        <f t="shared" si="7644"/>
        <v>DE: PBSe film 0,1-1 mm (emission to air)</v>
      </c>
      <c r="H2561" s="465">
        <v>0</v>
      </c>
      <c r="I2561" s="394" t="s">
        <v>1097</v>
      </c>
      <c r="J2561" s="635"/>
      <c r="K2561" s="389">
        <v>2.9614427292656194</v>
      </c>
      <c r="L2561" s="536"/>
      <c r="M2561" s="509">
        <f t="shared" si="7460"/>
        <v>168.83662650602409</v>
      </c>
      <c r="N2561" s="646"/>
      <c r="O2561" s="626"/>
      <c r="P2561" s="629"/>
      <c r="Q2561" s="629"/>
    </row>
    <row r="2562" spans="1:17" ht="15.75" hidden="1" thickBot="1">
      <c r="A2562" s="390" t="str">
        <f t="shared" ref="A2562:B2562" si="7645">A2559</f>
        <v>PBSe</v>
      </c>
      <c r="B2562" s="391" t="str">
        <f t="shared" si="7645"/>
        <v>film</v>
      </c>
      <c r="C2562" s="391">
        <f t="shared" ref="C2562" si="7646">C2561</f>
        <v>2</v>
      </c>
      <c r="D2562" s="391" t="str">
        <f t="shared" ref="D2562:E2562" si="7647">D2559</f>
        <v>0,1-1</v>
      </c>
      <c r="E2562" s="391">
        <f t="shared" si="7647"/>
        <v>1</v>
      </c>
      <c r="F2562" s="391" t="str">
        <f t="shared" ref="F2562:G2562" si="7648">F2561</f>
        <v>air</v>
      </c>
      <c r="G2562" s="401" t="str">
        <f t="shared" si="7648"/>
        <v>DE: PBSe film 0,1-1 mm (emission to air)</v>
      </c>
      <c r="H2562" s="465">
        <v>4.7E-2</v>
      </c>
      <c r="I2562" s="394" t="s">
        <v>1162</v>
      </c>
      <c r="J2562" s="635"/>
      <c r="K2562" s="389">
        <v>2.5099999999999998</v>
      </c>
      <c r="L2562" s="536"/>
      <c r="M2562" s="509">
        <f t="shared" si="7460"/>
        <v>199.20318725099602</v>
      </c>
      <c r="N2562" s="646"/>
      <c r="O2562" s="626"/>
      <c r="P2562" s="629"/>
      <c r="Q2562" s="629"/>
    </row>
    <row r="2563" spans="1:17" ht="15.75" hidden="1" thickBot="1">
      <c r="A2563" s="390" t="str">
        <f t="shared" ref="A2563:B2563" si="7649">A2560</f>
        <v>PBSe</v>
      </c>
      <c r="B2563" s="391" t="str">
        <f t="shared" si="7649"/>
        <v>film</v>
      </c>
      <c r="C2563" s="391">
        <f t="shared" ref="C2563" si="7650">C2562</f>
        <v>2</v>
      </c>
      <c r="D2563" s="391" t="str">
        <f t="shared" ref="D2563:E2563" si="7651">D2560</f>
        <v>0,1-1</v>
      </c>
      <c r="E2563" s="391">
        <f t="shared" si="7651"/>
        <v>1</v>
      </c>
      <c r="F2563" s="391" t="str">
        <f t="shared" ref="F2563:G2563" si="7652">F2562</f>
        <v>air</v>
      </c>
      <c r="G2563" s="401" t="str">
        <f t="shared" si="7652"/>
        <v>DE: PBSe film 0,1-1 mm (emission to air)</v>
      </c>
      <c r="H2563" s="465">
        <v>5.0000000000000001E-3</v>
      </c>
      <c r="I2563" s="394" t="s">
        <v>1146</v>
      </c>
      <c r="J2563" s="635"/>
      <c r="K2563" s="389">
        <v>2.5099999999999998</v>
      </c>
      <c r="L2563" s="536"/>
      <c r="M2563" s="509">
        <f t="shared" si="7460"/>
        <v>199.20318725099602</v>
      </c>
      <c r="N2563" s="646"/>
      <c r="O2563" s="626"/>
      <c r="P2563" s="629"/>
      <c r="Q2563" s="629"/>
    </row>
    <row r="2564" spans="1:17" ht="15.75" hidden="1" thickBot="1">
      <c r="A2564" s="452" t="str">
        <f t="shared" ref="A2564:B2564" si="7653">A2559</f>
        <v>PBSe</v>
      </c>
      <c r="B2564" s="453" t="str">
        <f t="shared" si="7653"/>
        <v>film</v>
      </c>
      <c r="C2564" s="453">
        <f t="shared" ref="C2564" si="7654">C2563</f>
        <v>2</v>
      </c>
      <c r="D2564" s="453" t="str">
        <f t="shared" ref="D2564:E2564" si="7655">D2559</f>
        <v>0,1-1</v>
      </c>
      <c r="E2564" s="453">
        <f t="shared" si="7655"/>
        <v>1</v>
      </c>
      <c r="F2564" s="453" t="str">
        <f t="shared" ref="F2564:G2564" si="7656">F2563</f>
        <v>air</v>
      </c>
      <c r="G2564" s="454" t="str">
        <f t="shared" si="7656"/>
        <v>DE: PBSe film 0,1-1 mm (emission to air)</v>
      </c>
      <c r="H2564" s="473">
        <v>0</v>
      </c>
      <c r="I2564" s="456" t="s">
        <v>1034</v>
      </c>
      <c r="J2564" s="636"/>
      <c r="K2564" s="457" t="s">
        <v>596</v>
      </c>
      <c r="L2564" s="543"/>
      <c r="M2564" s="509">
        <f t="shared" si="7460"/>
        <v>0</v>
      </c>
      <c r="N2564" s="647"/>
      <c r="O2564" s="627"/>
      <c r="P2564" s="629"/>
      <c r="Q2564" s="629"/>
    </row>
    <row r="2565" spans="1:17" ht="15.75" hidden="1" thickBot="1">
      <c r="A2565" s="381" t="s">
        <v>1078</v>
      </c>
      <c r="B2565" s="382" t="s">
        <v>996</v>
      </c>
      <c r="C2565" s="383">
        <f>IF(OR(B2565="Folie", B2565="Strips", B2565="Film",B2565="Flakes",B2565="Coupon"), 2,IF(OR(B2565="Fibers",B2565="Pellets"),4,IF(OR(B2565="Particles",B2565="Shreds",B2565="Powder",B2565="Fragments",B2565="Granules"),6,"")))</f>
        <v>2</v>
      </c>
      <c r="D2565" s="475" t="s">
        <v>1026</v>
      </c>
      <c r="E2565" s="384">
        <v>10</v>
      </c>
      <c r="F2565" s="385" t="s">
        <v>1019</v>
      </c>
      <c r="G2565" s="386" t="str">
        <f>CONCATENATE("DE: ",A2565," ",B2565," ",D2565," mm (emission to ",F2565,")")</f>
        <v>DE: PBSe film 1-10 mm (emission to soil)</v>
      </c>
      <c r="H2565" s="466">
        <v>0.97</v>
      </c>
      <c r="I2565" s="388" t="s">
        <v>1153</v>
      </c>
      <c r="J2565" s="632">
        <v>0.22800000000000001</v>
      </c>
      <c r="K2565" s="389">
        <v>25.42</v>
      </c>
      <c r="L2565" s="536"/>
      <c r="M2565" s="509">
        <f t="shared" si="7460"/>
        <v>196.69551534225019</v>
      </c>
      <c r="N2565" s="645">
        <f t="shared" ref="N2565:N2625" si="7657">IFERROR(H2565*M2565+H2566*M2566+H2567*M2567+H2568*M2568+H2569*M2569,"N.A.")</f>
        <v>220.79464988198268</v>
      </c>
      <c r="O2565" s="625"/>
      <c r="P2565" s="628">
        <f t="shared" si="7531"/>
        <v>100</v>
      </c>
      <c r="Q2565" s="628">
        <f t="shared" si="7602"/>
        <v>220.79464988198268</v>
      </c>
    </row>
    <row r="2566" spans="1:17" ht="15.75" hidden="1" thickBot="1">
      <c r="A2566" s="390" t="str">
        <f>A2565</f>
        <v>PBSe</v>
      </c>
      <c r="B2566" s="391" t="str">
        <f>B2565</f>
        <v>film</v>
      </c>
      <c r="C2566" s="391">
        <f t="shared" ref="C2566:G2566" si="7658">C2565</f>
        <v>2</v>
      </c>
      <c r="D2566" s="391" t="str">
        <f t="shared" si="7658"/>
        <v>1-10</v>
      </c>
      <c r="E2566" s="391">
        <f t="shared" si="7658"/>
        <v>10</v>
      </c>
      <c r="F2566" s="391" t="str">
        <f t="shared" si="7658"/>
        <v>soil</v>
      </c>
      <c r="G2566" s="392" t="str">
        <f t="shared" si="7658"/>
        <v>DE: PBSe film 1-10 mm (emission to soil)</v>
      </c>
      <c r="H2566" s="465">
        <v>0</v>
      </c>
      <c r="I2566" s="394" t="s">
        <v>1097</v>
      </c>
      <c r="J2566" s="632"/>
      <c r="K2566" s="395">
        <v>2.9614427292656194</v>
      </c>
      <c r="L2566" s="537"/>
      <c r="M2566" s="509">
        <f t="shared" ref="M2566:M2629" si="7659">IFERROR(IF(K2566="--",0,IF(E2566*1000/K2566*(1-0.5)^(C2566/2)&gt;1000,1000,E2566*1000/K2566*(1-0.5)^(C2566/2))),1000)</f>
        <v>1000</v>
      </c>
      <c r="N2566" s="646"/>
      <c r="O2566" s="626"/>
      <c r="P2566" s="629"/>
      <c r="Q2566" s="629"/>
    </row>
    <row r="2567" spans="1:17" ht="15.75" hidden="1" thickBot="1">
      <c r="A2567" s="390" t="str">
        <f t="shared" ref="A2567:G2567" si="7660">A2566</f>
        <v>PBSe</v>
      </c>
      <c r="B2567" s="391" t="str">
        <f t="shared" si="7660"/>
        <v>film</v>
      </c>
      <c r="C2567" s="391">
        <f t="shared" si="7660"/>
        <v>2</v>
      </c>
      <c r="D2567" s="391" t="str">
        <f t="shared" si="7660"/>
        <v>1-10</v>
      </c>
      <c r="E2567" s="391">
        <f t="shared" si="7660"/>
        <v>10</v>
      </c>
      <c r="F2567" s="391" t="str">
        <f t="shared" si="7660"/>
        <v>soil</v>
      </c>
      <c r="G2567" s="392" t="str">
        <f t="shared" si="7660"/>
        <v>DE: PBSe film 1-10 mm (emission to soil)</v>
      </c>
      <c r="H2567" s="465">
        <v>2.7E-2</v>
      </c>
      <c r="I2567" s="394" t="s">
        <v>1162</v>
      </c>
      <c r="J2567" s="632"/>
      <c r="K2567" s="395">
        <v>2.5099999999999998</v>
      </c>
      <c r="L2567" s="537"/>
      <c r="M2567" s="509">
        <f t="shared" si="7659"/>
        <v>1000</v>
      </c>
      <c r="N2567" s="646"/>
      <c r="O2567" s="626"/>
      <c r="P2567" s="629"/>
      <c r="Q2567" s="629"/>
    </row>
    <row r="2568" spans="1:17" ht="15.75" hidden="1" thickBot="1">
      <c r="A2568" s="390" t="str">
        <f t="shared" ref="A2568:G2568" si="7661">A2567</f>
        <v>PBSe</v>
      </c>
      <c r="B2568" s="391" t="str">
        <f t="shared" si="7661"/>
        <v>film</v>
      </c>
      <c r="C2568" s="391">
        <f t="shared" si="7661"/>
        <v>2</v>
      </c>
      <c r="D2568" s="391" t="str">
        <f t="shared" si="7661"/>
        <v>1-10</v>
      </c>
      <c r="E2568" s="391">
        <f t="shared" si="7661"/>
        <v>10</v>
      </c>
      <c r="F2568" s="391" t="str">
        <f t="shared" si="7661"/>
        <v>soil</v>
      </c>
      <c r="G2568" s="392" t="str">
        <f t="shared" si="7661"/>
        <v>DE: PBSe film 1-10 mm (emission to soil)</v>
      </c>
      <c r="H2568" s="465">
        <v>3.0000000000000001E-3</v>
      </c>
      <c r="I2568" s="394" t="s">
        <v>1146</v>
      </c>
      <c r="J2568" s="632"/>
      <c r="K2568" s="395">
        <v>2.5099999999999998</v>
      </c>
      <c r="L2568" s="537"/>
      <c r="M2568" s="509">
        <f t="shared" si="7659"/>
        <v>1000</v>
      </c>
      <c r="N2568" s="646"/>
      <c r="O2568" s="626"/>
      <c r="P2568" s="629"/>
      <c r="Q2568" s="629"/>
    </row>
    <row r="2569" spans="1:17" ht="15.75" hidden="1" thickBot="1">
      <c r="A2569" s="390" t="str">
        <f>A2566</f>
        <v>PBSe</v>
      </c>
      <c r="B2569" s="391" t="str">
        <f>B2566</f>
        <v>film</v>
      </c>
      <c r="C2569" s="391">
        <f t="shared" ref="C2569" si="7662">C2568</f>
        <v>2</v>
      </c>
      <c r="D2569" s="391" t="str">
        <f>D2566</f>
        <v>1-10</v>
      </c>
      <c r="E2569" s="391">
        <f>E2566</f>
        <v>10</v>
      </c>
      <c r="F2569" s="391" t="str">
        <f>F2566</f>
        <v>soil</v>
      </c>
      <c r="G2569" s="396" t="str">
        <f t="shared" ref="G2569" si="7663">G2568</f>
        <v>DE: PBSe film 1-10 mm (emission to soil)</v>
      </c>
      <c r="H2569" s="465">
        <v>0</v>
      </c>
      <c r="I2569" s="397" t="s">
        <v>1034</v>
      </c>
      <c r="J2569" s="633"/>
      <c r="K2569" s="398" t="s">
        <v>596</v>
      </c>
      <c r="L2569" s="538"/>
      <c r="M2569" s="509">
        <f t="shared" si="7659"/>
        <v>0</v>
      </c>
      <c r="N2569" s="647"/>
      <c r="O2569" s="627"/>
      <c r="P2569" s="629"/>
      <c r="Q2569" s="629"/>
    </row>
    <row r="2570" spans="1:17" ht="15.75" hidden="1" thickBot="1">
      <c r="A2570" s="390" t="str">
        <f t="shared" ref="A2570:B2570" si="7664">A2567</f>
        <v>PBSe</v>
      </c>
      <c r="B2570" s="391" t="str">
        <f t="shared" si="7664"/>
        <v>film</v>
      </c>
      <c r="C2570" s="391">
        <f t="shared" ref="C2570" si="7665">C2569</f>
        <v>2</v>
      </c>
      <c r="D2570" s="399" t="str">
        <f t="shared" ref="D2570:E2570" si="7666">D2567</f>
        <v>1-10</v>
      </c>
      <c r="E2570" s="391">
        <f t="shared" si="7666"/>
        <v>10</v>
      </c>
      <c r="F2570" s="400" t="s">
        <v>1147</v>
      </c>
      <c r="G2570" s="386" t="str">
        <f>CONCATENATE("DE: ",A2570," ",B2570," ",D2570," mm (emission to ",F2570,")")</f>
        <v>DE: PBSe film 1-10 mm (emission to fresh water)</v>
      </c>
      <c r="H2570" s="466">
        <v>0</v>
      </c>
      <c r="I2570" s="388" t="s">
        <v>1153</v>
      </c>
      <c r="J2570" s="634">
        <v>0.22800000000000001</v>
      </c>
      <c r="K2570" s="389">
        <v>25.42</v>
      </c>
      <c r="L2570" s="536"/>
      <c r="M2570" s="509">
        <f t="shared" si="7659"/>
        <v>196.69551534225019</v>
      </c>
      <c r="N2570" s="645">
        <f t="shared" si="7657"/>
        <v>1000</v>
      </c>
      <c r="O2570" s="625"/>
      <c r="P2570" s="628">
        <f t="shared" si="7531"/>
        <v>100</v>
      </c>
      <c r="Q2570" s="628">
        <f t="shared" si="7602"/>
        <v>500</v>
      </c>
    </row>
    <row r="2571" spans="1:17" ht="15.75" hidden="1" thickBot="1">
      <c r="A2571" s="390" t="str">
        <f t="shared" ref="A2571:B2571" si="7667">A2568</f>
        <v>PBSe</v>
      </c>
      <c r="B2571" s="391" t="str">
        <f t="shared" si="7667"/>
        <v>film</v>
      </c>
      <c r="C2571" s="391">
        <f t="shared" ref="C2571" si="7668">C2570</f>
        <v>2</v>
      </c>
      <c r="D2571" s="391" t="str">
        <f t="shared" ref="D2571:E2571" si="7669">D2568</f>
        <v>1-10</v>
      </c>
      <c r="E2571" s="391">
        <f t="shared" si="7669"/>
        <v>10</v>
      </c>
      <c r="F2571" s="391" t="str">
        <f t="shared" ref="F2571:G2571" si="7670">F2570</f>
        <v>fresh water</v>
      </c>
      <c r="G2571" s="401" t="str">
        <f t="shared" si="7670"/>
        <v>DE: PBSe film 1-10 mm (emission to fresh water)</v>
      </c>
      <c r="H2571" s="465">
        <v>0</v>
      </c>
      <c r="I2571" s="394" t="s">
        <v>1097</v>
      </c>
      <c r="J2571" s="635"/>
      <c r="K2571" s="389">
        <v>2.9614427292656194</v>
      </c>
      <c r="L2571" s="536"/>
      <c r="M2571" s="509">
        <f t="shared" si="7659"/>
        <v>1000</v>
      </c>
      <c r="N2571" s="646"/>
      <c r="O2571" s="626"/>
      <c r="P2571" s="629"/>
      <c r="Q2571" s="629"/>
    </row>
    <row r="2572" spans="1:17" ht="15.75" hidden="1" thickBot="1">
      <c r="A2572" s="390" t="str">
        <f t="shared" ref="A2572:B2572" si="7671">A2569</f>
        <v>PBSe</v>
      </c>
      <c r="B2572" s="391" t="str">
        <f t="shared" si="7671"/>
        <v>film</v>
      </c>
      <c r="C2572" s="391">
        <f t="shared" ref="C2572" si="7672">C2571</f>
        <v>2</v>
      </c>
      <c r="D2572" s="391" t="str">
        <f t="shared" ref="D2572:E2572" si="7673">D2569</f>
        <v>1-10</v>
      </c>
      <c r="E2572" s="391">
        <f t="shared" si="7673"/>
        <v>10</v>
      </c>
      <c r="F2572" s="391" t="str">
        <f t="shared" ref="F2572:G2572" si="7674">F2571</f>
        <v>fresh water</v>
      </c>
      <c r="G2572" s="401" t="str">
        <f t="shared" si="7674"/>
        <v>DE: PBSe film 1-10 mm (emission to fresh water)</v>
      </c>
      <c r="H2572" s="465">
        <v>0.89</v>
      </c>
      <c r="I2572" s="394" t="s">
        <v>1162</v>
      </c>
      <c r="J2572" s="635"/>
      <c r="K2572" s="389">
        <v>2.5099999999999998</v>
      </c>
      <c r="L2572" s="536"/>
      <c r="M2572" s="509">
        <f t="shared" si="7659"/>
        <v>1000</v>
      </c>
      <c r="N2572" s="646"/>
      <c r="O2572" s="626"/>
      <c r="P2572" s="629"/>
      <c r="Q2572" s="629"/>
    </row>
    <row r="2573" spans="1:17" ht="15.75" hidden="1" thickBot="1">
      <c r="A2573" s="390" t="str">
        <f t="shared" ref="A2573:B2573" si="7675">A2570</f>
        <v>PBSe</v>
      </c>
      <c r="B2573" s="391" t="str">
        <f t="shared" si="7675"/>
        <v>film</v>
      </c>
      <c r="C2573" s="391">
        <f t="shared" ref="C2573" si="7676">C2572</f>
        <v>2</v>
      </c>
      <c r="D2573" s="391" t="str">
        <f t="shared" ref="D2573:E2573" si="7677">D2570</f>
        <v>1-10</v>
      </c>
      <c r="E2573" s="391">
        <f t="shared" si="7677"/>
        <v>10</v>
      </c>
      <c r="F2573" s="391" t="str">
        <f t="shared" ref="F2573:G2573" si="7678">F2572</f>
        <v>fresh water</v>
      </c>
      <c r="G2573" s="401" t="str">
        <f t="shared" si="7678"/>
        <v>DE: PBSe film 1-10 mm (emission to fresh water)</v>
      </c>
      <c r="H2573" s="465">
        <v>0.11</v>
      </c>
      <c r="I2573" s="394" t="s">
        <v>1146</v>
      </c>
      <c r="J2573" s="635"/>
      <c r="K2573" s="389">
        <v>2.5099999999999998</v>
      </c>
      <c r="L2573" s="536"/>
      <c r="M2573" s="509">
        <f t="shared" si="7659"/>
        <v>1000</v>
      </c>
      <c r="N2573" s="646"/>
      <c r="O2573" s="626"/>
      <c r="P2573" s="629"/>
      <c r="Q2573" s="629"/>
    </row>
    <row r="2574" spans="1:17" ht="15.75" hidden="1" thickBot="1">
      <c r="A2574" s="390" t="str">
        <f t="shared" ref="A2574:B2574" si="7679">A2571</f>
        <v>PBSe</v>
      </c>
      <c r="B2574" s="391" t="str">
        <f t="shared" si="7679"/>
        <v>film</v>
      </c>
      <c r="C2574" s="391">
        <f t="shared" ref="C2574" si="7680">C2573</f>
        <v>2</v>
      </c>
      <c r="D2574" s="391" t="str">
        <f t="shared" ref="D2574:E2574" si="7681">D2571</f>
        <v>1-10</v>
      </c>
      <c r="E2574" s="391">
        <f t="shared" si="7681"/>
        <v>10</v>
      </c>
      <c r="F2574" s="402" t="str">
        <f>F2571</f>
        <v>fresh water</v>
      </c>
      <c r="G2574" s="401" t="str">
        <f t="shared" ref="G2574" si="7682">G2573</f>
        <v>DE: PBSe film 1-10 mm (emission to fresh water)</v>
      </c>
      <c r="H2574" s="465">
        <v>0</v>
      </c>
      <c r="I2574" s="397" t="s">
        <v>1034</v>
      </c>
      <c r="J2574" s="654"/>
      <c r="K2574" s="398" t="s">
        <v>596</v>
      </c>
      <c r="L2574" s="538"/>
      <c r="M2574" s="509">
        <f t="shared" si="7659"/>
        <v>0</v>
      </c>
      <c r="N2574" s="647"/>
      <c r="O2574" s="627"/>
      <c r="P2574" s="629"/>
      <c r="Q2574" s="629"/>
    </row>
    <row r="2575" spans="1:17" ht="15.75" hidden="1" thickBot="1">
      <c r="A2575" s="390" t="str">
        <f t="shared" ref="A2575:B2575" si="7683">A2572</f>
        <v>PBSe</v>
      </c>
      <c r="B2575" s="391" t="str">
        <f t="shared" si="7683"/>
        <v>film</v>
      </c>
      <c r="C2575" s="391">
        <f t="shared" ref="C2575" si="7684">C2574</f>
        <v>2</v>
      </c>
      <c r="D2575" s="391" t="str">
        <f t="shared" ref="D2575:E2575" si="7685">D2572</f>
        <v>1-10</v>
      </c>
      <c r="E2575" s="391">
        <f t="shared" si="7685"/>
        <v>10</v>
      </c>
      <c r="F2575" s="385" t="s">
        <v>1097</v>
      </c>
      <c r="G2575" s="422" t="str">
        <f>CONCATENATE("DE: ",A2575," ",B2575," ",D2575," mm (emission to ",F2575,")")</f>
        <v>DE: PBSe film 1-10 mm (emission to marine water)</v>
      </c>
      <c r="H2575" s="467">
        <v>0</v>
      </c>
      <c r="I2575" s="388" t="s">
        <v>1153</v>
      </c>
      <c r="J2575" s="634">
        <v>0.22800000000000001</v>
      </c>
      <c r="K2575" s="389">
        <v>25.42</v>
      </c>
      <c r="L2575" s="536"/>
      <c r="M2575" s="509">
        <f t="shared" si="7659"/>
        <v>196.69551534225019</v>
      </c>
      <c r="N2575" s="645">
        <f t="shared" si="7657"/>
        <v>1000</v>
      </c>
      <c r="O2575" s="625"/>
      <c r="P2575" s="628">
        <f t="shared" si="7531"/>
        <v>100</v>
      </c>
      <c r="Q2575" s="628">
        <f t="shared" si="7602"/>
        <v>500</v>
      </c>
    </row>
    <row r="2576" spans="1:17" ht="15.75" hidden="1" thickBot="1">
      <c r="A2576" s="390" t="str">
        <f t="shared" ref="A2576:B2576" si="7686">A2573</f>
        <v>PBSe</v>
      </c>
      <c r="B2576" s="391" t="str">
        <f t="shared" si="7686"/>
        <v>film</v>
      </c>
      <c r="C2576" s="391">
        <f t="shared" ref="C2576" si="7687">C2575</f>
        <v>2</v>
      </c>
      <c r="D2576" s="391" t="str">
        <f t="shared" ref="D2576:E2576" si="7688">D2573</f>
        <v>1-10</v>
      </c>
      <c r="E2576" s="391">
        <f t="shared" si="7688"/>
        <v>10</v>
      </c>
      <c r="F2576" s="391" t="str">
        <f t="shared" ref="F2576:G2576" si="7689">F2575</f>
        <v>marine water</v>
      </c>
      <c r="G2576" s="401" t="str">
        <f t="shared" si="7689"/>
        <v>DE: PBSe film 1-10 mm (emission to marine water)</v>
      </c>
      <c r="H2576" s="465">
        <v>0</v>
      </c>
      <c r="I2576" s="394" t="s">
        <v>1097</v>
      </c>
      <c r="J2576" s="635"/>
      <c r="K2576" s="389">
        <v>2.9614427292656194</v>
      </c>
      <c r="L2576" s="536"/>
      <c r="M2576" s="509">
        <f t="shared" si="7659"/>
        <v>1000</v>
      </c>
      <c r="N2576" s="646"/>
      <c r="O2576" s="626"/>
      <c r="P2576" s="629"/>
      <c r="Q2576" s="629"/>
    </row>
    <row r="2577" spans="1:17" ht="15.75" hidden="1" thickBot="1">
      <c r="A2577" s="390" t="str">
        <f t="shared" ref="A2577:B2577" si="7690">A2574</f>
        <v>PBSe</v>
      </c>
      <c r="B2577" s="391" t="str">
        <f t="shared" si="7690"/>
        <v>film</v>
      </c>
      <c r="C2577" s="391">
        <f t="shared" ref="C2577" si="7691">C2576</f>
        <v>2</v>
      </c>
      <c r="D2577" s="391" t="str">
        <f t="shared" ref="D2577:E2577" si="7692">D2574</f>
        <v>1-10</v>
      </c>
      <c r="E2577" s="391">
        <f t="shared" si="7692"/>
        <v>10</v>
      </c>
      <c r="F2577" s="391" t="str">
        <f t="shared" ref="F2577:G2577" si="7693">F2576</f>
        <v>marine water</v>
      </c>
      <c r="G2577" s="401" t="str">
        <f t="shared" si="7693"/>
        <v>DE: PBSe film 1-10 mm (emission to marine water)</v>
      </c>
      <c r="H2577" s="465">
        <v>0</v>
      </c>
      <c r="I2577" s="394" t="s">
        <v>1162</v>
      </c>
      <c r="J2577" s="635"/>
      <c r="K2577" s="389">
        <v>2.5099999999999998</v>
      </c>
      <c r="L2577" s="536"/>
      <c r="M2577" s="509">
        <f t="shared" si="7659"/>
        <v>1000</v>
      </c>
      <c r="N2577" s="646"/>
      <c r="O2577" s="626"/>
      <c r="P2577" s="629"/>
      <c r="Q2577" s="629"/>
    </row>
    <row r="2578" spans="1:17" ht="15.75" hidden="1" thickBot="1">
      <c r="A2578" s="390" t="str">
        <f t="shared" ref="A2578:B2578" si="7694">A2575</f>
        <v>PBSe</v>
      </c>
      <c r="B2578" s="391" t="str">
        <f t="shared" si="7694"/>
        <v>film</v>
      </c>
      <c r="C2578" s="391">
        <f t="shared" ref="C2578" si="7695">C2577</f>
        <v>2</v>
      </c>
      <c r="D2578" s="391" t="str">
        <f t="shared" ref="D2578:E2578" si="7696">D2575</f>
        <v>1-10</v>
      </c>
      <c r="E2578" s="391">
        <f t="shared" si="7696"/>
        <v>10</v>
      </c>
      <c r="F2578" s="391" t="str">
        <f t="shared" ref="F2578:G2578" si="7697">F2577</f>
        <v>marine water</v>
      </c>
      <c r="G2578" s="401" t="str">
        <f t="shared" si="7697"/>
        <v>DE: PBSe film 1-10 mm (emission to marine water)</v>
      </c>
      <c r="H2578" s="465">
        <v>1</v>
      </c>
      <c r="I2578" s="394" t="s">
        <v>1146</v>
      </c>
      <c r="J2578" s="635"/>
      <c r="K2578" s="389">
        <v>2.5099999999999998</v>
      </c>
      <c r="L2578" s="536"/>
      <c r="M2578" s="509">
        <f t="shared" si="7659"/>
        <v>1000</v>
      </c>
      <c r="N2578" s="646"/>
      <c r="O2578" s="626"/>
      <c r="P2578" s="629"/>
      <c r="Q2578" s="629"/>
    </row>
    <row r="2579" spans="1:17" ht="15.75" hidden="1" thickBot="1">
      <c r="A2579" s="390" t="str">
        <f t="shared" ref="A2579:B2579" si="7698">A2576</f>
        <v>PBSe</v>
      </c>
      <c r="B2579" s="391" t="str">
        <f t="shared" si="7698"/>
        <v>film</v>
      </c>
      <c r="C2579" s="391">
        <f t="shared" ref="C2579" si="7699">C2578</f>
        <v>2</v>
      </c>
      <c r="D2579" s="391" t="str">
        <f t="shared" ref="D2579:E2579" si="7700">D2576</f>
        <v>1-10</v>
      </c>
      <c r="E2579" s="391">
        <f t="shared" si="7700"/>
        <v>10</v>
      </c>
      <c r="F2579" s="391" t="str">
        <f t="shared" ref="F2579:G2579" si="7701">F2578</f>
        <v>marine water</v>
      </c>
      <c r="G2579" s="401" t="str">
        <f t="shared" si="7701"/>
        <v>DE: PBSe film 1-10 mm (emission to marine water)</v>
      </c>
      <c r="H2579" s="465">
        <v>0</v>
      </c>
      <c r="I2579" s="397" t="s">
        <v>1034</v>
      </c>
      <c r="J2579" s="654"/>
      <c r="K2579" s="398" t="s">
        <v>596</v>
      </c>
      <c r="L2579" s="538"/>
      <c r="M2579" s="509">
        <f t="shared" si="7659"/>
        <v>0</v>
      </c>
      <c r="N2579" s="647"/>
      <c r="O2579" s="627"/>
      <c r="P2579" s="629"/>
      <c r="Q2579" s="629"/>
    </row>
    <row r="2580" spans="1:17" ht="15.75" hidden="1" thickBot="1">
      <c r="A2580" s="390" t="str">
        <f t="shared" ref="A2580:B2580" si="7702">A2577</f>
        <v>PBSe</v>
      </c>
      <c r="B2580" s="391" t="str">
        <f t="shared" si="7702"/>
        <v>film</v>
      </c>
      <c r="C2580" s="391">
        <f t="shared" ref="C2580" si="7703">C2579</f>
        <v>2</v>
      </c>
      <c r="D2580" s="391" t="str">
        <f t="shared" ref="D2580:E2580" si="7704">D2577</f>
        <v>1-10</v>
      </c>
      <c r="E2580" s="391">
        <f t="shared" si="7704"/>
        <v>10</v>
      </c>
      <c r="F2580" s="400" t="s">
        <v>1057</v>
      </c>
      <c r="G2580" s="422" t="str">
        <f>CONCATENATE("DE: ",A2580," ",B2580," ",D2580," mm (emission to ",F2580,")")</f>
        <v>DE: PBSe film 1-10 mm (emission to air)</v>
      </c>
      <c r="H2580" s="467">
        <v>0.94799999999999995</v>
      </c>
      <c r="I2580" s="388" t="s">
        <v>1153</v>
      </c>
      <c r="J2580" s="634">
        <v>0.22800000000000001</v>
      </c>
      <c r="K2580" s="389">
        <v>25.42</v>
      </c>
      <c r="L2580" s="536"/>
      <c r="M2580" s="509">
        <f t="shared" si="7659"/>
        <v>196.69551534225019</v>
      </c>
      <c r="N2580" s="645">
        <f t="shared" si="7657"/>
        <v>238.46734854445316</v>
      </c>
      <c r="O2580" s="625"/>
      <c r="P2580" s="628">
        <f t="shared" si="7531"/>
        <v>100</v>
      </c>
      <c r="Q2580" s="628">
        <f t="shared" si="7602"/>
        <v>238.46734854445316</v>
      </c>
    </row>
    <row r="2581" spans="1:17" ht="15.75" hidden="1" thickBot="1">
      <c r="A2581" s="390" t="str">
        <f t="shared" ref="A2581:B2581" si="7705">A2578</f>
        <v>PBSe</v>
      </c>
      <c r="B2581" s="391" t="str">
        <f t="shared" si="7705"/>
        <v>film</v>
      </c>
      <c r="C2581" s="391">
        <f t="shared" ref="C2581" si="7706">C2580</f>
        <v>2</v>
      </c>
      <c r="D2581" s="391" t="str">
        <f t="shared" ref="D2581:E2581" si="7707">D2578</f>
        <v>1-10</v>
      </c>
      <c r="E2581" s="391">
        <f t="shared" si="7707"/>
        <v>10</v>
      </c>
      <c r="F2581" s="391" t="str">
        <f t="shared" ref="F2581:G2581" si="7708">F2580</f>
        <v>air</v>
      </c>
      <c r="G2581" s="401" t="str">
        <f t="shared" si="7708"/>
        <v>DE: PBSe film 1-10 mm (emission to air)</v>
      </c>
      <c r="H2581" s="465">
        <v>0</v>
      </c>
      <c r="I2581" s="394" t="s">
        <v>1097</v>
      </c>
      <c r="J2581" s="635"/>
      <c r="K2581" s="389">
        <v>2.9614427292656194</v>
      </c>
      <c r="L2581" s="536"/>
      <c r="M2581" s="509">
        <f t="shared" si="7659"/>
        <v>1000</v>
      </c>
      <c r="N2581" s="646"/>
      <c r="O2581" s="626"/>
      <c r="P2581" s="629"/>
      <c r="Q2581" s="629"/>
    </row>
    <row r="2582" spans="1:17" ht="15.75" hidden="1" thickBot="1">
      <c r="A2582" s="390" t="str">
        <f t="shared" ref="A2582:B2582" si="7709">A2579</f>
        <v>PBSe</v>
      </c>
      <c r="B2582" s="391" t="str">
        <f t="shared" si="7709"/>
        <v>film</v>
      </c>
      <c r="C2582" s="391">
        <f t="shared" ref="C2582" si="7710">C2581</f>
        <v>2</v>
      </c>
      <c r="D2582" s="391" t="str">
        <f t="shared" ref="D2582:E2582" si="7711">D2579</f>
        <v>1-10</v>
      </c>
      <c r="E2582" s="391">
        <f t="shared" si="7711"/>
        <v>10</v>
      </c>
      <c r="F2582" s="391" t="str">
        <f t="shared" ref="F2582:G2582" si="7712">F2581</f>
        <v>air</v>
      </c>
      <c r="G2582" s="401" t="str">
        <f t="shared" si="7712"/>
        <v>DE: PBSe film 1-10 mm (emission to air)</v>
      </c>
      <c r="H2582" s="465">
        <v>4.7E-2</v>
      </c>
      <c r="I2582" s="394" t="s">
        <v>1162</v>
      </c>
      <c r="J2582" s="635"/>
      <c r="K2582" s="389">
        <v>2.5099999999999998</v>
      </c>
      <c r="L2582" s="536"/>
      <c r="M2582" s="509">
        <f t="shared" si="7659"/>
        <v>1000</v>
      </c>
      <c r="N2582" s="646"/>
      <c r="O2582" s="626"/>
      <c r="P2582" s="629"/>
      <c r="Q2582" s="629"/>
    </row>
    <row r="2583" spans="1:17" ht="15.75" hidden="1" thickBot="1">
      <c r="A2583" s="390" t="str">
        <f t="shared" ref="A2583:B2583" si="7713">A2580</f>
        <v>PBSe</v>
      </c>
      <c r="B2583" s="391" t="str">
        <f t="shared" si="7713"/>
        <v>film</v>
      </c>
      <c r="C2583" s="391">
        <f t="shared" ref="C2583" si="7714">C2582</f>
        <v>2</v>
      </c>
      <c r="D2583" s="391" t="str">
        <f t="shared" ref="D2583:E2583" si="7715">D2580</f>
        <v>1-10</v>
      </c>
      <c r="E2583" s="391">
        <f t="shared" si="7715"/>
        <v>10</v>
      </c>
      <c r="F2583" s="391" t="str">
        <f t="shared" ref="F2583:G2583" si="7716">F2582</f>
        <v>air</v>
      </c>
      <c r="G2583" s="401" t="str">
        <f t="shared" si="7716"/>
        <v>DE: PBSe film 1-10 mm (emission to air)</v>
      </c>
      <c r="H2583" s="465">
        <v>5.0000000000000001E-3</v>
      </c>
      <c r="I2583" s="394" t="s">
        <v>1146</v>
      </c>
      <c r="J2583" s="635"/>
      <c r="K2583" s="389">
        <v>2.5099999999999998</v>
      </c>
      <c r="L2583" s="536"/>
      <c r="M2583" s="509">
        <f t="shared" si="7659"/>
        <v>1000</v>
      </c>
      <c r="N2583" s="646"/>
      <c r="O2583" s="626"/>
      <c r="P2583" s="629"/>
      <c r="Q2583" s="629"/>
    </row>
    <row r="2584" spans="1:17" ht="15.75" hidden="1" thickBot="1">
      <c r="A2584" s="390" t="str">
        <f t="shared" ref="A2584:B2584" si="7717">A2579</f>
        <v>PBSe</v>
      </c>
      <c r="B2584" s="391" t="str">
        <f t="shared" si="7717"/>
        <v>film</v>
      </c>
      <c r="C2584" s="391">
        <f t="shared" ref="C2584" si="7718">C2583</f>
        <v>2</v>
      </c>
      <c r="D2584" s="391" t="str">
        <f t="shared" ref="D2584:E2584" si="7719">D2579</f>
        <v>1-10</v>
      </c>
      <c r="E2584" s="391">
        <f t="shared" si="7719"/>
        <v>10</v>
      </c>
      <c r="F2584" s="391" t="str">
        <f t="shared" ref="F2584:G2584" si="7720">F2583</f>
        <v>air</v>
      </c>
      <c r="G2584" s="401" t="str">
        <f t="shared" si="7720"/>
        <v>DE: PBSe film 1-10 mm (emission to air)</v>
      </c>
      <c r="H2584" s="471">
        <v>0</v>
      </c>
      <c r="I2584" s="422" t="s">
        <v>1034</v>
      </c>
      <c r="J2584" s="636"/>
      <c r="K2584" s="451" t="s">
        <v>596</v>
      </c>
      <c r="L2584" s="542"/>
      <c r="M2584" s="509">
        <f t="shared" si="7659"/>
        <v>0</v>
      </c>
      <c r="N2584" s="647"/>
      <c r="O2584" s="627"/>
      <c r="P2584" s="629"/>
      <c r="Q2584" s="629"/>
    </row>
    <row r="2585" spans="1:17" ht="15.75" hidden="1" thickBot="1">
      <c r="A2585" s="405" t="s">
        <v>1078</v>
      </c>
      <c r="B2585" s="406" t="s">
        <v>1151</v>
      </c>
      <c r="C2585" s="407">
        <v>4</v>
      </c>
      <c r="D2585" s="423" t="s">
        <v>1018</v>
      </c>
      <c r="E2585" s="408">
        <v>0.1</v>
      </c>
      <c r="F2585" s="424" t="s">
        <v>1019</v>
      </c>
      <c r="G2585" s="425" t="str">
        <f>CONCATENATE("DE: ",A2585," ",B2585," ",D2585," mm (emission to ",F2585,")")</f>
        <v>DE: PBSe fiber 0,01-0,1 mm (emission to soil)</v>
      </c>
      <c r="H2585" s="474">
        <v>0.97</v>
      </c>
      <c r="I2585" s="427" t="s">
        <v>1153</v>
      </c>
      <c r="J2585" s="632">
        <v>0.22800000000000001</v>
      </c>
      <c r="K2585" s="428">
        <v>25.42</v>
      </c>
      <c r="L2585" s="539"/>
      <c r="M2585" s="509">
        <f t="shared" si="7659"/>
        <v>0.98347757671125091</v>
      </c>
      <c r="N2585" s="645">
        <f t="shared" si="7657"/>
        <v>1.2527780302864073</v>
      </c>
      <c r="O2585" s="625"/>
      <c r="P2585" s="628">
        <f t="shared" si="7531"/>
        <v>1.2527780302864073</v>
      </c>
      <c r="Q2585" s="628">
        <f t="shared" si="7602"/>
        <v>1.2527780302864073</v>
      </c>
    </row>
    <row r="2586" spans="1:17" ht="15.75" hidden="1" thickBot="1">
      <c r="A2586" s="390" t="str">
        <f>A2585</f>
        <v>PBSe</v>
      </c>
      <c r="B2586" s="391" t="str">
        <f>B2585</f>
        <v>fiber</v>
      </c>
      <c r="C2586" s="391">
        <f t="shared" ref="C2586:G2586" si="7721">C2585</f>
        <v>4</v>
      </c>
      <c r="D2586" s="391" t="str">
        <f t="shared" si="7721"/>
        <v>0,01-0,1</v>
      </c>
      <c r="E2586" s="391">
        <f t="shared" si="7721"/>
        <v>0.1</v>
      </c>
      <c r="F2586" s="391" t="str">
        <f t="shared" si="7721"/>
        <v>soil</v>
      </c>
      <c r="G2586" s="392" t="str">
        <f t="shared" si="7721"/>
        <v>DE: PBSe fiber 0,01-0,1 mm (emission to soil)</v>
      </c>
      <c r="H2586" s="465">
        <v>0</v>
      </c>
      <c r="I2586" s="394" t="s">
        <v>1097</v>
      </c>
      <c r="J2586" s="632"/>
      <c r="K2586" s="395">
        <v>2.9614427292656194</v>
      </c>
      <c r="L2586" s="537"/>
      <c r="M2586" s="509">
        <f t="shared" si="7659"/>
        <v>8.4418313253012052</v>
      </c>
      <c r="N2586" s="646"/>
      <c r="O2586" s="626"/>
      <c r="P2586" s="629"/>
      <c r="Q2586" s="629"/>
    </row>
    <row r="2587" spans="1:17" ht="15.75" hidden="1" thickBot="1">
      <c r="A2587" s="390" t="str">
        <f t="shared" ref="A2587:G2587" si="7722">A2586</f>
        <v>PBSe</v>
      </c>
      <c r="B2587" s="391" t="str">
        <f t="shared" si="7722"/>
        <v>fiber</v>
      </c>
      <c r="C2587" s="391">
        <f t="shared" si="7722"/>
        <v>4</v>
      </c>
      <c r="D2587" s="391" t="str">
        <f t="shared" si="7722"/>
        <v>0,01-0,1</v>
      </c>
      <c r="E2587" s="391">
        <f t="shared" si="7722"/>
        <v>0.1</v>
      </c>
      <c r="F2587" s="391" t="str">
        <f t="shared" si="7722"/>
        <v>soil</v>
      </c>
      <c r="G2587" s="392" t="str">
        <f t="shared" si="7722"/>
        <v>DE: PBSe fiber 0,01-0,1 mm (emission to soil)</v>
      </c>
      <c r="H2587" s="465">
        <v>2.7E-2</v>
      </c>
      <c r="I2587" s="394" t="s">
        <v>1162</v>
      </c>
      <c r="J2587" s="632"/>
      <c r="K2587" s="395">
        <v>2.5099999999999998</v>
      </c>
      <c r="L2587" s="537"/>
      <c r="M2587" s="509">
        <f t="shared" si="7659"/>
        <v>9.9601593625498008</v>
      </c>
      <c r="N2587" s="646"/>
      <c r="O2587" s="626"/>
      <c r="P2587" s="629"/>
      <c r="Q2587" s="629"/>
    </row>
    <row r="2588" spans="1:17" ht="15.75" hidden="1" thickBot="1">
      <c r="A2588" s="390" t="str">
        <f t="shared" ref="A2588:G2588" si="7723">A2587</f>
        <v>PBSe</v>
      </c>
      <c r="B2588" s="391" t="str">
        <f t="shared" si="7723"/>
        <v>fiber</v>
      </c>
      <c r="C2588" s="391">
        <f t="shared" si="7723"/>
        <v>4</v>
      </c>
      <c r="D2588" s="391" t="str">
        <f t="shared" si="7723"/>
        <v>0,01-0,1</v>
      </c>
      <c r="E2588" s="391">
        <f t="shared" si="7723"/>
        <v>0.1</v>
      </c>
      <c r="F2588" s="391" t="str">
        <f t="shared" si="7723"/>
        <v>soil</v>
      </c>
      <c r="G2588" s="392" t="str">
        <f t="shared" si="7723"/>
        <v>DE: PBSe fiber 0,01-0,1 mm (emission to soil)</v>
      </c>
      <c r="H2588" s="465">
        <v>3.0000000000000001E-3</v>
      </c>
      <c r="I2588" s="394" t="s">
        <v>1146</v>
      </c>
      <c r="J2588" s="632"/>
      <c r="K2588" s="395">
        <v>2.5099999999999998</v>
      </c>
      <c r="L2588" s="537"/>
      <c r="M2588" s="509">
        <f t="shared" si="7659"/>
        <v>9.9601593625498008</v>
      </c>
      <c r="N2588" s="646"/>
      <c r="O2588" s="626"/>
      <c r="P2588" s="629"/>
      <c r="Q2588" s="629"/>
    </row>
    <row r="2589" spans="1:17" ht="15.75" hidden="1" thickBot="1">
      <c r="A2589" s="390" t="str">
        <f>A2586</f>
        <v>PBSe</v>
      </c>
      <c r="B2589" s="391" t="str">
        <f>B2586</f>
        <v>fiber</v>
      </c>
      <c r="C2589" s="391">
        <f t="shared" ref="C2589" si="7724">C2588</f>
        <v>4</v>
      </c>
      <c r="D2589" s="391" t="str">
        <f>D2586</f>
        <v>0,01-0,1</v>
      </c>
      <c r="E2589" s="391">
        <f>E2586</f>
        <v>0.1</v>
      </c>
      <c r="F2589" s="391" t="str">
        <f>F2586</f>
        <v>soil</v>
      </c>
      <c r="G2589" s="396" t="str">
        <f t="shared" ref="G2589" si="7725">G2588</f>
        <v>DE: PBSe fiber 0,01-0,1 mm (emission to soil)</v>
      </c>
      <c r="H2589" s="465">
        <v>0</v>
      </c>
      <c r="I2589" s="397" t="s">
        <v>1034</v>
      </c>
      <c r="J2589" s="633"/>
      <c r="K2589" s="398" t="s">
        <v>596</v>
      </c>
      <c r="L2589" s="538"/>
      <c r="M2589" s="509">
        <f t="shared" si="7659"/>
        <v>0</v>
      </c>
      <c r="N2589" s="647"/>
      <c r="O2589" s="627"/>
      <c r="P2589" s="629"/>
      <c r="Q2589" s="629"/>
    </row>
    <row r="2590" spans="1:17" ht="15.75" hidden="1" thickBot="1">
      <c r="A2590" s="390" t="str">
        <f t="shared" ref="A2590:B2590" si="7726">A2587</f>
        <v>PBSe</v>
      </c>
      <c r="B2590" s="391" t="str">
        <f t="shared" si="7726"/>
        <v>fiber</v>
      </c>
      <c r="C2590" s="391">
        <f t="shared" ref="C2590" si="7727">C2589</f>
        <v>4</v>
      </c>
      <c r="D2590" s="399" t="str">
        <f t="shared" ref="D2590:E2590" si="7728">D2587</f>
        <v>0,01-0,1</v>
      </c>
      <c r="E2590" s="391">
        <f t="shared" si="7728"/>
        <v>0.1</v>
      </c>
      <c r="F2590" s="400" t="s">
        <v>1147</v>
      </c>
      <c r="G2590" s="386" t="str">
        <f>CONCATENATE("DE: ",A2590," ",B2590," ",D2590," mm (emission to ",F2590,")")</f>
        <v>DE: PBSe fiber 0,01-0,1 mm (emission to fresh water)</v>
      </c>
      <c r="H2590" s="466">
        <v>0</v>
      </c>
      <c r="I2590" s="388" t="s">
        <v>1153</v>
      </c>
      <c r="J2590" s="634">
        <v>0.22800000000000001</v>
      </c>
      <c r="K2590" s="389">
        <v>25.42</v>
      </c>
      <c r="L2590" s="536"/>
      <c r="M2590" s="509">
        <f t="shared" si="7659"/>
        <v>0.98347757671125091</v>
      </c>
      <c r="N2590" s="645">
        <f t="shared" si="7657"/>
        <v>9.9601593625498008</v>
      </c>
      <c r="O2590" s="625"/>
      <c r="P2590" s="628">
        <f t="shared" ref="P2590:P2650" si="7729">IFERROR(IF(H2590*M2590+H2591*M2591+H2592*M2592+H2593*M2593+H2594*M2594&gt;100,100,H2590*M2590+H2591*M2591+H2592*M2592+H2593*M2593+H2594*M2594),"N.A.")</f>
        <v>9.9601593625498008</v>
      </c>
      <c r="Q2590" s="628">
        <f t="shared" si="7602"/>
        <v>9.9601593625498008</v>
      </c>
    </row>
    <row r="2591" spans="1:17" ht="15.75" hidden="1" thickBot="1">
      <c r="A2591" s="390" t="str">
        <f t="shared" ref="A2591:B2591" si="7730">A2588</f>
        <v>PBSe</v>
      </c>
      <c r="B2591" s="391" t="str">
        <f t="shared" si="7730"/>
        <v>fiber</v>
      </c>
      <c r="C2591" s="391">
        <f t="shared" ref="C2591" si="7731">C2590</f>
        <v>4</v>
      </c>
      <c r="D2591" s="391" t="str">
        <f t="shared" ref="D2591:E2591" si="7732">D2588</f>
        <v>0,01-0,1</v>
      </c>
      <c r="E2591" s="391">
        <f t="shared" si="7732"/>
        <v>0.1</v>
      </c>
      <c r="F2591" s="391" t="str">
        <f t="shared" ref="F2591:G2591" si="7733">F2590</f>
        <v>fresh water</v>
      </c>
      <c r="G2591" s="401" t="str">
        <f t="shared" si="7733"/>
        <v>DE: PBSe fiber 0,01-0,1 mm (emission to fresh water)</v>
      </c>
      <c r="H2591" s="465">
        <v>0</v>
      </c>
      <c r="I2591" s="394" t="s">
        <v>1097</v>
      </c>
      <c r="J2591" s="635"/>
      <c r="K2591" s="389">
        <v>2.9614427292656194</v>
      </c>
      <c r="L2591" s="536"/>
      <c r="M2591" s="509">
        <f t="shared" si="7659"/>
        <v>8.4418313253012052</v>
      </c>
      <c r="N2591" s="646"/>
      <c r="O2591" s="626"/>
      <c r="P2591" s="629"/>
      <c r="Q2591" s="629"/>
    </row>
    <row r="2592" spans="1:17" ht="15.75" hidden="1" thickBot="1">
      <c r="A2592" s="390" t="str">
        <f t="shared" ref="A2592:B2592" si="7734">A2589</f>
        <v>PBSe</v>
      </c>
      <c r="B2592" s="391" t="str">
        <f t="shared" si="7734"/>
        <v>fiber</v>
      </c>
      <c r="C2592" s="391">
        <f t="shared" ref="C2592" si="7735">C2591</f>
        <v>4</v>
      </c>
      <c r="D2592" s="391" t="str">
        <f t="shared" ref="D2592:E2592" si="7736">D2589</f>
        <v>0,01-0,1</v>
      </c>
      <c r="E2592" s="391">
        <f t="shared" si="7736"/>
        <v>0.1</v>
      </c>
      <c r="F2592" s="391" t="str">
        <f t="shared" ref="F2592:G2592" si="7737">F2591</f>
        <v>fresh water</v>
      </c>
      <c r="G2592" s="401" t="str">
        <f t="shared" si="7737"/>
        <v>DE: PBSe fiber 0,01-0,1 mm (emission to fresh water)</v>
      </c>
      <c r="H2592" s="465">
        <v>0.89</v>
      </c>
      <c r="I2592" s="394" t="s">
        <v>1162</v>
      </c>
      <c r="J2592" s="635"/>
      <c r="K2592" s="389">
        <v>2.5099999999999998</v>
      </c>
      <c r="L2592" s="536"/>
      <c r="M2592" s="509">
        <f t="shared" si="7659"/>
        <v>9.9601593625498008</v>
      </c>
      <c r="N2592" s="646"/>
      <c r="O2592" s="626"/>
      <c r="P2592" s="629"/>
      <c r="Q2592" s="629"/>
    </row>
    <row r="2593" spans="1:17" ht="15.75" hidden="1" thickBot="1">
      <c r="A2593" s="390" t="str">
        <f t="shared" ref="A2593:B2593" si="7738">A2590</f>
        <v>PBSe</v>
      </c>
      <c r="B2593" s="391" t="str">
        <f t="shared" si="7738"/>
        <v>fiber</v>
      </c>
      <c r="C2593" s="391">
        <f t="shared" ref="C2593" si="7739">C2592</f>
        <v>4</v>
      </c>
      <c r="D2593" s="391" t="str">
        <f t="shared" ref="D2593:E2593" si="7740">D2590</f>
        <v>0,01-0,1</v>
      </c>
      <c r="E2593" s="391">
        <f t="shared" si="7740"/>
        <v>0.1</v>
      </c>
      <c r="F2593" s="391" t="str">
        <f t="shared" ref="F2593:G2593" si="7741">F2592</f>
        <v>fresh water</v>
      </c>
      <c r="G2593" s="401" t="str">
        <f t="shared" si="7741"/>
        <v>DE: PBSe fiber 0,01-0,1 mm (emission to fresh water)</v>
      </c>
      <c r="H2593" s="465">
        <v>0.11</v>
      </c>
      <c r="I2593" s="394" t="s">
        <v>1146</v>
      </c>
      <c r="J2593" s="635"/>
      <c r="K2593" s="389">
        <v>2.5099999999999998</v>
      </c>
      <c r="L2593" s="536"/>
      <c r="M2593" s="509">
        <f t="shared" si="7659"/>
        <v>9.9601593625498008</v>
      </c>
      <c r="N2593" s="646"/>
      <c r="O2593" s="626"/>
      <c r="P2593" s="629"/>
      <c r="Q2593" s="629"/>
    </row>
    <row r="2594" spans="1:17" ht="15.75" hidden="1" thickBot="1">
      <c r="A2594" s="390" t="str">
        <f t="shared" ref="A2594:B2594" si="7742">A2591</f>
        <v>PBSe</v>
      </c>
      <c r="B2594" s="391" t="str">
        <f t="shared" si="7742"/>
        <v>fiber</v>
      </c>
      <c r="C2594" s="391">
        <f t="shared" ref="C2594" si="7743">C2593</f>
        <v>4</v>
      </c>
      <c r="D2594" s="391" t="str">
        <f t="shared" ref="D2594:E2594" si="7744">D2591</f>
        <v>0,01-0,1</v>
      </c>
      <c r="E2594" s="391">
        <f t="shared" si="7744"/>
        <v>0.1</v>
      </c>
      <c r="F2594" s="402" t="str">
        <f>F2591</f>
        <v>fresh water</v>
      </c>
      <c r="G2594" s="401" t="str">
        <f t="shared" ref="G2594" si="7745">G2593</f>
        <v>DE: PBSe fiber 0,01-0,1 mm (emission to fresh water)</v>
      </c>
      <c r="H2594" s="465">
        <v>0</v>
      </c>
      <c r="I2594" s="397" t="s">
        <v>1034</v>
      </c>
      <c r="J2594" s="654"/>
      <c r="K2594" s="398" t="s">
        <v>596</v>
      </c>
      <c r="L2594" s="538"/>
      <c r="M2594" s="509">
        <f t="shared" si="7659"/>
        <v>0</v>
      </c>
      <c r="N2594" s="647"/>
      <c r="O2594" s="627"/>
      <c r="P2594" s="629"/>
      <c r="Q2594" s="629"/>
    </row>
    <row r="2595" spans="1:17" ht="15.75" hidden="1" thickBot="1">
      <c r="A2595" s="390" t="str">
        <f t="shared" ref="A2595:B2595" si="7746">A2592</f>
        <v>PBSe</v>
      </c>
      <c r="B2595" s="391" t="str">
        <f t="shared" si="7746"/>
        <v>fiber</v>
      </c>
      <c r="C2595" s="391">
        <f t="shared" ref="C2595" si="7747">C2594</f>
        <v>4</v>
      </c>
      <c r="D2595" s="391" t="str">
        <f t="shared" ref="D2595:E2595" si="7748">D2592</f>
        <v>0,01-0,1</v>
      </c>
      <c r="E2595" s="391">
        <f t="shared" si="7748"/>
        <v>0.1</v>
      </c>
      <c r="F2595" s="385" t="s">
        <v>1097</v>
      </c>
      <c r="G2595" s="422" t="str">
        <f>CONCATENATE("DE: ",A2595," ",B2595," ",D2595," mm (emission to ",F2595,")")</f>
        <v>DE: PBSe fiber 0,01-0,1 mm (emission to marine water)</v>
      </c>
      <c r="H2595" s="467">
        <v>0</v>
      </c>
      <c r="I2595" s="388" t="s">
        <v>1153</v>
      </c>
      <c r="J2595" s="634">
        <v>0.22800000000000001</v>
      </c>
      <c r="K2595" s="389">
        <v>25.42</v>
      </c>
      <c r="L2595" s="536"/>
      <c r="M2595" s="509">
        <f t="shared" si="7659"/>
        <v>0.98347757671125091</v>
      </c>
      <c r="N2595" s="645">
        <f t="shared" si="7657"/>
        <v>9.9601593625498008</v>
      </c>
      <c r="O2595" s="625"/>
      <c r="P2595" s="628">
        <f t="shared" si="7729"/>
        <v>9.9601593625498008</v>
      </c>
      <c r="Q2595" s="628">
        <f t="shared" si="7602"/>
        <v>9.9601593625498008</v>
      </c>
    </row>
    <row r="2596" spans="1:17" ht="15.75" hidden="1" thickBot="1">
      <c r="A2596" s="390" t="str">
        <f t="shared" ref="A2596:B2596" si="7749">A2593</f>
        <v>PBSe</v>
      </c>
      <c r="B2596" s="391" t="str">
        <f t="shared" si="7749"/>
        <v>fiber</v>
      </c>
      <c r="C2596" s="391">
        <f t="shared" ref="C2596" si="7750">C2595</f>
        <v>4</v>
      </c>
      <c r="D2596" s="391" t="str">
        <f t="shared" ref="D2596:E2596" si="7751">D2593</f>
        <v>0,01-0,1</v>
      </c>
      <c r="E2596" s="391">
        <f t="shared" si="7751"/>
        <v>0.1</v>
      </c>
      <c r="F2596" s="391" t="str">
        <f t="shared" ref="F2596:G2596" si="7752">F2595</f>
        <v>marine water</v>
      </c>
      <c r="G2596" s="401" t="str">
        <f t="shared" si="7752"/>
        <v>DE: PBSe fiber 0,01-0,1 mm (emission to marine water)</v>
      </c>
      <c r="H2596" s="465">
        <v>0</v>
      </c>
      <c r="I2596" s="394" t="s">
        <v>1097</v>
      </c>
      <c r="J2596" s="635"/>
      <c r="K2596" s="389">
        <v>2.9614427292656194</v>
      </c>
      <c r="L2596" s="536"/>
      <c r="M2596" s="509">
        <f t="shared" si="7659"/>
        <v>8.4418313253012052</v>
      </c>
      <c r="N2596" s="646"/>
      <c r="O2596" s="626"/>
      <c r="P2596" s="629"/>
      <c r="Q2596" s="629"/>
    </row>
    <row r="2597" spans="1:17" ht="15.75" hidden="1" thickBot="1">
      <c r="A2597" s="390" t="str">
        <f t="shared" ref="A2597:B2597" si="7753">A2594</f>
        <v>PBSe</v>
      </c>
      <c r="B2597" s="391" t="str">
        <f t="shared" si="7753"/>
        <v>fiber</v>
      </c>
      <c r="C2597" s="391">
        <f t="shared" ref="C2597" si="7754">C2596</f>
        <v>4</v>
      </c>
      <c r="D2597" s="391" t="str">
        <f t="shared" ref="D2597:E2597" si="7755">D2594</f>
        <v>0,01-0,1</v>
      </c>
      <c r="E2597" s="391">
        <f t="shared" si="7755"/>
        <v>0.1</v>
      </c>
      <c r="F2597" s="391" t="str">
        <f t="shared" ref="F2597:G2597" si="7756">F2596</f>
        <v>marine water</v>
      </c>
      <c r="G2597" s="401" t="str">
        <f t="shared" si="7756"/>
        <v>DE: PBSe fiber 0,01-0,1 mm (emission to marine water)</v>
      </c>
      <c r="H2597" s="465">
        <v>0</v>
      </c>
      <c r="I2597" s="394" t="s">
        <v>1162</v>
      </c>
      <c r="J2597" s="635"/>
      <c r="K2597" s="389">
        <v>2.5099999999999998</v>
      </c>
      <c r="L2597" s="536"/>
      <c r="M2597" s="509">
        <f t="shared" si="7659"/>
        <v>9.9601593625498008</v>
      </c>
      <c r="N2597" s="646"/>
      <c r="O2597" s="626"/>
      <c r="P2597" s="629"/>
      <c r="Q2597" s="629"/>
    </row>
    <row r="2598" spans="1:17" ht="15.75" hidden="1" thickBot="1">
      <c r="A2598" s="390" t="str">
        <f t="shared" ref="A2598:B2598" si="7757">A2595</f>
        <v>PBSe</v>
      </c>
      <c r="B2598" s="391" t="str">
        <f t="shared" si="7757"/>
        <v>fiber</v>
      </c>
      <c r="C2598" s="391">
        <f t="shared" ref="C2598" si="7758">C2597</f>
        <v>4</v>
      </c>
      <c r="D2598" s="391" t="str">
        <f t="shared" ref="D2598:E2598" si="7759">D2595</f>
        <v>0,01-0,1</v>
      </c>
      <c r="E2598" s="391">
        <f t="shared" si="7759"/>
        <v>0.1</v>
      </c>
      <c r="F2598" s="391" t="str">
        <f t="shared" ref="F2598:G2598" si="7760">F2597</f>
        <v>marine water</v>
      </c>
      <c r="G2598" s="401" t="str">
        <f t="shared" si="7760"/>
        <v>DE: PBSe fiber 0,01-0,1 mm (emission to marine water)</v>
      </c>
      <c r="H2598" s="465">
        <v>1</v>
      </c>
      <c r="I2598" s="394" t="s">
        <v>1146</v>
      </c>
      <c r="J2598" s="635"/>
      <c r="K2598" s="389">
        <v>2.5099999999999998</v>
      </c>
      <c r="L2598" s="536"/>
      <c r="M2598" s="509">
        <f t="shared" si="7659"/>
        <v>9.9601593625498008</v>
      </c>
      <c r="N2598" s="646"/>
      <c r="O2598" s="626"/>
      <c r="P2598" s="629"/>
      <c r="Q2598" s="629"/>
    </row>
    <row r="2599" spans="1:17" ht="15.75" hidden="1" thickBot="1">
      <c r="A2599" s="390" t="str">
        <f t="shared" ref="A2599:B2599" si="7761">A2596</f>
        <v>PBSe</v>
      </c>
      <c r="B2599" s="391" t="str">
        <f t="shared" si="7761"/>
        <v>fiber</v>
      </c>
      <c r="C2599" s="391">
        <f t="shared" ref="C2599" si="7762">C2598</f>
        <v>4</v>
      </c>
      <c r="D2599" s="391" t="str">
        <f t="shared" ref="D2599:E2599" si="7763">D2596</f>
        <v>0,01-0,1</v>
      </c>
      <c r="E2599" s="391">
        <f t="shared" si="7763"/>
        <v>0.1</v>
      </c>
      <c r="F2599" s="391" t="str">
        <f t="shared" ref="F2599:G2599" si="7764">F2598</f>
        <v>marine water</v>
      </c>
      <c r="G2599" s="401" t="str">
        <f t="shared" si="7764"/>
        <v>DE: PBSe fiber 0,01-0,1 mm (emission to marine water)</v>
      </c>
      <c r="H2599" s="465">
        <v>0</v>
      </c>
      <c r="I2599" s="397" t="s">
        <v>1034</v>
      </c>
      <c r="J2599" s="654"/>
      <c r="K2599" s="398" t="s">
        <v>596</v>
      </c>
      <c r="L2599" s="538"/>
      <c r="M2599" s="509">
        <f t="shared" si="7659"/>
        <v>0</v>
      </c>
      <c r="N2599" s="647"/>
      <c r="O2599" s="627"/>
      <c r="P2599" s="629"/>
      <c r="Q2599" s="629"/>
    </row>
    <row r="2600" spans="1:17" ht="15.75" hidden="1" thickBot="1">
      <c r="A2600" s="390" t="str">
        <f t="shared" ref="A2600:B2600" si="7765">A2597</f>
        <v>PBSe</v>
      </c>
      <c r="B2600" s="391" t="str">
        <f t="shared" si="7765"/>
        <v>fiber</v>
      </c>
      <c r="C2600" s="391">
        <f t="shared" ref="C2600" si="7766">C2599</f>
        <v>4</v>
      </c>
      <c r="D2600" s="391" t="str">
        <f t="shared" ref="D2600:E2600" si="7767">D2597</f>
        <v>0,01-0,1</v>
      </c>
      <c r="E2600" s="391">
        <f t="shared" si="7767"/>
        <v>0.1</v>
      </c>
      <c r="F2600" s="400" t="s">
        <v>1057</v>
      </c>
      <c r="G2600" s="422" t="str">
        <f>CONCATENATE("DE: ",A2600," ",B2600," ",D2600," mm (emission to ",F2600,")")</f>
        <v>DE: PBSe fiber 0,01-0,1 mm (emission to air)</v>
      </c>
      <c r="H2600" s="467">
        <v>0.94799999999999995</v>
      </c>
      <c r="I2600" s="388" t="s">
        <v>1153</v>
      </c>
      <c r="J2600" s="634">
        <v>0.22800000000000001</v>
      </c>
      <c r="K2600" s="389">
        <v>25.42</v>
      </c>
      <c r="L2600" s="536"/>
      <c r="M2600" s="509">
        <f t="shared" si="7659"/>
        <v>0.98347757671125091</v>
      </c>
      <c r="N2600" s="645">
        <f t="shared" si="7657"/>
        <v>1.4502650295748554</v>
      </c>
      <c r="O2600" s="625"/>
      <c r="P2600" s="628">
        <f t="shared" si="7729"/>
        <v>1.4502650295748554</v>
      </c>
      <c r="Q2600" s="628">
        <f t="shared" si="7602"/>
        <v>1.4502650295748554</v>
      </c>
    </row>
    <row r="2601" spans="1:17" ht="15.75" hidden="1" thickBot="1">
      <c r="A2601" s="390" t="str">
        <f t="shared" ref="A2601:B2601" si="7768">A2598</f>
        <v>PBSe</v>
      </c>
      <c r="B2601" s="391" t="str">
        <f t="shared" si="7768"/>
        <v>fiber</v>
      </c>
      <c r="C2601" s="391">
        <f t="shared" ref="C2601" si="7769">C2600</f>
        <v>4</v>
      </c>
      <c r="D2601" s="391" t="str">
        <f t="shared" ref="D2601:E2601" si="7770">D2598</f>
        <v>0,01-0,1</v>
      </c>
      <c r="E2601" s="391">
        <f t="shared" si="7770"/>
        <v>0.1</v>
      </c>
      <c r="F2601" s="391" t="str">
        <f t="shared" ref="F2601:G2601" si="7771">F2600</f>
        <v>air</v>
      </c>
      <c r="G2601" s="401" t="str">
        <f t="shared" si="7771"/>
        <v>DE: PBSe fiber 0,01-0,1 mm (emission to air)</v>
      </c>
      <c r="H2601" s="465">
        <v>0</v>
      </c>
      <c r="I2601" s="394" t="s">
        <v>1097</v>
      </c>
      <c r="J2601" s="635"/>
      <c r="K2601" s="389">
        <v>2.9614427292656194</v>
      </c>
      <c r="L2601" s="536"/>
      <c r="M2601" s="509">
        <f t="shared" si="7659"/>
        <v>8.4418313253012052</v>
      </c>
      <c r="N2601" s="646"/>
      <c r="O2601" s="626"/>
      <c r="P2601" s="629"/>
      <c r="Q2601" s="629"/>
    </row>
    <row r="2602" spans="1:17" ht="15.75" hidden="1" thickBot="1">
      <c r="A2602" s="390" t="str">
        <f t="shared" ref="A2602:B2602" si="7772">A2599</f>
        <v>PBSe</v>
      </c>
      <c r="B2602" s="391" t="str">
        <f t="shared" si="7772"/>
        <v>fiber</v>
      </c>
      <c r="C2602" s="391">
        <f t="shared" ref="C2602" si="7773">C2601</f>
        <v>4</v>
      </c>
      <c r="D2602" s="391" t="str">
        <f t="shared" ref="D2602:E2602" si="7774">D2599</f>
        <v>0,01-0,1</v>
      </c>
      <c r="E2602" s="391">
        <f t="shared" si="7774"/>
        <v>0.1</v>
      </c>
      <c r="F2602" s="391" t="str">
        <f t="shared" ref="F2602:G2602" si="7775">F2601</f>
        <v>air</v>
      </c>
      <c r="G2602" s="401" t="str">
        <f t="shared" si="7775"/>
        <v>DE: PBSe fiber 0,01-0,1 mm (emission to air)</v>
      </c>
      <c r="H2602" s="465">
        <v>4.7E-2</v>
      </c>
      <c r="I2602" s="394" t="s">
        <v>1162</v>
      </c>
      <c r="J2602" s="635"/>
      <c r="K2602" s="389">
        <v>2.5099999999999998</v>
      </c>
      <c r="L2602" s="536"/>
      <c r="M2602" s="509">
        <f t="shared" si="7659"/>
        <v>9.9601593625498008</v>
      </c>
      <c r="N2602" s="646"/>
      <c r="O2602" s="626"/>
      <c r="P2602" s="629"/>
      <c r="Q2602" s="629"/>
    </row>
    <row r="2603" spans="1:17" ht="15.75" hidden="1" thickBot="1">
      <c r="A2603" s="390" t="str">
        <f t="shared" ref="A2603:B2603" si="7776">A2600</f>
        <v>PBSe</v>
      </c>
      <c r="B2603" s="391" t="str">
        <f t="shared" si="7776"/>
        <v>fiber</v>
      </c>
      <c r="C2603" s="391">
        <f t="shared" ref="C2603" si="7777">C2602</f>
        <v>4</v>
      </c>
      <c r="D2603" s="391" t="str">
        <f t="shared" ref="D2603:E2603" si="7778">D2600</f>
        <v>0,01-0,1</v>
      </c>
      <c r="E2603" s="391">
        <f t="shared" si="7778"/>
        <v>0.1</v>
      </c>
      <c r="F2603" s="391" t="str">
        <f t="shared" ref="F2603:G2603" si="7779">F2602</f>
        <v>air</v>
      </c>
      <c r="G2603" s="401" t="str">
        <f t="shared" si="7779"/>
        <v>DE: PBSe fiber 0,01-0,1 mm (emission to air)</v>
      </c>
      <c r="H2603" s="465">
        <v>5.0000000000000001E-3</v>
      </c>
      <c r="I2603" s="394" t="s">
        <v>1146</v>
      </c>
      <c r="J2603" s="635"/>
      <c r="K2603" s="389">
        <v>2.5099999999999998</v>
      </c>
      <c r="L2603" s="536"/>
      <c r="M2603" s="509">
        <f t="shared" si="7659"/>
        <v>9.9601593625498008</v>
      </c>
      <c r="N2603" s="646"/>
      <c r="O2603" s="626"/>
      <c r="P2603" s="629"/>
      <c r="Q2603" s="629"/>
    </row>
    <row r="2604" spans="1:17" ht="15.75" hidden="1" thickBot="1">
      <c r="A2604" s="452" t="str">
        <f t="shared" ref="A2604:B2604" si="7780">A2599</f>
        <v>PBSe</v>
      </c>
      <c r="B2604" s="453" t="str">
        <f t="shared" si="7780"/>
        <v>fiber</v>
      </c>
      <c r="C2604" s="453">
        <f t="shared" ref="C2604" si="7781">C2603</f>
        <v>4</v>
      </c>
      <c r="D2604" s="453" t="str">
        <f t="shared" ref="D2604:E2604" si="7782">D2599</f>
        <v>0,01-0,1</v>
      </c>
      <c r="E2604" s="453">
        <f t="shared" si="7782"/>
        <v>0.1</v>
      </c>
      <c r="F2604" s="453" t="str">
        <f t="shared" ref="F2604:G2604" si="7783">F2603</f>
        <v>air</v>
      </c>
      <c r="G2604" s="454" t="str">
        <f t="shared" si="7783"/>
        <v>DE: PBSe fiber 0,01-0,1 mm (emission to air)</v>
      </c>
      <c r="H2604" s="473">
        <v>0</v>
      </c>
      <c r="I2604" s="456" t="s">
        <v>1034</v>
      </c>
      <c r="J2604" s="636"/>
      <c r="K2604" s="457" t="s">
        <v>596</v>
      </c>
      <c r="L2604" s="543"/>
      <c r="M2604" s="509">
        <f t="shared" si="7659"/>
        <v>0</v>
      </c>
      <c r="N2604" s="647"/>
      <c r="O2604" s="627"/>
      <c r="P2604" s="629"/>
      <c r="Q2604" s="629"/>
    </row>
    <row r="2605" spans="1:17" ht="15.75" hidden="1" thickBot="1">
      <c r="A2605" s="381" t="s">
        <v>1078</v>
      </c>
      <c r="B2605" s="382" t="s">
        <v>1151</v>
      </c>
      <c r="C2605" s="383">
        <v>4</v>
      </c>
      <c r="D2605" s="475" t="s">
        <v>1028</v>
      </c>
      <c r="E2605" s="384">
        <v>1</v>
      </c>
      <c r="F2605" s="385" t="s">
        <v>1019</v>
      </c>
      <c r="G2605" s="386" t="str">
        <f>CONCATENATE("DE: ",A2605," ",B2605," ",D2605," mm (emission to ",F2605,")")</f>
        <v>DE: PBSe fiber 0,1-1 mm (emission to soil)</v>
      </c>
      <c r="H2605" s="466">
        <v>0.97</v>
      </c>
      <c r="I2605" s="388" t="s">
        <v>1153</v>
      </c>
      <c r="J2605" s="632">
        <v>0.22800000000000001</v>
      </c>
      <c r="K2605" s="389">
        <v>25.42</v>
      </c>
      <c r="L2605" s="536"/>
      <c r="M2605" s="509">
        <f t="shared" si="7659"/>
        <v>9.8347757671125091</v>
      </c>
      <c r="N2605" s="645">
        <f t="shared" si="7657"/>
        <v>12.527780302864075</v>
      </c>
      <c r="O2605" s="625"/>
      <c r="P2605" s="628">
        <f t="shared" si="7729"/>
        <v>12.527780302864075</v>
      </c>
      <c r="Q2605" s="628">
        <f t="shared" si="7602"/>
        <v>12.527780302864075</v>
      </c>
    </row>
    <row r="2606" spans="1:17" ht="15.75" hidden="1" thickBot="1">
      <c r="A2606" s="390" t="str">
        <f>A2605</f>
        <v>PBSe</v>
      </c>
      <c r="B2606" s="391" t="str">
        <f>B2605</f>
        <v>fiber</v>
      </c>
      <c r="C2606" s="391">
        <f t="shared" ref="C2606:G2606" si="7784">C2605</f>
        <v>4</v>
      </c>
      <c r="D2606" s="391" t="str">
        <f t="shared" si="7784"/>
        <v>0,1-1</v>
      </c>
      <c r="E2606" s="391">
        <f t="shared" si="7784"/>
        <v>1</v>
      </c>
      <c r="F2606" s="391" t="str">
        <f t="shared" si="7784"/>
        <v>soil</v>
      </c>
      <c r="G2606" s="392" t="str">
        <f t="shared" si="7784"/>
        <v>DE: PBSe fiber 0,1-1 mm (emission to soil)</v>
      </c>
      <c r="H2606" s="465">
        <v>0</v>
      </c>
      <c r="I2606" s="394" t="s">
        <v>1097</v>
      </c>
      <c r="J2606" s="632"/>
      <c r="K2606" s="395">
        <v>2.9614427292656194</v>
      </c>
      <c r="L2606" s="537"/>
      <c r="M2606" s="509">
        <f t="shared" si="7659"/>
        <v>84.418313253012045</v>
      </c>
      <c r="N2606" s="646"/>
      <c r="O2606" s="626"/>
      <c r="P2606" s="629"/>
      <c r="Q2606" s="629"/>
    </row>
    <row r="2607" spans="1:17" ht="15.75" hidden="1" thickBot="1">
      <c r="A2607" s="390" t="str">
        <f t="shared" ref="A2607:G2607" si="7785">A2606</f>
        <v>PBSe</v>
      </c>
      <c r="B2607" s="391" t="str">
        <f t="shared" si="7785"/>
        <v>fiber</v>
      </c>
      <c r="C2607" s="391">
        <f t="shared" si="7785"/>
        <v>4</v>
      </c>
      <c r="D2607" s="391" t="str">
        <f t="shared" si="7785"/>
        <v>0,1-1</v>
      </c>
      <c r="E2607" s="391">
        <f t="shared" si="7785"/>
        <v>1</v>
      </c>
      <c r="F2607" s="391" t="str">
        <f t="shared" si="7785"/>
        <v>soil</v>
      </c>
      <c r="G2607" s="392" t="str">
        <f t="shared" si="7785"/>
        <v>DE: PBSe fiber 0,1-1 mm (emission to soil)</v>
      </c>
      <c r="H2607" s="465">
        <v>2.7E-2</v>
      </c>
      <c r="I2607" s="394" t="s">
        <v>1162</v>
      </c>
      <c r="J2607" s="632"/>
      <c r="K2607" s="395">
        <v>2.5099999999999998</v>
      </c>
      <c r="L2607" s="537"/>
      <c r="M2607" s="509">
        <f t="shared" si="7659"/>
        <v>99.601593625498012</v>
      </c>
      <c r="N2607" s="646"/>
      <c r="O2607" s="626"/>
      <c r="P2607" s="629"/>
      <c r="Q2607" s="629"/>
    </row>
    <row r="2608" spans="1:17" ht="15.75" hidden="1" thickBot="1">
      <c r="A2608" s="390" t="str">
        <f t="shared" ref="A2608:G2608" si="7786">A2607</f>
        <v>PBSe</v>
      </c>
      <c r="B2608" s="391" t="str">
        <f t="shared" si="7786"/>
        <v>fiber</v>
      </c>
      <c r="C2608" s="391">
        <f t="shared" si="7786"/>
        <v>4</v>
      </c>
      <c r="D2608" s="391" t="str">
        <f t="shared" si="7786"/>
        <v>0,1-1</v>
      </c>
      <c r="E2608" s="391">
        <f t="shared" si="7786"/>
        <v>1</v>
      </c>
      <c r="F2608" s="391" t="str">
        <f t="shared" si="7786"/>
        <v>soil</v>
      </c>
      <c r="G2608" s="392" t="str">
        <f t="shared" si="7786"/>
        <v>DE: PBSe fiber 0,1-1 mm (emission to soil)</v>
      </c>
      <c r="H2608" s="465">
        <v>3.0000000000000001E-3</v>
      </c>
      <c r="I2608" s="394" t="s">
        <v>1146</v>
      </c>
      <c r="J2608" s="632"/>
      <c r="K2608" s="395">
        <v>2.5099999999999998</v>
      </c>
      <c r="L2608" s="537"/>
      <c r="M2608" s="509">
        <f t="shared" si="7659"/>
        <v>99.601593625498012</v>
      </c>
      <c r="N2608" s="646"/>
      <c r="O2608" s="626"/>
      <c r="P2608" s="629"/>
      <c r="Q2608" s="629"/>
    </row>
    <row r="2609" spans="1:17" ht="15.75" hidden="1" thickBot="1">
      <c r="A2609" s="390" t="str">
        <f>A2606</f>
        <v>PBSe</v>
      </c>
      <c r="B2609" s="391" t="str">
        <f>B2606</f>
        <v>fiber</v>
      </c>
      <c r="C2609" s="391">
        <f t="shared" ref="C2609" si="7787">C2608</f>
        <v>4</v>
      </c>
      <c r="D2609" s="391" t="str">
        <f>D2606</f>
        <v>0,1-1</v>
      </c>
      <c r="E2609" s="391">
        <f>E2606</f>
        <v>1</v>
      </c>
      <c r="F2609" s="391" t="str">
        <f>F2606</f>
        <v>soil</v>
      </c>
      <c r="G2609" s="396" t="str">
        <f t="shared" ref="G2609" si="7788">G2608</f>
        <v>DE: PBSe fiber 0,1-1 mm (emission to soil)</v>
      </c>
      <c r="H2609" s="465">
        <v>0</v>
      </c>
      <c r="I2609" s="397" t="s">
        <v>1034</v>
      </c>
      <c r="J2609" s="633"/>
      <c r="K2609" s="398" t="s">
        <v>596</v>
      </c>
      <c r="L2609" s="538"/>
      <c r="M2609" s="509">
        <f t="shared" si="7659"/>
        <v>0</v>
      </c>
      <c r="N2609" s="647"/>
      <c r="O2609" s="627"/>
      <c r="P2609" s="629"/>
      <c r="Q2609" s="629"/>
    </row>
    <row r="2610" spans="1:17" ht="15.75" hidden="1" thickBot="1">
      <c r="A2610" s="390" t="str">
        <f t="shared" ref="A2610:B2610" si="7789">A2607</f>
        <v>PBSe</v>
      </c>
      <c r="B2610" s="391" t="str">
        <f t="shared" si="7789"/>
        <v>fiber</v>
      </c>
      <c r="C2610" s="391">
        <f t="shared" ref="C2610" si="7790">C2609</f>
        <v>4</v>
      </c>
      <c r="D2610" s="399" t="str">
        <f t="shared" ref="D2610:E2610" si="7791">D2607</f>
        <v>0,1-1</v>
      </c>
      <c r="E2610" s="391">
        <f t="shared" si="7791"/>
        <v>1</v>
      </c>
      <c r="F2610" s="400" t="s">
        <v>1147</v>
      </c>
      <c r="G2610" s="386" t="str">
        <f>CONCATENATE("DE: ",A2610," ",B2610," ",D2610," mm (emission to ",F2610,")")</f>
        <v>DE: PBSe fiber 0,1-1 mm (emission to fresh water)</v>
      </c>
      <c r="H2610" s="466">
        <v>0</v>
      </c>
      <c r="I2610" s="388" t="s">
        <v>1153</v>
      </c>
      <c r="J2610" s="634">
        <v>0.22800000000000001</v>
      </c>
      <c r="K2610" s="389">
        <v>25.42</v>
      </c>
      <c r="L2610" s="536"/>
      <c r="M2610" s="509">
        <f t="shared" si="7659"/>
        <v>9.8347757671125091</v>
      </c>
      <c r="N2610" s="645">
        <f t="shared" si="7657"/>
        <v>99.601593625498012</v>
      </c>
      <c r="O2610" s="625"/>
      <c r="P2610" s="628">
        <f t="shared" si="7729"/>
        <v>99.601593625498012</v>
      </c>
      <c r="Q2610" s="628">
        <f t="shared" si="7602"/>
        <v>99.601593625498012</v>
      </c>
    </row>
    <row r="2611" spans="1:17" ht="15.75" hidden="1" thickBot="1">
      <c r="A2611" s="390" t="str">
        <f t="shared" ref="A2611:B2611" si="7792">A2608</f>
        <v>PBSe</v>
      </c>
      <c r="B2611" s="391" t="str">
        <f t="shared" si="7792"/>
        <v>fiber</v>
      </c>
      <c r="C2611" s="391">
        <f t="shared" ref="C2611" si="7793">C2610</f>
        <v>4</v>
      </c>
      <c r="D2611" s="391" t="str">
        <f t="shared" ref="D2611:E2611" si="7794">D2608</f>
        <v>0,1-1</v>
      </c>
      <c r="E2611" s="391">
        <f t="shared" si="7794"/>
        <v>1</v>
      </c>
      <c r="F2611" s="391" t="str">
        <f t="shared" ref="F2611:G2611" si="7795">F2610</f>
        <v>fresh water</v>
      </c>
      <c r="G2611" s="401" t="str">
        <f t="shared" si="7795"/>
        <v>DE: PBSe fiber 0,1-1 mm (emission to fresh water)</v>
      </c>
      <c r="H2611" s="465">
        <v>0</v>
      </c>
      <c r="I2611" s="394" t="s">
        <v>1097</v>
      </c>
      <c r="J2611" s="635"/>
      <c r="K2611" s="389">
        <v>2.9614427292656194</v>
      </c>
      <c r="L2611" s="536"/>
      <c r="M2611" s="509">
        <f t="shared" si="7659"/>
        <v>84.418313253012045</v>
      </c>
      <c r="N2611" s="646"/>
      <c r="O2611" s="626"/>
      <c r="P2611" s="629"/>
      <c r="Q2611" s="629"/>
    </row>
    <row r="2612" spans="1:17" ht="15.75" hidden="1" thickBot="1">
      <c r="A2612" s="390" t="str">
        <f t="shared" ref="A2612:B2612" si="7796">A2609</f>
        <v>PBSe</v>
      </c>
      <c r="B2612" s="391" t="str">
        <f t="shared" si="7796"/>
        <v>fiber</v>
      </c>
      <c r="C2612" s="391">
        <f t="shared" ref="C2612" si="7797">C2611</f>
        <v>4</v>
      </c>
      <c r="D2612" s="391" t="str">
        <f t="shared" ref="D2612:E2612" si="7798">D2609</f>
        <v>0,1-1</v>
      </c>
      <c r="E2612" s="391">
        <f t="shared" si="7798"/>
        <v>1</v>
      </c>
      <c r="F2612" s="391" t="str">
        <f t="shared" ref="F2612:G2612" si="7799">F2611</f>
        <v>fresh water</v>
      </c>
      <c r="G2612" s="401" t="str">
        <f t="shared" si="7799"/>
        <v>DE: PBSe fiber 0,1-1 mm (emission to fresh water)</v>
      </c>
      <c r="H2612" s="465">
        <v>0.89</v>
      </c>
      <c r="I2612" s="394" t="s">
        <v>1162</v>
      </c>
      <c r="J2612" s="635"/>
      <c r="K2612" s="389">
        <v>2.5099999999999998</v>
      </c>
      <c r="L2612" s="536"/>
      <c r="M2612" s="509">
        <f t="shared" si="7659"/>
        <v>99.601593625498012</v>
      </c>
      <c r="N2612" s="646"/>
      <c r="O2612" s="626"/>
      <c r="P2612" s="629"/>
      <c r="Q2612" s="629"/>
    </row>
    <row r="2613" spans="1:17" ht="15.75" hidden="1" thickBot="1">
      <c r="A2613" s="390" t="str">
        <f t="shared" ref="A2613:B2613" si="7800">A2610</f>
        <v>PBSe</v>
      </c>
      <c r="B2613" s="391" t="str">
        <f t="shared" si="7800"/>
        <v>fiber</v>
      </c>
      <c r="C2613" s="391">
        <f t="shared" ref="C2613" si="7801">C2612</f>
        <v>4</v>
      </c>
      <c r="D2613" s="391" t="str">
        <f t="shared" ref="D2613:E2613" si="7802">D2610</f>
        <v>0,1-1</v>
      </c>
      <c r="E2613" s="391">
        <f t="shared" si="7802"/>
        <v>1</v>
      </c>
      <c r="F2613" s="391" t="str">
        <f t="shared" ref="F2613:G2613" si="7803">F2612</f>
        <v>fresh water</v>
      </c>
      <c r="G2613" s="401" t="str">
        <f t="shared" si="7803"/>
        <v>DE: PBSe fiber 0,1-1 mm (emission to fresh water)</v>
      </c>
      <c r="H2613" s="465">
        <v>0.11</v>
      </c>
      <c r="I2613" s="394" t="s">
        <v>1146</v>
      </c>
      <c r="J2613" s="635"/>
      <c r="K2613" s="389">
        <v>2.5099999999999998</v>
      </c>
      <c r="L2613" s="536"/>
      <c r="M2613" s="509">
        <f t="shared" si="7659"/>
        <v>99.601593625498012</v>
      </c>
      <c r="N2613" s="646"/>
      <c r="O2613" s="626"/>
      <c r="P2613" s="629"/>
      <c r="Q2613" s="629"/>
    </row>
    <row r="2614" spans="1:17" ht="15.75" hidden="1" thickBot="1">
      <c r="A2614" s="390" t="str">
        <f t="shared" ref="A2614:B2614" si="7804">A2611</f>
        <v>PBSe</v>
      </c>
      <c r="B2614" s="391" t="str">
        <f t="shared" si="7804"/>
        <v>fiber</v>
      </c>
      <c r="C2614" s="391">
        <f t="shared" ref="C2614" si="7805">C2613</f>
        <v>4</v>
      </c>
      <c r="D2614" s="391" t="str">
        <f t="shared" ref="D2614:E2614" si="7806">D2611</f>
        <v>0,1-1</v>
      </c>
      <c r="E2614" s="391">
        <f t="shared" si="7806"/>
        <v>1</v>
      </c>
      <c r="F2614" s="402" t="str">
        <f>F2611</f>
        <v>fresh water</v>
      </c>
      <c r="G2614" s="401" t="str">
        <f t="shared" ref="G2614" si="7807">G2613</f>
        <v>DE: PBSe fiber 0,1-1 mm (emission to fresh water)</v>
      </c>
      <c r="H2614" s="465">
        <v>0</v>
      </c>
      <c r="I2614" s="397" t="s">
        <v>1034</v>
      </c>
      <c r="J2614" s="654"/>
      <c r="K2614" s="398" t="s">
        <v>596</v>
      </c>
      <c r="L2614" s="538"/>
      <c r="M2614" s="509">
        <f t="shared" si="7659"/>
        <v>0</v>
      </c>
      <c r="N2614" s="647"/>
      <c r="O2614" s="627"/>
      <c r="P2614" s="629"/>
      <c r="Q2614" s="629"/>
    </row>
    <row r="2615" spans="1:17" ht="15.75" hidden="1" thickBot="1">
      <c r="A2615" s="390" t="str">
        <f t="shared" ref="A2615:B2615" si="7808">A2612</f>
        <v>PBSe</v>
      </c>
      <c r="B2615" s="391" t="str">
        <f t="shared" si="7808"/>
        <v>fiber</v>
      </c>
      <c r="C2615" s="391">
        <f t="shared" ref="C2615" si="7809">C2614</f>
        <v>4</v>
      </c>
      <c r="D2615" s="391" t="str">
        <f t="shared" ref="D2615:E2615" si="7810">D2612</f>
        <v>0,1-1</v>
      </c>
      <c r="E2615" s="391">
        <f t="shared" si="7810"/>
        <v>1</v>
      </c>
      <c r="F2615" s="385" t="s">
        <v>1097</v>
      </c>
      <c r="G2615" s="422" t="str">
        <f>CONCATENATE("DE: ",A2615," ",B2615," ",D2615," mm (emission to ",F2615,")")</f>
        <v>DE: PBSe fiber 0,1-1 mm (emission to marine water)</v>
      </c>
      <c r="H2615" s="467">
        <v>0</v>
      </c>
      <c r="I2615" s="388" t="s">
        <v>1153</v>
      </c>
      <c r="J2615" s="634">
        <v>0.22800000000000001</v>
      </c>
      <c r="K2615" s="389">
        <v>25.42</v>
      </c>
      <c r="L2615" s="536"/>
      <c r="M2615" s="509">
        <f t="shared" si="7659"/>
        <v>9.8347757671125091</v>
      </c>
      <c r="N2615" s="645">
        <f t="shared" si="7657"/>
        <v>99.601593625498012</v>
      </c>
      <c r="O2615" s="625"/>
      <c r="P2615" s="628">
        <f t="shared" si="7729"/>
        <v>99.601593625498012</v>
      </c>
      <c r="Q2615" s="628">
        <f t="shared" ref="Q2615:Q2675" si="7811">IFERROR(IF(H2615*M2615+H2616*M2616+H2617*M2617+H2618*M2618+H2619*M2619&gt;500,500,H2615*M2615+H2616*M2616+H2617*M2617+H2618*M2618+H2619*M2619),"N.A.")</f>
        <v>99.601593625498012</v>
      </c>
    </row>
    <row r="2616" spans="1:17" ht="15.75" hidden="1" thickBot="1">
      <c r="A2616" s="390" t="str">
        <f t="shared" ref="A2616:B2616" si="7812">A2613</f>
        <v>PBSe</v>
      </c>
      <c r="B2616" s="391" t="str">
        <f t="shared" si="7812"/>
        <v>fiber</v>
      </c>
      <c r="C2616" s="391">
        <f t="shared" ref="C2616" si="7813">C2615</f>
        <v>4</v>
      </c>
      <c r="D2616" s="391" t="str">
        <f t="shared" ref="D2616:E2616" si="7814">D2613</f>
        <v>0,1-1</v>
      </c>
      <c r="E2616" s="391">
        <f t="shared" si="7814"/>
        <v>1</v>
      </c>
      <c r="F2616" s="391" t="str">
        <f t="shared" ref="F2616:G2616" si="7815">F2615</f>
        <v>marine water</v>
      </c>
      <c r="G2616" s="401" t="str">
        <f t="shared" si="7815"/>
        <v>DE: PBSe fiber 0,1-1 mm (emission to marine water)</v>
      </c>
      <c r="H2616" s="465">
        <v>0</v>
      </c>
      <c r="I2616" s="394" t="s">
        <v>1097</v>
      </c>
      <c r="J2616" s="635"/>
      <c r="K2616" s="389">
        <v>2.9614427292656194</v>
      </c>
      <c r="L2616" s="536"/>
      <c r="M2616" s="509">
        <f t="shared" si="7659"/>
        <v>84.418313253012045</v>
      </c>
      <c r="N2616" s="646"/>
      <c r="O2616" s="626"/>
      <c r="P2616" s="629"/>
      <c r="Q2616" s="629"/>
    </row>
    <row r="2617" spans="1:17" ht="15.75" hidden="1" thickBot="1">
      <c r="A2617" s="390" t="str">
        <f t="shared" ref="A2617:B2617" si="7816">A2614</f>
        <v>PBSe</v>
      </c>
      <c r="B2617" s="391" t="str">
        <f t="shared" si="7816"/>
        <v>fiber</v>
      </c>
      <c r="C2617" s="391">
        <f t="shared" ref="C2617" si="7817">C2616</f>
        <v>4</v>
      </c>
      <c r="D2617" s="391" t="str">
        <f t="shared" ref="D2617:E2617" si="7818">D2614</f>
        <v>0,1-1</v>
      </c>
      <c r="E2617" s="391">
        <f t="shared" si="7818"/>
        <v>1</v>
      </c>
      <c r="F2617" s="391" t="str">
        <f t="shared" ref="F2617:G2617" si="7819">F2616</f>
        <v>marine water</v>
      </c>
      <c r="G2617" s="401" t="str">
        <f t="shared" si="7819"/>
        <v>DE: PBSe fiber 0,1-1 mm (emission to marine water)</v>
      </c>
      <c r="H2617" s="465">
        <v>0</v>
      </c>
      <c r="I2617" s="394" t="s">
        <v>1162</v>
      </c>
      <c r="J2617" s="635"/>
      <c r="K2617" s="389">
        <v>2.5099999999999998</v>
      </c>
      <c r="L2617" s="536"/>
      <c r="M2617" s="509">
        <f t="shared" si="7659"/>
        <v>99.601593625498012</v>
      </c>
      <c r="N2617" s="646"/>
      <c r="O2617" s="626"/>
      <c r="P2617" s="629"/>
      <c r="Q2617" s="629"/>
    </row>
    <row r="2618" spans="1:17" ht="15.75" hidden="1" thickBot="1">
      <c r="A2618" s="390" t="str">
        <f t="shared" ref="A2618:B2618" si="7820">A2615</f>
        <v>PBSe</v>
      </c>
      <c r="B2618" s="391" t="str">
        <f t="shared" si="7820"/>
        <v>fiber</v>
      </c>
      <c r="C2618" s="391">
        <f t="shared" ref="C2618" si="7821">C2617</f>
        <v>4</v>
      </c>
      <c r="D2618" s="391" t="str">
        <f t="shared" ref="D2618:E2618" si="7822">D2615</f>
        <v>0,1-1</v>
      </c>
      <c r="E2618" s="391">
        <f t="shared" si="7822"/>
        <v>1</v>
      </c>
      <c r="F2618" s="391" t="str">
        <f t="shared" ref="F2618:G2618" si="7823">F2617</f>
        <v>marine water</v>
      </c>
      <c r="G2618" s="401" t="str">
        <f t="shared" si="7823"/>
        <v>DE: PBSe fiber 0,1-1 mm (emission to marine water)</v>
      </c>
      <c r="H2618" s="465">
        <v>1</v>
      </c>
      <c r="I2618" s="394" t="s">
        <v>1146</v>
      </c>
      <c r="J2618" s="635"/>
      <c r="K2618" s="389">
        <v>2.5099999999999998</v>
      </c>
      <c r="L2618" s="536"/>
      <c r="M2618" s="509">
        <f t="shared" si="7659"/>
        <v>99.601593625498012</v>
      </c>
      <c r="N2618" s="646"/>
      <c r="O2618" s="626"/>
      <c r="P2618" s="629"/>
      <c r="Q2618" s="629"/>
    </row>
    <row r="2619" spans="1:17" ht="15.75" hidden="1" thickBot="1">
      <c r="A2619" s="390" t="str">
        <f t="shared" ref="A2619:B2619" si="7824">A2616</f>
        <v>PBSe</v>
      </c>
      <c r="B2619" s="391" t="str">
        <f t="shared" si="7824"/>
        <v>fiber</v>
      </c>
      <c r="C2619" s="391">
        <f t="shared" ref="C2619" si="7825">C2618</f>
        <v>4</v>
      </c>
      <c r="D2619" s="391" t="str">
        <f t="shared" ref="D2619:E2619" si="7826">D2616</f>
        <v>0,1-1</v>
      </c>
      <c r="E2619" s="391">
        <f t="shared" si="7826"/>
        <v>1</v>
      </c>
      <c r="F2619" s="391" t="str">
        <f t="shared" ref="F2619:G2619" si="7827">F2618</f>
        <v>marine water</v>
      </c>
      <c r="G2619" s="401" t="str">
        <f t="shared" si="7827"/>
        <v>DE: PBSe fiber 0,1-1 mm (emission to marine water)</v>
      </c>
      <c r="H2619" s="465">
        <v>0</v>
      </c>
      <c r="I2619" s="397" t="s">
        <v>1034</v>
      </c>
      <c r="J2619" s="654"/>
      <c r="K2619" s="398" t="s">
        <v>596</v>
      </c>
      <c r="L2619" s="538"/>
      <c r="M2619" s="509">
        <f t="shared" si="7659"/>
        <v>0</v>
      </c>
      <c r="N2619" s="647"/>
      <c r="O2619" s="627"/>
      <c r="P2619" s="629"/>
      <c r="Q2619" s="629"/>
    </row>
    <row r="2620" spans="1:17" ht="15.75" hidden="1" thickBot="1">
      <c r="A2620" s="390" t="str">
        <f t="shared" ref="A2620:B2620" si="7828">A2617</f>
        <v>PBSe</v>
      </c>
      <c r="B2620" s="391" t="str">
        <f t="shared" si="7828"/>
        <v>fiber</v>
      </c>
      <c r="C2620" s="391">
        <f t="shared" ref="C2620" si="7829">C2619</f>
        <v>4</v>
      </c>
      <c r="D2620" s="391" t="str">
        <f t="shared" ref="D2620:E2620" si="7830">D2617</f>
        <v>0,1-1</v>
      </c>
      <c r="E2620" s="391">
        <f t="shared" si="7830"/>
        <v>1</v>
      </c>
      <c r="F2620" s="400" t="s">
        <v>1057</v>
      </c>
      <c r="G2620" s="422" t="str">
        <f>CONCATENATE("DE: ",A2620," ",B2620," ",D2620," mm (emission to ",F2620,")")</f>
        <v>DE: PBSe fiber 0,1-1 mm (emission to air)</v>
      </c>
      <c r="H2620" s="467">
        <v>0.94799999999999995</v>
      </c>
      <c r="I2620" s="388" t="s">
        <v>1153</v>
      </c>
      <c r="J2620" s="634">
        <v>0.22800000000000001</v>
      </c>
      <c r="K2620" s="389">
        <v>25.42</v>
      </c>
      <c r="L2620" s="536"/>
      <c r="M2620" s="509">
        <f t="shared" si="7659"/>
        <v>9.8347757671125091</v>
      </c>
      <c r="N2620" s="645">
        <f t="shared" si="7657"/>
        <v>14.502650295748555</v>
      </c>
      <c r="O2620" s="625"/>
      <c r="P2620" s="628">
        <f t="shared" si="7729"/>
        <v>14.502650295748555</v>
      </c>
      <c r="Q2620" s="628">
        <f t="shared" si="7811"/>
        <v>14.502650295748555</v>
      </c>
    </row>
    <row r="2621" spans="1:17" ht="15.75" hidden="1" thickBot="1">
      <c r="A2621" s="390" t="str">
        <f t="shared" ref="A2621:B2621" si="7831">A2618</f>
        <v>PBSe</v>
      </c>
      <c r="B2621" s="391" t="str">
        <f t="shared" si="7831"/>
        <v>fiber</v>
      </c>
      <c r="C2621" s="391">
        <f t="shared" ref="C2621" si="7832">C2620</f>
        <v>4</v>
      </c>
      <c r="D2621" s="391" t="str">
        <f t="shared" ref="D2621:E2621" si="7833">D2618</f>
        <v>0,1-1</v>
      </c>
      <c r="E2621" s="391">
        <f t="shared" si="7833"/>
        <v>1</v>
      </c>
      <c r="F2621" s="391" t="str">
        <f t="shared" ref="F2621:G2621" si="7834">F2620</f>
        <v>air</v>
      </c>
      <c r="G2621" s="401" t="str">
        <f t="shared" si="7834"/>
        <v>DE: PBSe fiber 0,1-1 mm (emission to air)</v>
      </c>
      <c r="H2621" s="465">
        <v>0</v>
      </c>
      <c r="I2621" s="394" t="s">
        <v>1097</v>
      </c>
      <c r="J2621" s="635"/>
      <c r="K2621" s="389">
        <v>2.9614427292656194</v>
      </c>
      <c r="L2621" s="536"/>
      <c r="M2621" s="509">
        <f t="shared" si="7659"/>
        <v>84.418313253012045</v>
      </c>
      <c r="N2621" s="646"/>
      <c r="O2621" s="626"/>
      <c r="P2621" s="629"/>
      <c r="Q2621" s="629"/>
    </row>
    <row r="2622" spans="1:17" ht="15.75" hidden="1" thickBot="1">
      <c r="A2622" s="390" t="str">
        <f t="shared" ref="A2622:B2622" si="7835">A2619</f>
        <v>PBSe</v>
      </c>
      <c r="B2622" s="391" t="str">
        <f t="shared" si="7835"/>
        <v>fiber</v>
      </c>
      <c r="C2622" s="391">
        <f t="shared" ref="C2622" si="7836">C2621</f>
        <v>4</v>
      </c>
      <c r="D2622" s="391" t="str">
        <f t="shared" ref="D2622:E2622" si="7837">D2619</f>
        <v>0,1-1</v>
      </c>
      <c r="E2622" s="391">
        <f t="shared" si="7837"/>
        <v>1</v>
      </c>
      <c r="F2622" s="391" t="str">
        <f t="shared" ref="F2622:G2622" si="7838">F2621</f>
        <v>air</v>
      </c>
      <c r="G2622" s="401" t="str">
        <f t="shared" si="7838"/>
        <v>DE: PBSe fiber 0,1-1 mm (emission to air)</v>
      </c>
      <c r="H2622" s="465">
        <v>4.7E-2</v>
      </c>
      <c r="I2622" s="394" t="s">
        <v>1162</v>
      </c>
      <c r="J2622" s="635"/>
      <c r="K2622" s="389">
        <v>2.5099999999999998</v>
      </c>
      <c r="L2622" s="536"/>
      <c r="M2622" s="509">
        <f t="shared" si="7659"/>
        <v>99.601593625498012</v>
      </c>
      <c r="N2622" s="646"/>
      <c r="O2622" s="626"/>
      <c r="P2622" s="629"/>
      <c r="Q2622" s="629"/>
    </row>
    <row r="2623" spans="1:17" ht="15.75" hidden="1" thickBot="1">
      <c r="A2623" s="390" t="str">
        <f t="shared" ref="A2623:B2623" si="7839">A2620</f>
        <v>PBSe</v>
      </c>
      <c r="B2623" s="391" t="str">
        <f t="shared" si="7839"/>
        <v>fiber</v>
      </c>
      <c r="C2623" s="391">
        <f t="shared" ref="C2623" si="7840">C2622</f>
        <v>4</v>
      </c>
      <c r="D2623" s="391" t="str">
        <f t="shared" ref="D2623:E2623" si="7841">D2620</f>
        <v>0,1-1</v>
      </c>
      <c r="E2623" s="391">
        <f t="shared" si="7841"/>
        <v>1</v>
      </c>
      <c r="F2623" s="391" t="str">
        <f t="shared" ref="F2623:G2623" si="7842">F2622</f>
        <v>air</v>
      </c>
      <c r="G2623" s="401" t="str">
        <f t="shared" si="7842"/>
        <v>DE: PBSe fiber 0,1-1 mm (emission to air)</v>
      </c>
      <c r="H2623" s="465">
        <v>5.0000000000000001E-3</v>
      </c>
      <c r="I2623" s="394" t="s">
        <v>1146</v>
      </c>
      <c r="J2623" s="635"/>
      <c r="K2623" s="389">
        <v>2.5099999999999998</v>
      </c>
      <c r="L2623" s="536"/>
      <c r="M2623" s="509">
        <f t="shared" si="7659"/>
        <v>99.601593625498012</v>
      </c>
      <c r="N2623" s="646"/>
      <c r="O2623" s="626"/>
      <c r="P2623" s="629"/>
      <c r="Q2623" s="629"/>
    </row>
    <row r="2624" spans="1:17" ht="15.75" hidden="1" thickBot="1">
      <c r="A2624" s="390" t="str">
        <f t="shared" ref="A2624:B2624" si="7843">A2619</f>
        <v>PBSe</v>
      </c>
      <c r="B2624" s="391" t="str">
        <f t="shared" si="7843"/>
        <v>fiber</v>
      </c>
      <c r="C2624" s="391">
        <f t="shared" ref="C2624" si="7844">C2623</f>
        <v>4</v>
      </c>
      <c r="D2624" s="391" t="str">
        <f t="shared" ref="D2624:E2624" si="7845">D2619</f>
        <v>0,1-1</v>
      </c>
      <c r="E2624" s="391">
        <f t="shared" si="7845"/>
        <v>1</v>
      </c>
      <c r="F2624" s="391" t="str">
        <f t="shared" ref="F2624:G2624" si="7846">F2623</f>
        <v>air</v>
      </c>
      <c r="G2624" s="401" t="str">
        <f t="shared" si="7846"/>
        <v>DE: PBSe fiber 0,1-1 mm (emission to air)</v>
      </c>
      <c r="H2624" s="471">
        <v>0</v>
      </c>
      <c r="I2624" s="422" t="s">
        <v>1034</v>
      </c>
      <c r="J2624" s="636"/>
      <c r="K2624" s="451" t="s">
        <v>596</v>
      </c>
      <c r="L2624" s="542"/>
      <c r="M2624" s="509">
        <f t="shared" si="7659"/>
        <v>0</v>
      </c>
      <c r="N2624" s="647"/>
      <c r="O2624" s="627"/>
      <c r="P2624" s="629"/>
      <c r="Q2624" s="629"/>
    </row>
    <row r="2625" spans="1:17" ht="15.75" hidden="1" thickBot="1">
      <c r="A2625" s="405" t="s">
        <v>1078</v>
      </c>
      <c r="B2625" s="406" t="s">
        <v>1151</v>
      </c>
      <c r="C2625" s="407">
        <v>4</v>
      </c>
      <c r="D2625" s="423" t="s">
        <v>1026</v>
      </c>
      <c r="E2625" s="408">
        <v>10</v>
      </c>
      <c r="F2625" s="424" t="s">
        <v>1019</v>
      </c>
      <c r="G2625" s="425" t="str">
        <f>CONCATENATE("DE: ",A2625," ",B2625," ",D2625," mm (emission to ",F2625,")")</f>
        <v>DE: PBSe fiber 1-10 mm (emission to soil)</v>
      </c>
      <c r="H2625" s="474">
        <v>0.97</v>
      </c>
      <c r="I2625" s="427" t="s">
        <v>1153</v>
      </c>
      <c r="J2625" s="632">
        <v>0.22800000000000001</v>
      </c>
      <c r="K2625" s="428">
        <v>25.42</v>
      </c>
      <c r="L2625" s="539"/>
      <c r="M2625" s="509">
        <f t="shared" si="7659"/>
        <v>98.347757671125095</v>
      </c>
      <c r="N2625" s="645">
        <f t="shared" si="7657"/>
        <v>125.27780302864075</v>
      </c>
      <c r="O2625" s="625"/>
      <c r="P2625" s="628">
        <f t="shared" si="7729"/>
        <v>100</v>
      </c>
      <c r="Q2625" s="628">
        <f t="shared" si="7811"/>
        <v>125.27780302864075</v>
      </c>
    </row>
    <row r="2626" spans="1:17" ht="15.75" hidden="1" thickBot="1">
      <c r="A2626" s="390" t="str">
        <f>A2625</f>
        <v>PBSe</v>
      </c>
      <c r="B2626" s="391" t="str">
        <f>B2625</f>
        <v>fiber</v>
      </c>
      <c r="C2626" s="391">
        <f t="shared" ref="C2626:G2626" si="7847">C2625</f>
        <v>4</v>
      </c>
      <c r="D2626" s="391" t="str">
        <f t="shared" si="7847"/>
        <v>1-10</v>
      </c>
      <c r="E2626" s="391">
        <f t="shared" si="7847"/>
        <v>10</v>
      </c>
      <c r="F2626" s="391" t="str">
        <f t="shared" si="7847"/>
        <v>soil</v>
      </c>
      <c r="G2626" s="392" t="str">
        <f t="shared" si="7847"/>
        <v>DE: PBSe fiber 1-10 mm (emission to soil)</v>
      </c>
      <c r="H2626" s="465">
        <v>0</v>
      </c>
      <c r="I2626" s="394" t="s">
        <v>1097</v>
      </c>
      <c r="J2626" s="632"/>
      <c r="K2626" s="395">
        <v>2.9614427292656194</v>
      </c>
      <c r="L2626" s="537"/>
      <c r="M2626" s="509">
        <f t="shared" si="7659"/>
        <v>844.18313253012047</v>
      </c>
      <c r="N2626" s="646"/>
      <c r="O2626" s="626"/>
      <c r="P2626" s="629"/>
      <c r="Q2626" s="629"/>
    </row>
    <row r="2627" spans="1:17" ht="15.75" hidden="1" thickBot="1">
      <c r="A2627" s="390" t="str">
        <f t="shared" ref="A2627:G2627" si="7848">A2626</f>
        <v>PBSe</v>
      </c>
      <c r="B2627" s="391" t="str">
        <f t="shared" si="7848"/>
        <v>fiber</v>
      </c>
      <c r="C2627" s="391">
        <f t="shared" si="7848"/>
        <v>4</v>
      </c>
      <c r="D2627" s="391" t="str">
        <f t="shared" si="7848"/>
        <v>1-10</v>
      </c>
      <c r="E2627" s="391">
        <f t="shared" si="7848"/>
        <v>10</v>
      </c>
      <c r="F2627" s="391" t="str">
        <f t="shared" si="7848"/>
        <v>soil</v>
      </c>
      <c r="G2627" s="392" t="str">
        <f t="shared" si="7848"/>
        <v>DE: PBSe fiber 1-10 mm (emission to soil)</v>
      </c>
      <c r="H2627" s="465">
        <v>2.7E-2</v>
      </c>
      <c r="I2627" s="394" t="s">
        <v>1162</v>
      </c>
      <c r="J2627" s="632"/>
      <c r="K2627" s="395">
        <v>2.5099999999999998</v>
      </c>
      <c r="L2627" s="537"/>
      <c r="M2627" s="509">
        <f t="shared" si="7659"/>
        <v>996.01593625498015</v>
      </c>
      <c r="N2627" s="646"/>
      <c r="O2627" s="626"/>
      <c r="P2627" s="629"/>
      <c r="Q2627" s="629"/>
    </row>
    <row r="2628" spans="1:17" ht="15.75" hidden="1" thickBot="1">
      <c r="A2628" s="390" t="str">
        <f t="shared" ref="A2628:G2628" si="7849">A2627</f>
        <v>PBSe</v>
      </c>
      <c r="B2628" s="391" t="str">
        <f t="shared" si="7849"/>
        <v>fiber</v>
      </c>
      <c r="C2628" s="391">
        <f t="shared" si="7849"/>
        <v>4</v>
      </c>
      <c r="D2628" s="391" t="str">
        <f t="shared" si="7849"/>
        <v>1-10</v>
      </c>
      <c r="E2628" s="391">
        <f t="shared" si="7849"/>
        <v>10</v>
      </c>
      <c r="F2628" s="391" t="str">
        <f t="shared" si="7849"/>
        <v>soil</v>
      </c>
      <c r="G2628" s="392" t="str">
        <f t="shared" si="7849"/>
        <v>DE: PBSe fiber 1-10 mm (emission to soil)</v>
      </c>
      <c r="H2628" s="465">
        <v>3.0000000000000001E-3</v>
      </c>
      <c r="I2628" s="394" t="s">
        <v>1146</v>
      </c>
      <c r="J2628" s="632"/>
      <c r="K2628" s="395">
        <v>2.5099999999999998</v>
      </c>
      <c r="L2628" s="537"/>
      <c r="M2628" s="509">
        <f t="shared" si="7659"/>
        <v>996.01593625498015</v>
      </c>
      <c r="N2628" s="646"/>
      <c r="O2628" s="626"/>
      <c r="P2628" s="629"/>
      <c r="Q2628" s="629"/>
    </row>
    <row r="2629" spans="1:17" ht="15.75" hidden="1" thickBot="1">
      <c r="A2629" s="390" t="str">
        <f>A2626</f>
        <v>PBSe</v>
      </c>
      <c r="B2629" s="391" t="str">
        <f>B2626</f>
        <v>fiber</v>
      </c>
      <c r="C2629" s="391">
        <f t="shared" ref="C2629" si="7850">C2628</f>
        <v>4</v>
      </c>
      <c r="D2629" s="391" t="str">
        <f>D2626</f>
        <v>1-10</v>
      </c>
      <c r="E2629" s="391">
        <f>E2626</f>
        <v>10</v>
      </c>
      <c r="F2629" s="391" t="str">
        <f>F2626</f>
        <v>soil</v>
      </c>
      <c r="G2629" s="396" t="str">
        <f t="shared" ref="G2629" si="7851">G2628</f>
        <v>DE: PBSe fiber 1-10 mm (emission to soil)</v>
      </c>
      <c r="H2629" s="465">
        <v>0</v>
      </c>
      <c r="I2629" s="397" t="s">
        <v>1034</v>
      </c>
      <c r="J2629" s="633"/>
      <c r="K2629" s="398" t="s">
        <v>596</v>
      </c>
      <c r="L2629" s="538"/>
      <c r="M2629" s="509">
        <f t="shared" si="7659"/>
        <v>0</v>
      </c>
      <c r="N2629" s="647"/>
      <c r="O2629" s="627"/>
      <c r="P2629" s="629"/>
      <c r="Q2629" s="629"/>
    </row>
    <row r="2630" spans="1:17" ht="15.75" hidden="1" thickBot="1">
      <c r="A2630" s="390" t="str">
        <f t="shared" ref="A2630:B2630" si="7852">A2627</f>
        <v>PBSe</v>
      </c>
      <c r="B2630" s="391" t="str">
        <f t="shared" si="7852"/>
        <v>fiber</v>
      </c>
      <c r="C2630" s="391">
        <f t="shared" ref="C2630" si="7853">C2629</f>
        <v>4</v>
      </c>
      <c r="D2630" s="399" t="str">
        <f t="shared" ref="D2630:E2630" si="7854">D2627</f>
        <v>1-10</v>
      </c>
      <c r="E2630" s="391">
        <f t="shared" si="7854"/>
        <v>10</v>
      </c>
      <c r="F2630" s="400" t="s">
        <v>1147</v>
      </c>
      <c r="G2630" s="386" t="str">
        <f>CONCATENATE("DE: ",A2630," ",B2630," ",D2630," mm (emission to ",F2630,")")</f>
        <v>DE: PBSe fiber 1-10 mm (emission to fresh water)</v>
      </c>
      <c r="H2630" s="466">
        <v>0</v>
      </c>
      <c r="I2630" s="388" t="s">
        <v>1153</v>
      </c>
      <c r="J2630" s="634">
        <v>0.22800000000000001</v>
      </c>
      <c r="K2630" s="389">
        <v>25.42</v>
      </c>
      <c r="L2630" s="536"/>
      <c r="M2630" s="509">
        <f t="shared" ref="M2630:M2693" si="7855">IFERROR(IF(K2630="--",0,IF(E2630*1000/K2630*(1-0.5)^(C2630/2)&gt;1000,1000,E2630*1000/K2630*(1-0.5)^(C2630/2))),1000)</f>
        <v>98.347757671125095</v>
      </c>
      <c r="N2630" s="645">
        <f t="shared" ref="N2630:N2690" si="7856">IFERROR(H2630*M2630+H2631*M2631+H2632*M2632+H2633*M2633+H2634*M2634,"N.A.")</f>
        <v>996.01593625498015</v>
      </c>
      <c r="O2630" s="625"/>
      <c r="P2630" s="628">
        <f t="shared" si="7729"/>
        <v>100</v>
      </c>
      <c r="Q2630" s="628">
        <f t="shared" si="7811"/>
        <v>500</v>
      </c>
    </row>
    <row r="2631" spans="1:17" ht="15.75" hidden="1" thickBot="1">
      <c r="A2631" s="390" t="str">
        <f t="shared" ref="A2631:B2631" si="7857">A2628</f>
        <v>PBSe</v>
      </c>
      <c r="B2631" s="391" t="str">
        <f t="shared" si="7857"/>
        <v>fiber</v>
      </c>
      <c r="C2631" s="391">
        <f t="shared" ref="C2631" si="7858">C2630</f>
        <v>4</v>
      </c>
      <c r="D2631" s="391" t="str">
        <f t="shared" ref="D2631:E2631" si="7859">D2628</f>
        <v>1-10</v>
      </c>
      <c r="E2631" s="391">
        <f t="shared" si="7859"/>
        <v>10</v>
      </c>
      <c r="F2631" s="391" t="str">
        <f t="shared" ref="F2631:G2631" si="7860">F2630</f>
        <v>fresh water</v>
      </c>
      <c r="G2631" s="401" t="str">
        <f t="shared" si="7860"/>
        <v>DE: PBSe fiber 1-10 mm (emission to fresh water)</v>
      </c>
      <c r="H2631" s="465">
        <v>0</v>
      </c>
      <c r="I2631" s="394" t="s">
        <v>1097</v>
      </c>
      <c r="J2631" s="635"/>
      <c r="K2631" s="389">
        <v>2.9614427292656194</v>
      </c>
      <c r="L2631" s="536"/>
      <c r="M2631" s="509">
        <f t="shared" si="7855"/>
        <v>844.18313253012047</v>
      </c>
      <c r="N2631" s="646"/>
      <c r="O2631" s="626"/>
      <c r="P2631" s="629"/>
      <c r="Q2631" s="629"/>
    </row>
    <row r="2632" spans="1:17" ht="15.75" hidden="1" thickBot="1">
      <c r="A2632" s="390" t="str">
        <f t="shared" ref="A2632:B2632" si="7861">A2629</f>
        <v>PBSe</v>
      </c>
      <c r="B2632" s="391" t="str">
        <f t="shared" si="7861"/>
        <v>fiber</v>
      </c>
      <c r="C2632" s="391">
        <f t="shared" ref="C2632" si="7862">C2631</f>
        <v>4</v>
      </c>
      <c r="D2632" s="391" t="str">
        <f t="shared" ref="D2632:E2632" si="7863">D2629</f>
        <v>1-10</v>
      </c>
      <c r="E2632" s="391">
        <f t="shared" si="7863"/>
        <v>10</v>
      </c>
      <c r="F2632" s="391" t="str">
        <f t="shared" ref="F2632:G2632" si="7864">F2631</f>
        <v>fresh water</v>
      </c>
      <c r="G2632" s="401" t="str">
        <f t="shared" si="7864"/>
        <v>DE: PBSe fiber 1-10 mm (emission to fresh water)</v>
      </c>
      <c r="H2632" s="465">
        <v>0.89</v>
      </c>
      <c r="I2632" s="394" t="s">
        <v>1162</v>
      </c>
      <c r="J2632" s="635"/>
      <c r="K2632" s="389">
        <v>2.5099999999999998</v>
      </c>
      <c r="L2632" s="536"/>
      <c r="M2632" s="509">
        <f t="shared" si="7855"/>
        <v>996.01593625498015</v>
      </c>
      <c r="N2632" s="646"/>
      <c r="O2632" s="626"/>
      <c r="P2632" s="629"/>
      <c r="Q2632" s="629"/>
    </row>
    <row r="2633" spans="1:17" ht="15.75" hidden="1" thickBot="1">
      <c r="A2633" s="390" t="str">
        <f t="shared" ref="A2633:B2633" si="7865">A2630</f>
        <v>PBSe</v>
      </c>
      <c r="B2633" s="391" t="str">
        <f t="shared" si="7865"/>
        <v>fiber</v>
      </c>
      <c r="C2633" s="391">
        <f t="shared" ref="C2633" si="7866">C2632</f>
        <v>4</v>
      </c>
      <c r="D2633" s="391" t="str">
        <f t="shared" ref="D2633:E2633" si="7867">D2630</f>
        <v>1-10</v>
      </c>
      <c r="E2633" s="391">
        <f t="shared" si="7867"/>
        <v>10</v>
      </c>
      <c r="F2633" s="391" t="str">
        <f t="shared" ref="F2633:G2633" si="7868">F2632</f>
        <v>fresh water</v>
      </c>
      <c r="G2633" s="401" t="str">
        <f t="shared" si="7868"/>
        <v>DE: PBSe fiber 1-10 mm (emission to fresh water)</v>
      </c>
      <c r="H2633" s="465">
        <v>0.11</v>
      </c>
      <c r="I2633" s="394" t="s">
        <v>1146</v>
      </c>
      <c r="J2633" s="635"/>
      <c r="K2633" s="389">
        <v>2.5099999999999998</v>
      </c>
      <c r="L2633" s="536"/>
      <c r="M2633" s="509">
        <f t="shared" si="7855"/>
        <v>996.01593625498015</v>
      </c>
      <c r="N2633" s="646"/>
      <c r="O2633" s="626"/>
      <c r="P2633" s="629"/>
      <c r="Q2633" s="629"/>
    </row>
    <row r="2634" spans="1:17" ht="15.75" hidden="1" thickBot="1">
      <c r="A2634" s="390" t="str">
        <f t="shared" ref="A2634:B2634" si="7869">A2631</f>
        <v>PBSe</v>
      </c>
      <c r="B2634" s="391" t="str">
        <f t="shared" si="7869"/>
        <v>fiber</v>
      </c>
      <c r="C2634" s="391">
        <f t="shared" ref="C2634" si="7870">C2633</f>
        <v>4</v>
      </c>
      <c r="D2634" s="391" t="str">
        <f t="shared" ref="D2634:E2634" si="7871">D2631</f>
        <v>1-10</v>
      </c>
      <c r="E2634" s="391">
        <f t="shared" si="7871"/>
        <v>10</v>
      </c>
      <c r="F2634" s="402" t="str">
        <f>F2631</f>
        <v>fresh water</v>
      </c>
      <c r="G2634" s="401" t="str">
        <f t="shared" ref="G2634" si="7872">G2633</f>
        <v>DE: PBSe fiber 1-10 mm (emission to fresh water)</v>
      </c>
      <c r="H2634" s="465">
        <v>0</v>
      </c>
      <c r="I2634" s="397" t="s">
        <v>1034</v>
      </c>
      <c r="J2634" s="654"/>
      <c r="K2634" s="398" t="s">
        <v>596</v>
      </c>
      <c r="L2634" s="538"/>
      <c r="M2634" s="509">
        <f t="shared" si="7855"/>
        <v>0</v>
      </c>
      <c r="N2634" s="647"/>
      <c r="O2634" s="627"/>
      <c r="P2634" s="629"/>
      <c r="Q2634" s="629"/>
    </row>
    <row r="2635" spans="1:17" ht="15.75" hidden="1" thickBot="1">
      <c r="A2635" s="390" t="str">
        <f t="shared" ref="A2635:B2635" si="7873">A2632</f>
        <v>PBSe</v>
      </c>
      <c r="B2635" s="391" t="str">
        <f t="shared" si="7873"/>
        <v>fiber</v>
      </c>
      <c r="C2635" s="391">
        <f t="shared" ref="C2635" si="7874">C2634</f>
        <v>4</v>
      </c>
      <c r="D2635" s="391" t="str">
        <f t="shared" ref="D2635:E2635" si="7875">D2632</f>
        <v>1-10</v>
      </c>
      <c r="E2635" s="391">
        <f t="shared" si="7875"/>
        <v>10</v>
      </c>
      <c r="F2635" s="385" t="s">
        <v>1097</v>
      </c>
      <c r="G2635" s="422" t="str">
        <f>CONCATENATE("DE: ",A2635," ",B2635," ",D2635," mm (emission to ",F2635,")")</f>
        <v>DE: PBSe fiber 1-10 mm (emission to marine water)</v>
      </c>
      <c r="H2635" s="467">
        <v>0</v>
      </c>
      <c r="I2635" s="388" t="s">
        <v>1153</v>
      </c>
      <c r="J2635" s="634">
        <v>0.22800000000000001</v>
      </c>
      <c r="K2635" s="389">
        <v>25.42</v>
      </c>
      <c r="L2635" s="536"/>
      <c r="M2635" s="509">
        <f t="shared" si="7855"/>
        <v>98.347757671125095</v>
      </c>
      <c r="N2635" s="645">
        <f t="shared" si="7856"/>
        <v>996.01593625498015</v>
      </c>
      <c r="O2635" s="625"/>
      <c r="P2635" s="628">
        <f t="shared" si="7729"/>
        <v>100</v>
      </c>
      <c r="Q2635" s="628">
        <f t="shared" si="7811"/>
        <v>500</v>
      </c>
    </row>
    <row r="2636" spans="1:17" ht="15.75" hidden="1" thickBot="1">
      <c r="A2636" s="390" t="str">
        <f t="shared" ref="A2636:B2636" si="7876">A2633</f>
        <v>PBSe</v>
      </c>
      <c r="B2636" s="391" t="str">
        <f t="shared" si="7876"/>
        <v>fiber</v>
      </c>
      <c r="C2636" s="391">
        <f t="shared" ref="C2636" si="7877">C2635</f>
        <v>4</v>
      </c>
      <c r="D2636" s="391" t="str">
        <f t="shared" ref="D2636:E2636" si="7878">D2633</f>
        <v>1-10</v>
      </c>
      <c r="E2636" s="391">
        <f t="shared" si="7878"/>
        <v>10</v>
      </c>
      <c r="F2636" s="391" t="str">
        <f t="shared" ref="F2636:G2636" si="7879">F2635</f>
        <v>marine water</v>
      </c>
      <c r="G2636" s="401" t="str">
        <f t="shared" si="7879"/>
        <v>DE: PBSe fiber 1-10 mm (emission to marine water)</v>
      </c>
      <c r="H2636" s="465">
        <v>0</v>
      </c>
      <c r="I2636" s="394" t="s">
        <v>1097</v>
      </c>
      <c r="J2636" s="635"/>
      <c r="K2636" s="389">
        <v>2.9614427292656194</v>
      </c>
      <c r="L2636" s="536"/>
      <c r="M2636" s="509">
        <f t="shared" si="7855"/>
        <v>844.18313253012047</v>
      </c>
      <c r="N2636" s="646"/>
      <c r="O2636" s="626"/>
      <c r="P2636" s="629"/>
      <c r="Q2636" s="629"/>
    </row>
    <row r="2637" spans="1:17" ht="15.75" hidden="1" thickBot="1">
      <c r="A2637" s="390" t="str">
        <f t="shared" ref="A2637:B2637" si="7880">A2634</f>
        <v>PBSe</v>
      </c>
      <c r="B2637" s="391" t="str">
        <f t="shared" si="7880"/>
        <v>fiber</v>
      </c>
      <c r="C2637" s="391">
        <f t="shared" ref="C2637" si="7881">C2636</f>
        <v>4</v>
      </c>
      <c r="D2637" s="391" t="str">
        <f t="shared" ref="D2637:E2637" si="7882">D2634</f>
        <v>1-10</v>
      </c>
      <c r="E2637" s="391">
        <f t="shared" si="7882"/>
        <v>10</v>
      </c>
      <c r="F2637" s="391" t="str">
        <f t="shared" ref="F2637:G2637" si="7883">F2636</f>
        <v>marine water</v>
      </c>
      <c r="G2637" s="401" t="str">
        <f t="shared" si="7883"/>
        <v>DE: PBSe fiber 1-10 mm (emission to marine water)</v>
      </c>
      <c r="H2637" s="465">
        <v>0</v>
      </c>
      <c r="I2637" s="394" t="s">
        <v>1162</v>
      </c>
      <c r="J2637" s="635"/>
      <c r="K2637" s="389">
        <v>2.5099999999999998</v>
      </c>
      <c r="L2637" s="536"/>
      <c r="M2637" s="509">
        <f t="shared" si="7855"/>
        <v>996.01593625498015</v>
      </c>
      <c r="N2637" s="646"/>
      <c r="O2637" s="626"/>
      <c r="P2637" s="629"/>
      <c r="Q2637" s="629"/>
    </row>
    <row r="2638" spans="1:17" ht="15.75" hidden="1" thickBot="1">
      <c r="A2638" s="390" t="str">
        <f t="shared" ref="A2638:B2638" si="7884">A2635</f>
        <v>PBSe</v>
      </c>
      <c r="B2638" s="391" t="str">
        <f t="shared" si="7884"/>
        <v>fiber</v>
      </c>
      <c r="C2638" s="391">
        <f t="shared" ref="C2638" si="7885">C2637</f>
        <v>4</v>
      </c>
      <c r="D2638" s="391" t="str">
        <f t="shared" ref="D2638:E2638" si="7886">D2635</f>
        <v>1-10</v>
      </c>
      <c r="E2638" s="391">
        <f t="shared" si="7886"/>
        <v>10</v>
      </c>
      <c r="F2638" s="391" t="str">
        <f t="shared" ref="F2638:G2638" si="7887">F2637</f>
        <v>marine water</v>
      </c>
      <c r="G2638" s="401" t="str">
        <f t="shared" si="7887"/>
        <v>DE: PBSe fiber 1-10 mm (emission to marine water)</v>
      </c>
      <c r="H2638" s="465">
        <v>1</v>
      </c>
      <c r="I2638" s="394" t="s">
        <v>1146</v>
      </c>
      <c r="J2638" s="635"/>
      <c r="K2638" s="389">
        <v>2.5099999999999998</v>
      </c>
      <c r="L2638" s="536"/>
      <c r="M2638" s="509">
        <f t="shared" si="7855"/>
        <v>996.01593625498015</v>
      </c>
      <c r="N2638" s="646"/>
      <c r="O2638" s="626"/>
      <c r="P2638" s="629"/>
      <c r="Q2638" s="629"/>
    </row>
    <row r="2639" spans="1:17" ht="15.75" hidden="1" thickBot="1">
      <c r="A2639" s="390" t="str">
        <f t="shared" ref="A2639:B2639" si="7888">A2636</f>
        <v>PBSe</v>
      </c>
      <c r="B2639" s="391" t="str">
        <f t="shared" si="7888"/>
        <v>fiber</v>
      </c>
      <c r="C2639" s="391">
        <f t="shared" ref="C2639" si="7889">C2638</f>
        <v>4</v>
      </c>
      <c r="D2639" s="391" t="str">
        <f t="shared" ref="D2639:E2639" si="7890">D2636</f>
        <v>1-10</v>
      </c>
      <c r="E2639" s="391">
        <f t="shared" si="7890"/>
        <v>10</v>
      </c>
      <c r="F2639" s="391" t="str">
        <f t="shared" ref="F2639:G2639" si="7891">F2638</f>
        <v>marine water</v>
      </c>
      <c r="G2639" s="401" t="str">
        <f t="shared" si="7891"/>
        <v>DE: PBSe fiber 1-10 mm (emission to marine water)</v>
      </c>
      <c r="H2639" s="465">
        <v>0</v>
      </c>
      <c r="I2639" s="397" t="s">
        <v>1034</v>
      </c>
      <c r="J2639" s="654"/>
      <c r="K2639" s="398" t="s">
        <v>596</v>
      </c>
      <c r="L2639" s="538"/>
      <c r="M2639" s="509">
        <f t="shared" si="7855"/>
        <v>0</v>
      </c>
      <c r="N2639" s="647"/>
      <c r="O2639" s="627"/>
      <c r="P2639" s="629"/>
      <c r="Q2639" s="629"/>
    </row>
    <row r="2640" spans="1:17" ht="15.75" hidden="1" thickBot="1">
      <c r="A2640" s="390" t="str">
        <f t="shared" ref="A2640:B2640" si="7892">A2637</f>
        <v>PBSe</v>
      </c>
      <c r="B2640" s="391" t="str">
        <f t="shared" si="7892"/>
        <v>fiber</v>
      </c>
      <c r="C2640" s="391">
        <f t="shared" ref="C2640" si="7893">C2639</f>
        <v>4</v>
      </c>
      <c r="D2640" s="391" t="str">
        <f t="shared" ref="D2640:E2640" si="7894">D2637</f>
        <v>1-10</v>
      </c>
      <c r="E2640" s="391">
        <f t="shared" si="7894"/>
        <v>10</v>
      </c>
      <c r="F2640" s="400" t="s">
        <v>1057</v>
      </c>
      <c r="G2640" s="422" t="str">
        <f>CONCATENATE("DE: ",A2640," ",B2640," ",D2640," mm (emission to ",F2640,")")</f>
        <v>DE: PBSe fiber 1-10 mm (emission to air)</v>
      </c>
      <c r="H2640" s="467">
        <v>0.94799999999999995</v>
      </c>
      <c r="I2640" s="388" t="s">
        <v>1153</v>
      </c>
      <c r="J2640" s="634">
        <v>0.22800000000000001</v>
      </c>
      <c r="K2640" s="389">
        <v>25.42</v>
      </c>
      <c r="L2640" s="536"/>
      <c r="M2640" s="509">
        <f t="shared" si="7855"/>
        <v>98.347757671125095</v>
      </c>
      <c r="N2640" s="645">
        <f t="shared" si="7856"/>
        <v>145.02650295748555</v>
      </c>
      <c r="O2640" s="625"/>
      <c r="P2640" s="628">
        <f t="shared" si="7729"/>
        <v>100</v>
      </c>
      <c r="Q2640" s="628">
        <f t="shared" si="7811"/>
        <v>145.02650295748555</v>
      </c>
    </row>
    <row r="2641" spans="1:17" ht="15.75" hidden="1" thickBot="1">
      <c r="A2641" s="390" t="str">
        <f t="shared" ref="A2641:B2641" si="7895">A2638</f>
        <v>PBSe</v>
      </c>
      <c r="B2641" s="391" t="str">
        <f t="shared" si="7895"/>
        <v>fiber</v>
      </c>
      <c r="C2641" s="391">
        <f t="shared" ref="C2641" si="7896">C2640</f>
        <v>4</v>
      </c>
      <c r="D2641" s="391" t="str">
        <f t="shared" ref="D2641:E2641" si="7897">D2638</f>
        <v>1-10</v>
      </c>
      <c r="E2641" s="391">
        <f t="shared" si="7897"/>
        <v>10</v>
      </c>
      <c r="F2641" s="391" t="str">
        <f t="shared" ref="F2641:G2641" si="7898">F2640</f>
        <v>air</v>
      </c>
      <c r="G2641" s="401" t="str">
        <f t="shared" si="7898"/>
        <v>DE: PBSe fiber 1-10 mm (emission to air)</v>
      </c>
      <c r="H2641" s="465">
        <v>0</v>
      </c>
      <c r="I2641" s="394" t="s">
        <v>1097</v>
      </c>
      <c r="J2641" s="635"/>
      <c r="K2641" s="389">
        <v>2.9614427292656194</v>
      </c>
      <c r="L2641" s="536"/>
      <c r="M2641" s="509">
        <f t="shared" si="7855"/>
        <v>844.18313253012047</v>
      </c>
      <c r="N2641" s="646"/>
      <c r="O2641" s="626"/>
      <c r="P2641" s="629"/>
      <c r="Q2641" s="629"/>
    </row>
    <row r="2642" spans="1:17" ht="15.75" hidden="1" thickBot="1">
      <c r="A2642" s="390" t="str">
        <f t="shared" ref="A2642:B2642" si="7899">A2639</f>
        <v>PBSe</v>
      </c>
      <c r="B2642" s="391" t="str">
        <f t="shared" si="7899"/>
        <v>fiber</v>
      </c>
      <c r="C2642" s="391">
        <f t="shared" ref="C2642" si="7900">C2641</f>
        <v>4</v>
      </c>
      <c r="D2642" s="391" t="str">
        <f t="shared" ref="D2642:E2642" si="7901">D2639</f>
        <v>1-10</v>
      </c>
      <c r="E2642" s="391">
        <f t="shared" si="7901"/>
        <v>10</v>
      </c>
      <c r="F2642" s="391" t="str">
        <f t="shared" ref="F2642:G2642" si="7902">F2641</f>
        <v>air</v>
      </c>
      <c r="G2642" s="401" t="str">
        <f t="shared" si="7902"/>
        <v>DE: PBSe fiber 1-10 mm (emission to air)</v>
      </c>
      <c r="H2642" s="465">
        <v>4.7E-2</v>
      </c>
      <c r="I2642" s="394" t="s">
        <v>1162</v>
      </c>
      <c r="J2642" s="635"/>
      <c r="K2642" s="389">
        <v>2.5099999999999998</v>
      </c>
      <c r="L2642" s="536"/>
      <c r="M2642" s="509">
        <f t="shared" si="7855"/>
        <v>996.01593625498015</v>
      </c>
      <c r="N2642" s="646"/>
      <c r="O2642" s="626"/>
      <c r="P2642" s="629"/>
      <c r="Q2642" s="629"/>
    </row>
    <row r="2643" spans="1:17" ht="15.75" hidden="1" thickBot="1">
      <c r="A2643" s="390" t="str">
        <f t="shared" ref="A2643:B2643" si="7903">A2640</f>
        <v>PBSe</v>
      </c>
      <c r="B2643" s="391" t="str">
        <f t="shared" si="7903"/>
        <v>fiber</v>
      </c>
      <c r="C2643" s="391">
        <f t="shared" ref="C2643" si="7904">C2642</f>
        <v>4</v>
      </c>
      <c r="D2643" s="391" t="str">
        <f t="shared" ref="D2643:E2643" si="7905">D2640</f>
        <v>1-10</v>
      </c>
      <c r="E2643" s="391">
        <f t="shared" si="7905"/>
        <v>10</v>
      </c>
      <c r="F2643" s="391" t="str">
        <f t="shared" ref="F2643:G2643" si="7906">F2642</f>
        <v>air</v>
      </c>
      <c r="G2643" s="401" t="str">
        <f t="shared" si="7906"/>
        <v>DE: PBSe fiber 1-10 mm (emission to air)</v>
      </c>
      <c r="H2643" s="465">
        <v>5.0000000000000001E-3</v>
      </c>
      <c r="I2643" s="394" t="s">
        <v>1146</v>
      </c>
      <c r="J2643" s="635"/>
      <c r="K2643" s="389">
        <v>2.5099999999999998</v>
      </c>
      <c r="L2643" s="536"/>
      <c r="M2643" s="509">
        <f t="shared" si="7855"/>
        <v>996.01593625498015</v>
      </c>
      <c r="N2643" s="646"/>
      <c r="O2643" s="626"/>
      <c r="P2643" s="629"/>
      <c r="Q2643" s="629"/>
    </row>
    <row r="2644" spans="1:17" ht="15.75" hidden="1" thickBot="1">
      <c r="A2644" s="452" t="str">
        <f t="shared" ref="A2644:B2644" si="7907">A2639</f>
        <v>PBSe</v>
      </c>
      <c r="B2644" s="453" t="str">
        <f t="shared" si="7907"/>
        <v>fiber</v>
      </c>
      <c r="C2644" s="453">
        <f t="shared" ref="C2644" si="7908">C2643</f>
        <v>4</v>
      </c>
      <c r="D2644" s="453" t="str">
        <f t="shared" ref="D2644:E2644" si="7909">D2639</f>
        <v>1-10</v>
      </c>
      <c r="E2644" s="453">
        <f t="shared" si="7909"/>
        <v>10</v>
      </c>
      <c r="F2644" s="453" t="str">
        <f t="shared" ref="F2644:G2644" si="7910">F2643</f>
        <v>air</v>
      </c>
      <c r="G2644" s="454" t="str">
        <f t="shared" si="7910"/>
        <v>DE: PBSe fiber 1-10 mm (emission to air)</v>
      </c>
      <c r="H2644" s="473">
        <v>0</v>
      </c>
      <c r="I2644" s="479" t="s">
        <v>1034</v>
      </c>
      <c r="J2644" s="636"/>
      <c r="K2644" s="457" t="s">
        <v>596</v>
      </c>
      <c r="L2644" s="543"/>
      <c r="M2644" s="509">
        <f t="shared" si="7855"/>
        <v>0</v>
      </c>
      <c r="N2644" s="647"/>
      <c r="O2644" s="627"/>
      <c r="P2644" s="629"/>
      <c r="Q2644" s="629"/>
    </row>
    <row r="2645" spans="1:17" ht="15.75" hidden="1" thickBot="1">
      <c r="A2645" s="381" t="s">
        <v>1078</v>
      </c>
      <c r="B2645" s="382" t="s">
        <v>1152</v>
      </c>
      <c r="C2645" s="383">
        <v>6</v>
      </c>
      <c r="D2645" s="475" t="s">
        <v>1018</v>
      </c>
      <c r="E2645" s="384">
        <v>0.1</v>
      </c>
      <c r="F2645" s="385" t="s">
        <v>1019</v>
      </c>
      <c r="G2645" s="386" t="str">
        <f>CONCATENATE("DE: ",A2645," ",B2645," ",D2645," mm (emission to ",F2645,")")</f>
        <v>DE: PBSe particle 0,01-0,1 mm (emission to soil)</v>
      </c>
      <c r="H2645" s="466">
        <v>0.97</v>
      </c>
      <c r="I2645" s="388" t="s">
        <v>1153</v>
      </c>
      <c r="J2645" s="632">
        <v>0.22800000000000001</v>
      </c>
      <c r="K2645" s="389">
        <v>25.42</v>
      </c>
      <c r="L2645" s="536"/>
      <c r="M2645" s="509">
        <f t="shared" si="7855"/>
        <v>0.49173878835562546</v>
      </c>
      <c r="N2645" s="645">
        <f t="shared" si="7856"/>
        <v>0.62638901514320366</v>
      </c>
      <c r="O2645" s="625"/>
      <c r="P2645" s="628">
        <f t="shared" si="7729"/>
        <v>0.62638901514320366</v>
      </c>
      <c r="Q2645" s="628">
        <f t="shared" si="7811"/>
        <v>0.62638901514320366</v>
      </c>
    </row>
    <row r="2646" spans="1:17" ht="15.75" hidden="1" thickBot="1">
      <c r="A2646" s="390" t="str">
        <f>A2645</f>
        <v>PBSe</v>
      </c>
      <c r="B2646" s="391" t="str">
        <f>B2645</f>
        <v>particle</v>
      </c>
      <c r="C2646" s="391">
        <f t="shared" ref="C2646:G2646" si="7911">C2645</f>
        <v>6</v>
      </c>
      <c r="D2646" s="391" t="str">
        <f t="shared" si="7911"/>
        <v>0,01-0,1</v>
      </c>
      <c r="E2646" s="391">
        <f t="shared" si="7911"/>
        <v>0.1</v>
      </c>
      <c r="F2646" s="391" t="str">
        <f t="shared" si="7911"/>
        <v>soil</v>
      </c>
      <c r="G2646" s="392" t="str">
        <f t="shared" si="7911"/>
        <v>DE: PBSe particle 0,01-0,1 mm (emission to soil)</v>
      </c>
      <c r="H2646" s="465">
        <v>0</v>
      </c>
      <c r="I2646" s="394" t="s">
        <v>1097</v>
      </c>
      <c r="J2646" s="632"/>
      <c r="K2646" s="395">
        <v>2.9614427292656194</v>
      </c>
      <c r="L2646" s="537"/>
      <c r="M2646" s="509">
        <f t="shared" si="7855"/>
        <v>4.2209156626506026</v>
      </c>
      <c r="N2646" s="646"/>
      <c r="O2646" s="626"/>
      <c r="P2646" s="629"/>
      <c r="Q2646" s="629"/>
    </row>
    <row r="2647" spans="1:17" ht="15.75" hidden="1" thickBot="1">
      <c r="A2647" s="390" t="str">
        <f t="shared" ref="A2647:G2647" si="7912">A2646</f>
        <v>PBSe</v>
      </c>
      <c r="B2647" s="391" t="str">
        <f t="shared" si="7912"/>
        <v>particle</v>
      </c>
      <c r="C2647" s="391">
        <f t="shared" si="7912"/>
        <v>6</v>
      </c>
      <c r="D2647" s="391" t="str">
        <f t="shared" si="7912"/>
        <v>0,01-0,1</v>
      </c>
      <c r="E2647" s="391">
        <f t="shared" si="7912"/>
        <v>0.1</v>
      </c>
      <c r="F2647" s="391" t="str">
        <f t="shared" si="7912"/>
        <v>soil</v>
      </c>
      <c r="G2647" s="392" t="str">
        <f t="shared" si="7912"/>
        <v>DE: PBSe particle 0,01-0,1 mm (emission to soil)</v>
      </c>
      <c r="H2647" s="465">
        <v>2.7E-2</v>
      </c>
      <c r="I2647" s="394" t="s">
        <v>1162</v>
      </c>
      <c r="J2647" s="632"/>
      <c r="K2647" s="395">
        <v>2.5099999999999998</v>
      </c>
      <c r="L2647" s="537"/>
      <c r="M2647" s="509">
        <f t="shared" si="7855"/>
        <v>4.9800796812749004</v>
      </c>
      <c r="N2647" s="646"/>
      <c r="O2647" s="626"/>
      <c r="P2647" s="629"/>
      <c r="Q2647" s="629"/>
    </row>
    <row r="2648" spans="1:17" ht="15.75" hidden="1" thickBot="1">
      <c r="A2648" s="390" t="str">
        <f t="shared" ref="A2648:G2648" si="7913">A2647</f>
        <v>PBSe</v>
      </c>
      <c r="B2648" s="391" t="str">
        <f t="shared" si="7913"/>
        <v>particle</v>
      </c>
      <c r="C2648" s="391">
        <f t="shared" si="7913"/>
        <v>6</v>
      </c>
      <c r="D2648" s="391" t="str">
        <f t="shared" si="7913"/>
        <v>0,01-0,1</v>
      </c>
      <c r="E2648" s="391">
        <f t="shared" si="7913"/>
        <v>0.1</v>
      </c>
      <c r="F2648" s="391" t="str">
        <f t="shared" si="7913"/>
        <v>soil</v>
      </c>
      <c r="G2648" s="392" t="str">
        <f t="shared" si="7913"/>
        <v>DE: PBSe particle 0,01-0,1 mm (emission to soil)</v>
      </c>
      <c r="H2648" s="465">
        <v>3.0000000000000001E-3</v>
      </c>
      <c r="I2648" s="394" t="s">
        <v>1146</v>
      </c>
      <c r="J2648" s="632"/>
      <c r="K2648" s="395">
        <v>2.5099999999999998</v>
      </c>
      <c r="L2648" s="537"/>
      <c r="M2648" s="509">
        <f t="shared" si="7855"/>
        <v>4.9800796812749004</v>
      </c>
      <c r="N2648" s="646"/>
      <c r="O2648" s="626"/>
      <c r="P2648" s="629"/>
      <c r="Q2648" s="629"/>
    </row>
    <row r="2649" spans="1:17" ht="15.75" hidden="1" thickBot="1">
      <c r="A2649" s="390" t="str">
        <f>A2646</f>
        <v>PBSe</v>
      </c>
      <c r="B2649" s="391" t="str">
        <f>B2646</f>
        <v>particle</v>
      </c>
      <c r="C2649" s="391">
        <f t="shared" ref="C2649" si="7914">C2648</f>
        <v>6</v>
      </c>
      <c r="D2649" s="391" t="str">
        <f>D2646</f>
        <v>0,01-0,1</v>
      </c>
      <c r="E2649" s="391">
        <f>E2646</f>
        <v>0.1</v>
      </c>
      <c r="F2649" s="391" t="str">
        <f>F2646</f>
        <v>soil</v>
      </c>
      <c r="G2649" s="396" t="str">
        <f t="shared" ref="G2649" si="7915">G2648</f>
        <v>DE: PBSe particle 0,01-0,1 mm (emission to soil)</v>
      </c>
      <c r="H2649" s="465">
        <v>0</v>
      </c>
      <c r="I2649" s="397" t="s">
        <v>1034</v>
      </c>
      <c r="J2649" s="633"/>
      <c r="K2649" s="398" t="s">
        <v>596</v>
      </c>
      <c r="L2649" s="538"/>
      <c r="M2649" s="509">
        <f t="shared" si="7855"/>
        <v>0</v>
      </c>
      <c r="N2649" s="647"/>
      <c r="O2649" s="627"/>
      <c r="P2649" s="629"/>
      <c r="Q2649" s="629"/>
    </row>
    <row r="2650" spans="1:17" ht="15.75" hidden="1" thickBot="1">
      <c r="A2650" s="390" t="str">
        <f t="shared" ref="A2650:B2650" si="7916">A2647</f>
        <v>PBSe</v>
      </c>
      <c r="B2650" s="391" t="str">
        <f t="shared" si="7916"/>
        <v>particle</v>
      </c>
      <c r="C2650" s="391">
        <f t="shared" ref="C2650" si="7917">C2649</f>
        <v>6</v>
      </c>
      <c r="D2650" s="399" t="str">
        <f t="shared" ref="D2650:E2650" si="7918">D2647</f>
        <v>0,01-0,1</v>
      </c>
      <c r="E2650" s="391">
        <f t="shared" si="7918"/>
        <v>0.1</v>
      </c>
      <c r="F2650" s="400" t="s">
        <v>1147</v>
      </c>
      <c r="G2650" s="386" t="str">
        <f>CONCATENATE("DE: ",A2650," ",B2650," ",D2650," mm (emission to ",F2650,")")</f>
        <v>DE: PBSe particle 0,01-0,1 mm (emission to fresh water)</v>
      </c>
      <c r="H2650" s="466">
        <v>0</v>
      </c>
      <c r="I2650" s="388" t="s">
        <v>1153</v>
      </c>
      <c r="J2650" s="634">
        <v>0.22800000000000001</v>
      </c>
      <c r="K2650" s="389">
        <v>25.42</v>
      </c>
      <c r="L2650" s="536"/>
      <c r="M2650" s="509">
        <f t="shared" si="7855"/>
        <v>0.49173878835562546</v>
      </c>
      <c r="N2650" s="645">
        <f t="shared" si="7856"/>
        <v>4.9800796812749004</v>
      </c>
      <c r="O2650" s="625"/>
      <c r="P2650" s="628">
        <f t="shared" si="7729"/>
        <v>4.9800796812749004</v>
      </c>
      <c r="Q2650" s="628">
        <f t="shared" si="7811"/>
        <v>4.9800796812749004</v>
      </c>
    </row>
    <row r="2651" spans="1:17" ht="15.75" hidden="1" thickBot="1">
      <c r="A2651" s="390" t="str">
        <f t="shared" ref="A2651:B2651" si="7919">A2648</f>
        <v>PBSe</v>
      </c>
      <c r="B2651" s="391" t="str">
        <f t="shared" si="7919"/>
        <v>particle</v>
      </c>
      <c r="C2651" s="391">
        <f t="shared" ref="C2651" si="7920">C2650</f>
        <v>6</v>
      </c>
      <c r="D2651" s="391" t="str">
        <f t="shared" ref="D2651:E2651" si="7921">D2648</f>
        <v>0,01-0,1</v>
      </c>
      <c r="E2651" s="391">
        <f t="shared" si="7921"/>
        <v>0.1</v>
      </c>
      <c r="F2651" s="391" t="str">
        <f t="shared" ref="F2651:G2651" si="7922">F2650</f>
        <v>fresh water</v>
      </c>
      <c r="G2651" s="401" t="str">
        <f t="shared" si="7922"/>
        <v>DE: PBSe particle 0,01-0,1 mm (emission to fresh water)</v>
      </c>
      <c r="H2651" s="465">
        <v>0</v>
      </c>
      <c r="I2651" s="394" t="s">
        <v>1097</v>
      </c>
      <c r="J2651" s="635"/>
      <c r="K2651" s="389">
        <v>2.9614427292656194</v>
      </c>
      <c r="L2651" s="536"/>
      <c r="M2651" s="509">
        <f t="shared" si="7855"/>
        <v>4.2209156626506026</v>
      </c>
      <c r="N2651" s="646"/>
      <c r="O2651" s="626"/>
      <c r="P2651" s="629"/>
      <c r="Q2651" s="629"/>
    </row>
    <row r="2652" spans="1:17" ht="15.75" hidden="1" thickBot="1">
      <c r="A2652" s="390" t="str">
        <f t="shared" ref="A2652:B2652" si="7923">A2649</f>
        <v>PBSe</v>
      </c>
      <c r="B2652" s="391" t="str">
        <f t="shared" si="7923"/>
        <v>particle</v>
      </c>
      <c r="C2652" s="391">
        <f t="shared" ref="C2652" si="7924">C2651</f>
        <v>6</v>
      </c>
      <c r="D2652" s="391" t="str">
        <f t="shared" ref="D2652:E2652" si="7925">D2649</f>
        <v>0,01-0,1</v>
      </c>
      <c r="E2652" s="391">
        <f t="shared" si="7925"/>
        <v>0.1</v>
      </c>
      <c r="F2652" s="391" t="str">
        <f t="shared" ref="F2652:G2652" si="7926">F2651</f>
        <v>fresh water</v>
      </c>
      <c r="G2652" s="401" t="str">
        <f t="shared" si="7926"/>
        <v>DE: PBSe particle 0,01-0,1 mm (emission to fresh water)</v>
      </c>
      <c r="H2652" s="465">
        <v>0.89</v>
      </c>
      <c r="I2652" s="394" t="s">
        <v>1162</v>
      </c>
      <c r="J2652" s="635"/>
      <c r="K2652" s="389">
        <v>2.5099999999999998</v>
      </c>
      <c r="L2652" s="536"/>
      <c r="M2652" s="509">
        <f t="shared" si="7855"/>
        <v>4.9800796812749004</v>
      </c>
      <c r="N2652" s="646"/>
      <c r="O2652" s="626"/>
      <c r="P2652" s="629"/>
      <c r="Q2652" s="629"/>
    </row>
    <row r="2653" spans="1:17" ht="15.75" hidden="1" thickBot="1">
      <c r="A2653" s="390" t="str">
        <f t="shared" ref="A2653:B2653" si="7927">A2650</f>
        <v>PBSe</v>
      </c>
      <c r="B2653" s="391" t="str">
        <f t="shared" si="7927"/>
        <v>particle</v>
      </c>
      <c r="C2653" s="391">
        <f t="shared" ref="C2653" si="7928">C2652</f>
        <v>6</v>
      </c>
      <c r="D2653" s="391" t="str">
        <f t="shared" ref="D2653:E2653" si="7929">D2650</f>
        <v>0,01-0,1</v>
      </c>
      <c r="E2653" s="391">
        <f t="shared" si="7929"/>
        <v>0.1</v>
      </c>
      <c r="F2653" s="391" t="str">
        <f t="shared" ref="F2653:G2653" si="7930">F2652</f>
        <v>fresh water</v>
      </c>
      <c r="G2653" s="401" t="str">
        <f t="shared" si="7930"/>
        <v>DE: PBSe particle 0,01-0,1 mm (emission to fresh water)</v>
      </c>
      <c r="H2653" s="465">
        <v>0.11</v>
      </c>
      <c r="I2653" s="394" t="s">
        <v>1146</v>
      </c>
      <c r="J2653" s="635"/>
      <c r="K2653" s="389">
        <v>2.5099999999999998</v>
      </c>
      <c r="L2653" s="536"/>
      <c r="M2653" s="509">
        <f t="shared" si="7855"/>
        <v>4.9800796812749004</v>
      </c>
      <c r="N2653" s="646"/>
      <c r="O2653" s="626"/>
      <c r="P2653" s="629"/>
      <c r="Q2653" s="629"/>
    </row>
    <row r="2654" spans="1:17" ht="15.75" hidden="1" thickBot="1">
      <c r="A2654" s="390" t="str">
        <f t="shared" ref="A2654:B2654" si="7931">A2651</f>
        <v>PBSe</v>
      </c>
      <c r="B2654" s="391" t="str">
        <f t="shared" si="7931"/>
        <v>particle</v>
      </c>
      <c r="C2654" s="391">
        <f t="shared" ref="C2654" si="7932">C2653</f>
        <v>6</v>
      </c>
      <c r="D2654" s="391" t="str">
        <f t="shared" ref="D2654:E2654" si="7933">D2651</f>
        <v>0,01-0,1</v>
      </c>
      <c r="E2654" s="391">
        <f t="shared" si="7933"/>
        <v>0.1</v>
      </c>
      <c r="F2654" s="402" t="str">
        <f>F2651</f>
        <v>fresh water</v>
      </c>
      <c r="G2654" s="401" t="str">
        <f t="shared" ref="G2654" si="7934">G2653</f>
        <v>DE: PBSe particle 0,01-0,1 mm (emission to fresh water)</v>
      </c>
      <c r="H2654" s="465">
        <v>0</v>
      </c>
      <c r="I2654" s="397" t="s">
        <v>1034</v>
      </c>
      <c r="J2654" s="654"/>
      <c r="K2654" s="398" t="s">
        <v>596</v>
      </c>
      <c r="L2654" s="538"/>
      <c r="M2654" s="509">
        <f t="shared" si="7855"/>
        <v>0</v>
      </c>
      <c r="N2654" s="647"/>
      <c r="O2654" s="627"/>
      <c r="P2654" s="629"/>
      <c r="Q2654" s="629"/>
    </row>
    <row r="2655" spans="1:17" ht="15.75" hidden="1" thickBot="1">
      <c r="A2655" s="390" t="str">
        <f t="shared" ref="A2655:B2655" si="7935">A2652</f>
        <v>PBSe</v>
      </c>
      <c r="B2655" s="391" t="str">
        <f t="shared" si="7935"/>
        <v>particle</v>
      </c>
      <c r="C2655" s="391">
        <f t="shared" ref="C2655" si="7936">C2654</f>
        <v>6</v>
      </c>
      <c r="D2655" s="391" t="str">
        <f t="shared" ref="D2655:E2655" si="7937">D2652</f>
        <v>0,01-0,1</v>
      </c>
      <c r="E2655" s="391">
        <f t="shared" si="7937"/>
        <v>0.1</v>
      </c>
      <c r="F2655" s="385" t="s">
        <v>1097</v>
      </c>
      <c r="G2655" s="422" t="str">
        <f>CONCATENATE("DE: ",A2655," ",B2655," ",D2655," mm (emission to ",F2655,")")</f>
        <v>DE: PBSe particle 0,01-0,1 mm (emission to marine water)</v>
      </c>
      <c r="H2655" s="467">
        <v>0</v>
      </c>
      <c r="I2655" s="388" t="s">
        <v>1153</v>
      </c>
      <c r="J2655" s="634">
        <v>0.22800000000000001</v>
      </c>
      <c r="K2655" s="389">
        <v>25.42</v>
      </c>
      <c r="L2655" s="536"/>
      <c r="M2655" s="509">
        <f t="shared" si="7855"/>
        <v>0.49173878835562546</v>
      </c>
      <c r="N2655" s="645">
        <f t="shared" si="7856"/>
        <v>4.9800796812749004</v>
      </c>
      <c r="O2655" s="625"/>
      <c r="P2655" s="628">
        <f t="shared" ref="P2655:P2715" si="7938">IFERROR(IF(H2655*M2655+H2656*M2656+H2657*M2657+H2658*M2658+H2659*M2659&gt;100,100,H2655*M2655+H2656*M2656+H2657*M2657+H2658*M2658+H2659*M2659),"N.A.")</f>
        <v>4.9800796812749004</v>
      </c>
      <c r="Q2655" s="628">
        <f t="shared" si="7811"/>
        <v>4.9800796812749004</v>
      </c>
    </row>
    <row r="2656" spans="1:17" ht="15.75" hidden="1" thickBot="1">
      <c r="A2656" s="390" t="str">
        <f t="shared" ref="A2656:B2656" si="7939">A2653</f>
        <v>PBSe</v>
      </c>
      <c r="B2656" s="391" t="str">
        <f t="shared" si="7939"/>
        <v>particle</v>
      </c>
      <c r="C2656" s="391">
        <f t="shared" ref="C2656" si="7940">C2655</f>
        <v>6</v>
      </c>
      <c r="D2656" s="391" t="str">
        <f t="shared" ref="D2656:E2656" si="7941">D2653</f>
        <v>0,01-0,1</v>
      </c>
      <c r="E2656" s="391">
        <f t="shared" si="7941"/>
        <v>0.1</v>
      </c>
      <c r="F2656" s="391" t="str">
        <f t="shared" ref="F2656:G2656" si="7942">F2655</f>
        <v>marine water</v>
      </c>
      <c r="G2656" s="401" t="str">
        <f t="shared" si="7942"/>
        <v>DE: PBSe particle 0,01-0,1 mm (emission to marine water)</v>
      </c>
      <c r="H2656" s="465">
        <v>0</v>
      </c>
      <c r="I2656" s="394" t="s">
        <v>1097</v>
      </c>
      <c r="J2656" s="635"/>
      <c r="K2656" s="389">
        <v>2.9614427292656194</v>
      </c>
      <c r="L2656" s="536"/>
      <c r="M2656" s="509">
        <f t="shared" si="7855"/>
        <v>4.2209156626506026</v>
      </c>
      <c r="N2656" s="646"/>
      <c r="O2656" s="626"/>
      <c r="P2656" s="629"/>
      <c r="Q2656" s="629"/>
    </row>
    <row r="2657" spans="1:17" ht="15.75" hidden="1" thickBot="1">
      <c r="A2657" s="390" t="str">
        <f t="shared" ref="A2657:B2657" si="7943">A2654</f>
        <v>PBSe</v>
      </c>
      <c r="B2657" s="391" t="str">
        <f t="shared" si="7943"/>
        <v>particle</v>
      </c>
      <c r="C2657" s="391">
        <f t="shared" ref="C2657" si="7944">C2656</f>
        <v>6</v>
      </c>
      <c r="D2657" s="391" t="str">
        <f t="shared" ref="D2657:E2657" si="7945">D2654</f>
        <v>0,01-0,1</v>
      </c>
      <c r="E2657" s="391">
        <f t="shared" si="7945"/>
        <v>0.1</v>
      </c>
      <c r="F2657" s="391" t="str">
        <f t="shared" ref="F2657:G2657" si="7946">F2656</f>
        <v>marine water</v>
      </c>
      <c r="G2657" s="401" t="str">
        <f t="shared" si="7946"/>
        <v>DE: PBSe particle 0,01-0,1 mm (emission to marine water)</v>
      </c>
      <c r="H2657" s="465">
        <v>0</v>
      </c>
      <c r="I2657" s="394" t="s">
        <v>1162</v>
      </c>
      <c r="J2657" s="635"/>
      <c r="K2657" s="389">
        <v>2.5099999999999998</v>
      </c>
      <c r="L2657" s="536"/>
      <c r="M2657" s="509">
        <f t="shared" si="7855"/>
        <v>4.9800796812749004</v>
      </c>
      <c r="N2657" s="646"/>
      <c r="O2657" s="626"/>
      <c r="P2657" s="629"/>
      <c r="Q2657" s="629"/>
    </row>
    <row r="2658" spans="1:17" ht="15.75" hidden="1" thickBot="1">
      <c r="A2658" s="390" t="str">
        <f t="shared" ref="A2658:B2658" si="7947">A2655</f>
        <v>PBSe</v>
      </c>
      <c r="B2658" s="391" t="str">
        <f t="shared" si="7947"/>
        <v>particle</v>
      </c>
      <c r="C2658" s="391">
        <f t="shared" ref="C2658" si="7948">C2657</f>
        <v>6</v>
      </c>
      <c r="D2658" s="391" t="str">
        <f t="shared" ref="D2658:E2658" si="7949">D2655</f>
        <v>0,01-0,1</v>
      </c>
      <c r="E2658" s="391">
        <f t="shared" si="7949"/>
        <v>0.1</v>
      </c>
      <c r="F2658" s="391" t="str">
        <f t="shared" ref="F2658:G2658" si="7950">F2657</f>
        <v>marine water</v>
      </c>
      <c r="G2658" s="401" t="str">
        <f t="shared" si="7950"/>
        <v>DE: PBSe particle 0,01-0,1 mm (emission to marine water)</v>
      </c>
      <c r="H2658" s="465">
        <v>1</v>
      </c>
      <c r="I2658" s="394" t="s">
        <v>1146</v>
      </c>
      <c r="J2658" s="635"/>
      <c r="K2658" s="389">
        <v>2.5099999999999998</v>
      </c>
      <c r="L2658" s="536"/>
      <c r="M2658" s="509">
        <f t="shared" si="7855"/>
        <v>4.9800796812749004</v>
      </c>
      <c r="N2658" s="646"/>
      <c r="O2658" s="626"/>
      <c r="P2658" s="629"/>
      <c r="Q2658" s="629"/>
    </row>
    <row r="2659" spans="1:17" ht="15.75" hidden="1" thickBot="1">
      <c r="A2659" s="390" t="str">
        <f t="shared" ref="A2659:B2659" si="7951">A2656</f>
        <v>PBSe</v>
      </c>
      <c r="B2659" s="391" t="str">
        <f t="shared" si="7951"/>
        <v>particle</v>
      </c>
      <c r="C2659" s="391">
        <f t="shared" ref="C2659" si="7952">C2658</f>
        <v>6</v>
      </c>
      <c r="D2659" s="391" t="str">
        <f t="shared" ref="D2659:E2659" si="7953">D2656</f>
        <v>0,01-0,1</v>
      </c>
      <c r="E2659" s="391">
        <f t="shared" si="7953"/>
        <v>0.1</v>
      </c>
      <c r="F2659" s="391" t="str">
        <f t="shared" ref="F2659:G2659" si="7954">F2658</f>
        <v>marine water</v>
      </c>
      <c r="G2659" s="401" t="str">
        <f t="shared" si="7954"/>
        <v>DE: PBSe particle 0,01-0,1 mm (emission to marine water)</v>
      </c>
      <c r="H2659" s="465">
        <v>0</v>
      </c>
      <c r="I2659" s="397" t="s">
        <v>1034</v>
      </c>
      <c r="J2659" s="654"/>
      <c r="K2659" s="398" t="s">
        <v>596</v>
      </c>
      <c r="L2659" s="538"/>
      <c r="M2659" s="509">
        <f t="shared" si="7855"/>
        <v>0</v>
      </c>
      <c r="N2659" s="647"/>
      <c r="O2659" s="627"/>
      <c r="P2659" s="629"/>
      <c r="Q2659" s="629"/>
    </row>
    <row r="2660" spans="1:17" ht="15.75" hidden="1" thickBot="1">
      <c r="A2660" s="390" t="str">
        <f t="shared" ref="A2660:B2660" si="7955">A2657</f>
        <v>PBSe</v>
      </c>
      <c r="B2660" s="391" t="str">
        <f t="shared" si="7955"/>
        <v>particle</v>
      </c>
      <c r="C2660" s="391">
        <f t="shared" ref="C2660" si="7956">C2659</f>
        <v>6</v>
      </c>
      <c r="D2660" s="391" t="str">
        <f t="shared" ref="D2660:E2660" si="7957">D2657</f>
        <v>0,01-0,1</v>
      </c>
      <c r="E2660" s="391">
        <f t="shared" si="7957"/>
        <v>0.1</v>
      </c>
      <c r="F2660" s="400" t="s">
        <v>1057</v>
      </c>
      <c r="G2660" s="422" t="str">
        <f>CONCATENATE("DE: ",A2660," ",B2660," ",D2660," mm (emission to ",F2660,")")</f>
        <v>DE: PBSe particle 0,01-0,1 mm (emission to air)</v>
      </c>
      <c r="H2660" s="467">
        <v>0.94799999999999995</v>
      </c>
      <c r="I2660" s="388" t="s">
        <v>1153</v>
      </c>
      <c r="J2660" s="634">
        <v>0.22800000000000001</v>
      </c>
      <c r="K2660" s="389">
        <v>25.42</v>
      </c>
      <c r="L2660" s="536"/>
      <c r="M2660" s="509">
        <f t="shared" si="7855"/>
        <v>0.49173878835562546</v>
      </c>
      <c r="N2660" s="645">
        <f t="shared" si="7856"/>
        <v>0.72513251478742768</v>
      </c>
      <c r="O2660" s="625"/>
      <c r="P2660" s="628">
        <f t="shared" si="7938"/>
        <v>0.72513251478742768</v>
      </c>
      <c r="Q2660" s="628">
        <f t="shared" si="7811"/>
        <v>0.72513251478742768</v>
      </c>
    </row>
    <row r="2661" spans="1:17" ht="15.75" hidden="1" thickBot="1">
      <c r="A2661" s="390" t="str">
        <f t="shared" ref="A2661:B2661" si="7958">A2658</f>
        <v>PBSe</v>
      </c>
      <c r="B2661" s="391" t="str">
        <f t="shared" si="7958"/>
        <v>particle</v>
      </c>
      <c r="C2661" s="391">
        <f t="shared" ref="C2661" si="7959">C2660</f>
        <v>6</v>
      </c>
      <c r="D2661" s="391" t="str">
        <f t="shared" ref="D2661:E2661" si="7960">D2658</f>
        <v>0,01-0,1</v>
      </c>
      <c r="E2661" s="391">
        <f t="shared" si="7960"/>
        <v>0.1</v>
      </c>
      <c r="F2661" s="391" t="str">
        <f t="shared" ref="F2661:G2661" si="7961">F2660</f>
        <v>air</v>
      </c>
      <c r="G2661" s="401" t="str">
        <f t="shared" si="7961"/>
        <v>DE: PBSe particle 0,01-0,1 mm (emission to air)</v>
      </c>
      <c r="H2661" s="465">
        <v>0</v>
      </c>
      <c r="I2661" s="394" t="s">
        <v>1097</v>
      </c>
      <c r="J2661" s="635"/>
      <c r="K2661" s="389">
        <v>2.9614427292656194</v>
      </c>
      <c r="L2661" s="536"/>
      <c r="M2661" s="509">
        <f t="shared" si="7855"/>
        <v>4.2209156626506026</v>
      </c>
      <c r="N2661" s="646"/>
      <c r="O2661" s="626"/>
      <c r="P2661" s="629"/>
      <c r="Q2661" s="629"/>
    </row>
    <row r="2662" spans="1:17" ht="15.75" hidden="1" thickBot="1">
      <c r="A2662" s="390" t="str">
        <f t="shared" ref="A2662:B2662" si="7962">A2659</f>
        <v>PBSe</v>
      </c>
      <c r="B2662" s="391" t="str">
        <f t="shared" si="7962"/>
        <v>particle</v>
      </c>
      <c r="C2662" s="391">
        <f t="shared" ref="C2662" si="7963">C2661</f>
        <v>6</v>
      </c>
      <c r="D2662" s="391" t="str">
        <f t="shared" ref="D2662:E2662" si="7964">D2659</f>
        <v>0,01-0,1</v>
      </c>
      <c r="E2662" s="391">
        <f t="shared" si="7964"/>
        <v>0.1</v>
      </c>
      <c r="F2662" s="391" t="str">
        <f t="shared" ref="F2662:G2662" si="7965">F2661</f>
        <v>air</v>
      </c>
      <c r="G2662" s="401" t="str">
        <f t="shared" si="7965"/>
        <v>DE: PBSe particle 0,01-0,1 mm (emission to air)</v>
      </c>
      <c r="H2662" s="465">
        <v>4.7E-2</v>
      </c>
      <c r="I2662" s="394" t="s">
        <v>1162</v>
      </c>
      <c r="J2662" s="635"/>
      <c r="K2662" s="389">
        <v>2.5099999999999998</v>
      </c>
      <c r="L2662" s="536"/>
      <c r="M2662" s="509">
        <f t="shared" si="7855"/>
        <v>4.9800796812749004</v>
      </c>
      <c r="N2662" s="646"/>
      <c r="O2662" s="626"/>
      <c r="P2662" s="629"/>
      <c r="Q2662" s="629"/>
    </row>
    <row r="2663" spans="1:17" ht="15.75" hidden="1" thickBot="1">
      <c r="A2663" s="390" t="str">
        <f t="shared" ref="A2663:B2663" si="7966">A2660</f>
        <v>PBSe</v>
      </c>
      <c r="B2663" s="391" t="str">
        <f t="shared" si="7966"/>
        <v>particle</v>
      </c>
      <c r="C2663" s="391">
        <f t="shared" ref="C2663" si="7967">C2662</f>
        <v>6</v>
      </c>
      <c r="D2663" s="391" t="str">
        <f t="shared" ref="D2663:E2663" si="7968">D2660</f>
        <v>0,01-0,1</v>
      </c>
      <c r="E2663" s="391">
        <f t="shared" si="7968"/>
        <v>0.1</v>
      </c>
      <c r="F2663" s="391" t="str">
        <f t="shared" ref="F2663:G2663" si="7969">F2662</f>
        <v>air</v>
      </c>
      <c r="G2663" s="401" t="str">
        <f t="shared" si="7969"/>
        <v>DE: PBSe particle 0,01-0,1 mm (emission to air)</v>
      </c>
      <c r="H2663" s="465">
        <v>5.0000000000000001E-3</v>
      </c>
      <c r="I2663" s="394" t="s">
        <v>1146</v>
      </c>
      <c r="J2663" s="635"/>
      <c r="K2663" s="389">
        <v>2.5099999999999998</v>
      </c>
      <c r="L2663" s="536"/>
      <c r="M2663" s="509">
        <f t="shared" si="7855"/>
        <v>4.9800796812749004</v>
      </c>
      <c r="N2663" s="646"/>
      <c r="O2663" s="626"/>
      <c r="P2663" s="629"/>
      <c r="Q2663" s="629"/>
    </row>
    <row r="2664" spans="1:17" ht="15.75" hidden="1" thickBot="1">
      <c r="A2664" s="390" t="str">
        <f t="shared" ref="A2664:B2664" si="7970">A2659</f>
        <v>PBSe</v>
      </c>
      <c r="B2664" s="391" t="str">
        <f t="shared" si="7970"/>
        <v>particle</v>
      </c>
      <c r="C2664" s="391">
        <f t="shared" ref="C2664" si="7971">C2663</f>
        <v>6</v>
      </c>
      <c r="D2664" s="391" t="str">
        <f t="shared" ref="D2664:E2664" si="7972">D2659</f>
        <v>0,01-0,1</v>
      </c>
      <c r="E2664" s="391">
        <f t="shared" si="7972"/>
        <v>0.1</v>
      </c>
      <c r="F2664" s="391" t="str">
        <f t="shared" ref="F2664:G2664" si="7973">F2663</f>
        <v>air</v>
      </c>
      <c r="G2664" s="401" t="str">
        <f t="shared" si="7973"/>
        <v>DE: PBSe particle 0,01-0,1 mm (emission to air)</v>
      </c>
      <c r="H2664" s="471">
        <v>0</v>
      </c>
      <c r="I2664" s="422" t="s">
        <v>1034</v>
      </c>
      <c r="J2664" s="636"/>
      <c r="K2664" s="451" t="s">
        <v>596</v>
      </c>
      <c r="L2664" s="542"/>
      <c r="M2664" s="509">
        <f t="shared" si="7855"/>
        <v>0</v>
      </c>
      <c r="N2664" s="647"/>
      <c r="O2664" s="627"/>
      <c r="P2664" s="629"/>
      <c r="Q2664" s="629"/>
    </row>
    <row r="2665" spans="1:17" ht="15.75" hidden="1" thickBot="1">
      <c r="A2665" s="405" t="s">
        <v>1078</v>
      </c>
      <c r="B2665" s="406" t="s">
        <v>1152</v>
      </c>
      <c r="C2665" s="407">
        <v>6</v>
      </c>
      <c r="D2665" s="423" t="s">
        <v>1028</v>
      </c>
      <c r="E2665" s="408">
        <v>1</v>
      </c>
      <c r="F2665" s="424" t="s">
        <v>1019</v>
      </c>
      <c r="G2665" s="425" t="str">
        <f>CONCATENATE("DE: ",A2665," ",B2665," ",D2665," mm (emission to ",F2665,")")</f>
        <v>DE: PBSe particle 0,1-1 mm (emission to soil)</v>
      </c>
      <c r="H2665" s="474">
        <v>0.97</v>
      </c>
      <c r="I2665" s="427" t="s">
        <v>1153</v>
      </c>
      <c r="J2665" s="632">
        <v>0.22800000000000001</v>
      </c>
      <c r="K2665" s="428">
        <v>25.42</v>
      </c>
      <c r="L2665" s="539"/>
      <c r="M2665" s="509">
        <f t="shared" si="7855"/>
        <v>4.9173878835562546</v>
      </c>
      <c r="N2665" s="645">
        <f t="shared" si="7856"/>
        <v>6.2638901514320375</v>
      </c>
      <c r="O2665" s="625"/>
      <c r="P2665" s="628">
        <f t="shared" si="7938"/>
        <v>6.2638901514320375</v>
      </c>
      <c r="Q2665" s="628">
        <f t="shared" si="7811"/>
        <v>6.2638901514320375</v>
      </c>
    </row>
    <row r="2666" spans="1:17" ht="15.75" hidden="1" thickBot="1">
      <c r="A2666" s="390" t="str">
        <f>A2665</f>
        <v>PBSe</v>
      </c>
      <c r="B2666" s="391" t="str">
        <f>B2665</f>
        <v>particle</v>
      </c>
      <c r="C2666" s="391">
        <f t="shared" ref="C2666:G2666" si="7974">C2665</f>
        <v>6</v>
      </c>
      <c r="D2666" s="391" t="str">
        <f t="shared" si="7974"/>
        <v>0,1-1</v>
      </c>
      <c r="E2666" s="391">
        <f t="shared" si="7974"/>
        <v>1</v>
      </c>
      <c r="F2666" s="391" t="str">
        <f t="shared" si="7974"/>
        <v>soil</v>
      </c>
      <c r="G2666" s="392" t="str">
        <f t="shared" si="7974"/>
        <v>DE: PBSe particle 0,1-1 mm (emission to soil)</v>
      </c>
      <c r="H2666" s="465">
        <v>0</v>
      </c>
      <c r="I2666" s="394" t="s">
        <v>1097</v>
      </c>
      <c r="J2666" s="632"/>
      <c r="K2666" s="395">
        <v>2.9614427292656194</v>
      </c>
      <c r="L2666" s="537"/>
      <c r="M2666" s="509">
        <f t="shared" si="7855"/>
        <v>42.209156626506022</v>
      </c>
      <c r="N2666" s="646"/>
      <c r="O2666" s="626"/>
      <c r="P2666" s="629"/>
      <c r="Q2666" s="629"/>
    </row>
    <row r="2667" spans="1:17" ht="15.75" hidden="1" thickBot="1">
      <c r="A2667" s="390" t="str">
        <f t="shared" ref="A2667:G2667" si="7975">A2666</f>
        <v>PBSe</v>
      </c>
      <c r="B2667" s="391" t="str">
        <f t="shared" si="7975"/>
        <v>particle</v>
      </c>
      <c r="C2667" s="391">
        <f t="shared" si="7975"/>
        <v>6</v>
      </c>
      <c r="D2667" s="391" t="str">
        <f t="shared" si="7975"/>
        <v>0,1-1</v>
      </c>
      <c r="E2667" s="391">
        <f t="shared" si="7975"/>
        <v>1</v>
      </c>
      <c r="F2667" s="391" t="str">
        <f t="shared" si="7975"/>
        <v>soil</v>
      </c>
      <c r="G2667" s="392" t="str">
        <f t="shared" si="7975"/>
        <v>DE: PBSe particle 0,1-1 mm (emission to soil)</v>
      </c>
      <c r="H2667" s="465">
        <v>2.7E-2</v>
      </c>
      <c r="I2667" s="394" t="s">
        <v>1162</v>
      </c>
      <c r="J2667" s="632"/>
      <c r="K2667" s="395">
        <v>2.5099999999999998</v>
      </c>
      <c r="L2667" s="537"/>
      <c r="M2667" s="509">
        <f t="shared" si="7855"/>
        <v>49.800796812749006</v>
      </c>
      <c r="N2667" s="646"/>
      <c r="O2667" s="626"/>
      <c r="P2667" s="629"/>
      <c r="Q2667" s="629"/>
    </row>
    <row r="2668" spans="1:17" ht="15.75" hidden="1" thickBot="1">
      <c r="A2668" s="390" t="str">
        <f t="shared" ref="A2668:G2668" si="7976">A2667</f>
        <v>PBSe</v>
      </c>
      <c r="B2668" s="391" t="str">
        <f t="shared" si="7976"/>
        <v>particle</v>
      </c>
      <c r="C2668" s="391">
        <f t="shared" si="7976"/>
        <v>6</v>
      </c>
      <c r="D2668" s="391" t="str">
        <f t="shared" si="7976"/>
        <v>0,1-1</v>
      </c>
      <c r="E2668" s="391">
        <f t="shared" si="7976"/>
        <v>1</v>
      </c>
      <c r="F2668" s="391" t="str">
        <f t="shared" si="7976"/>
        <v>soil</v>
      </c>
      <c r="G2668" s="392" t="str">
        <f t="shared" si="7976"/>
        <v>DE: PBSe particle 0,1-1 mm (emission to soil)</v>
      </c>
      <c r="H2668" s="465">
        <v>3.0000000000000001E-3</v>
      </c>
      <c r="I2668" s="394" t="s">
        <v>1146</v>
      </c>
      <c r="J2668" s="632"/>
      <c r="K2668" s="395">
        <v>2.5099999999999998</v>
      </c>
      <c r="L2668" s="537"/>
      <c r="M2668" s="509">
        <f t="shared" si="7855"/>
        <v>49.800796812749006</v>
      </c>
      <c r="N2668" s="646"/>
      <c r="O2668" s="626"/>
      <c r="P2668" s="629"/>
      <c r="Q2668" s="629"/>
    </row>
    <row r="2669" spans="1:17" ht="15.75" hidden="1" thickBot="1">
      <c r="A2669" s="390" t="str">
        <f>A2666</f>
        <v>PBSe</v>
      </c>
      <c r="B2669" s="391" t="str">
        <f>B2666</f>
        <v>particle</v>
      </c>
      <c r="C2669" s="391">
        <f t="shared" ref="C2669" si="7977">C2668</f>
        <v>6</v>
      </c>
      <c r="D2669" s="391" t="str">
        <f>D2666</f>
        <v>0,1-1</v>
      </c>
      <c r="E2669" s="391">
        <f>E2666</f>
        <v>1</v>
      </c>
      <c r="F2669" s="391" t="str">
        <f>F2666</f>
        <v>soil</v>
      </c>
      <c r="G2669" s="396" t="str">
        <f t="shared" ref="G2669" si="7978">G2668</f>
        <v>DE: PBSe particle 0,1-1 mm (emission to soil)</v>
      </c>
      <c r="H2669" s="465">
        <v>0</v>
      </c>
      <c r="I2669" s="397" t="s">
        <v>1034</v>
      </c>
      <c r="J2669" s="633"/>
      <c r="K2669" s="398" t="s">
        <v>596</v>
      </c>
      <c r="L2669" s="538"/>
      <c r="M2669" s="509">
        <f t="shared" si="7855"/>
        <v>0</v>
      </c>
      <c r="N2669" s="647"/>
      <c r="O2669" s="627"/>
      <c r="P2669" s="629"/>
      <c r="Q2669" s="629"/>
    </row>
    <row r="2670" spans="1:17" ht="15.75" hidden="1" thickBot="1">
      <c r="A2670" s="390" t="str">
        <f t="shared" ref="A2670:B2670" si="7979">A2667</f>
        <v>PBSe</v>
      </c>
      <c r="B2670" s="391" t="str">
        <f t="shared" si="7979"/>
        <v>particle</v>
      </c>
      <c r="C2670" s="391">
        <f t="shared" ref="C2670" si="7980">C2669</f>
        <v>6</v>
      </c>
      <c r="D2670" s="399" t="str">
        <f t="shared" ref="D2670:E2670" si="7981">D2667</f>
        <v>0,1-1</v>
      </c>
      <c r="E2670" s="391">
        <f t="shared" si="7981"/>
        <v>1</v>
      </c>
      <c r="F2670" s="400" t="s">
        <v>1147</v>
      </c>
      <c r="G2670" s="386" t="str">
        <f>CONCATENATE("DE: ",A2670," ",B2670," ",D2670," mm (emission to ",F2670,")")</f>
        <v>DE: PBSe particle 0,1-1 mm (emission to fresh water)</v>
      </c>
      <c r="H2670" s="466">
        <v>0</v>
      </c>
      <c r="I2670" s="388" t="s">
        <v>1153</v>
      </c>
      <c r="J2670" s="634">
        <v>0.22800000000000001</v>
      </c>
      <c r="K2670" s="389">
        <v>25.42</v>
      </c>
      <c r="L2670" s="536"/>
      <c r="M2670" s="509">
        <f t="shared" si="7855"/>
        <v>4.9173878835562546</v>
      </c>
      <c r="N2670" s="645">
        <f t="shared" si="7856"/>
        <v>49.800796812749006</v>
      </c>
      <c r="O2670" s="625"/>
      <c r="P2670" s="628">
        <f t="shared" si="7938"/>
        <v>49.800796812749006</v>
      </c>
      <c r="Q2670" s="628">
        <f t="shared" si="7811"/>
        <v>49.800796812749006</v>
      </c>
    </row>
    <row r="2671" spans="1:17" ht="15.75" hidden="1" thickBot="1">
      <c r="A2671" s="390" t="str">
        <f t="shared" ref="A2671:B2671" si="7982">A2668</f>
        <v>PBSe</v>
      </c>
      <c r="B2671" s="391" t="str">
        <f t="shared" si="7982"/>
        <v>particle</v>
      </c>
      <c r="C2671" s="391">
        <f t="shared" ref="C2671" si="7983">C2670</f>
        <v>6</v>
      </c>
      <c r="D2671" s="391" t="str">
        <f t="shared" ref="D2671:E2671" si="7984">D2668</f>
        <v>0,1-1</v>
      </c>
      <c r="E2671" s="391">
        <f t="shared" si="7984"/>
        <v>1</v>
      </c>
      <c r="F2671" s="391" t="str">
        <f t="shared" ref="F2671:G2671" si="7985">F2670</f>
        <v>fresh water</v>
      </c>
      <c r="G2671" s="401" t="str">
        <f t="shared" si="7985"/>
        <v>DE: PBSe particle 0,1-1 mm (emission to fresh water)</v>
      </c>
      <c r="H2671" s="465">
        <v>0</v>
      </c>
      <c r="I2671" s="394" t="s">
        <v>1097</v>
      </c>
      <c r="J2671" s="635"/>
      <c r="K2671" s="389">
        <v>2.9614427292656194</v>
      </c>
      <c r="L2671" s="536"/>
      <c r="M2671" s="509">
        <f t="shared" si="7855"/>
        <v>42.209156626506022</v>
      </c>
      <c r="N2671" s="646"/>
      <c r="O2671" s="626"/>
      <c r="P2671" s="629"/>
      <c r="Q2671" s="629"/>
    </row>
    <row r="2672" spans="1:17" ht="15.75" hidden="1" thickBot="1">
      <c r="A2672" s="390" t="str">
        <f t="shared" ref="A2672:B2672" si="7986">A2669</f>
        <v>PBSe</v>
      </c>
      <c r="B2672" s="391" t="str">
        <f t="shared" si="7986"/>
        <v>particle</v>
      </c>
      <c r="C2672" s="391">
        <f t="shared" ref="C2672" si="7987">C2671</f>
        <v>6</v>
      </c>
      <c r="D2672" s="391" t="str">
        <f t="shared" ref="D2672:E2672" si="7988">D2669</f>
        <v>0,1-1</v>
      </c>
      <c r="E2672" s="391">
        <f t="shared" si="7988"/>
        <v>1</v>
      </c>
      <c r="F2672" s="391" t="str">
        <f t="shared" ref="F2672:G2672" si="7989">F2671</f>
        <v>fresh water</v>
      </c>
      <c r="G2672" s="401" t="str">
        <f t="shared" si="7989"/>
        <v>DE: PBSe particle 0,1-1 mm (emission to fresh water)</v>
      </c>
      <c r="H2672" s="465">
        <v>0.89</v>
      </c>
      <c r="I2672" s="394" t="s">
        <v>1162</v>
      </c>
      <c r="J2672" s="635"/>
      <c r="K2672" s="389">
        <v>2.5099999999999998</v>
      </c>
      <c r="L2672" s="536"/>
      <c r="M2672" s="509">
        <f t="shared" si="7855"/>
        <v>49.800796812749006</v>
      </c>
      <c r="N2672" s="646"/>
      <c r="O2672" s="626"/>
      <c r="P2672" s="629"/>
      <c r="Q2672" s="629"/>
    </row>
    <row r="2673" spans="1:17" ht="15.75" hidden="1" thickBot="1">
      <c r="A2673" s="390" t="str">
        <f t="shared" ref="A2673:B2673" si="7990">A2670</f>
        <v>PBSe</v>
      </c>
      <c r="B2673" s="391" t="str">
        <f t="shared" si="7990"/>
        <v>particle</v>
      </c>
      <c r="C2673" s="391">
        <f t="shared" ref="C2673" si="7991">C2672</f>
        <v>6</v>
      </c>
      <c r="D2673" s="391" t="str">
        <f t="shared" ref="D2673:E2673" si="7992">D2670</f>
        <v>0,1-1</v>
      </c>
      <c r="E2673" s="391">
        <f t="shared" si="7992"/>
        <v>1</v>
      </c>
      <c r="F2673" s="391" t="str">
        <f t="shared" ref="F2673:G2673" si="7993">F2672</f>
        <v>fresh water</v>
      </c>
      <c r="G2673" s="401" t="str">
        <f t="shared" si="7993"/>
        <v>DE: PBSe particle 0,1-1 mm (emission to fresh water)</v>
      </c>
      <c r="H2673" s="465">
        <v>0.11</v>
      </c>
      <c r="I2673" s="394" t="s">
        <v>1146</v>
      </c>
      <c r="J2673" s="635"/>
      <c r="K2673" s="389">
        <v>2.5099999999999998</v>
      </c>
      <c r="L2673" s="536"/>
      <c r="M2673" s="509">
        <f t="shared" si="7855"/>
        <v>49.800796812749006</v>
      </c>
      <c r="N2673" s="646"/>
      <c r="O2673" s="626"/>
      <c r="P2673" s="629"/>
      <c r="Q2673" s="629"/>
    </row>
    <row r="2674" spans="1:17" ht="15.75" hidden="1" thickBot="1">
      <c r="A2674" s="390" t="str">
        <f t="shared" ref="A2674:B2674" si="7994">A2671</f>
        <v>PBSe</v>
      </c>
      <c r="B2674" s="391" t="str">
        <f t="shared" si="7994"/>
        <v>particle</v>
      </c>
      <c r="C2674" s="391">
        <f t="shared" ref="C2674" si="7995">C2673</f>
        <v>6</v>
      </c>
      <c r="D2674" s="391" t="str">
        <f t="shared" ref="D2674:E2674" si="7996">D2671</f>
        <v>0,1-1</v>
      </c>
      <c r="E2674" s="391">
        <f t="shared" si="7996"/>
        <v>1</v>
      </c>
      <c r="F2674" s="402" t="str">
        <f>F2671</f>
        <v>fresh water</v>
      </c>
      <c r="G2674" s="401" t="str">
        <f t="shared" ref="G2674" si="7997">G2673</f>
        <v>DE: PBSe particle 0,1-1 mm (emission to fresh water)</v>
      </c>
      <c r="H2674" s="465">
        <v>0</v>
      </c>
      <c r="I2674" s="397" t="s">
        <v>1034</v>
      </c>
      <c r="J2674" s="654"/>
      <c r="K2674" s="398" t="s">
        <v>596</v>
      </c>
      <c r="L2674" s="538"/>
      <c r="M2674" s="509">
        <f t="shared" si="7855"/>
        <v>0</v>
      </c>
      <c r="N2674" s="647"/>
      <c r="O2674" s="627"/>
      <c r="P2674" s="629"/>
      <c r="Q2674" s="629"/>
    </row>
    <row r="2675" spans="1:17" ht="15.75" hidden="1" thickBot="1">
      <c r="A2675" s="390" t="str">
        <f t="shared" ref="A2675:B2675" si="7998">A2672</f>
        <v>PBSe</v>
      </c>
      <c r="B2675" s="391" t="str">
        <f t="shared" si="7998"/>
        <v>particle</v>
      </c>
      <c r="C2675" s="391">
        <f t="shared" ref="C2675" si="7999">C2674</f>
        <v>6</v>
      </c>
      <c r="D2675" s="391" t="str">
        <f t="shared" ref="D2675:E2675" si="8000">D2672</f>
        <v>0,1-1</v>
      </c>
      <c r="E2675" s="391">
        <f t="shared" si="8000"/>
        <v>1</v>
      </c>
      <c r="F2675" s="385" t="s">
        <v>1097</v>
      </c>
      <c r="G2675" s="422" t="str">
        <f>CONCATENATE("DE: ",A2675," ",B2675," ",D2675," mm (emission to ",F2675,")")</f>
        <v>DE: PBSe particle 0,1-1 mm (emission to marine water)</v>
      </c>
      <c r="H2675" s="467">
        <v>0</v>
      </c>
      <c r="I2675" s="388" t="s">
        <v>1153</v>
      </c>
      <c r="J2675" s="634">
        <v>0.22800000000000001</v>
      </c>
      <c r="K2675" s="389">
        <v>25.42</v>
      </c>
      <c r="L2675" s="536"/>
      <c r="M2675" s="509">
        <f t="shared" si="7855"/>
        <v>4.9173878835562546</v>
      </c>
      <c r="N2675" s="645">
        <f t="shared" si="7856"/>
        <v>49.800796812749006</v>
      </c>
      <c r="O2675" s="625"/>
      <c r="P2675" s="628">
        <f t="shared" si="7938"/>
        <v>49.800796812749006</v>
      </c>
      <c r="Q2675" s="628">
        <f t="shared" si="7811"/>
        <v>49.800796812749006</v>
      </c>
    </row>
    <row r="2676" spans="1:17" ht="15.75" hidden="1" thickBot="1">
      <c r="A2676" s="390" t="str">
        <f t="shared" ref="A2676:B2676" si="8001">A2673</f>
        <v>PBSe</v>
      </c>
      <c r="B2676" s="391" t="str">
        <f t="shared" si="8001"/>
        <v>particle</v>
      </c>
      <c r="C2676" s="391">
        <f t="shared" ref="C2676" si="8002">C2675</f>
        <v>6</v>
      </c>
      <c r="D2676" s="391" t="str">
        <f t="shared" ref="D2676:E2676" si="8003">D2673</f>
        <v>0,1-1</v>
      </c>
      <c r="E2676" s="391">
        <f t="shared" si="8003"/>
        <v>1</v>
      </c>
      <c r="F2676" s="391" t="str">
        <f t="shared" ref="F2676:G2676" si="8004">F2675</f>
        <v>marine water</v>
      </c>
      <c r="G2676" s="401" t="str">
        <f t="shared" si="8004"/>
        <v>DE: PBSe particle 0,1-1 mm (emission to marine water)</v>
      </c>
      <c r="H2676" s="465">
        <v>0</v>
      </c>
      <c r="I2676" s="394" t="s">
        <v>1097</v>
      </c>
      <c r="J2676" s="635"/>
      <c r="K2676" s="389">
        <v>2.9614427292656194</v>
      </c>
      <c r="L2676" s="536"/>
      <c r="M2676" s="509">
        <f t="shared" si="7855"/>
        <v>42.209156626506022</v>
      </c>
      <c r="N2676" s="646"/>
      <c r="O2676" s="626"/>
      <c r="P2676" s="629"/>
      <c r="Q2676" s="629"/>
    </row>
    <row r="2677" spans="1:17" ht="15.75" hidden="1" thickBot="1">
      <c r="A2677" s="390" t="str">
        <f t="shared" ref="A2677:B2677" si="8005">A2674</f>
        <v>PBSe</v>
      </c>
      <c r="B2677" s="391" t="str">
        <f t="shared" si="8005"/>
        <v>particle</v>
      </c>
      <c r="C2677" s="391">
        <f t="shared" ref="C2677" si="8006">C2676</f>
        <v>6</v>
      </c>
      <c r="D2677" s="391" t="str">
        <f t="shared" ref="D2677:E2677" si="8007">D2674</f>
        <v>0,1-1</v>
      </c>
      <c r="E2677" s="391">
        <f t="shared" si="8007"/>
        <v>1</v>
      </c>
      <c r="F2677" s="391" t="str">
        <f t="shared" ref="F2677:G2677" si="8008">F2676</f>
        <v>marine water</v>
      </c>
      <c r="G2677" s="401" t="str">
        <f t="shared" si="8008"/>
        <v>DE: PBSe particle 0,1-1 mm (emission to marine water)</v>
      </c>
      <c r="H2677" s="465">
        <v>0</v>
      </c>
      <c r="I2677" s="394" t="s">
        <v>1162</v>
      </c>
      <c r="J2677" s="635"/>
      <c r="K2677" s="389">
        <v>2.5099999999999998</v>
      </c>
      <c r="L2677" s="536"/>
      <c r="M2677" s="509">
        <f t="shared" si="7855"/>
        <v>49.800796812749006</v>
      </c>
      <c r="N2677" s="646"/>
      <c r="O2677" s="626"/>
      <c r="P2677" s="629"/>
      <c r="Q2677" s="629"/>
    </row>
    <row r="2678" spans="1:17" ht="15.75" hidden="1" thickBot="1">
      <c r="A2678" s="390" t="str">
        <f t="shared" ref="A2678:B2678" si="8009">A2675</f>
        <v>PBSe</v>
      </c>
      <c r="B2678" s="391" t="str">
        <f t="shared" si="8009"/>
        <v>particle</v>
      </c>
      <c r="C2678" s="391">
        <f t="shared" ref="C2678" si="8010">C2677</f>
        <v>6</v>
      </c>
      <c r="D2678" s="391" t="str">
        <f t="shared" ref="D2678:E2678" si="8011">D2675</f>
        <v>0,1-1</v>
      </c>
      <c r="E2678" s="391">
        <f t="shared" si="8011"/>
        <v>1</v>
      </c>
      <c r="F2678" s="391" t="str">
        <f t="shared" ref="F2678:G2678" si="8012">F2677</f>
        <v>marine water</v>
      </c>
      <c r="G2678" s="401" t="str">
        <f t="shared" si="8012"/>
        <v>DE: PBSe particle 0,1-1 mm (emission to marine water)</v>
      </c>
      <c r="H2678" s="465">
        <v>1</v>
      </c>
      <c r="I2678" s="394" t="s">
        <v>1146</v>
      </c>
      <c r="J2678" s="635"/>
      <c r="K2678" s="389">
        <v>2.5099999999999998</v>
      </c>
      <c r="L2678" s="536"/>
      <c r="M2678" s="509">
        <f t="shared" si="7855"/>
        <v>49.800796812749006</v>
      </c>
      <c r="N2678" s="646"/>
      <c r="O2678" s="626"/>
      <c r="P2678" s="629"/>
      <c r="Q2678" s="629"/>
    </row>
    <row r="2679" spans="1:17" ht="15.75" hidden="1" thickBot="1">
      <c r="A2679" s="390" t="str">
        <f t="shared" ref="A2679:B2679" si="8013">A2676</f>
        <v>PBSe</v>
      </c>
      <c r="B2679" s="391" t="str">
        <f t="shared" si="8013"/>
        <v>particle</v>
      </c>
      <c r="C2679" s="391">
        <f t="shared" ref="C2679" si="8014">C2678</f>
        <v>6</v>
      </c>
      <c r="D2679" s="391" t="str">
        <f t="shared" ref="D2679:E2679" si="8015">D2676</f>
        <v>0,1-1</v>
      </c>
      <c r="E2679" s="391">
        <f t="shared" si="8015"/>
        <v>1</v>
      </c>
      <c r="F2679" s="391" t="str">
        <f t="shared" ref="F2679:G2679" si="8016">F2678</f>
        <v>marine water</v>
      </c>
      <c r="G2679" s="401" t="str">
        <f t="shared" si="8016"/>
        <v>DE: PBSe particle 0,1-1 mm (emission to marine water)</v>
      </c>
      <c r="H2679" s="465">
        <v>0</v>
      </c>
      <c r="I2679" s="397" t="s">
        <v>1034</v>
      </c>
      <c r="J2679" s="654"/>
      <c r="K2679" s="398" t="s">
        <v>596</v>
      </c>
      <c r="L2679" s="538"/>
      <c r="M2679" s="509">
        <f t="shared" si="7855"/>
        <v>0</v>
      </c>
      <c r="N2679" s="647"/>
      <c r="O2679" s="627"/>
      <c r="P2679" s="629"/>
      <c r="Q2679" s="629"/>
    </row>
    <row r="2680" spans="1:17" ht="15.75" hidden="1" thickBot="1">
      <c r="A2680" s="390" t="str">
        <f t="shared" ref="A2680:B2680" si="8017">A2677</f>
        <v>PBSe</v>
      </c>
      <c r="B2680" s="391" t="str">
        <f t="shared" si="8017"/>
        <v>particle</v>
      </c>
      <c r="C2680" s="391">
        <f t="shared" ref="C2680" si="8018">C2679</f>
        <v>6</v>
      </c>
      <c r="D2680" s="391" t="str">
        <f t="shared" ref="D2680:E2680" si="8019">D2677</f>
        <v>0,1-1</v>
      </c>
      <c r="E2680" s="391">
        <f t="shared" si="8019"/>
        <v>1</v>
      </c>
      <c r="F2680" s="400" t="s">
        <v>1057</v>
      </c>
      <c r="G2680" s="422" t="str">
        <f>CONCATENATE("DE: ",A2680," ",B2680," ",D2680," mm (emission to ",F2680,")")</f>
        <v>DE: PBSe particle 0,1-1 mm (emission to air)</v>
      </c>
      <c r="H2680" s="467">
        <v>0.94799999999999995</v>
      </c>
      <c r="I2680" s="388" t="s">
        <v>1153</v>
      </c>
      <c r="J2680" s="634">
        <v>0.22800000000000001</v>
      </c>
      <c r="K2680" s="389">
        <v>25.42</v>
      </c>
      <c r="L2680" s="536"/>
      <c r="M2680" s="509">
        <f t="shared" si="7855"/>
        <v>4.9173878835562546</v>
      </c>
      <c r="N2680" s="645">
        <f t="shared" si="7856"/>
        <v>7.2513251478742777</v>
      </c>
      <c r="O2680" s="625"/>
      <c r="P2680" s="628">
        <f t="shared" si="7938"/>
        <v>7.2513251478742777</v>
      </c>
      <c r="Q2680" s="628">
        <f t="shared" ref="Q2680:Q2740" si="8020">IFERROR(IF(H2680*M2680+H2681*M2681+H2682*M2682+H2683*M2683+H2684*M2684&gt;500,500,H2680*M2680+H2681*M2681+H2682*M2682+H2683*M2683+H2684*M2684),"N.A.")</f>
        <v>7.2513251478742777</v>
      </c>
    </row>
    <row r="2681" spans="1:17" ht="15.75" hidden="1" thickBot="1">
      <c r="A2681" s="390" t="str">
        <f t="shared" ref="A2681:B2681" si="8021">A2678</f>
        <v>PBSe</v>
      </c>
      <c r="B2681" s="391" t="str">
        <f t="shared" si="8021"/>
        <v>particle</v>
      </c>
      <c r="C2681" s="391">
        <f t="shared" ref="C2681" si="8022">C2680</f>
        <v>6</v>
      </c>
      <c r="D2681" s="391" t="str">
        <f t="shared" ref="D2681:E2681" si="8023">D2678</f>
        <v>0,1-1</v>
      </c>
      <c r="E2681" s="391">
        <f t="shared" si="8023"/>
        <v>1</v>
      </c>
      <c r="F2681" s="391" t="str">
        <f t="shared" ref="F2681:G2681" si="8024">F2680</f>
        <v>air</v>
      </c>
      <c r="G2681" s="401" t="str">
        <f t="shared" si="8024"/>
        <v>DE: PBSe particle 0,1-1 mm (emission to air)</v>
      </c>
      <c r="H2681" s="465">
        <v>0</v>
      </c>
      <c r="I2681" s="394" t="s">
        <v>1097</v>
      </c>
      <c r="J2681" s="635"/>
      <c r="K2681" s="389">
        <v>2.9614427292656194</v>
      </c>
      <c r="L2681" s="536"/>
      <c r="M2681" s="509">
        <f t="shared" si="7855"/>
        <v>42.209156626506022</v>
      </c>
      <c r="N2681" s="646"/>
      <c r="O2681" s="626"/>
      <c r="P2681" s="629"/>
      <c r="Q2681" s="629"/>
    </row>
    <row r="2682" spans="1:17" ht="15.75" hidden="1" thickBot="1">
      <c r="A2682" s="390" t="str">
        <f t="shared" ref="A2682:B2682" si="8025">A2679</f>
        <v>PBSe</v>
      </c>
      <c r="B2682" s="391" t="str">
        <f t="shared" si="8025"/>
        <v>particle</v>
      </c>
      <c r="C2682" s="391">
        <f t="shared" ref="C2682" si="8026">C2681</f>
        <v>6</v>
      </c>
      <c r="D2682" s="391" t="str">
        <f t="shared" ref="D2682:E2682" si="8027">D2679</f>
        <v>0,1-1</v>
      </c>
      <c r="E2682" s="391">
        <f t="shared" si="8027"/>
        <v>1</v>
      </c>
      <c r="F2682" s="391" t="str">
        <f t="shared" ref="F2682:G2682" si="8028">F2681</f>
        <v>air</v>
      </c>
      <c r="G2682" s="401" t="str">
        <f t="shared" si="8028"/>
        <v>DE: PBSe particle 0,1-1 mm (emission to air)</v>
      </c>
      <c r="H2682" s="465">
        <v>4.7E-2</v>
      </c>
      <c r="I2682" s="394" t="s">
        <v>1162</v>
      </c>
      <c r="J2682" s="635"/>
      <c r="K2682" s="389">
        <v>2.5099999999999998</v>
      </c>
      <c r="L2682" s="536"/>
      <c r="M2682" s="509">
        <f t="shared" si="7855"/>
        <v>49.800796812749006</v>
      </c>
      <c r="N2682" s="646"/>
      <c r="O2682" s="626"/>
      <c r="P2682" s="629"/>
      <c r="Q2682" s="629"/>
    </row>
    <row r="2683" spans="1:17" ht="15.75" hidden="1" thickBot="1">
      <c r="A2683" s="390" t="str">
        <f t="shared" ref="A2683:B2683" si="8029">A2680</f>
        <v>PBSe</v>
      </c>
      <c r="B2683" s="391" t="str">
        <f t="shared" si="8029"/>
        <v>particle</v>
      </c>
      <c r="C2683" s="391">
        <f t="shared" ref="C2683" si="8030">C2682</f>
        <v>6</v>
      </c>
      <c r="D2683" s="391" t="str">
        <f t="shared" ref="D2683:E2683" si="8031">D2680</f>
        <v>0,1-1</v>
      </c>
      <c r="E2683" s="391">
        <f t="shared" si="8031"/>
        <v>1</v>
      </c>
      <c r="F2683" s="391" t="str">
        <f t="shared" ref="F2683:G2683" si="8032">F2682</f>
        <v>air</v>
      </c>
      <c r="G2683" s="401" t="str">
        <f t="shared" si="8032"/>
        <v>DE: PBSe particle 0,1-1 mm (emission to air)</v>
      </c>
      <c r="H2683" s="465">
        <v>5.0000000000000001E-3</v>
      </c>
      <c r="I2683" s="394" t="s">
        <v>1146</v>
      </c>
      <c r="J2683" s="635"/>
      <c r="K2683" s="389">
        <v>2.5099999999999998</v>
      </c>
      <c r="L2683" s="536"/>
      <c r="M2683" s="509">
        <f t="shared" si="7855"/>
        <v>49.800796812749006</v>
      </c>
      <c r="N2683" s="646"/>
      <c r="O2683" s="626"/>
      <c r="P2683" s="629"/>
      <c r="Q2683" s="629"/>
    </row>
    <row r="2684" spans="1:17" ht="15.75" hidden="1" thickBot="1">
      <c r="A2684" s="452" t="str">
        <f t="shared" ref="A2684:B2684" si="8033">A2679</f>
        <v>PBSe</v>
      </c>
      <c r="B2684" s="453" t="str">
        <f t="shared" si="8033"/>
        <v>particle</v>
      </c>
      <c r="C2684" s="453">
        <f t="shared" ref="C2684" si="8034">C2683</f>
        <v>6</v>
      </c>
      <c r="D2684" s="453" t="str">
        <f t="shared" ref="D2684:E2684" si="8035">D2679</f>
        <v>0,1-1</v>
      </c>
      <c r="E2684" s="453">
        <f t="shared" si="8035"/>
        <v>1</v>
      </c>
      <c r="F2684" s="453" t="str">
        <f t="shared" ref="F2684:G2684" si="8036">F2683</f>
        <v>air</v>
      </c>
      <c r="G2684" s="454" t="str">
        <f t="shared" si="8036"/>
        <v>DE: PBSe particle 0,1-1 mm (emission to air)</v>
      </c>
      <c r="H2684" s="473">
        <v>0</v>
      </c>
      <c r="I2684" s="456" t="s">
        <v>1034</v>
      </c>
      <c r="J2684" s="636"/>
      <c r="K2684" s="457" t="s">
        <v>596</v>
      </c>
      <c r="L2684" s="543"/>
      <c r="M2684" s="509">
        <f t="shared" si="7855"/>
        <v>0</v>
      </c>
      <c r="N2684" s="647"/>
      <c r="O2684" s="627"/>
      <c r="P2684" s="629"/>
      <c r="Q2684" s="629"/>
    </row>
    <row r="2685" spans="1:17" ht="15.75" hidden="1" thickBot="1">
      <c r="A2685" s="405" t="s">
        <v>1078</v>
      </c>
      <c r="B2685" s="406" t="s">
        <v>1152</v>
      </c>
      <c r="C2685" s="407">
        <v>6</v>
      </c>
      <c r="D2685" s="423" t="s">
        <v>1026</v>
      </c>
      <c r="E2685" s="408">
        <v>10</v>
      </c>
      <c r="F2685" s="424" t="s">
        <v>1019</v>
      </c>
      <c r="G2685" s="425" t="str">
        <f>CONCATENATE("DE: ",A2685," ",B2685," ",D2685," mm (emission to ",F2685,")")</f>
        <v>DE: PBSe particle 1-10 mm (emission to soil)</v>
      </c>
      <c r="H2685" s="474">
        <v>0.97</v>
      </c>
      <c r="I2685" s="427" t="s">
        <v>1153</v>
      </c>
      <c r="J2685" s="632">
        <v>0.22800000000000001</v>
      </c>
      <c r="K2685" s="428">
        <v>25.42</v>
      </c>
      <c r="L2685" s="539"/>
      <c r="M2685" s="509">
        <f t="shared" si="7855"/>
        <v>49.173878835562547</v>
      </c>
      <c r="N2685" s="645">
        <f t="shared" si="7856"/>
        <v>62.638901514320374</v>
      </c>
      <c r="O2685" s="625"/>
      <c r="P2685" s="628">
        <f t="shared" si="7938"/>
        <v>62.638901514320374</v>
      </c>
      <c r="Q2685" s="628">
        <f t="shared" si="8020"/>
        <v>62.638901514320374</v>
      </c>
    </row>
    <row r="2686" spans="1:17" ht="15.75" hidden="1" thickBot="1">
      <c r="A2686" s="390" t="str">
        <f>A2685</f>
        <v>PBSe</v>
      </c>
      <c r="B2686" s="391" t="str">
        <f>B2685</f>
        <v>particle</v>
      </c>
      <c r="C2686" s="391">
        <f t="shared" ref="C2686:G2686" si="8037">C2685</f>
        <v>6</v>
      </c>
      <c r="D2686" s="391" t="str">
        <f t="shared" si="8037"/>
        <v>1-10</v>
      </c>
      <c r="E2686" s="391">
        <f t="shared" si="8037"/>
        <v>10</v>
      </c>
      <c r="F2686" s="391" t="str">
        <f t="shared" si="8037"/>
        <v>soil</v>
      </c>
      <c r="G2686" s="392" t="str">
        <f t="shared" si="8037"/>
        <v>DE: PBSe particle 1-10 mm (emission to soil)</v>
      </c>
      <c r="H2686" s="465">
        <v>0</v>
      </c>
      <c r="I2686" s="394" t="s">
        <v>1097</v>
      </c>
      <c r="J2686" s="632"/>
      <c r="K2686" s="395">
        <v>2.9614427292656194</v>
      </c>
      <c r="L2686" s="537"/>
      <c r="M2686" s="509">
        <f t="shared" si="7855"/>
        <v>422.09156626506024</v>
      </c>
      <c r="N2686" s="646"/>
      <c r="O2686" s="626"/>
      <c r="P2686" s="629"/>
      <c r="Q2686" s="629"/>
    </row>
    <row r="2687" spans="1:17" ht="15.75" hidden="1" thickBot="1">
      <c r="A2687" s="390" t="str">
        <f t="shared" ref="A2687:G2687" si="8038">A2686</f>
        <v>PBSe</v>
      </c>
      <c r="B2687" s="391" t="str">
        <f t="shared" si="8038"/>
        <v>particle</v>
      </c>
      <c r="C2687" s="391">
        <f t="shared" si="8038"/>
        <v>6</v>
      </c>
      <c r="D2687" s="391" t="str">
        <f t="shared" si="8038"/>
        <v>1-10</v>
      </c>
      <c r="E2687" s="391">
        <f t="shared" si="8038"/>
        <v>10</v>
      </c>
      <c r="F2687" s="391" t="str">
        <f t="shared" si="8038"/>
        <v>soil</v>
      </c>
      <c r="G2687" s="392" t="str">
        <f t="shared" si="8038"/>
        <v>DE: PBSe particle 1-10 mm (emission to soil)</v>
      </c>
      <c r="H2687" s="465">
        <v>2.7E-2</v>
      </c>
      <c r="I2687" s="394" t="s">
        <v>1162</v>
      </c>
      <c r="J2687" s="632"/>
      <c r="K2687" s="395">
        <v>2.5099999999999998</v>
      </c>
      <c r="L2687" s="537"/>
      <c r="M2687" s="509">
        <f t="shared" si="7855"/>
        <v>498.00796812749007</v>
      </c>
      <c r="N2687" s="646"/>
      <c r="O2687" s="626"/>
      <c r="P2687" s="629"/>
      <c r="Q2687" s="629"/>
    </row>
    <row r="2688" spans="1:17" ht="15.75" hidden="1" thickBot="1">
      <c r="A2688" s="390" t="str">
        <f t="shared" ref="A2688:G2688" si="8039">A2687</f>
        <v>PBSe</v>
      </c>
      <c r="B2688" s="391" t="str">
        <f t="shared" si="8039"/>
        <v>particle</v>
      </c>
      <c r="C2688" s="391">
        <f t="shared" si="8039"/>
        <v>6</v>
      </c>
      <c r="D2688" s="391" t="str">
        <f t="shared" si="8039"/>
        <v>1-10</v>
      </c>
      <c r="E2688" s="391">
        <f t="shared" si="8039"/>
        <v>10</v>
      </c>
      <c r="F2688" s="391" t="str">
        <f t="shared" si="8039"/>
        <v>soil</v>
      </c>
      <c r="G2688" s="392" t="str">
        <f t="shared" si="8039"/>
        <v>DE: PBSe particle 1-10 mm (emission to soil)</v>
      </c>
      <c r="H2688" s="465">
        <v>3.0000000000000001E-3</v>
      </c>
      <c r="I2688" s="394" t="s">
        <v>1146</v>
      </c>
      <c r="J2688" s="632"/>
      <c r="K2688" s="395">
        <v>2.5099999999999998</v>
      </c>
      <c r="L2688" s="537"/>
      <c r="M2688" s="509">
        <f t="shared" si="7855"/>
        <v>498.00796812749007</v>
      </c>
      <c r="N2688" s="646"/>
      <c r="O2688" s="626"/>
      <c r="P2688" s="629"/>
      <c r="Q2688" s="629"/>
    </row>
    <row r="2689" spans="1:17" ht="15.75" hidden="1" thickBot="1">
      <c r="A2689" s="390" t="str">
        <f>A2686</f>
        <v>PBSe</v>
      </c>
      <c r="B2689" s="391" t="str">
        <f>B2686</f>
        <v>particle</v>
      </c>
      <c r="C2689" s="391">
        <f t="shared" ref="C2689" si="8040">C2688</f>
        <v>6</v>
      </c>
      <c r="D2689" s="391" t="str">
        <f>D2686</f>
        <v>1-10</v>
      </c>
      <c r="E2689" s="391">
        <f>E2686</f>
        <v>10</v>
      </c>
      <c r="F2689" s="391" t="str">
        <f>F2686</f>
        <v>soil</v>
      </c>
      <c r="G2689" s="396" t="str">
        <f t="shared" ref="G2689" si="8041">G2688</f>
        <v>DE: PBSe particle 1-10 mm (emission to soil)</v>
      </c>
      <c r="H2689" s="465">
        <v>0</v>
      </c>
      <c r="I2689" s="397" t="s">
        <v>1034</v>
      </c>
      <c r="J2689" s="633"/>
      <c r="K2689" s="398" t="s">
        <v>596</v>
      </c>
      <c r="L2689" s="538"/>
      <c r="M2689" s="509">
        <f t="shared" si="7855"/>
        <v>0</v>
      </c>
      <c r="N2689" s="647"/>
      <c r="O2689" s="627"/>
      <c r="P2689" s="629"/>
      <c r="Q2689" s="629"/>
    </row>
    <row r="2690" spans="1:17" ht="15.75" hidden="1" thickBot="1">
      <c r="A2690" s="390" t="str">
        <f t="shared" ref="A2690:B2690" si="8042">A2687</f>
        <v>PBSe</v>
      </c>
      <c r="B2690" s="391" t="str">
        <f t="shared" si="8042"/>
        <v>particle</v>
      </c>
      <c r="C2690" s="391">
        <f t="shared" ref="C2690" si="8043">C2689</f>
        <v>6</v>
      </c>
      <c r="D2690" s="399" t="str">
        <f t="shared" ref="D2690:E2690" si="8044">D2687</f>
        <v>1-10</v>
      </c>
      <c r="E2690" s="391">
        <f t="shared" si="8044"/>
        <v>10</v>
      </c>
      <c r="F2690" s="400" t="s">
        <v>1147</v>
      </c>
      <c r="G2690" s="386" t="str">
        <f>CONCATENATE("DE: ",A2690," ",B2690," ",D2690," mm (emission to ",F2690,")")</f>
        <v>DE: PBSe particle 1-10 mm (emission to fresh water)</v>
      </c>
      <c r="H2690" s="466">
        <v>0</v>
      </c>
      <c r="I2690" s="388" t="s">
        <v>1153</v>
      </c>
      <c r="J2690" s="634">
        <v>0.22800000000000001</v>
      </c>
      <c r="K2690" s="389">
        <v>25.42</v>
      </c>
      <c r="L2690" s="536"/>
      <c r="M2690" s="509">
        <f t="shared" si="7855"/>
        <v>49.173878835562547</v>
      </c>
      <c r="N2690" s="645">
        <f t="shared" si="7856"/>
        <v>498.00796812749007</v>
      </c>
      <c r="O2690" s="625"/>
      <c r="P2690" s="628">
        <f t="shared" si="7938"/>
        <v>100</v>
      </c>
      <c r="Q2690" s="628">
        <f t="shared" si="8020"/>
        <v>498.00796812749007</v>
      </c>
    </row>
    <row r="2691" spans="1:17" ht="15.75" hidden="1" thickBot="1">
      <c r="A2691" s="390" t="str">
        <f t="shared" ref="A2691:B2691" si="8045">A2688</f>
        <v>PBSe</v>
      </c>
      <c r="B2691" s="391" t="str">
        <f t="shared" si="8045"/>
        <v>particle</v>
      </c>
      <c r="C2691" s="391">
        <f t="shared" ref="C2691" si="8046">C2690</f>
        <v>6</v>
      </c>
      <c r="D2691" s="391" t="str">
        <f t="shared" ref="D2691:E2691" si="8047">D2688</f>
        <v>1-10</v>
      </c>
      <c r="E2691" s="391">
        <f t="shared" si="8047"/>
        <v>10</v>
      </c>
      <c r="F2691" s="391" t="str">
        <f t="shared" ref="F2691:G2691" si="8048">F2690</f>
        <v>fresh water</v>
      </c>
      <c r="G2691" s="401" t="str">
        <f t="shared" si="8048"/>
        <v>DE: PBSe particle 1-10 mm (emission to fresh water)</v>
      </c>
      <c r="H2691" s="465">
        <v>0</v>
      </c>
      <c r="I2691" s="394" t="s">
        <v>1097</v>
      </c>
      <c r="J2691" s="635"/>
      <c r="K2691" s="389">
        <v>2.9614427292656194</v>
      </c>
      <c r="L2691" s="536"/>
      <c r="M2691" s="509">
        <f t="shared" si="7855"/>
        <v>422.09156626506024</v>
      </c>
      <c r="N2691" s="646"/>
      <c r="O2691" s="626"/>
      <c r="P2691" s="629"/>
      <c r="Q2691" s="629"/>
    </row>
    <row r="2692" spans="1:17" ht="15.75" hidden="1" thickBot="1">
      <c r="A2692" s="390" t="str">
        <f t="shared" ref="A2692:B2692" si="8049">A2689</f>
        <v>PBSe</v>
      </c>
      <c r="B2692" s="391" t="str">
        <f t="shared" si="8049"/>
        <v>particle</v>
      </c>
      <c r="C2692" s="391">
        <f t="shared" ref="C2692" si="8050">C2691</f>
        <v>6</v>
      </c>
      <c r="D2692" s="391" t="str">
        <f t="shared" ref="D2692:E2692" si="8051">D2689</f>
        <v>1-10</v>
      </c>
      <c r="E2692" s="391">
        <f t="shared" si="8051"/>
        <v>10</v>
      </c>
      <c r="F2692" s="391" t="str">
        <f t="shared" ref="F2692:G2692" si="8052">F2691</f>
        <v>fresh water</v>
      </c>
      <c r="G2692" s="401" t="str">
        <f t="shared" si="8052"/>
        <v>DE: PBSe particle 1-10 mm (emission to fresh water)</v>
      </c>
      <c r="H2692" s="465">
        <v>0.89</v>
      </c>
      <c r="I2692" s="394" t="s">
        <v>1162</v>
      </c>
      <c r="J2692" s="635"/>
      <c r="K2692" s="389">
        <v>2.5099999999999998</v>
      </c>
      <c r="L2692" s="536"/>
      <c r="M2692" s="509">
        <f t="shared" si="7855"/>
        <v>498.00796812749007</v>
      </c>
      <c r="N2692" s="646"/>
      <c r="O2692" s="626"/>
      <c r="P2692" s="629"/>
      <c r="Q2692" s="629"/>
    </row>
    <row r="2693" spans="1:17" ht="15.75" hidden="1" thickBot="1">
      <c r="A2693" s="390" t="str">
        <f t="shared" ref="A2693:B2693" si="8053">A2690</f>
        <v>PBSe</v>
      </c>
      <c r="B2693" s="391" t="str">
        <f t="shared" si="8053"/>
        <v>particle</v>
      </c>
      <c r="C2693" s="391">
        <f t="shared" ref="C2693" si="8054">C2692</f>
        <v>6</v>
      </c>
      <c r="D2693" s="391" t="str">
        <f t="shared" ref="D2693:E2693" si="8055">D2690</f>
        <v>1-10</v>
      </c>
      <c r="E2693" s="391">
        <f t="shared" si="8055"/>
        <v>10</v>
      </c>
      <c r="F2693" s="391" t="str">
        <f t="shared" ref="F2693:G2693" si="8056">F2692</f>
        <v>fresh water</v>
      </c>
      <c r="G2693" s="401" t="str">
        <f t="shared" si="8056"/>
        <v>DE: PBSe particle 1-10 mm (emission to fresh water)</v>
      </c>
      <c r="H2693" s="465">
        <v>0.11</v>
      </c>
      <c r="I2693" s="394" t="s">
        <v>1146</v>
      </c>
      <c r="J2693" s="635"/>
      <c r="K2693" s="389">
        <v>2.5099999999999998</v>
      </c>
      <c r="L2693" s="536"/>
      <c r="M2693" s="509">
        <f t="shared" si="7855"/>
        <v>498.00796812749007</v>
      </c>
      <c r="N2693" s="646"/>
      <c r="O2693" s="626"/>
      <c r="P2693" s="629"/>
      <c r="Q2693" s="629"/>
    </row>
    <row r="2694" spans="1:17" ht="15.75" hidden="1" thickBot="1">
      <c r="A2694" s="390" t="str">
        <f t="shared" ref="A2694:B2694" si="8057">A2691</f>
        <v>PBSe</v>
      </c>
      <c r="B2694" s="391" t="str">
        <f t="shared" si="8057"/>
        <v>particle</v>
      </c>
      <c r="C2694" s="391">
        <f t="shared" ref="C2694" si="8058">C2693</f>
        <v>6</v>
      </c>
      <c r="D2694" s="391" t="str">
        <f t="shared" ref="D2694:E2694" si="8059">D2691</f>
        <v>1-10</v>
      </c>
      <c r="E2694" s="391">
        <f t="shared" si="8059"/>
        <v>10</v>
      </c>
      <c r="F2694" s="402" t="str">
        <f>F2691</f>
        <v>fresh water</v>
      </c>
      <c r="G2694" s="401" t="str">
        <f t="shared" ref="G2694" si="8060">G2693</f>
        <v>DE: PBSe particle 1-10 mm (emission to fresh water)</v>
      </c>
      <c r="H2694" s="465">
        <v>0</v>
      </c>
      <c r="I2694" s="397" t="s">
        <v>1034</v>
      </c>
      <c r="J2694" s="654"/>
      <c r="K2694" s="398" t="s">
        <v>596</v>
      </c>
      <c r="L2694" s="538"/>
      <c r="M2694" s="509">
        <f t="shared" ref="M2694:M2757" si="8061">IFERROR(IF(K2694="--",0,IF(E2694*1000/K2694*(1-0.5)^(C2694/2)&gt;1000,1000,E2694*1000/K2694*(1-0.5)^(C2694/2))),1000)</f>
        <v>0</v>
      </c>
      <c r="N2694" s="647"/>
      <c r="O2694" s="627"/>
      <c r="P2694" s="629"/>
      <c r="Q2694" s="629"/>
    </row>
    <row r="2695" spans="1:17" ht="15.75" hidden="1" thickBot="1">
      <c r="A2695" s="390" t="str">
        <f t="shared" ref="A2695:B2695" si="8062">A2692</f>
        <v>PBSe</v>
      </c>
      <c r="B2695" s="391" t="str">
        <f t="shared" si="8062"/>
        <v>particle</v>
      </c>
      <c r="C2695" s="391">
        <f t="shared" ref="C2695" si="8063">C2694</f>
        <v>6</v>
      </c>
      <c r="D2695" s="391" t="str">
        <f t="shared" ref="D2695:E2695" si="8064">D2692</f>
        <v>1-10</v>
      </c>
      <c r="E2695" s="391">
        <f t="shared" si="8064"/>
        <v>10</v>
      </c>
      <c r="F2695" s="385" t="s">
        <v>1097</v>
      </c>
      <c r="G2695" s="422" t="str">
        <f>CONCATENATE("DE: ",A2695," ",B2695," ",D2695," mm (emission to ",F2695,")")</f>
        <v>DE: PBSe particle 1-10 mm (emission to marine water)</v>
      </c>
      <c r="H2695" s="467">
        <v>0</v>
      </c>
      <c r="I2695" s="388" t="s">
        <v>1153</v>
      </c>
      <c r="J2695" s="634">
        <v>0.22800000000000001</v>
      </c>
      <c r="K2695" s="389">
        <v>25.42</v>
      </c>
      <c r="L2695" s="536"/>
      <c r="M2695" s="509">
        <f t="shared" si="8061"/>
        <v>49.173878835562547</v>
      </c>
      <c r="N2695" s="645">
        <f t="shared" ref="N2695:N2755" si="8065">IFERROR(H2695*M2695+H2696*M2696+H2697*M2697+H2698*M2698+H2699*M2699,"N.A.")</f>
        <v>498.00796812749007</v>
      </c>
      <c r="O2695" s="625"/>
      <c r="P2695" s="628">
        <f t="shared" si="7938"/>
        <v>100</v>
      </c>
      <c r="Q2695" s="628">
        <f t="shared" si="8020"/>
        <v>498.00796812749007</v>
      </c>
    </row>
    <row r="2696" spans="1:17" ht="15.75" hidden="1" thickBot="1">
      <c r="A2696" s="390" t="str">
        <f t="shared" ref="A2696:B2696" si="8066">A2693</f>
        <v>PBSe</v>
      </c>
      <c r="B2696" s="391" t="str">
        <f t="shared" si="8066"/>
        <v>particle</v>
      </c>
      <c r="C2696" s="391">
        <f t="shared" ref="C2696" si="8067">C2695</f>
        <v>6</v>
      </c>
      <c r="D2696" s="391" t="str">
        <f t="shared" ref="D2696:E2696" si="8068">D2693</f>
        <v>1-10</v>
      </c>
      <c r="E2696" s="391">
        <f t="shared" si="8068"/>
        <v>10</v>
      </c>
      <c r="F2696" s="391" t="str">
        <f t="shared" ref="F2696:G2696" si="8069">F2695</f>
        <v>marine water</v>
      </c>
      <c r="G2696" s="401" t="str">
        <f t="shared" si="8069"/>
        <v>DE: PBSe particle 1-10 mm (emission to marine water)</v>
      </c>
      <c r="H2696" s="465">
        <v>0</v>
      </c>
      <c r="I2696" s="394" t="s">
        <v>1097</v>
      </c>
      <c r="J2696" s="635"/>
      <c r="K2696" s="389">
        <v>2.9614427292656194</v>
      </c>
      <c r="L2696" s="536"/>
      <c r="M2696" s="509">
        <f t="shared" si="8061"/>
        <v>422.09156626506024</v>
      </c>
      <c r="N2696" s="646"/>
      <c r="O2696" s="626"/>
      <c r="P2696" s="629"/>
      <c r="Q2696" s="629"/>
    </row>
    <row r="2697" spans="1:17" ht="15.75" hidden="1" thickBot="1">
      <c r="A2697" s="390" t="str">
        <f t="shared" ref="A2697:B2697" si="8070">A2694</f>
        <v>PBSe</v>
      </c>
      <c r="B2697" s="391" t="str">
        <f t="shared" si="8070"/>
        <v>particle</v>
      </c>
      <c r="C2697" s="391">
        <f t="shared" ref="C2697" si="8071">C2696</f>
        <v>6</v>
      </c>
      <c r="D2697" s="391" t="str">
        <f t="shared" ref="D2697:E2697" si="8072">D2694</f>
        <v>1-10</v>
      </c>
      <c r="E2697" s="391">
        <f t="shared" si="8072"/>
        <v>10</v>
      </c>
      <c r="F2697" s="391" t="str">
        <f t="shared" ref="F2697:G2697" si="8073">F2696</f>
        <v>marine water</v>
      </c>
      <c r="G2697" s="401" t="str">
        <f t="shared" si="8073"/>
        <v>DE: PBSe particle 1-10 mm (emission to marine water)</v>
      </c>
      <c r="H2697" s="465">
        <v>0</v>
      </c>
      <c r="I2697" s="394" t="s">
        <v>1162</v>
      </c>
      <c r="J2697" s="635"/>
      <c r="K2697" s="389">
        <v>2.5099999999999998</v>
      </c>
      <c r="L2697" s="536"/>
      <c r="M2697" s="509">
        <f t="shared" si="8061"/>
        <v>498.00796812749007</v>
      </c>
      <c r="N2697" s="646"/>
      <c r="O2697" s="626"/>
      <c r="P2697" s="629"/>
      <c r="Q2697" s="629"/>
    </row>
    <row r="2698" spans="1:17" ht="15.75" hidden="1" thickBot="1">
      <c r="A2698" s="390" t="str">
        <f t="shared" ref="A2698:B2698" si="8074">A2695</f>
        <v>PBSe</v>
      </c>
      <c r="B2698" s="391" t="str">
        <f t="shared" si="8074"/>
        <v>particle</v>
      </c>
      <c r="C2698" s="391">
        <f t="shared" ref="C2698" si="8075">C2697</f>
        <v>6</v>
      </c>
      <c r="D2698" s="391" t="str">
        <f t="shared" ref="D2698:E2698" si="8076">D2695</f>
        <v>1-10</v>
      </c>
      <c r="E2698" s="391">
        <f t="shared" si="8076"/>
        <v>10</v>
      </c>
      <c r="F2698" s="391" t="str">
        <f t="shared" ref="F2698:G2698" si="8077">F2697</f>
        <v>marine water</v>
      </c>
      <c r="G2698" s="401" t="str">
        <f t="shared" si="8077"/>
        <v>DE: PBSe particle 1-10 mm (emission to marine water)</v>
      </c>
      <c r="H2698" s="465">
        <v>1</v>
      </c>
      <c r="I2698" s="394" t="s">
        <v>1146</v>
      </c>
      <c r="J2698" s="635"/>
      <c r="K2698" s="389">
        <v>2.5099999999999998</v>
      </c>
      <c r="L2698" s="536"/>
      <c r="M2698" s="509">
        <f t="shared" si="8061"/>
        <v>498.00796812749007</v>
      </c>
      <c r="N2698" s="646"/>
      <c r="O2698" s="626"/>
      <c r="P2698" s="629"/>
      <c r="Q2698" s="629"/>
    </row>
    <row r="2699" spans="1:17" ht="15.75" hidden="1" thickBot="1">
      <c r="A2699" s="390" t="str">
        <f t="shared" ref="A2699:B2699" si="8078">A2696</f>
        <v>PBSe</v>
      </c>
      <c r="B2699" s="391" t="str">
        <f t="shared" si="8078"/>
        <v>particle</v>
      </c>
      <c r="C2699" s="391">
        <f t="shared" ref="C2699" si="8079">C2698</f>
        <v>6</v>
      </c>
      <c r="D2699" s="391" t="str">
        <f t="shared" ref="D2699:E2699" si="8080">D2696</f>
        <v>1-10</v>
      </c>
      <c r="E2699" s="391">
        <f t="shared" si="8080"/>
        <v>10</v>
      </c>
      <c r="F2699" s="391" t="str">
        <f t="shared" ref="F2699:G2699" si="8081">F2698</f>
        <v>marine water</v>
      </c>
      <c r="G2699" s="401" t="str">
        <f t="shared" si="8081"/>
        <v>DE: PBSe particle 1-10 mm (emission to marine water)</v>
      </c>
      <c r="H2699" s="465">
        <v>0</v>
      </c>
      <c r="I2699" s="397" t="s">
        <v>1034</v>
      </c>
      <c r="J2699" s="654"/>
      <c r="K2699" s="398" t="s">
        <v>596</v>
      </c>
      <c r="L2699" s="538"/>
      <c r="M2699" s="509">
        <f t="shared" si="8061"/>
        <v>0</v>
      </c>
      <c r="N2699" s="647"/>
      <c r="O2699" s="627"/>
      <c r="P2699" s="629"/>
      <c r="Q2699" s="629"/>
    </row>
    <row r="2700" spans="1:17" ht="15.75" hidden="1" thickBot="1">
      <c r="A2700" s="390" t="str">
        <f t="shared" ref="A2700:B2700" si="8082">A2697</f>
        <v>PBSe</v>
      </c>
      <c r="B2700" s="391" t="str">
        <f t="shared" si="8082"/>
        <v>particle</v>
      </c>
      <c r="C2700" s="391">
        <f t="shared" ref="C2700" si="8083">C2699</f>
        <v>6</v>
      </c>
      <c r="D2700" s="391" t="str">
        <f t="shared" ref="D2700:E2700" si="8084">D2697</f>
        <v>1-10</v>
      </c>
      <c r="E2700" s="391">
        <f t="shared" si="8084"/>
        <v>10</v>
      </c>
      <c r="F2700" s="400" t="s">
        <v>1057</v>
      </c>
      <c r="G2700" s="422" t="str">
        <f>CONCATENATE("DE: ",A2700," ",B2700," ",D2700," mm (emission to ",F2700,")")</f>
        <v>DE: PBSe particle 1-10 mm (emission to air)</v>
      </c>
      <c r="H2700" s="467">
        <v>0.94799999999999995</v>
      </c>
      <c r="I2700" s="388" t="s">
        <v>1153</v>
      </c>
      <c r="J2700" s="634">
        <v>0.22800000000000001</v>
      </c>
      <c r="K2700" s="389">
        <v>25.42</v>
      </c>
      <c r="L2700" s="536"/>
      <c r="M2700" s="509">
        <f t="shared" si="8061"/>
        <v>49.173878835562547</v>
      </c>
      <c r="N2700" s="645">
        <f t="shared" si="8065"/>
        <v>72.513251478742774</v>
      </c>
      <c r="O2700" s="625"/>
      <c r="P2700" s="628">
        <f t="shared" si="7938"/>
        <v>72.513251478742774</v>
      </c>
      <c r="Q2700" s="628">
        <f t="shared" si="8020"/>
        <v>72.513251478742774</v>
      </c>
    </row>
    <row r="2701" spans="1:17" ht="15.75" hidden="1" thickBot="1">
      <c r="A2701" s="390" t="str">
        <f t="shared" ref="A2701:B2701" si="8085">A2698</f>
        <v>PBSe</v>
      </c>
      <c r="B2701" s="391" t="str">
        <f t="shared" si="8085"/>
        <v>particle</v>
      </c>
      <c r="C2701" s="391">
        <f t="shared" ref="C2701" si="8086">C2700</f>
        <v>6</v>
      </c>
      <c r="D2701" s="391" t="str">
        <f t="shared" ref="D2701:E2701" si="8087">D2698</f>
        <v>1-10</v>
      </c>
      <c r="E2701" s="391">
        <f t="shared" si="8087"/>
        <v>10</v>
      </c>
      <c r="F2701" s="391" t="str">
        <f t="shared" ref="F2701:G2701" si="8088">F2700</f>
        <v>air</v>
      </c>
      <c r="G2701" s="401" t="str">
        <f t="shared" si="8088"/>
        <v>DE: PBSe particle 1-10 mm (emission to air)</v>
      </c>
      <c r="H2701" s="465">
        <v>0</v>
      </c>
      <c r="I2701" s="394" t="s">
        <v>1097</v>
      </c>
      <c r="J2701" s="635"/>
      <c r="K2701" s="389">
        <v>2.9614427292656194</v>
      </c>
      <c r="L2701" s="536"/>
      <c r="M2701" s="509">
        <f t="shared" si="8061"/>
        <v>422.09156626506024</v>
      </c>
      <c r="N2701" s="646"/>
      <c r="O2701" s="626"/>
      <c r="P2701" s="629"/>
      <c r="Q2701" s="629"/>
    </row>
    <row r="2702" spans="1:17" ht="15.75" hidden="1" thickBot="1">
      <c r="A2702" s="390" t="str">
        <f t="shared" ref="A2702:B2702" si="8089">A2699</f>
        <v>PBSe</v>
      </c>
      <c r="B2702" s="391" t="str">
        <f t="shared" si="8089"/>
        <v>particle</v>
      </c>
      <c r="C2702" s="391">
        <f t="shared" ref="C2702" si="8090">C2701</f>
        <v>6</v>
      </c>
      <c r="D2702" s="391" t="str">
        <f t="shared" ref="D2702:E2702" si="8091">D2699</f>
        <v>1-10</v>
      </c>
      <c r="E2702" s="391">
        <f t="shared" si="8091"/>
        <v>10</v>
      </c>
      <c r="F2702" s="391" t="str">
        <f t="shared" ref="F2702:G2702" si="8092">F2701</f>
        <v>air</v>
      </c>
      <c r="G2702" s="401" t="str">
        <f t="shared" si="8092"/>
        <v>DE: PBSe particle 1-10 mm (emission to air)</v>
      </c>
      <c r="H2702" s="465">
        <v>4.7E-2</v>
      </c>
      <c r="I2702" s="394" t="s">
        <v>1162</v>
      </c>
      <c r="J2702" s="635"/>
      <c r="K2702" s="389">
        <v>2.5099999999999998</v>
      </c>
      <c r="L2702" s="536"/>
      <c r="M2702" s="509">
        <f t="shared" si="8061"/>
        <v>498.00796812749007</v>
      </c>
      <c r="N2702" s="646"/>
      <c r="O2702" s="626"/>
      <c r="P2702" s="629"/>
      <c r="Q2702" s="629"/>
    </row>
    <row r="2703" spans="1:17" ht="15.75" hidden="1" thickBot="1">
      <c r="A2703" s="390" t="str">
        <f t="shared" ref="A2703:B2703" si="8093">A2700</f>
        <v>PBSe</v>
      </c>
      <c r="B2703" s="391" t="str">
        <f t="shared" si="8093"/>
        <v>particle</v>
      </c>
      <c r="C2703" s="391">
        <f t="shared" ref="C2703" si="8094">C2702</f>
        <v>6</v>
      </c>
      <c r="D2703" s="391" t="str">
        <f t="shared" ref="D2703:E2703" si="8095">D2700</f>
        <v>1-10</v>
      </c>
      <c r="E2703" s="391">
        <f t="shared" si="8095"/>
        <v>10</v>
      </c>
      <c r="F2703" s="391" t="str">
        <f t="shared" ref="F2703:G2703" si="8096">F2702</f>
        <v>air</v>
      </c>
      <c r="G2703" s="401" t="str">
        <f t="shared" si="8096"/>
        <v>DE: PBSe particle 1-10 mm (emission to air)</v>
      </c>
      <c r="H2703" s="465">
        <v>5.0000000000000001E-3</v>
      </c>
      <c r="I2703" s="394" t="s">
        <v>1146</v>
      </c>
      <c r="J2703" s="635"/>
      <c r="K2703" s="389">
        <v>2.5099999999999998</v>
      </c>
      <c r="L2703" s="536"/>
      <c r="M2703" s="509">
        <f t="shared" si="8061"/>
        <v>498.00796812749007</v>
      </c>
      <c r="N2703" s="646"/>
      <c r="O2703" s="626"/>
      <c r="P2703" s="629"/>
      <c r="Q2703" s="629"/>
    </row>
    <row r="2704" spans="1:17" ht="15.75" hidden="1" thickBot="1">
      <c r="A2704" s="452" t="str">
        <f t="shared" ref="A2704:B2704" si="8097">A2699</f>
        <v>PBSe</v>
      </c>
      <c r="B2704" s="453" t="str">
        <f t="shared" si="8097"/>
        <v>particle</v>
      </c>
      <c r="C2704" s="453">
        <f t="shared" ref="C2704" si="8098">C2703</f>
        <v>6</v>
      </c>
      <c r="D2704" s="453" t="str">
        <f t="shared" ref="D2704:E2704" si="8099">D2699</f>
        <v>1-10</v>
      </c>
      <c r="E2704" s="453">
        <f t="shared" si="8099"/>
        <v>10</v>
      </c>
      <c r="F2704" s="453" t="str">
        <f t="shared" ref="F2704:G2704" si="8100">F2703</f>
        <v>air</v>
      </c>
      <c r="G2704" s="454" t="str">
        <f t="shared" si="8100"/>
        <v>DE: PBSe particle 1-10 mm (emission to air)</v>
      </c>
      <c r="H2704" s="473">
        <v>0</v>
      </c>
      <c r="I2704" s="456" t="s">
        <v>1034</v>
      </c>
      <c r="J2704" s="636"/>
      <c r="K2704" s="457" t="s">
        <v>596</v>
      </c>
      <c r="L2704" s="543"/>
      <c r="M2704" s="509">
        <f t="shared" si="8061"/>
        <v>0</v>
      </c>
      <c r="N2704" s="647"/>
      <c r="O2704" s="627"/>
      <c r="P2704" s="629"/>
      <c r="Q2704" s="629"/>
    </row>
    <row r="2705" spans="1:17" ht="16.5" hidden="1" thickTop="1" thickBot="1">
      <c r="A2705" s="442" t="s">
        <v>1077</v>
      </c>
      <c r="B2705" s="443" t="s">
        <v>996</v>
      </c>
      <c r="C2705" s="444">
        <f>IF(OR(B2705="Folie", B2705="Strips", B2705="Film",B2705="Flakes",B2705="Coupon"), 2,IF(OR(B2705="Fibers",B2705="Pellets"),4,IF(OR(B2705="Particles",B2705="Shreds",B2705="Powder",B2705="Fragments",B2705="Granules"),6,"")))</f>
        <v>2</v>
      </c>
      <c r="D2705" s="444" t="s">
        <v>1018</v>
      </c>
      <c r="E2705" s="445">
        <v>0.1</v>
      </c>
      <c r="F2705" s="446" t="s">
        <v>1019</v>
      </c>
      <c r="G2705" s="447" t="str">
        <f>CONCATENATE("DE: ",A2705," ",B2705," ",D2705," mm (emission to ",F2705,")")</f>
        <v>DE: PBSeT film 0,01-0,1 mm (emission to soil)</v>
      </c>
      <c r="H2705" s="464">
        <v>0.97</v>
      </c>
      <c r="I2705" s="448" t="s">
        <v>1153</v>
      </c>
      <c r="J2705" s="632">
        <v>0.22800000000000001</v>
      </c>
      <c r="K2705" s="449">
        <v>19.655684523809523</v>
      </c>
      <c r="L2705" s="541"/>
      <c r="M2705" s="509">
        <f t="shared" si="8061"/>
        <v>2.54379337129844</v>
      </c>
      <c r="N2705" s="645">
        <f t="shared" si="8065"/>
        <v>3.1717049222721627</v>
      </c>
      <c r="O2705" s="625"/>
      <c r="P2705" s="628">
        <f t="shared" si="7938"/>
        <v>3.1717049222721627</v>
      </c>
      <c r="Q2705" s="628">
        <f t="shared" si="8020"/>
        <v>3.1717049222721627</v>
      </c>
    </row>
    <row r="2706" spans="1:17" ht="15.75" hidden="1" thickBot="1">
      <c r="A2706" s="390" t="str">
        <f>A2705</f>
        <v>PBSeT</v>
      </c>
      <c r="B2706" s="391" t="str">
        <f>B2705</f>
        <v>film</v>
      </c>
      <c r="C2706" s="391">
        <f t="shared" ref="C2706:G2706" si="8101">C2705</f>
        <v>2</v>
      </c>
      <c r="D2706" s="391" t="str">
        <f t="shared" si="8101"/>
        <v>0,01-0,1</v>
      </c>
      <c r="E2706" s="391">
        <f t="shared" si="8101"/>
        <v>0.1</v>
      </c>
      <c r="F2706" s="391" t="str">
        <f t="shared" si="8101"/>
        <v>soil</v>
      </c>
      <c r="G2706" s="392" t="str">
        <f t="shared" si="8101"/>
        <v>DE: PBSeT film 0,01-0,1 mm (emission to soil)</v>
      </c>
      <c r="H2706" s="465">
        <v>0</v>
      </c>
      <c r="I2706" s="394" t="s">
        <v>1097</v>
      </c>
      <c r="J2706" s="632"/>
      <c r="K2706" s="395">
        <v>2.0007669930984768</v>
      </c>
      <c r="L2706" s="537"/>
      <c r="M2706" s="509">
        <f t="shared" si="8061"/>
        <v>24.990416261599645</v>
      </c>
      <c r="N2706" s="646"/>
      <c r="O2706" s="626"/>
      <c r="P2706" s="629"/>
      <c r="Q2706" s="629"/>
    </row>
    <row r="2707" spans="1:17" ht="15.75" hidden="1" thickBot="1">
      <c r="A2707" s="390" t="str">
        <f t="shared" ref="A2707:G2707" si="8102">A2706</f>
        <v>PBSeT</v>
      </c>
      <c r="B2707" s="391" t="str">
        <f t="shared" si="8102"/>
        <v>film</v>
      </c>
      <c r="C2707" s="391">
        <f t="shared" si="8102"/>
        <v>2</v>
      </c>
      <c r="D2707" s="391" t="str">
        <f t="shared" si="8102"/>
        <v>0,01-0,1</v>
      </c>
      <c r="E2707" s="391">
        <f t="shared" si="8102"/>
        <v>0.1</v>
      </c>
      <c r="F2707" s="391" t="str">
        <f t="shared" si="8102"/>
        <v>soil</v>
      </c>
      <c r="G2707" s="392" t="str">
        <f t="shared" si="8102"/>
        <v>DE: PBSeT film 0,01-0,1 mm (emission to soil)</v>
      </c>
      <c r="H2707" s="465">
        <v>2.7E-2</v>
      </c>
      <c r="I2707" s="394" t="s">
        <v>1162</v>
      </c>
      <c r="J2707" s="632"/>
      <c r="K2707" s="395">
        <v>2.13</v>
      </c>
      <c r="L2707" s="537"/>
      <c r="M2707" s="509">
        <f t="shared" si="8061"/>
        <v>23.474178403755868</v>
      </c>
      <c r="N2707" s="646"/>
      <c r="O2707" s="626"/>
      <c r="P2707" s="629"/>
      <c r="Q2707" s="629"/>
    </row>
    <row r="2708" spans="1:17" ht="15.75" hidden="1" thickBot="1">
      <c r="A2708" s="390" t="str">
        <f t="shared" ref="A2708:G2708" si="8103">A2707</f>
        <v>PBSeT</v>
      </c>
      <c r="B2708" s="391" t="str">
        <f t="shared" si="8103"/>
        <v>film</v>
      </c>
      <c r="C2708" s="391">
        <f t="shared" si="8103"/>
        <v>2</v>
      </c>
      <c r="D2708" s="391" t="str">
        <f t="shared" si="8103"/>
        <v>0,01-0,1</v>
      </c>
      <c r="E2708" s="391">
        <f t="shared" si="8103"/>
        <v>0.1</v>
      </c>
      <c r="F2708" s="391" t="str">
        <f t="shared" si="8103"/>
        <v>soil</v>
      </c>
      <c r="G2708" s="392" t="str">
        <f t="shared" si="8103"/>
        <v>DE: PBSeT film 0,01-0,1 mm (emission to soil)</v>
      </c>
      <c r="H2708" s="465">
        <v>3.0000000000000001E-3</v>
      </c>
      <c r="I2708" s="394" t="s">
        <v>1146</v>
      </c>
      <c r="J2708" s="632"/>
      <c r="K2708" s="395">
        <v>2.13</v>
      </c>
      <c r="L2708" s="537"/>
      <c r="M2708" s="509">
        <f t="shared" si="8061"/>
        <v>23.474178403755868</v>
      </c>
      <c r="N2708" s="646"/>
      <c r="O2708" s="626"/>
      <c r="P2708" s="629"/>
      <c r="Q2708" s="629"/>
    </row>
    <row r="2709" spans="1:17" ht="15.75" hidden="1" thickBot="1">
      <c r="A2709" s="390" t="str">
        <f>A2706</f>
        <v>PBSeT</v>
      </c>
      <c r="B2709" s="391" t="str">
        <f>B2706</f>
        <v>film</v>
      </c>
      <c r="C2709" s="391">
        <f t="shared" ref="C2709" si="8104">C2708</f>
        <v>2</v>
      </c>
      <c r="D2709" s="391" t="str">
        <f>D2706</f>
        <v>0,01-0,1</v>
      </c>
      <c r="E2709" s="391">
        <f>E2706</f>
        <v>0.1</v>
      </c>
      <c r="F2709" s="391" t="str">
        <f>F2706</f>
        <v>soil</v>
      </c>
      <c r="G2709" s="396" t="str">
        <f t="shared" ref="G2709" si="8105">G2708</f>
        <v>DE: PBSeT film 0,01-0,1 mm (emission to soil)</v>
      </c>
      <c r="H2709" s="465">
        <v>0</v>
      </c>
      <c r="I2709" s="397" t="s">
        <v>1034</v>
      </c>
      <c r="J2709" s="633"/>
      <c r="K2709" s="398" t="s">
        <v>596</v>
      </c>
      <c r="L2709" s="538"/>
      <c r="M2709" s="509">
        <f t="shared" si="8061"/>
        <v>0</v>
      </c>
      <c r="N2709" s="647"/>
      <c r="O2709" s="627"/>
      <c r="P2709" s="629"/>
      <c r="Q2709" s="629"/>
    </row>
    <row r="2710" spans="1:17" ht="15.75" hidden="1" thickBot="1">
      <c r="A2710" s="390" t="str">
        <f t="shared" ref="A2710:B2710" si="8106">A2707</f>
        <v>PBSeT</v>
      </c>
      <c r="B2710" s="391" t="str">
        <f t="shared" si="8106"/>
        <v>film</v>
      </c>
      <c r="C2710" s="391">
        <f t="shared" ref="C2710" si="8107">C2709</f>
        <v>2</v>
      </c>
      <c r="D2710" s="399" t="str">
        <f t="shared" ref="D2710:E2710" si="8108">D2707</f>
        <v>0,01-0,1</v>
      </c>
      <c r="E2710" s="391">
        <f t="shared" si="8108"/>
        <v>0.1</v>
      </c>
      <c r="F2710" s="400" t="s">
        <v>1147</v>
      </c>
      <c r="G2710" s="386" t="str">
        <f>CONCATENATE("DE: ",A2710," ",B2710," ",D2710," mm (emission to ",F2710,")")</f>
        <v>DE: PBSeT film 0,01-0,1 mm (emission to fresh water)</v>
      </c>
      <c r="H2710" s="466">
        <v>0</v>
      </c>
      <c r="I2710" s="388" t="s">
        <v>1153</v>
      </c>
      <c r="J2710" s="634">
        <v>0.22800000000000001</v>
      </c>
      <c r="K2710" s="389">
        <v>19.655684523809523</v>
      </c>
      <c r="L2710" s="536"/>
      <c r="M2710" s="509">
        <f t="shared" si="8061"/>
        <v>2.54379337129844</v>
      </c>
      <c r="N2710" s="645">
        <f t="shared" si="8065"/>
        <v>23.474178403755868</v>
      </c>
      <c r="O2710" s="625"/>
      <c r="P2710" s="628">
        <f t="shared" si="7938"/>
        <v>23.474178403755868</v>
      </c>
      <c r="Q2710" s="628">
        <f t="shared" si="8020"/>
        <v>23.474178403755868</v>
      </c>
    </row>
    <row r="2711" spans="1:17" ht="15.75" hidden="1" thickBot="1">
      <c r="A2711" s="390" t="str">
        <f t="shared" ref="A2711:B2711" si="8109">A2708</f>
        <v>PBSeT</v>
      </c>
      <c r="B2711" s="391" t="str">
        <f t="shared" si="8109"/>
        <v>film</v>
      </c>
      <c r="C2711" s="391">
        <f t="shared" ref="C2711" si="8110">C2710</f>
        <v>2</v>
      </c>
      <c r="D2711" s="391" t="str">
        <f t="shared" ref="D2711:E2711" si="8111">D2708</f>
        <v>0,01-0,1</v>
      </c>
      <c r="E2711" s="391">
        <f t="shared" si="8111"/>
        <v>0.1</v>
      </c>
      <c r="F2711" s="391" t="str">
        <f t="shared" ref="F2711:G2711" si="8112">F2710</f>
        <v>fresh water</v>
      </c>
      <c r="G2711" s="401" t="str">
        <f t="shared" si="8112"/>
        <v>DE: PBSeT film 0,01-0,1 mm (emission to fresh water)</v>
      </c>
      <c r="H2711" s="465">
        <v>0</v>
      </c>
      <c r="I2711" s="394" t="s">
        <v>1097</v>
      </c>
      <c r="J2711" s="635"/>
      <c r="K2711" s="389">
        <v>2.0007669930984768</v>
      </c>
      <c r="L2711" s="536"/>
      <c r="M2711" s="509">
        <f t="shared" si="8061"/>
        <v>24.990416261599645</v>
      </c>
      <c r="N2711" s="646"/>
      <c r="O2711" s="626"/>
      <c r="P2711" s="629"/>
      <c r="Q2711" s="629"/>
    </row>
    <row r="2712" spans="1:17" ht="15.75" hidden="1" thickBot="1">
      <c r="A2712" s="390" t="str">
        <f t="shared" ref="A2712:B2712" si="8113">A2709</f>
        <v>PBSeT</v>
      </c>
      <c r="B2712" s="391" t="str">
        <f t="shared" si="8113"/>
        <v>film</v>
      </c>
      <c r="C2712" s="391">
        <f t="shared" ref="C2712" si="8114">C2711</f>
        <v>2</v>
      </c>
      <c r="D2712" s="391" t="str">
        <f t="shared" ref="D2712:E2712" si="8115">D2709</f>
        <v>0,01-0,1</v>
      </c>
      <c r="E2712" s="391">
        <f t="shared" si="8115"/>
        <v>0.1</v>
      </c>
      <c r="F2712" s="391" t="str">
        <f t="shared" ref="F2712:G2712" si="8116">F2711</f>
        <v>fresh water</v>
      </c>
      <c r="G2712" s="401" t="str">
        <f t="shared" si="8116"/>
        <v>DE: PBSeT film 0,01-0,1 mm (emission to fresh water)</v>
      </c>
      <c r="H2712" s="465">
        <v>0.89</v>
      </c>
      <c r="I2712" s="394" t="s">
        <v>1162</v>
      </c>
      <c r="J2712" s="635"/>
      <c r="K2712" s="389">
        <v>2.13</v>
      </c>
      <c r="L2712" s="536"/>
      <c r="M2712" s="509">
        <f t="shared" si="8061"/>
        <v>23.474178403755868</v>
      </c>
      <c r="N2712" s="646"/>
      <c r="O2712" s="626"/>
      <c r="P2712" s="629"/>
      <c r="Q2712" s="629"/>
    </row>
    <row r="2713" spans="1:17" ht="15.75" hidden="1" thickBot="1">
      <c r="A2713" s="390" t="str">
        <f t="shared" ref="A2713:B2713" si="8117">A2710</f>
        <v>PBSeT</v>
      </c>
      <c r="B2713" s="391" t="str">
        <f t="shared" si="8117"/>
        <v>film</v>
      </c>
      <c r="C2713" s="391">
        <f t="shared" ref="C2713" si="8118">C2712</f>
        <v>2</v>
      </c>
      <c r="D2713" s="391" t="str">
        <f t="shared" ref="D2713:E2713" si="8119">D2710</f>
        <v>0,01-0,1</v>
      </c>
      <c r="E2713" s="391">
        <f t="shared" si="8119"/>
        <v>0.1</v>
      </c>
      <c r="F2713" s="391" t="str">
        <f t="shared" ref="F2713:G2713" si="8120">F2712</f>
        <v>fresh water</v>
      </c>
      <c r="G2713" s="401" t="str">
        <f t="shared" si="8120"/>
        <v>DE: PBSeT film 0,01-0,1 mm (emission to fresh water)</v>
      </c>
      <c r="H2713" s="465">
        <v>0.11</v>
      </c>
      <c r="I2713" s="394" t="s">
        <v>1146</v>
      </c>
      <c r="J2713" s="635"/>
      <c r="K2713" s="389">
        <v>2.13</v>
      </c>
      <c r="L2713" s="536"/>
      <c r="M2713" s="509">
        <f t="shared" si="8061"/>
        <v>23.474178403755868</v>
      </c>
      <c r="N2713" s="646"/>
      <c r="O2713" s="626"/>
      <c r="P2713" s="629"/>
      <c r="Q2713" s="629"/>
    </row>
    <row r="2714" spans="1:17" ht="15.75" hidden="1" thickBot="1">
      <c r="A2714" s="390" t="str">
        <f t="shared" ref="A2714:B2714" si="8121">A2711</f>
        <v>PBSeT</v>
      </c>
      <c r="B2714" s="391" t="str">
        <f t="shared" si="8121"/>
        <v>film</v>
      </c>
      <c r="C2714" s="391">
        <f t="shared" ref="C2714" si="8122">C2713</f>
        <v>2</v>
      </c>
      <c r="D2714" s="391" t="str">
        <f t="shared" ref="D2714:E2714" si="8123">D2711</f>
        <v>0,01-0,1</v>
      </c>
      <c r="E2714" s="391">
        <f t="shared" si="8123"/>
        <v>0.1</v>
      </c>
      <c r="F2714" s="402" t="str">
        <f>F2711</f>
        <v>fresh water</v>
      </c>
      <c r="G2714" s="401" t="str">
        <f t="shared" ref="G2714" si="8124">G2713</f>
        <v>DE: PBSeT film 0,01-0,1 mm (emission to fresh water)</v>
      </c>
      <c r="H2714" s="465">
        <v>0</v>
      </c>
      <c r="I2714" s="397" t="s">
        <v>1034</v>
      </c>
      <c r="J2714" s="654"/>
      <c r="K2714" s="398" t="s">
        <v>596</v>
      </c>
      <c r="L2714" s="538"/>
      <c r="M2714" s="509">
        <f t="shared" si="8061"/>
        <v>0</v>
      </c>
      <c r="N2714" s="647"/>
      <c r="O2714" s="627"/>
      <c r="P2714" s="629"/>
      <c r="Q2714" s="629"/>
    </row>
    <row r="2715" spans="1:17" ht="15.75" hidden="1" thickBot="1">
      <c r="A2715" s="390" t="str">
        <f t="shared" ref="A2715:B2715" si="8125">A2712</f>
        <v>PBSeT</v>
      </c>
      <c r="B2715" s="391" t="str">
        <f t="shared" si="8125"/>
        <v>film</v>
      </c>
      <c r="C2715" s="391">
        <f t="shared" ref="C2715" si="8126">C2714</f>
        <v>2</v>
      </c>
      <c r="D2715" s="391" t="str">
        <f t="shared" ref="D2715:E2715" si="8127">D2712</f>
        <v>0,01-0,1</v>
      </c>
      <c r="E2715" s="391">
        <f t="shared" si="8127"/>
        <v>0.1</v>
      </c>
      <c r="F2715" s="385" t="s">
        <v>1097</v>
      </c>
      <c r="G2715" s="422" t="str">
        <f>CONCATENATE("DE: ",A2715," ",B2715," ",D2715," mm (emission to ",F2715,")")</f>
        <v>DE: PBSeT film 0,01-0,1 mm (emission to marine water)</v>
      </c>
      <c r="H2715" s="465">
        <v>0</v>
      </c>
      <c r="I2715" s="388" t="s">
        <v>1153</v>
      </c>
      <c r="J2715" s="634">
        <v>0.22800000000000001</v>
      </c>
      <c r="K2715" s="389">
        <v>19.655684523809523</v>
      </c>
      <c r="L2715" s="536"/>
      <c r="M2715" s="509">
        <f t="shared" si="8061"/>
        <v>2.54379337129844</v>
      </c>
      <c r="N2715" s="645">
        <f t="shared" si="8065"/>
        <v>23.474178403755868</v>
      </c>
      <c r="O2715" s="625"/>
      <c r="P2715" s="628">
        <f t="shared" si="7938"/>
        <v>23.474178403755868</v>
      </c>
      <c r="Q2715" s="628">
        <f t="shared" si="8020"/>
        <v>23.474178403755868</v>
      </c>
    </row>
    <row r="2716" spans="1:17" ht="15.75" hidden="1" thickBot="1">
      <c r="A2716" s="390" t="str">
        <f t="shared" ref="A2716:B2716" si="8128">A2713</f>
        <v>PBSeT</v>
      </c>
      <c r="B2716" s="391" t="str">
        <f t="shared" si="8128"/>
        <v>film</v>
      </c>
      <c r="C2716" s="391">
        <f t="shared" ref="C2716" si="8129">C2715</f>
        <v>2</v>
      </c>
      <c r="D2716" s="391" t="str">
        <f t="shared" ref="D2716:E2716" si="8130">D2713</f>
        <v>0,01-0,1</v>
      </c>
      <c r="E2716" s="391">
        <f t="shared" si="8130"/>
        <v>0.1</v>
      </c>
      <c r="F2716" s="391" t="str">
        <f t="shared" ref="F2716:G2716" si="8131">F2715</f>
        <v>marine water</v>
      </c>
      <c r="G2716" s="401" t="str">
        <f t="shared" si="8131"/>
        <v>DE: PBSeT film 0,01-0,1 mm (emission to marine water)</v>
      </c>
      <c r="H2716" s="465">
        <v>0</v>
      </c>
      <c r="I2716" s="394" t="s">
        <v>1097</v>
      </c>
      <c r="J2716" s="635"/>
      <c r="K2716" s="389">
        <v>2.0007669930984768</v>
      </c>
      <c r="L2716" s="536"/>
      <c r="M2716" s="509">
        <f t="shared" si="8061"/>
        <v>24.990416261599645</v>
      </c>
      <c r="N2716" s="646"/>
      <c r="O2716" s="626"/>
      <c r="P2716" s="629"/>
      <c r="Q2716" s="629"/>
    </row>
    <row r="2717" spans="1:17" ht="15.75" hidden="1" thickBot="1">
      <c r="A2717" s="390" t="str">
        <f t="shared" ref="A2717:B2717" si="8132">A2714</f>
        <v>PBSeT</v>
      </c>
      <c r="B2717" s="391" t="str">
        <f t="shared" si="8132"/>
        <v>film</v>
      </c>
      <c r="C2717" s="391">
        <f t="shared" ref="C2717" si="8133">C2716</f>
        <v>2</v>
      </c>
      <c r="D2717" s="391" t="str">
        <f t="shared" ref="D2717:E2717" si="8134">D2714</f>
        <v>0,01-0,1</v>
      </c>
      <c r="E2717" s="391">
        <f t="shared" si="8134"/>
        <v>0.1</v>
      </c>
      <c r="F2717" s="391" t="str">
        <f t="shared" ref="F2717:G2717" si="8135">F2716</f>
        <v>marine water</v>
      </c>
      <c r="G2717" s="401" t="str">
        <f t="shared" si="8135"/>
        <v>DE: PBSeT film 0,01-0,1 mm (emission to marine water)</v>
      </c>
      <c r="H2717" s="465">
        <v>0</v>
      </c>
      <c r="I2717" s="394" t="s">
        <v>1162</v>
      </c>
      <c r="J2717" s="635"/>
      <c r="K2717" s="389">
        <v>2.13</v>
      </c>
      <c r="L2717" s="536"/>
      <c r="M2717" s="509">
        <f t="shared" si="8061"/>
        <v>23.474178403755868</v>
      </c>
      <c r="N2717" s="646"/>
      <c r="O2717" s="626"/>
      <c r="P2717" s="629"/>
      <c r="Q2717" s="629"/>
    </row>
    <row r="2718" spans="1:17" ht="15.75" hidden="1" thickBot="1">
      <c r="A2718" s="390" t="str">
        <f t="shared" ref="A2718:B2718" si="8136">A2715</f>
        <v>PBSeT</v>
      </c>
      <c r="B2718" s="391" t="str">
        <f t="shared" si="8136"/>
        <v>film</v>
      </c>
      <c r="C2718" s="391">
        <f t="shared" ref="C2718" si="8137">C2717</f>
        <v>2</v>
      </c>
      <c r="D2718" s="391" t="str">
        <f t="shared" ref="D2718:E2718" si="8138">D2715</f>
        <v>0,01-0,1</v>
      </c>
      <c r="E2718" s="391">
        <f t="shared" si="8138"/>
        <v>0.1</v>
      </c>
      <c r="F2718" s="391" t="str">
        <f t="shared" ref="F2718:G2718" si="8139">F2717</f>
        <v>marine water</v>
      </c>
      <c r="G2718" s="401" t="str">
        <f t="shared" si="8139"/>
        <v>DE: PBSeT film 0,01-0,1 mm (emission to marine water)</v>
      </c>
      <c r="H2718" s="465">
        <v>1</v>
      </c>
      <c r="I2718" s="394" t="s">
        <v>1146</v>
      </c>
      <c r="J2718" s="635"/>
      <c r="K2718" s="389">
        <v>2.13</v>
      </c>
      <c r="L2718" s="536"/>
      <c r="M2718" s="509">
        <f t="shared" si="8061"/>
        <v>23.474178403755868</v>
      </c>
      <c r="N2718" s="646"/>
      <c r="O2718" s="626"/>
      <c r="P2718" s="629"/>
      <c r="Q2718" s="629"/>
    </row>
    <row r="2719" spans="1:17" ht="15.75" hidden="1" thickBot="1">
      <c r="A2719" s="390" t="str">
        <f t="shared" ref="A2719:B2719" si="8140">A2716</f>
        <v>PBSeT</v>
      </c>
      <c r="B2719" s="391" t="str">
        <f t="shared" si="8140"/>
        <v>film</v>
      </c>
      <c r="C2719" s="391">
        <f t="shared" ref="C2719" si="8141">C2718</f>
        <v>2</v>
      </c>
      <c r="D2719" s="391" t="str">
        <f t="shared" ref="D2719:E2719" si="8142">D2716</f>
        <v>0,01-0,1</v>
      </c>
      <c r="E2719" s="391">
        <f t="shared" si="8142"/>
        <v>0.1</v>
      </c>
      <c r="F2719" s="391" t="str">
        <f t="shared" ref="F2719:G2719" si="8143">F2718</f>
        <v>marine water</v>
      </c>
      <c r="G2719" s="401" t="str">
        <f t="shared" si="8143"/>
        <v>DE: PBSeT film 0,01-0,1 mm (emission to marine water)</v>
      </c>
      <c r="H2719" s="465">
        <v>0</v>
      </c>
      <c r="I2719" s="397" t="s">
        <v>1034</v>
      </c>
      <c r="J2719" s="654"/>
      <c r="K2719" s="398" t="s">
        <v>596</v>
      </c>
      <c r="L2719" s="538"/>
      <c r="M2719" s="509">
        <f t="shared" si="8061"/>
        <v>0</v>
      </c>
      <c r="N2719" s="647"/>
      <c r="O2719" s="627"/>
      <c r="P2719" s="629"/>
      <c r="Q2719" s="629"/>
    </row>
    <row r="2720" spans="1:17" ht="15.75" hidden="1" thickBot="1">
      <c r="A2720" s="390" t="str">
        <f t="shared" ref="A2720:B2720" si="8144">A2717</f>
        <v>PBSeT</v>
      </c>
      <c r="B2720" s="391" t="str">
        <f t="shared" si="8144"/>
        <v>film</v>
      </c>
      <c r="C2720" s="391">
        <f t="shared" ref="C2720" si="8145">C2719</f>
        <v>2</v>
      </c>
      <c r="D2720" s="391" t="str">
        <f t="shared" ref="D2720:E2720" si="8146">D2717</f>
        <v>0,01-0,1</v>
      </c>
      <c r="E2720" s="391">
        <f t="shared" si="8146"/>
        <v>0.1</v>
      </c>
      <c r="F2720" s="400" t="s">
        <v>1057</v>
      </c>
      <c r="G2720" s="422" t="str">
        <f>CONCATENATE("DE: ",A2720," ",B2720," ",D2720," mm (emission to ",F2720,")")</f>
        <v>DE: PBSeT film 0,01-0,1 mm (emission to air)</v>
      </c>
      <c r="H2720" s="465">
        <v>0.94799999999999995</v>
      </c>
      <c r="I2720" s="388" t="s">
        <v>1153</v>
      </c>
      <c r="J2720" s="634">
        <v>0.22800000000000001</v>
      </c>
      <c r="K2720" s="389">
        <v>19.655684523809523</v>
      </c>
      <c r="L2720" s="536"/>
      <c r="M2720" s="509">
        <f t="shared" si="8061"/>
        <v>2.54379337129844</v>
      </c>
      <c r="N2720" s="645">
        <f t="shared" si="8065"/>
        <v>3.6321733929862261</v>
      </c>
      <c r="O2720" s="625"/>
      <c r="P2720" s="628">
        <f t="shared" ref="P2720:P2780" si="8147">IFERROR(IF(H2720*M2720+H2721*M2721+H2722*M2722+H2723*M2723+H2724*M2724&gt;100,100,H2720*M2720+H2721*M2721+H2722*M2722+H2723*M2723+H2724*M2724),"N.A.")</f>
        <v>3.6321733929862261</v>
      </c>
      <c r="Q2720" s="628">
        <f t="shared" si="8020"/>
        <v>3.6321733929862261</v>
      </c>
    </row>
    <row r="2721" spans="1:17" ht="15.75" hidden="1" thickBot="1">
      <c r="A2721" s="390" t="str">
        <f t="shared" ref="A2721:B2721" si="8148">A2718</f>
        <v>PBSeT</v>
      </c>
      <c r="B2721" s="391" t="str">
        <f t="shared" si="8148"/>
        <v>film</v>
      </c>
      <c r="C2721" s="391">
        <f t="shared" ref="C2721" si="8149">C2720</f>
        <v>2</v>
      </c>
      <c r="D2721" s="391" t="str">
        <f t="shared" ref="D2721:E2721" si="8150">D2718</f>
        <v>0,01-0,1</v>
      </c>
      <c r="E2721" s="391">
        <f t="shared" si="8150"/>
        <v>0.1</v>
      </c>
      <c r="F2721" s="391" t="str">
        <f t="shared" ref="F2721:G2721" si="8151">F2720</f>
        <v>air</v>
      </c>
      <c r="G2721" s="401" t="str">
        <f t="shared" si="8151"/>
        <v>DE: PBSeT film 0,01-0,1 mm (emission to air)</v>
      </c>
      <c r="H2721" s="465">
        <v>0</v>
      </c>
      <c r="I2721" s="394" t="s">
        <v>1097</v>
      </c>
      <c r="J2721" s="635"/>
      <c r="K2721" s="389">
        <v>2.0007669930984768</v>
      </c>
      <c r="L2721" s="536"/>
      <c r="M2721" s="509">
        <f t="shared" si="8061"/>
        <v>24.990416261599645</v>
      </c>
      <c r="N2721" s="646"/>
      <c r="O2721" s="626"/>
      <c r="P2721" s="629"/>
      <c r="Q2721" s="629"/>
    </row>
    <row r="2722" spans="1:17" ht="15.75" hidden="1" thickBot="1">
      <c r="A2722" s="390" t="str">
        <f t="shared" ref="A2722:B2722" si="8152">A2719</f>
        <v>PBSeT</v>
      </c>
      <c r="B2722" s="391" t="str">
        <f t="shared" si="8152"/>
        <v>film</v>
      </c>
      <c r="C2722" s="391">
        <f t="shared" ref="C2722" si="8153">C2721</f>
        <v>2</v>
      </c>
      <c r="D2722" s="391" t="str">
        <f t="shared" ref="D2722:E2722" si="8154">D2719</f>
        <v>0,01-0,1</v>
      </c>
      <c r="E2722" s="391">
        <f t="shared" si="8154"/>
        <v>0.1</v>
      </c>
      <c r="F2722" s="391" t="str">
        <f t="shared" ref="F2722:G2722" si="8155">F2721</f>
        <v>air</v>
      </c>
      <c r="G2722" s="401" t="str">
        <f t="shared" si="8155"/>
        <v>DE: PBSeT film 0,01-0,1 mm (emission to air)</v>
      </c>
      <c r="H2722" s="465">
        <v>4.7E-2</v>
      </c>
      <c r="I2722" s="394" t="s">
        <v>1162</v>
      </c>
      <c r="J2722" s="635"/>
      <c r="K2722" s="389">
        <v>2.13</v>
      </c>
      <c r="L2722" s="536"/>
      <c r="M2722" s="509">
        <f t="shared" si="8061"/>
        <v>23.474178403755868</v>
      </c>
      <c r="N2722" s="646"/>
      <c r="O2722" s="626"/>
      <c r="P2722" s="629"/>
      <c r="Q2722" s="629"/>
    </row>
    <row r="2723" spans="1:17" ht="15.75" hidden="1" thickBot="1">
      <c r="A2723" s="390" t="str">
        <f t="shared" ref="A2723:B2723" si="8156">A2720</f>
        <v>PBSeT</v>
      </c>
      <c r="B2723" s="391" t="str">
        <f t="shared" si="8156"/>
        <v>film</v>
      </c>
      <c r="C2723" s="391">
        <f t="shared" ref="C2723" si="8157">C2722</f>
        <v>2</v>
      </c>
      <c r="D2723" s="391" t="str">
        <f t="shared" ref="D2723:E2723" si="8158">D2720</f>
        <v>0,01-0,1</v>
      </c>
      <c r="E2723" s="391">
        <f t="shared" si="8158"/>
        <v>0.1</v>
      </c>
      <c r="F2723" s="391" t="str">
        <f t="shared" ref="F2723:G2723" si="8159">F2722</f>
        <v>air</v>
      </c>
      <c r="G2723" s="401" t="str">
        <f t="shared" si="8159"/>
        <v>DE: PBSeT film 0,01-0,1 mm (emission to air)</v>
      </c>
      <c r="H2723" s="465">
        <v>5.0000000000000001E-3</v>
      </c>
      <c r="I2723" s="394" t="s">
        <v>1146</v>
      </c>
      <c r="J2723" s="635"/>
      <c r="K2723" s="389">
        <v>2.13</v>
      </c>
      <c r="L2723" s="536"/>
      <c r="M2723" s="509">
        <f t="shared" si="8061"/>
        <v>23.474178403755868</v>
      </c>
      <c r="N2723" s="646"/>
      <c r="O2723" s="626"/>
      <c r="P2723" s="629"/>
      <c r="Q2723" s="629"/>
    </row>
    <row r="2724" spans="1:17" ht="15.75" hidden="1" thickBot="1">
      <c r="A2724" s="390" t="str">
        <f t="shared" ref="A2724:B2724" si="8160">A2719</f>
        <v>PBSeT</v>
      </c>
      <c r="B2724" s="391" t="str">
        <f t="shared" si="8160"/>
        <v>film</v>
      </c>
      <c r="C2724" s="391">
        <f t="shared" ref="C2724" si="8161">C2723</f>
        <v>2</v>
      </c>
      <c r="D2724" s="391" t="str">
        <f t="shared" ref="D2724:E2724" si="8162">D2719</f>
        <v>0,01-0,1</v>
      </c>
      <c r="E2724" s="391">
        <f t="shared" si="8162"/>
        <v>0.1</v>
      </c>
      <c r="F2724" s="391" t="str">
        <f t="shared" ref="F2724:G2724" si="8163">F2723</f>
        <v>air</v>
      </c>
      <c r="G2724" s="401" t="str">
        <f t="shared" si="8163"/>
        <v>DE: PBSeT film 0,01-0,1 mm (emission to air)</v>
      </c>
      <c r="H2724" s="471">
        <v>0</v>
      </c>
      <c r="I2724" s="422" t="s">
        <v>1034</v>
      </c>
      <c r="J2724" s="636"/>
      <c r="K2724" s="451" t="s">
        <v>596</v>
      </c>
      <c r="L2724" s="542"/>
      <c r="M2724" s="509">
        <f t="shared" si="8061"/>
        <v>0</v>
      </c>
      <c r="N2724" s="647"/>
      <c r="O2724" s="627"/>
      <c r="P2724" s="629"/>
      <c r="Q2724" s="629"/>
    </row>
    <row r="2725" spans="1:17" ht="15.75" hidden="1" thickBot="1">
      <c r="A2725" s="405" t="s">
        <v>1077</v>
      </c>
      <c r="B2725" s="406" t="s">
        <v>996</v>
      </c>
      <c r="C2725" s="407">
        <f>IF(OR(B2725="Folie", B2725="Strips", B2725="Film",B2725="Flakes",B2725="Coupon"), 2,IF(OR(B2725="Fibers",B2725="Pellets"),4,IF(OR(B2725="Particles",B2725="Shreds",B2725="Powder",B2725="Fragments",B2725="Granules"),6,"")))</f>
        <v>2</v>
      </c>
      <c r="D2725" s="423" t="s">
        <v>1028</v>
      </c>
      <c r="E2725" s="408">
        <v>1</v>
      </c>
      <c r="F2725" s="424" t="s">
        <v>1019</v>
      </c>
      <c r="G2725" s="425" t="str">
        <f>CONCATENATE("DE: ",A2725," ",B2725," ",D2725," mm (emission to ",F2725,")")</f>
        <v>DE: PBSeT film 0,1-1 mm (emission to soil)</v>
      </c>
      <c r="H2725" s="474">
        <v>0.97</v>
      </c>
      <c r="I2725" s="427" t="s">
        <v>1153</v>
      </c>
      <c r="J2725" s="632">
        <v>0.22800000000000001</v>
      </c>
      <c r="K2725" s="428">
        <v>19.655684523809523</v>
      </c>
      <c r="L2725" s="539"/>
      <c r="M2725" s="509">
        <f t="shared" si="8061"/>
        <v>25.4379337129844</v>
      </c>
      <c r="N2725" s="645">
        <f t="shared" si="8065"/>
        <v>31.717049222721627</v>
      </c>
      <c r="O2725" s="625"/>
      <c r="P2725" s="628">
        <f t="shared" si="8147"/>
        <v>31.717049222721627</v>
      </c>
      <c r="Q2725" s="628">
        <f t="shared" si="8020"/>
        <v>31.717049222721627</v>
      </c>
    </row>
    <row r="2726" spans="1:17" ht="15.75" hidden="1" thickBot="1">
      <c r="A2726" s="390" t="str">
        <f>A2725</f>
        <v>PBSeT</v>
      </c>
      <c r="B2726" s="391" t="str">
        <f>B2725</f>
        <v>film</v>
      </c>
      <c r="C2726" s="391">
        <f t="shared" ref="C2726:G2726" si="8164">C2725</f>
        <v>2</v>
      </c>
      <c r="D2726" s="391" t="str">
        <f t="shared" si="8164"/>
        <v>0,1-1</v>
      </c>
      <c r="E2726" s="391">
        <f t="shared" si="8164"/>
        <v>1</v>
      </c>
      <c r="F2726" s="391" t="str">
        <f t="shared" si="8164"/>
        <v>soil</v>
      </c>
      <c r="G2726" s="392" t="str">
        <f t="shared" si="8164"/>
        <v>DE: PBSeT film 0,1-1 mm (emission to soil)</v>
      </c>
      <c r="H2726" s="465">
        <v>0</v>
      </c>
      <c r="I2726" s="394" t="s">
        <v>1097</v>
      </c>
      <c r="J2726" s="632"/>
      <c r="K2726" s="395">
        <v>2.0007669930984768</v>
      </c>
      <c r="L2726" s="537"/>
      <c r="M2726" s="509">
        <f t="shared" si="8061"/>
        <v>249.90416261599646</v>
      </c>
      <c r="N2726" s="646"/>
      <c r="O2726" s="626"/>
      <c r="P2726" s="629"/>
      <c r="Q2726" s="629"/>
    </row>
    <row r="2727" spans="1:17" ht="15.75" hidden="1" thickBot="1">
      <c r="A2727" s="390" t="str">
        <f t="shared" ref="A2727:G2727" si="8165">A2726</f>
        <v>PBSeT</v>
      </c>
      <c r="B2727" s="391" t="str">
        <f t="shared" si="8165"/>
        <v>film</v>
      </c>
      <c r="C2727" s="391">
        <f t="shared" si="8165"/>
        <v>2</v>
      </c>
      <c r="D2727" s="391" t="str">
        <f t="shared" si="8165"/>
        <v>0,1-1</v>
      </c>
      <c r="E2727" s="391">
        <f t="shared" si="8165"/>
        <v>1</v>
      </c>
      <c r="F2727" s="391" t="str">
        <f t="shared" si="8165"/>
        <v>soil</v>
      </c>
      <c r="G2727" s="392" t="str">
        <f t="shared" si="8165"/>
        <v>DE: PBSeT film 0,1-1 mm (emission to soil)</v>
      </c>
      <c r="H2727" s="465">
        <v>2.7E-2</v>
      </c>
      <c r="I2727" s="394" t="s">
        <v>1162</v>
      </c>
      <c r="J2727" s="632"/>
      <c r="K2727" s="395">
        <v>2.13</v>
      </c>
      <c r="L2727" s="537"/>
      <c r="M2727" s="509">
        <f t="shared" si="8061"/>
        <v>234.74178403755869</v>
      </c>
      <c r="N2727" s="646"/>
      <c r="O2727" s="626"/>
      <c r="P2727" s="629"/>
      <c r="Q2727" s="629"/>
    </row>
    <row r="2728" spans="1:17" ht="15.75" hidden="1" thickBot="1">
      <c r="A2728" s="390" t="str">
        <f t="shared" ref="A2728:G2728" si="8166">A2727</f>
        <v>PBSeT</v>
      </c>
      <c r="B2728" s="391" t="str">
        <f t="shared" si="8166"/>
        <v>film</v>
      </c>
      <c r="C2728" s="391">
        <f t="shared" si="8166"/>
        <v>2</v>
      </c>
      <c r="D2728" s="391" t="str">
        <f t="shared" si="8166"/>
        <v>0,1-1</v>
      </c>
      <c r="E2728" s="391">
        <f t="shared" si="8166"/>
        <v>1</v>
      </c>
      <c r="F2728" s="391" t="str">
        <f t="shared" si="8166"/>
        <v>soil</v>
      </c>
      <c r="G2728" s="392" t="str">
        <f t="shared" si="8166"/>
        <v>DE: PBSeT film 0,1-1 mm (emission to soil)</v>
      </c>
      <c r="H2728" s="465">
        <v>3.0000000000000001E-3</v>
      </c>
      <c r="I2728" s="394" t="s">
        <v>1146</v>
      </c>
      <c r="J2728" s="632"/>
      <c r="K2728" s="395">
        <v>2.13</v>
      </c>
      <c r="L2728" s="537"/>
      <c r="M2728" s="509">
        <f t="shared" si="8061"/>
        <v>234.74178403755869</v>
      </c>
      <c r="N2728" s="646"/>
      <c r="O2728" s="626"/>
      <c r="P2728" s="629"/>
      <c r="Q2728" s="629"/>
    </row>
    <row r="2729" spans="1:17" ht="15.75" hidden="1" thickBot="1">
      <c r="A2729" s="390" t="str">
        <f>A2726</f>
        <v>PBSeT</v>
      </c>
      <c r="B2729" s="391" t="str">
        <f>B2726</f>
        <v>film</v>
      </c>
      <c r="C2729" s="391">
        <f t="shared" ref="C2729" si="8167">C2728</f>
        <v>2</v>
      </c>
      <c r="D2729" s="391" t="str">
        <f>D2726</f>
        <v>0,1-1</v>
      </c>
      <c r="E2729" s="391">
        <f>E2726</f>
        <v>1</v>
      </c>
      <c r="F2729" s="391" t="str">
        <f>F2726</f>
        <v>soil</v>
      </c>
      <c r="G2729" s="396" t="str">
        <f t="shared" ref="G2729" si="8168">G2728</f>
        <v>DE: PBSeT film 0,1-1 mm (emission to soil)</v>
      </c>
      <c r="H2729" s="465">
        <v>0</v>
      </c>
      <c r="I2729" s="397" t="s">
        <v>1034</v>
      </c>
      <c r="J2729" s="633"/>
      <c r="K2729" s="398" t="s">
        <v>596</v>
      </c>
      <c r="L2729" s="538"/>
      <c r="M2729" s="509">
        <f t="shared" si="8061"/>
        <v>0</v>
      </c>
      <c r="N2729" s="647"/>
      <c r="O2729" s="627"/>
      <c r="P2729" s="629"/>
      <c r="Q2729" s="629"/>
    </row>
    <row r="2730" spans="1:17" ht="15.75" hidden="1" thickBot="1">
      <c r="A2730" s="390" t="str">
        <f t="shared" ref="A2730:B2730" si="8169">A2727</f>
        <v>PBSeT</v>
      </c>
      <c r="B2730" s="391" t="str">
        <f t="shared" si="8169"/>
        <v>film</v>
      </c>
      <c r="C2730" s="391">
        <f t="shared" ref="C2730" si="8170">C2729</f>
        <v>2</v>
      </c>
      <c r="D2730" s="399" t="str">
        <f t="shared" ref="D2730:E2730" si="8171">D2727</f>
        <v>0,1-1</v>
      </c>
      <c r="E2730" s="391">
        <f t="shared" si="8171"/>
        <v>1</v>
      </c>
      <c r="F2730" s="400" t="s">
        <v>1147</v>
      </c>
      <c r="G2730" s="386" t="str">
        <f>CONCATENATE("DE: ",A2730," ",B2730," ",D2730," mm (emission to ",F2730,")")</f>
        <v>DE: PBSeT film 0,1-1 mm (emission to fresh water)</v>
      </c>
      <c r="H2730" s="466">
        <v>0</v>
      </c>
      <c r="I2730" s="388" t="s">
        <v>1153</v>
      </c>
      <c r="J2730" s="634">
        <v>0.22800000000000001</v>
      </c>
      <c r="K2730" s="389">
        <v>19.655684523809523</v>
      </c>
      <c r="L2730" s="536"/>
      <c r="M2730" s="509">
        <f t="shared" si="8061"/>
        <v>25.4379337129844</v>
      </c>
      <c r="N2730" s="645">
        <f t="shared" si="8065"/>
        <v>234.74178403755869</v>
      </c>
      <c r="O2730" s="625"/>
      <c r="P2730" s="628">
        <f t="shared" si="8147"/>
        <v>100</v>
      </c>
      <c r="Q2730" s="628">
        <f t="shared" si="8020"/>
        <v>234.74178403755869</v>
      </c>
    </row>
    <row r="2731" spans="1:17" ht="15.75" hidden="1" thickBot="1">
      <c r="A2731" s="390" t="str">
        <f t="shared" ref="A2731:B2731" si="8172">A2728</f>
        <v>PBSeT</v>
      </c>
      <c r="B2731" s="391" t="str">
        <f t="shared" si="8172"/>
        <v>film</v>
      </c>
      <c r="C2731" s="391">
        <f t="shared" ref="C2731" si="8173">C2730</f>
        <v>2</v>
      </c>
      <c r="D2731" s="391" t="str">
        <f t="shared" ref="D2731:E2731" si="8174">D2728</f>
        <v>0,1-1</v>
      </c>
      <c r="E2731" s="391">
        <f t="shared" si="8174"/>
        <v>1</v>
      </c>
      <c r="F2731" s="391" t="str">
        <f t="shared" ref="F2731:G2731" si="8175">F2730</f>
        <v>fresh water</v>
      </c>
      <c r="G2731" s="401" t="str">
        <f t="shared" si="8175"/>
        <v>DE: PBSeT film 0,1-1 mm (emission to fresh water)</v>
      </c>
      <c r="H2731" s="465">
        <v>0</v>
      </c>
      <c r="I2731" s="394" t="s">
        <v>1097</v>
      </c>
      <c r="J2731" s="635"/>
      <c r="K2731" s="389">
        <v>2.0007669930984768</v>
      </c>
      <c r="L2731" s="536"/>
      <c r="M2731" s="509">
        <f t="shared" si="8061"/>
        <v>249.90416261599646</v>
      </c>
      <c r="N2731" s="646"/>
      <c r="O2731" s="626"/>
      <c r="P2731" s="629"/>
      <c r="Q2731" s="629"/>
    </row>
    <row r="2732" spans="1:17" ht="15.75" hidden="1" thickBot="1">
      <c r="A2732" s="390" t="str">
        <f t="shared" ref="A2732:B2732" si="8176">A2729</f>
        <v>PBSeT</v>
      </c>
      <c r="B2732" s="391" t="str">
        <f t="shared" si="8176"/>
        <v>film</v>
      </c>
      <c r="C2732" s="391">
        <f t="shared" ref="C2732" si="8177">C2731</f>
        <v>2</v>
      </c>
      <c r="D2732" s="391" t="str">
        <f t="shared" ref="D2732:E2732" si="8178">D2729</f>
        <v>0,1-1</v>
      </c>
      <c r="E2732" s="391">
        <f t="shared" si="8178"/>
        <v>1</v>
      </c>
      <c r="F2732" s="391" t="str">
        <f t="shared" ref="F2732:G2732" si="8179">F2731</f>
        <v>fresh water</v>
      </c>
      <c r="G2732" s="401" t="str">
        <f t="shared" si="8179"/>
        <v>DE: PBSeT film 0,1-1 mm (emission to fresh water)</v>
      </c>
      <c r="H2732" s="465">
        <v>0.89</v>
      </c>
      <c r="I2732" s="394" t="s">
        <v>1162</v>
      </c>
      <c r="J2732" s="635"/>
      <c r="K2732" s="389">
        <v>2.13</v>
      </c>
      <c r="L2732" s="536"/>
      <c r="M2732" s="509">
        <f t="shared" si="8061"/>
        <v>234.74178403755869</v>
      </c>
      <c r="N2732" s="646"/>
      <c r="O2732" s="626"/>
      <c r="P2732" s="629"/>
      <c r="Q2732" s="629"/>
    </row>
    <row r="2733" spans="1:17" ht="15.75" hidden="1" thickBot="1">
      <c r="A2733" s="390" t="str">
        <f t="shared" ref="A2733:B2733" si="8180">A2730</f>
        <v>PBSeT</v>
      </c>
      <c r="B2733" s="391" t="str">
        <f t="shared" si="8180"/>
        <v>film</v>
      </c>
      <c r="C2733" s="391">
        <f t="shared" ref="C2733" si="8181">C2732</f>
        <v>2</v>
      </c>
      <c r="D2733" s="391" t="str">
        <f t="shared" ref="D2733:E2733" si="8182">D2730</f>
        <v>0,1-1</v>
      </c>
      <c r="E2733" s="391">
        <f t="shared" si="8182"/>
        <v>1</v>
      </c>
      <c r="F2733" s="391" t="str">
        <f t="shared" ref="F2733:G2733" si="8183">F2732</f>
        <v>fresh water</v>
      </c>
      <c r="G2733" s="401" t="str">
        <f t="shared" si="8183"/>
        <v>DE: PBSeT film 0,1-1 mm (emission to fresh water)</v>
      </c>
      <c r="H2733" s="465">
        <v>0.11</v>
      </c>
      <c r="I2733" s="394" t="s">
        <v>1146</v>
      </c>
      <c r="J2733" s="635"/>
      <c r="K2733" s="389">
        <v>2.13</v>
      </c>
      <c r="L2733" s="536"/>
      <c r="M2733" s="509">
        <f t="shared" si="8061"/>
        <v>234.74178403755869</v>
      </c>
      <c r="N2733" s="646"/>
      <c r="O2733" s="626"/>
      <c r="P2733" s="629"/>
      <c r="Q2733" s="629"/>
    </row>
    <row r="2734" spans="1:17" ht="15.75" hidden="1" thickBot="1">
      <c r="A2734" s="390" t="str">
        <f t="shared" ref="A2734:B2734" si="8184">A2731</f>
        <v>PBSeT</v>
      </c>
      <c r="B2734" s="391" t="str">
        <f t="shared" si="8184"/>
        <v>film</v>
      </c>
      <c r="C2734" s="391">
        <f t="shared" ref="C2734" si="8185">C2733</f>
        <v>2</v>
      </c>
      <c r="D2734" s="391" t="str">
        <f t="shared" ref="D2734:E2734" si="8186">D2731</f>
        <v>0,1-1</v>
      </c>
      <c r="E2734" s="391">
        <f t="shared" si="8186"/>
        <v>1</v>
      </c>
      <c r="F2734" s="402" t="str">
        <f>F2731</f>
        <v>fresh water</v>
      </c>
      <c r="G2734" s="401" t="str">
        <f t="shared" ref="G2734" si="8187">G2733</f>
        <v>DE: PBSeT film 0,1-1 mm (emission to fresh water)</v>
      </c>
      <c r="H2734" s="465">
        <v>0</v>
      </c>
      <c r="I2734" s="397" t="s">
        <v>1034</v>
      </c>
      <c r="J2734" s="654"/>
      <c r="K2734" s="398" t="s">
        <v>596</v>
      </c>
      <c r="L2734" s="538"/>
      <c r="M2734" s="509">
        <f t="shared" si="8061"/>
        <v>0</v>
      </c>
      <c r="N2734" s="647"/>
      <c r="O2734" s="627"/>
      <c r="P2734" s="629"/>
      <c r="Q2734" s="629"/>
    </row>
    <row r="2735" spans="1:17" ht="15.75" hidden="1" thickBot="1">
      <c r="A2735" s="390" t="str">
        <f t="shared" ref="A2735:B2735" si="8188">A2732</f>
        <v>PBSeT</v>
      </c>
      <c r="B2735" s="391" t="str">
        <f t="shared" si="8188"/>
        <v>film</v>
      </c>
      <c r="C2735" s="391">
        <f t="shared" ref="C2735" si="8189">C2734</f>
        <v>2</v>
      </c>
      <c r="D2735" s="391" t="str">
        <f t="shared" ref="D2735:E2735" si="8190">D2732</f>
        <v>0,1-1</v>
      </c>
      <c r="E2735" s="391">
        <f t="shared" si="8190"/>
        <v>1</v>
      </c>
      <c r="F2735" s="385" t="s">
        <v>1097</v>
      </c>
      <c r="G2735" s="422" t="str">
        <f>CONCATENATE("DE: ",A2735," ",B2735," ",D2735," mm (emission to ",F2735,")")</f>
        <v>DE: PBSeT film 0,1-1 mm (emission to marine water)</v>
      </c>
      <c r="H2735" s="465">
        <v>0</v>
      </c>
      <c r="I2735" s="388" t="s">
        <v>1153</v>
      </c>
      <c r="J2735" s="634">
        <v>0.22800000000000001</v>
      </c>
      <c r="K2735" s="389">
        <v>19.655684523809523</v>
      </c>
      <c r="L2735" s="536"/>
      <c r="M2735" s="509">
        <f t="shared" si="8061"/>
        <v>25.4379337129844</v>
      </c>
      <c r="N2735" s="645">
        <f t="shared" si="8065"/>
        <v>234.74178403755869</v>
      </c>
      <c r="O2735" s="625"/>
      <c r="P2735" s="628">
        <f t="shared" si="8147"/>
        <v>100</v>
      </c>
      <c r="Q2735" s="628">
        <f t="shared" si="8020"/>
        <v>234.74178403755869</v>
      </c>
    </row>
    <row r="2736" spans="1:17" ht="15.75" hidden="1" thickBot="1">
      <c r="A2736" s="390" t="str">
        <f t="shared" ref="A2736:B2736" si="8191">A2733</f>
        <v>PBSeT</v>
      </c>
      <c r="B2736" s="391" t="str">
        <f t="shared" si="8191"/>
        <v>film</v>
      </c>
      <c r="C2736" s="391">
        <f t="shared" ref="C2736" si="8192">C2735</f>
        <v>2</v>
      </c>
      <c r="D2736" s="391" t="str">
        <f t="shared" ref="D2736:E2736" si="8193">D2733</f>
        <v>0,1-1</v>
      </c>
      <c r="E2736" s="391">
        <f t="shared" si="8193"/>
        <v>1</v>
      </c>
      <c r="F2736" s="391" t="str">
        <f t="shared" ref="F2736:G2736" si="8194">F2735</f>
        <v>marine water</v>
      </c>
      <c r="G2736" s="401" t="str">
        <f t="shared" si="8194"/>
        <v>DE: PBSeT film 0,1-1 mm (emission to marine water)</v>
      </c>
      <c r="H2736" s="465">
        <v>0</v>
      </c>
      <c r="I2736" s="394" t="s">
        <v>1097</v>
      </c>
      <c r="J2736" s="635"/>
      <c r="K2736" s="389">
        <v>2.0007669930984768</v>
      </c>
      <c r="L2736" s="536"/>
      <c r="M2736" s="509">
        <f t="shared" si="8061"/>
        <v>249.90416261599646</v>
      </c>
      <c r="N2736" s="646"/>
      <c r="O2736" s="626"/>
      <c r="P2736" s="629"/>
      <c r="Q2736" s="629"/>
    </row>
    <row r="2737" spans="1:17" ht="15.75" hidden="1" thickBot="1">
      <c r="A2737" s="390" t="str">
        <f t="shared" ref="A2737:B2737" si="8195">A2734</f>
        <v>PBSeT</v>
      </c>
      <c r="B2737" s="391" t="str">
        <f t="shared" si="8195"/>
        <v>film</v>
      </c>
      <c r="C2737" s="391">
        <f t="shared" ref="C2737" si="8196">C2736</f>
        <v>2</v>
      </c>
      <c r="D2737" s="391" t="str">
        <f t="shared" ref="D2737:E2737" si="8197">D2734</f>
        <v>0,1-1</v>
      </c>
      <c r="E2737" s="391">
        <f t="shared" si="8197"/>
        <v>1</v>
      </c>
      <c r="F2737" s="391" t="str">
        <f t="shared" ref="F2737:G2737" si="8198">F2736</f>
        <v>marine water</v>
      </c>
      <c r="G2737" s="401" t="str">
        <f t="shared" si="8198"/>
        <v>DE: PBSeT film 0,1-1 mm (emission to marine water)</v>
      </c>
      <c r="H2737" s="465">
        <v>0</v>
      </c>
      <c r="I2737" s="394" t="s">
        <v>1162</v>
      </c>
      <c r="J2737" s="635"/>
      <c r="K2737" s="389">
        <v>2.13</v>
      </c>
      <c r="L2737" s="536"/>
      <c r="M2737" s="509">
        <f t="shared" si="8061"/>
        <v>234.74178403755869</v>
      </c>
      <c r="N2737" s="646"/>
      <c r="O2737" s="626"/>
      <c r="P2737" s="629"/>
      <c r="Q2737" s="629"/>
    </row>
    <row r="2738" spans="1:17" ht="15.75" hidden="1" thickBot="1">
      <c r="A2738" s="390" t="str">
        <f t="shared" ref="A2738:B2738" si="8199">A2735</f>
        <v>PBSeT</v>
      </c>
      <c r="B2738" s="391" t="str">
        <f t="shared" si="8199"/>
        <v>film</v>
      </c>
      <c r="C2738" s="391">
        <f t="shared" ref="C2738" si="8200">C2737</f>
        <v>2</v>
      </c>
      <c r="D2738" s="391" t="str">
        <f t="shared" ref="D2738:E2738" si="8201">D2735</f>
        <v>0,1-1</v>
      </c>
      <c r="E2738" s="391">
        <f t="shared" si="8201"/>
        <v>1</v>
      </c>
      <c r="F2738" s="391" t="str">
        <f t="shared" ref="F2738:G2738" si="8202">F2737</f>
        <v>marine water</v>
      </c>
      <c r="G2738" s="401" t="str">
        <f t="shared" si="8202"/>
        <v>DE: PBSeT film 0,1-1 mm (emission to marine water)</v>
      </c>
      <c r="H2738" s="465">
        <v>1</v>
      </c>
      <c r="I2738" s="394" t="s">
        <v>1146</v>
      </c>
      <c r="J2738" s="635"/>
      <c r="K2738" s="389">
        <v>2.13</v>
      </c>
      <c r="L2738" s="536"/>
      <c r="M2738" s="509">
        <f t="shared" si="8061"/>
        <v>234.74178403755869</v>
      </c>
      <c r="N2738" s="646"/>
      <c r="O2738" s="626"/>
      <c r="P2738" s="629"/>
      <c r="Q2738" s="629"/>
    </row>
    <row r="2739" spans="1:17" ht="15.75" hidden="1" thickBot="1">
      <c r="A2739" s="390" t="str">
        <f t="shared" ref="A2739:B2739" si="8203">A2736</f>
        <v>PBSeT</v>
      </c>
      <c r="B2739" s="391" t="str">
        <f t="shared" si="8203"/>
        <v>film</v>
      </c>
      <c r="C2739" s="391">
        <f t="shared" ref="C2739" si="8204">C2738</f>
        <v>2</v>
      </c>
      <c r="D2739" s="391" t="str">
        <f t="shared" ref="D2739:E2739" si="8205">D2736</f>
        <v>0,1-1</v>
      </c>
      <c r="E2739" s="391">
        <f t="shared" si="8205"/>
        <v>1</v>
      </c>
      <c r="F2739" s="391" t="str">
        <f t="shared" ref="F2739:G2739" si="8206">F2738</f>
        <v>marine water</v>
      </c>
      <c r="G2739" s="401" t="str">
        <f t="shared" si="8206"/>
        <v>DE: PBSeT film 0,1-1 mm (emission to marine water)</v>
      </c>
      <c r="H2739" s="465">
        <v>0</v>
      </c>
      <c r="I2739" s="397" t="s">
        <v>1034</v>
      </c>
      <c r="J2739" s="654"/>
      <c r="K2739" s="398" t="s">
        <v>596</v>
      </c>
      <c r="L2739" s="538"/>
      <c r="M2739" s="509">
        <f t="shared" si="8061"/>
        <v>0</v>
      </c>
      <c r="N2739" s="647"/>
      <c r="O2739" s="627"/>
      <c r="P2739" s="629"/>
      <c r="Q2739" s="629"/>
    </row>
    <row r="2740" spans="1:17" ht="15.75" hidden="1" thickBot="1">
      <c r="A2740" s="390" t="str">
        <f t="shared" ref="A2740:B2740" si="8207">A2737</f>
        <v>PBSeT</v>
      </c>
      <c r="B2740" s="391" t="str">
        <f t="shared" si="8207"/>
        <v>film</v>
      </c>
      <c r="C2740" s="391">
        <f t="shared" ref="C2740" si="8208">C2739</f>
        <v>2</v>
      </c>
      <c r="D2740" s="391" t="str">
        <f t="shared" ref="D2740:E2740" si="8209">D2737</f>
        <v>0,1-1</v>
      </c>
      <c r="E2740" s="391">
        <f t="shared" si="8209"/>
        <v>1</v>
      </c>
      <c r="F2740" s="400" t="s">
        <v>1057</v>
      </c>
      <c r="G2740" s="422" t="str">
        <f>CONCATENATE("DE: ",A2740," ",B2740," ",D2740," mm (emission to ",F2740,")")</f>
        <v>DE: PBSeT film 0,1-1 mm (emission to air)</v>
      </c>
      <c r="H2740" s="465">
        <v>0.94799999999999995</v>
      </c>
      <c r="I2740" s="388" t="s">
        <v>1153</v>
      </c>
      <c r="J2740" s="634">
        <v>0.22800000000000001</v>
      </c>
      <c r="K2740" s="389">
        <v>19.655684523809523</v>
      </c>
      <c r="L2740" s="536"/>
      <c r="M2740" s="509">
        <f t="shared" si="8061"/>
        <v>25.4379337129844</v>
      </c>
      <c r="N2740" s="645">
        <f t="shared" si="8065"/>
        <v>36.321733929862262</v>
      </c>
      <c r="O2740" s="625"/>
      <c r="P2740" s="628">
        <f t="shared" si="8147"/>
        <v>36.321733929862262</v>
      </c>
      <c r="Q2740" s="628">
        <f t="shared" si="8020"/>
        <v>36.321733929862262</v>
      </c>
    </row>
    <row r="2741" spans="1:17" ht="15.75" hidden="1" thickBot="1">
      <c r="A2741" s="390" t="str">
        <f t="shared" ref="A2741:B2741" si="8210">A2738</f>
        <v>PBSeT</v>
      </c>
      <c r="B2741" s="391" t="str">
        <f t="shared" si="8210"/>
        <v>film</v>
      </c>
      <c r="C2741" s="391">
        <f t="shared" ref="C2741" si="8211">C2740</f>
        <v>2</v>
      </c>
      <c r="D2741" s="391" t="str">
        <f t="shared" ref="D2741:E2741" si="8212">D2738</f>
        <v>0,1-1</v>
      </c>
      <c r="E2741" s="391">
        <f t="shared" si="8212"/>
        <v>1</v>
      </c>
      <c r="F2741" s="391" t="str">
        <f t="shared" ref="F2741:G2741" si="8213">F2740</f>
        <v>air</v>
      </c>
      <c r="G2741" s="401" t="str">
        <f t="shared" si="8213"/>
        <v>DE: PBSeT film 0,1-1 mm (emission to air)</v>
      </c>
      <c r="H2741" s="465">
        <v>0</v>
      </c>
      <c r="I2741" s="394" t="s">
        <v>1097</v>
      </c>
      <c r="J2741" s="635"/>
      <c r="K2741" s="389">
        <v>2.0007669930984768</v>
      </c>
      <c r="L2741" s="536"/>
      <c r="M2741" s="509">
        <f t="shared" si="8061"/>
        <v>249.90416261599646</v>
      </c>
      <c r="N2741" s="646"/>
      <c r="O2741" s="626"/>
      <c r="P2741" s="629"/>
      <c r="Q2741" s="629"/>
    </row>
    <row r="2742" spans="1:17" ht="15.75" hidden="1" thickBot="1">
      <c r="A2742" s="390" t="str">
        <f t="shared" ref="A2742:B2742" si="8214">A2739</f>
        <v>PBSeT</v>
      </c>
      <c r="B2742" s="391" t="str">
        <f t="shared" si="8214"/>
        <v>film</v>
      </c>
      <c r="C2742" s="391">
        <f t="shared" ref="C2742" si="8215">C2741</f>
        <v>2</v>
      </c>
      <c r="D2742" s="391" t="str">
        <f t="shared" ref="D2742:E2742" si="8216">D2739</f>
        <v>0,1-1</v>
      </c>
      <c r="E2742" s="391">
        <f t="shared" si="8216"/>
        <v>1</v>
      </c>
      <c r="F2742" s="391" t="str">
        <f t="shared" ref="F2742:G2742" si="8217">F2741</f>
        <v>air</v>
      </c>
      <c r="G2742" s="401" t="str">
        <f t="shared" si="8217"/>
        <v>DE: PBSeT film 0,1-1 mm (emission to air)</v>
      </c>
      <c r="H2742" s="465">
        <v>4.7E-2</v>
      </c>
      <c r="I2742" s="394" t="s">
        <v>1162</v>
      </c>
      <c r="J2742" s="635"/>
      <c r="K2742" s="389">
        <v>2.13</v>
      </c>
      <c r="L2742" s="536"/>
      <c r="M2742" s="509">
        <f t="shared" si="8061"/>
        <v>234.74178403755869</v>
      </c>
      <c r="N2742" s="646"/>
      <c r="O2742" s="626"/>
      <c r="P2742" s="629"/>
      <c r="Q2742" s="629"/>
    </row>
    <row r="2743" spans="1:17" ht="15.75" hidden="1" thickBot="1">
      <c r="A2743" s="390" t="str">
        <f t="shared" ref="A2743:B2743" si="8218">A2740</f>
        <v>PBSeT</v>
      </c>
      <c r="B2743" s="391" t="str">
        <f t="shared" si="8218"/>
        <v>film</v>
      </c>
      <c r="C2743" s="391">
        <f t="shared" ref="C2743" si="8219">C2742</f>
        <v>2</v>
      </c>
      <c r="D2743" s="391" t="str">
        <f t="shared" ref="D2743:E2743" si="8220">D2740</f>
        <v>0,1-1</v>
      </c>
      <c r="E2743" s="391">
        <f t="shared" si="8220"/>
        <v>1</v>
      </c>
      <c r="F2743" s="391" t="str">
        <f t="shared" ref="F2743:G2743" si="8221">F2742</f>
        <v>air</v>
      </c>
      <c r="G2743" s="401" t="str">
        <f t="shared" si="8221"/>
        <v>DE: PBSeT film 0,1-1 mm (emission to air)</v>
      </c>
      <c r="H2743" s="465">
        <v>5.0000000000000001E-3</v>
      </c>
      <c r="I2743" s="394" t="s">
        <v>1146</v>
      </c>
      <c r="J2743" s="635"/>
      <c r="K2743" s="389">
        <v>2.13</v>
      </c>
      <c r="L2743" s="536"/>
      <c r="M2743" s="509">
        <f t="shared" si="8061"/>
        <v>234.74178403755869</v>
      </c>
      <c r="N2743" s="646"/>
      <c r="O2743" s="626"/>
      <c r="P2743" s="629"/>
      <c r="Q2743" s="629"/>
    </row>
    <row r="2744" spans="1:17" ht="15.75" hidden="1" thickBot="1">
      <c r="A2744" s="452" t="str">
        <f t="shared" ref="A2744:B2744" si="8222">A2739</f>
        <v>PBSeT</v>
      </c>
      <c r="B2744" s="453" t="str">
        <f t="shared" si="8222"/>
        <v>film</v>
      </c>
      <c r="C2744" s="453">
        <f t="shared" ref="C2744" si="8223">C2743</f>
        <v>2</v>
      </c>
      <c r="D2744" s="453" t="str">
        <f t="shared" ref="D2744:E2744" si="8224">D2739</f>
        <v>0,1-1</v>
      </c>
      <c r="E2744" s="453">
        <f t="shared" si="8224"/>
        <v>1</v>
      </c>
      <c r="F2744" s="453" t="str">
        <f t="shared" ref="F2744:G2744" si="8225">F2743</f>
        <v>air</v>
      </c>
      <c r="G2744" s="454" t="str">
        <f t="shared" si="8225"/>
        <v>DE: PBSeT film 0,1-1 mm (emission to air)</v>
      </c>
      <c r="H2744" s="473">
        <v>0</v>
      </c>
      <c r="I2744" s="456" t="s">
        <v>1034</v>
      </c>
      <c r="J2744" s="636"/>
      <c r="K2744" s="457" t="s">
        <v>596</v>
      </c>
      <c r="L2744" s="543"/>
      <c r="M2744" s="509">
        <f t="shared" si="8061"/>
        <v>0</v>
      </c>
      <c r="N2744" s="647"/>
      <c r="O2744" s="627"/>
      <c r="P2744" s="629"/>
      <c r="Q2744" s="629"/>
    </row>
    <row r="2745" spans="1:17" ht="15.75" hidden="1" thickBot="1">
      <c r="A2745" s="381" t="s">
        <v>1077</v>
      </c>
      <c r="B2745" s="382" t="s">
        <v>996</v>
      </c>
      <c r="C2745" s="383">
        <f>IF(OR(B2745="Folie", B2745="Strips", B2745="Film",B2745="Flakes",B2745="Coupon"), 2,IF(OR(B2745="Fibers",B2745="Pellets"),4,IF(OR(B2745="Particles",B2745="Shreds",B2745="Powder",B2745="Fragments",B2745="Granules"),6,"")))</f>
        <v>2</v>
      </c>
      <c r="D2745" s="475" t="s">
        <v>1026</v>
      </c>
      <c r="E2745" s="384">
        <v>10</v>
      </c>
      <c r="F2745" s="385" t="s">
        <v>1019</v>
      </c>
      <c r="G2745" s="386" t="str">
        <f>CONCATENATE("DE: ",A2745," ",B2745," ",D2745," mm (emission to ",F2745,")")</f>
        <v>DE: PBSeT film 1-10 mm (emission to soil)</v>
      </c>
      <c r="H2745" s="466">
        <v>0.97</v>
      </c>
      <c r="I2745" s="388" t="s">
        <v>1153</v>
      </c>
      <c r="J2745" s="632">
        <v>0.22800000000000001</v>
      </c>
      <c r="K2745" s="389">
        <v>19.655684523809523</v>
      </c>
      <c r="L2745" s="536"/>
      <c r="M2745" s="509">
        <f t="shared" si="8061"/>
        <v>254.379337129844</v>
      </c>
      <c r="N2745" s="645">
        <f t="shared" si="8065"/>
        <v>276.74795701594871</v>
      </c>
      <c r="O2745" s="625"/>
      <c r="P2745" s="628">
        <f t="shared" si="8147"/>
        <v>100</v>
      </c>
      <c r="Q2745" s="628">
        <f t="shared" ref="Q2745:Q2805" si="8226">IFERROR(IF(H2745*M2745+H2746*M2746+H2747*M2747+H2748*M2748+H2749*M2749&gt;500,500,H2745*M2745+H2746*M2746+H2747*M2747+H2748*M2748+H2749*M2749),"N.A.")</f>
        <v>276.74795701594871</v>
      </c>
    </row>
    <row r="2746" spans="1:17" ht="15.75" hidden="1" thickBot="1">
      <c r="A2746" s="390" t="str">
        <f>A2745</f>
        <v>PBSeT</v>
      </c>
      <c r="B2746" s="391" t="str">
        <f>B2745</f>
        <v>film</v>
      </c>
      <c r="C2746" s="391">
        <f t="shared" ref="C2746:G2746" si="8227">C2745</f>
        <v>2</v>
      </c>
      <c r="D2746" s="391" t="str">
        <f t="shared" si="8227"/>
        <v>1-10</v>
      </c>
      <c r="E2746" s="391">
        <f t="shared" si="8227"/>
        <v>10</v>
      </c>
      <c r="F2746" s="391" t="str">
        <f t="shared" si="8227"/>
        <v>soil</v>
      </c>
      <c r="G2746" s="392" t="str">
        <f t="shared" si="8227"/>
        <v>DE: PBSeT film 1-10 mm (emission to soil)</v>
      </c>
      <c r="H2746" s="465">
        <v>0</v>
      </c>
      <c r="I2746" s="394" t="s">
        <v>1097</v>
      </c>
      <c r="J2746" s="632"/>
      <c r="K2746" s="395">
        <v>2.0007669930984768</v>
      </c>
      <c r="L2746" s="537"/>
      <c r="M2746" s="509">
        <f t="shared" si="8061"/>
        <v>1000</v>
      </c>
      <c r="N2746" s="646"/>
      <c r="O2746" s="626"/>
      <c r="P2746" s="629"/>
      <c r="Q2746" s="629"/>
    </row>
    <row r="2747" spans="1:17" ht="15.75" hidden="1" thickBot="1">
      <c r="A2747" s="390" t="str">
        <f t="shared" ref="A2747:G2747" si="8228">A2746</f>
        <v>PBSeT</v>
      </c>
      <c r="B2747" s="391" t="str">
        <f t="shared" si="8228"/>
        <v>film</v>
      </c>
      <c r="C2747" s="391">
        <f t="shared" si="8228"/>
        <v>2</v>
      </c>
      <c r="D2747" s="391" t="str">
        <f t="shared" si="8228"/>
        <v>1-10</v>
      </c>
      <c r="E2747" s="391">
        <f t="shared" si="8228"/>
        <v>10</v>
      </c>
      <c r="F2747" s="391" t="str">
        <f t="shared" si="8228"/>
        <v>soil</v>
      </c>
      <c r="G2747" s="392" t="str">
        <f t="shared" si="8228"/>
        <v>DE: PBSeT film 1-10 mm (emission to soil)</v>
      </c>
      <c r="H2747" s="465">
        <v>2.7E-2</v>
      </c>
      <c r="I2747" s="394" t="s">
        <v>1162</v>
      </c>
      <c r="J2747" s="632"/>
      <c r="K2747" s="395">
        <v>2.13</v>
      </c>
      <c r="L2747" s="537"/>
      <c r="M2747" s="509">
        <f t="shared" si="8061"/>
        <v>1000</v>
      </c>
      <c r="N2747" s="646"/>
      <c r="O2747" s="626"/>
      <c r="P2747" s="629"/>
      <c r="Q2747" s="629"/>
    </row>
    <row r="2748" spans="1:17" ht="15.75" hidden="1" thickBot="1">
      <c r="A2748" s="390" t="str">
        <f t="shared" ref="A2748:G2748" si="8229">A2747</f>
        <v>PBSeT</v>
      </c>
      <c r="B2748" s="391" t="str">
        <f t="shared" si="8229"/>
        <v>film</v>
      </c>
      <c r="C2748" s="391">
        <f t="shared" si="8229"/>
        <v>2</v>
      </c>
      <c r="D2748" s="391" t="str">
        <f t="shared" si="8229"/>
        <v>1-10</v>
      </c>
      <c r="E2748" s="391">
        <f t="shared" si="8229"/>
        <v>10</v>
      </c>
      <c r="F2748" s="391" t="str">
        <f t="shared" si="8229"/>
        <v>soil</v>
      </c>
      <c r="G2748" s="392" t="str">
        <f t="shared" si="8229"/>
        <v>DE: PBSeT film 1-10 mm (emission to soil)</v>
      </c>
      <c r="H2748" s="465">
        <v>3.0000000000000001E-3</v>
      </c>
      <c r="I2748" s="394" t="s">
        <v>1146</v>
      </c>
      <c r="J2748" s="632"/>
      <c r="K2748" s="395">
        <v>2.13</v>
      </c>
      <c r="L2748" s="537"/>
      <c r="M2748" s="509">
        <f t="shared" si="8061"/>
        <v>1000</v>
      </c>
      <c r="N2748" s="646"/>
      <c r="O2748" s="626"/>
      <c r="P2748" s="629"/>
      <c r="Q2748" s="629"/>
    </row>
    <row r="2749" spans="1:17" ht="15.75" hidden="1" thickBot="1">
      <c r="A2749" s="390" t="str">
        <f>A2746</f>
        <v>PBSeT</v>
      </c>
      <c r="B2749" s="391" t="str">
        <f>B2746</f>
        <v>film</v>
      </c>
      <c r="C2749" s="391">
        <f t="shared" ref="C2749" si="8230">C2748</f>
        <v>2</v>
      </c>
      <c r="D2749" s="391" t="str">
        <f>D2746</f>
        <v>1-10</v>
      </c>
      <c r="E2749" s="391">
        <f>E2746</f>
        <v>10</v>
      </c>
      <c r="F2749" s="391" t="str">
        <f>F2746</f>
        <v>soil</v>
      </c>
      <c r="G2749" s="396" t="str">
        <f t="shared" ref="G2749" si="8231">G2748</f>
        <v>DE: PBSeT film 1-10 mm (emission to soil)</v>
      </c>
      <c r="H2749" s="465">
        <v>0</v>
      </c>
      <c r="I2749" s="397" t="s">
        <v>1034</v>
      </c>
      <c r="J2749" s="633"/>
      <c r="K2749" s="398" t="s">
        <v>596</v>
      </c>
      <c r="L2749" s="538"/>
      <c r="M2749" s="509">
        <f t="shared" si="8061"/>
        <v>0</v>
      </c>
      <c r="N2749" s="647"/>
      <c r="O2749" s="627"/>
      <c r="P2749" s="629"/>
      <c r="Q2749" s="629"/>
    </row>
    <row r="2750" spans="1:17" ht="15.75" hidden="1" thickBot="1">
      <c r="A2750" s="390" t="str">
        <f t="shared" ref="A2750:B2750" si="8232">A2747</f>
        <v>PBSeT</v>
      </c>
      <c r="B2750" s="391" t="str">
        <f t="shared" si="8232"/>
        <v>film</v>
      </c>
      <c r="C2750" s="391">
        <f t="shared" ref="C2750" si="8233">C2749</f>
        <v>2</v>
      </c>
      <c r="D2750" s="399" t="str">
        <f t="shared" ref="D2750:E2750" si="8234">D2747</f>
        <v>1-10</v>
      </c>
      <c r="E2750" s="391">
        <f t="shared" si="8234"/>
        <v>10</v>
      </c>
      <c r="F2750" s="400" t="s">
        <v>1147</v>
      </c>
      <c r="G2750" s="386" t="str">
        <f>CONCATENATE("DE: ",A2750," ",B2750," ",D2750," mm (emission to ",F2750,")")</f>
        <v>DE: PBSeT film 1-10 mm (emission to fresh water)</v>
      </c>
      <c r="H2750" s="466">
        <v>0</v>
      </c>
      <c r="I2750" s="388" t="s">
        <v>1153</v>
      </c>
      <c r="J2750" s="634">
        <v>0.22800000000000001</v>
      </c>
      <c r="K2750" s="389">
        <v>19.655684523809523</v>
      </c>
      <c r="L2750" s="536"/>
      <c r="M2750" s="509">
        <f t="shared" si="8061"/>
        <v>254.379337129844</v>
      </c>
      <c r="N2750" s="645">
        <f t="shared" si="8065"/>
        <v>1000</v>
      </c>
      <c r="O2750" s="625"/>
      <c r="P2750" s="628">
        <f t="shared" si="8147"/>
        <v>100</v>
      </c>
      <c r="Q2750" s="628">
        <f t="shared" si="8226"/>
        <v>500</v>
      </c>
    </row>
    <row r="2751" spans="1:17" ht="15.75" hidden="1" thickBot="1">
      <c r="A2751" s="390" t="str">
        <f t="shared" ref="A2751:B2751" si="8235">A2748</f>
        <v>PBSeT</v>
      </c>
      <c r="B2751" s="391" t="str">
        <f t="shared" si="8235"/>
        <v>film</v>
      </c>
      <c r="C2751" s="391">
        <f t="shared" ref="C2751" si="8236">C2750</f>
        <v>2</v>
      </c>
      <c r="D2751" s="391" t="str">
        <f t="shared" ref="D2751:E2751" si="8237">D2748</f>
        <v>1-10</v>
      </c>
      <c r="E2751" s="391">
        <f t="shared" si="8237"/>
        <v>10</v>
      </c>
      <c r="F2751" s="391" t="str">
        <f t="shared" ref="F2751:G2751" si="8238">F2750</f>
        <v>fresh water</v>
      </c>
      <c r="G2751" s="401" t="str">
        <f t="shared" si="8238"/>
        <v>DE: PBSeT film 1-10 mm (emission to fresh water)</v>
      </c>
      <c r="H2751" s="465">
        <v>0</v>
      </c>
      <c r="I2751" s="394" t="s">
        <v>1097</v>
      </c>
      <c r="J2751" s="635"/>
      <c r="K2751" s="389">
        <v>2.0007669930984768</v>
      </c>
      <c r="L2751" s="536"/>
      <c r="M2751" s="509">
        <f t="shared" si="8061"/>
        <v>1000</v>
      </c>
      <c r="N2751" s="646"/>
      <c r="O2751" s="626"/>
      <c r="P2751" s="629"/>
      <c r="Q2751" s="629"/>
    </row>
    <row r="2752" spans="1:17" ht="15.75" hidden="1" thickBot="1">
      <c r="A2752" s="390" t="str">
        <f t="shared" ref="A2752:B2752" si="8239">A2749</f>
        <v>PBSeT</v>
      </c>
      <c r="B2752" s="391" t="str">
        <f t="shared" si="8239"/>
        <v>film</v>
      </c>
      <c r="C2752" s="391">
        <f t="shared" ref="C2752" si="8240">C2751</f>
        <v>2</v>
      </c>
      <c r="D2752" s="391" t="str">
        <f t="shared" ref="D2752:E2752" si="8241">D2749</f>
        <v>1-10</v>
      </c>
      <c r="E2752" s="391">
        <f t="shared" si="8241"/>
        <v>10</v>
      </c>
      <c r="F2752" s="391" t="str">
        <f t="shared" ref="F2752:G2752" si="8242">F2751</f>
        <v>fresh water</v>
      </c>
      <c r="G2752" s="401" t="str">
        <f t="shared" si="8242"/>
        <v>DE: PBSeT film 1-10 mm (emission to fresh water)</v>
      </c>
      <c r="H2752" s="465">
        <v>0.89</v>
      </c>
      <c r="I2752" s="394" t="s">
        <v>1162</v>
      </c>
      <c r="J2752" s="635"/>
      <c r="K2752" s="389">
        <v>2.13</v>
      </c>
      <c r="L2752" s="536"/>
      <c r="M2752" s="509">
        <f t="shared" si="8061"/>
        <v>1000</v>
      </c>
      <c r="N2752" s="646"/>
      <c r="O2752" s="626"/>
      <c r="P2752" s="629"/>
      <c r="Q2752" s="629"/>
    </row>
    <row r="2753" spans="1:17" ht="15.75" hidden="1" thickBot="1">
      <c r="A2753" s="390" t="str">
        <f t="shared" ref="A2753:B2753" si="8243">A2750</f>
        <v>PBSeT</v>
      </c>
      <c r="B2753" s="391" t="str">
        <f t="shared" si="8243"/>
        <v>film</v>
      </c>
      <c r="C2753" s="391">
        <f t="shared" ref="C2753" si="8244">C2752</f>
        <v>2</v>
      </c>
      <c r="D2753" s="391" t="str">
        <f t="shared" ref="D2753:E2753" si="8245">D2750</f>
        <v>1-10</v>
      </c>
      <c r="E2753" s="391">
        <f t="shared" si="8245"/>
        <v>10</v>
      </c>
      <c r="F2753" s="391" t="str">
        <f t="shared" ref="F2753:G2753" si="8246">F2752</f>
        <v>fresh water</v>
      </c>
      <c r="G2753" s="401" t="str">
        <f t="shared" si="8246"/>
        <v>DE: PBSeT film 1-10 mm (emission to fresh water)</v>
      </c>
      <c r="H2753" s="465">
        <v>0.11</v>
      </c>
      <c r="I2753" s="394" t="s">
        <v>1146</v>
      </c>
      <c r="J2753" s="635"/>
      <c r="K2753" s="389">
        <v>2.13</v>
      </c>
      <c r="L2753" s="536"/>
      <c r="M2753" s="509">
        <f t="shared" si="8061"/>
        <v>1000</v>
      </c>
      <c r="N2753" s="646"/>
      <c r="O2753" s="626"/>
      <c r="P2753" s="629"/>
      <c r="Q2753" s="629"/>
    </row>
    <row r="2754" spans="1:17" ht="15.75" hidden="1" thickBot="1">
      <c r="A2754" s="390" t="str">
        <f t="shared" ref="A2754:B2754" si="8247">A2751</f>
        <v>PBSeT</v>
      </c>
      <c r="B2754" s="391" t="str">
        <f t="shared" si="8247"/>
        <v>film</v>
      </c>
      <c r="C2754" s="391">
        <f t="shared" ref="C2754" si="8248">C2753</f>
        <v>2</v>
      </c>
      <c r="D2754" s="391" t="str">
        <f t="shared" ref="D2754:E2754" si="8249">D2751</f>
        <v>1-10</v>
      </c>
      <c r="E2754" s="391">
        <f t="shared" si="8249"/>
        <v>10</v>
      </c>
      <c r="F2754" s="402" t="str">
        <f>F2751</f>
        <v>fresh water</v>
      </c>
      <c r="G2754" s="401" t="str">
        <f t="shared" ref="G2754" si="8250">G2753</f>
        <v>DE: PBSeT film 1-10 mm (emission to fresh water)</v>
      </c>
      <c r="H2754" s="465">
        <v>0</v>
      </c>
      <c r="I2754" s="397" t="s">
        <v>1034</v>
      </c>
      <c r="J2754" s="654"/>
      <c r="K2754" s="398" t="s">
        <v>596</v>
      </c>
      <c r="L2754" s="538"/>
      <c r="M2754" s="509">
        <f t="shared" si="8061"/>
        <v>0</v>
      </c>
      <c r="N2754" s="647"/>
      <c r="O2754" s="627"/>
      <c r="P2754" s="629"/>
      <c r="Q2754" s="629"/>
    </row>
    <row r="2755" spans="1:17" ht="15.75" hidden="1" thickBot="1">
      <c r="A2755" s="390" t="str">
        <f t="shared" ref="A2755:B2755" si="8251">A2752</f>
        <v>PBSeT</v>
      </c>
      <c r="B2755" s="391" t="str">
        <f t="shared" si="8251"/>
        <v>film</v>
      </c>
      <c r="C2755" s="391">
        <f t="shared" ref="C2755" si="8252">C2754</f>
        <v>2</v>
      </c>
      <c r="D2755" s="391" t="str">
        <f t="shared" ref="D2755:E2755" si="8253">D2752</f>
        <v>1-10</v>
      </c>
      <c r="E2755" s="391">
        <f t="shared" si="8253"/>
        <v>10</v>
      </c>
      <c r="F2755" s="385" t="s">
        <v>1097</v>
      </c>
      <c r="G2755" s="422" t="str">
        <f>CONCATENATE("DE: ",A2755," ",B2755," ",D2755," mm (emission to ",F2755,")")</f>
        <v>DE: PBSeT film 1-10 mm (emission to marine water)</v>
      </c>
      <c r="H2755" s="465">
        <v>0</v>
      </c>
      <c r="I2755" s="388" t="s">
        <v>1153</v>
      </c>
      <c r="J2755" s="634">
        <v>0.22800000000000001</v>
      </c>
      <c r="K2755" s="389">
        <v>19.655684523809523</v>
      </c>
      <c r="L2755" s="536"/>
      <c r="M2755" s="509">
        <f t="shared" si="8061"/>
        <v>254.379337129844</v>
      </c>
      <c r="N2755" s="645">
        <f t="shared" si="8065"/>
        <v>1000</v>
      </c>
      <c r="O2755" s="625"/>
      <c r="P2755" s="628">
        <f t="shared" si="8147"/>
        <v>100</v>
      </c>
      <c r="Q2755" s="628">
        <f t="shared" si="8226"/>
        <v>500</v>
      </c>
    </row>
    <row r="2756" spans="1:17" ht="15.75" hidden="1" thickBot="1">
      <c r="A2756" s="390" t="str">
        <f t="shared" ref="A2756:B2756" si="8254">A2753</f>
        <v>PBSeT</v>
      </c>
      <c r="B2756" s="391" t="str">
        <f t="shared" si="8254"/>
        <v>film</v>
      </c>
      <c r="C2756" s="391">
        <f t="shared" ref="C2756" si="8255">C2755</f>
        <v>2</v>
      </c>
      <c r="D2756" s="391" t="str">
        <f t="shared" ref="D2756:E2756" si="8256">D2753</f>
        <v>1-10</v>
      </c>
      <c r="E2756" s="391">
        <f t="shared" si="8256"/>
        <v>10</v>
      </c>
      <c r="F2756" s="391" t="str">
        <f t="shared" ref="F2756:G2756" si="8257">F2755</f>
        <v>marine water</v>
      </c>
      <c r="G2756" s="401" t="str">
        <f t="shared" si="8257"/>
        <v>DE: PBSeT film 1-10 mm (emission to marine water)</v>
      </c>
      <c r="H2756" s="465">
        <v>0</v>
      </c>
      <c r="I2756" s="394" t="s">
        <v>1097</v>
      </c>
      <c r="J2756" s="635"/>
      <c r="K2756" s="389">
        <v>2.0007669930984768</v>
      </c>
      <c r="L2756" s="536"/>
      <c r="M2756" s="509">
        <f t="shared" si="8061"/>
        <v>1000</v>
      </c>
      <c r="N2756" s="646"/>
      <c r="O2756" s="626"/>
      <c r="P2756" s="629"/>
      <c r="Q2756" s="629"/>
    </row>
    <row r="2757" spans="1:17" ht="15.75" hidden="1" thickBot="1">
      <c r="A2757" s="390" t="str">
        <f t="shared" ref="A2757:B2757" si="8258">A2754</f>
        <v>PBSeT</v>
      </c>
      <c r="B2757" s="391" t="str">
        <f t="shared" si="8258"/>
        <v>film</v>
      </c>
      <c r="C2757" s="391">
        <f t="shared" ref="C2757" si="8259">C2756</f>
        <v>2</v>
      </c>
      <c r="D2757" s="391" t="str">
        <f t="shared" ref="D2757:E2757" si="8260">D2754</f>
        <v>1-10</v>
      </c>
      <c r="E2757" s="391">
        <f t="shared" si="8260"/>
        <v>10</v>
      </c>
      <c r="F2757" s="391" t="str">
        <f t="shared" ref="F2757:G2757" si="8261">F2756</f>
        <v>marine water</v>
      </c>
      <c r="G2757" s="401" t="str">
        <f t="shared" si="8261"/>
        <v>DE: PBSeT film 1-10 mm (emission to marine water)</v>
      </c>
      <c r="H2757" s="465">
        <v>0</v>
      </c>
      <c r="I2757" s="394" t="s">
        <v>1162</v>
      </c>
      <c r="J2757" s="635"/>
      <c r="K2757" s="389">
        <v>2.13</v>
      </c>
      <c r="L2757" s="536"/>
      <c r="M2757" s="509">
        <f t="shared" si="8061"/>
        <v>1000</v>
      </c>
      <c r="N2757" s="646"/>
      <c r="O2757" s="626"/>
      <c r="P2757" s="629"/>
      <c r="Q2757" s="629"/>
    </row>
    <row r="2758" spans="1:17" ht="15.75" hidden="1" thickBot="1">
      <c r="A2758" s="390" t="str">
        <f t="shared" ref="A2758:B2758" si="8262">A2755</f>
        <v>PBSeT</v>
      </c>
      <c r="B2758" s="391" t="str">
        <f t="shared" si="8262"/>
        <v>film</v>
      </c>
      <c r="C2758" s="391">
        <f t="shared" ref="C2758" si="8263">C2757</f>
        <v>2</v>
      </c>
      <c r="D2758" s="391" t="str">
        <f t="shared" ref="D2758:E2758" si="8264">D2755</f>
        <v>1-10</v>
      </c>
      <c r="E2758" s="391">
        <f t="shared" si="8264"/>
        <v>10</v>
      </c>
      <c r="F2758" s="391" t="str">
        <f t="shared" ref="F2758:G2758" si="8265">F2757</f>
        <v>marine water</v>
      </c>
      <c r="G2758" s="401" t="str">
        <f t="shared" si="8265"/>
        <v>DE: PBSeT film 1-10 mm (emission to marine water)</v>
      </c>
      <c r="H2758" s="465">
        <v>1</v>
      </c>
      <c r="I2758" s="394" t="s">
        <v>1146</v>
      </c>
      <c r="J2758" s="635"/>
      <c r="K2758" s="389">
        <v>2.13</v>
      </c>
      <c r="L2758" s="536"/>
      <c r="M2758" s="509">
        <f t="shared" ref="M2758:M2821" si="8266">IFERROR(IF(K2758="--",0,IF(E2758*1000/K2758*(1-0.5)^(C2758/2)&gt;1000,1000,E2758*1000/K2758*(1-0.5)^(C2758/2))),1000)</f>
        <v>1000</v>
      </c>
      <c r="N2758" s="646"/>
      <c r="O2758" s="626"/>
      <c r="P2758" s="629"/>
      <c r="Q2758" s="629"/>
    </row>
    <row r="2759" spans="1:17" ht="15.75" hidden="1" thickBot="1">
      <c r="A2759" s="390" t="str">
        <f t="shared" ref="A2759:B2759" si="8267">A2756</f>
        <v>PBSeT</v>
      </c>
      <c r="B2759" s="391" t="str">
        <f t="shared" si="8267"/>
        <v>film</v>
      </c>
      <c r="C2759" s="391">
        <f t="shared" ref="C2759" si="8268">C2758</f>
        <v>2</v>
      </c>
      <c r="D2759" s="391" t="str">
        <f t="shared" ref="D2759:E2759" si="8269">D2756</f>
        <v>1-10</v>
      </c>
      <c r="E2759" s="391">
        <f t="shared" si="8269"/>
        <v>10</v>
      </c>
      <c r="F2759" s="391" t="str">
        <f t="shared" ref="F2759:G2759" si="8270">F2758</f>
        <v>marine water</v>
      </c>
      <c r="G2759" s="401" t="str">
        <f t="shared" si="8270"/>
        <v>DE: PBSeT film 1-10 mm (emission to marine water)</v>
      </c>
      <c r="H2759" s="465">
        <v>0</v>
      </c>
      <c r="I2759" s="397" t="s">
        <v>1034</v>
      </c>
      <c r="J2759" s="654"/>
      <c r="K2759" s="398" t="s">
        <v>596</v>
      </c>
      <c r="L2759" s="538"/>
      <c r="M2759" s="509">
        <f t="shared" si="8266"/>
        <v>0</v>
      </c>
      <c r="N2759" s="647"/>
      <c r="O2759" s="627"/>
      <c r="P2759" s="629"/>
      <c r="Q2759" s="629"/>
    </row>
    <row r="2760" spans="1:17" ht="15.75" hidden="1" thickBot="1">
      <c r="A2760" s="390" t="str">
        <f t="shared" ref="A2760:B2760" si="8271">A2757</f>
        <v>PBSeT</v>
      </c>
      <c r="B2760" s="391" t="str">
        <f t="shared" si="8271"/>
        <v>film</v>
      </c>
      <c r="C2760" s="391">
        <f t="shared" ref="C2760" si="8272">C2759</f>
        <v>2</v>
      </c>
      <c r="D2760" s="391" t="str">
        <f t="shared" ref="D2760:E2760" si="8273">D2757</f>
        <v>1-10</v>
      </c>
      <c r="E2760" s="391">
        <f t="shared" si="8273"/>
        <v>10</v>
      </c>
      <c r="F2760" s="400" t="s">
        <v>1057</v>
      </c>
      <c r="G2760" s="422" t="str">
        <f>CONCATENATE("DE: ",A2760," ",B2760," ",D2760," mm (emission to ",F2760,")")</f>
        <v>DE: PBSeT film 1-10 mm (emission to air)</v>
      </c>
      <c r="H2760" s="465">
        <v>0.94799999999999995</v>
      </c>
      <c r="I2760" s="388" t="s">
        <v>1153</v>
      </c>
      <c r="J2760" s="634">
        <v>0.22800000000000001</v>
      </c>
      <c r="K2760" s="389">
        <v>19.655684523809523</v>
      </c>
      <c r="L2760" s="536"/>
      <c r="M2760" s="509">
        <f t="shared" si="8266"/>
        <v>254.379337129844</v>
      </c>
      <c r="N2760" s="645">
        <f t="shared" ref="N2760:N2820" si="8274">IFERROR(H2760*M2760+H2761*M2761+H2762*M2762+H2763*M2763+H2764*M2764,"N.A.")</f>
        <v>293.15161159909212</v>
      </c>
      <c r="O2760" s="625"/>
      <c r="P2760" s="628">
        <f t="shared" si="8147"/>
        <v>100</v>
      </c>
      <c r="Q2760" s="628">
        <f t="shared" si="8226"/>
        <v>293.15161159909212</v>
      </c>
    </row>
    <row r="2761" spans="1:17" ht="15.75" hidden="1" thickBot="1">
      <c r="A2761" s="390" t="str">
        <f t="shared" ref="A2761:B2761" si="8275">A2758</f>
        <v>PBSeT</v>
      </c>
      <c r="B2761" s="391" t="str">
        <f t="shared" si="8275"/>
        <v>film</v>
      </c>
      <c r="C2761" s="391">
        <f t="shared" ref="C2761" si="8276">C2760</f>
        <v>2</v>
      </c>
      <c r="D2761" s="391" t="str">
        <f t="shared" ref="D2761:E2761" si="8277">D2758</f>
        <v>1-10</v>
      </c>
      <c r="E2761" s="391">
        <f t="shared" si="8277"/>
        <v>10</v>
      </c>
      <c r="F2761" s="391" t="str">
        <f t="shared" ref="F2761:G2761" si="8278">F2760</f>
        <v>air</v>
      </c>
      <c r="G2761" s="401" t="str">
        <f t="shared" si="8278"/>
        <v>DE: PBSeT film 1-10 mm (emission to air)</v>
      </c>
      <c r="H2761" s="465">
        <v>0</v>
      </c>
      <c r="I2761" s="394" t="s">
        <v>1097</v>
      </c>
      <c r="J2761" s="635"/>
      <c r="K2761" s="389">
        <v>2.0007669930984768</v>
      </c>
      <c r="L2761" s="536"/>
      <c r="M2761" s="509">
        <f t="shared" si="8266"/>
        <v>1000</v>
      </c>
      <c r="N2761" s="646"/>
      <c r="O2761" s="626"/>
      <c r="P2761" s="629"/>
      <c r="Q2761" s="629"/>
    </row>
    <row r="2762" spans="1:17" ht="15.75" hidden="1" thickBot="1">
      <c r="A2762" s="390" t="str">
        <f t="shared" ref="A2762:B2762" si="8279">A2759</f>
        <v>PBSeT</v>
      </c>
      <c r="B2762" s="391" t="str">
        <f t="shared" si="8279"/>
        <v>film</v>
      </c>
      <c r="C2762" s="391">
        <f t="shared" ref="C2762" si="8280">C2761</f>
        <v>2</v>
      </c>
      <c r="D2762" s="391" t="str">
        <f t="shared" ref="D2762:E2762" si="8281">D2759</f>
        <v>1-10</v>
      </c>
      <c r="E2762" s="391">
        <f t="shared" si="8281"/>
        <v>10</v>
      </c>
      <c r="F2762" s="391" t="str">
        <f t="shared" ref="F2762:G2762" si="8282">F2761</f>
        <v>air</v>
      </c>
      <c r="G2762" s="401" t="str">
        <f t="shared" si="8282"/>
        <v>DE: PBSeT film 1-10 mm (emission to air)</v>
      </c>
      <c r="H2762" s="465">
        <v>4.7E-2</v>
      </c>
      <c r="I2762" s="394" t="s">
        <v>1162</v>
      </c>
      <c r="J2762" s="635"/>
      <c r="K2762" s="389">
        <v>2.13</v>
      </c>
      <c r="L2762" s="536"/>
      <c r="M2762" s="509">
        <f t="shared" si="8266"/>
        <v>1000</v>
      </c>
      <c r="N2762" s="646"/>
      <c r="O2762" s="626"/>
      <c r="P2762" s="629"/>
      <c r="Q2762" s="629"/>
    </row>
    <row r="2763" spans="1:17" ht="15.75" hidden="1" thickBot="1">
      <c r="A2763" s="390" t="str">
        <f t="shared" ref="A2763:B2763" si="8283">A2760</f>
        <v>PBSeT</v>
      </c>
      <c r="B2763" s="391" t="str">
        <f t="shared" si="8283"/>
        <v>film</v>
      </c>
      <c r="C2763" s="391">
        <f t="shared" ref="C2763" si="8284">C2762</f>
        <v>2</v>
      </c>
      <c r="D2763" s="391" t="str">
        <f t="shared" ref="D2763:E2763" si="8285">D2760</f>
        <v>1-10</v>
      </c>
      <c r="E2763" s="391">
        <f t="shared" si="8285"/>
        <v>10</v>
      </c>
      <c r="F2763" s="391" t="str">
        <f t="shared" ref="F2763:G2763" si="8286">F2762</f>
        <v>air</v>
      </c>
      <c r="G2763" s="401" t="str">
        <f t="shared" si="8286"/>
        <v>DE: PBSeT film 1-10 mm (emission to air)</v>
      </c>
      <c r="H2763" s="465">
        <v>5.0000000000000001E-3</v>
      </c>
      <c r="I2763" s="394" t="s">
        <v>1146</v>
      </c>
      <c r="J2763" s="635"/>
      <c r="K2763" s="389">
        <v>2.13</v>
      </c>
      <c r="L2763" s="536"/>
      <c r="M2763" s="509">
        <f t="shared" si="8266"/>
        <v>1000</v>
      </c>
      <c r="N2763" s="646"/>
      <c r="O2763" s="626"/>
      <c r="P2763" s="629"/>
      <c r="Q2763" s="629"/>
    </row>
    <row r="2764" spans="1:17" ht="15.75" hidden="1" thickBot="1">
      <c r="A2764" s="390" t="str">
        <f t="shared" ref="A2764:B2764" si="8287">A2759</f>
        <v>PBSeT</v>
      </c>
      <c r="B2764" s="391" t="str">
        <f t="shared" si="8287"/>
        <v>film</v>
      </c>
      <c r="C2764" s="391">
        <f t="shared" ref="C2764" si="8288">C2763</f>
        <v>2</v>
      </c>
      <c r="D2764" s="391" t="str">
        <f t="shared" ref="D2764:E2764" si="8289">D2759</f>
        <v>1-10</v>
      </c>
      <c r="E2764" s="391">
        <f t="shared" si="8289"/>
        <v>10</v>
      </c>
      <c r="F2764" s="391" t="str">
        <f t="shared" ref="F2764:G2764" si="8290">F2763</f>
        <v>air</v>
      </c>
      <c r="G2764" s="401" t="str">
        <f t="shared" si="8290"/>
        <v>DE: PBSeT film 1-10 mm (emission to air)</v>
      </c>
      <c r="H2764" s="471">
        <v>0</v>
      </c>
      <c r="I2764" s="422" t="s">
        <v>1034</v>
      </c>
      <c r="J2764" s="636"/>
      <c r="K2764" s="451" t="s">
        <v>596</v>
      </c>
      <c r="L2764" s="542"/>
      <c r="M2764" s="509">
        <f t="shared" si="8266"/>
        <v>0</v>
      </c>
      <c r="N2764" s="647"/>
      <c r="O2764" s="627"/>
      <c r="P2764" s="629"/>
      <c r="Q2764" s="629"/>
    </row>
    <row r="2765" spans="1:17" ht="15.75" hidden="1" thickBot="1">
      <c r="A2765" s="405" t="s">
        <v>1077</v>
      </c>
      <c r="B2765" s="406" t="s">
        <v>1151</v>
      </c>
      <c r="C2765" s="407">
        <v>4</v>
      </c>
      <c r="D2765" s="423" t="s">
        <v>1018</v>
      </c>
      <c r="E2765" s="408">
        <v>0.1</v>
      </c>
      <c r="F2765" s="424" t="s">
        <v>1019</v>
      </c>
      <c r="G2765" s="425" t="str">
        <f>CONCATENATE("DE: ",A2765," ",B2765," ",D2765," mm (emission to ",F2765,")")</f>
        <v>DE: PBSeT fiber 0,01-0,1 mm (emission to soil)</v>
      </c>
      <c r="H2765" s="474">
        <v>0.97</v>
      </c>
      <c r="I2765" s="427" t="s">
        <v>1153</v>
      </c>
      <c r="J2765" s="632">
        <v>0.22800000000000001</v>
      </c>
      <c r="K2765" s="428">
        <v>19.655684523809523</v>
      </c>
      <c r="L2765" s="539"/>
      <c r="M2765" s="509">
        <f t="shared" si="8266"/>
        <v>1.27189668564922</v>
      </c>
      <c r="N2765" s="645">
        <f t="shared" si="8274"/>
        <v>1.5858524611360814</v>
      </c>
      <c r="O2765" s="625"/>
      <c r="P2765" s="628">
        <f t="shared" si="8147"/>
        <v>1.5858524611360814</v>
      </c>
      <c r="Q2765" s="628">
        <f t="shared" si="8226"/>
        <v>1.5858524611360814</v>
      </c>
    </row>
    <row r="2766" spans="1:17" ht="15.75" hidden="1" thickBot="1">
      <c r="A2766" s="390" t="str">
        <f>A2765</f>
        <v>PBSeT</v>
      </c>
      <c r="B2766" s="391" t="str">
        <f>B2765</f>
        <v>fiber</v>
      </c>
      <c r="C2766" s="391">
        <f t="shared" ref="C2766:G2766" si="8291">C2765</f>
        <v>4</v>
      </c>
      <c r="D2766" s="391" t="str">
        <f t="shared" si="8291"/>
        <v>0,01-0,1</v>
      </c>
      <c r="E2766" s="391">
        <f t="shared" si="8291"/>
        <v>0.1</v>
      </c>
      <c r="F2766" s="391" t="str">
        <f t="shared" si="8291"/>
        <v>soil</v>
      </c>
      <c r="G2766" s="392" t="str">
        <f t="shared" si="8291"/>
        <v>DE: PBSeT fiber 0,01-0,1 mm (emission to soil)</v>
      </c>
      <c r="H2766" s="465">
        <v>0</v>
      </c>
      <c r="I2766" s="394" t="s">
        <v>1097</v>
      </c>
      <c r="J2766" s="632"/>
      <c r="K2766" s="395">
        <v>2.0007669930984768</v>
      </c>
      <c r="L2766" s="537"/>
      <c r="M2766" s="509">
        <f t="shared" si="8266"/>
        <v>12.495208130799822</v>
      </c>
      <c r="N2766" s="646"/>
      <c r="O2766" s="626"/>
      <c r="P2766" s="629"/>
      <c r="Q2766" s="629"/>
    </row>
    <row r="2767" spans="1:17" ht="15.75" hidden="1" thickBot="1">
      <c r="A2767" s="390" t="str">
        <f t="shared" ref="A2767:G2767" si="8292">A2766</f>
        <v>PBSeT</v>
      </c>
      <c r="B2767" s="391" t="str">
        <f t="shared" si="8292"/>
        <v>fiber</v>
      </c>
      <c r="C2767" s="391">
        <f t="shared" si="8292"/>
        <v>4</v>
      </c>
      <c r="D2767" s="391" t="str">
        <f t="shared" si="8292"/>
        <v>0,01-0,1</v>
      </c>
      <c r="E2767" s="391">
        <f t="shared" si="8292"/>
        <v>0.1</v>
      </c>
      <c r="F2767" s="391" t="str">
        <f t="shared" si="8292"/>
        <v>soil</v>
      </c>
      <c r="G2767" s="392" t="str">
        <f t="shared" si="8292"/>
        <v>DE: PBSeT fiber 0,01-0,1 mm (emission to soil)</v>
      </c>
      <c r="H2767" s="465">
        <v>2.7E-2</v>
      </c>
      <c r="I2767" s="394" t="s">
        <v>1162</v>
      </c>
      <c r="J2767" s="632"/>
      <c r="K2767" s="395">
        <v>2.13</v>
      </c>
      <c r="L2767" s="537"/>
      <c r="M2767" s="509">
        <f t="shared" si="8266"/>
        <v>11.737089201877934</v>
      </c>
      <c r="N2767" s="646"/>
      <c r="O2767" s="626"/>
      <c r="P2767" s="629"/>
      <c r="Q2767" s="629"/>
    </row>
    <row r="2768" spans="1:17" ht="15.75" hidden="1" thickBot="1">
      <c r="A2768" s="390" t="str">
        <f t="shared" ref="A2768:G2768" si="8293">A2767</f>
        <v>PBSeT</v>
      </c>
      <c r="B2768" s="391" t="str">
        <f t="shared" si="8293"/>
        <v>fiber</v>
      </c>
      <c r="C2768" s="391">
        <f t="shared" si="8293"/>
        <v>4</v>
      </c>
      <c r="D2768" s="391" t="str">
        <f t="shared" si="8293"/>
        <v>0,01-0,1</v>
      </c>
      <c r="E2768" s="391">
        <f t="shared" si="8293"/>
        <v>0.1</v>
      </c>
      <c r="F2768" s="391" t="str">
        <f t="shared" si="8293"/>
        <v>soil</v>
      </c>
      <c r="G2768" s="392" t="str">
        <f t="shared" si="8293"/>
        <v>DE: PBSeT fiber 0,01-0,1 mm (emission to soil)</v>
      </c>
      <c r="H2768" s="465">
        <v>3.0000000000000001E-3</v>
      </c>
      <c r="I2768" s="394" t="s">
        <v>1146</v>
      </c>
      <c r="J2768" s="632"/>
      <c r="K2768" s="395">
        <v>2.13</v>
      </c>
      <c r="L2768" s="537"/>
      <c r="M2768" s="509">
        <f t="shared" si="8266"/>
        <v>11.737089201877934</v>
      </c>
      <c r="N2768" s="646"/>
      <c r="O2768" s="626"/>
      <c r="P2768" s="629"/>
      <c r="Q2768" s="629"/>
    </row>
    <row r="2769" spans="1:17" ht="15.75" hidden="1" thickBot="1">
      <c r="A2769" s="390" t="str">
        <f>A2766</f>
        <v>PBSeT</v>
      </c>
      <c r="B2769" s="391" t="str">
        <f>B2766</f>
        <v>fiber</v>
      </c>
      <c r="C2769" s="391">
        <f t="shared" ref="C2769" si="8294">C2768</f>
        <v>4</v>
      </c>
      <c r="D2769" s="391" t="str">
        <f>D2766</f>
        <v>0,01-0,1</v>
      </c>
      <c r="E2769" s="391">
        <f>E2766</f>
        <v>0.1</v>
      </c>
      <c r="F2769" s="391" t="str">
        <f>F2766</f>
        <v>soil</v>
      </c>
      <c r="G2769" s="396" t="str">
        <f t="shared" ref="G2769" si="8295">G2768</f>
        <v>DE: PBSeT fiber 0,01-0,1 mm (emission to soil)</v>
      </c>
      <c r="H2769" s="465">
        <v>0</v>
      </c>
      <c r="I2769" s="397" t="s">
        <v>1034</v>
      </c>
      <c r="J2769" s="633"/>
      <c r="K2769" s="398" t="s">
        <v>596</v>
      </c>
      <c r="L2769" s="538"/>
      <c r="M2769" s="509">
        <f t="shared" si="8266"/>
        <v>0</v>
      </c>
      <c r="N2769" s="647"/>
      <c r="O2769" s="627"/>
      <c r="P2769" s="629"/>
      <c r="Q2769" s="629"/>
    </row>
    <row r="2770" spans="1:17" ht="15.75" hidden="1" thickBot="1">
      <c r="A2770" s="390" t="str">
        <f t="shared" ref="A2770:B2770" si="8296">A2767</f>
        <v>PBSeT</v>
      </c>
      <c r="B2770" s="391" t="str">
        <f t="shared" si="8296"/>
        <v>fiber</v>
      </c>
      <c r="C2770" s="391">
        <f t="shared" ref="C2770" si="8297">C2769</f>
        <v>4</v>
      </c>
      <c r="D2770" s="399" t="str">
        <f t="shared" ref="D2770:E2770" si="8298">D2767</f>
        <v>0,01-0,1</v>
      </c>
      <c r="E2770" s="391">
        <f t="shared" si="8298"/>
        <v>0.1</v>
      </c>
      <c r="F2770" s="400" t="s">
        <v>1147</v>
      </c>
      <c r="G2770" s="386" t="str">
        <f>CONCATENATE("DE: ",A2770," ",B2770," ",D2770," mm (emission to ",F2770,")")</f>
        <v>DE: PBSeT fiber 0,01-0,1 mm (emission to fresh water)</v>
      </c>
      <c r="H2770" s="466">
        <v>0</v>
      </c>
      <c r="I2770" s="388" t="s">
        <v>1153</v>
      </c>
      <c r="J2770" s="634">
        <v>0.22800000000000001</v>
      </c>
      <c r="K2770" s="389">
        <v>19.655684523809523</v>
      </c>
      <c r="L2770" s="536"/>
      <c r="M2770" s="509">
        <f t="shared" si="8266"/>
        <v>1.27189668564922</v>
      </c>
      <c r="N2770" s="645">
        <f t="shared" si="8274"/>
        <v>11.737089201877934</v>
      </c>
      <c r="O2770" s="625"/>
      <c r="P2770" s="628">
        <f t="shared" si="8147"/>
        <v>11.737089201877934</v>
      </c>
      <c r="Q2770" s="628">
        <f t="shared" si="8226"/>
        <v>11.737089201877934</v>
      </c>
    </row>
    <row r="2771" spans="1:17" ht="15.75" hidden="1" thickBot="1">
      <c r="A2771" s="390" t="str">
        <f t="shared" ref="A2771:B2771" si="8299">A2768</f>
        <v>PBSeT</v>
      </c>
      <c r="B2771" s="391" t="str">
        <f t="shared" si="8299"/>
        <v>fiber</v>
      </c>
      <c r="C2771" s="391">
        <f t="shared" ref="C2771" si="8300">C2770</f>
        <v>4</v>
      </c>
      <c r="D2771" s="391" t="str">
        <f t="shared" ref="D2771:E2771" si="8301">D2768</f>
        <v>0,01-0,1</v>
      </c>
      <c r="E2771" s="391">
        <f t="shared" si="8301"/>
        <v>0.1</v>
      </c>
      <c r="F2771" s="391" t="str">
        <f t="shared" ref="F2771:G2771" si="8302">F2770</f>
        <v>fresh water</v>
      </c>
      <c r="G2771" s="401" t="str">
        <f t="shared" si="8302"/>
        <v>DE: PBSeT fiber 0,01-0,1 mm (emission to fresh water)</v>
      </c>
      <c r="H2771" s="465">
        <v>0</v>
      </c>
      <c r="I2771" s="394" t="s">
        <v>1097</v>
      </c>
      <c r="J2771" s="635"/>
      <c r="K2771" s="389">
        <v>2.0007669930984768</v>
      </c>
      <c r="L2771" s="536"/>
      <c r="M2771" s="509">
        <f t="shared" si="8266"/>
        <v>12.495208130799822</v>
      </c>
      <c r="N2771" s="646"/>
      <c r="O2771" s="626"/>
      <c r="P2771" s="629"/>
      <c r="Q2771" s="629"/>
    </row>
    <row r="2772" spans="1:17" ht="15.75" hidden="1" thickBot="1">
      <c r="A2772" s="390" t="str">
        <f t="shared" ref="A2772:B2772" si="8303">A2769</f>
        <v>PBSeT</v>
      </c>
      <c r="B2772" s="391" t="str">
        <f t="shared" si="8303"/>
        <v>fiber</v>
      </c>
      <c r="C2772" s="391">
        <f t="shared" ref="C2772" si="8304">C2771</f>
        <v>4</v>
      </c>
      <c r="D2772" s="391" t="str">
        <f t="shared" ref="D2772:E2772" si="8305">D2769</f>
        <v>0,01-0,1</v>
      </c>
      <c r="E2772" s="391">
        <f t="shared" si="8305"/>
        <v>0.1</v>
      </c>
      <c r="F2772" s="391" t="str">
        <f t="shared" ref="F2772:G2772" si="8306">F2771</f>
        <v>fresh water</v>
      </c>
      <c r="G2772" s="401" t="str">
        <f t="shared" si="8306"/>
        <v>DE: PBSeT fiber 0,01-0,1 mm (emission to fresh water)</v>
      </c>
      <c r="H2772" s="465">
        <v>0.89</v>
      </c>
      <c r="I2772" s="394" t="s">
        <v>1162</v>
      </c>
      <c r="J2772" s="635"/>
      <c r="K2772" s="389">
        <v>2.13</v>
      </c>
      <c r="L2772" s="536"/>
      <c r="M2772" s="509">
        <f t="shared" si="8266"/>
        <v>11.737089201877934</v>
      </c>
      <c r="N2772" s="646"/>
      <c r="O2772" s="626"/>
      <c r="P2772" s="629"/>
      <c r="Q2772" s="629"/>
    </row>
    <row r="2773" spans="1:17" ht="15.75" hidden="1" thickBot="1">
      <c r="A2773" s="390" t="str">
        <f t="shared" ref="A2773:B2773" si="8307">A2770</f>
        <v>PBSeT</v>
      </c>
      <c r="B2773" s="391" t="str">
        <f t="shared" si="8307"/>
        <v>fiber</v>
      </c>
      <c r="C2773" s="391">
        <f t="shared" ref="C2773" si="8308">C2772</f>
        <v>4</v>
      </c>
      <c r="D2773" s="391" t="str">
        <f t="shared" ref="D2773:E2773" si="8309">D2770</f>
        <v>0,01-0,1</v>
      </c>
      <c r="E2773" s="391">
        <f t="shared" si="8309"/>
        <v>0.1</v>
      </c>
      <c r="F2773" s="391" t="str">
        <f t="shared" ref="F2773:G2773" si="8310">F2772</f>
        <v>fresh water</v>
      </c>
      <c r="G2773" s="401" t="str">
        <f t="shared" si="8310"/>
        <v>DE: PBSeT fiber 0,01-0,1 mm (emission to fresh water)</v>
      </c>
      <c r="H2773" s="465">
        <v>0.11</v>
      </c>
      <c r="I2773" s="394" t="s">
        <v>1146</v>
      </c>
      <c r="J2773" s="635"/>
      <c r="K2773" s="389">
        <v>2.13</v>
      </c>
      <c r="L2773" s="536"/>
      <c r="M2773" s="509">
        <f t="shared" si="8266"/>
        <v>11.737089201877934</v>
      </c>
      <c r="N2773" s="646"/>
      <c r="O2773" s="626"/>
      <c r="P2773" s="629"/>
      <c r="Q2773" s="629"/>
    </row>
    <row r="2774" spans="1:17" ht="15.75" hidden="1" thickBot="1">
      <c r="A2774" s="390" t="str">
        <f t="shared" ref="A2774:B2774" si="8311">A2771</f>
        <v>PBSeT</v>
      </c>
      <c r="B2774" s="391" t="str">
        <f t="shared" si="8311"/>
        <v>fiber</v>
      </c>
      <c r="C2774" s="391">
        <f t="shared" ref="C2774" si="8312">C2773</f>
        <v>4</v>
      </c>
      <c r="D2774" s="391" t="str">
        <f t="shared" ref="D2774:E2774" si="8313">D2771</f>
        <v>0,01-0,1</v>
      </c>
      <c r="E2774" s="391">
        <f t="shared" si="8313"/>
        <v>0.1</v>
      </c>
      <c r="F2774" s="402" t="str">
        <f>F2771</f>
        <v>fresh water</v>
      </c>
      <c r="G2774" s="401" t="str">
        <f t="shared" ref="G2774" si="8314">G2773</f>
        <v>DE: PBSeT fiber 0,01-0,1 mm (emission to fresh water)</v>
      </c>
      <c r="H2774" s="465">
        <v>0</v>
      </c>
      <c r="I2774" s="397" t="s">
        <v>1034</v>
      </c>
      <c r="J2774" s="654"/>
      <c r="K2774" s="398" t="s">
        <v>596</v>
      </c>
      <c r="L2774" s="538"/>
      <c r="M2774" s="509">
        <f t="shared" si="8266"/>
        <v>0</v>
      </c>
      <c r="N2774" s="647"/>
      <c r="O2774" s="627"/>
      <c r="P2774" s="629"/>
      <c r="Q2774" s="629"/>
    </row>
    <row r="2775" spans="1:17" ht="15.75" hidden="1" thickBot="1">
      <c r="A2775" s="390" t="str">
        <f t="shared" ref="A2775:B2775" si="8315">A2772</f>
        <v>PBSeT</v>
      </c>
      <c r="B2775" s="391" t="str">
        <f t="shared" si="8315"/>
        <v>fiber</v>
      </c>
      <c r="C2775" s="391">
        <f t="shared" ref="C2775" si="8316">C2774</f>
        <v>4</v>
      </c>
      <c r="D2775" s="391" t="str">
        <f t="shared" ref="D2775:E2775" si="8317">D2772</f>
        <v>0,01-0,1</v>
      </c>
      <c r="E2775" s="391">
        <f t="shared" si="8317"/>
        <v>0.1</v>
      </c>
      <c r="F2775" s="385" t="s">
        <v>1097</v>
      </c>
      <c r="G2775" s="422" t="str">
        <f>CONCATENATE("DE: ",A2775," ",B2775," ",D2775," mm (emission to ",F2775,")")</f>
        <v>DE: PBSeT fiber 0,01-0,1 mm (emission to marine water)</v>
      </c>
      <c r="H2775" s="465">
        <v>0</v>
      </c>
      <c r="I2775" s="388" t="s">
        <v>1153</v>
      </c>
      <c r="J2775" s="634">
        <v>0.22800000000000001</v>
      </c>
      <c r="K2775" s="389">
        <v>19.655684523809523</v>
      </c>
      <c r="L2775" s="536"/>
      <c r="M2775" s="509">
        <f t="shared" si="8266"/>
        <v>1.27189668564922</v>
      </c>
      <c r="N2775" s="645">
        <f t="shared" si="8274"/>
        <v>11.737089201877934</v>
      </c>
      <c r="O2775" s="625"/>
      <c r="P2775" s="628">
        <f t="shared" si="8147"/>
        <v>11.737089201877934</v>
      </c>
      <c r="Q2775" s="628">
        <f t="shared" si="8226"/>
        <v>11.737089201877934</v>
      </c>
    </row>
    <row r="2776" spans="1:17" ht="15.75" hidden="1" thickBot="1">
      <c r="A2776" s="390" t="str">
        <f t="shared" ref="A2776:B2776" si="8318">A2773</f>
        <v>PBSeT</v>
      </c>
      <c r="B2776" s="391" t="str">
        <f t="shared" si="8318"/>
        <v>fiber</v>
      </c>
      <c r="C2776" s="391">
        <f t="shared" ref="C2776" si="8319">C2775</f>
        <v>4</v>
      </c>
      <c r="D2776" s="391" t="str">
        <f t="shared" ref="D2776:E2776" si="8320">D2773</f>
        <v>0,01-0,1</v>
      </c>
      <c r="E2776" s="391">
        <f t="shared" si="8320"/>
        <v>0.1</v>
      </c>
      <c r="F2776" s="391" t="str">
        <f t="shared" ref="F2776:G2776" si="8321">F2775</f>
        <v>marine water</v>
      </c>
      <c r="G2776" s="401" t="str">
        <f t="shared" si="8321"/>
        <v>DE: PBSeT fiber 0,01-0,1 mm (emission to marine water)</v>
      </c>
      <c r="H2776" s="465">
        <v>0</v>
      </c>
      <c r="I2776" s="394" t="s">
        <v>1097</v>
      </c>
      <c r="J2776" s="635"/>
      <c r="K2776" s="389">
        <v>2.0007669930984768</v>
      </c>
      <c r="L2776" s="536"/>
      <c r="M2776" s="509">
        <f t="shared" si="8266"/>
        <v>12.495208130799822</v>
      </c>
      <c r="N2776" s="646"/>
      <c r="O2776" s="626"/>
      <c r="P2776" s="629"/>
      <c r="Q2776" s="629"/>
    </row>
    <row r="2777" spans="1:17" ht="15.75" hidden="1" thickBot="1">
      <c r="A2777" s="390" t="str">
        <f t="shared" ref="A2777:B2777" si="8322">A2774</f>
        <v>PBSeT</v>
      </c>
      <c r="B2777" s="391" t="str">
        <f t="shared" si="8322"/>
        <v>fiber</v>
      </c>
      <c r="C2777" s="391">
        <f t="shared" ref="C2777" si="8323">C2776</f>
        <v>4</v>
      </c>
      <c r="D2777" s="391" t="str">
        <f t="shared" ref="D2777:E2777" si="8324">D2774</f>
        <v>0,01-0,1</v>
      </c>
      <c r="E2777" s="391">
        <f t="shared" si="8324"/>
        <v>0.1</v>
      </c>
      <c r="F2777" s="391" t="str">
        <f t="shared" ref="F2777:G2777" si="8325">F2776</f>
        <v>marine water</v>
      </c>
      <c r="G2777" s="401" t="str">
        <f t="shared" si="8325"/>
        <v>DE: PBSeT fiber 0,01-0,1 mm (emission to marine water)</v>
      </c>
      <c r="H2777" s="465">
        <v>0</v>
      </c>
      <c r="I2777" s="394" t="s">
        <v>1162</v>
      </c>
      <c r="J2777" s="635"/>
      <c r="K2777" s="389">
        <v>2.13</v>
      </c>
      <c r="L2777" s="536"/>
      <c r="M2777" s="509">
        <f t="shared" si="8266"/>
        <v>11.737089201877934</v>
      </c>
      <c r="N2777" s="646"/>
      <c r="O2777" s="626"/>
      <c r="P2777" s="629"/>
      <c r="Q2777" s="629"/>
    </row>
    <row r="2778" spans="1:17" ht="15.75" hidden="1" thickBot="1">
      <c r="A2778" s="390" t="str">
        <f t="shared" ref="A2778:B2778" si="8326">A2775</f>
        <v>PBSeT</v>
      </c>
      <c r="B2778" s="391" t="str">
        <f t="shared" si="8326"/>
        <v>fiber</v>
      </c>
      <c r="C2778" s="391">
        <f t="shared" ref="C2778" si="8327">C2777</f>
        <v>4</v>
      </c>
      <c r="D2778" s="391" t="str">
        <f t="shared" ref="D2778:E2778" si="8328">D2775</f>
        <v>0,01-0,1</v>
      </c>
      <c r="E2778" s="391">
        <f t="shared" si="8328"/>
        <v>0.1</v>
      </c>
      <c r="F2778" s="391" t="str">
        <f t="shared" ref="F2778:G2778" si="8329">F2777</f>
        <v>marine water</v>
      </c>
      <c r="G2778" s="401" t="str">
        <f t="shared" si="8329"/>
        <v>DE: PBSeT fiber 0,01-0,1 mm (emission to marine water)</v>
      </c>
      <c r="H2778" s="465">
        <v>1</v>
      </c>
      <c r="I2778" s="394" t="s">
        <v>1146</v>
      </c>
      <c r="J2778" s="635"/>
      <c r="K2778" s="389">
        <v>2.13</v>
      </c>
      <c r="L2778" s="536"/>
      <c r="M2778" s="509">
        <f t="shared" si="8266"/>
        <v>11.737089201877934</v>
      </c>
      <c r="N2778" s="646"/>
      <c r="O2778" s="626"/>
      <c r="P2778" s="629"/>
      <c r="Q2778" s="629"/>
    </row>
    <row r="2779" spans="1:17" ht="15.75" hidden="1" thickBot="1">
      <c r="A2779" s="390" t="str">
        <f t="shared" ref="A2779:B2779" si="8330">A2776</f>
        <v>PBSeT</v>
      </c>
      <c r="B2779" s="391" t="str">
        <f t="shared" si="8330"/>
        <v>fiber</v>
      </c>
      <c r="C2779" s="391">
        <f t="shared" ref="C2779" si="8331">C2778</f>
        <v>4</v>
      </c>
      <c r="D2779" s="391" t="str">
        <f t="shared" ref="D2779:E2779" si="8332">D2776</f>
        <v>0,01-0,1</v>
      </c>
      <c r="E2779" s="391">
        <f t="shared" si="8332"/>
        <v>0.1</v>
      </c>
      <c r="F2779" s="391" t="str">
        <f t="shared" ref="F2779:G2779" si="8333">F2778</f>
        <v>marine water</v>
      </c>
      <c r="G2779" s="401" t="str">
        <f t="shared" si="8333"/>
        <v>DE: PBSeT fiber 0,01-0,1 mm (emission to marine water)</v>
      </c>
      <c r="H2779" s="465">
        <v>0</v>
      </c>
      <c r="I2779" s="397" t="s">
        <v>1034</v>
      </c>
      <c r="J2779" s="654"/>
      <c r="K2779" s="398" t="s">
        <v>596</v>
      </c>
      <c r="L2779" s="538"/>
      <c r="M2779" s="509">
        <f t="shared" si="8266"/>
        <v>0</v>
      </c>
      <c r="N2779" s="647"/>
      <c r="O2779" s="627"/>
      <c r="P2779" s="629"/>
      <c r="Q2779" s="629"/>
    </row>
    <row r="2780" spans="1:17" ht="15.75" hidden="1" thickBot="1">
      <c r="A2780" s="390" t="str">
        <f t="shared" ref="A2780:B2780" si="8334">A2777</f>
        <v>PBSeT</v>
      </c>
      <c r="B2780" s="391" t="str">
        <f t="shared" si="8334"/>
        <v>fiber</v>
      </c>
      <c r="C2780" s="391">
        <f t="shared" ref="C2780" si="8335">C2779</f>
        <v>4</v>
      </c>
      <c r="D2780" s="391" t="str">
        <f t="shared" ref="D2780:E2780" si="8336">D2777</f>
        <v>0,01-0,1</v>
      </c>
      <c r="E2780" s="391">
        <f t="shared" si="8336"/>
        <v>0.1</v>
      </c>
      <c r="F2780" s="400" t="s">
        <v>1057</v>
      </c>
      <c r="G2780" s="422" t="str">
        <f>CONCATENATE("DE: ",A2780," ",B2780," ",D2780," mm (emission to ",F2780,")")</f>
        <v>DE: PBSeT fiber 0,01-0,1 mm (emission to air)</v>
      </c>
      <c r="H2780" s="465">
        <v>0.94799999999999995</v>
      </c>
      <c r="I2780" s="388" t="s">
        <v>1153</v>
      </c>
      <c r="J2780" s="634">
        <v>0.22800000000000001</v>
      </c>
      <c r="K2780" s="389">
        <v>19.655684523809523</v>
      </c>
      <c r="L2780" s="536"/>
      <c r="M2780" s="509">
        <f t="shared" si="8266"/>
        <v>1.27189668564922</v>
      </c>
      <c r="N2780" s="645">
        <f t="shared" si="8274"/>
        <v>1.8160866964931131</v>
      </c>
      <c r="O2780" s="625"/>
      <c r="P2780" s="628">
        <f t="shared" si="8147"/>
        <v>1.8160866964931131</v>
      </c>
      <c r="Q2780" s="628">
        <f t="shared" si="8226"/>
        <v>1.8160866964931131</v>
      </c>
    </row>
    <row r="2781" spans="1:17" ht="15.75" hidden="1" thickBot="1">
      <c r="A2781" s="390" t="str">
        <f t="shared" ref="A2781:B2781" si="8337">A2778</f>
        <v>PBSeT</v>
      </c>
      <c r="B2781" s="391" t="str">
        <f t="shared" si="8337"/>
        <v>fiber</v>
      </c>
      <c r="C2781" s="391">
        <f t="shared" ref="C2781" si="8338">C2780</f>
        <v>4</v>
      </c>
      <c r="D2781" s="391" t="str">
        <f t="shared" ref="D2781:E2781" si="8339">D2778</f>
        <v>0,01-0,1</v>
      </c>
      <c r="E2781" s="391">
        <f t="shared" si="8339"/>
        <v>0.1</v>
      </c>
      <c r="F2781" s="391" t="str">
        <f t="shared" ref="F2781:G2781" si="8340">F2780</f>
        <v>air</v>
      </c>
      <c r="G2781" s="401" t="str">
        <f t="shared" si="8340"/>
        <v>DE: PBSeT fiber 0,01-0,1 mm (emission to air)</v>
      </c>
      <c r="H2781" s="465">
        <v>0</v>
      </c>
      <c r="I2781" s="394" t="s">
        <v>1097</v>
      </c>
      <c r="J2781" s="635"/>
      <c r="K2781" s="389">
        <v>2.0007669930984768</v>
      </c>
      <c r="L2781" s="536"/>
      <c r="M2781" s="509">
        <f t="shared" si="8266"/>
        <v>12.495208130799822</v>
      </c>
      <c r="N2781" s="646"/>
      <c r="O2781" s="626"/>
      <c r="P2781" s="629"/>
      <c r="Q2781" s="629"/>
    </row>
    <row r="2782" spans="1:17" ht="15.75" hidden="1" thickBot="1">
      <c r="A2782" s="390" t="str">
        <f t="shared" ref="A2782:B2782" si="8341">A2779</f>
        <v>PBSeT</v>
      </c>
      <c r="B2782" s="391" t="str">
        <f t="shared" si="8341"/>
        <v>fiber</v>
      </c>
      <c r="C2782" s="391">
        <f t="shared" ref="C2782" si="8342">C2781</f>
        <v>4</v>
      </c>
      <c r="D2782" s="391" t="str">
        <f t="shared" ref="D2782:E2782" si="8343">D2779</f>
        <v>0,01-0,1</v>
      </c>
      <c r="E2782" s="391">
        <f t="shared" si="8343"/>
        <v>0.1</v>
      </c>
      <c r="F2782" s="391" t="str">
        <f t="shared" ref="F2782:G2782" si="8344">F2781</f>
        <v>air</v>
      </c>
      <c r="G2782" s="401" t="str">
        <f t="shared" si="8344"/>
        <v>DE: PBSeT fiber 0,01-0,1 mm (emission to air)</v>
      </c>
      <c r="H2782" s="465">
        <v>4.7E-2</v>
      </c>
      <c r="I2782" s="394" t="s">
        <v>1162</v>
      </c>
      <c r="J2782" s="635"/>
      <c r="K2782" s="389">
        <v>2.13</v>
      </c>
      <c r="L2782" s="536"/>
      <c r="M2782" s="509">
        <f t="shared" si="8266"/>
        <v>11.737089201877934</v>
      </c>
      <c r="N2782" s="646"/>
      <c r="O2782" s="626"/>
      <c r="P2782" s="629"/>
      <c r="Q2782" s="629"/>
    </row>
    <row r="2783" spans="1:17" ht="15.75" hidden="1" thickBot="1">
      <c r="A2783" s="390" t="str">
        <f t="shared" ref="A2783:B2783" si="8345">A2780</f>
        <v>PBSeT</v>
      </c>
      <c r="B2783" s="391" t="str">
        <f t="shared" si="8345"/>
        <v>fiber</v>
      </c>
      <c r="C2783" s="391">
        <f t="shared" ref="C2783" si="8346">C2782</f>
        <v>4</v>
      </c>
      <c r="D2783" s="391" t="str">
        <f t="shared" ref="D2783:E2783" si="8347">D2780</f>
        <v>0,01-0,1</v>
      </c>
      <c r="E2783" s="391">
        <f t="shared" si="8347"/>
        <v>0.1</v>
      </c>
      <c r="F2783" s="391" t="str">
        <f t="shared" ref="F2783:G2783" si="8348">F2782</f>
        <v>air</v>
      </c>
      <c r="G2783" s="401" t="str">
        <f t="shared" si="8348"/>
        <v>DE: PBSeT fiber 0,01-0,1 mm (emission to air)</v>
      </c>
      <c r="H2783" s="465">
        <v>5.0000000000000001E-3</v>
      </c>
      <c r="I2783" s="394" t="s">
        <v>1146</v>
      </c>
      <c r="J2783" s="635"/>
      <c r="K2783" s="389">
        <v>2.13</v>
      </c>
      <c r="L2783" s="536"/>
      <c r="M2783" s="509">
        <f t="shared" si="8266"/>
        <v>11.737089201877934</v>
      </c>
      <c r="N2783" s="646"/>
      <c r="O2783" s="626"/>
      <c r="P2783" s="629"/>
      <c r="Q2783" s="629"/>
    </row>
    <row r="2784" spans="1:17" ht="15.75" hidden="1" thickBot="1">
      <c r="A2784" s="452" t="str">
        <f t="shared" ref="A2784:B2784" si="8349">A2779</f>
        <v>PBSeT</v>
      </c>
      <c r="B2784" s="453" t="str">
        <f t="shared" si="8349"/>
        <v>fiber</v>
      </c>
      <c r="C2784" s="453">
        <f t="shared" ref="C2784" si="8350">C2783</f>
        <v>4</v>
      </c>
      <c r="D2784" s="453" t="str">
        <f t="shared" ref="D2784:E2784" si="8351">D2779</f>
        <v>0,01-0,1</v>
      </c>
      <c r="E2784" s="453">
        <f t="shared" si="8351"/>
        <v>0.1</v>
      </c>
      <c r="F2784" s="453" t="str">
        <f t="shared" ref="F2784:G2784" si="8352">F2783</f>
        <v>air</v>
      </c>
      <c r="G2784" s="454" t="str">
        <f t="shared" si="8352"/>
        <v>DE: PBSeT fiber 0,01-0,1 mm (emission to air)</v>
      </c>
      <c r="H2784" s="473">
        <v>0</v>
      </c>
      <c r="I2784" s="456" t="s">
        <v>1034</v>
      </c>
      <c r="J2784" s="636"/>
      <c r="K2784" s="457" t="s">
        <v>596</v>
      </c>
      <c r="L2784" s="543"/>
      <c r="M2784" s="509">
        <f t="shared" si="8266"/>
        <v>0</v>
      </c>
      <c r="N2784" s="647"/>
      <c r="O2784" s="627"/>
      <c r="P2784" s="629"/>
      <c r="Q2784" s="629"/>
    </row>
    <row r="2785" spans="1:17" ht="15.75" hidden="1" thickBot="1">
      <c r="A2785" s="381" t="s">
        <v>1077</v>
      </c>
      <c r="B2785" s="382" t="s">
        <v>1151</v>
      </c>
      <c r="C2785" s="383">
        <v>4</v>
      </c>
      <c r="D2785" s="475" t="s">
        <v>1028</v>
      </c>
      <c r="E2785" s="384">
        <v>1</v>
      </c>
      <c r="F2785" s="385" t="s">
        <v>1019</v>
      </c>
      <c r="G2785" s="386" t="str">
        <f>CONCATENATE("DE: ",A2785," ",B2785," ",D2785," mm (emission to ",F2785,")")</f>
        <v>DE: PBSeT fiber 0,1-1 mm (emission to soil)</v>
      </c>
      <c r="H2785" s="466">
        <v>0.97</v>
      </c>
      <c r="I2785" s="388" t="s">
        <v>1153</v>
      </c>
      <c r="J2785" s="632">
        <v>0.22800000000000001</v>
      </c>
      <c r="K2785" s="389">
        <v>19.655684523809523</v>
      </c>
      <c r="L2785" s="536"/>
      <c r="M2785" s="509">
        <f t="shared" si="8266"/>
        <v>12.7189668564922</v>
      </c>
      <c r="N2785" s="645">
        <f t="shared" si="8274"/>
        <v>15.858524611360814</v>
      </c>
      <c r="O2785" s="625"/>
      <c r="P2785" s="628">
        <f t="shared" ref="P2785:P2845" si="8353">IFERROR(IF(H2785*M2785+H2786*M2786+H2787*M2787+H2788*M2788+H2789*M2789&gt;100,100,H2785*M2785+H2786*M2786+H2787*M2787+H2788*M2788+H2789*M2789),"N.A.")</f>
        <v>15.858524611360814</v>
      </c>
      <c r="Q2785" s="628">
        <f t="shared" si="8226"/>
        <v>15.858524611360814</v>
      </c>
    </row>
    <row r="2786" spans="1:17" ht="15.75" hidden="1" thickBot="1">
      <c r="A2786" s="390" t="str">
        <f>A2785</f>
        <v>PBSeT</v>
      </c>
      <c r="B2786" s="391" t="str">
        <f>B2785</f>
        <v>fiber</v>
      </c>
      <c r="C2786" s="391">
        <f t="shared" ref="C2786:G2786" si="8354">C2785</f>
        <v>4</v>
      </c>
      <c r="D2786" s="391" t="str">
        <f t="shared" si="8354"/>
        <v>0,1-1</v>
      </c>
      <c r="E2786" s="391">
        <f t="shared" si="8354"/>
        <v>1</v>
      </c>
      <c r="F2786" s="391" t="str">
        <f t="shared" si="8354"/>
        <v>soil</v>
      </c>
      <c r="G2786" s="392" t="str">
        <f t="shared" si="8354"/>
        <v>DE: PBSeT fiber 0,1-1 mm (emission to soil)</v>
      </c>
      <c r="H2786" s="465">
        <v>0</v>
      </c>
      <c r="I2786" s="394" t="s">
        <v>1097</v>
      </c>
      <c r="J2786" s="632"/>
      <c r="K2786" s="395">
        <v>2.0007669930984768</v>
      </c>
      <c r="L2786" s="537"/>
      <c r="M2786" s="509">
        <f t="shared" si="8266"/>
        <v>124.95208130799823</v>
      </c>
      <c r="N2786" s="646"/>
      <c r="O2786" s="626"/>
      <c r="P2786" s="629"/>
      <c r="Q2786" s="629"/>
    </row>
    <row r="2787" spans="1:17" ht="15.75" hidden="1" thickBot="1">
      <c r="A2787" s="390" t="str">
        <f t="shared" ref="A2787:G2787" si="8355">A2786</f>
        <v>PBSeT</v>
      </c>
      <c r="B2787" s="391" t="str">
        <f t="shared" si="8355"/>
        <v>fiber</v>
      </c>
      <c r="C2787" s="391">
        <f t="shared" si="8355"/>
        <v>4</v>
      </c>
      <c r="D2787" s="391" t="str">
        <f t="shared" si="8355"/>
        <v>0,1-1</v>
      </c>
      <c r="E2787" s="391">
        <f t="shared" si="8355"/>
        <v>1</v>
      </c>
      <c r="F2787" s="391" t="str">
        <f t="shared" si="8355"/>
        <v>soil</v>
      </c>
      <c r="G2787" s="392" t="str">
        <f t="shared" si="8355"/>
        <v>DE: PBSeT fiber 0,1-1 mm (emission to soil)</v>
      </c>
      <c r="H2787" s="465">
        <v>2.7E-2</v>
      </c>
      <c r="I2787" s="394" t="s">
        <v>1162</v>
      </c>
      <c r="J2787" s="632"/>
      <c r="K2787" s="395">
        <v>2.13</v>
      </c>
      <c r="L2787" s="537"/>
      <c r="M2787" s="509">
        <f t="shared" si="8266"/>
        <v>117.37089201877934</v>
      </c>
      <c r="N2787" s="646"/>
      <c r="O2787" s="626"/>
      <c r="P2787" s="629"/>
      <c r="Q2787" s="629"/>
    </row>
    <row r="2788" spans="1:17" ht="15.75" hidden="1" thickBot="1">
      <c r="A2788" s="390" t="str">
        <f t="shared" ref="A2788:G2788" si="8356">A2787</f>
        <v>PBSeT</v>
      </c>
      <c r="B2788" s="391" t="str">
        <f t="shared" si="8356"/>
        <v>fiber</v>
      </c>
      <c r="C2788" s="391">
        <f t="shared" si="8356"/>
        <v>4</v>
      </c>
      <c r="D2788" s="391" t="str">
        <f t="shared" si="8356"/>
        <v>0,1-1</v>
      </c>
      <c r="E2788" s="391">
        <f t="shared" si="8356"/>
        <v>1</v>
      </c>
      <c r="F2788" s="391" t="str">
        <f t="shared" si="8356"/>
        <v>soil</v>
      </c>
      <c r="G2788" s="392" t="str">
        <f t="shared" si="8356"/>
        <v>DE: PBSeT fiber 0,1-1 mm (emission to soil)</v>
      </c>
      <c r="H2788" s="465">
        <v>3.0000000000000001E-3</v>
      </c>
      <c r="I2788" s="394" t="s">
        <v>1146</v>
      </c>
      <c r="J2788" s="632"/>
      <c r="K2788" s="395">
        <v>2.13</v>
      </c>
      <c r="L2788" s="537"/>
      <c r="M2788" s="509">
        <f t="shared" si="8266"/>
        <v>117.37089201877934</v>
      </c>
      <c r="N2788" s="646"/>
      <c r="O2788" s="626"/>
      <c r="P2788" s="629"/>
      <c r="Q2788" s="629"/>
    </row>
    <row r="2789" spans="1:17" ht="15.75" hidden="1" thickBot="1">
      <c r="A2789" s="390" t="str">
        <f>A2786</f>
        <v>PBSeT</v>
      </c>
      <c r="B2789" s="391" t="str">
        <f>B2786</f>
        <v>fiber</v>
      </c>
      <c r="C2789" s="391">
        <f t="shared" ref="C2789" si="8357">C2788</f>
        <v>4</v>
      </c>
      <c r="D2789" s="391" t="str">
        <f>D2786</f>
        <v>0,1-1</v>
      </c>
      <c r="E2789" s="391">
        <f>E2786</f>
        <v>1</v>
      </c>
      <c r="F2789" s="391" t="str">
        <f>F2786</f>
        <v>soil</v>
      </c>
      <c r="G2789" s="396" t="str">
        <f t="shared" ref="G2789" si="8358">G2788</f>
        <v>DE: PBSeT fiber 0,1-1 mm (emission to soil)</v>
      </c>
      <c r="H2789" s="465">
        <v>0</v>
      </c>
      <c r="I2789" s="397" t="s">
        <v>1034</v>
      </c>
      <c r="J2789" s="633"/>
      <c r="K2789" s="398" t="s">
        <v>596</v>
      </c>
      <c r="L2789" s="538"/>
      <c r="M2789" s="509">
        <f t="shared" si="8266"/>
        <v>0</v>
      </c>
      <c r="N2789" s="647"/>
      <c r="O2789" s="627"/>
      <c r="P2789" s="629"/>
      <c r="Q2789" s="629"/>
    </row>
    <row r="2790" spans="1:17" ht="15.75" hidden="1" thickBot="1">
      <c r="A2790" s="390" t="str">
        <f t="shared" ref="A2790:B2790" si="8359">A2787</f>
        <v>PBSeT</v>
      </c>
      <c r="B2790" s="391" t="str">
        <f t="shared" si="8359"/>
        <v>fiber</v>
      </c>
      <c r="C2790" s="391">
        <f t="shared" ref="C2790" si="8360">C2789</f>
        <v>4</v>
      </c>
      <c r="D2790" s="399" t="str">
        <f t="shared" ref="D2790:E2790" si="8361">D2787</f>
        <v>0,1-1</v>
      </c>
      <c r="E2790" s="391">
        <f t="shared" si="8361"/>
        <v>1</v>
      </c>
      <c r="F2790" s="400" t="s">
        <v>1147</v>
      </c>
      <c r="G2790" s="386" t="str">
        <f>CONCATENATE("DE: ",A2790," ",B2790," ",D2790," mm (emission to ",F2790,")")</f>
        <v>DE: PBSeT fiber 0,1-1 mm (emission to fresh water)</v>
      </c>
      <c r="H2790" s="466">
        <v>0</v>
      </c>
      <c r="I2790" s="388" t="s">
        <v>1153</v>
      </c>
      <c r="J2790" s="634">
        <v>0.22800000000000001</v>
      </c>
      <c r="K2790" s="389">
        <v>19.655684523809523</v>
      </c>
      <c r="L2790" s="536"/>
      <c r="M2790" s="509">
        <f t="shared" si="8266"/>
        <v>12.7189668564922</v>
      </c>
      <c r="N2790" s="645">
        <f t="shared" si="8274"/>
        <v>117.37089201877934</v>
      </c>
      <c r="O2790" s="625"/>
      <c r="P2790" s="628">
        <f t="shared" si="8353"/>
        <v>100</v>
      </c>
      <c r="Q2790" s="628">
        <f t="shared" si="8226"/>
        <v>117.37089201877934</v>
      </c>
    </row>
    <row r="2791" spans="1:17" ht="15.75" hidden="1" thickBot="1">
      <c r="A2791" s="390" t="str">
        <f t="shared" ref="A2791:B2791" si="8362">A2788</f>
        <v>PBSeT</v>
      </c>
      <c r="B2791" s="391" t="str">
        <f t="shared" si="8362"/>
        <v>fiber</v>
      </c>
      <c r="C2791" s="391">
        <f t="shared" ref="C2791" si="8363">C2790</f>
        <v>4</v>
      </c>
      <c r="D2791" s="391" t="str">
        <f t="shared" ref="D2791:E2791" si="8364">D2788</f>
        <v>0,1-1</v>
      </c>
      <c r="E2791" s="391">
        <f t="shared" si="8364"/>
        <v>1</v>
      </c>
      <c r="F2791" s="391" t="str">
        <f t="shared" ref="F2791:G2791" si="8365">F2790</f>
        <v>fresh water</v>
      </c>
      <c r="G2791" s="401" t="str">
        <f t="shared" si="8365"/>
        <v>DE: PBSeT fiber 0,1-1 mm (emission to fresh water)</v>
      </c>
      <c r="H2791" s="465">
        <v>0</v>
      </c>
      <c r="I2791" s="394" t="s">
        <v>1097</v>
      </c>
      <c r="J2791" s="635"/>
      <c r="K2791" s="389">
        <v>2.0007669930984768</v>
      </c>
      <c r="L2791" s="536"/>
      <c r="M2791" s="509">
        <f t="shared" si="8266"/>
        <v>124.95208130799823</v>
      </c>
      <c r="N2791" s="646"/>
      <c r="O2791" s="626"/>
      <c r="P2791" s="629"/>
      <c r="Q2791" s="629"/>
    </row>
    <row r="2792" spans="1:17" ht="15.75" hidden="1" thickBot="1">
      <c r="A2792" s="390" t="str">
        <f t="shared" ref="A2792:B2792" si="8366">A2789</f>
        <v>PBSeT</v>
      </c>
      <c r="B2792" s="391" t="str">
        <f t="shared" si="8366"/>
        <v>fiber</v>
      </c>
      <c r="C2792" s="391">
        <f t="shared" ref="C2792" si="8367">C2791</f>
        <v>4</v>
      </c>
      <c r="D2792" s="391" t="str">
        <f t="shared" ref="D2792:E2792" si="8368">D2789</f>
        <v>0,1-1</v>
      </c>
      <c r="E2792" s="391">
        <f t="shared" si="8368"/>
        <v>1</v>
      </c>
      <c r="F2792" s="391" t="str">
        <f t="shared" ref="F2792:G2792" si="8369">F2791</f>
        <v>fresh water</v>
      </c>
      <c r="G2792" s="401" t="str">
        <f t="shared" si="8369"/>
        <v>DE: PBSeT fiber 0,1-1 mm (emission to fresh water)</v>
      </c>
      <c r="H2792" s="465">
        <v>0.89</v>
      </c>
      <c r="I2792" s="394" t="s">
        <v>1162</v>
      </c>
      <c r="J2792" s="635"/>
      <c r="K2792" s="389">
        <v>2.13</v>
      </c>
      <c r="L2792" s="536"/>
      <c r="M2792" s="509">
        <f t="shared" si="8266"/>
        <v>117.37089201877934</v>
      </c>
      <c r="N2792" s="646"/>
      <c r="O2792" s="626"/>
      <c r="P2792" s="629"/>
      <c r="Q2792" s="629"/>
    </row>
    <row r="2793" spans="1:17" ht="15.75" hidden="1" thickBot="1">
      <c r="A2793" s="390" t="str">
        <f t="shared" ref="A2793:B2793" si="8370">A2790</f>
        <v>PBSeT</v>
      </c>
      <c r="B2793" s="391" t="str">
        <f t="shared" si="8370"/>
        <v>fiber</v>
      </c>
      <c r="C2793" s="391">
        <f t="shared" ref="C2793" si="8371">C2792</f>
        <v>4</v>
      </c>
      <c r="D2793" s="391" t="str">
        <f t="shared" ref="D2793:E2793" si="8372">D2790</f>
        <v>0,1-1</v>
      </c>
      <c r="E2793" s="391">
        <f t="shared" si="8372"/>
        <v>1</v>
      </c>
      <c r="F2793" s="391" t="str">
        <f t="shared" ref="F2793:G2793" si="8373">F2792</f>
        <v>fresh water</v>
      </c>
      <c r="G2793" s="401" t="str">
        <f t="shared" si="8373"/>
        <v>DE: PBSeT fiber 0,1-1 mm (emission to fresh water)</v>
      </c>
      <c r="H2793" s="465">
        <v>0.11</v>
      </c>
      <c r="I2793" s="394" t="s">
        <v>1146</v>
      </c>
      <c r="J2793" s="635"/>
      <c r="K2793" s="389">
        <v>2.13</v>
      </c>
      <c r="L2793" s="536"/>
      <c r="M2793" s="509">
        <f t="shared" si="8266"/>
        <v>117.37089201877934</v>
      </c>
      <c r="N2793" s="646"/>
      <c r="O2793" s="626"/>
      <c r="P2793" s="629"/>
      <c r="Q2793" s="629"/>
    </row>
    <row r="2794" spans="1:17" ht="15.75" hidden="1" thickBot="1">
      <c r="A2794" s="390" t="str">
        <f t="shared" ref="A2794:B2794" si="8374">A2791</f>
        <v>PBSeT</v>
      </c>
      <c r="B2794" s="391" t="str">
        <f t="shared" si="8374"/>
        <v>fiber</v>
      </c>
      <c r="C2794" s="391">
        <f t="shared" ref="C2794" si="8375">C2793</f>
        <v>4</v>
      </c>
      <c r="D2794" s="391" t="str">
        <f t="shared" ref="D2794:E2794" si="8376">D2791</f>
        <v>0,1-1</v>
      </c>
      <c r="E2794" s="391">
        <f t="shared" si="8376"/>
        <v>1</v>
      </c>
      <c r="F2794" s="402" t="str">
        <f>F2791</f>
        <v>fresh water</v>
      </c>
      <c r="G2794" s="401" t="str">
        <f t="shared" ref="G2794" si="8377">G2793</f>
        <v>DE: PBSeT fiber 0,1-1 mm (emission to fresh water)</v>
      </c>
      <c r="H2794" s="465">
        <v>0</v>
      </c>
      <c r="I2794" s="397" t="s">
        <v>1034</v>
      </c>
      <c r="J2794" s="654"/>
      <c r="K2794" s="398" t="s">
        <v>596</v>
      </c>
      <c r="L2794" s="538"/>
      <c r="M2794" s="509">
        <f t="shared" si="8266"/>
        <v>0</v>
      </c>
      <c r="N2794" s="647"/>
      <c r="O2794" s="627"/>
      <c r="P2794" s="629"/>
      <c r="Q2794" s="629"/>
    </row>
    <row r="2795" spans="1:17" ht="15.75" hidden="1" thickBot="1">
      <c r="A2795" s="390" t="str">
        <f t="shared" ref="A2795:B2795" si="8378">A2792</f>
        <v>PBSeT</v>
      </c>
      <c r="B2795" s="391" t="str">
        <f t="shared" si="8378"/>
        <v>fiber</v>
      </c>
      <c r="C2795" s="391">
        <f t="shared" ref="C2795" si="8379">C2794</f>
        <v>4</v>
      </c>
      <c r="D2795" s="391" t="str">
        <f t="shared" ref="D2795:E2795" si="8380">D2792</f>
        <v>0,1-1</v>
      </c>
      <c r="E2795" s="391">
        <f t="shared" si="8380"/>
        <v>1</v>
      </c>
      <c r="F2795" s="385" t="s">
        <v>1097</v>
      </c>
      <c r="G2795" s="422" t="str">
        <f>CONCATENATE("DE: ",A2795," ",B2795," ",D2795," mm (emission to ",F2795,")")</f>
        <v>DE: PBSeT fiber 0,1-1 mm (emission to marine water)</v>
      </c>
      <c r="H2795" s="465">
        <v>0</v>
      </c>
      <c r="I2795" s="388" t="s">
        <v>1153</v>
      </c>
      <c r="J2795" s="634">
        <v>0.22800000000000001</v>
      </c>
      <c r="K2795" s="389">
        <v>19.655684523809523</v>
      </c>
      <c r="L2795" s="536"/>
      <c r="M2795" s="509">
        <f t="shared" si="8266"/>
        <v>12.7189668564922</v>
      </c>
      <c r="N2795" s="645">
        <f t="shared" si="8274"/>
        <v>117.37089201877934</v>
      </c>
      <c r="O2795" s="625"/>
      <c r="P2795" s="628">
        <f t="shared" si="8353"/>
        <v>100</v>
      </c>
      <c r="Q2795" s="628">
        <f t="shared" si="8226"/>
        <v>117.37089201877934</v>
      </c>
    </row>
    <row r="2796" spans="1:17" ht="15.75" hidden="1" thickBot="1">
      <c r="A2796" s="390" t="str">
        <f t="shared" ref="A2796:B2796" si="8381">A2793</f>
        <v>PBSeT</v>
      </c>
      <c r="B2796" s="391" t="str">
        <f t="shared" si="8381"/>
        <v>fiber</v>
      </c>
      <c r="C2796" s="391">
        <f t="shared" ref="C2796" si="8382">C2795</f>
        <v>4</v>
      </c>
      <c r="D2796" s="391" t="str">
        <f t="shared" ref="D2796:E2796" si="8383">D2793</f>
        <v>0,1-1</v>
      </c>
      <c r="E2796" s="391">
        <f t="shared" si="8383"/>
        <v>1</v>
      </c>
      <c r="F2796" s="391" t="str">
        <f t="shared" ref="F2796:G2796" si="8384">F2795</f>
        <v>marine water</v>
      </c>
      <c r="G2796" s="401" t="str">
        <f t="shared" si="8384"/>
        <v>DE: PBSeT fiber 0,1-1 mm (emission to marine water)</v>
      </c>
      <c r="H2796" s="465">
        <v>0</v>
      </c>
      <c r="I2796" s="394" t="s">
        <v>1097</v>
      </c>
      <c r="J2796" s="635"/>
      <c r="K2796" s="389">
        <v>2.0007669930984768</v>
      </c>
      <c r="L2796" s="536"/>
      <c r="M2796" s="509">
        <f t="shared" si="8266"/>
        <v>124.95208130799823</v>
      </c>
      <c r="N2796" s="646"/>
      <c r="O2796" s="626"/>
      <c r="P2796" s="629"/>
      <c r="Q2796" s="629"/>
    </row>
    <row r="2797" spans="1:17" ht="15.75" hidden="1" thickBot="1">
      <c r="A2797" s="390" t="str">
        <f t="shared" ref="A2797:B2797" si="8385">A2794</f>
        <v>PBSeT</v>
      </c>
      <c r="B2797" s="391" t="str">
        <f t="shared" si="8385"/>
        <v>fiber</v>
      </c>
      <c r="C2797" s="391">
        <f t="shared" ref="C2797" si="8386">C2796</f>
        <v>4</v>
      </c>
      <c r="D2797" s="391" t="str">
        <f t="shared" ref="D2797:E2797" si="8387">D2794</f>
        <v>0,1-1</v>
      </c>
      <c r="E2797" s="391">
        <f t="shared" si="8387"/>
        <v>1</v>
      </c>
      <c r="F2797" s="391" t="str">
        <f t="shared" ref="F2797:G2797" si="8388">F2796</f>
        <v>marine water</v>
      </c>
      <c r="G2797" s="401" t="str">
        <f t="shared" si="8388"/>
        <v>DE: PBSeT fiber 0,1-1 mm (emission to marine water)</v>
      </c>
      <c r="H2797" s="465">
        <v>0</v>
      </c>
      <c r="I2797" s="394" t="s">
        <v>1162</v>
      </c>
      <c r="J2797" s="635"/>
      <c r="K2797" s="389">
        <v>2.13</v>
      </c>
      <c r="L2797" s="536"/>
      <c r="M2797" s="509">
        <f t="shared" si="8266"/>
        <v>117.37089201877934</v>
      </c>
      <c r="N2797" s="646"/>
      <c r="O2797" s="626"/>
      <c r="P2797" s="629"/>
      <c r="Q2797" s="629"/>
    </row>
    <row r="2798" spans="1:17" ht="15.75" hidden="1" thickBot="1">
      <c r="A2798" s="390" t="str">
        <f t="shared" ref="A2798:B2798" si="8389">A2795</f>
        <v>PBSeT</v>
      </c>
      <c r="B2798" s="391" t="str">
        <f t="shared" si="8389"/>
        <v>fiber</v>
      </c>
      <c r="C2798" s="391">
        <f t="shared" ref="C2798" si="8390">C2797</f>
        <v>4</v>
      </c>
      <c r="D2798" s="391" t="str">
        <f t="shared" ref="D2798:E2798" si="8391">D2795</f>
        <v>0,1-1</v>
      </c>
      <c r="E2798" s="391">
        <f t="shared" si="8391"/>
        <v>1</v>
      </c>
      <c r="F2798" s="391" t="str">
        <f t="shared" ref="F2798:G2798" si="8392">F2797</f>
        <v>marine water</v>
      </c>
      <c r="G2798" s="401" t="str">
        <f t="shared" si="8392"/>
        <v>DE: PBSeT fiber 0,1-1 mm (emission to marine water)</v>
      </c>
      <c r="H2798" s="465">
        <v>1</v>
      </c>
      <c r="I2798" s="394" t="s">
        <v>1146</v>
      </c>
      <c r="J2798" s="635"/>
      <c r="K2798" s="389">
        <v>2.13</v>
      </c>
      <c r="L2798" s="536"/>
      <c r="M2798" s="509">
        <f t="shared" si="8266"/>
        <v>117.37089201877934</v>
      </c>
      <c r="N2798" s="646"/>
      <c r="O2798" s="626"/>
      <c r="P2798" s="629"/>
      <c r="Q2798" s="629"/>
    </row>
    <row r="2799" spans="1:17" ht="15.75" hidden="1" thickBot="1">
      <c r="A2799" s="390" t="str">
        <f t="shared" ref="A2799:B2799" si="8393">A2796</f>
        <v>PBSeT</v>
      </c>
      <c r="B2799" s="391" t="str">
        <f t="shared" si="8393"/>
        <v>fiber</v>
      </c>
      <c r="C2799" s="391">
        <f t="shared" ref="C2799" si="8394">C2798</f>
        <v>4</v>
      </c>
      <c r="D2799" s="391" t="str">
        <f t="shared" ref="D2799:E2799" si="8395">D2796</f>
        <v>0,1-1</v>
      </c>
      <c r="E2799" s="391">
        <f t="shared" si="8395"/>
        <v>1</v>
      </c>
      <c r="F2799" s="391" t="str">
        <f t="shared" ref="F2799:G2799" si="8396">F2798</f>
        <v>marine water</v>
      </c>
      <c r="G2799" s="401" t="str">
        <f t="shared" si="8396"/>
        <v>DE: PBSeT fiber 0,1-1 mm (emission to marine water)</v>
      </c>
      <c r="H2799" s="465">
        <v>0</v>
      </c>
      <c r="I2799" s="397" t="s">
        <v>1034</v>
      </c>
      <c r="J2799" s="654"/>
      <c r="K2799" s="398" t="s">
        <v>596</v>
      </c>
      <c r="L2799" s="538"/>
      <c r="M2799" s="509">
        <f t="shared" si="8266"/>
        <v>0</v>
      </c>
      <c r="N2799" s="647"/>
      <c r="O2799" s="627"/>
      <c r="P2799" s="629"/>
      <c r="Q2799" s="629"/>
    </row>
    <row r="2800" spans="1:17" ht="15.75" hidden="1" thickBot="1">
      <c r="A2800" s="390" t="str">
        <f t="shared" ref="A2800:B2800" si="8397">A2797</f>
        <v>PBSeT</v>
      </c>
      <c r="B2800" s="391" t="str">
        <f t="shared" si="8397"/>
        <v>fiber</v>
      </c>
      <c r="C2800" s="391">
        <f t="shared" ref="C2800" si="8398">C2799</f>
        <v>4</v>
      </c>
      <c r="D2800" s="391" t="str">
        <f t="shared" ref="D2800:E2800" si="8399">D2797</f>
        <v>0,1-1</v>
      </c>
      <c r="E2800" s="391">
        <f t="shared" si="8399"/>
        <v>1</v>
      </c>
      <c r="F2800" s="400" t="s">
        <v>1057</v>
      </c>
      <c r="G2800" s="422" t="str">
        <f>CONCATENATE("DE: ",A2800," ",B2800," ",D2800," mm (emission to ",F2800,")")</f>
        <v>DE: PBSeT fiber 0,1-1 mm (emission to air)</v>
      </c>
      <c r="H2800" s="465">
        <v>0.94799999999999995</v>
      </c>
      <c r="I2800" s="388" t="s">
        <v>1153</v>
      </c>
      <c r="J2800" s="634">
        <v>0.22800000000000001</v>
      </c>
      <c r="K2800" s="389">
        <v>19.655684523809523</v>
      </c>
      <c r="L2800" s="536"/>
      <c r="M2800" s="509">
        <f t="shared" si="8266"/>
        <v>12.7189668564922</v>
      </c>
      <c r="N2800" s="645">
        <f t="shared" si="8274"/>
        <v>18.160866964931131</v>
      </c>
      <c r="O2800" s="625"/>
      <c r="P2800" s="628">
        <f t="shared" si="8353"/>
        <v>18.160866964931131</v>
      </c>
      <c r="Q2800" s="628">
        <f t="shared" si="8226"/>
        <v>18.160866964931131</v>
      </c>
    </row>
    <row r="2801" spans="1:17" ht="15.75" hidden="1" thickBot="1">
      <c r="A2801" s="390" t="str">
        <f t="shared" ref="A2801:B2801" si="8400">A2798</f>
        <v>PBSeT</v>
      </c>
      <c r="B2801" s="391" t="str">
        <f t="shared" si="8400"/>
        <v>fiber</v>
      </c>
      <c r="C2801" s="391">
        <f t="shared" ref="C2801" si="8401">C2800</f>
        <v>4</v>
      </c>
      <c r="D2801" s="391" t="str">
        <f t="shared" ref="D2801:E2801" si="8402">D2798</f>
        <v>0,1-1</v>
      </c>
      <c r="E2801" s="391">
        <f t="shared" si="8402"/>
        <v>1</v>
      </c>
      <c r="F2801" s="391" t="str">
        <f t="shared" ref="F2801:G2801" si="8403">F2800</f>
        <v>air</v>
      </c>
      <c r="G2801" s="401" t="str">
        <f t="shared" si="8403"/>
        <v>DE: PBSeT fiber 0,1-1 mm (emission to air)</v>
      </c>
      <c r="H2801" s="465">
        <v>0</v>
      </c>
      <c r="I2801" s="394" t="s">
        <v>1097</v>
      </c>
      <c r="J2801" s="635"/>
      <c r="K2801" s="389">
        <v>2.0007669930984768</v>
      </c>
      <c r="L2801" s="536"/>
      <c r="M2801" s="509">
        <f t="shared" si="8266"/>
        <v>124.95208130799823</v>
      </c>
      <c r="N2801" s="646"/>
      <c r="O2801" s="626"/>
      <c r="P2801" s="629"/>
      <c r="Q2801" s="629"/>
    </row>
    <row r="2802" spans="1:17" ht="15.75" hidden="1" thickBot="1">
      <c r="A2802" s="390" t="str">
        <f t="shared" ref="A2802:B2802" si="8404">A2799</f>
        <v>PBSeT</v>
      </c>
      <c r="B2802" s="391" t="str">
        <f t="shared" si="8404"/>
        <v>fiber</v>
      </c>
      <c r="C2802" s="391">
        <f t="shared" ref="C2802" si="8405">C2801</f>
        <v>4</v>
      </c>
      <c r="D2802" s="391" t="str">
        <f t="shared" ref="D2802:E2802" si="8406">D2799</f>
        <v>0,1-1</v>
      </c>
      <c r="E2802" s="391">
        <f t="shared" si="8406"/>
        <v>1</v>
      </c>
      <c r="F2802" s="391" t="str">
        <f t="shared" ref="F2802:G2802" si="8407">F2801</f>
        <v>air</v>
      </c>
      <c r="G2802" s="401" t="str">
        <f t="shared" si="8407"/>
        <v>DE: PBSeT fiber 0,1-1 mm (emission to air)</v>
      </c>
      <c r="H2802" s="465">
        <v>4.7E-2</v>
      </c>
      <c r="I2802" s="394" t="s">
        <v>1162</v>
      </c>
      <c r="J2802" s="635"/>
      <c r="K2802" s="389">
        <v>2.13</v>
      </c>
      <c r="L2802" s="536"/>
      <c r="M2802" s="509">
        <f t="shared" si="8266"/>
        <v>117.37089201877934</v>
      </c>
      <c r="N2802" s="646"/>
      <c r="O2802" s="626"/>
      <c r="P2802" s="629"/>
      <c r="Q2802" s="629"/>
    </row>
    <row r="2803" spans="1:17" ht="15.75" hidden="1" thickBot="1">
      <c r="A2803" s="390" t="str">
        <f t="shared" ref="A2803:B2803" si="8408">A2800</f>
        <v>PBSeT</v>
      </c>
      <c r="B2803" s="391" t="str">
        <f t="shared" si="8408"/>
        <v>fiber</v>
      </c>
      <c r="C2803" s="391">
        <f t="shared" ref="C2803" si="8409">C2802</f>
        <v>4</v>
      </c>
      <c r="D2803" s="391" t="str">
        <f t="shared" ref="D2803:E2803" si="8410">D2800</f>
        <v>0,1-1</v>
      </c>
      <c r="E2803" s="391">
        <f t="shared" si="8410"/>
        <v>1</v>
      </c>
      <c r="F2803" s="391" t="str">
        <f t="shared" ref="F2803:G2803" si="8411">F2802</f>
        <v>air</v>
      </c>
      <c r="G2803" s="401" t="str">
        <f t="shared" si="8411"/>
        <v>DE: PBSeT fiber 0,1-1 mm (emission to air)</v>
      </c>
      <c r="H2803" s="465">
        <v>5.0000000000000001E-3</v>
      </c>
      <c r="I2803" s="394" t="s">
        <v>1146</v>
      </c>
      <c r="J2803" s="635"/>
      <c r="K2803" s="389">
        <v>2.13</v>
      </c>
      <c r="L2803" s="536"/>
      <c r="M2803" s="509">
        <f t="shared" si="8266"/>
        <v>117.37089201877934</v>
      </c>
      <c r="N2803" s="646"/>
      <c r="O2803" s="626"/>
      <c r="P2803" s="629"/>
      <c r="Q2803" s="629"/>
    </row>
    <row r="2804" spans="1:17" ht="15.75" hidden="1" thickBot="1">
      <c r="A2804" s="390" t="str">
        <f t="shared" ref="A2804:B2804" si="8412">A2799</f>
        <v>PBSeT</v>
      </c>
      <c r="B2804" s="391" t="str">
        <f t="shared" si="8412"/>
        <v>fiber</v>
      </c>
      <c r="C2804" s="391">
        <f t="shared" ref="C2804" si="8413">C2803</f>
        <v>4</v>
      </c>
      <c r="D2804" s="391" t="str">
        <f t="shared" ref="D2804:E2804" si="8414">D2799</f>
        <v>0,1-1</v>
      </c>
      <c r="E2804" s="391">
        <f t="shared" si="8414"/>
        <v>1</v>
      </c>
      <c r="F2804" s="391" t="str">
        <f t="shared" ref="F2804:G2804" si="8415">F2803</f>
        <v>air</v>
      </c>
      <c r="G2804" s="401" t="str">
        <f t="shared" si="8415"/>
        <v>DE: PBSeT fiber 0,1-1 mm (emission to air)</v>
      </c>
      <c r="H2804" s="471">
        <v>0</v>
      </c>
      <c r="I2804" s="422" t="s">
        <v>1034</v>
      </c>
      <c r="J2804" s="636"/>
      <c r="K2804" s="451" t="s">
        <v>596</v>
      </c>
      <c r="L2804" s="542"/>
      <c r="M2804" s="509">
        <f t="shared" si="8266"/>
        <v>0</v>
      </c>
      <c r="N2804" s="647"/>
      <c r="O2804" s="627"/>
      <c r="P2804" s="629"/>
      <c r="Q2804" s="629"/>
    </row>
    <row r="2805" spans="1:17" ht="15.75" hidden="1" thickBot="1">
      <c r="A2805" s="405" t="s">
        <v>1077</v>
      </c>
      <c r="B2805" s="406" t="s">
        <v>1151</v>
      </c>
      <c r="C2805" s="407">
        <v>4</v>
      </c>
      <c r="D2805" s="423" t="s">
        <v>1026</v>
      </c>
      <c r="E2805" s="408">
        <v>10</v>
      </c>
      <c r="F2805" s="424" t="s">
        <v>1019</v>
      </c>
      <c r="G2805" s="425" t="str">
        <f>CONCATENATE("DE: ",A2805," ",B2805," ",D2805," mm (emission to ",F2805,")")</f>
        <v>DE: PBSeT fiber 1-10 mm (emission to soil)</v>
      </c>
      <c r="H2805" s="474">
        <v>0.97</v>
      </c>
      <c r="I2805" s="427" t="s">
        <v>1153</v>
      </c>
      <c r="J2805" s="632">
        <v>0.22800000000000001</v>
      </c>
      <c r="K2805" s="428">
        <v>19.655684523809523</v>
      </c>
      <c r="L2805" s="539"/>
      <c r="M2805" s="509">
        <f t="shared" si="8266"/>
        <v>127.189668564922</v>
      </c>
      <c r="N2805" s="645">
        <f t="shared" si="8274"/>
        <v>153.37397850797436</v>
      </c>
      <c r="O2805" s="625"/>
      <c r="P2805" s="628">
        <f t="shared" si="8353"/>
        <v>100</v>
      </c>
      <c r="Q2805" s="628">
        <f t="shared" si="8226"/>
        <v>153.37397850797436</v>
      </c>
    </row>
    <row r="2806" spans="1:17" ht="15.75" hidden="1" thickBot="1">
      <c r="A2806" s="390" t="str">
        <f>A2805</f>
        <v>PBSeT</v>
      </c>
      <c r="B2806" s="391" t="str">
        <f>B2805</f>
        <v>fiber</v>
      </c>
      <c r="C2806" s="391">
        <f t="shared" ref="C2806:G2806" si="8416">C2805</f>
        <v>4</v>
      </c>
      <c r="D2806" s="391" t="str">
        <f t="shared" si="8416"/>
        <v>1-10</v>
      </c>
      <c r="E2806" s="391">
        <f t="shared" si="8416"/>
        <v>10</v>
      </c>
      <c r="F2806" s="391" t="str">
        <f t="shared" si="8416"/>
        <v>soil</v>
      </c>
      <c r="G2806" s="392" t="str">
        <f t="shared" si="8416"/>
        <v>DE: PBSeT fiber 1-10 mm (emission to soil)</v>
      </c>
      <c r="H2806" s="465">
        <v>0</v>
      </c>
      <c r="I2806" s="394" t="s">
        <v>1097</v>
      </c>
      <c r="J2806" s="632"/>
      <c r="K2806" s="395">
        <v>2.0007669930984768</v>
      </c>
      <c r="L2806" s="537"/>
      <c r="M2806" s="509">
        <f t="shared" si="8266"/>
        <v>1000</v>
      </c>
      <c r="N2806" s="646"/>
      <c r="O2806" s="626"/>
      <c r="P2806" s="629"/>
      <c r="Q2806" s="629"/>
    </row>
    <row r="2807" spans="1:17" ht="15.75" hidden="1" thickBot="1">
      <c r="A2807" s="390" t="str">
        <f t="shared" ref="A2807:G2807" si="8417">A2806</f>
        <v>PBSeT</v>
      </c>
      <c r="B2807" s="391" t="str">
        <f t="shared" si="8417"/>
        <v>fiber</v>
      </c>
      <c r="C2807" s="391">
        <f t="shared" si="8417"/>
        <v>4</v>
      </c>
      <c r="D2807" s="391" t="str">
        <f t="shared" si="8417"/>
        <v>1-10</v>
      </c>
      <c r="E2807" s="391">
        <f t="shared" si="8417"/>
        <v>10</v>
      </c>
      <c r="F2807" s="391" t="str">
        <f t="shared" si="8417"/>
        <v>soil</v>
      </c>
      <c r="G2807" s="392" t="str">
        <f t="shared" si="8417"/>
        <v>DE: PBSeT fiber 1-10 mm (emission to soil)</v>
      </c>
      <c r="H2807" s="465">
        <v>2.7E-2</v>
      </c>
      <c r="I2807" s="394" t="s">
        <v>1162</v>
      </c>
      <c r="J2807" s="632"/>
      <c r="K2807" s="395">
        <v>2.13</v>
      </c>
      <c r="L2807" s="537"/>
      <c r="M2807" s="509">
        <f t="shared" si="8266"/>
        <v>1000</v>
      </c>
      <c r="N2807" s="646"/>
      <c r="O2807" s="626"/>
      <c r="P2807" s="629"/>
      <c r="Q2807" s="629"/>
    </row>
    <row r="2808" spans="1:17" ht="15.75" hidden="1" thickBot="1">
      <c r="A2808" s="390" t="str">
        <f t="shared" ref="A2808:G2808" si="8418">A2807</f>
        <v>PBSeT</v>
      </c>
      <c r="B2808" s="391" t="str">
        <f t="shared" si="8418"/>
        <v>fiber</v>
      </c>
      <c r="C2808" s="391">
        <f t="shared" si="8418"/>
        <v>4</v>
      </c>
      <c r="D2808" s="391" t="str">
        <f t="shared" si="8418"/>
        <v>1-10</v>
      </c>
      <c r="E2808" s="391">
        <f t="shared" si="8418"/>
        <v>10</v>
      </c>
      <c r="F2808" s="391" t="str">
        <f t="shared" si="8418"/>
        <v>soil</v>
      </c>
      <c r="G2808" s="392" t="str">
        <f t="shared" si="8418"/>
        <v>DE: PBSeT fiber 1-10 mm (emission to soil)</v>
      </c>
      <c r="H2808" s="465">
        <v>3.0000000000000001E-3</v>
      </c>
      <c r="I2808" s="394" t="s">
        <v>1146</v>
      </c>
      <c r="J2808" s="632"/>
      <c r="K2808" s="395">
        <v>2.13</v>
      </c>
      <c r="L2808" s="537"/>
      <c r="M2808" s="509">
        <f t="shared" si="8266"/>
        <v>1000</v>
      </c>
      <c r="N2808" s="646"/>
      <c r="O2808" s="626"/>
      <c r="P2808" s="629"/>
      <c r="Q2808" s="629"/>
    </row>
    <row r="2809" spans="1:17" ht="15.75" hidden="1" thickBot="1">
      <c r="A2809" s="390" t="str">
        <f>A2806</f>
        <v>PBSeT</v>
      </c>
      <c r="B2809" s="391" t="str">
        <f>B2806</f>
        <v>fiber</v>
      </c>
      <c r="C2809" s="391">
        <f t="shared" ref="C2809" si="8419">C2808</f>
        <v>4</v>
      </c>
      <c r="D2809" s="391" t="str">
        <f>D2806</f>
        <v>1-10</v>
      </c>
      <c r="E2809" s="391">
        <f>E2806</f>
        <v>10</v>
      </c>
      <c r="F2809" s="391" t="str">
        <f>F2806</f>
        <v>soil</v>
      </c>
      <c r="G2809" s="396" t="str">
        <f t="shared" ref="G2809" si="8420">G2808</f>
        <v>DE: PBSeT fiber 1-10 mm (emission to soil)</v>
      </c>
      <c r="H2809" s="465">
        <v>0</v>
      </c>
      <c r="I2809" s="397" t="s">
        <v>1034</v>
      </c>
      <c r="J2809" s="633"/>
      <c r="K2809" s="398" t="s">
        <v>596</v>
      </c>
      <c r="L2809" s="538"/>
      <c r="M2809" s="509">
        <f t="shared" si="8266"/>
        <v>0</v>
      </c>
      <c r="N2809" s="647"/>
      <c r="O2809" s="627"/>
      <c r="P2809" s="629"/>
      <c r="Q2809" s="629"/>
    </row>
    <row r="2810" spans="1:17" ht="15.75" hidden="1" thickBot="1">
      <c r="A2810" s="390" t="str">
        <f t="shared" ref="A2810:B2810" si="8421">A2807</f>
        <v>PBSeT</v>
      </c>
      <c r="B2810" s="391" t="str">
        <f t="shared" si="8421"/>
        <v>fiber</v>
      </c>
      <c r="C2810" s="391">
        <f t="shared" ref="C2810" si="8422">C2809</f>
        <v>4</v>
      </c>
      <c r="D2810" s="399" t="str">
        <f t="shared" ref="D2810:E2810" si="8423">D2807</f>
        <v>1-10</v>
      </c>
      <c r="E2810" s="391">
        <f t="shared" si="8423"/>
        <v>10</v>
      </c>
      <c r="F2810" s="400" t="s">
        <v>1147</v>
      </c>
      <c r="G2810" s="386" t="str">
        <f>CONCATENATE("DE: ",A2810," ",B2810," ",D2810," mm (emission to ",F2810,")")</f>
        <v>DE: PBSeT fiber 1-10 mm (emission to fresh water)</v>
      </c>
      <c r="H2810" s="466">
        <v>0</v>
      </c>
      <c r="I2810" s="388" t="s">
        <v>1153</v>
      </c>
      <c r="J2810" s="634">
        <v>0.22800000000000001</v>
      </c>
      <c r="K2810" s="389">
        <v>19.655684523809523</v>
      </c>
      <c r="L2810" s="536"/>
      <c r="M2810" s="509">
        <f t="shared" si="8266"/>
        <v>127.189668564922</v>
      </c>
      <c r="N2810" s="645">
        <f t="shared" si="8274"/>
        <v>1000</v>
      </c>
      <c r="O2810" s="625"/>
      <c r="P2810" s="628">
        <f t="shared" si="8353"/>
        <v>100</v>
      </c>
      <c r="Q2810" s="628">
        <f t="shared" ref="Q2810:Q2870" si="8424">IFERROR(IF(H2810*M2810+H2811*M2811+H2812*M2812+H2813*M2813+H2814*M2814&gt;500,500,H2810*M2810+H2811*M2811+H2812*M2812+H2813*M2813+H2814*M2814),"N.A.")</f>
        <v>500</v>
      </c>
    </row>
    <row r="2811" spans="1:17" ht="15.75" hidden="1" thickBot="1">
      <c r="A2811" s="390" t="str">
        <f t="shared" ref="A2811:B2811" si="8425">A2808</f>
        <v>PBSeT</v>
      </c>
      <c r="B2811" s="391" t="str">
        <f t="shared" si="8425"/>
        <v>fiber</v>
      </c>
      <c r="C2811" s="391">
        <f t="shared" ref="C2811" si="8426">C2810</f>
        <v>4</v>
      </c>
      <c r="D2811" s="391" t="str">
        <f t="shared" ref="D2811:E2811" si="8427">D2808</f>
        <v>1-10</v>
      </c>
      <c r="E2811" s="391">
        <f t="shared" si="8427"/>
        <v>10</v>
      </c>
      <c r="F2811" s="391" t="str">
        <f t="shared" ref="F2811:G2811" si="8428">F2810</f>
        <v>fresh water</v>
      </c>
      <c r="G2811" s="401" t="str">
        <f t="shared" si="8428"/>
        <v>DE: PBSeT fiber 1-10 mm (emission to fresh water)</v>
      </c>
      <c r="H2811" s="465">
        <v>0</v>
      </c>
      <c r="I2811" s="394" t="s">
        <v>1097</v>
      </c>
      <c r="J2811" s="635"/>
      <c r="K2811" s="389">
        <v>2.0007669930984768</v>
      </c>
      <c r="L2811" s="536"/>
      <c r="M2811" s="509">
        <f t="shared" si="8266"/>
        <v>1000</v>
      </c>
      <c r="N2811" s="646"/>
      <c r="O2811" s="626"/>
      <c r="P2811" s="629"/>
      <c r="Q2811" s="629"/>
    </row>
    <row r="2812" spans="1:17" ht="15.75" hidden="1" thickBot="1">
      <c r="A2812" s="390" t="str">
        <f t="shared" ref="A2812:B2812" si="8429">A2809</f>
        <v>PBSeT</v>
      </c>
      <c r="B2812" s="391" t="str">
        <f t="shared" si="8429"/>
        <v>fiber</v>
      </c>
      <c r="C2812" s="391">
        <f t="shared" ref="C2812" si="8430">C2811</f>
        <v>4</v>
      </c>
      <c r="D2812" s="391" t="str">
        <f t="shared" ref="D2812:E2812" si="8431">D2809</f>
        <v>1-10</v>
      </c>
      <c r="E2812" s="391">
        <f t="shared" si="8431"/>
        <v>10</v>
      </c>
      <c r="F2812" s="391" t="str">
        <f t="shared" ref="F2812:G2812" si="8432">F2811</f>
        <v>fresh water</v>
      </c>
      <c r="G2812" s="401" t="str">
        <f t="shared" si="8432"/>
        <v>DE: PBSeT fiber 1-10 mm (emission to fresh water)</v>
      </c>
      <c r="H2812" s="465">
        <v>0.89</v>
      </c>
      <c r="I2812" s="394" t="s">
        <v>1162</v>
      </c>
      <c r="J2812" s="635"/>
      <c r="K2812" s="389">
        <v>2.13</v>
      </c>
      <c r="L2812" s="536"/>
      <c r="M2812" s="509">
        <f t="shared" si="8266"/>
        <v>1000</v>
      </c>
      <c r="N2812" s="646"/>
      <c r="O2812" s="626"/>
      <c r="P2812" s="629"/>
      <c r="Q2812" s="629"/>
    </row>
    <row r="2813" spans="1:17" ht="15.75" hidden="1" thickBot="1">
      <c r="A2813" s="390" t="str">
        <f t="shared" ref="A2813:B2813" si="8433">A2810</f>
        <v>PBSeT</v>
      </c>
      <c r="B2813" s="391" t="str">
        <f t="shared" si="8433"/>
        <v>fiber</v>
      </c>
      <c r="C2813" s="391">
        <f t="shared" ref="C2813" si="8434">C2812</f>
        <v>4</v>
      </c>
      <c r="D2813" s="391" t="str">
        <f t="shared" ref="D2813:E2813" si="8435">D2810</f>
        <v>1-10</v>
      </c>
      <c r="E2813" s="391">
        <f t="shared" si="8435"/>
        <v>10</v>
      </c>
      <c r="F2813" s="391" t="str">
        <f t="shared" ref="F2813:G2813" si="8436">F2812</f>
        <v>fresh water</v>
      </c>
      <c r="G2813" s="401" t="str">
        <f t="shared" si="8436"/>
        <v>DE: PBSeT fiber 1-10 mm (emission to fresh water)</v>
      </c>
      <c r="H2813" s="465">
        <v>0.11</v>
      </c>
      <c r="I2813" s="394" t="s">
        <v>1146</v>
      </c>
      <c r="J2813" s="635"/>
      <c r="K2813" s="389">
        <v>2.13</v>
      </c>
      <c r="L2813" s="536"/>
      <c r="M2813" s="509">
        <f t="shared" si="8266"/>
        <v>1000</v>
      </c>
      <c r="N2813" s="646"/>
      <c r="O2813" s="626"/>
      <c r="P2813" s="629"/>
      <c r="Q2813" s="629"/>
    </row>
    <row r="2814" spans="1:17" ht="15.75" hidden="1" thickBot="1">
      <c r="A2814" s="390" t="str">
        <f t="shared" ref="A2814:B2814" si="8437">A2811</f>
        <v>PBSeT</v>
      </c>
      <c r="B2814" s="391" t="str">
        <f t="shared" si="8437"/>
        <v>fiber</v>
      </c>
      <c r="C2814" s="391">
        <f t="shared" ref="C2814" si="8438">C2813</f>
        <v>4</v>
      </c>
      <c r="D2814" s="391" t="str">
        <f t="shared" ref="D2814:E2814" si="8439">D2811</f>
        <v>1-10</v>
      </c>
      <c r="E2814" s="391">
        <f t="shared" si="8439"/>
        <v>10</v>
      </c>
      <c r="F2814" s="402" t="str">
        <f>F2811</f>
        <v>fresh water</v>
      </c>
      <c r="G2814" s="401" t="str">
        <f t="shared" ref="G2814" si="8440">G2813</f>
        <v>DE: PBSeT fiber 1-10 mm (emission to fresh water)</v>
      </c>
      <c r="H2814" s="465">
        <v>0</v>
      </c>
      <c r="I2814" s="397" t="s">
        <v>1034</v>
      </c>
      <c r="J2814" s="654"/>
      <c r="K2814" s="398" t="s">
        <v>596</v>
      </c>
      <c r="L2814" s="538"/>
      <c r="M2814" s="509">
        <f t="shared" si="8266"/>
        <v>0</v>
      </c>
      <c r="N2814" s="647"/>
      <c r="O2814" s="627"/>
      <c r="P2814" s="629"/>
      <c r="Q2814" s="629"/>
    </row>
    <row r="2815" spans="1:17" ht="15.75" hidden="1" thickBot="1">
      <c r="A2815" s="390" t="str">
        <f t="shared" ref="A2815:B2815" si="8441">A2812</f>
        <v>PBSeT</v>
      </c>
      <c r="B2815" s="391" t="str">
        <f t="shared" si="8441"/>
        <v>fiber</v>
      </c>
      <c r="C2815" s="391">
        <f t="shared" ref="C2815" si="8442">C2814</f>
        <v>4</v>
      </c>
      <c r="D2815" s="391" t="str">
        <f t="shared" ref="D2815:E2815" si="8443">D2812</f>
        <v>1-10</v>
      </c>
      <c r="E2815" s="391">
        <f t="shared" si="8443"/>
        <v>10</v>
      </c>
      <c r="F2815" s="385" t="s">
        <v>1097</v>
      </c>
      <c r="G2815" s="422" t="str">
        <f>CONCATENATE("DE: ",A2815," ",B2815," ",D2815," mm (emission to ",F2815,")")</f>
        <v>DE: PBSeT fiber 1-10 mm (emission to marine water)</v>
      </c>
      <c r="H2815" s="465">
        <v>0</v>
      </c>
      <c r="I2815" s="388" t="s">
        <v>1153</v>
      </c>
      <c r="J2815" s="634">
        <v>0.22800000000000001</v>
      </c>
      <c r="K2815" s="389">
        <v>19.655684523809523</v>
      </c>
      <c r="L2815" s="536"/>
      <c r="M2815" s="509">
        <f t="shared" si="8266"/>
        <v>127.189668564922</v>
      </c>
      <c r="N2815" s="645">
        <f t="shared" si="8274"/>
        <v>1000</v>
      </c>
      <c r="O2815" s="625"/>
      <c r="P2815" s="628">
        <f t="shared" si="8353"/>
        <v>100</v>
      </c>
      <c r="Q2815" s="628">
        <f t="shared" si="8424"/>
        <v>500</v>
      </c>
    </row>
    <row r="2816" spans="1:17" ht="15.75" hidden="1" thickBot="1">
      <c r="A2816" s="390" t="str">
        <f t="shared" ref="A2816:B2816" si="8444">A2813</f>
        <v>PBSeT</v>
      </c>
      <c r="B2816" s="391" t="str">
        <f t="shared" si="8444"/>
        <v>fiber</v>
      </c>
      <c r="C2816" s="391">
        <f t="shared" ref="C2816" si="8445">C2815</f>
        <v>4</v>
      </c>
      <c r="D2816" s="391" t="str">
        <f t="shared" ref="D2816:E2816" si="8446">D2813</f>
        <v>1-10</v>
      </c>
      <c r="E2816" s="391">
        <f t="shared" si="8446"/>
        <v>10</v>
      </c>
      <c r="F2816" s="391" t="str">
        <f t="shared" ref="F2816:G2816" si="8447">F2815</f>
        <v>marine water</v>
      </c>
      <c r="G2816" s="401" t="str">
        <f t="shared" si="8447"/>
        <v>DE: PBSeT fiber 1-10 mm (emission to marine water)</v>
      </c>
      <c r="H2816" s="465">
        <v>0</v>
      </c>
      <c r="I2816" s="394" t="s">
        <v>1097</v>
      </c>
      <c r="J2816" s="635"/>
      <c r="K2816" s="389">
        <v>2.0007669930984768</v>
      </c>
      <c r="L2816" s="536"/>
      <c r="M2816" s="509">
        <f t="shared" si="8266"/>
        <v>1000</v>
      </c>
      <c r="N2816" s="646"/>
      <c r="O2816" s="626"/>
      <c r="P2816" s="629"/>
      <c r="Q2816" s="629"/>
    </row>
    <row r="2817" spans="1:17" ht="15.75" hidden="1" thickBot="1">
      <c r="A2817" s="390" t="str">
        <f t="shared" ref="A2817:B2817" si="8448">A2814</f>
        <v>PBSeT</v>
      </c>
      <c r="B2817" s="391" t="str">
        <f t="shared" si="8448"/>
        <v>fiber</v>
      </c>
      <c r="C2817" s="391">
        <f t="shared" ref="C2817" si="8449">C2816</f>
        <v>4</v>
      </c>
      <c r="D2817" s="391" t="str">
        <f t="shared" ref="D2817:E2817" si="8450">D2814</f>
        <v>1-10</v>
      </c>
      <c r="E2817" s="391">
        <f t="shared" si="8450"/>
        <v>10</v>
      </c>
      <c r="F2817" s="391" t="str">
        <f t="shared" ref="F2817:G2817" si="8451">F2816</f>
        <v>marine water</v>
      </c>
      <c r="G2817" s="401" t="str">
        <f t="shared" si="8451"/>
        <v>DE: PBSeT fiber 1-10 mm (emission to marine water)</v>
      </c>
      <c r="H2817" s="465">
        <v>0</v>
      </c>
      <c r="I2817" s="394" t="s">
        <v>1162</v>
      </c>
      <c r="J2817" s="635"/>
      <c r="K2817" s="389">
        <v>2.13</v>
      </c>
      <c r="L2817" s="536"/>
      <c r="M2817" s="509">
        <f t="shared" si="8266"/>
        <v>1000</v>
      </c>
      <c r="N2817" s="646"/>
      <c r="O2817" s="626"/>
      <c r="P2817" s="629"/>
      <c r="Q2817" s="629"/>
    </row>
    <row r="2818" spans="1:17" ht="15.75" hidden="1" thickBot="1">
      <c r="A2818" s="390" t="str">
        <f t="shared" ref="A2818:B2818" si="8452">A2815</f>
        <v>PBSeT</v>
      </c>
      <c r="B2818" s="391" t="str">
        <f t="shared" si="8452"/>
        <v>fiber</v>
      </c>
      <c r="C2818" s="391">
        <f t="shared" ref="C2818" si="8453">C2817</f>
        <v>4</v>
      </c>
      <c r="D2818" s="391" t="str">
        <f t="shared" ref="D2818:E2818" si="8454">D2815</f>
        <v>1-10</v>
      </c>
      <c r="E2818" s="391">
        <f t="shared" si="8454"/>
        <v>10</v>
      </c>
      <c r="F2818" s="391" t="str">
        <f t="shared" ref="F2818:G2818" si="8455">F2817</f>
        <v>marine water</v>
      </c>
      <c r="G2818" s="401" t="str">
        <f t="shared" si="8455"/>
        <v>DE: PBSeT fiber 1-10 mm (emission to marine water)</v>
      </c>
      <c r="H2818" s="465">
        <v>1</v>
      </c>
      <c r="I2818" s="394" t="s">
        <v>1146</v>
      </c>
      <c r="J2818" s="635"/>
      <c r="K2818" s="389">
        <v>2.13</v>
      </c>
      <c r="L2818" s="536"/>
      <c r="M2818" s="509">
        <f t="shared" si="8266"/>
        <v>1000</v>
      </c>
      <c r="N2818" s="646"/>
      <c r="O2818" s="626"/>
      <c r="P2818" s="629"/>
      <c r="Q2818" s="629"/>
    </row>
    <row r="2819" spans="1:17" ht="15.75" hidden="1" thickBot="1">
      <c r="A2819" s="390" t="str">
        <f t="shared" ref="A2819:B2819" si="8456">A2816</f>
        <v>PBSeT</v>
      </c>
      <c r="B2819" s="391" t="str">
        <f t="shared" si="8456"/>
        <v>fiber</v>
      </c>
      <c r="C2819" s="391">
        <f t="shared" ref="C2819" si="8457">C2818</f>
        <v>4</v>
      </c>
      <c r="D2819" s="391" t="str">
        <f t="shared" ref="D2819:E2819" si="8458">D2816</f>
        <v>1-10</v>
      </c>
      <c r="E2819" s="391">
        <f t="shared" si="8458"/>
        <v>10</v>
      </c>
      <c r="F2819" s="391" t="str">
        <f t="shared" ref="F2819:G2819" si="8459">F2818</f>
        <v>marine water</v>
      </c>
      <c r="G2819" s="401" t="str">
        <f t="shared" si="8459"/>
        <v>DE: PBSeT fiber 1-10 mm (emission to marine water)</v>
      </c>
      <c r="H2819" s="465">
        <v>0</v>
      </c>
      <c r="I2819" s="397" t="s">
        <v>1034</v>
      </c>
      <c r="J2819" s="654"/>
      <c r="K2819" s="398" t="s">
        <v>596</v>
      </c>
      <c r="L2819" s="538"/>
      <c r="M2819" s="509">
        <f t="shared" si="8266"/>
        <v>0</v>
      </c>
      <c r="N2819" s="647"/>
      <c r="O2819" s="627"/>
      <c r="P2819" s="629"/>
      <c r="Q2819" s="629"/>
    </row>
    <row r="2820" spans="1:17" ht="15.75" hidden="1" thickBot="1">
      <c r="A2820" s="390" t="str">
        <f t="shared" ref="A2820:B2820" si="8460">A2817</f>
        <v>PBSeT</v>
      </c>
      <c r="B2820" s="391" t="str">
        <f t="shared" si="8460"/>
        <v>fiber</v>
      </c>
      <c r="C2820" s="391">
        <f t="shared" ref="C2820" si="8461">C2819</f>
        <v>4</v>
      </c>
      <c r="D2820" s="391" t="str">
        <f t="shared" ref="D2820:E2820" si="8462">D2817</f>
        <v>1-10</v>
      </c>
      <c r="E2820" s="391">
        <f t="shared" si="8462"/>
        <v>10</v>
      </c>
      <c r="F2820" s="400" t="s">
        <v>1057</v>
      </c>
      <c r="G2820" s="422" t="str">
        <f>CONCATENATE("DE: ",A2820," ",B2820," ",D2820," mm (emission to ",F2820,")")</f>
        <v>DE: PBSeT fiber 1-10 mm (emission to air)</v>
      </c>
      <c r="H2820" s="465">
        <v>0.94799999999999995</v>
      </c>
      <c r="I2820" s="388" t="s">
        <v>1153</v>
      </c>
      <c r="J2820" s="634">
        <v>0.22800000000000001</v>
      </c>
      <c r="K2820" s="389">
        <v>19.655684523809523</v>
      </c>
      <c r="L2820" s="536"/>
      <c r="M2820" s="509">
        <f t="shared" si="8266"/>
        <v>127.189668564922</v>
      </c>
      <c r="N2820" s="645">
        <f t="shared" si="8274"/>
        <v>172.57580579954606</v>
      </c>
      <c r="O2820" s="625"/>
      <c r="P2820" s="628">
        <f t="shared" si="8353"/>
        <v>100</v>
      </c>
      <c r="Q2820" s="628">
        <f t="shared" si="8424"/>
        <v>172.57580579954606</v>
      </c>
    </row>
    <row r="2821" spans="1:17" ht="15.75" hidden="1" thickBot="1">
      <c r="A2821" s="390" t="str">
        <f t="shared" ref="A2821:B2821" si="8463">A2818</f>
        <v>PBSeT</v>
      </c>
      <c r="B2821" s="391" t="str">
        <f t="shared" si="8463"/>
        <v>fiber</v>
      </c>
      <c r="C2821" s="391">
        <f t="shared" ref="C2821" si="8464">C2820</f>
        <v>4</v>
      </c>
      <c r="D2821" s="391" t="str">
        <f t="shared" ref="D2821:E2821" si="8465">D2818</f>
        <v>1-10</v>
      </c>
      <c r="E2821" s="391">
        <f t="shared" si="8465"/>
        <v>10</v>
      </c>
      <c r="F2821" s="391" t="str">
        <f t="shared" ref="F2821:G2821" si="8466">F2820</f>
        <v>air</v>
      </c>
      <c r="G2821" s="401" t="str">
        <f t="shared" si="8466"/>
        <v>DE: PBSeT fiber 1-10 mm (emission to air)</v>
      </c>
      <c r="H2821" s="465">
        <v>0</v>
      </c>
      <c r="I2821" s="394" t="s">
        <v>1097</v>
      </c>
      <c r="J2821" s="635"/>
      <c r="K2821" s="389">
        <v>2.0007669930984768</v>
      </c>
      <c r="L2821" s="536"/>
      <c r="M2821" s="509">
        <f t="shared" si="8266"/>
        <v>1000</v>
      </c>
      <c r="N2821" s="646"/>
      <c r="O2821" s="626"/>
      <c r="P2821" s="629"/>
      <c r="Q2821" s="629"/>
    </row>
    <row r="2822" spans="1:17" ht="15.75" hidden="1" thickBot="1">
      <c r="A2822" s="390" t="str">
        <f t="shared" ref="A2822:B2822" si="8467">A2819</f>
        <v>PBSeT</v>
      </c>
      <c r="B2822" s="391" t="str">
        <f t="shared" si="8467"/>
        <v>fiber</v>
      </c>
      <c r="C2822" s="391">
        <f t="shared" ref="C2822" si="8468">C2821</f>
        <v>4</v>
      </c>
      <c r="D2822" s="391" t="str">
        <f t="shared" ref="D2822:E2822" si="8469">D2819</f>
        <v>1-10</v>
      </c>
      <c r="E2822" s="391">
        <f t="shared" si="8469"/>
        <v>10</v>
      </c>
      <c r="F2822" s="391" t="str">
        <f t="shared" ref="F2822:G2822" si="8470">F2821</f>
        <v>air</v>
      </c>
      <c r="G2822" s="401" t="str">
        <f t="shared" si="8470"/>
        <v>DE: PBSeT fiber 1-10 mm (emission to air)</v>
      </c>
      <c r="H2822" s="465">
        <v>4.7E-2</v>
      </c>
      <c r="I2822" s="394" t="s">
        <v>1162</v>
      </c>
      <c r="J2822" s="635"/>
      <c r="K2822" s="389">
        <v>2.13</v>
      </c>
      <c r="L2822" s="536"/>
      <c r="M2822" s="509">
        <f t="shared" ref="M2822:M2885" si="8471">IFERROR(IF(K2822="--",0,IF(E2822*1000/K2822*(1-0.5)^(C2822/2)&gt;1000,1000,E2822*1000/K2822*(1-0.5)^(C2822/2))),1000)</f>
        <v>1000</v>
      </c>
      <c r="N2822" s="646"/>
      <c r="O2822" s="626"/>
      <c r="P2822" s="629"/>
      <c r="Q2822" s="629"/>
    </row>
    <row r="2823" spans="1:17" ht="15.75" hidden="1" thickBot="1">
      <c r="A2823" s="390" t="str">
        <f t="shared" ref="A2823:B2823" si="8472">A2820</f>
        <v>PBSeT</v>
      </c>
      <c r="B2823" s="391" t="str">
        <f t="shared" si="8472"/>
        <v>fiber</v>
      </c>
      <c r="C2823" s="391">
        <f t="shared" ref="C2823" si="8473">C2822</f>
        <v>4</v>
      </c>
      <c r="D2823" s="391" t="str">
        <f t="shared" ref="D2823:E2823" si="8474">D2820</f>
        <v>1-10</v>
      </c>
      <c r="E2823" s="391">
        <f t="shared" si="8474"/>
        <v>10</v>
      </c>
      <c r="F2823" s="391" t="str">
        <f t="shared" ref="F2823:G2823" si="8475">F2822</f>
        <v>air</v>
      </c>
      <c r="G2823" s="401" t="str">
        <f t="shared" si="8475"/>
        <v>DE: PBSeT fiber 1-10 mm (emission to air)</v>
      </c>
      <c r="H2823" s="465">
        <v>5.0000000000000001E-3</v>
      </c>
      <c r="I2823" s="394" t="s">
        <v>1146</v>
      </c>
      <c r="J2823" s="635"/>
      <c r="K2823" s="389">
        <v>2.13</v>
      </c>
      <c r="L2823" s="536"/>
      <c r="M2823" s="509">
        <f t="shared" si="8471"/>
        <v>1000</v>
      </c>
      <c r="N2823" s="646"/>
      <c r="O2823" s="626"/>
      <c r="P2823" s="629"/>
      <c r="Q2823" s="629"/>
    </row>
    <row r="2824" spans="1:17" ht="15.75" hidden="1" thickBot="1">
      <c r="A2824" s="452" t="str">
        <f t="shared" ref="A2824:B2824" si="8476">A2819</f>
        <v>PBSeT</v>
      </c>
      <c r="B2824" s="453" t="str">
        <f t="shared" si="8476"/>
        <v>fiber</v>
      </c>
      <c r="C2824" s="453">
        <f t="shared" ref="C2824" si="8477">C2823</f>
        <v>4</v>
      </c>
      <c r="D2824" s="453" t="str">
        <f t="shared" ref="D2824:E2824" si="8478">D2819</f>
        <v>1-10</v>
      </c>
      <c r="E2824" s="453">
        <f t="shared" si="8478"/>
        <v>10</v>
      </c>
      <c r="F2824" s="453" t="str">
        <f t="shared" ref="F2824:G2824" si="8479">F2823</f>
        <v>air</v>
      </c>
      <c r="G2824" s="454" t="str">
        <f t="shared" si="8479"/>
        <v>DE: PBSeT fiber 1-10 mm (emission to air)</v>
      </c>
      <c r="H2824" s="473">
        <v>0</v>
      </c>
      <c r="I2824" s="479" t="s">
        <v>1034</v>
      </c>
      <c r="J2824" s="636"/>
      <c r="K2824" s="457" t="s">
        <v>596</v>
      </c>
      <c r="L2824" s="543"/>
      <c r="M2824" s="509">
        <f t="shared" si="8471"/>
        <v>0</v>
      </c>
      <c r="N2824" s="647"/>
      <c r="O2824" s="627"/>
      <c r="P2824" s="629"/>
      <c r="Q2824" s="629"/>
    </row>
    <row r="2825" spans="1:17" ht="15.75" hidden="1" thickBot="1">
      <c r="A2825" s="381" t="s">
        <v>1077</v>
      </c>
      <c r="B2825" s="382" t="s">
        <v>1152</v>
      </c>
      <c r="C2825" s="383">
        <v>6</v>
      </c>
      <c r="D2825" s="475" t="s">
        <v>1018</v>
      </c>
      <c r="E2825" s="384">
        <v>0.1</v>
      </c>
      <c r="F2825" s="385" t="s">
        <v>1019</v>
      </c>
      <c r="G2825" s="386" t="str">
        <f>CONCATENATE("DE: ",A2825," ",B2825," ",D2825," mm (emission to ",F2825,")")</f>
        <v>DE: PBSeT particle 0,01-0,1 mm (emission to soil)</v>
      </c>
      <c r="H2825" s="466">
        <v>0.97</v>
      </c>
      <c r="I2825" s="388" t="s">
        <v>1153</v>
      </c>
      <c r="J2825" s="632">
        <v>0.22800000000000001</v>
      </c>
      <c r="K2825" s="389">
        <v>19.655684523809523</v>
      </c>
      <c r="L2825" s="536"/>
      <c r="M2825" s="509">
        <f t="shared" si="8471"/>
        <v>0.63594834282460999</v>
      </c>
      <c r="N2825" s="645">
        <f t="shared" ref="N2825:N2885" si="8480">IFERROR(H2825*M2825+H2826*M2826+H2827*M2827+H2828*M2828+H2829*M2829,"N.A.")</f>
        <v>0.79292623056804068</v>
      </c>
      <c r="O2825" s="625"/>
      <c r="P2825" s="628">
        <f t="shared" si="8353"/>
        <v>0.79292623056804068</v>
      </c>
      <c r="Q2825" s="628">
        <f t="shared" si="8424"/>
        <v>0.79292623056804068</v>
      </c>
    </row>
    <row r="2826" spans="1:17" ht="15.75" hidden="1" thickBot="1">
      <c r="A2826" s="390" t="str">
        <f>A2825</f>
        <v>PBSeT</v>
      </c>
      <c r="B2826" s="391" t="str">
        <f>B2825</f>
        <v>particle</v>
      </c>
      <c r="C2826" s="391">
        <f t="shared" ref="C2826:G2826" si="8481">C2825</f>
        <v>6</v>
      </c>
      <c r="D2826" s="391" t="str">
        <f t="shared" si="8481"/>
        <v>0,01-0,1</v>
      </c>
      <c r="E2826" s="391">
        <f t="shared" si="8481"/>
        <v>0.1</v>
      </c>
      <c r="F2826" s="391" t="str">
        <f t="shared" si="8481"/>
        <v>soil</v>
      </c>
      <c r="G2826" s="392" t="str">
        <f t="shared" si="8481"/>
        <v>DE: PBSeT particle 0,01-0,1 mm (emission to soil)</v>
      </c>
      <c r="H2826" s="465">
        <v>0</v>
      </c>
      <c r="I2826" s="394" t="s">
        <v>1097</v>
      </c>
      <c r="J2826" s="632"/>
      <c r="K2826" s="395">
        <v>2.0007669930984768</v>
      </c>
      <c r="L2826" s="537"/>
      <c r="M2826" s="509">
        <f t="shared" si="8471"/>
        <v>6.2476040653999112</v>
      </c>
      <c r="N2826" s="646"/>
      <c r="O2826" s="626"/>
      <c r="P2826" s="629"/>
      <c r="Q2826" s="629"/>
    </row>
    <row r="2827" spans="1:17" ht="15.75" hidden="1" thickBot="1">
      <c r="A2827" s="390" t="str">
        <f t="shared" ref="A2827:G2827" si="8482">A2826</f>
        <v>PBSeT</v>
      </c>
      <c r="B2827" s="391" t="str">
        <f t="shared" si="8482"/>
        <v>particle</v>
      </c>
      <c r="C2827" s="391">
        <f t="shared" si="8482"/>
        <v>6</v>
      </c>
      <c r="D2827" s="391" t="str">
        <f t="shared" si="8482"/>
        <v>0,01-0,1</v>
      </c>
      <c r="E2827" s="391">
        <f t="shared" si="8482"/>
        <v>0.1</v>
      </c>
      <c r="F2827" s="391" t="str">
        <f t="shared" si="8482"/>
        <v>soil</v>
      </c>
      <c r="G2827" s="392" t="str">
        <f t="shared" si="8482"/>
        <v>DE: PBSeT particle 0,01-0,1 mm (emission to soil)</v>
      </c>
      <c r="H2827" s="465">
        <v>2.7E-2</v>
      </c>
      <c r="I2827" s="394" t="s">
        <v>1162</v>
      </c>
      <c r="J2827" s="632"/>
      <c r="K2827" s="395">
        <v>2.13</v>
      </c>
      <c r="L2827" s="537"/>
      <c r="M2827" s="509">
        <f t="shared" si="8471"/>
        <v>5.868544600938967</v>
      </c>
      <c r="N2827" s="646"/>
      <c r="O2827" s="626"/>
      <c r="P2827" s="629"/>
      <c r="Q2827" s="629"/>
    </row>
    <row r="2828" spans="1:17" ht="15.75" hidden="1" thickBot="1">
      <c r="A2828" s="390" t="str">
        <f t="shared" ref="A2828:G2828" si="8483">A2827</f>
        <v>PBSeT</v>
      </c>
      <c r="B2828" s="391" t="str">
        <f t="shared" si="8483"/>
        <v>particle</v>
      </c>
      <c r="C2828" s="391">
        <f t="shared" si="8483"/>
        <v>6</v>
      </c>
      <c r="D2828" s="391" t="str">
        <f t="shared" si="8483"/>
        <v>0,01-0,1</v>
      </c>
      <c r="E2828" s="391">
        <f t="shared" si="8483"/>
        <v>0.1</v>
      </c>
      <c r="F2828" s="391" t="str">
        <f t="shared" si="8483"/>
        <v>soil</v>
      </c>
      <c r="G2828" s="392" t="str">
        <f t="shared" si="8483"/>
        <v>DE: PBSeT particle 0,01-0,1 mm (emission to soil)</v>
      </c>
      <c r="H2828" s="465">
        <v>3.0000000000000001E-3</v>
      </c>
      <c r="I2828" s="394" t="s">
        <v>1146</v>
      </c>
      <c r="J2828" s="632"/>
      <c r="K2828" s="395">
        <v>2.13</v>
      </c>
      <c r="L2828" s="537"/>
      <c r="M2828" s="509">
        <f t="shared" si="8471"/>
        <v>5.868544600938967</v>
      </c>
      <c r="N2828" s="646"/>
      <c r="O2828" s="626"/>
      <c r="P2828" s="629"/>
      <c r="Q2828" s="629"/>
    </row>
    <row r="2829" spans="1:17" ht="15.75" hidden="1" thickBot="1">
      <c r="A2829" s="390" t="str">
        <f>A2826</f>
        <v>PBSeT</v>
      </c>
      <c r="B2829" s="391" t="str">
        <f>B2826</f>
        <v>particle</v>
      </c>
      <c r="C2829" s="391">
        <f t="shared" ref="C2829" si="8484">C2828</f>
        <v>6</v>
      </c>
      <c r="D2829" s="391" t="str">
        <f>D2826</f>
        <v>0,01-0,1</v>
      </c>
      <c r="E2829" s="391">
        <f>E2826</f>
        <v>0.1</v>
      </c>
      <c r="F2829" s="391" t="str">
        <f>F2826</f>
        <v>soil</v>
      </c>
      <c r="G2829" s="396" t="str">
        <f t="shared" ref="G2829" si="8485">G2828</f>
        <v>DE: PBSeT particle 0,01-0,1 mm (emission to soil)</v>
      </c>
      <c r="H2829" s="465">
        <v>0</v>
      </c>
      <c r="I2829" s="397" t="s">
        <v>1034</v>
      </c>
      <c r="J2829" s="633"/>
      <c r="K2829" s="398" t="s">
        <v>596</v>
      </c>
      <c r="L2829" s="538"/>
      <c r="M2829" s="509">
        <f t="shared" si="8471"/>
        <v>0</v>
      </c>
      <c r="N2829" s="647"/>
      <c r="O2829" s="627"/>
      <c r="P2829" s="629"/>
      <c r="Q2829" s="629"/>
    </row>
    <row r="2830" spans="1:17" ht="15.75" hidden="1" thickBot="1">
      <c r="A2830" s="390" t="str">
        <f t="shared" ref="A2830:B2830" si="8486">A2827</f>
        <v>PBSeT</v>
      </c>
      <c r="B2830" s="391" t="str">
        <f t="shared" si="8486"/>
        <v>particle</v>
      </c>
      <c r="C2830" s="391">
        <f t="shared" ref="C2830" si="8487">C2829</f>
        <v>6</v>
      </c>
      <c r="D2830" s="399" t="str">
        <f t="shared" ref="D2830:E2830" si="8488">D2827</f>
        <v>0,01-0,1</v>
      </c>
      <c r="E2830" s="391">
        <f t="shared" si="8488"/>
        <v>0.1</v>
      </c>
      <c r="F2830" s="400" t="s">
        <v>1147</v>
      </c>
      <c r="G2830" s="386" t="str">
        <f>CONCATENATE("DE: ",A2830," ",B2830," ",D2830," mm (emission to ",F2830,")")</f>
        <v>DE: PBSeT particle 0,01-0,1 mm (emission to fresh water)</v>
      </c>
      <c r="H2830" s="466">
        <v>0</v>
      </c>
      <c r="I2830" s="388" t="s">
        <v>1153</v>
      </c>
      <c r="J2830" s="634">
        <v>0.22800000000000001</v>
      </c>
      <c r="K2830" s="389">
        <v>19.655684523809523</v>
      </c>
      <c r="L2830" s="536"/>
      <c r="M2830" s="509">
        <f t="shared" si="8471"/>
        <v>0.63594834282460999</v>
      </c>
      <c r="N2830" s="645">
        <f t="shared" si="8480"/>
        <v>5.868544600938967</v>
      </c>
      <c r="O2830" s="625"/>
      <c r="P2830" s="628">
        <f t="shared" si="8353"/>
        <v>5.868544600938967</v>
      </c>
      <c r="Q2830" s="628">
        <f t="shared" si="8424"/>
        <v>5.868544600938967</v>
      </c>
    </row>
    <row r="2831" spans="1:17" ht="15.75" hidden="1" thickBot="1">
      <c r="A2831" s="390" t="str">
        <f t="shared" ref="A2831:B2831" si="8489">A2828</f>
        <v>PBSeT</v>
      </c>
      <c r="B2831" s="391" t="str">
        <f t="shared" si="8489"/>
        <v>particle</v>
      </c>
      <c r="C2831" s="391">
        <f t="shared" ref="C2831" si="8490">C2830</f>
        <v>6</v>
      </c>
      <c r="D2831" s="391" t="str">
        <f t="shared" ref="D2831:E2831" si="8491">D2828</f>
        <v>0,01-0,1</v>
      </c>
      <c r="E2831" s="391">
        <f t="shared" si="8491"/>
        <v>0.1</v>
      </c>
      <c r="F2831" s="391" t="str">
        <f t="shared" ref="F2831:G2831" si="8492">F2830</f>
        <v>fresh water</v>
      </c>
      <c r="G2831" s="401" t="str">
        <f t="shared" si="8492"/>
        <v>DE: PBSeT particle 0,01-0,1 mm (emission to fresh water)</v>
      </c>
      <c r="H2831" s="465">
        <v>0</v>
      </c>
      <c r="I2831" s="394" t="s">
        <v>1097</v>
      </c>
      <c r="J2831" s="635"/>
      <c r="K2831" s="389">
        <v>2.0007669930984768</v>
      </c>
      <c r="L2831" s="536"/>
      <c r="M2831" s="509">
        <f t="shared" si="8471"/>
        <v>6.2476040653999112</v>
      </c>
      <c r="N2831" s="646"/>
      <c r="O2831" s="626"/>
      <c r="P2831" s="629"/>
      <c r="Q2831" s="629"/>
    </row>
    <row r="2832" spans="1:17" ht="15.75" hidden="1" thickBot="1">
      <c r="A2832" s="390" t="str">
        <f t="shared" ref="A2832:B2832" si="8493">A2829</f>
        <v>PBSeT</v>
      </c>
      <c r="B2832" s="391" t="str">
        <f t="shared" si="8493"/>
        <v>particle</v>
      </c>
      <c r="C2832" s="391">
        <f t="shared" ref="C2832" si="8494">C2831</f>
        <v>6</v>
      </c>
      <c r="D2832" s="391" t="str">
        <f t="shared" ref="D2832:E2832" si="8495">D2829</f>
        <v>0,01-0,1</v>
      </c>
      <c r="E2832" s="391">
        <f t="shared" si="8495"/>
        <v>0.1</v>
      </c>
      <c r="F2832" s="391" t="str">
        <f t="shared" ref="F2832:G2832" si="8496">F2831</f>
        <v>fresh water</v>
      </c>
      <c r="G2832" s="401" t="str">
        <f t="shared" si="8496"/>
        <v>DE: PBSeT particle 0,01-0,1 mm (emission to fresh water)</v>
      </c>
      <c r="H2832" s="465">
        <v>0.89</v>
      </c>
      <c r="I2832" s="394" t="s">
        <v>1162</v>
      </c>
      <c r="J2832" s="635"/>
      <c r="K2832" s="389">
        <v>2.13</v>
      </c>
      <c r="L2832" s="536"/>
      <c r="M2832" s="509">
        <f t="shared" si="8471"/>
        <v>5.868544600938967</v>
      </c>
      <c r="N2832" s="646"/>
      <c r="O2832" s="626"/>
      <c r="P2832" s="629"/>
      <c r="Q2832" s="629"/>
    </row>
    <row r="2833" spans="1:17" ht="15.75" hidden="1" thickBot="1">
      <c r="A2833" s="390" t="str">
        <f t="shared" ref="A2833:B2833" si="8497">A2830</f>
        <v>PBSeT</v>
      </c>
      <c r="B2833" s="391" t="str">
        <f t="shared" si="8497"/>
        <v>particle</v>
      </c>
      <c r="C2833" s="391">
        <f t="shared" ref="C2833" si="8498">C2832</f>
        <v>6</v>
      </c>
      <c r="D2833" s="391" t="str">
        <f t="shared" ref="D2833:E2833" si="8499">D2830</f>
        <v>0,01-0,1</v>
      </c>
      <c r="E2833" s="391">
        <f t="shared" si="8499"/>
        <v>0.1</v>
      </c>
      <c r="F2833" s="391" t="str">
        <f t="shared" ref="F2833:G2833" si="8500">F2832</f>
        <v>fresh water</v>
      </c>
      <c r="G2833" s="401" t="str">
        <f t="shared" si="8500"/>
        <v>DE: PBSeT particle 0,01-0,1 mm (emission to fresh water)</v>
      </c>
      <c r="H2833" s="465">
        <v>0.11</v>
      </c>
      <c r="I2833" s="394" t="s">
        <v>1146</v>
      </c>
      <c r="J2833" s="635"/>
      <c r="K2833" s="389">
        <v>2.13</v>
      </c>
      <c r="L2833" s="536"/>
      <c r="M2833" s="509">
        <f t="shared" si="8471"/>
        <v>5.868544600938967</v>
      </c>
      <c r="N2833" s="646"/>
      <c r="O2833" s="626"/>
      <c r="P2833" s="629"/>
      <c r="Q2833" s="629"/>
    </row>
    <row r="2834" spans="1:17" ht="15.75" hidden="1" thickBot="1">
      <c r="A2834" s="390" t="str">
        <f t="shared" ref="A2834:B2834" si="8501">A2831</f>
        <v>PBSeT</v>
      </c>
      <c r="B2834" s="391" t="str">
        <f t="shared" si="8501"/>
        <v>particle</v>
      </c>
      <c r="C2834" s="391">
        <f t="shared" ref="C2834" si="8502">C2833</f>
        <v>6</v>
      </c>
      <c r="D2834" s="391" t="str">
        <f t="shared" ref="D2834:E2834" si="8503">D2831</f>
        <v>0,01-0,1</v>
      </c>
      <c r="E2834" s="391">
        <f t="shared" si="8503"/>
        <v>0.1</v>
      </c>
      <c r="F2834" s="402" t="str">
        <f>F2831</f>
        <v>fresh water</v>
      </c>
      <c r="G2834" s="401" t="str">
        <f t="shared" ref="G2834" si="8504">G2833</f>
        <v>DE: PBSeT particle 0,01-0,1 mm (emission to fresh water)</v>
      </c>
      <c r="H2834" s="465">
        <v>0</v>
      </c>
      <c r="I2834" s="397" t="s">
        <v>1034</v>
      </c>
      <c r="J2834" s="654"/>
      <c r="K2834" s="398" t="s">
        <v>596</v>
      </c>
      <c r="L2834" s="538"/>
      <c r="M2834" s="509">
        <f t="shared" si="8471"/>
        <v>0</v>
      </c>
      <c r="N2834" s="647"/>
      <c r="O2834" s="627"/>
      <c r="P2834" s="629"/>
      <c r="Q2834" s="629"/>
    </row>
    <row r="2835" spans="1:17" ht="15.75" hidden="1" thickBot="1">
      <c r="A2835" s="390" t="str">
        <f t="shared" ref="A2835:B2835" si="8505">A2832</f>
        <v>PBSeT</v>
      </c>
      <c r="B2835" s="391" t="str">
        <f t="shared" si="8505"/>
        <v>particle</v>
      </c>
      <c r="C2835" s="391">
        <f t="shared" ref="C2835" si="8506">C2834</f>
        <v>6</v>
      </c>
      <c r="D2835" s="391" t="str">
        <f t="shared" ref="D2835:E2835" si="8507">D2832</f>
        <v>0,01-0,1</v>
      </c>
      <c r="E2835" s="391">
        <f t="shared" si="8507"/>
        <v>0.1</v>
      </c>
      <c r="F2835" s="385" t="s">
        <v>1097</v>
      </c>
      <c r="G2835" s="422" t="str">
        <f>CONCATENATE("DE: ",A2835," ",B2835," ",D2835," mm (emission to ",F2835,")")</f>
        <v>DE: PBSeT particle 0,01-0,1 mm (emission to marine water)</v>
      </c>
      <c r="H2835" s="465">
        <v>0</v>
      </c>
      <c r="I2835" s="388" t="s">
        <v>1153</v>
      </c>
      <c r="J2835" s="634">
        <v>0.22800000000000001</v>
      </c>
      <c r="K2835" s="389">
        <v>19.655684523809523</v>
      </c>
      <c r="L2835" s="536"/>
      <c r="M2835" s="509">
        <f t="shared" si="8471"/>
        <v>0.63594834282460999</v>
      </c>
      <c r="N2835" s="645">
        <f t="shared" si="8480"/>
        <v>5.868544600938967</v>
      </c>
      <c r="O2835" s="625"/>
      <c r="P2835" s="628">
        <f t="shared" si="8353"/>
        <v>5.868544600938967</v>
      </c>
      <c r="Q2835" s="628">
        <f t="shared" si="8424"/>
        <v>5.868544600938967</v>
      </c>
    </row>
    <row r="2836" spans="1:17" ht="15.75" hidden="1" thickBot="1">
      <c r="A2836" s="390" t="str">
        <f t="shared" ref="A2836:B2836" si="8508">A2833</f>
        <v>PBSeT</v>
      </c>
      <c r="B2836" s="391" t="str">
        <f t="shared" si="8508"/>
        <v>particle</v>
      </c>
      <c r="C2836" s="391">
        <f t="shared" ref="C2836" si="8509">C2835</f>
        <v>6</v>
      </c>
      <c r="D2836" s="391" t="str">
        <f t="shared" ref="D2836:E2836" si="8510">D2833</f>
        <v>0,01-0,1</v>
      </c>
      <c r="E2836" s="391">
        <f t="shared" si="8510"/>
        <v>0.1</v>
      </c>
      <c r="F2836" s="391" t="str">
        <f t="shared" ref="F2836:G2836" si="8511">F2835</f>
        <v>marine water</v>
      </c>
      <c r="G2836" s="401" t="str">
        <f t="shared" si="8511"/>
        <v>DE: PBSeT particle 0,01-0,1 mm (emission to marine water)</v>
      </c>
      <c r="H2836" s="465">
        <v>0</v>
      </c>
      <c r="I2836" s="394" t="s">
        <v>1097</v>
      </c>
      <c r="J2836" s="635"/>
      <c r="K2836" s="389">
        <v>2.0007669930984768</v>
      </c>
      <c r="L2836" s="536"/>
      <c r="M2836" s="509">
        <f t="shared" si="8471"/>
        <v>6.2476040653999112</v>
      </c>
      <c r="N2836" s="646"/>
      <c r="O2836" s="626"/>
      <c r="P2836" s="629"/>
      <c r="Q2836" s="629"/>
    </row>
    <row r="2837" spans="1:17" ht="15.75" hidden="1" thickBot="1">
      <c r="A2837" s="390" t="str">
        <f t="shared" ref="A2837:B2837" si="8512">A2834</f>
        <v>PBSeT</v>
      </c>
      <c r="B2837" s="391" t="str">
        <f t="shared" si="8512"/>
        <v>particle</v>
      </c>
      <c r="C2837" s="391">
        <f t="shared" ref="C2837" si="8513">C2836</f>
        <v>6</v>
      </c>
      <c r="D2837" s="391" t="str">
        <f t="shared" ref="D2837:E2837" si="8514">D2834</f>
        <v>0,01-0,1</v>
      </c>
      <c r="E2837" s="391">
        <f t="shared" si="8514"/>
        <v>0.1</v>
      </c>
      <c r="F2837" s="391" t="str">
        <f t="shared" ref="F2837:G2837" si="8515">F2836</f>
        <v>marine water</v>
      </c>
      <c r="G2837" s="401" t="str">
        <f t="shared" si="8515"/>
        <v>DE: PBSeT particle 0,01-0,1 mm (emission to marine water)</v>
      </c>
      <c r="H2837" s="465">
        <v>0</v>
      </c>
      <c r="I2837" s="394" t="s">
        <v>1162</v>
      </c>
      <c r="J2837" s="635"/>
      <c r="K2837" s="389">
        <v>2.13</v>
      </c>
      <c r="L2837" s="536"/>
      <c r="M2837" s="509">
        <f t="shared" si="8471"/>
        <v>5.868544600938967</v>
      </c>
      <c r="N2837" s="646"/>
      <c r="O2837" s="626"/>
      <c r="P2837" s="629"/>
      <c r="Q2837" s="629"/>
    </row>
    <row r="2838" spans="1:17" ht="15.75" hidden="1" thickBot="1">
      <c r="A2838" s="390" t="str">
        <f t="shared" ref="A2838:B2838" si="8516">A2835</f>
        <v>PBSeT</v>
      </c>
      <c r="B2838" s="391" t="str">
        <f t="shared" si="8516"/>
        <v>particle</v>
      </c>
      <c r="C2838" s="391">
        <f t="shared" ref="C2838" si="8517">C2837</f>
        <v>6</v>
      </c>
      <c r="D2838" s="391" t="str">
        <f t="shared" ref="D2838:E2838" si="8518">D2835</f>
        <v>0,01-0,1</v>
      </c>
      <c r="E2838" s="391">
        <f t="shared" si="8518"/>
        <v>0.1</v>
      </c>
      <c r="F2838" s="391" t="str">
        <f t="shared" ref="F2838:G2838" si="8519">F2837</f>
        <v>marine water</v>
      </c>
      <c r="G2838" s="401" t="str">
        <f t="shared" si="8519"/>
        <v>DE: PBSeT particle 0,01-0,1 mm (emission to marine water)</v>
      </c>
      <c r="H2838" s="465">
        <v>1</v>
      </c>
      <c r="I2838" s="394" t="s">
        <v>1146</v>
      </c>
      <c r="J2838" s="635"/>
      <c r="K2838" s="389">
        <v>2.13</v>
      </c>
      <c r="L2838" s="536"/>
      <c r="M2838" s="509">
        <f t="shared" si="8471"/>
        <v>5.868544600938967</v>
      </c>
      <c r="N2838" s="646"/>
      <c r="O2838" s="626"/>
      <c r="P2838" s="629"/>
      <c r="Q2838" s="629"/>
    </row>
    <row r="2839" spans="1:17" ht="15.75" hidden="1" thickBot="1">
      <c r="A2839" s="390" t="str">
        <f t="shared" ref="A2839:B2839" si="8520">A2836</f>
        <v>PBSeT</v>
      </c>
      <c r="B2839" s="391" t="str">
        <f t="shared" si="8520"/>
        <v>particle</v>
      </c>
      <c r="C2839" s="391">
        <f t="shared" ref="C2839" si="8521">C2838</f>
        <v>6</v>
      </c>
      <c r="D2839" s="391" t="str">
        <f t="shared" ref="D2839:E2839" si="8522">D2836</f>
        <v>0,01-0,1</v>
      </c>
      <c r="E2839" s="391">
        <f t="shared" si="8522"/>
        <v>0.1</v>
      </c>
      <c r="F2839" s="391" t="str">
        <f t="shared" ref="F2839:G2839" si="8523">F2838</f>
        <v>marine water</v>
      </c>
      <c r="G2839" s="401" t="str">
        <f t="shared" si="8523"/>
        <v>DE: PBSeT particle 0,01-0,1 mm (emission to marine water)</v>
      </c>
      <c r="H2839" s="465">
        <v>0</v>
      </c>
      <c r="I2839" s="397" t="s">
        <v>1034</v>
      </c>
      <c r="J2839" s="654"/>
      <c r="K2839" s="398" t="s">
        <v>596</v>
      </c>
      <c r="L2839" s="538"/>
      <c r="M2839" s="509">
        <f t="shared" si="8471"/>
        <v>0</v>
      </c>
      <c r="N2839" s="647"/>
      <c r="O2839" s="627"/>
      <c r="P2839" s="629"/>
      <c r="Q2839" s="629"/>
    </row>
    <row r="2840" spans="1:17" ht="15.75" hidden="1" thickBot="1">
      <c r="A2840" s="390" t="str">
        <f t="shared" ref="A2840:B2840" si="8524">A2837</f>
        <v>PBSeT</v>
      </c>
      <c r="B2840" s="391" t="str">
        <f t="shared" si="8524"/>
        <v>particle</v>
      </c>
      <c r="C2840" s="391">
        <f t="shared" ref="C2840" si="8525">C2839</f>
        <v>6</v>
      </c>
      <c r="D2840" s="391" t="str">
        <f t="shared" ref="D2840:E2840" si="8526">D2837</f>
        <v>0,01-0,1</v>
      </c>
      <c r="E2840" s="391">
        <f t="shared" si="8526"/>
        <v>0.1</v>
      </c>
      <c r="F2840" s="400" t="s">
        <v>1057</v>
      </c>
      <c r="G2840" s="422" t="str">
        <f>CONCATENATE("DE: ",A2840," ",B2840," ",D2840," mm (emission to ",F2840,")")</f>
        <v>DE: PBSeT particle 0,01-0,1 mm (emission to air)</v>
      </c>
      <c r="H2840" s="465">
        <v>0.94799999999999995</v>
      </c>
      <c r="I2840" s="388" t="s">
        <v>1153</v>
      </c>
      <c r="J2840" s="634">
        <v>0.22800000000000001</v>
      </c>
      <c r="K2840" s="389">
        <v>19.655684523809523</v>
      </c>
      <c r="L2840" s="536"/>
      <c r="M2840" s="509">
        <f t="shared" si="8471"/>
        <v>0.63594834282460999</v>
      </c>
      <c r="N2840" s="645">
        <f t="shared" si="8480"/>
        <v>0.90804334824655653</v>
      </c>
      <c r="O2840" s="625"/>
      <c r="P2840" s="628">
        <f t="shared" si="8353"/>
        <v>0.90804334824655653</v>
      </c>
      <c r="Q2840" s="628">
        <f t="shared" si="8424"/>
        <v>0.90804334824655653</v>
      </c>
    </row>
    <row r="2841" spans="1:17" ht="15.75" hidden="1" thickBot="1">
      <c r="A2841" s="390" t="str">
        <f t="shared" ref="A2841:B2841" si="8527">A2838</f>
        <v>PBSeT</v>
      </c>
      <c r="B2841" s="391" t="str">
        <f t="shared" si="8527"/>
        <v>particle</v>
      </c>
      <c r="C2841" s="391">
        <f t="shared" ref="C2841" si="8528">C2840</f>
        <v>6</v>
      </c>
      <c r="D2841" s="391" t="str">
        <f t="shared" ref="D2841:E2841" si="8529">D2838</f>
        <v>0,01-0,1</v>
      </c>
      <c r="E2841" s="391">
        <f t="shared" si="8529"/>
        <v>0.1</v>
      </c>
      <c r="F2841" s="391" t="str">
        <f t="shared" ref="F2841:G2841" si="8530">F2840</f>
        <v>air</v>
      </c>
      <c r="G2841" s="401" t="str">
        <f t="shared" si="8530"/>
        <v>DE: PBSeT particle 0,01-0,1 mm (emission to air)</v>
      </c>
      <c r="H2841" s="465">
        <v>0</v>
      </c>
      <c r="I2841" s="394" t="s">
        <v>1097</v>
      </c>
      <c r="J2841" s="635"/>
      <c r="K2841" s="389">
        <v>2.0007669930984768</v>
      </c>
      <c r="L2841" s="536"/>
      <c r="M2841" s="509">
        <f t="shared" si="8471"/>
        <v>6.2476040653999112</v>
      </c>
      <c r="N2841" s="646"/>
      <c r="O2841" s="626"/>
      <c r="P2841" s="629"/>
      <c r="Q2841" s="629"/>
    </row>
    <row r="2842" spans="1:17" ht="15.75" hidden="1" thickBot="1">
      <c r="A2842" s="390" t="str">
        <f t="shared" ref="A2842:B2842" si="8531">A2839</f>
        <v>PBSeT</v>
      </c>
      <c r="B2842" s="391" t="str">
        <f t="shared" si="8531"/>
        <v>particle</v>
      </c>
      <c r="C2842" s="391">
        <f t="shared" ref="C2842" si="8532">C2841</f>
        <v>6</v>
      </c>
      <c r="D2842" s="391" t="str">
        <f t="shared" ref="D2842:E2842" si="8533">D2839</f>
        <v>0,01-0,1</v>
      </c>
      <c r="E2842" s="391">
        <f t="shared" si="8533"/>
        <v>0.1</v>
      </c>
      <c r="F2842" s="391" t="str">
        <f t="shared" ref="F2842:G2842" si="8534">F2841</f>
        <v>air</v>
      </c>
      <c r="G2842" s="401" t="str">
        <f t="shared" si="8534"/>
        <v>DE: PBSeT particle 0,01-0,1 mm (emission to air)</v>
      </c>
      <c r="H2842" s="465">
        <v>4.7E-2</v>
      </c>
      <c r="I2842" s="394" t="s">
        <v>1162</v>
      </c>
      <c r="J2842" s="635"/>
      <c r="K2842" s="389">
        <v>2.13</v>
      </c>
      <c r="L2842" s="536"/>
      <c r="M2842" s="509">
        <f t="shared" si="8471"/>
        <v>5.868544600938967</v>
      </c>
      <c r="N2842" s="646"/>
      <c r="O2842" s="626"/>
      <c r="P2842" s="629"/>
      <c r="Q2842" s="629"/>
    </row>
    <row r="2843" spans="1:17" ht="15.75" hidden="1" thickBot="1">
      <c r="A2843" s="390" t="str">
        <f t="shared" ref="A2843:B2843" si="8535">A2840</f>
        <v>PBSeT</v>
      </c>
      <c r="B2843" s="391" t="str">
        <f t="shared" si="8535"/>
        <v>particle</v>
      </c>
      <c r="C2843" s="391">
        <f t="shared" ref="C2843" si="8536">C2842</f>
        <v>6</v>
      </c>
      <c r="D2843" s="391" t="str">
        <f t="shared" ref="D2843:E2843" si="8537">D2840</f>
        <v>0,01-0,1</v>
      </c>
      <c r="E2843" s="391">
        <f t="shared" si="8537"/>
        <v>0.1</v>
      </c>
      <c r="F2843" s="391" t="str">
        <f t="shared" ref="F2843:G2843" si="8538">F2842</f>
        <v>air</v>
      </c>
      <c r="G2843" s="401" t="str">
        <f t="shared" si="8538"/>
        <v>DE: PBSeT particle 0,01-0,1 mm (emission to air)</v>
      </c>
      <c r="H2843" s="465">
        <v>5.0000000000000001E-3</v>
      </c>
      <c r="I2843" s="394" t="s">
        <v>1146</v>
      </c>
      <c r="J2843" s="635"/>
      <c r="K2843" s="389">
        <v>2.13</v>
      </c>
      <c r="L2843" s="536"/>
      <c r="M2843" s="509">
        <f t="shared" si="8471"/>
        <v>5.868544600938967</v>
      </c>
      <c r="N2843" s="646"/>
      <c r="O2843" s="626"/>
      <c r="P2843" s="629"/>
      <c r="Q2843" s="629"/>
    </row>
    <row r="2844" spans="1:17" ht="15.75" hidden="1" thickBot="1">
      <c r="A2844" s="390" t="str">
        <f t="shared" ref="A2844:B2844" si="8539">A2839</f>
        <v>PBSeT</v>
      </c>
      <c r="B2844" s="391" t="str">
        <f t="shared" si="8539"/>
        <v>particle</v>
      </c>
      <c r="C2844" s="391">
        <f t="shared" ref="C2844" si="8540">C2843</f>
        <v>6</v>
      </c>
      <c r="D2844" s="391" t="str">
        <f t="shared" ref="D2844:E2844" si="8541">D2839</f>
        <v>0,01-0,1</v>
      </c>
      <c r="E2844" s="391">
        <f t="shared" si="8541"/>
        <v>0.1</v>
      </c>
      <c r="F2844" s="391" t="str">
        <f t="shared" ref="F2844:G2844" si="8542">F2843</f>
        <v>air</v>
      </c>
      <c r="G2844" s="401" t="str">
        <f t="shared" si="8542"/>
        <v>DE: PBSeT particle 0,01-0,1 mm (emission to air)</v>
      </c>
      <c r="H2844" s="471">
        <v>0</v>
      </c>
      <c r="I2844" s="422" t="s">
        <v>1034</v>
      </c>
      <c r="J2844" s="636"/>
      <c r="K2844" s="451" t="s">
        <v>596</v>
      </c>
      <c r="L2844" s="542"/>
      <c r="M2844" s="509">
        <f t="shared" si="8471"/>
        <v>0</v>
      </c>
      <c r="N2844" s="647"/>
      <c r="O2844" s="627"/>
      <c r="P2844" s="629"/>
      <c r="Q2844" s="629"/>
    </row>
    <row r="2845" spans="1:17" ht="15.75" hidden="1" thickBot="1">
      <c r="A2845" s="405" t="s">
        <v>1077</v>
      </c>
      <c r="B2845" s="406" t="s">
        <v>1152</v>
      </c>
      <c r="C2845" s="407">
        <v>6</v>
      </c>
      <c r="D2845" s="423" t="s">
        <v>1028</v>
      </c>
      <c r="E2845" s="408">
        <v>1</v>
      </c>
      <c r="F2845" s="424" t="s">
        <v>1019</v>
      </c>
      <c r="G2845" s="425" t="str">
        <f>CONCATENATE("DE: ",A2845," ",B2845," ",D2845," mm (emission to ",F2845,")")</f>
        <v>DE: PBSeT particle 0,1-1 mm (emission to soil)</v>
      </c>
      <c r="H2845" s="474">
        <v>0.97</v>
      </c>
      <c r="I2845" s="427" t="s">
        <v>1153</v>
      </c>
      <c r="J2845" s="632">
        <v>0.22800000000000001</v>
      </c>
      <c r="K2845" s="428">
        <v>19.655684523809523</v>
      </c>
      <c r="L2845" s="539"/>
      <c r="M2845" s="509">
        <f t="shared" si="8471"/>
        <v>6.3594834282460999</v>
      </c>
      <c r="N2845" s="645">
        <f t="shared" si="8480"/>
        <v>7.9292623056804068</v>
      </c>
      <c r="O2845" s="625"/>
      <c r="P2845" s="628">
        <f t="shared" si="8353"/>
        <v>7.9292623056804068</v>
      </c>
      <c r="Q2845" s="628">
        <f t="shared" si="8424"/>
        <v>7.9292623056804068</v>
      </c>
    </row>
    <row r="2846" spans="1:17" ht="15.75" hidden="1" thickBot="1">
      <c r="A2846" s="390" t="str">
        <f>A2845</f>
        <v>PBSeT</v>
      </c>
      <c r="B2846" s="391" t="str">
        <f>B2845</f>
        <v>particle</v>
      </c>
      <c r="C2846" s="391">
        <f t="shared" ref="C2846:G2846" si="8543">C2845</f>
        <v>6</v>
      </c>
      <c r="D2846" s="391" t="str">
        <f t="shared" si="8543"/>
        <v>0,1-1</v>
      </c>
      <c r="E2846" s="391">
        <f t="shared" si="8543"/>
        <v>1</v>
      </c>
      <c r="F2846" s="391" t="str">
        <f t="shared" si="8543"/>
        <v>soil</v>
      </c>
      <c r="G2846" s="392" t="str">
        <f t="shared" si="8543"/>
        <v>DE: PBSeT particle 0,1-1 mm (emission to soil)</v>
      </c>
      <c r="H2846" s="465">
        <v>0</v>
      </c>
      <c r="I2846" s="394" t="s">
        <v>1097</v>
      </c>
      <c r="J2846" s="632"/>
      <c r="K2846" s="395">
        <v>2.0007669930984768</v>
      </c>
      <c r="L2846" s="537"/>
      <c r="M2846" s="509">
        <f t="shared" si="8471"/>
        <v>62.476040653999114</v>
      </c>
      <c r="N2846" s="646"/>
      <c r="O2846" s="626"/>
      <c r="P2846" s="629"/>
      <c r="Q2846" s="629"/>
    </row>
    <row r="2847" spans="1:17" ht="15.75" hidden="1" thickBot="1">
      <c r="A2847" s="390" t="str">
        <f t="shared" ref="A2847:G2847" si="8544">A2846</f>
        <v>PBSeT</v>
      </c>
      <c r="B2847" s="391" t="str">
        <f t="shared" si="8544"/>
        <v>particle</v>
      </c>
      <c r="C2847" s="391">
        <f t="shared" si="8544"/>
        <v>6</v>
      </c>
      <c r="D2847" s="391" t="str">
        <f t="shared" si="8544"/>
        <v>0,1-1</v>
      </c>
      <c r="E2847" s="391">
        <f t="shared" si="8544"/>
        <v>1</v>
      </c>
      <c r="F2847" s="391" t="str">
        <f t="shared" si="8544"/>
        <v>soil</v>
      </c>
      <c r="G2847" s="392" t="str">
        <f t="shared" si="8544"/>
        <v>DE: PBSeT particle 0,1-1 mm (emission to soil)</v>
      </c>
      <c r="H2847" s="465">
        <v>2.7E-2</v>
      </c>
      <c r="I2847" s="394" t="s">
        <v>1162</v>
      </c>
      <c r="J2847" s="632"/>
      <c r="K2847" s="395">
        <v>2.13</v>
      </c>
      <c r="L2847" s="537"/>
      <c r="M2847" s="509">
        <f t="shared" si="8471"/>
        <v>58.685446009389672</v>
      </c>
      <c r="N2847" s="646"/>
      <c r="O2847" s="626"/>
      <c r="P2847" s="629"/>
      <c r="Q2847" s="629"/>
    </row>
    <row r="2848" spans="1:17" ht="15.75" hidden="1" thickBot="1">
      <c r="A2848" s="390" t="str">
        <f t="shared" ref="A2848:G2848" si="8545">A2847</f>
        <v>PBSeT</v>
      </c>
      <c r="B2848" s="391" t="str">
        <f t="shared" si="8545"/>
        <v>particle</v>
      </c>
      <c r="C2848" s="391">
        <f t="shared" si="8545"/>
        <v>6</v>
      </c>
      <c r="D2848" s="391" t="str">
        <f t="shared" si="8545"/>
        <v>0,1-1</v>
      </c>
      <c r="E2848" s="391">
        <f t="shared" si="8545"/>
        <v>1</v>
      </c>
      <c r="F2848" s="391" t="str">
        <f t="shared" si="8545"/>
        <v>soil</v>
      </c>
      <c r="G2848" s="392" t="str">
        <f t="shared" si="8545"/>
        <v>DE: PBSeT particle 0,1-1 mm (emission to soil)</v>
      </c>
      <c r="H2848" s="465">
        <v>3.0000000000000001E-3</v>
      </c>
      <c r="I2848" s="394" t="s">
        <v>1146</v>
      </c>
      <c r="J2848" s="632"/>
      <c r="K2848" s="395">
        <v>2.13</v>
      </c>
      <c r="L2848" s="537"/>
      <c r="M2848" s="509">
        <f t="shared" si="8471"/>
        <v>58.685446009389672</v>
      </c>
      <c r="N2848" s="646"/>
      <c r="O2848" s="626"/>
      <c r="P2848" s="629"/>
      <c r="Q2848" s="629"/>
    </row>
    <row r="2849" spans="1:17" ht="15.75" hidden="1" thickBot="1">
      <c r="A2849" s="390" t="str">
        <f>A2846</f>
        <v>PBSeT</v>
      </c>
      <c r="B2849" s="391" t="str">
        <f>B2846</f>
        <v>particle</v>
      </c>
      <c r="C2849" s="391">
        <f t="shared" ref="C2849" si="8546">C2848</f>
        <v>6</v>
      </c>
      <c r="D2849" s="391" t="str">
        <f>D2846</f>
        <v>0,1-1</v>
      </c>
      <c r="E2849" s="391">
        <f>E2846</f>
        <v>1</v>
      </c>
      <c r="F2849" s="391" t="str">
        <f>F2846</f>
        <v>soil</v>
      </c>
      <c r="G2849" s="396" t="str">
        <f t="shared" ref="G2849" si="8547">G2848</f>
        <v>DE: PBSeT particle 0,1-1 mm (emission to soil)</v>
      </c>
      <c r="H2849" s="465">
        <v>0</v>
      </c>
      <c r="I2849" s="397" t="s">
        <v>1034</v>
      </c>
      <c r="J2849" s="633"/>
      <c r="K2849" s="398" t="s">
        <v>596</v>
      </c>
      <c r="L2849" s="538"/>
      <c r="M2849" s="509">
        <f t="shared" si="8471"/>
        <v>0</v>
      </c>
      <c r="N2849" s="647"/>
      <c r="O2849" s="627"/>
      <c r="P2849" s="629"/>
      <c r="Q2849" s="629"/>
    </row>
    <row r="2850" spans="1:17" ht="15.75" hidden="1" thickBot="1">
      <c r="A2850" s="390" t="str">
        <f t="shared" ref="A2850:B2850" si="8548">A2847</f>
        <v>PBSeT</v>
      </c>
      <c r="B2850" s="391" t="str">
        <f t="shared" si="8548"/>
        <v>particle</v>
      </c>
      <c r="C2850" s="391">
        <f t="shared" ref="C2850" si="8549">C2849</f>
        <v>6</v>
      </c>
      <c r="D2850" s="399" t="str">
        <f t="shared" ref="D2850:E2850" si="8550">D2847</f>
        <v>0,1-1</v>
      </c>
      <c r="E2850" s="391">
        <f t="shared" si="8550"/>
        <v>1</v>
      </c>
      <c r="F2850" s="400" t="s">
        <v>1147</v>
      </c>
      <c r="G2850" s="386" t="str">
        <f>CONCATENATE("DE: ",A2850," ",B2850," ",D2850," mm (emission to ",F2850,")")</f>
        <v>DE: PBSeT particle 0,1-1 mm (emission to fresh water)</v>
      </c>
      <c r="H2850" s="466">
        <v>0</v>
      </c>
      <c r="I2850" s="388" t="s">
        <v>1153</v>
      </c>
      <c r="J2850" s="634">
        <v>0.22800000000000001</v>
      </c>
      <c r="K2850" s="389">
        <v>19.655684523809523</v>
      </c>
      <c r="L2850" s="536"/>
      <c r="M2850" s="509">
        <f t="shared" si="8471"/>
        <v>6.3594834282460999</v>
      </c>
      <c r="N2850" s="645">
        <f t="shared" si="8480"/>
        <v>58.685446009389672</v>
      </c>
      <c r="O2850" s="625"/>
      <c r="P2850" s="628">
        <f t="shared" ref="P2850:P2895" si="8551">IFERROR(IF(H2850*M2850+H2851*M2851+H2852*M2852+H2853*M2853+H2854*M2854&gt;100,100,H2850*M2850+H2851*M2851+H2852*M2852+H2853*M2853+H2854*M2854),"N.A.")</f>
        <v>58.685446009389672</v>
      </c>
      <c r="Q2850" s="628">
        <f t="shared" si="8424"/>
        <v>58.685446009389672</v>
      </c>
    </row>
    <row r="2851" spans="1:17" ht="15.75" hidden="1" thickBot="1">
      <c r="A2851" s="390" t="str">
        <f t="shared" ref="A2851:B2851" si="8552">A2848</f>
        <v>PBSeT</v>
      </c>
      <c r="B2851" s="391" t="str">
        <f t="shared" si="8552"/>
        <v>particle</v>
      </c>
      <c r="C2851" s="391">
        <f t="shared" ref="C2851" si="8553">C2850</f>
        <v>6</v>
      </c>
      <c r="D2851" s="391" t="str">
        <f t="shared" ref="D2851:E2851" si="8554">D2848</f>
        <v>0,1-1</v>
      </c>
      <c r="E2851" s="391">
        <f t="shared" si="8554"/>
        <v>1</v>
      </c>
      <c r="F2851" s="391" t="str">
        <f t="shared" ref="F2851:G2851" si="8555">F2850</f>
        <v>fresh water</v>
      </c>
      <c r="G2851" s="401" t="str">
        <f t="shared" si="8555"/>
        <v>DE: PBSeT particle 0,1-1 mm (emission to fresh water)</v>
      </c>
      <c r="H2851" s="465">
        <v>0</v>
      </c>
      <c r="I2851" s="394" t="s">
        <v>1097</v>
      </c>
      <c r="J2851" s="635"/>
      <c r="K2851" s="389">
        <v>2.0007669930984768</v>
      </c>
      <c r="L2851" s="536"/>
      <c r="M2851" s="509">
        <f t="shared" si="8471"/>
        <v>62.476040653999114</v>
      </c>
      <c r="N2851" s="646"/>
      <c r="O2851" s="626"/>
      <c r="P2851" s="629"/>
      <c r="Q2851" s="629"/>
    </row>
    <row r="2852" spans="1:17" ht="15.75" hidden="1" thickBot="1">
      <c r="A2852" s="390" t="str">
        <f t="shared" ref="A2852:B2852" si="8556">A2849</f>
        <v>PBSeT</v>
      </c>
      <c r="B2852" s="391" t="str">
        <f t="shared" si="8556"/>
        <v>particle</v>
      </c>
      <c r="C2852" s="391">
        <f t="shared" ref="C2852" si="8557">C2851</f>
        <v>6</v>
      </c>
      <c r="D2852" s="391" t="str">
        <f t="shared" ref="D2852:E2852" si="8558">D2849</f>
        <v>0,1-1</v>
      </c>
      <c r="E2852" s="391">
        <f t="shared" si="8558"/>
        <v>1</v>
      </c>
      <c r="F2852" s="391" t="str">
        <f t="shared" ref="F2852:G2852" si="8559">F2851</f>
        <v>fresh water</v>
      </c>
      <c r="G2852" s="401" t="str">
        <f t="shared" si="8559"/>
        <v>DE: PBSeT particle 0,1-1 mm (emission to fresh water)</v>
      </c>
      <c r="H2852" s="465">
        <v>0.89</v>
      </c>
      <c r="I2852" s="394" t="s">
        <v>1162</v>
      </c>
      <c r="J2852" s="635"/>
      <c r="K2852" s="389">
        <v>2.13</v>
      </c>
      <c r="L2852" s="536"/>
      <c r="M2852" s="509">
        <f t="shared" si="8471"/>
        <v>58.685446009389672</v>
      </c>
      <c r="N2852" s="646"/>
      <c r="O2852" s="626"/>
      <c r="P2852" s="629"/>
      <c r="Q2852" s="629"/>
    </row>
    <row r="2853" spans="1:17" ht="15.75" hidden="1" thickBot="1">
      <c r="A2853" s="390" t="str">
        <f t="shared" ref="A2853:B2853" si="8560">A2850</f>
        <v>PBSeT</v>
      </c>
      <c r="B2853" s="391" t="str">
        <f t="shared" si="8560"/>
        <v>particle</v>
      </c>
      <c r="C2853" s="391">
        <f t="shared" ref="C2853" si="8561">C2852</f>
        <v>6</v>
      </c>
      <c r="D2853" s="391" t="str">
        <f t="shared" ref="D2853:E2853" si="8562">D2850</f>
        <v>0,1-1</v>
      </c>
      <c r="E2853" s="391">
        <f t="shared" si="8562"/>
        <v>1</v>
      </c>
      <c r="F2853" s="391" t="str">
        <f t="shared" ref="F2853:G2853" si="8563">F2852</f>
        <v>fresh water</v>
      </c>
      <c r="G2853" s="401" t="str">
        <f t="shared" si="8563"/>
        <v>DE: PBSeT particle 0,1-1 mm (emission to fresh water)</v>
      </c>
      <c r="H2853" s="465">
        <v>0.11</v>
      </c>
      <c r="I2853" s="394" t="s">
        <v>1146</v>
      </c>
      <c r="J2853" s="635"/>
      <c r="K2853" s="389">
        <v>2.13</v>
      </c>
      <c r="L2853" s="536"/>
      <c r="M2853" s="509">
        <f t="shared" si="8471"/>
        <v>58.685446009389672</v>
      </c>
      <c r="N2853" s="646"/>
      <c r="O2853" s="626"/>
      <c r="P2853" s="629"/>
      <c r="Q2853" s="629"/>
    </row>
    <row r="2854" spans="1:17" ht="15.75" hidden="1" thickBot="1">
      <c r="A2854" s="390" t="str">
        <f t="shared" ref="A2854:B2854" si="8564">A2851</f>
        <v>PBSeT</v>
      </c>
      <c r="B2854" s="391" t="str">
        <f t="shared" si="8564"/>
        <v>particle</v>
      </c>
      <c r="C2854" s="391">
        <f t="shared" ref="C2854" si="8565">C2853</f>
        <v>6</v>
      </c>
      <c r="D2854" s="391" t="str">
        <f t="shared" ref="D2854:E2854" si="8566">D2851</f>
        <v>0,1-1</v>
      </c>
      <c r="E2854" s="391">
        <f t="shared" si="8566"/>
        <v>1</v>
      </c>
      <c r="F2854" s="402" t="str">
        <f>F2851</f>
        <v>fresh water</v>
      </c>
      <c r="G2854" s="401" t="str">
        <f t="shared" ref="G2854" si="8567">G2853</f>
        <v>DE: PBSeT particle 0,1-1 mm (emission to fresh water)</v>
      </c>
      <c r="H2854" s="465">
        <v>0</v>
      </c>
      <c r="I2854" s="397" t="s">
        <v>1034</v>
      </c>
      <c r="J2854" s="654"/>
      <c r="K2854" s="398" t="s">
        <v>596</v>
      </c>
      <c r="L2854" s="538"/>
      <c r="M2854" s="509">
        <f t="shared" si="8471"/>
        <v>0</v>
      </c>
      <c r="N2854" s="647"/>
      <c r="O2854" s="627"/>
      <c r="P2854" s="629"/>
      <c r="Q2854" s="629"/>
    </row>
    <row r="2855" spans="1:17" ht="15.75" hidden="1" thickBot="1">
      <c r="A2855" s="390" t="str">
        <f t="shared" ref="A2855:B2855" si="8568">A2852</f>
        <v>PBSeT</v>
      </c>
      <c r="B2855" s="391" t="str">
        <f t="shared" si="8568"/>
        <v>particle</v>
      </c>
      <c r="C2855" s="391">
        <f t="shared" ref="C2855" si="8569">C2854</f>
        <v>6</v>
      </c>
      <c r="D2855" s="391" t="str">
        <f t="shared" ref="D2855:E2855" si="8570">D2852</f>
        <v>0,1-1</v>
      </c>
      <c r="E2855" s="391">
        <f t="shared" si="8570"/>
        <v>1</v>
      </c>
      <c r="F2855" s="385" t="s">
        <v>1097</v>
      </c>
      <c r="G2855" s="422" t="str">
        <f>CONCATENATE("DE: ",A2855," ",B2855," ",D2855," mm (emission to ",F2855,")")</f>
        <v>DE: PBSeT particle 0,1-1 mm (emission to marine water)</v>
      </c>
      <c r="H2855" s="465">
        <v>0</v>
      </c>
      <c r="I2855" s="388" t="s">
        <v>1153</v>
      </c>
      <c r="J2855" s="634">
        <v>0.22800000000000001</v>
      </c>
      <c r="K2855" s="389">
        <v>19.655684523809523</v>
      </c>
      <c r="L2855" s="536"/>
      <c r="M2855" s="509">
        <f t="shared" si="8471"/>
        <v>6.3594834282460999</v>
      </c>
      <c r="N2855" s="645">
        <f t="shared" si="8480"/>
        <v>58.685446009389672</v>
      </c>
      <c r="O2855" s="625"/>
      <c r="P2855" s="628">
        <f t="shared" si="8551"/>
        <v>58.685446009389672</v>
      </c>
      <c r="Q2855" s="628">
        <f t="shared" si="8424"/>
        <v>58.685446009389672</v>
      </c>
    </row>
    <row r="2856" spans="1:17" ht="15.75" hidden="1" thickBot="1">
      <c r="A2856" s="390" t="str">
        <f t="shared" ref="A2856:B2856" si="8571">A2853</f>
        <v>PBSeT</v>
      </c>
      <c r="B2856" s="391" t="str">
        <f t="shared" si="8571"/>
        <v>particle</v>
      </c>
      <c r="C2856" s="391">
        <f t="shared" ref="C2856" si="8572">C2855</f>
        <v>6</v>
      </c>
      <c r="D2856" s="391" t="str">
        <f t="shared" ref="D2856:E2856" si="8573">D2853</f>
        <v>0,1-1</v>
      </c>
      <c r="E2856" s="391">
        <f t="shared" si="8573"/>
        <v>1</v>
      </c>
      <c r="F2856" s="391" t="str">
        <f t="shared" ref="F2856:G2856" si="8574">F2855</f>
        <v>marine water</v>
      </c>
      <c r="G2856" s="401" t="str">
        <f t="shared" si="8574"/>
        <v>DE: PBSeT particle 0,1-1 mm (emission to marine water)</v>
      </c>
      <c r="H2856" s="465">
        <v>0</v>
      </c>
      <c r="I2856" s="394" t="s">
        <v>1097</v>
      </c>
      <c r="J2856" s="635"/>
      <c r="K2856" s="389">
        <v>2.0007669930984768</v>
      </c>
      <c r="L2856" s="536"/>
      <c r="M2856" s="509">
        <f t="shared" si="8471"/>
        <v>62.476040653999114</v>
      </c>
      <c r="N2856" s="646"/>
      <c r="O2856" s="626"/>
      <c r="P2856" s="629"/>
      <c r="Q2856" s="629"/>
    </row>
    <row r="2857" spans="1:17" ht="15.75" hidden="1" thickBot="1">
      <c r="A2857" s="390" t="str">
        <f t="shared" ref="A2857:B2857" si="8575">A2854</f>
        <v>PBSeT</v>
      </c>
      <c r="B2857" s="391" t="str">
        <f t="shared" si="8575"/>
        <v>particle</v>
      </c>
      <c r="C2857" s="391">
        <f t="shared" ref="C2857" si="8576">C2856</f>
        <v>6</v>
      </c>
      <c r="D2857" s="391" t="str">
        <f t="shared" ref="D2857:E2857" si="8577">D2854</f>
        <v>0,1-1</v>
      </c>
      <c r="E2857" s="391">
        <f t="shared" si="8577"/>
        <v>1</v>
      </c>
      <c r="F2857" s="391" t="str">
        <f t="shared" ref="F2857:G2857" si="8578">F2856</f>
        <v>marine water</v>
      </c>
      <c r="G2857" s="401" t="str">
        <f t="shared" si="8578"/>
        <v>DE: PBSeT particle 0,1-1 mm (emission to marine water)</v>
      </c>
      <c r="H2857" s="465">
        <v>0</v>
      </c>
      <c r="I2857" s="394" t="s">
        <v>1162</v>
      </c>
      <c r="J2857" s="635"/>
      <c r="K2857" s="389">
        <v>2.13</v>
      </c>
      <c r="L2857" s="536"/>
      <c r="M2857" s="509">
        <f t="shared" si="8471"/>
        <v>58.685446009389672</v>
      </c>
      <c r="N2857" s="646"/>
      <c r="O2857" s="626"/>
      <c r="P2857" s="629"/>
      <c r="Q2857" s="629"/>
    </row>
    <row r="2858" spans="1:17" ht="15.75" hidden="1" thickBot="1">
      <c r="A2858" s="390" t="str">
        <f t="shared" ref="A2858:B2858" si="8579">A2855</f>
        <v>PBSeT</v>
      </c>
      <c r="B2858" s="391" t="str">
        <f t="shared" si="8579"/>
        <v>particle</v>
      </c>
      <c r="C2858" s="391">
        <f t="shared" ref="C2858" si="8580">C2857</f>
        <v>6</v>
      </c>
      <c r="D2858" s="391" t="str">
        <f t="shared" ref="D2858:E2858" si="8581">D2855</f>
        <v>0,1-1</v>
      </c>
      <c r="E2858" s="391">
        <f t="shared" si="8581"/>
        <v>1</v>
      </c>
      <c r="F2858" s="391" t="str">
        <f t="shared" ref="F2858:G2858" si="8582">F2857</f>
        <v>marine water</v>
      </c>
      <c r="G2858" s="401" t="str">
        <f t="shared" si="8582"/>
        <v>DE: PBSeT particle 0,1-1 mm (emission to marine water)</v>
      </c>
      <c r="H2858" s="465">
        <v>1</v>
      </c>
      <c r="I2858" s="394" t="s">
        <v>1146</v>
      </c>
      <c r="J2858" s="635"/>
      <c r="K2858" s="389">
        <v>2.13</v>
      </c>
      <c r="L2858" s="536"/>
      <c r="M2858" s="509">
        <f t="shared" si="8471"/>
        <v>58.685446009389672</v>
      </c>
      <c r="N2858" s="646"/>
      <c r="O2858" s="626"/>
      <c r="P2858" s="629"/>
      <c r="Q2858" s="629"/>
    </row>
    <row r="2859" spans="1:17" ht="15.75" hidden="1" thickBot="1">
      <c r="A2859" s="390" t="str">
        <f t="shared" ref="A2859:B2859" si="8583">A2856</f>
        <v>PBSeT</v>
      </c>
      <c r="B2859" s="391" t="str">
        <f t="shared" si="8583"/>
        <v>particle</v>
      </c>
      <c r="C2859" s="391">
        <f t="shared" ref="C2859" si="8584">C2858</f>
        <v>6</v>
      </c>
      <c r="D2859" s="391" t="str">
        <f t="shared" ref="D2859:E2859" si="8585">D2856</f>
        <v>0,1-1</v>
      </c>
      <c r="E2859" s="391">
        <f t="shared" si="8585"/>
        <v>1</v>
      </c>
      <c r="F2859" s="391" t="str">
        <f t="shared" ref="F2859:G2859" si="8586">F2858</f>
        <v>marine water</v>
      </c>
      <c r="G2859" s="401" t="str">
        <f t="shared" si="8586"/>
        <v>DE: PBSeT particle 0,1-1 mm (emission to marine water)</v>
      </c>
      <c r="H2859" s="465">
        <v>0</v>
      </c>
      <c r="I2859" s="397" t="s">
        <v>1034</v>
      </c>
      <c r="J2859" s="654"/>
      <c r="K2859" s="398" t="s">
        <v>596</v>
      </c>
      <c r="L2859" s="538"/>
      <c r="M2859" s="509">
        <f t="shared" si="8471"/>
        <v>0</v>
      </c>
      <c r="N2859" s="647"/>
      <c r="O2859" s="627"/>
      <c r="P2859" s="629"/>
      <c r="Q2859" s="629"/>
    </row>
    <row r="2860" spans="1:17" ht="15.75" hidden="1" thickBot="1">
      <c r="A2860" s="390" t="str">
        <f t="shared" ref="A2860:B2860" si="8587">A2857</f>
        <v>PBSeT</v>
      </c>
      <c r="B2860" s="391" t="str">
        <f t="shared" si="8587"/>
        <v>particle</v>
      </c>
      <c r="C2860" s="391">
        <f t="shared" ref="C2860" si="8588">C2859</f>
        <v>6</v>
      </c>
      <c r="D2860" s="391" t="str">
        <f t="shared" ref="D2860:E2860" si="8589">D2857</f>
        <v>0,1-1</v>
      </c>
      <c r="E2860" s="391">
        <f t="shared" si="8589"/>
        <v>1</v>
      </c>
      <c r="F2860" s="400" t="s">
        <v>1057</v>
      </c>
      <c r="G2860" s="422" t="str">
        <f>CONCATENATE("DE: ",A2860," ",B2860," ",D2860," mm (emission to ",F2860,")")</f>
        <v>DE: PBSeT particle 0,1-1 mm (emission to air)</v>
      </c>
      <c r="H2860" s="465">
        <v>0.94799999999999995</v>
      </c>
      <c r="I2860" s="388" t="s">
        <v>1153</v>
      </c>
      <c r="J2860" s="634">
        <v>0.22800000000000001</v>
      </c>
      <c r="K2860" s="389">
        <v>19.655684523809523</v>
      </c>
      <c r="L2860" s="536"/>
      <c r="M2860" s="509">
        <f t="shared" si="8471"/>
        <v>6.3594834282460999</v>
      </c>
      <c r="N2860" s="645">
        <f t="shared" si="8480"/>
        <v>9.0804334824655655</v>
      </c>
      <c r="O2860" s="625"/>
      <c r="P2860" s="628">
        <f t="shared" si="8551"/>
        <v>9.0804334824655655</v>
      </c>
      <c r="Q2860" s="628">
        <f t="shared" si="8424"/>
        <v>9.0804334824655655</v>
      </c>
    </row>
    <row r="2861" spans="1:17" ht="15.75" hidden="1" thickBot="1">
      <c r="A2861" s="390" t="str">
        <f t="shared" ref="A2861:B2861" si="8590">A2858</f>
        <v>PBSeT</v>
      </c>
      <c r="B2861" s="391" t="str">
        <f t="shared" si="8590"/>
        <v>particle</v>
      </c>
      <c r="C2861" s="391">
        <f t="shared" ref="C2861" si="8591">C2860</f>
        <v>6</v>
      </c>
      <c r="D2861" s="391" t="str">
        <f t="shared" ref="D2861:E2861" si="8592">D2858</f>
        <v>0,1-1</v>
      </c>
      <c r="E2861" s="391">
        <f t="shared" si="8592"/>
        <v>1</v>
      </c>
      <c r="F2861" s="391" t="str">
        <f t="shared" ref="F2861:G2861" si="8593">F2860</f>
        <v>air</v>
      </c>
      <c r="G2861" s="401" t="str">
        <f t="shared" si="8593"/>
        <v>DE: PBSeT particle 0,1-1 mm (emission to air)</v>
      </c>
      <c r="H2861" s="465">
        <v>0</v>
      </c>
      <c r="I2861" s="394" t="s">
        <v>1097</v>
      </c>
      <c r="J2861" s="635"/>
      <c r="K2861" s="389">
        <v>2.0007669930984768</v>
      </c>
      <c r="L2861" s="536"/>
      <c r="M2861" s="509">
        <f t="shared" si="8471"/>
        <v>62.476040653999114</v>
      </c>
      <c r="N2861" s="646"/>
      <c r="O2861" s="626"/>
      <c r="P2861" s="629"/>
      <c r="Q2861" s="629"/>
    </row>
    <row r="2862" spans="1:17" ht="15.75" hidden="1" thickBot="1">
      <c r="A2862" s="390" t="str">
        <f t="shared" ref="A2862:B2862" si="8594">A2859</f>
        <v>PBSeT</v>
      </c>
      <c r="B2862" s="391" t="str">
        <f t="shared" si="8594"/>
        <v>particle</v>
      </c>
      <c r="C2862" s="391">
        <f t="shared" ref="C2862" si="8595">C2861</f>
        <v>6</v>
      </c>
      <c r="D2862" s="391" t="str">
        <f t="shared" ref="D2862:E2862" si="8596">D2859</f>
        <v>0,1-1</v>
      </c>
      <c r="E2862" s="391">
        <f t="shared" si="8596"/>
        <v>1</v>
      </c>
      <c r="F2862" s="391" t="str">
        <f t="shared" ref="F2862:G2862" si="8597">F2861</f>
        <v>air</v>
      </c>
      <c r="G2862" s="401" t="str">
        <f t="shared" si="8597"/>
        <v>DE: PBSeT particle 0,1-1 mm (emission to air)</v>
      </c>
      <c r="H2862" s="465">
        <v>4.7E-2</v>
      </c>
      <c r="I2862" s="394" t="s">
        <v>1162</v>
      </c>
      <c r="J2862" s="635"/>
      <c r="K2862" s="389">
        <v>2.13</v>
      </c>
      <c r="L2862" s="536"/>
      <c r="M2862" s="509">
        <f t="shared" si="8471"/>
        <v>58.685446009389672</v>
      </c>
      <c r="N2862" s="646"/>
      <c r="O2862" s="626"/>
      <c r="P2862" s="629"/>
      <c r="Q2862" s="629"/>
    </row>
    <row r="2863" spans="1:17" ht="15.75" hidden="1" thickBot="1">
      <c r="A2863" s="390" t="str">
        <f t="shared" ref="A2863:B2863" si="8598">A2860</f>
        <v>PBSeT</v>
      </c>
      <c r="B2863" s="391" t="str">
        <f t="shared" si="8598"/>
        <v>particle</v>
      </c>
      <c r="C2863" s="391">
        <f t="shared" ref="C2863" si="8599">C2862</f>
        <v>6</v>
      </c>
      <c r="D2863" s="391" t="str">
        <f t="shared" ref="D2863:E2863" si="8600">D2860</f>
        <v>0,1-1</v>
      </c>
      <c r="E2863" s="391">
        <f t="shared" si="8600"/>
        <v>1</v>
      </c>
      <c r="F2863" s="391" t="str">
        <f t="shared" ref="F2863:G2863" si="8601">F2862</f>
        <v>air</v>
      </c>
      <c r="G2863" s="401" t="str">
        <f t="shared" si="8601"/>
        <v>DE: PBSeT particle 0,1-1 mm (emission to air)</v>
      </c>
      <c r="H2863" s="465">
        <v>5.0000000000000001E-3</v>
      </c>
      <c r="I2863" s="394" t="s">
        <v>1146</v>
      </c>
      <c r="J2863" s="635"/>
      <c r="K2863" s="389">
        <v>2.13</v>
      </c>
      <c r="L2863" s="536"/>
      <c r="M2863" s="509">
        <f t="shared" si="8471"/>
        <v>58.685446009389672</v>
      </c>
      <c r="N2863" s="646"/>
      <c r="O2863" s="626"/>
      <c r="P2863" s="629"/>
      <c r="Q2863" s="629"/>
    </row>
    <row r="2864" spans="1:17" ht="15.75" hidden="1" thickBot="1">
      <c r="A2864" s="452" t="str">
        <f t="shared" ref="A2864:B2864" si="8602">A2859</f>
        <v>PBSeT</v>
      </c>
      <c r="B2864" s="453" t="str">
        <f t="shared" si="8602"/>
        <v>particle</v>
      </c>
      <c r="C2864" s="453">
        <f t="shared" ref="C2864" si="8603">C2863</f>
        <v>6</v>
      </c>
      <c r="D2864" s="453" t="str">
        <f t="shared" ref="D2864:E2864" si="8604">D2859</f>
        <v>0,1-1</v>
      </c>
      <c r="E2864" s="453">
        <f t="shared" si="8604"/>
        <v>1</v>
      </c>
      <c r="F2864" s="453" t="str">
        <f t="shared" ref="F2864:G2864" si="8605">F2863</f>
        <v>air</v>
      </c>
      <c r="G2864" s="454" t="str">
        <f t="shared" si="8605"/>
        <v>DE: PBSeT particle 0,1-1 mm (emission to air)</v>
      </c>
      <c r="H2864" s="473">
        <v>0</v>
      </c>
      <c r="I2864" s="456" t="s">
        <v>1034</v>
      </c>
      <c r="J2864" s="636"/>
      <c r="K2864" s="457" t="s">
        <v>596</v>
      </c>
      <c r="L2864" s="543"/>
      <c r="M2864" s="509">
        <f t="shared" si="8471"/>
        <v>0</v>
      </c>
      <c r="N2864" s="647"/>
      <c r="O2864" s="627"/>
      <c r="P2864" s="629"/>
      <c r="Q2864" s="629"/>
    </row>
    <row r="2865" spans="1:17" ht="15.75" hidden="1" thickBot="1">
      <c r="A2865" s="405" t="s">
        <v>1077</v>
      </c>
      <c r="B2865" s="406" t="s">
        <v>1152</v>
      </c>
      <c r="C2865" s="407">
        <v>6</v>
      </c>
      <c r="D2865" s="423" t="s">
        <v>1026</v>
      </c>
      <c r="E2865" s="408">
        <v>10</v>
      </c>
      <c r="F2865" s="424" t="s">
        <v>1019</v>
      </c>
      <c r="G2865" s="425" t="str">
        <f>CONCATENATE("DE: ",A2865," ",B2865," ",D2865," mm (emission to ",F2865,")")</f>
        <v>DE: PBSeT particle 1-10 mm (emission to soil)</v>
      </c>
      <c r="H2865" s="474">
        <v>0.97</v>
      </c>
      <c r="I2865" s="427" t="s">
        <v>1153</v>
      </c>
      <c r="J2865" s="632">
        <v>0.22800000000000001</v>
      </c>
      <c r="K2865" s="428">
        <v>19.655684523809523</v>
      </c>
      <c r="L2865" s="539"/>
      <c r="M2865" s="509">
        <f t="shared" si="8471"/>
        <v>63.594834282461001</v>
      </c>
      <c r="N2865" s="645">
        <f t="shared" si="8480"/>
        <v>79.292623056804075</v>
      </c>
      <c r="O2865" s="625"/>
      <c r="P2865" s="628">
        <f t="shared" si="8551"/>
        <v>79.292623056804075</v>
      </c>
      <c r="Q2865" s="628">
        <f t="shared" si="8424"/>
        <v>79.292623056804075</v>
      </c>
    </row>
    <row r="2866" spans="1:17" ht="15.75" hidden="1" thickBot="1">
      <c r="A2866" s="390" t="str">
        <f>A2865</f>
        <v>PBSeT</v>
      </c>
      <c r="B2866" s="391" t="str">
        <f>B2865</f>
        <v>particle</v>
      </c>
      <c r="C2866" s="391">
        <f t="shared" ref="C2866:G2866" si="8606">C2865</f>
        <v>6</v>
      </c>
      <c r="D2866" s="391" t="str">
        <f t="shared" si="8606"/>
        <v>1-10</v>
      </c>
      <c r="E2866" s="391">
        <f t="shared" si="8606"/>
        <v>10</v>
      </c>
      <c r="F2866" s="391" t="str">
        <f t="shared" si="8606"/>
        <v>soil</v>
      </c>
      <c r="G2866" s="392" t="str">
        <f t="shared" si="8606"/>
        <v>DE: PBSeT particle 1-10 mm (emission to soil)</v>
      </c>
      <c r="H2866" s="465">
        <v>0</v>
      </c>
      <c r="I2866" s="394" t="s">
        <v>1097</v>
      </c>
      <c r="J2866" s="632"/>
      <c r="K2866" s="395">
        <v>2.0007669930984768</v>
      </c>
      <c r="L2866" s="537"/>
      <c r="M2866" s="509">
        <f t="shared" si="8471"/>
        <v>624.7604065399911</v>
      </c>
      <c r="N2866" s="646"/>
      <c r="O2866" s="626"/>
      <c r="P2866" s="629"/>
      <c r="Q2866" s="629"/>
    </row>
    <row r="2867" spans="1:17" ht="15.75" hidden="1" thickBot="1">
      <c r="A2867" s="390" t="str">
        <f t="shared" ref="A2867:G2867" si="8607">A2866</f>
        <v>PBSeT</v>
      </c>
      <c r="B2867" s="391" t="str">
        <f t="shared" si="8607"/>
        <v>particle</v>
      </c>
      <c r="C2867" s="391">
        <f t="shared" si="8607"/>
        <v>6</v>
      </c>
      <c r="D2867" s="391" t="str">
        <f t="shared" si="8607"/>
        <v>1-10</v>
      </c>
      <c r="E2867" s="391">
        <f t="shared" si="8607"/>
        <v>10</v>
      </c>
      <c r="F2867" s="391" t="str">
        <f t="shared" si="8607"/>
        <v>soil</v>
      </c>
      <c r="G2867" s="392" t="str">
        <f t="shared" si="8607"/>
        <v>DE: PBSeT particle 1-10 mm (emission to soil)</v>
      </c>
      <c r="H2867" s="465">
        <v>2.7E-2</v>
      </c>
      <c r="I2867" s="394" t="s">
        <v>1162</v>
      </c>
      <c r="J2867" s="632"/>
      <c r="K2867" s="395">
        <v>2.13</v>
      </c>
      <c r="L2867" s="537"/>
      <c r="M2867" s="509">
        <f t="shared" si="8471"/>
        <v>586.85446009389671</v>
      </c>
      <c r="N2867" s="646"/>
      <c r="O2867" s="626"/>
      <c r="P2867" s="629"/>
      <c r="Q2867" s="629"/>
    </row>
    <row r="2868" spans="1:17" ht="15.75" hidden="1" thickBot="1">
      <c r="A2868" s="390" t="str">
        <f t="shared" ref="A2868:G2868" si="8608">A2867</f>
        <v>PBSeT</v>
      </c>
      <c r="B2868" s="391" t="str">
        <f t="shared" si="8608"/>
        <v>particle</v>
      </c>
      <c r="C2868" s="391">
        <f t="shared" si="8608"/>
        <v>6</v>
      </c>
      <c r="D2868" s="391" t="str">
        <f t="shared" si="8608"/>
        <v>1-10</v>
      </c>
      <c r="E2868" s="391">
        <f t="shared" si="8608"/>
        <v>10</v>
      </c>
      <c r="F2868" s="391" t="str">
        <f t="shared" si="8608"/>
        <v>soil</v>
      </c>
      <c r="G2868" s="392" t="str">
        <f t="shared" si="8608"/>
        <v>DE: PBSeT particle 1-10 mm (emission to soil)</v>
      </c>
      <c r="H2868" s="465">
        <v>3.0000000000000001E-3</v>
      </c>
      <c r="I2868" s="394" t="s">
        <v>1146</v>
      </c>
      <c r="J2868" s="632"/>
      <c r="K2868" s="395">
        <v>2.13</v>
      </c>
      <c r="L2868" s="537"/>
      <c r="M2868" s="509">
        <f t="shared" si="8471"/>
        <v>586.85446009389671</v>
      </c>
      <c r="N2868" s="646"/>
      <c r="O2868" s="626"/>
      <c r="P2868" s="629"/>
      <c r="Q2868" s="629"/>
    </row>
    <row r="2869" spans="1:17" ht="15.75" hidden="1" thickBot="1">
      <c r="A2869" s="390" t="str">
        <f>A2866</f>
        <v>PBSeT</v>
      </c>
      <c r="B2869" s="391" t="str">
        <f>B2866</f>
        <v>particle</v>
      </c>
      <c r="C2869" s="391">
        <f t="shared" ref="C2869" si="8609">C2868</f>
        <v>6</v>
      </c>
      <c r="D2869" s="391" t="str">
        <f>D2866</f>
        <v>1-10</v>
      </c>
      <c r="E2869" s="391">
        <f>E2866</f>
        <v>10</v>
      </c>
      <c r="F2869" s="391" t="str">
        <f>F2866</f>
        <v>soil</v>
      </c>
      <c r="G2869" s="396" t="str">
        <f t="shared" ref="G2869" si="8610">G2868</f>
        <v>DE: PBSeT particle 1-10 mm (emission to soil)</v>
      </c>
      <c r="H2869" s="465">
        <v>0</v>
      </c>
      <c r="I2869" s="397" t="s">
        <v>1034</v>
      </c>
      <c r="J2869" s="633"/>
      <c r="K2869" s="398" t="s">
        <v>596</v>
      </c>
      <c r="L2869" s="538"/>
      <c r="M2869" s="509">
        <f t="shared" si="8471"/>
        <v>0</v>
      </c>
      <c r="N2869" s="647"/>
      <c r="O2869" s="627"/>
      <c r="P2869" s="629"/>
      <c r="Q2869" s="629"/>
    </row>
    <row r="2870" spans="1:17" ht="15.75" hidden="1" thickBot="1">
      <c r="A2870" s="390" t="str">
        <f t="shared" ref="A2870:B2870" si="8611">A2867</f>
        <v>PBSeT</v>
      </c>
      <c r="B2870" s="391" t="str">
        <f t="shared" si="8611"/>
        <v>particle</v>
      </c>
      <c r="C2870" s="391">
        <f t="shared" ref="C2870" si="8612">C2869</f>
        <v>6</v>
      </c>
      <c r="D2870" s="399" t="str">
        <f t="shared" ref="D2870:E2870" si="8613">D2867</f>
        <v>1-10</v>
      </c>
      <c r="E2870" s="391">
        <f t="shared" si="8613"/>
        <v>10</v>
      </c>
      <c r="F2870" s="400" t="s">
        <v>1147</v>
      </c>
      <c r="G2870" s="386" t="str">
        <f>CONCATENATE("DE: ",A2870," ",B2870," ",D2870," mm (emission to ",F2870,")")</f>
        <v>DE: PBSeT particle 1-10 mm (emission to fresh water)</v>
      </c>
      <c r="H2870" s="466">
        <v>0</v>
      </c>
      <c r="I2870" s="388" t="s">
        <v>1153</v>
      </c>
      <c r="J2870" s="634">
        <v>0.22800000000000001</v>
      </c>
      <c r="K2870" s="389">
        <v>19.655684523809523</v>
      </c>
      <c r="L2870" s="536"/>
      <c r="M2870" s="509">
        <f t="shared" si="8471"/>
        <v>63.594834282461001</v>
      </c>
      <c r="N2870" s="645">
        <f t="shared" si="8480"/>
        <v>586.85446009389671</v>
      </c>
      <c r="O2870" s="625"/>
      <c r="P2870" s="628">
        <f t="shared" si="8551"/>
        <v>100</v>
      </c>
      <c r="Q2870" s="628">
        <f t="shared" si="8424"/>
        <v>500</v>
      </c>
    </row>
    <row r="2871" spans="1:17" ht="15.75" hidden="1" thickBot="1">
      <c r="A2871" s="390" t="str">
        <f t="shared" ref="A2871:B2871" si="8614">A2868</f>
        <v>PBSeT</v>
      </c>
      <c r="B2871" s="391" t="str">
        <f t="shared" si="8614"/>
        <v>particle</v>
      </c>
      <c r="C2871" s="391">
        <f t="shared" ref="C2871" si="8615">C2870</f>
        <v>6</v>
      </c>
      <c r="D2871" s="391" t="str">
        <f t="shared" ref="D2871:E2871" si="8616">D2868</f>
        <v>1-10</v>
      </c>
      <c r="E2871" s="391">
        <f t="shared" si="8616"/>
        <v>10</v>
      </c>
      <c r="F2871" s="391" t="str">
        <f t="shared" ref="F2871:G2871" si="8617">F2870</f>
        <v>fresh water</v>
      </c>
      <c r="G2871" s="401" t="str">
        <f t="shared" si="8617"/>
        <v>DE: PBSeT particle 1-10 mm (emission to fresh water)</v>
      </c>
      <c r="H2871" s="465">
        <v>0</v>
      </c>
      <c r="I2871" s="394" t="s">
        <v>1097</v>
      </c>
      <c r="J2871" s="635"/>
      <c r="K2871" s="389">
        <v>2.0007669930984768</v>
      </c>
      <c r="L2871" s="536"/>
      <c r="M2871" s="509">
        <f t="shared" si="8471"/>
        <v>624.7604065399911</v>
      </c>
      <c r="N2871" s="646"/>
      <c r="O2871" s="626"/>
      <c r="P2871" s="629"/>
      <c r="Q2871" s="629"/>
    </row>
    <row r="2872" spans="1:17" ht="15.75" hidden="1" thickBot="1">
      <c r="A2872" s="390" t="str">
        <f t="shared" ref="A2872:B2872" si="8618">A2869</f>
        <v>PBSeT</v>
      </c>
      <c r="B2872" s="391" t="str">
        <f t="shared" si="8618"/>
        <v>particle</v>
      </c>
      <c r="C2872" s="391">
        <f t="shared" ref="C2872" si="8619">C2871</f>
        <v>6</v>
      </c>
      <c r="D2872" s="391" t="str">
        <f t="shared" ref="D2872:E2872" si="8620">D2869</f>
        <v>1-10</v>
      </c>
      <c r="E2872" s="391">
        <f t="shared" si="8620"/>
        <v>10</v>
      </c>
      <c r="F2872" s="391" t="str">
        <f t="shared" ref="F2872:G2872" si="8621">F2871</f>
        <v>fresh water</v>
      </c>
      <c r="G2872" s="401" t="str">
        <f t="shared" si="8621"/>
        <v>DE: PBSeT particle 1-10 mm (emission to fresh water)</v>
      </c>
      <c r="H2872" s="465">
        <v>0.89</v>
      </c>
      <c r="I2872" s="394" t="s">
        <v>1162</v>
      </c>
      <c r="J2872" s="635"/>
      <c r="K2872" s="389">
        <v>2.13</v>
      </c>
      <c r="L2872" s="536"/>
      <c r="M2872" s="509">
        <f t="shared" si="8471"/>
        <v>586.85446009389671</v>
      </c>
      <c r="N2872" s="646"/>
      <c r="O2872" s="626"/>
      <c r="P2872" s="629"/>
      <c r="Q2872" s="629"/>
    </row>
    <row r="2873" spans="1:17" ht="15.75" hidden="1" thickBot="1">
      <c r="A2873" s="390" t="str">
        <f t="shared" ref="A2873:B2873" si="8622">A2870</f>
        <v>PBSeT</v>
      </c>
      <c r="B2873" s="391" t="str">
        <f t="shared" si="8622"/>
        <v>particle</v>
      </c>
      <c r="C2873" s="391">
        <f t="shared" ref="C2873" si="8623">C2872</f>
        <v>6</v>
      </c>
      <c r="D2873" s="391" t="str">
        <f t="shared" ref="D2873:E2873" si="8624">D2870</f>
        <v>1-10</v>
      </c>
      <c r="E2873" s="391">
        <f t="shared" si="8624"/>
        <v>10</v>
      </c>
      <c r="F2873" s="391" t="str">
        <f t="shared" ref="F2873:G2873" si="8625">F2872</f>
        <v>fresh water</v>
      </c>
      <c r="G2873" s="401" t="str">
        <f t="shared" si="8625"/>
        <v>DE: PBSeT particle 1-10 mm (emission to fresh water)</v>
      </c>
      <c r="H2873" s="465">
        <v>0.11</v>
      </c>
      <c r="I2873" s="394" t="s">
        <v>1146</v>
      </c>
      <c r="J2873" s="635"/>
      <c r="K2873" s="389">
        <v>2.13</v>
      </c>
      <c r="L2873" s="536"/>
      <c r="M2873" s="509">
        <f t="shared" si="8471"/>
        <v>586.85446009389671</v>
      </c>
      <c r="N2873" s="646"/>
      <c r="O2873" s="626"/>
      <c r="P2873" s="629"/>
      <c r="Q2873" s="629"/>
    </row>
    <row r="2874" spans="1:17" ht="15.75" hidden="1" thickBot="1">
      <c r="A2874" s="390" t="str">
        <f t="shared" ref="A2874:B2874" si="8626">A2871</f>
        <v>PBSeT</v>
      </c>
      <c r="B2874" s="391" t="str">
        <f t="shared" si="8626"/>
        <v>particle</v>
      </c>
      <c r="C2874" s="391">
        <f t="shared" ref="C2874" si="8627">C2873</f>
        <v>6</v>
      </c>
      <c r="D2874" s="391" t="str">
        <f t="shared" ref="D2874:E2874" si="8628">D2871</f>
        <v>1-10</v>
      </c>
      <c r="E2874" s="391">
        <f t="shared" si="8628"/>
        <v>10</v>
      </c>
      <c r="F2874" s="402" t="str">
        <f>F2871</f>
        <v>fresh water</v>
      </c>
      <c r="G2874" s="401" t="str">
        <f t="shared" ref="G2874" si="8629">G2873</f>
        <v>DE: PBSeT particle 1-10 mm (emission to fresh water)</v>
      </c>
      <c r="H2874" s="465">
        <v>0</v>
      </c>
      <c r="I2874" s="397" t="s">
        <v>1034</v>
      </c>
      <c r="J2874" s="654"/>
      <c r="K2874" s="398" t="s">
        <v>596</v>
      </c>
      <c r="L2874" s="538"/>
      <c r="M2874" s="509">
        <f t="shared" si="8471"/>
        <v>0</v>
      </c>
      <c r="N2874" s="647"/>
      <c r="O2874" s="627"/>
      <c r="P2874" s="629"/>
      <c r="Q2874" s="629"/>
    </row>
    <row r="2875" spans="1:17" ht="15.75" hidden="1" thickBot="1">
      <c r="A2875" s="390" t="str">
        <f t="shared" ref="A2875:B2875" si="8630">A2872</f>
        <v>PBSeT</v>
      </c>
      <c r="B2875" s="391" t="str">
        <f t="shared" si="8630"/>
        <v>particle</v>
      </c>
      <c r="C2875" s="391">
        <f t="shared" ref="C2875" si="8631">C2874</f>
        <v>6</v>
      </c>
      <c r="D2875" s="391" t="str">
        <f t="shared" ref="D2875:E2875" si="8632">D2872</f>
        <v>1-10</v>
      </c>
      <c r="E2875" s="391">
        <f t="shared" si="8632"/>
        <v>10</v>
      </c>
      <c r="F2875" s="385" t="s">
        <v>1097</v>
      </c>
      <c r="G2875" s="422" t="str">
        <f>CONCATENATE("DE: ",A2875," ",B2875," ",D2875," mm (emission to ",F2875,")")</f>
        <v>DE: PBSeT particle 1-10 mm (emission to marine water)</v>
      </c>
      <c r="H2875" s="465">
        <v>0</v>
      </c>
      <c r="I2875" s="388" t="s">
        <v>1153</v>
      </c>
      <c r="J2875" s="634">
        <v>0.22800000000000001</v>
      </c>
      <c r="K2875" s="389">
        <v>19.655684523809523</v>
      </c>
      <c r="L2875" s="536"/>
      <c r="M2875" s="509">
        <f t="shared" si="8471"/>
        <v>63.594834282461001</v>
      </c>
      <c r="N2875" s="645">
        <f t="shared" si="8480"/>
        <v>586.85446009389671</v>
      </c>
      <c r="O2875" s="625"/>
      <c r="P2875" s="628">
        <f t="shared" si="8551"/>
        <v>100</v>
      </c>
      <c r="Q2875" s="628">
        <f t="shared" ref="Q2875:Q2935" si="8633">IFERROR(IF(H2875*M2875+H2876*M2876+H2877*M2877+H2878*M2878+H2879*M2879&gt;500,500,H2875*M2875+H2876*M2876+H2877*M2877+H2878*M2878+H2879*M2879),"N.A.")</f>
        <v>500</v>
      </c>
    </row>
    <row r="2876" spans="1:17" ht="15.75" hidden="1" thickBot="1">
      <c r="A2876" s="390" t="str">
        <f t="shared" ref="A2876:B2876" si="8634">A2873</f>
        <v>PBSeT</v>
      </c>
      <c r="B2876" s="391" t="str">
        <f t="shared" si="8634"/>
        <v>particle</v>
      </c>
      <c r="C2876" s="391">
        <f t="shared" ref="C2876" si="8635">C2875</f>
        <v>6</v>
      </c>
      <c r="D2876" s="391" t="str">
        <f t="shared" ref="D2876:E2876" si="8636">D2873</f>
        <v>1-10</v>
      </c>
      <c r="E2876" s="391">
        <f t="shared" si="8636"/>
        <v>10</v>
      </c>
      <c r="F2876" s="391" t="str">
        <f t="shared" ref="F2876:G2876" si="8637">F2875</f>
        <v>marine water</v>
      </c>
      <c r="G2876" s="401" t="str">
        <f t="shared" si="8637"/>
        <v>DE: PBSeT particle 1-10 mm (emission to marine water)</v>
      </c>
      <c r="H2876" s="465">
        <v>0</v>
      </c>
      <c r="I2876" s="394" t="s">
        <v>1097</v>
      </c>
      <c r="J2876" s="635"/>
      <c r="K2876" s="389">
        <v>2.0007669930984768</v>
      </c>
      <c r="L2876" s="536"/>
      <c r="M2876" s="509">
        <f t="shared" si="8471"/>
        <v>624.7604065399911</v>
      </c>
      <c r="N2876" s="646"/>
      <c r="O2876" s="626"/>
      <c r="P2876" s="629"/>
      <c r="Q2876" s="629"/>
    </row>
    <row r="2877" spans="1:17" ht="15.75" hidden="1" thickBot="1">
      <c r="A2877" s="390" t="str">
        <f t="shared" ref="A2877:B2877" si="8638">A2874</f>
        <v>PBSeT</v>
      </c>
      <c r="B2877" s="391" t="str">
        <f t="shared" si="8638"/>
        <v>particle</v>
      </c>
      <c r="C2877" s="391">
        <f t="shared" ref="C2877" si="8639">C2876</f>
        <v>6</v>
      </c>
      <c r="D2877" s="391" t="str">
        <f t="shared" ref="D2877:E2877" si="8640">D2874</f>
        <v>1-10</v>
      </c>
      <c r="E2877" s="391">
        <f t="shared" si="8640"/>
        <v>10</v>
      </c>
      <c r="F2877" s="391" t="str">
        <f t="shared" ref="F2877:G2877" si="8641">F2876</f>
        <v>marine water</v>
      </c>
      <c r="G2877" s="401" t="str">
        <f t="shared" si="8641"/>
        <v>DE: PBSeT particle 1-10 mm (emission to marine water)</v>
      </c>
      <c r="H2877" s="465">
        <v>0</v>
      </c>
      <c r="I2877" s="394" t="s">
        <v>1162</v>
      </c>
      <c r="J2877" s="635"/>
      <c r="K2877" s="389">
        <v>2.13</v>
      </c>
      <c r="L2877" s="536"/>
      <c r="M2877" s="509">
        <f t="shared" si="8471"/>
        <v>586.85446009389671</v>
      </c>
      <c r="N2877" s="646"/>
      <c r="O2877" s="626"/>
      <c r="P2877" s="629"/>
      <c r="Q2877" s="629"/>
    </row>
    <row r="2878" spans="1:17" ht="15.75" hidden="1" thickBot="1">
      <c r="A2878" s="390" t="str">
        <f t="shared" ref="A2878:B2878" si="8642">A2875</f>
        <v>PBSeT</v>
      </c>
      <c r="B2878" s="391" t="str">
        <f t="shared" si="8642"/>
        <v>particle</v>
      </c>
      <c r="C2878" s="391">
        <f t="shared" ref="C2878" si="8643">C2877</f>
        <v>6</v>
      </c>
      <c r="D2878" s="391" t="str">
        <f t="shared" ref="D2878:E2878" si="8644">D2875</f>
        <v>1-10</v>
      </c>
      <c r="E2878" s="391">
        <f t="shared" si="8644"/>
        <v>10</v>
      </c>
      <c r="F2878" s="391" t="str">
        <f t="shared" ref="F2878:G2878" si="8645">F2877</f>
        <v>marine water</v>
      </c>
      <c r="G2878" s="401" t="str">
        <f t="shared" si="8645"/>
        <v>DE: PBSeT particle 1-10 mm (emission to marine water)</v>
      </c>
      <c r="H2878" s="465">
        <v>1</v>
      </c>
      <c r="I2878" s="394" t="s">
        <v>1146</v>
      </c>
      <c r="J2878" s="635"/>
      <c r="K2878" s="389">
        <v>2.13</v>
      </c>
      <c r="L2878" s="536"/>
      <c r="M2878" s="509">
        <f t="shared" si="8471"/>
        <v>586.85446009389671</v>
      </c>
      <c r="N2878" s="646"/>
      <c r="O2878" s="626"/>
      <c r="P2878" s="629"/>
      <c r="Q2878" s="629"/>
    </row>
    <row r="2879" spans="1:17" ht="15.75" hidden="1" thickBot="1">
      <c r="A2879" s="390" t="str">
        <f t="shared" ref="A2879:B2879" si="8646">A2876</f>
        <v>PBSeT</v>
      </c>
      <c r="B2879" s="391" t="str">
        <f t="shared" si="8646"/>
        <v>particle</v>
      </c>
      <c r="C2879" s="391">
        <f t="shared" ref="C2879" si="8647">C2878</f>
        <v>6</v>
      </c>
      <c r="D2879" s="391" t="str">
        <f t="shared" ref="D2879:E2879" si="8648">D2876</f>
        <v>1-10</v>
      </c>
      <c r="E2879" s="391">
        <f t="shared" si="8648"/>
        <v>10</v>
      </c>
      <c r="F2879" s="391" t="str">
        <f t="shared" ref="F2879:G2879" si="8649">F2878</f>
        <v>marine water</v>
      </c>
      <c r="G2879" s="401" t="str">
        <f t="shared" si="8649"/>
        <v>DE: PBSeT particle 1-10 mm (emission to marine water)</v>
      </c>
      <c r="H2879" s="465">
        <v>0</v>
      </c>
      <c r="I2879" s="397" t="s">
        <v>1034</v>
      </c>
      <c r="J2879" s="654"/>
      <c r="K2879" s="398" t="s">
        <v>596</v>
      </c>
      <c r="L2879" s="538"/>
      <c r="M2879" s="509">
        <f t="shared" si="8471"/>
        <v>0</v>
      </c>
      <c r="N2879" s="647"/>
      <c r="O2879" s="627"/>
      <c r="P2879" s="629"/>
      <c r="Q2879" s="629"/>
    </row>
    <row r="2880" spans="1:17" ht="15.75" hidden="1" thickBot="1">
      <c r="A2880" s="390" t="str">
        <f t="shared" ref="A2880:B2880" si="8650">A2877</f>
        <v>PBSeT</v>
      </c>
      <c r="B2880" s="391" t="str">
        <f t="shared" si="8650"/>
        <v>particle</v>
      </c>
      <c r="C2880" s="391">
        <f t="shared" ref="C2880" si="8651">C2879</f>
        <v>6</v>
      </c>
      <c r="D2880" s="391" t="str">
        <f t="shared" ref="D2880:E2880" si="8652">D2877</f>
        <v>1-10</v>
      </c>
      <c r="E2880" s="391">
        <f t="shared" si="8652"/>
        <v>10</v>
      </c>
      <c r="F2880" s="400" t="s">
        <v>1057</v>
      </c>
      <c r="G2880" s="422" t="str">
        <f>CONCATENATE("DE: ",A2880," ",B2880," ",D2880," mm (emission to ",F2880,")")</f>
        <v>DE: PBSeT particle 1-10 mm (emission to air)</v>
      </c>
      <c r="H2880" s="465">
        <v>0.94799999999999995</v>
      </c>
      <c r="I2880" s="388" t="s">
        <v>1153</v>
      </c>
      <c r="J2880" s="634">
        <v>0.22800000000000001</v>
      </c>
      <c r="K2880" s="389">
        <v>19.655684523809523</v>
      </c>
      <c r="L2880" s="536"/>
      <c r="M2880" s="509">
        <f t="shared" si="8471"/>
        <v>63.594834282461001</v>
      </c>
      <c r="N2880" s="645">
        <f t="shared" si="8480"/>
        <v>90.804334824655655</v>
      </c>
      <c r="O2880" s="625"/>
      <c r="P2880" s="628">
        <f t="shared" si="8551"/>
        <v>90.804334824655655</v>
      </c>
      <c r="Q2880" s="628">
        <f t="shared" si="8633"/>
        <v>90.804334824655655</v>
      </c>
    </row>
    <row r="2881" spans="1:17" ht="15.75" hidden="1" thickBot="1">
      <c r="A2881" s="390" t="str">
        <f t="shared" ref="A2881:B2881" si="8653">A2878</f>
        <v>PBSeT</v>
      </c>
      <c r="B2881" s="391" t="str">
        <f t="shared" si="8653"/>
        <v>particle</v>
      </c>
      <c r="C2881" s="391">
        <f t="shared" ref="C2881" si="8654">C2880</f>
        <v>6</v>
      </c>
      <c r="D2881" s="391" t="str">
        <f t="shared" ref="D2881:E2881" si="8655">D2878</f>
        <v>1-10</v>
      </c>
      <c r="E2881" s="391">
        <f t="shared" si="8655"/>
        <v>10</v>
      </c>
      <c r="F2881" s="391" t="str">
        <f t="shared" ref="F2881:G2881" si="8656">F2880</f>
        <v>air</v>
      </c>
      <c r="G2881" s="401" t="str">
        <f t="shared" si="8656"/>
        <v>DE: PBSeT particle 1-10 mm (emission to air)</v>
      </c>
      <c r="H2881" s="465">
        <v>0</v>
      </c>
      <c r="I2881" s="394" t="s">
        <v>1097</v>
      </c>
      <c r="J2881" s="635"/>
      <c r="K2881" s="389">
        <v>2.0007669930984768</v>
      </c>
      <c r="L2881" s="536"/>
      <c r="M2881" s="509">
        <f t="shared" si="8471"/>
        <v>624.7604065399911</v>
      </c>
      <c r="N2881" s="646"/>
      <c r="O2881" s="626"/>
      <c r="P2881" s="629"/>
      <c r="Q2881" s="629"/>
    </row>
    <row r="2882" spans="1:17" ht="15.75" hidden="1" thickBot="1">
      <c r="A2882" s="390" t="str">
        <f t="shared" ref="A2882:B2882" si="8657">A2879</f>
        <v>PBSeT</v>
      </c>
      <c r="B2882" s="391" t="str">
        <f t="shared" si="8657"/>
        <v>particle</v>
      </c>
      <c r="C2882" s="391">
        <f t="shared" ref="C2882" si="8658">C2881</f>
        <v>6</v>
      </c>
      <c r="D2882" s="391" t="str">
        <f t="shared" ref="D2882:E2882" si="8659">D2879</f>
        <v>1-10</v>
      </c>
      <c r="E2882" s="391">
        <f t="shared" si="8659"/>
        <v>10</v>
      </c>
      <c r="F2882" s="391" t="str">
        <f t="shared" ref="F2882:G2882" si="8660">F2881</f>
        <v>air</v>
      </c>
      <c r="G2882" s="401" t="str">
        <f t="shared" si="8660"/>
        <v>DE: PBSeT particle 1-10 mm (emission to air)</v>
      </c>
      <c r="H2882" s="465">
        <v>4.7E-2</v>
      </c>
      <c r="I2882" s="394" t="s">
        <v>1162</v>
      </c>
      <c r="J2882" s="635"/>
      <c r="K2882" s="389">
        <v>2.13</v>
      </c>
      <c r="L2882" s="536"/>
      <c r="M2882" s="509">
        <f t="shared" si="8471"/>
        <v>586.85446009389671</v>
      </c>
      <c r="N2882" s="646"/>
      <c r="O2882" s="626"/>
      <c r="P2882" s="629"/>
      <c r="Q2882" s="629"/>
    </row>
    <row r="2883" spans="1:17" ht="15.75" hidden="1" thickBot="1">
      <c r="A2883" s="390" t="str">
        <f t="shared" ref="A2883:B2883" si="8661">A2880</f>
        <v>PBSeT</v>
      </c>
      <c r="B2883" s="391" t="str">
        <f t="shared" si="8661"/>
        <v>particle</v>
      </c>
      <c r="C2883" s="391">
        <f t="shared" ref="C2883" si="8662">C2882</f>
        <v>6</v>
      </c>
      <c r="D2883" s="391" t="str">
        <f t="shared" ref="D2883:E2883" si="8663">D2880</f>
        <v>1-10</v>
      </c>
      <c r="E2883" s="391">
        <f t="shared" si="8663"/>
        <v>10</v>
      </c>
      <c r="F2883" s="391" t="str">
        <f t="shared" ref="F2883:G2883" si="8664">F2882</f>
        <v>air</v>
      </c>
      <c r="G2883" s="401" t="str">
        <f t="shared" si="8664"/>
        <v>DE: PBSeT particle 1-10 mm (emission to air)</v>
      </c>
      <c r="H2883" s="465">
        <v>5.0000000000000001E-3</v>
      </c>
      <c r="I2883" s="394" t="s">
        <v>1146</v>
      </c>
      <c r="J2883" s="635"/>
      <c r="K2883" s="389">
        <v>2.13</v>
      </c>
      <c r="L2883" s="536"/>
      <c r="M2883" s="509">
        <f t="shared" si="8471"/>
        <v>586.85446009389671</v>
      </c>
      <c r="N2883" s="646"/>
      <c r="O2883" s="626"/>
      <c r="P2883" s="629"/>
      <c r="Q2883" s="629"/>
    </row>
    <row r="2884" spans="1:17" ht="15.75" hidden="1" thickBot="1">
      <c r="A2884" s="452" t="str">
        <f t="shared" ref="A2884:B2884" si="8665">A2879</f>
        <v>PBSeT</v>
      </c>
      <c r="B2884" s="453" t="str">
        <f t="shared" si="8665"/>
        <v>particle</v>
      </c>
      <c r="C2884" s="453">
        <f t="shared" ref="C2884" si="8666">C2883</f>
        <v>6</v>
      </c>
      <c r="D2884" s="453" t="str">
        <f t="shared" ref="D2884:E2884" si="8667">D2879</f>
        <v>1-10</v>
      </c>
      <c r="E2884" s="453">
        <f t="shared" si="8667"/>
        <v>10</v>
      </c>
      <c r="F2884" s="453" t="str">
        <f t="shared" ref="F2884:G2884" si="8668">F2883</f>
        <v>air</v>
      </c>
      <c r="G2884" s="454" t="str">
        <f t="shared" si="8668"/>
        <v>DE: PBSeT particle 1-10 mm (emission to air)</v>
      </c>
      <c r="H2884" s="473">
        <v>0</v>
      </c>
      <c r="I2884" s="456" t="s">
        <v>1034</v>
      </c>
      <c r="J2884" s="636"/>
      <c r="K2884" s="457" t="s">
        <v>596</v>
      </c>
      <c r="L2884" s="543"/>
      <c r="M2884" s="509">
        <f t="shared" si="8471"/>
        <v>0</v>
      </c>
      <c r="N2884" s="647"/>
      <c r="O2884" s="627"/>
      <c r="P2884" s="629"/>
      <c r="Q2884" s="629"/>
    </row>
    <row r="2885" spans="1:17" ht="16.5" hidden="1" thickTop="1" thickBot="1">
      <c r="A2885" s="442" t="s">
        <v>48</v>
      </c>
      <c r="B2885" s="443" t="s">
        <v>996</v>
      </c>
      <c r="C2885" s="444">
        <f>IF(OR(B2885="Folie", B2885="Strips", B2885="Film",B2885="Flakes",B2885="Coupon"), 2,IF(OR(B2885="Fibers",B2885="Pellets"),4,IF(OR(B2885="Particles",B2885="Shreds",B2885="Powder",B2885="Fragments",B2885="Granules"),6,"")))</f>
        <v>2</v>
      </c>
      <c r="D2885" s="444" t="s">
        <v>1018</v>
      </c>
      <c r="E2885" s="445">
        <v>0.1</v>
      </c>
      <c r="F2885" s="446" t="s">
        <v>1019</v>
      </c>
      <c r="G2885" s="447" t="str">
        <f>CONCATENATE("DE: ",A2885," ",B2885," ",D2885," mm (emission to ",F2885,")")</f>
        <v>DE: PCL film 0,01-0,1 mm (emission to soil)</v>
      </c>
      <c r="H2885" s="464">
        <v>0.97</v>
      </c>
      <c r="I2885" s="448" t="s">
        <v>1153</v>
      </c>
      <c r="J2885" s="632">
        <v>0.22800000000000001</v>
      </c>
      <c r="K2885" s="449">
        <v>439.96</v>
      </c>
      <c r="L2885" s="541"/>
      <c r="M2885" s="509">
        <f t="shared" si="8471"/>
        <v>0.11364669515410493</v>
      </c>
      <c r="N2885" s="645">
        <f t="shared" si="8480"/>
        <v>0.11364669515410492</v>
      </c>
      <c r="O2885" s="625"/>
      <c r="P2885" s="628">
        <f t="shared" si="8551"/>
        <v>0.11364669515410492</v>
      </c>
      <c r="Q2885" s="628">
        <f t="shared" si="8633"/>
        <v>0.11364669515410492</v>
      </c>
    </row>
    <row r="2886" spans="1:17" ht="15.75" hidden="1" thickBot="1">
      <c r="A2886" s="390" t="str">
        <f>A2885</f>
        <v>PCL</v>
      </c>
      <c r="B2886" s="391" t="str">
        <f>B2885</f>
        <v>film</v>
      </c>
      <c r="C2886" s="391">
        <f t="shared" ref="C2886:G2886" si="8669">C2885</f>
        <v>2</v>
      </c>
      <c r="D2886" s="391" t="str">
        <f t="shared" si="8669"/>
        <v>0,01-0,1</v>
      </c>
      <c r="E2886" s="391">
        <f t="shared" si="8669"/>
        <v>0.1</v>
      </c>
      <c r="F2886" s="391" t="str">
        <f t="shared" si="8669"/>
        <v>soil</v>
      </c>
      <c r="G2886" s="392" t="str">
        <f t="shared" si="8669"/>
        <v>DE: PCL film 0,01-0,1 mm (emission to soil)</v>
      </c>
      <c r="H2886" s="465">
        <v>0</v>
      </c>
      <c r="I2886" s="394" t="s">
        <v>1097</v>
      </c>
      <c r="J2886" s="632"/>
      <c r="K2886" s="395">
        <v>439.96</v>
      </c>
      <c r="L2886" s="537"/>
      <c r="M2886" s="509">
        <f t="shared" ref="M2886:M2949" si="8670">IFERROR(IF(K2886="--",0,IF(E2886*1000/K2886*(1-0.5)^(C2886/2)&gt;1000,1000,E2886*1000/K2886*(1-0.5)^(C2886/2))),1000)</f>
        <v>0.11364669515410493</v>
      </c>
      <c r="N2886" s="646"/>
      <c r="O2886" s="626"/>
      <c r="P2886" s="629"/>
      <c r="Q2886" s="629"/>
    </row>
    <row r="2887" spans="1:17" ht="15.75" hidden="1" thickBot="1">
      <c r="A2887" s="390" t="str">
        <f t="shared" ref="A2887:G2887" si="8671">A2886</f>
        <v>PCL</v>
      </c>
      <c r="B2887" s="391" t="str">
        <f t="shared" si="8671"/>
        <v>film</v>
      </c>
      <c r="C2887" s="391">
        <f t="shared" si="8671"/>
        <v>2</v>
      </c>
      <c r="D2887" s="391" t="str">
        <f t="shared" si="8671"/>
        <v>0,01-0,1</v>
      </c>
      <c r="E2887" s="391">
        <f t="shared" si="8671"/>
        <v>0.1</v>
      </c>
      <c r="F2887" s="391" t="str">
        <f t="shared" si="8671"/>
        <v>soil</v>
      </c>
      <c r="G2887" s="392" t="str">
        <f t="shared" si="8671"/>
        <v>DE: PCL film 0,01-0,1 mm (emission to soil)</v>
      </c>
      <c r="H2887" s="465">
        <v>2.7E-2</v>
      </c>
      <c r="I2887" s="394" t="s">
        <v>1162</v>
      </c>
      <c r="J2887" s="632"/>
      <c r="K2887" s="395">
        <v>439.96</v>
      </c>
      <c r="L2887" s="537"/>
      <c r="M2887" s="509">
        <f t="shared" si="8670"/>
        <v>0.11364669515410493</v>
      </c>
      <c r="N2887" s="646"/>
      <c r="O2887" s="626"/>
      <c r="P2887" s="629"/>
      <c r="Q2887" s="629"/>
    </row>
    <row r="2888" spans="1:17" ht="15.75" hidden="1" thickBot="1">
      <c r="A2888" s="390" t="str">
        <f t="shared" ref="A2888:G2888" si="8672">A2887</f>
        <v>PCL</v>
      </c>
      <c r="B2888" s="391" t="str">
        <f t="shared" si="8672"/>
        <v>film</v>
      </c>
      <c r="C2888" s="391">
        <f t="shared" si="8672"/>
        <v>2</v>
      </c>
      <c r="D2888" s="391" t="str">
        <f t="shared" si="8672"/>
        <v>0,01-0,1</v>
      </c>
      <c r="E2888" s="391">
        <f t="shared" si="8672"/>
        <v>0.1</v>
      </c>
      <c r="F2888" s="391" t="str">
        <f t="shared" si="8672"/>
        <v>soil</v>
      </c>
      <c r="G2888" s="392" t="str">
        <f t="shared" si="8672"/>
        <v>DE: PCL film 0,01-0,1 mm (emission to soil)</v>
      </c>
      <c r="H2888" s="465">
        <v>3.0000000000000001E-3</v>
      </c>
      <c r="I2888" s="394" t="s">
        <v>1163</v>
      </c>
      <c r="J2888" s="632"/>
      <c r="K2888" s="395">
        <v>439.96</v>
      </c>
      <c r="L2888" s="537"/>
      <c r="M2888" s="509">
        <f t="shared" si="8670"/>
        <v>0.11364669515410493</v>
      </c>
      <c r="N2888" s="646"/>
      <c r="O2888" s="626"/>
      <c r="P2888" s="629"/>
      <c r="Q2888" s="629"/>
    </row>
    <row r="2889" spans="1:17" ht="15.75" hidden="1" thickBot="1">
      <c r="A2889" s="390" t="str">
        <f>A2886</f>
        <v>PCL</v>
      </c>
      <c r="B2889" s="391" t="str">
        <f>B2886</f>
        <v>film</v>
      </c>
      <c r="C2889" s="391">
        <f t="shared" ref="C2889" si="8673">C2888</f>
        <v>2</v>
      </c>
      <c r="D2889" s="391" t="str">
        <f>D2886</f>
        <v>0,01-0,1</v>
      </c>
      <c r="E2889" s="391">
        <f>E2886</f>
        <v>0.1</v>
      </c>
      <c r="F2889" s="391" t="str">
        <f>F2886</f>
        <v>soil</v>
      </c>
      <c r="G2889" s="396" t="str">
        <f t="shared" ref="G2889" si="8674">G2888</f>
        <v>DE: PCL film 0,01-0,1 mm (emission to soil)</v>
      </c>
      <c r="H2889" s="465">
        <v>0</v>
      </c>
      <c r="I2889" s="397" t="s">
        <v>1034</v>
      </c>
      <c r="J2889" s="633"/>
      <c r="K2889" s="398" t="s">
        <v>596</v>
      </c>
      <c r="L2889" s="538"/>
      <c r="M2889" s="509">
        <f t="shared" si="8670"/>
        <v>0</v>
      </c>
      <c r="N2889" s="647"/>
      <c r="O2889" s="627"/>
      <c r="P2889" s="629"/>
      <c r="Q2889" s="629"/>
    </row>
    <row r="2890" spans="1:17" ht="15.75" hidden="1" thickBot="1">
      <c r="A2890" s="390" t="str">
        <f t="shared" ref="A2890:B2890" si="8675">A2887</f>
        <v>PCL</v>
      </c>
      <c r="B2890" s="391" t="str">
        <f t="shared" si="8675"/>
        <v>film</v>
      </c>
      <c r="C2890" s="391">
        <f t="shared" ref="C2890" si="8676">C2889</f>
        <v>2</v>
      </c>
      <c r="D2890" s="399" t="str">
        <f t="shared" ref="D2890:E2890" si="8677">D2887</f>
        <v>0,01-0,1</v>
      </c>
      <c r="E2890" s="391">
        <f t="shared" si="8677"/>
        <v>0.1</v>
      </c>
      <c r="F2890" s="400" t="s">
        <v>1147</v>
      </c>
      <c r="G2890" s="386" t="str">
        <f>CONCATENATE("DE: ",A2890," ",B2890," ",D2890," mm (emission to ",F2890,")")</f>
        <v>DE: PCL film 0,01-0,1 mm (emission to fresh water)</v>
      </c>
      <c r="H2890" s="466">
        <v>0</v>
      </c>
      <c r="I2890" s="388" t="s">
        <v>1153</v>
      </c>
      <c r="J2890" s="634">
        <v>0.22800000000000001</v>
      </c>
      <c r="K2890" s="389">
        <v>439.96</v>
      </c>
      <c r="L2890" s="536"/>
      <c r="M2890" s="509">
        <f t="shared" si="8670"/>
        <v>0.11364669515410493</v>
      </c>
      <c r="N2890" s="645">
        <f t="shared" ref="N2890:N2950" si="8678">IFERROR(H2890*M2890+H2891*M2891+H2892*M2892+H2893*M2893+H2894*M2894,"N.A.")</f>
        <v>0.11364669515410493</v>
      </c>
      <c r="O2890" s="625"/>
      <c r="P2890" s="628">
        <f t="shared" si="8551"/>
        <v>0.11364669515410493</v>
      </c>
      <c r="Q2890" s="628">
        <f t="shared" si="8633"/>
        <v>0.11364669515410493</v>
      </c>
    </row>
    <row r="2891" spans="1:17" ht="15.75" hidden="1" thickBot="1">
      <c r="A2891" s="390" t="str">
        <f t="shared" ref="A2891:B2891" si="8679">A2888</f>
        <v>PCL</v>
      </c>
      <c r="B2891" s="391" t="str">
        <f t="shared" si="8679"/>
        <v>film</v>
      </c>
      <c r="C2891" s="391">
        <f t="shared" ref="C2891" si="8680">C2890</f>
        <v>2</v>
      </c>
      <c r="D2891" s="391" t="str">
        <f t="shared" ref="D2891:E2891" si="8681">D2888</f>
        <v>0,01-0,1</v>
      </c>
      <c r="E2891" s="391">
        <f t="shared" si="8681"/>
        <v>0.1</v>
      </c>
      <c r="F2891" s="391" t="str">
        <f t="shared" ref="F2891:G2891" si="8682">F2890</f>
        <v>fresh water</v>
      </c>
      <c r="G2891" s="401" t="str">
        <f t="shared" si="8682"/>
        <v>DE: PCL film 0,01-0,1 mm (emission to fresh water)</v>
      </c>
      <c r="H2891" s="465">
        <v>0</v>
      </c>
      <c r="I2891" s="394" t="s">
        <v>1097</v>
      </c>
      <c r="J2891" s="635"/>
      <c r="K2891" s="389">
        <v>439.96</v>
      </c>
      <c r="L2891" s="536"/>
      <c r="M2891" s="509">
        <f t="shared" si="8670"/>
        <v>0.11364669515410493</v>
      </c>
      <c r="N2891" s="646"/>
      <c r="O2891" s="626"/>
      <c r="P2891" s="629"/>
      <c r="Q2891" s="629"/>
    </row>
    <row r="2892" spans="1:17" ht="15.75" hidden="1" thickBot="1">
      <c r="A2892" s="390" t="str">
        <f t="shared" ref="A2892:B2892" si="8683">A2889</f>
        <v>PCL</v>
      </c>
      <c r="B2892" s="391" t="str">
        <f t="shared" si="8683"/>
        <v>film</v>
      </c>
      <c r="C2892" s="391">
        <f t="shared" ref="C2892" si="8684">C2891</f>
        <v>2</v>
      </c>
      <c r="D2892" s="391" t="str">
        <f t="shared" ref="D2892:E2892" si="8685">D2889</f>
        <v>0,01-0,1</v>
      </c>
      <c r="E2892" s="391">
        <f t="shared" si="8685"/>
        <v>0.1</v>
      </c>
      <c r="F2892" s="391" t="str">
        <f t="shared" ref="F2892:G2892" si="8686">F2891</f>
        <v>fresh water</v>
      </c>
      <c r="G2892" s="401" t="str">
        <f t="shared" si="8686"/>
        <v>DE: PCL film 0,01-0,1 mm (emission to fresh water)</v>
      </c>
      <c r="H2892" s="465">
        <v>0.89</v>
      </c>
      <c r="I2892" s="394" t="s">
        <v>1162</v>
      </c>
      <c r="J2892" s="635"/>
      <c r="K2892" s="389">
        <v>439.96</v>
      </c>
      <c r="L2892" s="536"/>
      <c r="M2892" s="509">
        <f t="shared" si="8670"/>
        <v>0.11364669515410493</v>
      </c>
      <c r="N2892" s="646"/>
      <c r="O2892" s="626"/>
      <c r="P2892" s="629"/>
      <c r="Q2892" s="629"/>
    </row>
    <row r="2893" spans="1:17" ht="15.75" hidden="1" thickBot="1">
      <c r="A2893" s="390" t="str">
        <f t="shared" ref="A2893:B2893" si="8687">A2890</f>
        <v>PCL</v>
      </c>
      <c r="B2893" s="391" t="str">
        <f t="shared" si="8687"/>
        <v>film</v>
      </c>
      <c r="C2893" s="391">
        <f t="shared" ref="C2893" si="8688">C2892</f>
        <v>2</v>
      </c>
      <c r="D2893" s="391" t="str">
        <f t="shared" ref="D2893:E2893" si="8689">D2890</f>
        <v>0,01-0,1</v>
      </c>
      <c r="E2893" s="391">
        <f t="shared" si="8689"/>
        <v>0.1</v>
      </c>
      <c r="F2893" s="391" t="str">
        <f t="shared" ref="F2893:G2893" si="8690">F2892</f>
        <v>fresh water</v>
      </c>
      <c r="G2893" s="401" t="str">
        <f t="shared" si="8690"/>
        <v>DE: PCL film 0,01-0,1 mm (emission to fresh water)</v>
      </c>
      <c r="H2893" s="465">
        <v>0.11</v>
      </c>
      <c r="I2893" s="394" t="s">
        <v>1163</v>
      </c>
      <c r="J2893" s="635"/>
      <c r="K2893" s="389">
        <v>439.96</v>
      </c>
      <c r="L2893" s="536"/>
      <c r="M2893" s="509">
        <f t="shared" si="8670"/>
        <v>0.11364669515410493</v>
      </c>
      <c r="N2893" s="646"/>
      <c r="O2893" s="626"/>
      <c r="P2893" s="629"/>
      <c r="Q2893" s="629"/>
    </row>
    <row r="2894" spans="1:17" ht="15.75" hidden="1" thickBot="1">
      <c r="A2894" s="390" t="str">
        <f t="shared" ref="A2894:B2894" si="8691">A2891</f>
        <v>PCL</v>
      </c>
      <c r="B2894" s="391" t="str">
        <f t="shared" si="8691"/>
        <v>film</v>
      </c>
      <c r="C2894" s="391">
        <f t="shared" ref="C2894" si="8692">C2893</f>
        <v>2</v>
      </c>
      <c r="D2894" s="391" t="str">
        <f t="shared" ref="D2894:E2894" si="8693">D2891</f>
        <v>0,01-0,1</v>
      </c>
      <c r="E2894" s="391">
        <f t="shared" si="8693"/>
        <v>0.1</v>
      </c>
      <c r="F2894" s="402" t="str">
        <f>F2891</f>
        <v>fresh water</v>
      </c>
      <c r="G2894" s="401" t="str">
        <f t="shared" ref="G2894" si="8694">G2893</f>
        <v>DE: PCL film 0,01-0,1 mm (emission to fresh water)</v>
      </c>
      <c r="H2894" s="465">
        <v>0</v>
      </c>
      <c r="I2894" s="397" t="s">
        <v>1034</v>
      </c>
      <c r="J2894" s="654"/>
      <c r="K2894" s="398" t="s">
        <v>596</v>
      </c>
      <c r="L2894" s="538"/>
      <c r="M2894" s="509">
        <f t="shared" si="8670"/>
        <v>0</v>
      </c>
      <c r="N2894" s="647"/>
      <c r="O2894" s="627"/>
      <c r="P2894" s="629"/>
      <c r="Q2894" s="629"/>
    </row>
    <row r="2895" spans="1:17" ht="15.75" hidden="1" thickBot="1">
      <c r="A2895" s="390" t="str">
        <f t="shared" ref="A2895:B2895" si="8695">A2892</f>
        <v>PCL</v>
      </c>
      <c r="B2895" s="391" t="str">
        <f t="shared" si="8695"/>
        <v>film</v>
      </c>
      <c r="C2895" s="391">
        <f t="shared" ref="C2895" si="8696">C2894</f>
        <v>2</v>
      </c>
      <c r="D2895" s="391" t="str">
        <f t="shared" ref="D2895:E2895" si="8697">D2892</f>
        <v>0,01-0,1</v>
      </c>
      <c r="E2895" s="391">
        <f t="shared" si="8697"/>
        <v>0.1</v>
      </c>
      <c r="F2895" s="385" t="s">
        <v>1097</v>
      </c>
      <c r="G2895" s="422" t="str">
        <f>CONCATENATE("DE: ",A2895," ",B2895," ",D2895," mm (emission to ",F2895,")")</f>
        <v>DE: PCL film 0,01-0,1 mm (emission to marine water)</v>
      </c>
      <c r="H2895" s="467">
        <v>0</v>
      </c>
      <c r="I2895" s="388" t="s">
        <v>1153</v>
      </c>
      <c r="J2895" s="634">
        <v>0.22800000000000001</v>
      </c>
      <c r="K2895" s="389">
        <v>439.96</v>
      </c>
      <c r="L2895" s="536"/>
      <c r="M2895" s="509">
        <f t="shared" si="8670"/>
        <v>0.11364669515410493</v>
      </c>
      <c r="N2895" s="645">
        <f t="shared" si="8678"/>
        <v>0.11364669515410493</v>
      </c>
      <c r="O2895" s="625"/>
      <c r="P2895" s="628">
        <f t="shared" si="8551"/>
        <v>0.11364669515410493</v>
      </c>
      <c r="Q2895" s="628">
        <f t="shared" si="8633"/>
        <v>0.11364669515410493</v>
      </c>
    </row>
    <row r="2896" spans="1:17" ht="15.75" hidden="1" thickBot="1">
      <c r="A2896" s="390" t="str">
        <f t="shared" ref="A2896:B2896" si="8698">A2893</f>
        <v>PCL</v>
      </c>
      <c r="B2896" s="391" t="str">
        <f t="shared" si="8698"/>
        <v>film</v>
      </c>
      <c r="C2896" s="391">
        <f t="shared" ref="C2896" si="8699">C2895</f>
        <v>2</v>
      </c>
      <c r="D2896" s="391" t="str">
        <f t="shared" ref="D2896:E2896" si="8700">D2893</f>
        <v>0,01-0,1</v>
      </c>
      <c r="E2896" s="391">
        <f t="shared" si="8700"/>
        <v>0.1</v>
      </c>
      <c r="F2896" s="391" t="str">
        <f t="shared" ref="F2896:G2896" si="8701">F2895</f>
        <v>marine water</v>
      </c>
      <c r="G2896" s="401" t="str">
        <f t="shared" si="8701"/>
        <v>DE: PCL film 0,01-0,1 mm (emission to marine water)</v>
      </c>
      <c r="H2896" s="465">
        <v>0</v>
      </c>
      <c r="I2896" s="394" t="s">
        <v>1097</v>
      </c>
      <c r="J2896" s="635"/>
      <c r="K2896" s="389">
        <v>439.96</v>
      </c>
      <c r="L2896" s="536"/>
      <c r="M2896" s="509">
        <f t="shared" si="8670"/>
        <v>0.11364669515410493</v>
      </c>
      <c r="N2896" s="646"/>
      <c r="O2896" s="626"/>
      <c r="P2896" s="629"/>
      <c r="Q2896" s="629"/>
    </row>
    <row r="2897" spans="1:17" ht="15.75" hidden="1" thickBot="1">
      <c r="A2897" s="390" t="str">
        <f t="shared" ref="A2897:B2897" si="8702">A2894</f>
        <v>PCL</v>
      </c>
      <c r="B2897" s="391" t="str">
        <f t="shared" si="8702"/>
        <v>film</v>
      </c>
      <c r="C2897" s="391">
        <f t="shared" ref="C2897" si="8703">C2896</f>
        <v>2</v>
      </c>
      <c r="D2897" s="391" t="str">
        <f t="shared" ref="D2897:E2897" si="8704">D2894</f>
        <v>0,01-0,1</v>
      </c>
      <c r="E2897" s="391">
        <f t="shared" si="8704"/>
        <v>0.1</v>
      </c>
      <c r="F2897" s="391" t="str">
        <f t="shared" ref="F2897:G2897" si="8705">F2896</f>
        <v>marine water</v>
      </c>
      <c r="G2897" s="401" t="str">
        <f t="shared" si="8705"/>
        <v>DE: PCL film 0,01-0,1 mm (emission to marine water)</v>
      </c>
      <c r="H2897" s="465">
        <v>0</v>
      </c>
      <c r="I2897" s="394" t="s">
        <v>1162</v>
      </c>
      <c r="J2897" s="635"/>
      <c r="K2897" s="389">
        <v>439.96</v>
      </c>
      <c r="L2897" s="536"/>
      <c r="M2897" s="509">
        <f t="shared" si="8670"/>
        <v>0.11364669515410493</v>
      </c>
      <c r="N2897" s="646"/>
      <c r="O2897" s="626"/>
      <c r="P2897" s="629"/>
      <c r="Q2897" s="629"/>
    </row>
    <row r="2898" spans="1:17" ht="15.75" hidden="1" thickBot="1">
      <c r="A2898" s="390" t="str">
        <f t="shared" ref="A2898:B2898" si="8706">A2895</f>
        <v>PCL</v>
      </c>
      <c r="B2898" s="391" t="str">
        <f t="shared" si="8706"/>
        <v>film</v>
      </c>
      <c r="C2898" s="391">
        <f t="shared" ref="C2898" si="8707">C2897</f>
        <v>2</v>
      </c>
      <c r="D2898" s="391" t="str">
        <f t="shared" ref="D2898:E2898" si="8708">D2895</f>
        <v>0,01-0,1</v>
      </c>
      <c r="E2898" s="391">
        <f t="shared" si="8708"/>
        <v>0.1</v>
      </c>
      <c r="F2898" s="391" t="str">
        <f t="shared" ref="F2898:G2898" si="8709">F2897</f>
        <v>marine water</v>
      </c>
      <c r="G2898" s="401" t="str">
        <f t="shared" si="8709"/>
        <v>DE: PCL film 0,01-0,1 mm (emission to marine water)</v>
      </c>
      <c r="H2898" s="465">
        <v>1</v>
      </c>
      <c r="I2898" s="394" t="s">
        <v>1163</v>
      </c>
      <c r="J2898" s="635"/>
      <c r="K2898" s="389">
        <v>439.96</v>
      </c>
      <c r="L2898" s="536"/>
      <c r="M2898" s="509">
        <f t="shared" si="8670"/>
        <v>0.11364669515410493</v>
      </c>
      <c r="N2898" s="646"/>
      <c r="O2898" s="626"/>
      <c r="P2898" s="629"/>
      <c r="Q2898" s="629"/>
    </row>
    <row r="2899" spans="1:17" ht="15.75" hidden="1" thickBot="1">
      <c r="A2899" s="390" t="str">
        <f t="shared" ref="A2899:B2899" si="8710">A2896</f>
        <v>PCL</v>
      </c>
      <c r="B2899" s="391" t="str">
        <f t="shared" si="8710"/>
        <v>film</v>
      </c>
      <c r="C2899" s="391">
        <f t="shared" ref="C2899" si="8711">C2898</f>
        <v>2</v>
      </c>
      <c r="D2899" s="391" t="str">
        <f t="shared" ref="D2899:E2899" si="8712">D2896</f>
        <v>0,01-0,1</v>
      </c>
      <c r="E2899" s="391">
        <f t="shared" si="8712"/>
        <v>0.1</v>
      </c>
      <c r="F2899" s="391" t="str">
        <f t="shared" ref="F2899:G2899" si="8713">F2898</f>
        <v>marine water</v>
      </c>
      <c r="G2899" s="401" t="str">
        <f t="shared" si="8713"/>
        <v>DE: PCL film 0,01-0,1 mm (emission to marine water)</v>
      </c>
      <c r="H2899" s="465">
        <v>0</v>
      </c>
      <c r="I2899" s="397" t="s">
        <v>1034</v>
      </c>
      <c r="J2899" s="654"/>
      <c r="K2899" s="398" t="s">
        <v>596</v>
      </c>
      <c r="L2899" s="538"/>
      <c r="M2899" s="509">
        <f t="shared" si="8670"/>
        <v>0</v>
      </c>
      <c r="N2899" s="647"/>
      <c r="O2899" s="627"/>
      <c r="P2899" s="629"/>
      <c r="Q2899" s="629"/>
    </row>
    <row r="2900" spans="1:17" ht="15.75" hidden="1" thickBot="1">
      <c r="A2900" s="390" t="str">
        <f t="shared" ref="A2900:B2900" si="8714">A2897</f>
        <v>PCL</v>
      </c>
      <c r="B2900" s="391" t="str">
        <f t="shared" si="8714"/>
        <v>film</v>
      </c>
      <c r="C2900" s="391">
        <f t="shared" ref="C2900" si="8715">C2899</f>
        <v>2</v>
      </c>
      <c r="D2900" s="391" t="str">
        <f t="shared" ref="D2900:E2900" si="8716">D2897</f>
        <v>0,01-0,1</v>
      </c>
      <c r="E2900" s="391">
        <f t="shared" si="8716"/>
        <v>0.1</v>
      </c>
      <c r="F2900" s="400" t="s">
        <v>1057</v>
      </c>
      <c r="G2900" s="422" t="str">
        <f>CONCATENATE("DE: ",A2900," ",B2900," ",D2900," mm (emission to ",F2900,")")</f>
        <v>DE: PCL film 0,01-0,1 mm (emission to air)</v>
      </c>
      <c r="H2900" s="467">
        <v>0.94799999999999995</v>
      </c>
      <c r="I2900" s="388" t="s">
        <v>1153</v>
      </c>
      <c r="J2900" s="634">
        <v>0.22800000000000001</v>
      </c>
      <c r="K2900" s="389">
        <v>439.96</v>
      </c>
      <c r="L2900" s="536"/>
      <c r="M2900" s="509">
        <f t="shared" si="8670"/>
        <v>0.11364669515410493</v>
      </c>
      <c r="N2900" s="645">
        <f t="shared" si="8678"/>
        <v>0.11364669515410492</v>
      </c>
      <c r="O2900" s="625"/>
      <c r="P2900" s="628">
        <f t="shared" ref="P2900:P2960" si="8717">IFERROR(IF(H2900*M2900+H2901*M2901+H2902*M2902+H2903*M2903+H2904*M2904&gt;100,100,H2900*M2900+H2901*M2901+H2902*M2902+H2903*M2903+H2904*M2904),"N.A.")</f>
        <v>0.11364669515410492</v>
      </c>
      <c r="Q2900" s="628">
        <f t="shared" si="8633"/>
        <v>0.11364669515410492</v>
      </c>
    </row>
    <row r="2901" spans="1:17" ht="15.75" hidden="1" thickBot="1">
      <c r="A2901" s="390" t="str">
        <f t="shared" ref="A2901:B2901" si="8718">A2898</f>
        <v>PCL</v>
      </c>
      <c r="B2901" s="391" t="str">
        <f t="shared" si="8718"/>
        <v>film</v>
      </c>
      <c r="C2901" s="391">
        <f t="shared" ref="C2901" si="8719">C2900</f>
        <v>2</v>
      </c>
      <c r="D2901" s="391" t="str">
        <f t="shared" ref="D2901:E2901" si="8720">D2898</f>
        <v>0,01-0,1</v>
      </c>
      <c r="E2901" s="391">
        <f t="shared" si="8720"/>
        <v>0.1</v>
      </c>
      <c r="F2901" s="391" t="str">
        <f t="shared" ref="F2901:G2901" si="8721">F2900</f>
        <v>air</v>
      </c>
      <c r="G2901" s="401" t="str">
        <f t="shared" si="8721"/>
        <v>DE: PCL film 0,01-0,1 mm (emission to air)</v>
      </c>
      <c r="H2901" s="465">
        <v>0</v>
      </c>
      <c r="I2901" s="394" t="s">
        <v>1097</v>
      </c>
      <c r="J2901" s="635"/>
      <c r="K2901" s="389">
        <v>439.96</v>
      </c>
      <c r="L2901" s="536"/>
      <c r="M2901" s="509">
        <f t="shared" si="8670"/>
        <v>0.11364669515410493</v>
      </c>
      <c r="N2901" s="646"/>
      <c r="O2901" s="626"/>
      <c r="P2901" s="629"/>
      <c r="Q2901" s="629"/>
    </row>
    <row r="2902" spans="1:17" ht="15.75" hidden="1" thickBot="1">
      <c r="A2902" s="390" t="str">
        <f t="shared" ref="A2902:B2902" si="8722">A2899</f>
        <v>PCL</v>
      </c>
      <c r="B2902" s="391" t="str">
        <f t="shared" si="8722"/>
        <v>film</v>
      </c>
      <c r="C2902" s="391">
        <f t="shared" ref="C2902" si="8723">C2901</f>
        <v>2</v>
      </c>
      <c r="D2902" s="391" t="str">
        <f t="shared" ref="D2902:E2902" si="8724">D2899</f>
        <v>0,01-0,1</v>
      </c>
      <c r="E2902" s="391">
        <f t="shared" si="8724"/>
        <v>0.1</v>
      </c>
      <c r="F2902" s="391" t="str">
        <f t="shared" ref="F2902:G2902" si="8725">F2901</f>
        <v>air</v>
      </c>
      <c r="G2902" s="401" t="str">
        <f t="shared" si="8725"/>
        <v>DE: PCL film 0,01-0,1 mm (emission to air)</v>
      </c>
      <c r="H2902" s="465">
        <v>4.7E-2</v>
      </c>
      <c r="I2902" s="394" t="s">
        <v>1162</v>
      </c>
      <c r="J2902" s="635"/>
      <c r="K2902" s="389">
        <v>439.96</v>
      </c>
      <c r="L2902" s="536"/>
      <c r="M2902" s="509">
        <f t="shared" si="8670"/>
        <v>0.11364669515410493</v>
      </c>
      <c r="N2902" s="646"/>
      <c r="O2902" s="626"/>
      <c r="P2902" s="629"/>
      <c r="Q2902" s="629"/>
    </row>
    <row r="2903" spans="1:17" ht="15.75" hidden="1" thickBot="1">
      <c r="A2903" s="390" t="str">
        <f t="shared" ref="A2903:B2903" si="8726">A2900</f>
        <v>PCL</v>
      </c>
      <c r="B2903" s="391" t="str">
        <f t="shared" si="8726"/>
        <v>film</v>
      </c>
      <c r="C2903" s="391">
        <f t="shared" ref="C2903" si="8727">C2902</f>
        <v>2</v>
      </c>
      <c r="D2903" s="391" t="str">
        <f t="shared" ref="D2903:E2903" si="8728">D2900</f>
        <v>0,01-0,1</v>
      </c>
      <c r="E2903" s="391">
        <f t="shared" si="8728"/>
        <v>0.1</v>
      </c>
      <c r="F2903" s="391" t="str">
        <f t="shared" ref="F2903:G2903" si="8729">F2902</f>
        <v>air</v>
      </c>
      <c r="G2903" s="401" t="str">
        <f t="shared" si="8729"/>
        <v>DE: PCL film 0,01-0,1 mm (emission to air)</v>
      </c>
      <c r="H2903" s="465">
        <v>5.0000000000000001E-3</v>
      </c>
      <c r="I2903" s="394" t="s">
        <v>1163</v>
      </c>
      <c r="J2903" s="635"/>
      <c r="K2903" s="389">
        <v>439.96</v>
      </c>
      <c r="L2903" s="536"/>
      <c r="M2903" s="509">
        <f t="shared" si="8670"/>
        <v>0.11364669515410493</v>
      </c>
      <c r="N2903" s="646"/>
      <c r="O2903" s="626"/>
      <c r="P2903" s="629"/>
      <c r="Q2903" s="629"/>
    </row>
    <row r="2904" spans="1:17" ht="15.75" hidden="1" thickBot="1">
      <c r="A2904" s="390" t="str">
        <f t="shared" ref="A2904:B2904" si="8730">A2899</f>
        <v>PCL</v>
      </c>
      <c r="B2904" s="391" t="str">
        <f t="shared" si="8730"/>
        <v>film</v>
      </c>
      <c r="C2904" s="391">
        <f t="shared" ref="C2904" si="8731">C2903</f>
        <v>2</v>
      </c>
      <c r="D2904" s="391" t="str">
        <f t="shared" ref="D2904:E2904" si="8732">D2899</f>
        <v>0,01-0,1</v>
      </c>
      <c r="E2904" s="391">
        <f t="shared" si="8732"/>
        <v>0.1</v>
      </c>
      <c r="F2904" s="391" t="str">
        <f t="shared" ref="F2904:G2904" si="8733">F2903</f>
        <v>air</v>
      </c>
      <c r="G2904" s="401" t="str">
        <f t="shared" si="8733"/>
        <v>DE: PCL film 0,01-0,1 mm (emission to air)</v>
      </c>
      <c r="H2904" s="471">
        <v>0</v>
      </c>
      <c r="I2904" s="422" t="s">
        <v>1034</v>
      </c>
      <c r="J2904" s="636"/>
      <c r="K2904" s="451" t="s">
        <v>596</v>
      </c>
      <c r="L2904" s="542"/>
      <c r="M2904" s="509">
        <f t="shared" si="8670"/>
        <v>0</v>
      </c>
      <c r="N2904" s="647"/>
      <c r="O2904" s="627"/>
      <c r="P2904" s="629"/>
      <c r="Q2904" s="629"/>
    </row>
    <row r="2905" spans="1:17" ht="15.75" hidden="1" thickBot="1">
      <c r="A2905" s="405" t="s">
        <v>48</v>
      </c>
      <c r="B2905" s="406" t="s">
        <v>996</v>
      </c>
      <c r="C2905" s="407">
        <f>IF(OR(B2905="Folie", B2905="Strips", B2905="Film",B2905="Flakes",B2905="Coupon"), 2,IF(OR(B2905="Fibers",B2905="Pellets"),4,IF(OR(B2905="Particles",B2905="Shreds",B2905="Powder",B2905="Fragments",B2905="Granules"),6,"")))</f>
        <v>2</v>
      </c>
      <c r="D2905" s="423" t="s">
        <v>1028</v>
      </c>
      <c r="E2905" s="408">
        <v>1</v>
      </c>
      <c r="F2905" s="424" t="s">
        <v>1019</v>
      </c>
      <c r="G2905" s="425" t="str">
        <f>CONCATENATE("DE: ",A2905," ",B2905," ",D2905," mm (emission to ",F2905,")")</f>
        <v>DE: PCL film 0,1-1 mm (emission to soil)</v>
      </c>
      <c r="H2905" s="474">
        <v>0.97</v>
      </c>
      <c r="I2905" s="427" t="s">
        <v>1153</v>
      </c>
      <c r="J2905" s="632">
        <v>0.22800000000000001</v>
      </c>
      <c r="K2905" s="428">
        <v>439.96</v>
      </c>
      <c r="L2905" s="539"/>
      <c r="M2905" s="509">
        <f t="shared" si="8670"/>
        <v>1.1364669515410493</v>
      </c>
      <c r="N2905" s="645">
        <f t="shared" si="8678"/>
        <v>1.136466951541049</v>
      </c>
      <c r="O2905" s="625"/>
      <c r="P2905" s="628">
        <f t="shared" si="8717"/>
        <v>1.136466951541049</v>
      </c>
      <c r="Q2905" s="628">
        <f t="shared" si="8633"/>
        <v>1.136466951541049</v>
      </c>
    </row>
    <row r="2906" spans="1:17" ht="15.75" hidden="1" thickBot="1">
      <c r="A2906" s="390" t="str">
        <f>A2905</f>
        <v>PCL</v>
      </c>
      <c r="B2906" s="391" t="str">
        <f>B2905</f>
        <v>film</v>
      </c>
      <c r="C2906" s="391">
        <f t="shared" ref="C2906:G2906" si="8734">C2905</f>
        <v>2</v>
      </c>
      <c r="D2906" s="391" t="str">
        <f t="shared" si="8734"/>
        <v>0,1-1</v>
      </c>
      <c r="E2906" s="391">
        <f t="shared" si="8734"/>
        <v>1</v>
      </c>
      <c r="F2906" s="391" t="str">
        <f t="shared" si="8734"/>
        <v>soil</v>
      </c>
      <c r="G2906" s="392" t="str">
        <f t="shared" si="8734"/>
        <v>DE: PCL film 0,1-1 mm (emission to soil)</v>
      </c>
      <c r="H2906" s="465">
        <v>0</v>
      </c>
      <c r="I2906" s="394" t="s">
        <v>1097</v>
      </c>
      <c r="J2906" s="632"/>
      <c r="K2906" s="395">
        <v>439.96</v>
      </c>
      <c r="L2906" s="537"/>
      <c r="M2906" s="509">
        <f t="shared" si="8670"/>
        <v>1.1364669515410493</v>
      </c>
      <c r="N2906" s="646"/>
      <c r="O2906" s="626"/>
      <c r="P2906" s="629"/>
      <c r="Q2906" s="629"/>
    </row>
    <row r="2907" spans="1:17" ht="15.75" hidden="1" thickBot="1">
      <c r="A2907" s="390" t="str">
        <f t="shared" ref="A2907:G2907" si="8735">A2906</f>
        <v>PCL</v>
      </c>
      <c r="B2907" s="391" t="str">
        <f t="shared" si="8735"/>
        <v>film</v>
      </c>
      <c r="C2907" s="391">
        <f t="shared" si="8735"/>
        <v>2</v>
      </c>
      <c r="D2907" s="391" t="str">
        <f t="shared" si="8735"/>
        <v>0,1-1</v>
      </c>
      <c r="E2907" s="391">
        <f t="shared" si="8735"/>
        <v>1</v>
      </c>
      <c r="F2907" s="391" t="str">
        <f t="shared" si="8735"/>
        <v>soil</v>
      </c>
      <c r="G2907" s="392" t="str">
        <f t="shared" si="8735"/>
        <v>DE: PCL film 0,1-1 mm (emission to soil)</v>
      </c>
      <c r="H2907" s="465">
        <v>2.7E-2</v>
      </c>
      <c r="I2907" s="394" t="s">
        <v>1162</v>
      </c>
      <c r="J2907" s="632"/>
      <c r="K2907" s="395">
        <v>439.96</v>
      </c>
      <c r="L2907" s="537"/>
      <c r="M2907" s="509">
        <f t="shared" si="8670"/>
        <v>1.1364669515410493</v>
      </c>
      <c r="N2907" s="646"/>
      <c r="O2907" s="626"/>
      <c r="P2907" s="629"/>
      <c r="Q2907" s="629"/>
    </row>
    <row r="2908" spans="1:17" ht="15.75" hidden="1" thickBot="1">
      <c r="A2908" s="390" t="str">
        <f t="shared" ref="A2908:G2908" si="8736">A2907</f>
        <v>PCL</v>
      </c>
      <c r="B2908" s="391" t="str">
        <f t="shared" si="8736"/>
        <v>film</v>
      </c>
      <c r="C2908" s="391">
        <f t="shared" si="8736"/>
        <v>2</v>
      </c>
      <c r="D2908" s="391" t="str">
        <f t="shared" si="8736"/>
        <v>0,1-1</v>
      </c>
      <c r="E2908" s="391">
        <f t="shared" si="8736"/>
        <v>1</v>
      </c>
      <c r="F2908" s="391" t="str">
        <f t="shared" si="8736"/>
        <v>soil</v>
      </c>
      <c r="G2908" s="392" t="str">
        <f t="shared" si="8736"/>
        <v>DE: PCL film 0,1-1 mm (emission to soil)</v>
      </c>
      <c r="H2908" s="465">
        <v>3.0000000000000001E-3</v>
      </c>
      <c r="I2908" s="394" t="s">
        <v>1163</v>
      </c>
      <c r="J2908" s="632"/>
      <c r="K2908" s="395">
        <v>439.96</v>
      </c>
      <c r="L2908" s="537"/>
      <c r="M2908" s="509">
        <f t="shared" si="8670"/>
        <v>1.1364669515410493</v>
      </c>
      <c r="N2908" s="646"/>
      <c r="O2908" s="626"/>
      <c r="P2908" s="629"/>
      <c r="Q2908" s="629"/>
    </row>
    <row r="2909" spans="1:17" ht="15.75" hidden="1" thickBot="1">
      <c r="A2909" s="390" t="str">
        <f>A2906</f>
        <v>PCL</v>
      </c>
      <c r="B2909" s="391" t="str">
        <f>B2906</f>
        <v>film</v>
      </c>
      <c r="C2909" s="391">
        <f t="shared" ref="C2909" si="8737">C2908</f>
        <v>2</v>
      </c>
      <c r="D2909" s="391" t="str">
        <f>D2906</f>
        <v>0,1-1</v>
      </c>
      <c r="E2909" s="391">
        <f>E2906</f>
        <v>1</v>
      </c>
      <c r="F2909" s="391" t="str">
        <f>F2906</f>
        <v>soil</v>
      </c>
      <c r="G2909" s="396" t="str">
        <f t="shared" ref="G2909" si="8738">G2908</f>
        <v>DE: PCL film 0,1-1 mm (emission to soil)</v>
      </c>
      <c r="H2909" s="465">
        <v>0</v>
      </c>
      <c r="I2909" s="397" t="s">
        <v>1034</v>
      </c>
      <c r="J2909" s="633"/>
      <c r="K2909" s="398" t="s">
        <v>596</v>
      </c>
      <c r="L2909" s="538"/>
      <c r="M2909" s="509">
        <f t="shared" si="8670"/>
        <v>0</v>
      </c>
      <c r="N2909" s="647"/>
      <c r="O2909" s="627"/>
      <c r="P2909" s="629"/>
      <c r="Q2909" s="629"/>
    </row>
    <row r="2910" spans="1:17" ht="15.75" hidden="1" thickBot="1">
      <c r="A2910" s="390" t="str">
        <f t="shared" ref="A2910:B2910" si="8739">A2907</f>
        <v>PCL</v>
      </c>
      <c r="B2910" s="391" t="str">
        <f t="shared" si="8739"/>
        <v>film</v>
      </c>
      <c r="C2910" s="391">
        <f t="shared" ref="C2910" si="8740">C2909</f>
        <v>2</v>
      </c>
      <c r="D2910" s="399" t="str">
        <f t="shared" ref="D2910:E2910" si="8741">D2907</f>
        <v>0,1-1</v>
      </c>
      <c r="E2910" s="391">
        <f t="shared" si="8741"/>
        <v>1</v>
      </c>
      <c r="F2910" s="400" t="s">
        <v>1147</v>
      </c>
      <c r="G2910" s="386" t="str">
        <f>CONCATENATE("DE: ",A2910," ",B2910," ",D2910," mm (emission to ",F2910,")")</f>
        <v>DE: PCL film 0,1-1 mm (emission to fresh water)</v>
      </c>
      <c r="H2910" s="466">
        <v>0</v>
      </c>
      <c r="I2910" s="388" t="s">
        <v>1153</v>
      </c>
      <c r="J2910" s="634">
        <v>0.22800000000000001</v>
      </c>
      <c r="K2910" s="389">
        <v>439.96</v>
      </c>
      <c r="L2910" s="536"/>
      <c r="M2910" s="509">
        <f t="shared" si="8670"/>
        <v>1.1364669515410493</v>
      </c>
      <c r="N2910" s="645">
        <f t="shared" si="8678"/>
        <v>1.1364669515410493</v>
      </c>
      <c r="O2910" s="625"/>
      <c r="P2910" s="628">
        <f t="shared" si="8717"/>
        <v>1.1364669515410493</v>
      </c>
      <c r="Q2910" s="628">
        <f t="shared" si="8633"/>
        <v>1.1364669515410493</v>
      </c>
    </row>
    <row r="2911" spans="1:17" ht="15.75" hidden="1" thickBot="1">
      <c r="A2911" s="390" t="str">
        <f t="shared" ref="A2911:B2911" si="8742">A2908</f>
        <v>PCL</v>
      </c>
      <c r="B2911" s="391" t="str">
        <f t="shared" si="8742"/>
        <v>film</v>
      </c>
      <c r="C2911" s="391">
        <f t="shared" ref="C2911" si="8743">C2910</f>
        <v>2</v>
      </c>
      <c r="D2911" s="391" t="str">
        <f t="shared" ref="D2911:E2911" si="8744">D2908</f>
        <v>0,1-1</v>
      </c>
      <c r="E2911" s="391">
        <f t="shared" si="8744"/>
        <v>1</v>
      </c>
      <c r="F2911" s="391" t="str">
        <f t="shared" ref="F2911:G2911" si="8745">F2910</f>
        <v>fresh water</v>
      </c>
      <c r="G2911" s="401" t="str">
        <f t="shared" si="8745"/>
        <v>DE: PCL film 0,1-1 mm (emission to fresh water)</v>
      </c>
      <c r="H2911" s="465">
        <v>0</v>
      </c>
      <c r="I2911" s="394" t="s">
        <v>1097</v>
      </c>
      <c r="J2911" s="635"/>
      <c r="K2911" s="389">
        <v>439.96</v>
      </c>
      <c r="L2911" s="536"/>
      <c r="M2911" s="509">
        <f t="shared" si="8670"/>
        <v>1.1364669515410493</v>
      </c>
      <c r="N2911" s="646"/>
      <c r="O2911" s="626"/>
      <c r="P2911" s="629"/>
      <c r="Q2911" s="629"/>
    </row>
    <row r="2912" spans="1:17" ht="15.75" hidden="1" thickBot="1">
      <c r="A2912" s="390" t="str">
        <f t="shared" ref="A2912:B2912" si="8746">A2909</f>
        <v>PCL</v>
      </c>
      <c r="B2912" s="391" t="str">
        <f t="shared" si="8746"/>
        <v>film</v>
      </c>
      <c r="C2912" s="391">
        <f t="shared" ref="C2912" si="8747">C2911</f>
        <v>2</v>
      </c>
      <c r="D2912" s="391" t="str">
        <f t="shared" ref="D2912:E2912" si="8748">D2909</f>
        <v>0,1-1</v>
      </c>
      <c r="E2912" s="391">
        <f t="shared" si="8748"/>
        <v>1</v>
      </c>
      <c r="F2912" s="391" t="str">
        <f t="shared" ref="F2912:G2912" si="8749">F2911</f>
        <v>fresh water</v>
      </c>
      <c r="G2912" s="401" t="str">
        <f t="shared" si="8749"/>
        <v>DE: PCL film 0,1-1 mm (emission to fresh water)</v>
      </c>
      <c r="H2912" s="465">
        <v>0.89</v>
      </c>
      <c r="I2912" s="394" t="s">
        <v>1162</v>
      </c>
      <c r="J2912" s="635"/>
      <c r="K2912" s="389">
        <v>439.96</v>
      </c>
      <c r="L2912" s="536"/>
      <c r="M2912" s="509">
        <f t="shared" si="8670"/>
        <v>1.1364669515410493</v>
      </c>
      <c r="N2912" s="646"/>
      <c r="O2912" s="626"/>
      <c r="P2912" s="629"/>
      <c r="Q2912" s="629"/>
    </row>
    <row r="2913" spans="1:17" ht="15.75" hidden="1" thickBot="1">
      <c r="A2913" s="390" t="str">
        <f t="shared" ref="A2913:B2913" si="8750">A2910</f>
        <v>PCL</v>
      </c>
      <c r="B2913" s="391" t="str">
        <f t="shared" si="8750"/>
        <v>film</v>
      </c>
      <c r="C2913" s="391">
        <f t="shared" ref="C2913" si="8751">C2912</f>
        <v>2</v>
      </c>
      <c r="D2913" s="391" t="str">
        <f t="shared" ref="D2913:E2913" si="8752">D2910</f>
        <v>0,1-1</v>
      </c>
      <c r="E2913" s="391">
        <f t="shared" si="8752"/>
        <v>1</v>
      </c>
      <c r="F2913" s="391" t="str">
        <f t="shared" ref="F2913:G2913" si="8753">F2912</f>
        <v>fresh water</v>
      </c>
      <c r="G2913" s="401" t="str">
        <f t="shared" si="8753"/>
        <v>DE: PCL film 0,1-1 mm (emission to fresh water)</v>
      </c>
      <c r="H2913" s="465">
        <v>0.11</v>
      </c>
      <c r="I2913" s="394" t="s">
        <v>1163</v>
      </c>
      <c r="J2913" s="635"/>
      <c r="K2913" s="389">
        <v>439.96</v>
      </c>
      <c r="L2913" s="536"/>
      <c r="M2913" s="509">
        <f t="shared" si="8670"/>
        <v>1.1364669515410493</v>
      </c>
      <c r="N2913" s="646"/>
      <c r="O2913" s="626"/>
      <c r="P2913" s="629"/>
      <c r="Q2913" s="629"/>
    </row>
    <row r="2914" spans="1:17" ht="15.75" hidden="1" thickBot="1">
      <c r="A2914" s="390" t="str">
        <f t="shared" ref="A2914:B2914" si="8754">A2911</f>
        <v>PCL</v>
      </c>
      <c r="B2914" s="391" t="str">
        <f t="shared" si="8754"/>
        <v>film</v>
      </c>
      <c r="C2914" s="391">
        <f t="shared" ref="C2914" si="8755">C2913</f>
        <v>2</v>
      </c>
      <c r="D2914" s="391" t="str">
        <f t="shared" ref="D2914:E2914" si="8756">D2911</f>
        <v>0,1-1</v>
      </c>
      <c r="E2914" s="391">
        <f t="shared" si="8756"/>
        <v>1</v>
      </c>
      <c r="F2914" s="402" t="str">
        <f>F2911</f>
        <v>fresh water</v>
      </c>
      <c r="G2914" s="401" t="str">
        <f t="shared" ref="G2914" si="8757">G2913</f>
        <v>DE: PCL film 0,1-1 mm (emission to fresh water)</v>
      </c>
      <c r="H2914" s="465">
        <v>0</v>
      </c>
      <c r="I2914" s="397" t="s">
        <v>1034</v>
      </c>
      <c r="J2914" s="654"/>
      <c r="K2914" s="398" t="s">
        <v>596</v>
      </c>
      <c r="L2914" s="538"/>
      <c r="M2914" s="509">
        <f t="shared" si="8670"/>
        <v>0</v>
      </c>
      <c r="N2914" s="647"/>
      <c r="O2914" s="627"/>
      <c r="P2914" s="629"/>
      <c r="Q2914" s="629"/>
    </row>
    <row r="2915" spans="1:17" ht="15.75" hidden="1" thickBot="1">
      <c r="A2915" s="390" t="str">
        <f t="shared" ref="A2915:B2915" si="8758">A2912</f>
        <v>PCL</v>
      </c>
      <c r="B2915" s="391" t="str">
        <f t="shared" si="8758"/>
        <v>film</v>
      </c>
      <c r="C2915" s="391">
        <f t="shared" ref="C2915" si="8759">C2914</f>
        <v>2</v>
      </c>
      <c r="D2915" s="391" t="str">
        <f t="shared" ref="D2915:E2915" si="8760">D2912</f>
        <v>0,1-1</v>
      </c>
      <c r="E2915" s="391">
        <f t="shared" si="8760"/>
        <v>1</v>
      </c>
      <c r="F2915" s="385" t="s">
        <v>1097</v>
      </c>
      <c r="G2915" s="422" t="str">
        <f>CONCATENATE("DE: ",A2915," ",B2915," ",D2915," mm (emission to ",F2915,")")</f>
        <v>DE: PCL film 0,1-1 mm (emission to marine water)</v>
      </c>
      <c r="H2915" s="467">
        <v>0</v>
      </c>
      <c r="I2915" s="388" t="s">
        <v>1153</v>
      </c>
      <c r="J2915" s="634">
        <v>0.22800000000000001</v>
      </c>
      <c r="K2915" s="389">
        <v>439.96</v>
      </c>
      <c r="L2915" s="536"/>
      <c r="M2915" s="509">
        <f t="shared" si="8670"/>
        <v>1.1364669515410493</v>
      </c>
      <c r="N2915" s="645">
        <f t="shared" si="8678"/>
        <v>1.1364669515410493</v>
      </c>
      <c r="O2915" s="625"/>
      <c r="P2915" s="628">
        <f t="shared" si="8717"/>
        <v>1.1364669515410493</v>
      </c>
      <c r="Q2915" s="628">
        <f t="shared" si="8633"/>
        <v>1.1364669515410493</v>
      </c>
    </row>
    <row r="2916" spans="1:17" ht="15.75" hidden="1" thickBot="1">
      <c r="A2916" s="390" t="str">
        <f t="shared" ref="A2916:B2916" si="8761">A2913</f>
        <v>PCL</v>
      </c>
      <c r="B2916" s="391" t="str">
        <f t="shared" si="8761"/>
        <v>film</v>
      </c>
      <c r="C2916" s="391">
        <f t="shared" ref="C2916" si="8762">C2915</f>
        <v>2</v>
      </c>
      <c r="D2916" s="391" t="str">
        <f t="shared" ref="D2916:E2916" si="8763">D2913</f>
        <v>0,1-1</v>
      </c>
      <c r="E2916" s="391">
        <f t="shared" si="8763"/>
        <v>1</v>
      </c>
      <c r="F2916" s="391" t="str">
        <f t="shared" ref="F2916:G2916" si="8764">F2915</f>
        <v>marine water</v>
      </c>
      <c r="G2916" s="401" t="str">
        <f t="shared" si="8764"/>
        <v>DE: PCL film 0,1-1 mm (emission to marine water)</v>
      </c>
      <c r="H2916" s="465">
        <v>0</v>
      </c>
      <c r="I2916" s="394" t="s">
        <v>1097</v>
      </c>
      <c r="J2916" s="635"/>
      <c r="K2916" s="389">
        <v>439.96</v>
      </c>
      <c r="L2916" s="536"/>
      <c r="M2916" s="509">
        <f t="shared" si="8670"/>
        <v>1.1364669515410493</v>
      </c>
      <c r="N2916" s="646"/>
      <c r="O2916" s="626"/>
      <c r="P2916" s="629"/>
      <c r="Q2916" s="629"/>
    </row>
    <row r="2917" spans="1:17" ht="15.75" hidden="1" thickBot="1">
      <c r="A2917" s="390" t="str">
        <f t="shared" ref="A2917:B2917" si="8765">A2914</f>
        <v>PCL</v>
      </c>
      <c r="B2917" s="391" t="str">
        <f t="shared" si="8765"/>
        <v>film</v>
      </c>
      <c r="C2917" s="391">
        <f t="shared" ref="C2917" si="8766">C2916</f>
        <v>2</v>
      </c>
      <c r="D2917" s="391" t="str">
        <f t="shared" ref="D2917:E2917" si="8767">D2914</f>
        <v>0,1-1</v>
      </c>
      <c r="E2917" s="391">
        <f t="shared" si="8767"/>
        <v>1</v>
      </c>
      <c r="F2917" s="391" t="str">
        <f t="shared" ref="F2917:G2917" si="8768">F2916</f>
        <v>marine water</v>
      </c>
      <c r="G2917" s="401" t="str">
        <f t="shared" si="8768"/>
        <v>DE: PCL film 0,1-1 mm (emission to marine water)</v>
      </c>
      <c r="H2917" s="465">
        <v>0</v>
      </c>
      <c r="I2917" s="394" t="s">
        <v>1162</v>
      </c>
      <c r="J2917" s="635"/>
      <c r="K2917" s="389">
        <v>439.96</v>
      </c>
      <c r="L2917" s="536"/>
      <c r="M2917" s="509">
        <f t="shared" si="8670"/>
        <v>1.1364669515410493</v>
      </c>
      <c r="N2917" s="646"/>
      <c r="O2917" s="626"/>
      <c r="P2917" s="629"/>
      <c r="Q2917" s="629"/>
    </row>
    <row r="2918" spans="1:17" ht="15.75" hidden="1" thickBot="1">
      <c r="A2918" s="390" t="str">
        <f t="shared" ref="A2918:B2918" si="8769">A2915</f>
        <v>PCL</v>
      </c>
      <c r="B2918" s="391" t="str">
        <f t="shared" si="8769"/>
        <v>film</v>
      </c>
      <c r="C2918" s="391">
        <f t="shared" ref="C2918" si="8770">C2917</f>
        <v>2</v>
      </c>
      <c r="D2918" s="391" t="str">
        <f t="shared" ref="D2918:E2918" si="8771">D2915</f>
        <v>0,1-1</v>
      </c>
      <c r="E2918" s="391">
        <f t="shared" si="8771"/>
        <v>1</v>
      </c>
      <c r="F2918" s="391" t="str">
        <f t="shared" ref="F2918:G2918" si="8772">F2917</f>
        <v>marine water</v>
      </c>
      <c r="G2918" s="401" t="str">
        <f t="shared" si="8772"/>
        <v>DE: PCL film 0,1-1 mm (emission to marine water)</v>
      </c>
      <c r="H2918" s="465">
        <v>1</v>
      </c>
      <c r="I2918" s="394" t="s">
        <v>1163</v>
      </c>
      <c r="J2918" s="635"/>
      <c r="K2918" s="389">
        <v>439.96</v>
      </c>
      <c r="L2918" s="536"/>
      <c r="M2918" s="509">
        <f t="shared" si="8670"/>
        <v>1.1364669515410493</v>
      </c>
      <c r="N2918" s="646"/>
      <c r="O2918" s="626"/>
      <c r="P2918" s="629"/>
      <c r="Q2918" s="629"/>
    </row>
    <row r="2919" spans="1:17" ht="15.75" hidden="1" thickBot="1">
      <c r="A2919" s="390" t="str">
        <f t="shared" ref="A2919:B2919" si="8773">A2916</f>
        <v>PCL</v>
      </c>
      <c r="B2919" s="391" t="str">
        <f t="shared" si="8773"/>
        <v>film</v>
      </c>
      <c r="C2919" s="391">
        <f t="shared" ref="C2919" si="8774">C2918</f>
        <v>2</v>
      </c>
      <c r="D2919" s="391" t="str">
        <f t="shared" ref="D2919:E2919" si="8775">D2916</f>
        <v>0,1-1</v>
      </c>
      <c r="E2919" s="391">
        <f t="shared" si="8775"/>
        <v>1</v>
      </c>
      <c r="F2919" s="391" t="str">
        <f t="shared" ref="F2919:G2919" si="8776">F2918</f>
        <v>marine water</v>
      </c>
      <c r="G2919" s="401" t="str">
        <f t="shared" si="8776"/>
        <v>DE: PCL film 0,1-1 mm (emission to marine water)</v>
      </c>
      <c r="H2919" s="465">
        <v>0</v>
      </c>
      <c r="I2919" s="397" t="s">
        <v>1034</v>
      </c>
      <c r="J2919" s="654"/>
      <c r="K2919" s="398" t="s">
        <v>596</v>
      </c>
      <c r="L2919" s="538"/>
      <c r="M2919" s="509">
        <f t="shared" si="8670"/>
        <v>0</v>
      </c>
      <c r="N2919" s="647"/>
      <c r="O2919" s="627"/>
      <c r="P2919" s="629"/>
      <c r="Q2919" s="629"/>
    </row>
    <row r="2920" spans="1:17" ht="15.75" hidden="1" thickBot="1">
      <c r="A2920" s="390" t="str">
        <f t="shared" ref="A2920:B2920" si="8777">A2917</f>
        <v>PCL</v>
      </c>
      <c r="B2920" s="391" t="str">
        <f t="shared" si="8777"/>
        <v>film</v>
      </c>
      <c r="C2920" s="391">
        <f t="shared" ref="C2920" si="8778">C2919</f>
        <v>2</v>
      </c>
      <c r="D2920" s="391" t="str">
        <f t="shared" ref="D2920:E2920" si="8779">D2917</f>
        <v>0,1-1</v>
      </c>
      <c r="E2920" s="391">
        <f t="shared" si="8779"/>
        <v>1</v>
      </c>
      <c r="F2920" s="400" t="s">
        <v>1057</v>
      </c>
      <c r="G2920" s="422" t="str">
        <f>CONCATENATE("DE: ",A2920," ",B2920," ",D2920," mm (emission to ",F2920,")")</f>
        <v>DE: PCL film 0,1-1 mm (emission to air)</v>
      </c>
      <c r="H2920" s="467">
        <v>0.94799999999999995</v>
      </c>
      <c r="I2920" s="388" t="s">
        <v>1153</v>
      </c>
      <c r="J2920" s="634">
        <v>0.22800000000000001</v>
      </c>
      <c r="K2920" s="389">
        <v>439.96</v>
      </c>
      <c r="L2920" s="536"/>
      <c r="M2920" s="509">
        <f t="shared" si="8670"/>
        <v>1.1364669515410493</v>
      </c>
      <c r="N2920" s="645">
        <f t="shared" si="8678"/>
        <v>1.1364669515410493</v>
      </c>
      <c r="O2920" s="625"/>
      <c r="P2920" s="628">
        <f t="shared" si="8717"/>
        <v>1.1364669515410493</v>
      </c>
      <c r="Q2920" s="628">
        <f t="shared" si="8633"/>
        <v>1.1364669515410493</v>
      </c>
    </row>
    <row r="2921" spans="1:17" ht="15.75" hidden="1" thickBot="1">
      <c r="A2921" s="390" t="str">
        <f t="shared" ref="A2921:B2921" si="8780">A2918</f>
        <v>PCL</v>
      </c>
      <c r="B2921" s="391" t="str">
        <f t="shared" si="8780"/>
        <v>film</v>
      </c>
      <c r="C2921" s="391">
        <f t="shared" ref="C2921" si="8781">C2920</f>
        <v>2</v>
      </c>
      <c r="D2921" s="391" t="str">
        <f t="shared" ref="D2921:E2921" si="8782">D2918</f>
        <v>0,1-1</v>
      </c>
      <c r="E2921" s="391">
        <f t="shared" si="8782"/>
        <v>1</v>
      </c>
      <c r="F2921" s="391" t="str">
        <f t="shared" ref="F2921:G2921" si="8783">F2920</f>
        <v>air</v>
      </c>
      <c r="G2921" s="401" t="str">
        <f t="shared" si="8783"/>
        <v>DE: PCL film 0,1-1 mm (emission to air)</v>
      </c>
      <c r="H2921" s="465">
        <v>0</v>
      </c>
      <c r="I2921" s="394" t="s">
        <v>1097</v>
      </c>
      <c r="J2921" s="635"/>
      <c r="K2921" s="389">
        <v>439.96</v>
      </c>
      <c r="L2921" s="536"/>
      <c r="M2921" s="509">
        <f t="shared" si="8670"/>
        <v>1.1364669515410493</v>
      </c>
      <c r="N2921" s="646"/>
      <c r="O2921" s="626"/>
      <c r="P2921" s="629"/>
      <c r="Q2921" s="629"/>
    </row>
    <row r="2922" spans="1:17" ht="15.75" hidden="1" thickBot="1">
      <c r="A2922" s="390" t="str">
        <f t="shared" ref="A2922:B2922" si="8784">A2919</f>
        <v>PCL</v>
      </c>
      <c r="B2922" s="391" t="str">
        <f t="shared" si="8784"/>
        <v>film</v>
      </c>
      <c r="C2922" s="391">
        <f t="shared" ref="C2922" si="8785">C2921</f>
        <v>2</v>
      </c>
      <c r="D2922" s="391" t="str">
        <f t="shared" ref="D2922:E2922" si="8786">D2919</f>
        <v>0,1-1</v>
      </c>
      <c r="E2922" s="391">
        <f t="shared" si="8786"/>
        <v>1</v>
      </c>
      <c r="F2922" s="391" t="str">
        <f t="shared" ref="F2922:G2922" si="8787">F2921</f>
        <v>air</v>
      </c>
      <c r="G2922" s="401" t="str">
        <f t="shared" si="8787"/>
        <v>DE: PCL film 0,1-1 mm (emission to air)</v>
      </c>
      <c r="H2922" s="465">
        <v>4.7E-2</v>
      </c>
      <c r="I2922" s="394" t="s">
        <v>1162</v>
      </c>
      <c r="J2922" s="635"/>
      <c r="K2922" s="389">
        <v>439.96</v>
      </c>
      <c r="L2922" s="536"/>
      <c r="M2922" s="509">
        <f t="shared" si="8670"/>
        <v>1.1364669515410493</v>
      </c>
      <c r="N2922" s="646"/>
      <c r="O2922" s="626"/>
      <c r="P2922" s="629"/>
      <c r="Q2922" s="629"/>
    </row>
    <row r="2923" spans="1:17" ht="15.75" hidden="1" thickBot="1">
      <c r="A2923" s="390" t="str">
        <f t="shared" ref="A2923:B2923" si="8788">A2920</f>
        <v>PCL</v>
      </c>
      <c r="B2923" s="391" t="str">
        <f t="shared" si="8788"/>
        <v>film</v>
      </c>
      <c r="C2923" s="391">
        <f t="shared" ref="C2923" si="8789">C2922</f>
        <v>2</v>
      </c>
      <c r="D2923" s="391" t="str">
        <f t="shared" ref="D2923:E2923" si="8790">D2920</f>
        <v>0,1-1</v>
      </c>
      <c r="E2923" s="391">
        <f t="shared" si="8790"/>
        <v>1</v>
      </c>
      <c r="F2923" s="391" t="str">
        <f t="shared" ref="F2923:G2923" si="8791">F2922</f>
        <v>air</v>
      </c>
      <c r="G2923" s="401" t="str">
        <f t="shared" si="8791"/>
        <v>DE: PCL film 0,1-1 mm (emission to air)</v>
      </c>
      <c r="H2923" s="465">
        <v>5.0000000000000001E-3</v>
      </c>
      <c r="I2923" s="394" t="s">
        <v>1163</v>
      </c>
      <c r="J2923" s="635"/>
      <c r="K2923" s="389">
        <v>439.96</v>
      </c>
      <c r="L2923" s="536"/>
      <c r="M2923" s="509">
        <f t="shared" si="8670"/>
        <v>1.1364669515410493</v>
      </c>
      <c r="N2923" s="646"/>
      <c r="O2923" s="626"/>
      <c r="P2923" s="629"/>
      <c r="Q2923" s="629"/>
    </row>
    <row r="2924" spans="1:17" ht="15.75" hidden="1" thickBot="1">
      <c r="A2924" s="452" t="str">
        <f t="shared" ref="A2924:B2924" si="8792">A2919</f>
        <v>PCL</v>
      </c>
      <c r="B2924" s="453" t="str">
        <f t="shared" si="8792"/>
        <v>film</v>
      </c>
      <c r="C2924" s="453">
        <f t="shared" ref="C2924" si="8793">C2923</f>
        <v>2</v>
      </c>
      <c r="D2924" s="453" t="str">
        <f t="shared" ref="D2924:E2924" si="8794">D2919</f>
        <v>0,1-1</v>
      </c>
      <c r="E2924" s="453">
        <f t="shared" si="8794"/>
        <v>1</v>
      </c>
      <c r="F2924" s="453" t="str">
        <f t="shared" ref="F2924:G2924" si="8795">F2923</f>
        <v>air</v>
      </c>
      <c r="G2924" s="454" t="str">
        <f t="shared" si="8795"/>
        <v>DE: PCL film 0,1-1 mm (emission to air)</v>
      </c>
      <c r="H2924" s="473">
        <v>0</v>
      </c>
      <c r="I2924" s="456" t="s">
        <v>1034</v>
      </c>
      <c r="J2924" s="636"/>
      <c r="K2924" s="457" t="s">
        <v>596</v>
      </c>
      <c r="L2924" s="543"/>
      <c r="M2924" s="509">
        <f t="shared" si="8670"/>
        <v>0</v>
      </c>
      <c r="N2924" s="647"/>
      <c r="O2924" s="627"/>
      <c r="P2924" s="629"/>
      <c r="Q2924" s="629"/>
    </row>
    <row r="2925" spans="1:17" ht="15.75" hidden="1" thickBot="1">
      <c r="A2925" s="381" t="s">
        <v>48</v>
      </c>
      <c r="B2925" s="382" t="s">
        <v>996</v>
      </c>
      <c r="C2925" s="383">
        <f>IF(OR(B2925="Folie", B2925="Strips", B2925="Film",B2925="Flakes",B2925="Coupon"), 2,IF(OR(B2925="Fibers",B2925="Pellets"),4,IF(OR(B2925="Particles",B2925="Shreds",B2925="Powder",B2925="Fragments",B2925="Granules"),6,"")))</f>
        <v>2</v>
      </c>
      <c r="D2925" s="475" t="s">
        <v>1026</v>
      </c>
      <c r="E2925" s="384">
        <v>10</v>
      </c>
      <c r="F2925" s="385" t="s">
        <v>1019</v>
      </c>
      <c r="G2925" s="386" t="str">
        <f>CONCATENATE("DE: ",A2925," ",B2925," ",D2925," mm (emission to ",F2925,")")</f>
        <v>DE: PCL film 1-10 mm (emission to soil)</v>
      </c>
      <c r="H2925" s="466">
        <v>0.97</v>
      </c>
      <c r="I2925" s="388" t="s">
        <v>1153</v>
      </c>
      <c r="J2925" s="632">
        <v>0.22800000000000001</v>
      </c>
      <c r="K2925" s="389">
        <v>439.96</v>
      </c>
      <c r="L2925" s="536"/>
      <c r="M2925" s="509">
        <f t="shared" si="8670"/>
        <v>11.364669515410492</v>
      </c>
      <c r="N2925" s="645">
        <f t="shared" si="8678"/>
        <v>11.364669515410492</v>
      </c>
      <c r="O2925" s="625"/>
      <c r="P2925" s="628">
        <f t="shared" si="8717"/>
        <v>11.364669515410492</v>
      </c>
      <c r="Q2925" s="628">
        <f t="shared" si="8633"/>
        <v>11.364669515410492</v>
      </c>
    </row>
    <row r="2926" spans="1:17" ht="15.75" hidden="1" thickBot="1">
      <c r="A2926" s="390" t="str">
        <f>A2925</f>
        <v>PCL</v>
      </c>
      <c r="B2926" s="391" t="str">
        <f>B2925</f>
        <v>film</v>
      </c>
      <c r="C2926" s="391">
        <f t="shared" ref="C2926:G2926" si="8796">C2925</f>
        <v>2</v>
      </c>
      <c r="D2926" s="391" t="str">
        <f t="shared" si="8796"/>
        <v>1-10</v>
      </c>
      <c r="E2926" s="391">
        <f t="shared" si="8796"/>
        <v>10</v>
      </c>
      <c r="F2926" s="391" t="str">
        <f t="shared" si="8796"/>
        <v>soil</v>
      </c>
      <c r="G2926" s="392" t="str">
        <f t="shared" si="8796"/>
        <v>DE: PCL film 1-10 mm (emission to soil)</v>
      </c>
      <c r="H2926" s="465">
        <v>0</v>
      </c>
      <c r="I2926" s="394" t="s">
        <v>1097</v>
      </c>
      <c r="J2926" s="632"/>
      <c r="K2926" s="395">
        <v>439.96</v>
      </c>
      <c r="L2926" s="537"/>
      <c r="M2926" s="509">
        <f t="shared" si="8670"/>
        <v>11.364669515410492</v>
      </c>
      <c r="N2926" s="646"/>
      <c r="O2926" s="626"/>
      <c r="P2926" s="629"/>
      <c r="Q2926" s="629"/>
    </row>
    <row r="2927" spans="1:17" ht="15.75" hidden="1" thickBot="1">
      <c r="A2927" s="390" t="str">
        <f t="shared" ref="A2927:G2927" si="8797">A2926</f>
        <v>PCL</v>
      </c>
      <c r="B2927" s="391" t="str">
        <f t="shared" si="8797"/>
        <v>film</v>
      </c>
      <c r="C2927" s="391">
        <f t="shared" si="8797"/>
        <v>2</v>
      </c>
      <c r="D2927" s="391" t="str">
        <f t="shared" si="8797"/>
        <v>1-10</v>
      </c>
      <c r="E2927" s="391">
        <f t="shared" si="8797"/>
        <v>10</v>
      </c>
      <c r="F2927" s="391" t="str">
        <f t="shared" si="8797"/>
        <v>soil</v>
      </c>
      <c r="G2927" s="392" t="str">
        <f t="shared" si="8797"/>
        <v>DE: PCL film 1-10 mm (emission to soil)</v>
      </c>
      <c r="H2927" s="465">
        <v>2.7E-2</v>
      </c>
      <c r="I2927" s="394" t="s">
        <v>1162</v>
      </c>
      <c r="J2927" s="632"/>
      <c r="K2927" s="395">
        <v>439.96</v>
      </c>
      <c r="L2927" s="537"/>
      <c r="M2927" s="509">
        <f t="shared" si="8670"/>
        <v>11.364669515410492</v>
      </c>
      <c r="N2927" s="646"/>
      <c r="O2927" s="626"/>
      <c r="P2927" s="629"/>
      <c r="Q2927" s="629"/>
    </row>
    <row r="2928" spans="1:17" ht="15.75" hidden="1" thickBot="1">
      <c r="A2928" s="390" t="str">
        <f t="shared" ref="A2928:G2928" si="8798">A2927</f>
        <v>PCL</v>
      </c>
      <c r="B2928" s="391" t="str">
        <f t="shared" si="8798"/>
        <v>film</v>
      </c>
      <c r="C2928" s="391">
        <f t="shared" si="8798"/>
        <v>2</v>
      </c>
      <c r="D2928" s="391" t="str">
        <f t="shared" si="8798"/>
        <v>1-10</v>
      </c>
      <c r="E2928" s="391">
        <f t="shared" si="8798"/>
        <v>10</v>
      </c>
      <c r="F2928" s="391" t="str">
        <f t="shared" si="8798"/>
        <v>soil</v>
      </c>
      <c r="G2928" s="392" t="str">
        <f t="shared" si="8798"/>
        <v>DE: PCL film 1-10 mm (emission to soil)</v>
      </c>
      <c r="H2928" s="465">
        <v>3.0000000000000001E-3</v>
      </c>
      <c r="I2928" s="394" t="s">
        <v>1163</v>
      </c>
      <c r="J2928" s="632"/>
      <c r="K2928" s="395">
        <v>439.96</v>
      </c>
      <c r="L2928" s="537"/>
      <c r="M2928" s="509">
        <f t="shared" si="8670"/>
        <v>11.364669515410492</v>
      </c>
      <c r="N2928" s="646"/>
      <c r="O2928" s="626"/>
      <c r="P2928" s="629"/>
      <c r="Q2928" s="629"/>
    </row>
    <row r="2929" spans="1:17" ht="15.75" hidden="1" thickBot="1">
      <c r="A2929" s="390" t="str">
        <f>A2926</f>
        <v>PCL</v>
      </c>
      <c r="B2929" s="391" t="str">
        <f>B2926</f>
        <v>film</v>
      </c>
      <c r="C2929" s="391">
        <f t="shared" ref="C2929" si="8799">C2928</f>
        <v>2</v>
      </c>
      <c r="D2929" s="391" t="str">
        <f>D2926</f>
        <v>1-10</v>
      </c>
      <c r="E2929" s="391">
        <f>E2926</f>
        <v>10</v>
      </c>
      <c r="F2929" s="391" t="str">
        <f>F2926</f>
        <v>soil</v>
      </c>
      <c r="G2929" s="396" t="str">
        <f t="shared" ref="G2929" si="8800">G2928</f>
        <v>DE: PCL film 1-10 mm (emission to soil)</v>
      </c>
      <c r="H2929" s="465">
        <v>0</v>
      </c>
      <c r="I2929" s="397" t="s">
        <v>1034</v>
      </c>
      <c r="J2929" s="633"/>
      <c r="K2929" s="398" t="s">
        <v>596</v>
      </c>
      <c r="L2929" s="538"/>
      <c r="M2929" s="509">
        <f t="shared" si="8670"/>
        <v>0</v>
      </c>
      <c r="N2929" s="647"/>
      <c r="O2929" s="627"/>
      <c r="P2929" s="629"/>
      <c r="Q2929" s="629"/>
    </row>
    <row r="2930" spans="1:17" ht="15.75" hidden="1" thickBot="1">
      <c r="A2930" s="390" t="str">
        <f t="shared" ref="A2930:B2930" si="8801">A2927</f>
        <v>PCL</v>
      </c>
      <c r="B2930" s="391" t="str">
        <f t="shared" si="8801"/>
        <v>film</v>
      </c>
      <c r="C2930" s="391">
        <f t="shared" ref="C2930" si="8802">C2929</f>
        <v>2</v>
      </c>
      <c r="D2930" s="399" t="str">
        <f t="shared" ref="D2930:E2930" si="8803">D2927</f>
        <v>1-10</v>
      </c>
      <c r="E2930" s="391">
        <f t="shared" si="8803"/>
        <v>10</v>
      </c>
      <c r="F2930" s="400" t="s">
        <v>1147</v>
      </c>
      <c r="G2930" s="386" t="str">
        <f>CONCATENATE("DE: ",A2930," ",B2930," ",D2930," mm (emission to ",F2930,")")</f>
        <v>DE: PCL film 1-10 mm (emission to fresh water)</v>
      </c>
      <c r="H2930" s="466">
        <v>0</v>
      </c>
      <c r="I2930" s="388" t="s">
        <v>1153</v>
      </c>
      <c r="J2930" s="634">
        <v>0.22800000000000001</v>
      </c>
      <c r="K2930" s="389">
        <v>439.96</v>
      </c>
      <c r="L2930" s="536"/>
      <c r="M2930" s="509">
        <f t="shared" si="8670"/>
        <v>11.364669515410492</v>
      </c>
      <c r="N2930" s="645">
        <f t="shared" si="8678"/>
        <v>11.364669515410494</v>
      </c>
      <c r="O2930" s="625"/>
      <c r="P2930" s="628">
        <f t="shared" si="8717"/>
        <v>11.364669515410494</v>
      </c>
      <c r="Q2930" s="628">
        <f t="shared" si="8633"/>
        <v>11.364669515410494</v>
      </c>
    </row>
    <row r="2931" spans="1:17" ht="15.75" hidden="1" thickBot="1">
      <c r="A2931" s="390" t="str">
        <f t="shared" ref="A2931:B2931" si="8804">A2928</f>
        <v>PCL</v>
      </c>
      <c r="B2931" s="391" t="str">
        <f t="shared" si="8804"/>
        <v>film</v>
      </c>
      <c r="C2931" s="391">
        <f t="shared" ref="C2931" si="8805">C2930</f>
        <v>2</v>
      </c>
      <c r="D2931" s="391" t="str">
        <f t="shared" ref="D2931:E2931" si="8806">D2928</f>
        <v>1-10</v>
      </c>
      <c r="E2931" s="391">
        <f t="shared" si="8806"/>
        <v>10</v>
      </c>
      <c r="F2931" s="391" t="str">
        <f t="shared" ref="F2931:G2931" si="8807">F2930</f>
        <v>fresh water</v>
      </c>
      <c r="G2931" s="401" t="str">
        <f t="shared" si="8807"/>
        <v>DE: PCL film 1-10 mm (emission to fresh water)</v>
      </c>
      <c r="H2931" s="465">
        <v>0</v>
      </c>
      <c r="I2931" s="394" t="s">
        <v>1097</v>
      </c>
      <c r="J2931" s="635"/>
      <c r="K2931" s="389">
        <v>439.96</v>
      </c>
      <c r="L2931" s="536"/>
      <c r="M2931" s="509">
        <f t="shared" si="8670"/>
        <v>11.364669515410492</v>
      </c>
      <c r="N2931" s="646"/>
      <c r="O2931" s="626"/>
      <c r="P2931" s="629"/>
      <c r="Q2931" s="629"/>
    </row>
    <row r="2932" spans="1:17" ht="15.75" hidden="1" thickBot="1">
      <c r="A2932" s="390" t="str">
        <f t="shared" ref="A2932:B2932" si="8808">A2929</f>
        <v>PCL</v>
      </c>
      <c r="B2932" s="391" t="str">
        <f t="shared" si="8808"/>
        <v>film</v>
      </c>
      <c r="C2932" s="391">
        <f t="shared" ref="C2932" si="8809">C2931</f>
        <v>2</v>
      </c>
      <c r="D2932" s="391" t="str">
        <f t="shared" ref="D2932:E2932" si="8810">D2929</f>
        <v>1-10</v>
      </c>
      <c r="E2932" s="391">
        <f t="shared" si="8810"/>
        <v>10</v>
      </c>
      <c r="F2932" s="391" t="str">
        <f t="shared" ref="F2932:G2932" si="8811">F2931</f>
        <v>fresh water</v>
      </c>
      <c r="G2932" s="401" t="str">
        <f t="shared" si="8811"/>
        <v>DE: PCL film 1-10 mm (emission to fresh water)</v>
      </c>
      <c r="H2932" s="465">
        <v>0.89</v>
      </c>
      <c r="I2932" s="394" t="s">
        <v>1162</v>
      </c>
      <c r="J2932" s="635"/>
      <c r="K2932" s="389">
        <v>439.96</v>
      </c>
      <c r="L2932" s="536"/>
      <c r="M2932" s="509">
        <f t="shared" si="8670"/>
        <v>11.364669515410492</v>
      </c>
      <c r="N2932" s="646"/>
      <c r="O2932" s="626"/>
      <c r="P2932" s="629"/>
      <c r="Q2932" s="629"/>
    </row>
    <row r="2933" spans="1:17" ht="15.75" hidden="1" thickBot="1">
      <c r="A2933" s="390" t="str">
        <f t="shared" ref="A2933:B2933" si="8812">A2930</f>
        <v>PCL</v>
      </c>
      <c r="B2933" s="391" t="str">
        <f t="shared" si="8812"/>
        <v>film</v>
      </c>
      <c r="C2933" s="391">
        <f t="shared" ref="C2933" si="8813">C2932</f>
        <v>2</v>
      </c>
      <c r="D2933" s="391" t="str">
        <f t="shared" ref="D2933:E2933" si="8814">D2930</f>
        <v>1-10</v>
      </c>
      <c r="E2933" s="391">
        <f t="shared" si="8814"/>
        <v>10</v>
      </c>
      <c r="F2933" s="391" t="str">
        <f t="shared" ref="F2933:G2933" si="8815">F2932</f>
        <v>fresh water</v>
      </c>
      <c r="G2933" s="401" t="str">
        <f t="shared" si="8815"/>
        <v>DE: PCL film 1-10 mm (emission to fresh water)</v>
      </c>
      <c r="H2933" s="465">
        <v>0.11</v>
      </c>
      <c r="I2933" s="394" t="s">
        <v>1163</v>
      </c>
      <c r="J2933" s="635"/>
      <c r="K2933" s="389">
        <v>439.96</v>
      </c>
      <c r="L2933" s="536"/>
      <c r="M2933" s="509">
        <f t="shared" si="8670"/>
        <v>11.364669515410492</v>
      </c>
      <c r="N2933" s="646"/>
      <c r="O2933" s="626"/>
      <c r="P2933" s="629"/>
      <c r="Q2933" s="629"/>
    </row>
    <row r="2934" spans="1:17" ht="15.75" hidden="1" thickBot="1">
      <c r="A2934" s="390" t="str">
        <f t="shared" ref="A2934:B2934" si="8816">A2931</f>
        <v>PCL</v>
      </c>
      <c r="B2934" s="391" t="str">
        <f t="shared" si="8816"/>
        <v>film</v>
      </c>
      <c r="C2934" s="391">
        <f t="shared" ref="C2934" si="8817">C2933</f>
        <v>2</v>
      </c>
      <c r="D2934" s="391" t="str">
        <f t="shared" ref="D2934:E2934" si="8818">D2931</f>
        <v>1-10</v>
      </c>
      <c r="E2934" s="391">
        <f t="shared" si="8818"/>
        <v>10</v>
      </c>
      <c r="F2934" s="402" t="str">
        <f>F2931</f>
        <v>fresh water</v>
      </c>
      <c r="G2934" s="401" t="str">
        <f t="shared" ref="G2934" si="8819">G2933</f>
        <v>DE: PCL film 1-10 mm (emission to fresh water)</v>
      </c>
      <c r="H2934" s="465">
        <v>0</v>
      </c>
      <c r="I2934" s="397" t="s">
        <v>1034</v>
      </c>
      <c r="J2934" s="654"/>
      <c r="K2934" s="398" t="s">
        <v>596</v>
      </c>
      <c r="L2934" s="538"/>
      <c r="M2934" s="509">
        <f t="shared" si="8670"/>
        <v>0</v>
      </c>
      <c r="N2934" s="647"/>
      <c r="O2934" s="627"/>
      <c r="P2934" s="629"/>
      <c r="Q2934" s="629"/>
    </row>
    <row r="2935" spans="1:17" ht="15.75" hidden="1" thickBot="1">
      <c r="A2935" s="390" t="str">
        <f t="shared" ref="A2935:B2935" si="8820">A2932</f>
        <v>PCL</v>
      </c>
      <c r="B2935" s="391" t="str">
        <f t="shared" si="8820"/>
        <v>film</v>
      </c>
      <c r="C2935" s="391">
        <f t="shared" ref="C2935" si="8821">C2934</f>
        <v>2</v>
      </c>
      <c r="D2935" s="391" t="str">
        <f t="shared" ref="D2935:E2935" si="8822">D2932</f>
        <v>1-10</v>
      </c>
      <c r="E2935" s="391">
        <f t="shared" si="8822"/>
        <v>10</v>
      </c>
      <c r="F2935" s="385" t="s">
        <v>1097</v>
      </c>
      <c r="G2935" s="422" t="str">
        <f>CONCATENATE("DE: ",A2935," ",B2935," ",D2935," mm (emission to ",F2935,")")</f>
        <v>DE: PCL film 1-10 mm (emission to marine water)</v>
      </c>
      <c r="H2935" s="467">
        <v>0</v>
      </c>
      <c r="I2935" s="388" t="s">
        <v>1153</v>
      </c>
      <c r="J2935" s="634">
        <v>0.22800000000000001</v>
      </c>
      <c r="K2935" s="389">
        <v>439.96</v>
      </c>
      <c r="L2935" s="536"/>
      <c r="M2935" s="509">
        <f t="shared" si="8670"/>
        <v>11.364669515410492</v>
      </c>
      <c r="N2935" s="645">
        <f t="shared" si="8678"/>
        <v>11.364669515410492</v>
      </c>
      <c r="O2935" s="625"/>
      <c r="P2935" s="628">
        <f t="shared" si="8717"/>
        <v>11.364669515410492</v>
      </c>
      <c r="Q2935" s="628">
        <f t="shared" si="8633"/>
        <v>11.364669515410492</v>
      </c>
    </row>
    <row r="2936" spans="1:17" ht="15.75" hidden="1" thickBot="1">
      <c r="A2936" s="390" t="str">
        <f t="shared" ref="A2936:B2936" si="8823">A2933</f>
        <v>PCL</v>
      </c>
      <c r="B2936" s="391" t="str">
        <f t="shared" si="8823"/>
        <v>film</v>
      </c>
      <c r="C2936" s="391">
        <f t="shared" ref="C2936" si="8824">C2935</f>
        <v>2</v>
      </c>
      <c r="D2936" s="391" t="str">
        <f t="shared" ref="D2936:E2936" si="8825">D2933</f>
        <v>1-10</v>
      </c>
      <c r="E2936" s="391">
        <f t="shared" si="8825"/>
        <v>10</v>
      </c>
      <c r="F2936" s="391" t="str">
        <f t="shared" ref="F2936:G2936" si="8826">F2935</f>
        <v>marine water</v>
      </c>
      <c r="G2936" s="401" t="str">
        <f t="shared" si="8826"/>
        <v>DE: PCL film 1-10 mm (emission to marine water)</v>
      </c>
      <c r="H2936" s="465">
        <v>0</v>
      </c>
      <c r="I2936" s="394" t="s">
        <v>1097</v>
      </c>
      <c r="J2936" s="635"/>
      <c r="K2936" s="389">
        <v>439.96</v>
      </c>
      <c r="L2936" s="536"/>
      <c r="M2936" s="509">
        <f t="shared" si="8670"/>
        <v>11.364669515410492</v>
      </c>
      <c r="N2936" s="646"/>
      <c r="O2936" s="626"/>
      <c r="P2936" s="629"/>
      <c r="Q2936" s="629"/>
    </row>
    <row r="2937" spans="1:17" ht="15.75" hidden="1" thickBot="1">
      <c r="A2937" s="390" t="str">
        <f t="shared" ref="A2937:B2937" si="8827">A2934</f>
        <v>PCL</v>
      </c>
      <c r="B2937" s="391" t="str">
        <f t="shared" si="8827"/>
        <v>film</v>
      </c>
      <c r="C2937" s="391">
        <f t="shared" ref="C2937" si="8828">C2936</f>
        <v>2</v>
      </c>
      <c r="D2937" s="391" t="str">
        <f t="shared" ref="D2937:E2937" si="8829">D2934</f>
        <v>1-10</v>
      </c>
      <c r="E2937" s="391">
        <f t="shared" si="8829"/>
        <v>10</v>
      </c>
      <c r="F2937" s="391" t="str">
        <f t="shared" ref="F2937:G2937" si="8830">F2936</f>
        <v>marine water</v>
      </c>
      <c r="G2937" s="401" t="str">
        <f t="shared" si="8830"/>
        <v>DE: PCL film 1-10 mm (emission to marine water)</v>
      </c>
      <c r="H2937" s="465">
        <v>0</v>
      </c>
      <c r="I2937" s="394" t="s">
        <v>1162</v>
      </c>
      <c r="J2937" s="635"/>
      <c r="K2937" s="389">
        <v>439.96</v>
      </c>
      <c r="L2937" s="536"/>
      <c r="M2937" s="509">
        <f t="shared" si="8670"/>
        <v>11.364669515410492</v>
      </c>
      <c r="N2937" s="646"/>
      <c r="O2937" s="626"/>
      <c r="P2937" s="629"/>
      <c r="Q2937" s="629"/>
    </row>
    <row r="2938" spans="1:17" ht="15.75" hidden="1" thickBot="1">
      <c r="A2938" s="390" t="str">
        <f t="shared" ref="A2938:B2938" si="8831">A2935</f>
        <v>PCL</v>
      </c>
      <c r="B2938" s="391" t="str">
        <f t="shared" si="8831"/>
        <v>film</v>
      </c>
      <c r="C2938" s="391">
        <f t="shared" ref="C2938" si="8832">C2937</f>
        <v>2</v>
      </c>
      <c r="D2938" s="391" t="str">
        <f t="shared" ref="D2938:E2938" si="8833">D2935</f>
        <v>1-10</v>
      </c>
      <c r="E2938" s="391">
        <f t="shared" si="8833"/>
        <v>10</v>
      </c>
      <c r="F2938" s="391" t="str">
        <f t="shared" ref="F2938:G2938" si="8834">F2937</f>
        <v>marine water</v>
      </c>
      <c r="G2938" s="401" t="str">
        <f t="shared" si="8834"/>
        <v>DE: PCL film 1-10 mm (emission to marine water)</v>
      </c>
      <c r="H2938" s="465">
        <v>1</v>
      </c>
      <c r="I2938" s="394" t="s">
        <v>1163</v>
      </c>
      <c r="J2938" s="635"/>
      <c r="K2938" s="389">
        <v>439.96</v>
      </c>
      <c r="L2938" s="536"/>
      <c r="M2938" s="509">
        <f t="shared" si="8670"/>
        <v>11.364669515410492</v>
      </c>
      <c r="N2938" s="646"/>
      <c r="O2938" s="626"/>
      <c r="P2938" s="629"/>
      <c r="Q2938" s="629"/>
    </row>
    <row r="2939" spans="1:17" ht="15.75" hidden="1" thickBot="1">
      <c r="A2939" s="390" t="str">
        <f t="shared" ref="A2939:B2939" si="8835">A2936</f>
        <v>PCL</v>
      </c>
      <c r="B2939" s="391" t="str">
        <f t="shared" si="8835"/>
        <v>film</v>
      </c>
      <c r="C2939" s="391">
        <f t="shared" ref="C2939" si="8836">C2938</f>
        <v>2</v>
      </c>
      <c r="D2939" s="391" t="str">
        <f t="shared" ref="D2939:E2939" si="8837">D2936</f>
        <v>1-10</v>
      </c>
      <c r="E2939" s="391">
        <f t="shared" si="8837"/>
        <v>10</v>
      </c>
      <c r="F2939" s="391" t="str">
        <f t="shared" ref="F2939:G2939" si="8838">F2938</f>
        <v>marine water</v>
      </c>
      <c r="G2939" s="401" t="str">
        <f t="shared" si="8838"/>
        <v>DE: PCL film 1-10 mm (emission to marine water)</v>
      </c>
      <c r="H2939" s="465">
        <v>0</v>
      </c>
      <c r="I2939" s="397" t="s">
        <v>1034</v>
      </c>
      <c r="J2939" s="654"/>
      <c r="K2939" s="398" t="s">
        <v>596</v>
      </c>
      <c r="L2939" s="538"/>
      <c r="M2939" s="509">
        <f t="shared" si="8670"/>
        <v>0</v>
      </c>
      <c r="N2939" s="647"/>
      <c r="O2939" s="627"/>
      <c r="P2939" s="629"/>
      <c r="Q2939" s="629"/>
    </row>
    <row r="2940" spans="1:17" ht="15.75" hidden="1" thickBot="1">
      <c r="A2940" s="390" t="str">
        <f t="shared" ref="A2940:B2940" si="8839">A2937</f>
        <v>PCL</v>
      </c>
      <c r="B2940" s="391" t="str">
        <f t="shared" si="8839"/>
        <v>film</v>
      </c>
      <c r="C2940" s="391">
        <f t="shared" ref="C2940" si="8840">C2939</f>
        <v>2</v>
      </c>
      <c r="D2940" s="391" t="str">
        <f t="shared" ref="D2940:E2940" si="8841">D2937</f>
        <v>1-10</v>
      </c>
      <c r="E2940" s="391">
        <f t="shared" si="8841"/>
        <v>10</v>
      </c>
      <c r="F2940" s="400" t="s">
        <v>1057</v>
      </c>
      <c r="G2940" s="422" t="str">
        <f>CONCATENATE("DE: ",A2940," ",B2940," ",D2940," mm (emission to ",F2940,")")</f>
        <v>DE: PCL film 1-10 mm (emission to air)</v>
      </c>
      <c r="H2940" s="467">
        <v>0.94799999999999995</v>
      </c>
      <c r="I2940" s="388" t="s">
        <v>1153</v>
      </c>
      <c r="J2940" s="634">
        <v>0.22800000000000001</v>
      </c>
      <c r="K2940" s="389">
        <v>439.96</v>
      </c>
      <c r="L2940" s="536"/>
      <c r="M2940" s="509">
        <f t="shared" si="8670"/>
        <v>11.364669515410492</v>
      </c>
      <c r="N2940" s="645">
        <f t="shared" si="8678"/>
        <v>11.364669515410492</v>
      </c>
      <c r="O2940" s="625"/>
      <c r="P2940" s="628">
        <f t="shared" si="8717"/>
        <v>11.364669515410492</v>
      </c>
      <c r="Q2940" s="628">
        <f t="shared" ref="Q2940:Q3000" si="8842">IFERROR(IF(H2940*M2940+H2941*M2941+H2942*M2942+H2943*M2943+H2944*M2944&gt;500,500,H2940*M2940+H2941*M2941+H2942*M2942+H2943*M2943+H2944*M2944),"N.A.")</f>
        <v>11.364669515410492</v>
      </c>
    </row>
    <row r="2941" spans="1:17" ht="15.75" hidden="1" thickBot="1">
      <c r="A2941" s="390" t="str">
        <f t="shared" ref="A2941:B2941" si="8843">A2938</f>
        <v>PCL</v>
      </c>
      <c r="B2941" s="391" t="str">
        <f t="shared" si="8843"/>
        <v>film</v>
      </c>
      <c r="C2941" s="391">
        <f t="shared" ref="C2941" si="8844">C2940</f>
        <v>2</v>
      </c>
      <c r="D2941" s="391" t="str">
        <f t="shared" ref="D2941:E2941" si="8845">D2938</f>
        <v>1-10</v>
      </c>
      <c r="E2941" s="391">
        <f t="shared" si="8845"/>
        <v>10</v>
      </c>
      <c r="F2941" s="391" t="str">
        <f t="shared" ref="F2941:G2941" si="8846">F2940</f>
        <v>air</v>
      </c>
      <c r="G2941" s="401" t="str">
        <f t="shared" si="8846"/>
        <v>DE: PCL film 1-10 mm (emission to air)</v>
      </c>
      <c r="H2941" s="465">
        <v>0</v>
      </c>
      <c r="I2941" s="394" t="s">
        <v>1097</v>
      </c>
      <c r="J2941" s="635"/>
      <c r="K2941" s="389">
        <v>439.96</v>
      </c>
      <c r="L2941" s="536"/>
      <c r="M2941" s="509">
        <f t="shared" si="8670"/>
        <v>11.364669515410492</v>
      </c>
      <c r="N2941" s="646"/>
      <c r="O2941" s="626"/>
      <c r="P2941" s="629"/>
      <c r="Q2941" s="629"/>
    </row>
    <row r="2942" spans="1:17" ht="15.75" hidden="1" thickBot="1">
      <c r="A2942" s="390" t="str">
        <f t="shared" ref="A2942:B2942" si="8847">A2939</f>
        <v>PCL</v>
      </c>
      <c r="B2942" s="391" t="str">
        <f t="shared" si="8847"/>
        <v>film</v>
      </c>
      <c r="C2942" s="391">
        <f t="shared" ref="C2942" si="8848">C2941</f>
        <v>2</v>
      </c>
      <c r="D2942" s="391" t="str">
        <f t="shared" ref="D2942:E2942" si="8849">D2939</f>
        <v>1-10</v>
      </c>
      <c r="E2942" s="391">
        <f t="shared" si="8849"/>
        <v>10</v>
      </c>
      <c r="F2942" s="391" t="str">
        <f t="shared" ref="F2942:G2942" si="8850">F2941</f>
        <v>air</v>
      </c>
      <c r="G2942" s="401" t="str">
        <f t="shared" si="8850"/>
        <v>DE: PCL film 1-10 mm (emission to air)</v>
      </c>
      <c r="H2942" s="465">
        <v>4.7E-2</v>
      </c>
      <c r="I2942" s="394" t="s">
        <v>1162</v>
      </c>
      <c r="J2942" s="635"/>
      <c r="K2942" s="389">
        <v>439.96</v>
      </c>
      <c r="L2942" s="536"/>
      <c r="M2942" s="509">
        <f t="shared" si="8670"/>
        <v>11.364669515410492</v>
      </c>
      <c r="N2942" s="646"/>
      <c r="O2942" s="626"/>
      <c r="P2942" s="629"/>
      <c r="Q2942" s="629"/>
    </row>
    <row r="2943" spans="1:17" ht="15.75" hidden="1" thickBot="1">
      <c r="A2943" s="390" t="str">
        <f t="shared" ref="A2943:B2943" si="8851">A2940</f>
        <v>PCL</v>
      </c>
      <c r="B2943" s="391" t="str">
        <f t="shared" si="8851"/>
        <v>film</v>
      </c>
      <c r="C2943" s="391">
        <f t="shared" ref="C2943" si="8852">C2942</f>
        <v>2</v>
      </c>
      <c r="D2943" s="391" t="str">
        <f t="shared" ref="D2943:E2943" si="8853">D2940</f>
        <v>1-10</v>
      </c>
      <c r="E2943" s="391">
        <f t="shared" si="8853"/>
        <v>10</v>
      </c>
      <c r="F2943" s="391" t="str">
        <f t="shared" ref="F2943:G2943" si="8854">F2942</f>
        <v>air</v>
      </c>
      <c r="G2943" s="401" t="str">
        <f t="shared" si="8854"/>
        <v>DE: PCL film 1-10 mm (emission to air)</v>
      </c>
      <c r="H2943" s="465">
        <v>5.0000000000000001E-3</v>
      </c>
      <c r="I2943" s="394" t="s">
        <v>1163</v>
      </c>
      <c r="J2943" s="635"/>
      <c r="K2943" s="389">
        <v>439.96</v>
      </c>
      <c r="L2943" s="536"/>
      <c r="M2943" s="509">
        <f t="shared" si="8670"/>
        <v>11.364669515410492</v>
      </c>
      <c r="N2943" s="646"/>
      <c r="O2943" s="626"/>
      <c r="P2943" s="629"/>
      <c r="Q2943" s="629"/>
    </row>
    <row r="2944" spans="1:17" ht="15.75" hidden="1" thickBot="1">
      <c r="A2944" s="390" t="str">
        <f t="shared" ref="A2944:B2944" si="8855">A2939</f>
        <v>PCL</v>
      </c>
      <c r="B2944" s="391" t="str">
        <f t="shared" si="8855"/>
        <v>film</v>
      </c>
      <c r="C2944" s="391">
        <f t="shared" ref="C2944" si="8856">C2943</f>
        <v>2</v>
      </c>
      <c r="D2944" s="391" t="str">
        <f t="shared" ref="D2944:E2944" si="8857">D2939</f>
        <v>1-10</v>
      </c>
      <c r="E2944" s="391">
        <f t="shared" si="8857"/>
        <v>10</v>
      </c>
      <c r="F2944" s="391" t="str">
        <f t="shared" ref="F2944:G2944" si="8858">F2943</f>
        <v>air</v>
      </c>
      <c r="G2944" s="401" t="str">
        <f t="shared" si="8858"/>
        <v>DE: PCL film 1-10 mm (emission to air)</v>
      </c>
      <c r="H2944" s="471">
        <v>0</v>
      </c>
      <c r="I2944" s="422" t="s">
        <v>1034</v>
      </c>
      <c r="J2944" s="636"/>
      <c r="K2944" s="451" t="s">
        <v>596</v>
      </c>
      <c r="L2944" s="542"/>
      <c r="M2944" s="509">
        <f t="shared" si="8670"/>
        <v>0</v>
      </c>
      <c r="N2944" s="647"/>
      <c r="O2944" s="627"/>
      <c r="P2944" s="629"/>
      <c r="Q2944" s="629"/>
    </row>
    <row r="2945" spans="1:17" ht="15.75" hidden="1" thickBot="1">
      <c r="A2945" s="405" t="s">
        <v>48</v>
      </c>
      <c r="B2945" s="406" t="s">
        <v>1151</v>
      </c>
      <c r="C2945" s="407">
        <v>4</v>
      </c>
      <c r="D2945" s="423" t="s">
        <v>1018</v>
      </c>
      <c r="E2945" s="408">
        <v>0.1</v>
      </c>
      <c r="F2945" s="424" t="s">
        <v>1019</v>
      </c>
      <c r="G2945" s="425" t="str">
        <f>CONCATENATE("DE: ",A2945," ",B2945," ",D2945," mm (emission to ",F2945,")")</f>
        <v>DE: PCL fiber 0,01-0,1 mm (emission to soil)</v>
      </c>
      <c r="H2945" s="474">
        <v>0.97</v>
      </c>
      <c r="I2945" s="427" t="s">
        <v>1153</v>
      </c>
      <c r="J2945" s="632">
        <v>0.22800000000000001</v>
      </c>
      <c r="K2945" s="428">
        <v>439.96</v>
      </c>
      <c r="L2945" s="539"/>
      <c r="M2945" s="509">
        <f t="shared" si="8670"/>
        <v>5.6823347577052465E-2</v>
      </c>
      <c r="N2945" s="645">
        <f t="shared" si="8678"/>
        <v>5.6823347577052458E-2</v>
      </c>
      <c r="O2945" s="625"/>
      <c r="P2945" s="628">
        <f t="shared" si="8717"/>
        <v>5.6823347577052458E-2</v>
      </c>
      <c r="Q2945" s="628">
        <f t="shared" si="8842"/>
        <v>5.6823347577052458E-2</v>
      </c>
    </row>
    <row r="2946" spans="1:17" ht="15.75" hidden="1" thickBot="1">
      <c r="A2946" s="390" t="str">
        <f>A2945</f>
        <v>PCL</v>
      </c>
      <c r="B2946" s="391" t="str">
        <f>B2945</f>
        <v>fiber</v>
      </c>
      <c r="C2946" s="391">
        <f t="shared" ref="C2946:G2946" si="8859">C2945</f>
        <v>4</v>
      </c>
      <c r="D2946" s="391" t="str">
        <f t="shared" si="8859"/>
        <v>0,01-0,1</v>
      </c>
      <c r="E2946" s="391">
        <f t="shared" si="8859"/>
        <v>0.1</v>
      </c>
      <c r="F2946" s="391" t="str">
        <f t="shared" si="8859"/>
        <v>soil</v>
      </c>
      <c r="G2946" s="392" t="str">
        <f t="shared" si="8859"/>
        <v>DE: PCL fiber 0,01-0,1 mm (emission to soil)</v>
      </c>
      <c r="H2946" s="465">
        <v>0</v>
      </c>
      <c r="I2946" s="394" t="s">
        <v>1097</v>
      </c>
      <c r="J2946" s="632"/>
      <c r="K2946" s="389">
        <v>439.96</v>
      </c>
      <c r="L2946" s="536"/>
      <c r="M2946" s="509">
        <f t="shared" si="8670"/>
        <v>5.6823347577052465E-2</v>
      </c>
      <c r="N2946" s="646"/>
      <c r="O2946" s="626"/>
      <c r="P2946" s="629"/>
      <c r="Q2946" s="629"/>
    </row>
    <row r="2947" spans="1:17" ht="15.75" hidden="1" thickBot="1">
      <c r="A2947" s="390" t="str">
        <f t="shared" ref="A2947:G2947" si="8860">A2946</f>
        <v>PCL</v>
      </c>
      <c r="B2947" s="391" t="str">
        <f t="shared" si="8860"/>
        <v>fiber</v>
      </c>
      <c r="C2947" s="391">
        <f t="shared" si="8860"/>
        <v>4</v>
      </c>
      <c r="D2947" s="391" t="str">
        <f t="shared" si="8860"/>
        <v>0,01-0,1</v>
      </c>
      <c r="E2947" s="391">
        <f t="shared" si="8860"/>
        <v>0.1</v>
      </c>
      <c r="F2947" s="391" t="str">
        <f t="shared" si="8860"/>
        <v>soil</v>
      </c>
      <c r="G2947" s="392" t="str">
        <f t="shared" si="8860"/>
        <v>DE: PCL fiber 0,01-0,1 mm (emission to soil)</v>
      </c>
      <c r="H2947" s="465">
        <v>2.7E-2</v>
      </c>
      <c r="I2947" s="394" t="s">
        <v>1162</v>
      </c>
      <c r="J2947" s="632"/>
      <c r="K2947" s="389">
        <v>439.96</v>
      </c>
      <c r="L2947" s="536"/>
      <c r="M2947" s="509">
        <f t="shared" si="8670"/>
        <v>5.6823347577052465E-2</v>
      </c>
      <c r="N2947" s="646"/>
      <c r="O2947" s="626"/>
      <c r="P2947" s="629"/>
      <c r="Q2947" s="629"/>
    </row>
    <row r="2948" spans="1:17" ht="15.75" hidden="1" thickBot="1">
      <c r="A2948" s="390" t="str">
        <f t="shared" ref="A2948:G2948" si="8861">A2947</f>
        <v>PCL</v>
      </c>
      <c r="B2948" s="391" t="str">
        <f t="shared" si="8861"/>
        <v>fiber</v>
      </c>
      <c r="C2948" s="391">
        <f t="shared" si="8861"/>
        <v>4</v>
      </c>
      <c r="D2948" s="391" t="str">
        <f t="shared" si="8861"/>
        <v>0,01-0,1</v>
      </c>
      <c r="E2948" s="391">
        <f t="shared" si="8861"/>
        <v>0.1</v>
      </c>
      <c r="F2948" s="391" t="str">
        <f t="shared" si="8861"/>
        <v>soil</v>
      </c>
      <c r="G2948" s="392" t="str">
        <f t="shared" si="8861"/>
        <v>DE: PCL fiber 0,01-0,1 mm (emission to soil)</v>
      </c>
      <c r="H2948" s="465">
        <v>3.0000000000000001E-3</v>
      </c>
      <c r="I2948" s="394" t="s">
        <v>1163</v>
      </c>
      <c r="J2948" s="632"/>
      <c r="K2948" s="389">
        <v>439.96</v>
      </c>
      <c r="L2948" s="536"/>
      <c r="M2948" s="509">
        <f t="shared" si="8670"/>
        <v>5.6823347577052465E-2</v>
      </c>
      <c r="N2948" s="646"/>
      <c r="O2948" s="626"/>
      <c r="P2948" s="629"/>
      <c r="Q2948" s="629"/>
    </row>
    <row r="2949" spans="1:17" ht="15.75" hidden="1" thickBot="1">
      <c r="A2949" s="390" t="str">
        <f>A2946</f>
        <v>PCL</v>
      </c>
      <c r="B2949" s="391" t="str">
        <f>B2946</f>
        <v>fiber</v>
      </c>
      <c r="C2949" s="391">
        <f t="shared" ref="C2949" si="8862">C2948</f>
        <v>4</v>
      </c>
      <c r="D2949" s="391" t="str">
        <f>D2946</f>
        <v>0,01-0,1</v>
      </c>
      <c r="E2949" s="391">
        <f>E2946</f>
        <v>0.1</v>
      </c>
      <c r="F2949" s="391" t="str">
        <f>F2946</f>
        <v>soil</v>
      </c>
      <c r="G2949" s="396" t="str">
        <f t="shared" ref="G2949" si="8863">G2948</f>
        <v>DE: PCL fiber 0,01-0,1 mm (emission to soil)</v>
      </c>
      <c r="H2949" s="465">
        <v>0</v>
      </c>
      <c r="I2949" s="397" t="s">
        <v>1034</v>
      </c>
      <c r="J2949" s="633"/>
      <c r="K2949" s="398" t="s">
        <v>596</v>
      </c>
      <c r="L2949" s="538"/>
      <c r="M2949" s="509">
        <f t="shared" si="8670"/>
        <v>0</v>
      </c>
      <c r="N2949" s="647"/>
      <c r="O2949" s="627"/>
      <c r="P2949" s="629"/>
      <c r="Q2949" s="629"/>
    </row>
    <row r="2950" spans="1:17" ht="15.75" hidden="1" thickBot="1">
      <c r="A2950" s="390" t="str">
        <f t="shared" ref="A2950:B2950" si="8864">A2947</f>
        <v>PCL</v>
      </c>
      <c r="B2950" s="391" t="str">
        <f t="shared" si="8864"/>
        <v>fiber</v>
      </c>
      <c r="C2950" s="391">
        <f t="shared" ref="C2950" si="8865">C2949</f>
        <v>4</v>
      </c>
      <c r="D2950" s="399" t="str">
        <f t="shared" ref="D2950:E2950" si="8866">D2947</f>
        <v>0,01-0,1</v>
      </c>
      <c r="E2950" s="391">
        <f t="shared" si="8866"/>
        <v>0.1</v>
      </c>
      <c r="F2950" s="400" t="s">
        <v>1147</v>
      </c>
      <c r="G2950" s="386" t="str">
        <f>CONCATENATE("DE: ",A2950," ",B2950," ",D2950," mm (emission to ",F2950,")")</f>
        <v>DE: PCL fiber 0,01-0,1 mm (emission to fresh water)</v>
      </c>
      <c r="H2950" s="466">
        <v>0</v>
      </c>
      <c r="I2950" s="388" t="s">
        <v>1153</v>
      </c>
      <c r="J2950" s="634">
        <v>0.22800000000000001</v>
      </c>
      <c r="K2950" s="389">
        <v>439.96</v>
      </c>
      <c r="L2950" s="536"/>
      <c r="M2950" s="509">
        <f t="shared" ref="M2950:M3013" si="8867">IFERROR(IF(K2950="--",0,IF(E2950*1000/K2950*(1-0.5)^(C2950/2)&gt;1000,1000,E2950*1000/K2950*(1-0.5)^(C2950/2))),1000)</f>
        <v>5.6823347577052465E-2</v>
      </c>
      <c r="N2950" s="645">
        <f t="shared" si="8678"/>
        <v>5.6823347577052465E-2</v>
      </c>
      <c r="O2950" s="625"/>
      <c r="P2950" s="628">
        <f t="shared" si="8717"/>
        <v>5.6823347577052465E-2</v>
      </c>
      <c r="Q2950" s="628">
        <f t="shared" si="8842"/>
        <v>5.6823347577052465E-2</v>
      </c>
    </row>
    <row r="2951" spans="1:17" ht="15.75" hidden="1" thickBot="1">
      <c r="A2951" s="390" t="str">
        <f t="shared" ref="A2951:B2951" si="8868">A2948</f>
        <v>PCL</v>
      </c>
      <c r="B2951" s="391" t="str">
        <f t="shared" si="8868"/>
        <v>fiber</v>
      </c>
      <c r="C2951" s="391">
        <f t="shared" ref="C2951" si="8869">C2950</f>
        <v>4</v>
      </c>
      <c r="D2951" s="391" t="str">
        <f t="shared" ref="D2951:E2951" si="8870">D2948</f>
        <v>0,01-0,1</v>
      </c>
      <c r="E2951" s="391">
        <f t="shared" si="8870"/>
        <v>0.1</v>
      </c>
      <c r="F2951" s="391" t="str">
        <f t="shared" ref="F2951:G2951" si="8871">F2950</f>
        <v>fresh water</v>
      </c>
      <c r="G2951" s="401" t="str">
        <f t="shared" si="8871"/>
        <v>DE: PCL fiber 0,01-0,1 mm (emission to fresh water)</v>
      </c>
      <c r="H2951" s="465">
        <v>0</v>
      </c>
      <c r="I2951" s="394" t="s">
        <v>1097</v>
      </c>
      <c r="J2951" s="635"/>
      <c r="K2951" s="389">
        <v>439.96</v>
      </c>
      <c r="L2951" s="536"/>
      <c r="M2951" s="509">
        <f t="shared" si="8867"/>
        <v>5.6823347577052465E-2</v>
      </c>
      <c r="N2951" s="646"/>
      <c r="O2951" s="626"/>
      <c r="P2951" s="629"/>
      <c r="Q2951" s="629"/>
    </row>
    <row r="2952" spans="1:17" ht="15.75" hidden="1" thickBot="1">
      <c r="A2952" s="390" t="str">
        <f t="shared" ref="A2952:B2952" si="8872">A2949</f>
        <v>PCL</v>
      </c>
      <c r="B2952" s="391" t="str">
        <f t="shared" si="8872"/>
        <v>fiber</v>
      </c>
      <c r="C2952" s="391">
        <f t="shared" ref="C2952" si="8873">C2951</f>
        <v>4</v>
      </c>
      <c r="D2952" s="391" t="str">
        <f t="shared" ref="D2952:E2952" si="8874">D2949</f>
        <v>0,01-0,1</v>
      </c>
      <c r="E2952" s="391">
        <f t="shared" si="8874"/>
        <v>0.1</v>
      </c>
      <c r="F2952" s="391" t="str">
        <f t="shared" ref="F2952:G2952" si="8875">F2951</f>
        <v>fresh water</v>
      </c>
      <c r="G2952" s="401" t="str">
        <f t="shared" si="8875"/>
        <v>DE: PCL fiber 0,01-0,1 mm (emission to fresh water)</v>
      </c>
      <c r="H2952" s="465">
        <v>0.89</v>
      </c>
      <c r="I2952" s="394" t="s">
        <v>1162</v>
      </c>
      <c r="J2952" s="635"/>
      <c r="K2952" s="389">
        <v>439.96</v>
      </c>
      <c r="L2952" s="536"/>
      <c r="M2952" s="509">
        <f t="shared" si="8867"/>
        <v>5.6823347577052465E-2</v>
      </c>
      <c r="N2952" s="646"/>
      <c r="O2952" s="626"/>
      <c r="P2952" s="629"/>
      <c r="Q2952" s="629"/>
    </row>
    <row r="2953" spans="1:17" ht="15.75" hidden="1" thickBot="1">
      <c r="A2953" s="390" t="str">
        <f t="shared" ref="A2953:B2953" si="8876">A2950</f>
        <v>PCL</v>
      </c>
      <c r="B2953" s="391" t="str">
        <f t="shared" si="8876"/>
        <v>fiber</v>
      </c>
      <c r="C2953" s="391">
        <f t="shared" ref="C2953" si="8877">C2952</f>
        <v>4</v>
      </c>
      <c r="D2953" s="391" t="str">
        <f t="shared" ref="D2953:E2953" si="8878">D2950</f>
        <v>0,01-0,1</v>
      </c>
      <c r="E2953" s="391">
        <f t="shared" si="8878"/>
        <v>0.1</v>
      </c>
      <c r="F2953" s="391" t="str">
        <f t="shared" ref="F2953:G2953" si="8879">F2952</f>
        <v>fresh water</v>
      </c>
      <c r="G2953" s="401" t="str">
        <f t="shared" si="8879"/>
        <v>DE: PCL fiber 0,01-0,1 mm (emission to fresh water)</v>
      </c>
      <c r="H2953" s="465">
        <v>0.11</v>
      </c>
      <c r="I2953" s="394" t="s">
        <v>1163</v>
      </c>
      <c r="J2953" s="635"/>
      <c r="K2953" s="389">
        <v>439.96</v>
      </c>
      <c r="L2953" s="536"/>
      <c r="M2953" s="509">
        <f t="shared" si="8867"/>
        <v>5.6823347577052465E-2</v>
      </c>
      <c r="N2953" s="646"/>
      <c r="O2953" s="626"/>
      <c r="P2953" s="629"/>
      <c r="Q2953" s="629"/>
    </row>
    <row r="2954" spans="1:17" ht="15.75" hidden="1" thickBot="1">
      <c r="A2954" s="390" t="str">
        <f t="shared" ref="A2954:B2954" si="8880">A2951</f>
        <v>PCL</v>
      </c>
      <c r="B2954" s="391" t="str">
        <f t="shared" si="8880"/>
        <v>fiber</v>
      </c>
      <c r="C2954" s="391">
        <f t="shared" ref="C2954" si="8881">C2953</f>
        <v>4</v>
      </c>
      <c r="D2954" s="391" t="str">
        <f t="shared" ref="D2954:E2954" si="8882">D2951</f>
        <v>0,01-0,1</v>
      </c>
      <c r="E2954" s="391">
        <f t="shared" si="8882"/>
        <v>0.1</v>
      </c>
      <c r="F2954" s="402" t="str">
        <f>F2951</f>
        <v>fresh water</v>
      </c>
      <c r="G2954" s="401" t="str">
        <f t="shared" ref="G2954" si="8883">G2953</f>
        <v>DE: PCL fiber 0,01-0,1 mm (emission to fresh water)</v>
      </c>
      <c r="H2954" s="465">
        <v>0</v>
      </c>
      <c r="I2954" s="397" t="s">
        <v>1034</v>
      </c>
      <c r="J2954" s="654"/>
      <c r="K2954" s="398" t="s">
        <v>596</v>
      </c>
      <c r="L2954" s="538"/>
      <c r="M2954" s="509">
        <f t="shared" si="8867"/>
        <v>0</v>
      </c>
      <c r="N2954" s="647"/>
      <c r="O2954" s="627"/>
      <c r="P2954" s="629"/>
      <c r="Q2954" s="629"/>
    </row>
    <row r="2955" spans="1:17" ht="15.75" hidden="1" thickBot="1">
      <c r="A2955" s="390" t="str">
        <f t="shared" ref="A2955:B2955" si="8884">A2952</f>
        <v>PCL</v>
      </c>
      <c r="B2955" s="391" t="str">
        <f t="shared" si="8884"/>
        <v>fiber</v>
      </c>
      <c r="C2955" s="391">
        <f t="shared" ref="C2955" si="8885">C2954</f>
        <v>4</v>
      </c>
      <c r="D2955" s="391" t="str">
        <f t="shared" ref="D2955:E2955" si="8886">D2952</f>
        <v>0,01-0,1</v>
      </c>
      <c r="E2955" s="391">
        <f t="shared" si="8886"/>
        <v>0.1</v>
      </c>
      <c r="F2955" s="385" t="s">
        <v>1097</v>
      </c>
      <c r="G2955" s="422" t="str">
        <f>CONCATENATE("DE: ",A2955," ",B2955," ",D2955," mm (emission to ",F2955,")")</f>
        <v>DE: PCL fiber 0,01-0,1 mm (emission to marine water)</v>
      </c>
      <c r="H2955" s="467">
        <v>0</v>
      </c>
      <c r="I2955" s="388" t="s">
        <v>1153</v>
      </c>
      <c r="J2955" s="634">
        <v>0.22800000000000001</v>
      </c>
      <c r="K2955" s="389">
        <v>439.96</v>
      </c>
      <c r="L2955" s="536"/>
      <c r="M2955" s="509">
        <f t="shared" si="8867"/>
        <v>5.6823347577052465E-2</v>
      </c>
      <c r="N2955" s="645">
        <f t="shared" ref="N2955:N3015" si="8887">IFERROR(H2955*M2955+H2956*M2956+H2957*M2957+H2958*M2958+H2959*M2959,"N.A.")</f>
        <v>5.6823347577052465E-2</v>
      </c>
      <c r="O2955" s="625"/>
      <c r="P2955" s="628">
        <f t="shared" si="8717"/>
        <v>5.6823347577052465E-2</v>
      </c>
      <c r="Q2955" s="628">
        <f t="shared" si="8842"/>
        <v>5.6823347577052465E-2</v>
      </c>
    </row>
    <row r="2956" spans="1:17" ht="15.75" hidden="1" thickBot="1">
      <c r="A2956" s="390" t="str">
        <f t="shared" ref="A2956:B2956" si="8888">A2953</f>
        <v>PCL</v>
      </c>
      <c r="B2956" s="391" t="str">
        <f t="shared" si="8888"/>
        <v>fiber</v>
      </c>
      <c r="C2956" s="391">
        <f t="shared" ref="C2956" si="8889">C2955</f>
        <v>4</v>
      </c>
      <c r="D2956" s="391" t="str">
        <f t="shared" ref="D2956:E2956" si="8890">D2953</f>
        <v>0,01-0,1</v>
      </c>
      <c r="E2956" s="391">
        <f t="shared" si="8890"/>
        <v>0.1</v>
      </c>
      <c r="F2956" s="391" t="str">
        <f t="shared" ref="F2956:G2956" si="8891">F2955</f>
        <v>marine water</v>
      </c>
      <c r="G2956" s="401" t="str">
        <f t="shared" si="8891"/>
        <v>DE: PCL fiber 0,01-0,1 mm (emission to marine water)</v>
      </c>
      <c r="H2956" s="465">
        <v>0</v>
      </c>
      <c r="I2956" s="394" t="s">
        <v>1097</v>
      </c>
      <c r="J2956" s="635"/>
      <c r="K2956" s="389">
        <v>439.96</v>
      </c>
      <c r="L2956" s="536"/>
      <c r="M2956" s="509">
        <f t="shared" si="8867"/>
        <v>5.6823347577052465E-2</v>
      </c>
      <c r="N2956" s="646"/>
      <c r="O2956" s="626"/>
      <c r="P2956" s="629"/>
      <c r="Q2956" s="629"/>
    </row>
    <row r="2957" spans="1:17" ht="15.75" hidden="1" thickBot="1">
      <c r="A2957" s="390" t="str">
        <f t="shared" ref="A2957:B2957" si="8892">A2954</f>
        <v>PCL</v>
      </c>
      <c r="B2957" s="391" t="str">
        <f t="shared" si="8892"/>
        <v>fiber</v>
      </c>
      <c r="C2957" s="391">
        <f t="shared" ref="C2957" si="8893">C2956</f>
        <v>4</v>
      </c>
      <c r="D2957" s="391" t="str">
        <f t="shared" ref="D2957:E2957" si="8894">D2954</f>
        <v>0,01-0,1</v>
      </c>
      <c r="E2957" s="391">
        <f t="shared" si="8894"/>
        <v>0.1</v>
      </c>
      <c r="F2957" s="391" t="str">
        <f t="shared" ref="F2957:G2957" si="8895">F2956</f>
        <v>marine water</v>
      </c>
      <c r="G2957" s="401" t="str">
        <f t="shared" si="8895"/>
        <v>DE: PCL fiber 0,01-0,1 mm (emission to marine water)</v>
      </c>
      <c r="H2957" s="465">
        <v>0</v>
      </c>
      <c r="I2957" s="394" t="s">
        <v>1162</v>
      </c>
      <c r="J2957" s="635"/>
      <c r="K2957" s="389">
        <v>439.96</v>
      </c>
      <c r="L2957" s="536"/>
      <c r="M2957" s="509">
        <f t="shared" si="8867"/>
        <v>5.6823347577052465E-2</v>
      </c>
      <c r="N2957" s="646"/>
      <c r="O2957" s="626"/>
      <c r="P2957" s="629"/>
      <c r="Q2957" s="629"/>
    </row>
    <row r="2958" spans="1:17" ht="15.75" hidden="1" thickBot="1">
      <c r="A2958" s="390" t="str">
        <f t="shared" ref="A2958:B2958" si="8896">A2955</f>
        <v>PCL</v>
      </c>
      <c r="B2958" s="391" t="str">
        <f t="shared" si="8896"/>
        <v>fiber</v>
      </c>
      <c r="C2958" s="391">
        <f t="shared" ref="C2958" si="8897">C2957</f>
        <v>4</v>
      </c>
      <c r="D2958" s="391" t="str">
        <f t="shared" ref="D2958:E2958" si="8898">D2955</f>
        <v>0,01-0,1</v>
      </c>
      <c r="E2958" s="391">
        <f t="shared" si="8898"/>
        <v>0.1</v>
      </c>
      <c r="F2958" s="391" t="str">
        <f t="shared" ref="F2958:G2958" si="8899">F2957</f>
        <v>marine water</v>
      </c>
      <c r="G2958" s="401" t="str">
        <f t="shared" si="8899"/>
        <v>DE: PCL fiber 0,01-0,1 mm (emission to marine water)</v>
      </c>
      <c r="H2958" s="465">
        <v>1</v>
      </c>
      <c r="I2958" s="394" t="s">
        <v>1163</v>
      </c>
      <c r="J2958" s="635"/>
      <c r="K2958" s="389">
        <v>439.96</v>
      </c>
      <c r="L2958" s="536"/>
      <c r="M2958" s="509">
        <f t="shared" si="8867"/>
        <v>5.6823347577052465E-2</v>
      </c>
      <c r="N2958" s="646"/>
      <c r="O2958" s="626"/>
      <c r="P2958" s="629"/>
      <c r="Q2958" s="629"/>
    </row>
    <row r="2959" spans="1:17" ht="15.75" hidden="1" thickBot="1">
      <c r="A2959" s="390" t="str">
        <f t="shared" ref="A2959:B2959" si="8900">A2956</f>
        <v>PCL</v>
      </c>
      <c r="B2959" s="391" t="str">
        <f t="shared" si="8900"/>
        <v>fiber</v>
      </c>
      <c r="C2959" s="391">
        <f t="shared" ref="C2959" si="8901">C2958</f>
        <v>4</v>
      </c>
      <c r="D2959" s="391" t="str">
        <f t="shared" ref="D2959:E2959" si="8902">D2956</f>
        <v>0,01-0,1</v>
      </c>
      <c r="E2959" s="391">
        <f t="shared" si="8902"/>
        <v>0.1</v>
      </c>
      <c r="F2959" s="391" t="str">
        <f t="shared" ref="F2959:G2959" si="8903">F2958</f>
        <v>marine water</v>
      </c>
      <c r="G2959" s="401" t="str">
        <f t="shared" si="8903"/>
        <v>DE: PCL fiber 0,01-0,1 mm (emission to marine water)</v>
      </c>
      <c r="H2959" s="465">
        <v>0</v>
      </c>
      <c r="I2959" s="397" t="s">
        <v>1034</v>
      </c>
      <c r="J2959" s="654"/>
      <c r="K2959" s="398" t="s">
        <v>596</v>
      </c>
      <c r="L2959" s="538"/>
      <c r="M2959" s="509">
        <f t="shared" si="8867"/>
        <v>0</v>
      </c>
      <c r="N2959" s="647"/>
      <c r="O2959" s="627"/>
      <c r="P2959" s="629"/>
      <c r="Q2959" s="629"/>
    </row>
    <row r="2960" spans="1:17" ht="15.75" hidden="1" thickBot="1">
      <c r="A2960" s="390" t="str">
        <f t="shared" ref="A2960:B2960" si="8904">A2957</f>
        <v>PCL</v>
      </c>
      <c r="B2960" s="391" t="str">
        <f t="shared" si="8904"/>
        <v>fiber</v>
      </c>
      <c r="C2960" s="391">
        <f t="shared" ref="C2960" si="8905">C2959</f>
        <v>4</v>
      </c>
      <c r="D2960" s="391" t="str">
        <f t="shared" ref="D2960:E2960" si="8906">D2957</f>
        <v>0,01-0,1</v>
      </c>
      <c r="E2960" s="391">
        <f t="shared" si="8906"/>
        <v>0.1</v>
      </c>
      <c r="F2960" s="400" t="s">
        <v>1057</v>
      </c>
      <c r="G2960" s="422" t="str">
        <f>CONCATENATE("DE: ",A2960," ",B2960," ",D2960," mm (emission to ",F2960,")")</f>
        <v>DE: PCL fiber 0,01-0,1 mm (emission to air)</v>
      </c>
      <c r="H2960" s="467">
        <v>0.94799999999999995</v>
      </c>
      <c r="I2960" s="388" t="s">
        <v>1153</v>
      </c>
      <c r="J2960" s="634">
        <v>0.22800000000000001</v>
      </c>
      <c r="K2960" s="389">
        <v>439.96</v>
      </c>
      <c r="L2960" s="536"/>
      <c r="M2960" s="509">
        <f t="shared" si="8867"/>
        <v>5.6823347577052465E-2</v>
      </c>
      <c r="N2960" s="645">
        <f t="shared" si="8887"/>
        <v>5.6823347577052458E-2</v>
      </c>
      <c r="O2960" s="625"/>
      <c r="P2960" s="628">
        <f t="shared" si="8717"/>
        <v>5.6823347577052458E-2</v>
      </c>
      <c r="Q2960" s="628">
        <f t="shared" si="8842"/>
        <v>5.6823347577052458E-2</v>
      </c>
    </row>
    <row r="2961" spans="1:17" ht="15.75" hidden="1" thickBot="1">
      <c r="A2961" s="390" t="str">
        <f t="shared" ref="A2961:B2961" si="8907">A2958</f>
        <v>PCL</v>
      </c>
      <c r="B2961" s="391" t="str">
        <f t="shared" si="8907"/>
        <v>fiber</v>
      </c>
      <c r="C2961" s="391">
        <f t="shared" ref="C2961" si="8908">C2960</f>
        <v>4</v>
      </c>
      <c r="D2961" s="391" t="str">
        <f t="shared" ref="D2961:E2961" si="8909">D2958</f>
        <v>0,01-0,1</v>
      </c>
      <c r="E2961" s="391">
        <f t="shared" si="8909"/>
        <v>0.1</v>
      </c>
      <c r="F2961" s="391" t="str">
        <f t="shared" ref="F2961:G2961" si="8910">F2960</f>
        <v>air</v>
      </c>
      <c r="G2961" s="401" t="str">
        <f t="shared" si="8910"/>
        <v>DE: PCL fiber 0,01-0,1 mm (emission to air)</v>
      </c>
      <c r="H2961" s="465">
        <v>0</v>
      </c>
      <c r="I2961" s="394" t="s">
        <v>1097</v>
      </c>
      <c r="J2961" s="635"/>
      <c r="K2961" s="389">
        <v>439.96</v>
      </c>
      <c r="L2961" s="536"/>
      <c r="M2961" s="509">
        <f t="shared" si="8867"/>
        <v>5.6823347577052465E-2</v>
      </c>
      <c r="N2961" s="646"/>
      <c r="O2961" s="626"/>
      <c r="P2961" s="629"/>
      <c r="Q2961" s="629"/>
    </row>
    <row r="2962" spans="1:17" ht="15.75" hidden="1" thickBot="1">
      <c r="A2962" s="390" t="str">
        <f t="shared" ref="A2962:B2962" si="8911">A2959</f>
        <v>PCL</v>
      </c>
      <c r="B2962" s="391" t="str">
        <f t="shared" si="8911"/>
        <v>fiber</v>
      </c>
      <c r="C2962" s="391">
        <f t="shared" ref="C2962" si="8912">C2961</f>
        <v>4</v>
      </c>
      <c r="D2962" s="391" t="str">
        <f t="shared" ref="D2962:E2962" si="8913">D2959</f>
        <v>0,01-0,1</v>
      </c>
      <c r="E2962" s="391">
        <f t="shared" si="8913"/>
        <v>0.1</v>
      </c>
      <c r="F2962" s="391" t="str">
        <f t="shared" ref="F2962:G2962" si="8914">F2961</f>
        <v>air</v>
      </c>
      <c r="G2962" s="401" t="str">
        <f t="shared" si="8914"/>
        <v>DE: PCL fiber 0,01-0,1 mm (emission to air)</v>
      </c>
      <c r="H2962" s="465">
        <v>4.7E-2</v>
      </c>
      <c r="I2962" s="394" t="s">
        <v>1162</v>
      </c>
      <c r="J2962" s="635"/>
      <c r="K2962" s="389">
        <v>439.96</v>
      </c>
      <c r="L2962" s="536"/>
      <c r="M2962" s="509">
        <f t="shared" si="8867"/>
        <v>5.6823347577052465E-2</v>
      </c>
      <c r="N2962" s="646"/>
      <c r="O2962" s="626"/>
      <c r="P2962" s="629"/>
      <c r="Q2962" s="629"/>
    </row>
    <row r="2963" spans="1:17" ht="15.75" hidden="1" thickBot="1">
      <c r="A2963" s="390" t="str">
        <f t="shared" ref="A2963:B2963" si="8915">A2960</f>
        <v>PCL</v>
      </c>
      <c r="B2963" s="391" t="str">
        <f t="shared" si="8915"/>
        <v>fiber</v>
      </c>
      <c r="C2963" s="391">
        <f t="shared" ref="C2963" si="8916">C2962</f>
        <v>4</v>
      </c>
      <c r="D2963" s="391" t="str">
        <f t="shared" ref="D2963:E2963" si="8917">D2960</f>
        <v>0,01-0,1</v>
      </c>
      <c r="E2963" s="391">
        <f t="shared" si="8917"/>
        <v>0.1</v>
      </c>
      <c r="F2963" s="391" t="str">
        <f t="shared" ref="F2963:G2963" si="8918">F2962</f>
        <v>air</v>
      </c>
      <c r="G2963" s="401" t="str">
        <f t="shared" si="8918"/>
        <v>DE: PCL fiber 0,01-0,1 mm (emission to air)</v>
      </c>
      <c r="H2963" s="465">
        <v>5.0000000000000001E-3</v>
      </c>
      <c r="I2963" s="394" t="s">
        <v>1163</v>
      </c>
      <c r="J2963" s="635"/>
      <c r="K2963" s="389">
        <v>439.96</v>
      </c>
      <c r="L2963" s="536"/>
      <c r="M2963" s="509">
        <f t="shared" si="8867"/>
        <v>5.6823347577052465E-2</v>
      </c>
      <c r="N2963" s="646"/>
      <c r="O2963" s="626"/>
      <c r="P2963" s="629"/>
      <c r="Q2963" s="629"/>
    </row>
    <row r="2964" spans="1:17" ht="15.75" hidden="1" thickBot="1">
      <c r="A2964" s="452" t="str">
        <f t="shared" ref="A2964:B2964" si="8919">A2959</f>
        <v>PCL</v>
      </c>
      <c r="B2964" s="453" t="str">
        <f t="shared" si="8919"/>
        <v>fiber</v>
      </c>
      <c r="C2964" s="453">
        <f t="shared" ref="C2964" si="8920">C2963</f>
        <v>4</v>
      </c>
      <c r="D2964" s="453" t="str">
        <f t="shared" ref="D2964:E2964" si="8921">D2959</f>
        <v>0,01-0,1</v>
      </c>
      <c r="E2964" s="453">
        <f t="shared" si="8921"/>
        <v>0.1</v>
      </c>
      <c r="F2964" s="453" t="str">
        <f t="shared" ref="F2964:G2964" si="8922">F2963</f>
        <v>air</v>
      </c>
      <c r="G2964" s="454" t="str">
        <f t="shared" si="8922"/>
        <v>DE: PCL fiber 0,01-0,1 mm (emission to air)</v>
      </c>
      <c r="H2964" s="473">
        <v>0</v>
      </c>
      <c r="I2964" s="456" t="s">
        <v>1034</v>
      </c>
      <c r="J2964" s="636"/>
      <c r="K2964" s="457" t="s">
        <v>596</v>
      </c>
      <c r="L2964" s="543"/>
      <c r="M2964" s="509">
        <f t="shared" si="8867"/>
        <v>0</v>
      </c>
      <c r="N2964" s="647"/>
      <c r="O2964" s="627"/>
      <c r="P2964" s="629"/>
      <c r="Q2964" s="629"/>
    </row>
    <row r="2965" spans="1:17" ht="15.75" hidden="1" thickBot="1">
      <c r="A2965" s="381" t="s">
        <v>48</v>
      </c>
      <c r="B2965" s="382" t="s">
        <v>1151</v>
      </c>
      <c r="C2965" s="383">
        <v>4</v>
      </c>
      <c r="D2965" s="475" t="s">
        <v>1028</v>
      </c>
      <c r="E2965" s="384">
        <v>1</v>
      </c>
      <c r="F2965" s="385" t="s">
        <v>1019</v>
      </c>
      <c r="G2965" s="386" t="str">
        <f>CONCATENATE("DE: ",A2965," ",B2965," ",D2965," mm (emission to ",F2965,")")</f>
        <v>DE: PCL fiber 0,1-1 mm (emission to soil)</v>
      </c>
      <c r="H2965" s="466">
        <v>0.97</v>
      </c>
      <c r="I2965" s="388" t="s">
        <v>1153</v>
      </c>
      <c r="J2965" s="632">
        <v>0.22800000000000001</v>
      </c>
      <c r="K2965" s="389">
        <v>439.96</v>
      </c>
      <c r="L2965" s="536"/>
      <c r="M2965" s="509">
        <f t="shared" si="8867"/>
        <v>0.56823347577052463</v>
      </c>
      <c r="N2965" s="645">
        <f t="shared" si="8887"/>
        <v>0.56823347577052452</v>
      </c>
      <c r="O2965" s="625"/>
      <c r="P2965" s="628">
        <f t="shared" ref="P2965:P3025" si="8923">IFERROR(IF(H2965*M2965+H2966*M2966+H2967*M2967+H2968*M2968+H2969*M2969&gt;100,100,H2965*M2965+H2966*M2966+H2967*M2967+H2968*M2968+H2969*M2969),"N.A.")</f>
        <v>0.56823347577052452</v>
      </c>
      <c r="Q2965" s="628">
        <f t="shared" si="8842"/>
        <v>0.56823347577052452</v>
      </c>
    </row>
    <row r="2966" spans="1:17" ht="15.75" hidden="1" thickBot="1">
      <c r="A2966" s="390" t="str">
        <f>A2965</f>
        <v>PCL</v>
      </c>
      <c r="B2966" s="391" t="str">
        <f>B2965</f>
        <v>fiber</v>
      </c>
      <c r="C2966" s="391">
        <f t="shared" ref="C2966:G2966" si="8924">C2965</f>
        <v>4</v>
      </c>
      <c r="D2966" s="391" t="str">
        <f t="shared" si="8924"/>
        <v>0,1-1</v>
      </c>
      <c r="E2966" s="391">
        <f t="shared" si="8924"/>
        <v>1</v>
      </c>
      <c r="F2966" s="391" t="str">
        <f t="shared" si="8924"/>
        <v>soil</v>
      </c>
      <c r="G2966" s="392" t="str">
        <f t="shared" si="8924"/>
        <v>DE: PCL fiber 0,1-1 mm (emission to soil)</v>
      </c>
      <c r="H2966" s="465">
        <v>0</v>
      </c>
      <c r="I2966" s="394" t="s">
        <v>1097</v>
      </c>
      <c r="J2966" s="632"/>
      <c r="K2966" s="395">
        <v>439.96</v>
      </c>
      <c r="L2966" s="537"/>
      <c r="M2966" s="509">
        <f t="shared" si="8867"/>
        <v>0.56823347577052463</v>
      </c>
      <c r="N2966" s="646"/>
      <c r="O2966" s="626"/>
      <c r="P2966" s="629"/>
      <c r="Q2966" s="629"/>
    </row>
    <row r="2967" spans="1:17" ht="15.75" hidden="1" thickBot="1">
      <c r="A2967" s="390" t="str">
        <f t="shared" ref="A2967:G2967" si="8925">A2966</f>
        <v>PCL</v>
      </c>
      <c r="B2967" s="391" t="str">
        <f t="shared" si="8925"/>
        <v>fiber</v>
      </c>
      <c r="C2967" s="391">
        <f t="shared" si="8925"/>
        <v>4</v>
      </c>
      <c r="D2967" s="391" t="str">
        <f t="shared" si="8925"/>
        <v>0,1-1</v>
      </c>
      <c r="E2967" s="391">
        <f t="shared" si="8925"/>
        <v>1</v>
      </c>
      <c r="F2967" s="391" t="str">
        <f t="shared" si="8925"/>
        <v>soil</v>
      </c>
      <c r="G2967" s="392" t="str">
        <f t="shared" si="8925"/>
        <v>DE: PCL fiber 0,1-1 mm (emission to soil)</v>
      </c>
      <c r="H2967" s="465">
        <v>2.7E-2</v>
      </c>
      <c r="I2967" s="394" t="s">
        <v>1162</v>
      </c>
      <c r="J2967" s="632"/>
      <c r="K2967" s="395">
        <v>439.96</v>
      </c>
      <c r="L2967" s="537"/>
      <c r="M2967" s="509">
        <f t="shared" si="8867"/>
        <v>0.56823347577052463</v>
      </c>
      <c r="N2967" s="646"/>
      <c r="O2967" s="626"/>
      <c r="P2967" s="629"/>
      <c r="Q2967" s="629"/>
    </row>
    <row r="2968" spans="1:17" ht="15.75" hidden="1" thickBot="1">
      <c r="A2968" s="390" t="str">
        <f t="shared" ref="A2968:G2968" si="8926">A2967</f>
        <v>PCL</v>
      </c>
      <c r="B2968" s="391" t="str">
        <f t="shared" si="8926"/>
        <v>fiber</v>
      </c>
      <c r="C2968" s="391">
        <f t="shared" si="8926"/>
        <v>4</v>
      </c>
      <c r="D2968" s="391" t="str">
        <f t="shared" si="8926"/>
        <v>0,1-1</v>
      </c>
      <c r="E2968" s="391">
        <f t="shared" si="8926"/>
        <v>1</v>
      </c>
      <c r="F2968" s="391" t="str">
        <f t="shared" si="8926"/>
        <v>soil</v>
      </c>
      <c r="G2968" s="392" t="str">
        <f t="shared" si="8926"/>
        <v>DE: PCL fiber 0,1-1 mm (emission to soil)</v>
      </c>
      <c r="H2968" s="465">
        <v>3.0000000000000001E-3</v>
      </c>
      <c r="I2968" s="394" t="s">
        <v>1163</v>
      </c>
      <c r="J2968" s="632"/>
      <c r="K2968" s="395">
        <v>439.96</v>
      </c>
      <c r="L2968" s="537"/>
      <c r="M2968" s="509">
        <f t="shared" si="8867"/>
        <v>0.56823347577052463</v>
      </c>
      <c r="N2968" s="646"/>
      <c r="O2968" s="626"/>
      <c r="P2968" s="629"/>
      <c r="Q2968" s="629"/>
    </row>
    <row r="2969" spans="1:17" ht="15.75" hidden="1" thickBot="1">
      <c r="A2969" s="390" t="str">
        <f>A2966</f>
        <v>PCL</v>
      </c>
      <c r="B2969" s="391" t="str">
        <f>B2966</f>
        <v>fiber</v>
      </c>
      <c r="C2969" s="391">
        <f t="shared" ref="C2969" si="8927">C2968</f>
        <v>4</v>
      </c>
      <c r="D2969" s="391" t="str">
        <f>D2966</f>
        <v>0,1-1</v>
      </c>
      <c r="E2969" s="391">
        <f>E2966</f>
        <v>1</v>
      </c>
      <c r="F2969" s="391" t="str">
        <f>F2966</f>
        <v>soil</v>
      </c>
      <c r="G2969" s="396" t="str">
        <f t="shared" ref="G2969" si="8928">G2968</f>
        <v>DE: PCL fiber 0,1-1 mm (emission to soil)</v>
      </c>
      <c r="H2969" s="465">
        <v>0</v>
      </c>
      <c r="I2969" s="397" t="s">
        <v>1034</v>
      </c>
      <c r="J2969" s="633"/>
      <c r="K2969" s="398" t="s">
        <v>596</v>
      </c>
      <c r="L2969" s="538"/>
      <c r="M2969" s="509">
        <f t="shared" si="8867"/>
        <v>0</v>
      </c>
      <c r="N2969" s="647"/>
      <c r="O2969" s="627"/>
      <c r="P2969" s="629"/>
      <c r="Q2969" s="629"/>
    </row>
    <row r="2970" spans="1:17" ht="15.75" hidden="1" thickBot="1">
      <c r="A2970" s="390" t="str">
        <f t="shared" ref="A2970:B2970" si="8929">A2967</f>
        <v>PCL</v>
      </c>
      <c r="B2970" s="391" t="str">
        <f t="shared" si="8929"/>
        <v>fiber</v>
      </c>
      <c r="C2970" s="391">
        <f t="shared" ref="C2970" si="8930">C2969</f>
        <v>4</v>
      </c>
      <c r="D2970" s="399" t="str">
        <f t="shared" ref="D2970:E2970" si="8931">D2967</f>
        <v>0,1-1</v>
      </c>
      <c r="E2970" s="391">
        <f t="shared" si="8931"/>
        <v>1</v>
      </c>
      <c r="F2970" s="400" t="s">
        <v>1147</v>
      </c>
      <c r="G2970" s="386" t="str">
        <f>CONCATENATE("DE: ",A2970," ",B2970," ",D2970," mm (emission to ",F2970,")")</f>
        <v>DE: PCL fiber 0,1-1 mm (emission to fresh water)</v>
      </c>
      <c r="H2970" s="466">
        <v>0</v>
      </c>
      <c r="I2970" s="388" t="s">
        <v>1153</v>
      </c>
      <c r="J2970" s="634">
        <v>0.22800000000000001</v>
      </c>
      <c r="K2970" s="389">
        <v>439.96</v>
      </c>
      <c r="L2970" s="536"/>
      <c r="M2970" s="509">
        <f t="shared" si="8867"/>
        <v>0.56823347577052463</v>
      </c>
      <c r="N2970" s="645">
        <f t="shared" si="8887"/>
        <v>0.56823347577052463</v>
      </c>
      <c r="O2970" s="625"/>
      <c r="P2970" s="628">
        <f t="shared" si="8923"/>
        <v>0.56823347577052463</v>
      </c>
      <c r="Q2970" s="628">
        <f t="shared" si="8842"/>
        <v>0.56823347577052463</v>
      </c>
    </row>
    <row r="2971" spans="1:17" ht="15.75" hidden="1" thickBot="1">
      <c r="A2971" s="390" t="str">
        <f t="shared" ref="A2971:B2971" si="8932">A2968</f>
        <v>PCL</v>
      </c>
      <c r="B2971" s="391" t="str">
        <f t="shared" si="8932"/>
        <v>fiber</v>
      </c>
      <c r="C2971" s="391">
        <f t="shared" ref="C2971" si="8933">C2970</f>
        <v>4</v>
      </c>
      <c r="D2971" s="391" t="str">
        <f t="shared" ref="D2971:E2971" si="8934">D2968</f>
        <v>0,1-1</v>
      </c>
      <c r="E2971" s="391">
        <f t="shared" si="8934"/>
        <v>1</v>
      </c>
      <c r="F2971" s="391" t="str">
        <f t="shared" ref="F2971:G2971" si="8935">F2970</f>
        <v>fresh water</v>
      </c>
      <c r="G2971" s="401" t="str">
        <f t="shared" si="8935"/>
        <v>DE: PCL fiber 0,1-1 mm (emission to fresh water)</v>
      </c>
      <c r="H2971" s="465">
        <v>0</v>
      </c>
      <c r="I2971" s="394" t="s">
        <v>1097</v>
      </c>
      <c r="J2971" s="635"/>
      <c r="K2971" s="389">
        <v>439.96</v>
      </c>
      <c r="L2971" s="536"/>
      <c r="M2971" s="509">
        <f t="shared" si="8867"/>
        <v>0.56823347577052463</v>
      </c>
      <c r="N2971" s="646"/>
      <c r="O2971" s="626"/>
      <c r="P2971" s="629"/>
      <c r="Q2971" s="629"/>
    </row>
    <row r="2972" spans="1:17" ht="15.75" hidden="1" thickBot="1">
      <c r="A2972" s="390" t="str">
        <f t="shared" ref="A2972:B2972" si="8936">A2969</f>
        <v>PCL</v>
      </c>
      <c r="B2972" s="391" t="str">
        <f t="shared" si="8936"/>
        <v>fiber</v>
      </c>
      <c r="C2972" s="391">
        <f t="shared" ref="C2972" si="8937">C2971</f>
        <v>4</v>
      </c>
      <c r="D2972" s="391" t="str">
        <f t="shared" ref="D2972:E2972" si="8938">D2969</f>
        <v>0,1-1</v>
      </c>
      <c r="E2972" s="391">
        <f t="shared" si="8938"/>
        <v>1</v>
      </c>
      <c r="F2972" s="391" t="str">
        <f t="shared" ref="F2972:G2972" si="8939">F2971</f>
        <v>fresh water</v>
      </c>
      <c r="G2972" s="401" t="str">
        <f t="shared" si="8939"/>
        <v>DE: PCL fiber 0,1-1 mm (emission to fresh water)</v>
      </c>
      <c r="H2972" s="465">
        <v>0.89</v>
      </c>
      <c r="I2972" s="394" t="s">
        <v>1162</v>
      </c>
      <c r="J2972" s="635"/>
      <c r="K2972" s="389">
        <v>439.96</v>
      </c>
      <c r="L2972" s="536"/>
      <c r="M2972" s="509">
        <f t="shared" si="8867"/>
        <v>0.56823347577052463</v>
      </c>
      <c r="N2972" s="646"/>
      <c r="O2972" s="626"/>
      <c r="P2972" s="629"/>
      <c r="Q2972" s="629"/>
    </row>
    <row r="2973" spans="1:17" ht="15.75" hidden="1" thickBot="1">
      <c r="A2973" s="390" t="str">
        <f t="shared" ref="A2973:B2973" si="8940">A2970</f>
        <v>PCL</v>
      </c>
      <c r="B2973" s="391" t="str">
        <f t="shared" si="8940"/>
        <v>fiber</v>
      </c>
      <c r="C2973" s="391">
        <f t="shared" ref="C2973" si="8941">C2972</f>
        <v>4</v>
      </c>
      <c r="D2973" s="391" t="str">
        <f t="shared" ref="D2973:E2973" si="8942">D2970</f>
        <v>0,1-1</v>
      </c>
      <c r="E2973" s="391">
        <f t="shared" si="8942"/>
        <v>1</v>
      </c>
      <c r="F2973" s="391" t="str">
        <f t="shared" ref="F2973:G2973" si="8943">F2972</f>
        <v>fresh water</v>
      </c>
      <c r="G2973" s="401" t="str">
        <f t="shared" si="8943"/>
        <v>DE: PCL fiber 0,1-1 mm (emission to fresh water)</v>
      </c>
      <c r="H2973" s="465">
        <v>0.11</v>
      </c>
      <c r="I2973" s="394" t="s">
        <v>1163</v>
      </c>
      <c r="J2973" s="635"/>
      <c r="K2973" s="389">
        <v>439.96</v>
      </c>
      <c r="L2973" s="536"/>
      <c r="M2973" s="509">
        <f t="shared" si="8867"/>
        <v>0.56823347577052463</v>
      </c>
      <c r="N2973" s="646"/>
      <c r="O2973" s="626"/>
      <c r="P2973" s="629"/>
      <c r="Q2973" s="629"/>
    </row>
    <row r="2974" spans="1:17" ht="15.75" hidden="1" thickBot="1">
      <c r="A2974" s="390" t="str">
        <f t="shared" ref="A2974:B2974" si="8944">A2971</f>
        <v>PCL</v>
      </c>
      <c r="B2974" s="391" t="str">
        <f t="shared" si="8944"/>
        <v>fiber</v>
      </c>
      <c r="C2974" s="391">
        <f t="shared" ref="C2974" si="8945">C2973</f>
        <v>4</v>
      </c>
      <c r="D2974" s="391" t="str">
        <f t="shared" ref="D2974:E2974" si="8946">D2971</f>
        <v>0,1-1</v>
      </c>
      <c r="E2974" s="391">
        <f t="shared" si="8946"/>
        <v>1</v>
      </c>
      <c r="F2974" s="402" t="str">
        <f>F2971</f>
        <v>fresh water</v>
      </c>
      <c r="G2974" s="401" t="str">
        <f t="shared" ref="G2974" si="8947">G2973</f>
        <v>DE: PCL fiber 0,1-1 mm (emission to fresh water)</v>
      </c>
      <c r="H2974" s="465">
        <v>0</v>
      </c>
      <c r="I2974" s="397" t="s">
        <v>1034</v>
      </c>
      <c r="J2974" s="654"/>
      <c r="K2974" s="398" t="s">
        <v>596</v>
      </c>
      <c r="L2974" s="538"/>
      <c r="M2974" s="509">
        <f t="shared" si="8867"/>
        <v>0</v>
      </c>
      <c r="N2974" s="647"/>
      <c r="O2974" s="627"/>
      <c r="P2974" s="629"/>
      <c r="Q2974" s="629"/>
    </row>
    <row r="2975" spans="1:17" ht="15.75" hidden="1" thickBot="1">
      <c r="A2975" s="390" t="str">
        <f t="shared" ref="A2975:B2975" si="8948">A2972</f>
        <v>PCL</v>
      </c>
      <c r="B2975" s="391" t="str">
        <f t="shared" si="8948"/>
        <v>fiber</v>
      </c>
      <c r="C2975" s="391">
        <f t="shared" ref="C2975" si="8949">C2974</f>
        <v>4</v>
      </c>
      <c r="D2975" s="391" t="str">
        <f t="shared" ref="D2975:E2975" si="8950">D2972</f>
        <v>0,1-1</v>
      </c>
      <c r="E2975" s="391">
        <f t="shared" si="8950"/>
        <v>1</v>
      </c>
      <c r="F2975" s="385" t="s">
        <v>1097</v>
      </c>
      <c r="G2975" s="422" t="str">
        <f>CONCATENATE("DE: ",A2975," ",B2975," ",D2975," mm (emission to ",F2975,")")</f>
        <v>DE: PCL fiber 0,1-1 mm (emission to marine water)</v>
      </c>
      <c r="H2975" s="467">
        <v>0</v>
      </c>
      <c r="I2975" s="388" t="s">
        <v>1153</v>
      </c>
      <c r="J2975" s="634">
        <v>0.22800000000000001</v>
      </c>
      <c r="K2975" s="389">
        <v>439.96</v>
      </c>
      <c r="L2975" s="536"/>
      <c r="M2975" s="509">
        <f t="shared" si="8867"/>
        <v>0.56823347577052463</v>
      </c>
      <c r="N2975" s="645">
        <f t="shared" si="8887"/>
        <v>0.56823347577052463</v>
      </c>
      <c r="O2975" s="625"/>
      <c r="P2975" s="628">
        <f t="shared" si="8923"/>
        <v>0.56823347577052463</v>
      </c>
      <c r="Q2975" s="628">
        <f t="shared" si="8842"/>
        <v>0.56823347577052463</v>
      </c>
    </row>
    <row r="2976" spans="1:17" ht="15.75" hidden="1" thickBot="1">
      <c r="A2976" s="390" t="str">
        <f t="shared" ref="A2976:B2976" si="8951">A2973</f>
        <v>PCL</v>
      </c>
      <c r="B2976" s="391" t="str">
        <f t="shared" si="8951"/>
        <v>fiber</v>
      </c>
      <c r="C2976" s="391">
        <f t="shared" ref="C2976" si="8952">C2975</f>
        <v>4</v>
      </c>
      <c r="D2976" s="391" t="str">
        <f t="shared" ref="D2976:E2976" si="8953">D2973</f>
        <v>0,1-1</v>
      </c>
      <c r="E2976" s="391">
        <f t="shared" si="8953"/>
        <v>1</v>
      </c>
      <c r="F2976" s="391" t="str">
        <f t="shared" ref="F2976:G2976" si="8954">F2975</f>
        <v>marine water</v>
      </c>
      <c r="G2976" s="401" t="str">
        <f t="shared" si="8954"/>
        <v>DE: PCL fiber 0,1-1 mm (emission to marine water)</v>
      </c>
      <c r="H2976" s="465">
        <v>0</v>
      </c>
      <c r="I2976" s="394" t="s">
        <v>1097</v>
      </c>
      <c r="J2976" s="635"/>
      <c r="K2976" s="389">
        <v>439.96</v>
      </c>
      <c r="L2976" s="536"/>
      <c r="M2976" s="509">
        <f t="shared" si="8867"/>
        <v>0.56823347577052463</v>
      </c>
      <c r="N2976" s="646"/>
      <c r="O2976" s="626"/>
      <c r="P2976" s="629"/>
      <c r="Q2976" s="629"/>
    </row>
    <row r="2977" spans="1:17" ht="15.75" hidden="1" thickBot="1">
      <c r="A2977" s="390" t="str">
        <f t="shared" ref="A2977:B2977" si="8955">A2974</f>
        <v>PCL</v>
      </c>
      <c r="B2977" s="391" t="str">
        <f t="shared" si="8955"/>
        <v>fiber</v>
      </c>
      <c r="C2977" s="391">
        <f t="shared" ref="C2977" si="8956">C2976</f>
        <v>4</v>
      </c>
      <c r="D2977" s="391" t="str">
        <f t="shared" ref="D2977:E2977" si="8957">D2974</f>
        <v>0,1-1</v>
      </c>
      <c r="E2977" s="391">
        <f t="shared" si="8957"/>
        <v>1</v>
      </c>
      <c r="F2977" s="391" t="str">
        <f t="shared" ref="F2977:G2977" si="8958">F2976</f>
        <v>marine water</v>
      </c>
      <c r="G2977" s="401" t="str">
        <f t="shared" si="8958"/>
        <v>DE: PCL fiber 0,1-1 mm (emission to marine water)</v>
      </c>
      <c r="H2977" s="465">
        <v>0</v>
      </c>
      <c r="I2977" s="394" t="s">
        <v>1162</v>
      </c>
      <c r="J2977" s="635"/>
      <c r="K2977" s="389">
        <v>439.96</v>
      </c>
      <c r="L2977" s="536"/>
      <c r="M2977" s="509">
        <f t="shared" si="8867"/>
        <v>0.56823347577052463</v>
      </c>
      <c r="N2977" s="646"/>
      <c r="O2977" s="626"/>
      <c r="P2977" s="629"/>
      <c r="Q2977" s="629"/>
    </row>
    <row r="2978" spans="1:17" ht="15.75" hidden="1" thickBot="1">
      <c r="A2978" s="390" t="str">
        <f t="shared" ref="A2978:B2978" si="8959">A2975</f>
        <v>PCL</v>
      </c>
      <c r="B2978" s="391" t="str">
        <f t="shared" si="8959"/>
        <v>fiber</v>
      </c>
      <c r="C2978" s="391">
        <f t="shared" ref="C2978" si="8960">C2977</f>
        <v>4</v>
      </c>
      <c r="D2978" s="391" t="str">
        <f t="shared" ref="D2978:E2978" si="8961">D2975</f>
        <v>0,1-1</v>
      </c>
      <c r="E2978" s="391">
        <f t="shared" si="8961"/>
        <v>1</v>
      </c>
      <c r="F2978" s="391" t="str">
        <f t="shared" ref="F2978:G2978" si="8962">F2977</f>
        <v>marine water</v>
      </c>
      <c r="G2978" s="401" t="str">
        <f t="shared" si="8962"/>
        <v>DE: PCL fiber 0,1-1 mm (emission to marine water)</v>
      </c>
      <c r="H2978" s="465">
        <v>1</v>
      </c>
      <c r="I2978" s="394" t="s">
        <v>1163</v>
      </c>
      <c r="J2978" s="635"/>
      <c r="K2978" s="389">
        <v>439.96</v>
      </c>
      <c r="L2978" s="536"/>
      <c r="M2978" s="509">
        <f t="shared" si="8867"/>
        <v>0.56823347577052463</v>
      </c>
      <c r="N2978" s="646"/>
      <c r="O2978" s="626"/>
      <c r="P2978" s="629"/>
      <c r="Q2978" s="629"/>
    </row>
    <row r="2979" spans="1:17" ht="15.75" hidden="1" thickBot="1">
      <c r="A2979" s="390" t="str">
        <f t="shared" ref="A2979:B2979" si="8963">A2976</f>
        <v>PCL</v>
      </c>
      <c r="B2979" s="391" t="str">
        <f t="shared" si="8963"/>
        <v>fiber</v>
      </c>
      <c r="C2979" s="391">
        <f t="shared" ref="C2979" si="8964">C2978</f>
        <v>4</v>
      </c>
      <c r="D2979" s="391" t="str">
        <f t="shared" ref="D2979:E2979" si="8965">D2976</f>
        <v>0,1-1</v>
      </c>
      <c r="E2979" s="391">
        <f t="shared" si="8965"/>
        <v>1</v>
      </c>
      <c r="F2979" s="391" t="str">
        <f t="shared" ref="F2979:G2979" si="8966">F2978</f>
        <v>marine water</v>
      </c>
      <c r="G2979" s="401" t="str">
        <f t="shared" si="8966"/>
        <v>DE: PCL fiber 0,1-1 mm (emission to marine water)</v>
      </c>
      <c r="H2979" s="465">
        <v>0</v>
      </c>
      <c r="I2979" s="397" t="s">
        <v>1034</v>
      </c>
      <c r="J2979" s="654"/>
      <c r="K2979" s="398" t="s">
        <v>596</v>
      </c>
      <c r="L2979" s="538"/>
      <c r="M2979" s="509">
        <f t="shared" si="8867"/>
        <v>0</v>
      </c>
      <c r="N2979" s="647"/>
      <c r="O2979" s="627"/>
      <c r="P2979" s="629"/>
      <c r="Q2979" s="629"/>
    </row>
    <row r="2980" spans="1:17" ht="15.75" hidden="1" thickBot="1">
      <c r="A2980" s="390" t="str">
        <f t="shared" ref="A2980:B2980" si="8967">A2977</f>
        <v>PCL</v>
      </c>
      <c r="B2980" s="391" t="str">
        <f t="shared" si="8967"/>
        <v>fiber</v>
      </c>
      <c r="C2980" s="391">
        <f t="shared" ref="C2980" si="8968">C2979</f>
        <v>4</v>
      </c>
      <c r="D2980" s="391" t="str">
        <f t="shared" ref="D2980:E2980" si="8969">D2977</f>
        <v>0,1-1</v>
      </c>
      <c r="E2980" s="391">
        <f t="shared" si="8969"/>
        <v>1</v>
      </c>
      <c r="F2980" s="400" t="s">
        <v>1057</v>
      </c>
      <c r="G2980" s="422" t="str">
        <f>CONCATENATE("DE: ",A2980," ",B2980," ",D2980," mm (emission to ",F2980,")")</f>
        <v>DE: PCL fiber 0,1-1 mm (emission to air)</v>
      </c>
      <c r="H2980" s="467">
        <v>0.94799999999999995</v>
      </c>
      <c r="I2980" s="388" t="s">
        <v>1153</v>
      </c>
      <c r="J2980" s="634">
        <v>0.22800000000000001</v>
      </c>
      <c r="K2980" s="389">
        <v>439.96</v>
      </c>
      <c r="L2980" s="536"/>
      <c r="M2980" s="509">
        <f t="shared" si="8867"/>
        <v>0.56823347577052463</v>
      </c>
      <c r="N2980" s="645">
        <f t="shared" si="8887"/>
        <v>0.56823347577052463</v>
      </c>
      <c r="O2980" s="625"/>
      <c r="P2980" s="628">
        <f t="shared" si="8923"/>
        <v>0.56823347577052463</v>
      </c>
      <c r="Q2980" s="628">
        <f t="shared" si="8842"/>
        <v>0.56823347577052463</v>
      </c>
    </row>
    <row r="2981" spans="1:17" ht="15.75" hidden="1" thickBot="1">
      <c r="A2981" s="390" t="str">
        <f t="shared" ref="A2981:B2981" si="8970">A2978</f>
        <v>PCL</v>
      </c>
      <c r="B2981" s="391" t="str">
        <f t="shared" si="8970"/>
        <v>fiber</v>
      </c>
      <c r="C2981" s="391">
        <f t="shared" ref="C2981" si="8971">C2980</f>
        <v>4</v>
      </c>
      <c r="D2981" s="391" t="str">
        <f t="shared" ref="D2981:E2981" si="8972">D2978</f>
        <v>0,1-1</v>
      </c>
      <c r="E2981" s="391">
        <f t="shared" si="8972"/>
        <v>1</v>
      </c>
      <c r="F2981" s="391" t="str">
        <f t="shared" ref="F2981:G2981" si="8973">F2980</f>
        <v>air</v>
      </c>
      <c r="G2981" s="401" t="str">
        <f t="shared" si="8973"/>
        <v>DE: PCL fiber 0,1-1 mm (emission to air)</v>
      </c>
      <c r="H2981" s="465">
        <v>0</v>
      </c>
      <c r="I2981" s="394" t="s">
        <v>1097</v>
      </c>
      <c r="J2981" s="635"/>
      <c r="K2981" s="389">
        <v>439.96</v>
      </c>
      <c r="L2981" s="536"/>
      <c r="M2981" s="509">
        <f t="shared" si="8867"/>
        <v>0.56823347577052463</v>
      </c>
      <c r="N2981" s="646"/>
      <c r="O2981" s="626"/>
      <c r="P2981" s="629"/>
      <c r="Q2981" s="629"/>
    </row>
    <row r="2982" spans="1:17" ht="15.75" hidden="1" thickBot="1">
      <c r="A2982" s="390" t="str">
        <f t="shared" ref="A2982:B2982" si="8974">A2979</f>
        <v>PCL</v>
      </c>
      <c r="B2982" s="391" t="str">
        <f t="shared" si="8974"/>
        <v>fiber</v>
      </c>
      <c r="C2982" s="391">
        <f t="shared" ref="C2982" si="8975">C2981</f>
        <v>4</v>
      </c>
      <c r="D2982" s="391" t="str">
        <f t="shared" ref="D2982:E2982" si="8976">D2979</f>
        <v>0,1-1</v>
      </c>
      <c r="E2982" s="391">
        <f t="shared" si="8976"/>
        <v>1</v>
      </c>
      <c r="F2982" s="391" t="str">
        <f t="shared" ref="F2982:G2982" si="8977">F2981</f>
        <v>air</v>
      </c>
      <c r="G2982" s="401" t="str">
        <f t="shared" si="8977"/>
        <v>DE: PCL fiber 0,1-1 mm (emission to air)</v>
      </c>
      <c r="H2982" s="465">
        <v>4.7E-2</v>
      </c>
      <c r="I2982" s="394" t="s">
        <v>1162</v>
      </c>
      <c r="J2982" s="635"/>
      <c r="K2982" s="389">
        <v>439.96</v>
      </c>
      <c r="L2982" s="536"/>
      <c r="M2982" s="509">
        <f t="shared" si="8867"/>
        <v>0.56823347577052463</v>
      </c>
      <c r="N2982" s="646"/>
      <c r="O2982" s="626"/>
      <c r="P2982" s="629"/>
      <c r="Q2982" s="629"/>
    </row>
    <row r="2983" spans="1:17" ht="15.75" hidden="1" thickBot="1">
      <c r="A2983" s="390" t="str">
        <f t="shared" ref="A2983:B2983" si="8978">A2980</f>
        <v>PCL</v>
      </c>
      <c r="B2983" s="391" t="str">
        <f t="shared" si="8978"/>
        <v>fiber</v>
      </c>
      <c r="C2983" s="391">
        <f t="shared" ref="C2983" si="8979">C2982</f>
        <v>4</v>
      </c>
      <c r="D2983" s="391" t="str">
        <f t="shared" ref="D2983:E2983" si="8980">D2980</f>
        <v>0,1-1</v>
      </c>
      <c r="E2983" s="391">
        <f t="shared" si="8980"/>
        <v>1</v>
      </c>
      <c r="F2983" s="391" t="str">
        <f t="shared" ref="F2983:G2983" si="8981">F2982</f>
        <v>air</v>
      </c>
      <c r="G2983" s="401" t="str">
        <f t="shared" si="8981"/>
        <v>DE: PCL fiber 0,1-1 mm (emission to air)</v>
      </c>
      <c r="H2983" s="465">
        <v>5.0000000000000001E-3</v>
      </c>
      <c r="I2983" s="394" t="s">
        <v>1163</v>
      </c>
      <c r="J2983" s="635"/>
      <c r="K2983" s="389">
        <v>439.96</v>
      </c>
      <c r="L2983" s="536"/>
      <c r="M2983" s="509">
        <f t="shared" si="8867"/>
        <v>0.56823347577052463</v>
      </c>
      <c r="N2983" s="646"/>
      <c r="O2983" s="626"/>
      <c r="P2983" s="629"/>
      <c r="Q2983" s="629"/>
    </row>
    <row r="2984" spans="1:17" ht="15.75" hidden="1" thickBot="1">
      <c r="A2984" s="390" t="str">
        <f t="shared" ref="A2984:B2984" si="8982">A2979</f>
        <v>PCL</v>
      </c>
      <c r="B2984" s="391" t="str">
        <f t="shared" si="8982"/>
        <v>fiber</v>
      </c>
      <c r="C2984" s="391">
        <f t="shared" ref="C2984" si="8983">C2983</f>
        <v>4</v>
      </c>
      <c r="D2984" s="391" t="str">
        <f t="shared" ref="D2984:E2984" si="8984">D2979</f>
        <v>0,1-1</v>
      </c>
      <c r="E2984" s="391">
        <f t="shared" si="8984"/>
        <v>1</v>
      </c>
      <c r="F2984" s="391" t="str">
        <f t="shared" ref="F2984:G2984" si="8985">F2983</f>
        <v>air</v>
      </c>
      <c r="G2984" s="401" t="str">
        <f t="shared" si="8985"/>
        <v>DE: PCL fiber 0,1-1 mm (emission to air)</v>
      </c>
      <c r="H2984" s="471">
        <v>0</v>
      </c>
      <c r="I2984" s="422" t="s">
        <v>1034</v>
      </c>
      <c r="J2984" s="636"/>
      <c r="K2984" s="451" t="s">
        <v>596</v>
      </c>
      <c r="L2984" s="542"/>
      <c r="M2984" s="509">
        <f t="shared" si="8867"/>
        <v>0</v>
      </c>
      <c r="N2984" s="647"/>
      <c r="O2984" s="627"/>
      <c r="P2984" s="629"/>
      <c r="Q2984" s="629"/>
    </row>
    <row r="2985" spans="1:17" ht="15.75" hidden="1" thickBot="1">
      <c r="A2985" s="405" t="s">
        <v>48</v>
      </c>
      <c r="B2985" s="406" t="s">
        <v>1151</v>
      </c>
      <c r="C2985" s="407">
        <v>4</v>
      </c>
      <c r="D2985" s="423" t="s">
        <v>1026</v>
      </c>
      <c r="E2985" s="408">
        <v>10</v>
      </c>
      <c r="F2985" s="424" t="s">
        <v>1019</v>
      </c>
      <c r="G2985" s="425" t="str">
        <f>CONCATENATE("DE: ",A2985," ",B2985," ",D2985," mm (emission to ",F2985,")")</f>
        <v>DE: PCL fiber 1-10 mm (emission to soil)</v>
      </c>
      <c r="H2985" s="474">
        <v>0.97</v>
      </c>
      <c r="I2985" s="427" t="s">
        <v>1153</v>
      </c>
      <c r="J2985" s="632">
        <v>0.22800000000000001</v>
      </c>
      <c r="K2985" s="428">
        <v>439.96</v>
      </c>
      <c r="L2985" s="539"/>
      <c r="M2985" s="509">
        <f t="shared" si="8867"/>
        <v>5.6823347577052461</v>
      </c>
      <c r="N2985" s="645">
        <f t="shared" si="8887"/>
        <v>5.6823347577052461</v>
      </c>
      <c r="O2985" s="625"/>
      <c r="P2985" s="628">
        <f t="shared" si="8923"/>
        <v>5.6823347577052461</v>
      </c>
      <c r="Q2985" s="628">
        <f t="shared" si="8842"/>
        <v>5.6823347577052461</v>
      </c>
    </row>
    <row r="2986" spans="1:17" ht="15.75" hidden="1" thickBot="1">
      <c r="A2986" s="390" t="str">
        <f>A2985</f>
        <v>PCL</v>
      </c>
      <c r="B2986" s="391" t="str">
        <f>B2985</f>
        <v>fiber</v>
      </c>
      <c r="C2986" s="391">
        <f t="shared" ref="C2986:G2986" si="8986">C2985</f>
        <v>4</v>
      </c>
      <c r="D2986" s="391" t="str">
        <f t="shared" si="8986"/>
        <v>1-10</v>
      </c>
      <c r="E2986" s="391">
        <f t="shared" si="8986"/>
        <v>10</v>
      </c>
      <c r="F2986" s="391" t="str">
        <f t="shared" si="8986"/>
        <v>soil</v>
      </c>
      <c r="G2986" s="392" t="str">
        <f t="shared" si="8986"/>
        <v>DE: PCL fiber 1-10 mm (emission to soil)</v>
      </c>
      <c r="H2986" s="465">
        <v>0</v>
      </c>
      <c r="I2986" s="394" t="s">
        <v>1097</v>
      </c>
      <c r="J2986" s="632"/>
      <c r="K2986" s="395">
        <v>439.96</v>
      </c>
      <c r="L2986" s="537"/>
      <c r="M2986" s="509">
        <f t="shared" si="8867"/>
        <v>5.6823347577052461</v>
      </c>
      <c r="N2986" s="646"/>
      <c r="O2986" s="626"/>
      <c r="P2986" s="629"/>
      <c r="Q2986" s="629"/>
    </row>
    <row r="2987" spans="1:17" ht="15.75" hidden="1" thickBot="1">
      <c r="A2987" s="390" t="str">
        <f t="shared" ref="A2987:G2987" si="8987">A2986</f>
        <v>PCL</v>
      </c>
      <c r="B2987" s="391" t="str">
        <f t="shared" si="8987"/>
        <v>fiber</v>
      </c>
      <c r="C2987" s="391">
        <f t="shared" si="8987"/>
        <v>4</v>
      </c>
      <c r="D2987" s="391" t="str">
        <f t="shared" si="8987"/>
        <v>1-10</v>
      </c>
      <c r="E2987" s="391">
        <f t="shared" si="8987"/>
        <v>10</v>
      </c>
      <c r="F2987" s="391" t="str">
        <f t="shared" si="8987"/>
        <v>soil</v>
      </c>
      <c r="G2987" s="392" t="str">
        <f t="shared" si="8987"/>
        <v>DE: PCL fiber 1-10 mm (emission to soil)</v>
      </c>
      <c r="H2987" s="465">
        <v>2.7E-2</v>
      </c>
      <c r="I2987" s="394" t="s">
        <v>1162</v>
      </c>
      <c r="J2987" s="632"/>
      <c r="K2987" s="395">
        <v>439.96</v>
      </c>
      <c r="L2987" s="537"/>
      <c r="M2987" s="509">
        <f t="shared" si="8867"/>
        <v>5.6823347577052461</v>
      </c>
      <c r="N2987" s="646"/>
      <c r="O2987" s="626"/>
      <c r="P2987" s="629"/>
      <c r="Q2987" s="629"/>
    </row>
    <row r="2988" spans="1:17" ht="15.75" hidden="1" thickBot="1">
      <c r="A2988" s="390" t="str">
        <f t="shared" ref="A2988:G2988" si="8988">A2987</f>
        <v>PCL</v>
      </c>
      <c r="B2988" s="391" t="str">
        <f t="shared" si="8988"/>
        <v>fiber</v>
      </c>
      <c r="C2988" s="391">
        <f t="shared" si="8988"/>
        <v>4</v>
      </c>
      <c r="D2988" s="391" t="str">
        <f t="shared" si="8988"/>
        <v>1-10</v>
      </c>
      <c r="E2988" s="391">
        <f t="shared" si="8988"/>
        <v>10</v>
      </c>
      <c r="F2988" s="391" t="str">
        <f t="shared" si="8988"/>
        <v>soil</v>
      </c>
      <c r="G2988" s="392" t="str">
        <f t="shared" si="8988"/>
        <v>DE: PCL fiber 1-10 mm (emission to soil)</v>
      </c>
      <c r="H2988" s="465">
        <v>3.0000000000000001E-3</v>
      </c>
      <c r="I2988" s="394" t="s">
        <v>1163</v>
      </c>
      <c r="J2988" s="632"/>
      <c r="K2988" s="395">
        <v>439.96</v>
      </c>
      <c r="L2988" s="537"/>
      <c r="M2988" s="509">
        <f t="shared" si="8867"/>
        <v>5.6823347577052461</v>
      </c>
      <c r="N2988" s="646"/>
      <c r="O2988" s="626"/>
      <c r="P2988" s="629"/>
      <c r="Q2988" s="629"/>
    </row>
    <row r="2989" spans="1:17" ht="15.75" hidden="1" thickBot="1">
      <c r="A2989" s="390" t="str">
        <f>A2986</f>
        <v>PCL</v>
      </c>
      <c r="B2989" s="391" t="str">
        <f>B2986</f>
        <v>fiber</v>
      </c>
      <c r="C2989" s="391">
        <f t="shared" ref="C2989" si="8989">C2988</f>
        <v>4</v>
      </c>
      <c r="D2989" s="391" t="str">
        <f>D2986</f>
        <v>1-10</v>
      </c>
      <c r="E2989" s="391">
        <f>E2986</f>
        <v>10</v>
      </c>
      <c r="F2989" s="391" t="str">
        <f>F2986</f>
        <v>soil</v>
      </c>
      <c r="G2989" s="396" t="str">
        <f t="shared" ref="G2989" si="8990">G2988</f>
        <v>DE: PCL fiber 1-10 mm (emission to soil)</v>
      </c>
      <c r="H2989" s="465">
        <v>0</v>
      </c>
      <c r="I2989" s="397" t="s">
        <v>1034</v>
      </c>
      <c r="J2989" s="633"/>
      <c r="K2989" s="398" t="s">
        <v>596</v>
      </c>
      <c r="L2989" s="538"/>
      <c r="M2989" s="509">
        <f t="shared" si="8867"/>
        <v>0</v>
      </c>
      <c r="N2989" s="647"/>
      <c r="O2989" s="627"/>
      <c r="P2989" s="629"/>
      <c r="Q2989" s="629"/>
    </row>
    <row r="2990" spans="1:17" ht="15.75" hidden="1" thickBot="1">
      <c r="A2990" s="390" t="str">
        <f t="shared" ref="A2990:B2990" si="8991">A2987</f>
        <v>PCL</v>
      </c>
      <c r="B2990" s="391" t="str">
        <f t="shared" si="8991"/>
        <v>fiber</v>
      </c>
      <c r="C2990" s="391">
        <f t="shared" ref="C2990" si="8992">C2989</f>
        <v>4</v>
      </c>
      <c r="D2990" s="399" t="str">
        <f t="shared" ref="D2990:E2990" si="8993">D2987</f>
        <v>1-10</v>
      </c>
      <c r="E2990" s="391">
        <f t="shared" si="8993"/>
        <v>10</v>
      </c>
      <c r="F2990" s="400" t="s">
        <v>1147</v>
      </c>
      <c r="G2990" s="386" t="str">
        <f>CONCATENATE("DE: ",A2990," ",B2990," ",D2990," mm (emission to ",F2990,")")</f>
        <v>DE: PCL fiber 1-10 mm (emission to fresh water)</v>
      </c>
      <c r="H2990" s="466">
        <v>0</v>
      </c>
      <c r="I2990" s="388" t="s">
        <v>1153</v>
      </c>
      <c r="J2990" s="634">
        <v>0.22800000000000001</v>
      </c>
      <c r="K2990" s="389">
        <v>439.96</v>
      </c>
      <c r="L2990" s="536"/>
      <c r="M2990" s="509">
        <f t="shared" si="8867"/>
        <v>5.6823347577052461</v>
      </c>
      <c r="N2990" s="645">
        <f t="shared" si="8887"/>
        <v>5.682334757705247</v>
      </c>
      <c r="O2990" s="625"/>
      <c r="P2990" s="628">
        <f t="shared" si="8923"/>
        <v>5.682334757705247</v>
      </c>
      <c r="Q2990" s="628">
        <f t="shared" si="8842"/>
        <v>5.682334757705247</v>
      </c>
    </row>
    <row r="2991" spans="1:17" ht="15.75" hidden="1" thickBot="1">
      <c r="A2991" s="390" t="str">
        <f t="shared" ref="A2991:B2991" si="8994">A2988</f>
        <v>PCL</v>
      </c>
      <c r="B2991" s="391" t="str">
        <f t="shared" si="8994"/>
        <v>fiber</v>
      </c>
      <c r="C2991" s="391">
        <f t="shared" ref="C2991" si="8995">C2990</f>
        <v>4</v>
      </c>
      <c r="D2991" s="391" t="str">
        <f t="shared" ref="D2991:E2991" si="8996">D2988</f>
        <v>1-10</v>
      </c>
      <c r="E2991" s="391">
        <f t="shared" si="8996"/>
        <v>10</v>
      </c>
      <c r="F2991" s="391" t="str">
        <f t="shared" ref="F2991:G2991" si="8997">F2990</f>
        <v>fresh water</v>
      </c>
      <c r="G2991" s="401" t="str">
        <f t="shared" si="8997"/>
        <v>DE: PCL fiber 1-10 mm (emission to fresh water)</v>
      </c>
      <c r="H2991" s="465">
        <v>0</v>
      </c>
      <c r="I2991" s="394" t="s">
        <v>1097</v>
      </c>
      <c r="J2991" s="635"/>
      <c r="K2991" s="389">
        <v>439.96</v>
      </c>
      <c r="L2991" s="536"/>
      <c r="M2991" s="509">
        <f t="shared" si="8867"/>
        <v>5.6823347577052461</v>
      </c>
      <c r="N2991" s="646"/>
      <c r="O2991" s="626"/>
      <c r="P2991" s="629"/>
      <c r="Q2991" s="629"/>
    </row>
    <row r="2992" spans="1:17" ht="15.75" hidden="1" thickBot="1">
      <c r="A2992" s="390" t="str">
        <f t="shared" ref="A2992:B2992" si="8998">A2989</f>
        <v>PCL</v>
      </c>
      <c r="B2992" s="391" t="str">
        <f t="shared" si="8998"/>
        <v>fiber</v>
      </c>
      <c r="C2992" s="391">
        <f t="shared" ref="C2992" si="8999">C2991</f>
        <v>4</v>
      </c>
      <c r="D2992" s="391" t="str">
        <f t="shared" ref="D2992:E2992" si="9000">D2989</f>
        <v>1-10</v>
      </c>
      <c r="E2992" s="391">
        <f t="shared" si="9000"/>
        <v>10</v>
      </c>
      <c r="F2992" s="391" t="str">
        <f t="shared" ref="F2992:G2992" si="9001">F2991</f>
        <v>fresh water</v>
      </c>
      <c r="G2992" s="401" t="str">
        <f t="shared" si="9001"/>
        <v>DE: PCL fiber 1-10 mm (emission to fresh water)</v>
      </c>
      <c r="H2992" s="465">
        <v>0.89</v>
      </c>
      <c r="I2992" s="394" t="s">
        <v>1162</v>
      </c>
      <c r="J2992" s="635"/>
      <c r="K2992" s="389">
        <v>439.96</v>
      </c>
      <c r="L2992" s="536"/>
      <c r="M2992" s="509">
        <f t="shared" si="8867"/>
        <v>5.6823347577052461</v>
      </c>
      <c r="N2992" s="646"/>
      <c r="O2992" s="626"/>
      <c r="P2992" s="629"/>
      <c r="Q2992" s="629"/>
    </row>
    <row r="2993" spans="1:17" ht="15.75" hidden="1" thickBot="1">
      <c r="A2993" s="390" t="str">
        <f t="shared" ref="A2993:B2993" si="9002">A2990</f>
        <v>PCL</v>
      </c>
      <c r="B2993" s="391" t="str">
        <f t="shared" si="9002"/>
        <v>fiber</v>
      </c>
      <c r="C2993" s="391">
        <f t="shared" ref="C2993" si="9003">C2992</f>
        <v>4</v>
      </c>
      <c r="D2993" s="391" t="str">
        <f t="shared" ref="D2993:E2993" si="9004">D2990</f>
        <v>1-10</v>
      </c>
      <c r="E2993" s="391">
        <f t="shared" si="9004"/>
        <v>10</v>
      </c>
      <c r="F2993" s="391" t="str">
        <f t="shared" ref="F2993:G2993" si="9005">F2992</f>
        <v>fresh water</v>
      </c>
      <c r="G2993" s="401" t="str">
        <f t="shared" si="9005"/>
        <v>DE: PCL fiber 1-10 mm (emission to fresh water)</v>
      </c>
      <c r="H2993" s="465">
        <v>0.11</v>
      </c>
      <c r="I2993" s="394" t="s">
        <v>1163</v>
      </c>
      <c r="J2993" s="635"/>
      <c r="K2993" s="389">
        <v>439.96</v>
      </c>
      <c r="L2993" s="536"/>
      <c r="M2993" s="509">
        <f t="shared" si="8867"/>
        <v>5.6823347577052461</v>
      </c>
      <c r="N2993" s="646"/>
      <c r="O2993" s="626"/>
      <c r="P2993" s="629"/>
      <c r="Q2993" s="629"/>
    </row>
    <row r="2994" spans="1:17" ht="15.75" hidden="1" thickBot="1">
      <c r="A2994" s="390" t="str">
        <f t="shared" ref="A2994:B2994" si="9006">A2991</f>
        <v>PCL</v>
      </c>
      <c r="B2994" s="391" t="str">
        <f t="shared" si="9006"/>
        <v>fiber</v>
      </c>
      <c r="C2994" s="391">
        <f t="shared" ref="C2994" si="9007">C2993</f>
        <v>4</v>
      </c>
      <c r="D2994" s="391" t="str">
        <f t="shared" ref="D2994:E2994" si="9008">D2991</f>
        <v>1-10</v>
      </c>
      <c r="E2994" s="391">
        <f t="shared" si="9008"/>
        <v>10</v>
      </c>
      <c r="F2994" s="402" t="str">
        <f>F2991</f>
        <v>fresh water</v>
      </c>
      <c r="G2994" s="401" t="str">
        <f t="shared" ref="G2994" si="9009">G2993</f>
        <v>DE: PCL fiber 1-10 mm (emission to fresh water)</v>
      </c>
      <c r="H2994" s="465">
        <v>0</v>
      </c>
      <c r="I2994" s="397" t="s">
        <v>1034</v>
      </c>
      <c r="J2994" s="654"/>
      <c r="K2994" s="398" t="s">
        <v>596</v>
      </c>
      <c r="L2994" s="538"/>
      <c r="M2994" s="509">
        <f t="shared" si="8867"/>
        <v>0</v>
      </c>
      <c r="N2994" s="647"/>
      <c r="O2994" s="627"/>
      <c r="P2994" s="629"/>
      <c r="Q2994" s="629"/>
    </row>
    <row r="2995" spans="1:17" ht="15.75" hidden="1" thickBot="1">
      <c r="A2995" s="390" t="str">
        <f t="shared" ref="A2995:B2995" si="9010">A2992</f>
        <v>PCL</v>
      </c>
      <c r="B2995" s="391" t="str">
        <f t="shared" si="9010"/>
        <v>fiber</v>
      </c>
      <c r="C2995" s="391">
        <f t="shared" ref="C2995" si="9011">C2994</f>
        <v>4</v>
      </c>
      <c r="D2995" s="391" t="str">
        <f t="shared" ref="D2995:E2995" si="9012">D2992</f>
        <v>1-10</v>
      </c>
      <c r="E2995" s="391">
        <f t="shared" si="9012"/>
        <v>10</v>
      </c>
      <c r="F2995" s="385" t="s">
        <v>1097</v>
      </c>
      <c r="G2995" s="422" t="str">
        <f>CONCATENATE("DE: ",A2995," ",B2995," ",D2995," mm (emission to ",F2995,")")</f>
        <v>DE: PCL fiber 1-10 mm (emission to marine water)</v>
      </c>
      <c r="H2995" s="467">
        <v>0</v>
      </c>
      <c r="I2995" s="388" t="s">
        <v>1153</v>
      </c>
      <c r="J2995" s="634">
        <v>0.22800000000000001</v>
      </c>
      <c r="K2995" s="389">
        <v>439.96</v>
      </c>
      <c r="L2995" s="536"/>
      <c r="M2995" s="509">
        <f t="shared" si="8867"/>
        <v>5.6823347577052461</v>
      </c>
      <c r="N2995" s="645">
        <f t="shared" si="8887"/>
        <v>5.6823347577052461</v>
      </c>
      <c r="O2995" s="625"/>
      <c r="P2995" s="628">
        <f t="shared" si="8923"/>
        <v>5.6823347577052461</v>
      </c>
      <c r="Q2995" s="628">
        <f t="shared" si="8842"/>
        <v>5.6823347577052461</v>
      </c>
    </row>
    <row r="2996" spans="1:17" ht="15.75" hidden="1" thickBot="1">
      <c r="A2996" s="390" t="str">
        <f t="shared" ref="A2996:B2996" si="9013">A2993</f>
        <v>PCL</v>
      </c>
      <c r="B2996" s="391" t="str">
        <f t="shared" si="9013"/>
        <v>fiber</v>
      </c>
      <c r="C2996" s="391">
        <f t="shared" ref="C2996" si="9014">C2995</f>
        <v>4</v>
      </c>
      <c r="D2996" s="391" t="str">
        <f t="shared" ref="D2996:E2996" si="9015">D2993</f>
        <v>1-10</v>
      </c>
      <c r="E2996" s="391">
        <f t="shared" si="9015"/>
        <v>10</v>
      </c>
      <c r="F2996" s="391" t="str">
        <f t="shared" ref="F2996:G2996" si="9016">F2995</f>
        <v>marine water</v>
      </c>
      <c r="G2996" s="401" t="str">
        <f t="shared" si="9016"/>
        <v>DE: PCL fiber 1-10 mm (emission to marine water)</v>
      </c>
      <c r="H2996" s="465">
        <v>0</v>
      </c>
      <c r="I2996" s="394" t="s">
        <v>1097</v>
      </c>
      <c r="J2996" s="635"/>
      <c r="K2996" s="389">
        <v>439.96</v>
      </c>
      <c r="L2996" s="536"/>
      <c r="M2996" s="509">
        <f t="shared" si="8867"/>
        <v>5.6823347577052461</v>
      </c>
      <c r="N2996" s="646"/>
      <c r="O2996" s="626"/>
      <c r="P2996" s="629"/>
      <c r="Q2996" s="629"/>
    </row>
    <row r="2997" spans="1:17" ht="15.75" hidden="1" thickBot="1">
      <c r="A2997" s="390" t="str">
        <f t="shared" ref="A2997:B2997" si="9017">A2994</f>
        <v>PCL</v>
      </c>
      <c r="B2997" s="391" t="str">
        <f t="shared" si="9017"/>
        <v>fiber</v>
      </c>
      <c r="C2997" s="391">
        <f t="shared" ref="C2997" si="9018">C2996</f>
        <v>4</v>
      </c>
      <c r="D2997" s="391" t="str">
        <f t="shared" ref="D2997:E2997" si="9019">D2994</f>
        <v>1-10</v>
      </c>
      <c r="E2997" s="391">
        <f t="shared" si="9019"/>
        <v>10</v>
      </c>
      <c r="F2997" s="391" t="str">
        <f t="shared" ref="F2997:G2997" si="9020">F2996</f>
        <v>marine water</v>
      </c>
      <c r="G2997" s="401" t="str">
        <f t="shared" si="9020"/>
        <v>DE: PCL fiber 1-10 mm (emission to marine water)</v>
      </c>
      <c r="H2997" s="465">
        <v>0</v>
      </c>
      <c r="I2997" s="394" t="s">
        <v>1162</v>
      </c>
      <c r="J2997" s="635"/>
      <c r="K2997" s="389">
        <v>439.96</v>
      </c>
      <c r="L2997" s="536"/>
      <c r="M2997" s="509">
        <f t="shared" si="8867"/>
        <v>5.6823347577052461</v>
      </c>
      <c r="N2997" s="646"/>
      <c r="O2997" s="626"/>
      <c r="P2997" s="629"/>
      <c r="Q2997" s="629"/>
    </row>
    <row r="2998" spans="1:17" ht="15.75" hidden="1" thickBot="1">
      <c r="A2998" s="390" t="str">
        <f t="shared" ref="A2998:B2998" si="9021">A2995</f>
        <v>PCL</v>
      </c>
      <c r="B2998" s="391" t="str">
        <f t="shared" si="9021"/>
        <v>fiber</v>
      </c>
      <c r="C2998" s="391">
        <f t="shared" ref="C2998" si="9022">C2997</f>
        <v>4</v>
      </c>
      <c r="D2998" s="391" t="str">
        <f t="shared" ref="D2998:E2998" si="9023">D2995</f>
        <v>1-10</v>
      </c>
      <c r="E2998" s="391">
        <f t="shared" si="9023"/>
        <v>10</v>
      </c>
      <c r="F2998" s="391" t="str">
        <f t="shared" ref="F2998:G2998" si="9024">F2997</f>
        <v>marine water</v>
      </c>
      <c r="G2998" s="401" t="str">
        <f t="shared" si="9024"/>
        <v>DE: PCL fiber 1-10 mm (emission to marine water)</v>
      </c>
      <c r="H2998" s="465">
        <v>1</v>
      </c>
      <c r="I2998" s="394" t="s">
        <v>1163</v>
      </c>
      <c r="J2998" s="635"/>
      <c r="K2998" s="389">
        <v>439.96</v>
      </c>
      <c r="L2998" s="536"/>
      <c r="M2998" s="509">
        <f t="shared" si="8867"/>
        <v>5.6823347577052461</v>
      </c>
      <c r="N2998" s="646"/>
      <c r="O2998" s="626"/>
      <c r="P2998" s="629"/>
      <c r="Q2998" s="629"/>
    </row>
    <row r="2999" spans="1:17" ht="15.75" hidden="1" thickBot="1">
      <c r="A2999" s="390" t="str">
        <f t="shared" ref="A2999:B2999" si="9025">A2996</f>
        <v>PCL</v>
      </c>
      <c r="B2999" s="391" t="str">
        <f t="shared" si="9025"/>
        <v>fiber</v>
      </c>
      <c r="C2999" s="391">
        <f t="shared" ref="C2999" si="9026">C2998</f>
        <v>4</v>
      </c>
      <c r="D2999" s="391" t="str">
        <f t="shared" ref="D2999:E2999" si="9027">D2996</f>
        <v>1-10</v>
      </c>
      <c r="E2999" s="391">
        <f t="shared" si="9027"/>
        <v>10</v>
      </c>
      <c r="F2999" s="391" t="str">
        <f t="shared" ref="F2999:G2999" si="9028">F2998</f>
        <v>marine water</v>
      </c>
      <c r="G2999" s="401" t="str">
        <f t="shared" si="9028"/>
        <v>DE: PCL fiber 1-10 mm (emission to marine water)</v>
      </c>
      <c r="H2999" s="465">
        <v>0</v>
      </c>
      <c r="I2999" s="397" t="s">
        <v>1034</v>
      </c>
      <c r="J2999" s="654"/>
      <c r="K2999" s="398" t="s">
        <v>596</v>
      </c>
      <c r="L2999" s="538"/>
      <c r="M2999" s="509">
        <f t="shared" si="8867"/>
        <v>0</v>
      </c>
      <c r="N2999" s="647"/>
      <c r="O2999" s="627"/>
      <c r="P2999" s="629"/>
      <c r="Q2999" s="629"/>
    </row>
    <row r="3000" spans="1:17" ht="15.75" hidden="1" thickBot="1">
      <c r="A3000" s="390" t="str">
        <f t="shared" ref="A3000:B3000" si="9029">A2997</f>
        <v>PCL</v>
      </c>
      <c r="B3000" s="391" t="str">
        <f t="shared" si="9029"/>
        <v>fiber</v>
      </c>
      <c r="C3000" s="391">
        <f t="shared" ref="C3000" si="9030">C2999</f>
        <v>4</v>
      </c>
      <c r="D3000" s="391" t="str">
        <f t="shared" ref="D3000:E3000" si="9031">D2997</f>
        <v>1-10</v>
      </c>
      <c r="E3000" s="391">
        <f t="shared" si="9031"/>
        <v>10</v>
      </c>
      <c r="F3000" s="400" t="s">
        <v>1057</v>
      </c>
      <c r="G3000" s="422" t="str">
        <f>CONCATENATE("DE: ",A3000," ",B3000," ",D3000," mm (emission to ",F3000,")")</f>
        <v>DE: PCL fiber 1-10 mm (emission to air)</v>
      </c>
      <c r="H3000" s="467">
        <v>0.94799999999999995</v>
      </c>
      <c r="I3000" s="388" t="s">
        <v>1153</v>
      </c>
      <c r="J3000" s="634">
        <v>0.22800000000000001</v>
      </c>
      <c r="K3000" s="389">
        <v>439.96</v>
      </c>
      <c r="L3000" s="536"/>
      <c r="M3000" s="509">
        <f t="shared" si="8867"/>
        <v>5.6823347577052461</v>
      </c>
      <c r="N3000" s="645">
        <f t="shared" si="8887"/>
        <v>5.6823347577052461</v>
      </c>
      <c r="O3000" s="625"/>
      <c r="P3000" s="628">
        <f t="shared" si="8923"/>
        <v>5.6823347577052461</v>
      </c>
      <c r="Q3000" s="628">
        <f t="shared" si="8842"/>
        <v>5.6823347577052461</v>
      </c>
    </row>
    <row r="3001" spans="1:17" ht="15.75" hidden="1" thickBot="1">
      <c r="A3001" s="390" t="str">
        <f t="shared" ref="A3001:B3001" si="9032">A2998</f>
        <v>PCL</v>
      </c>
      <c r="B3001" s="391" t="str">
        <f t="shared" si="9032"/>
        <v>fiber</v>
      </c>
      <c r="C3001" s="391">
        <f t="shared" ref="C3001" si="9033">C3000</f>
        <v>4</v>
      </c>
      <c r="D3001" s="391" t="str">
        <f t="shared" ref="D3001:E3001" si="9034">D2998</f>
        <v>1-10</v>
      </c>
      <c r="E3001" s="391">
        <f t="shared" si="9034"/>
        <v>10</v>
      </c>
      <c r="F3001" s="391" t="str">
        <f t="shared" ref="F3001:G3001" si="9035">F3000</f>
        <v>air</v>
      </c>
      <c r="G3001" s="401" t="str">
        <f t="shared" si="9035"/>
        <v>DE: PCL fiber 1-10 mm (emission to air)</v>
      </c>
      <c r="H3001" s="465">
        <v>0</v>
      </c>
      <c r="I3001" s="394" t="s">
        <v>1097</v>
      </c>
      <c r="J3001" s="635"/>
      <c r="K3001" s="389">
        <v>439.96</v>
      </c>
      <c r="L3001" s="536"/>
      <c r="M3001" s="509">
        <f t="shared" si="8867"/>
        <v>5.6823347577052461</v>
      </c>
      <c r="N3001" s="646"/>
      <c r="O3001" s="626"/>
      <c r="P3001" s="629"/>
      <c r="Q3001" s="629"/>
    </row>
    <row r="3002" spans="1:17" ht="15.75" hidden="1" thickBot="1">
      <c r="A3002" s="390" t="str">
        <f t="shared" ref="A3002:B3002" si="9036">A2999</f>
        <v>PCL</v>
      </c>
      <c r="B3002" s="391" t="str">
        <f t="shared" si="9036"/>
        <v>fiber</v>
      </c>
      <c r="C3002" s="391">
        <f t="shared" ref="C3002" si="9037">C3001</f>
        <v>4</v>
      </c>
      <c r="D3002" s="391" t="str">
        <f t="shared" ref="D3002:E3002" si="9038">D2999</f>
        <v>1-10</v>
      </c>
      <c r="E3002" s="391">
        <f t="shared" si="9038"/>
        <v>10</v>
      </c>
      <c r="F3002" s="391" t="str">
        <f t="shared" ref="F3002:G3002" si="9039">F3001</f>
        <v>air</v>
      </c>
      <c r="G3002" s="401" t="str">
        <f t="shared" si="9039"/>
        <v>DE: PCL fiber 1-10 mm (emission to air)</v>
      </c>
      <c r="H3002" s="465">
        <v>4.7E-2</v>
      </c>
      <c r="I3002" s="394" t="s">
        <v>1162</v>
      </c>
      <c r="J3002" s="635"/>
      <c r="K3002" s="389">
        <v>439.96</v>
      </c>
      <c r="L3002" s="536"/>
      <c r="M3002" s="509">
        <f t="shared" si="8867"/>
        <v>5.6823347577052461</v>
      </c>
      <c r="N3002" s="646"/>
      <c r="O3002" s="626"/>
      <c r="P3002" s="629"/>
      <c r="Q3002" s="629"/>
    </row>
    <row r="3003" spans="1:17" ht="15.75" hidden="1" thickBot="1">
      <c r="A3003" s="390" t="str">
        <f t="shared" ref="A3003:B3003" si="9040">A3000</f>
        <v>PCL</v>
      </c>
      <c r="B3003" s="391" t="str">
        <f t="shared" si="9040"/>
        <v>fiber</v>
      </c>
      <c r="C3003" s="391">
        <f t="shared" ref="C3003" si="9041">C3002</f>
        <v>4</v>
      </c>
      <c r="D3003" s="391" t="str">
        <f t="shared" ref="D3003:E3003" si="9042">D3000</f>
        <v>1-10</v>
      </c>
      <c r="E3003" s="391">
        <f t="shared" si="9042"/>
        <v>10</v>
      </c>
      <c r="F3003" s="391" t="str">
        <f t="shared" ref="F3003:G3003" si="9043">F3002</f>
        <v>air</v>
      </c>
      <c r="G3003" s="401" t="str">
        <f t="shared" si="9043"/>
        <v>DE: PCL fiber 1-10 mm (emission to air)</v>
      </c>
      <c r="H3003" s="465">
        <v>5.0000000000000001E-3</v>
      </c>
      <c r="I3003" s="394" t="s">
        <v>1163</v>
      </c>
      <c r="J3003" s="635"/>
      <c r="K3003" s="389">
        <v>439.96</v>
      </c>
      <c r="L3003" s="536"/>
      <c r="M3003" s="509">
        <f t="shared" si="8867"/>
        <v>5.6823347577052461</v>
      </c>
      <c r="N3003" s="646"/>
      <c r="O3003" s="626"/>
      <c r="P3003" s="629"/>
      <c r="Q3003" s="629"/>
    </row>
    <row r="3004" spans="1:17" ht="15.75" hidden="1" thickBot="1">
      <c r="A3004" s="452" t="str">
        <f t="shared" ref="A3004:B3004" si="9044">A2999</f>
        <v>PCL</v>
      </c>
      <c r="B3004" s="453" t="str">
        <f t="shared" si="9044"/>
        <v>fiber</v>
      </c>
      <c r="C3004" s="453">
        <f t="shared" ref="C3004" si="9045">C3003</f>
        <v>4</v>
      </c>
      <c r="D3004" s="453" t="str">
        <f t="shared" ref="D3004:E3004" si="9046">D2999</f>
        <v>1-10</v>
      </c>
      <c r="E3004" s="453">
        <f t="shared" si="9046"/>
        <v>10</v>
      </c>
      <c r="F3004" s="453" t="str">
        <f t="shared" ref="F3004:G3004" si="9047">F3003</f>
        <v>air</v>
      </c>
      <c r="G3004" s="454" t="str">
        <f t="shared" si="9047"/>
        <v>DE: PCL fiber 1-10 mm (emission to air)</v>
      </c>
      <c r="H3004" s="473">
        <v>0</v>
      </c>
      <c r="I3004" s="479" t="s">
        <v>1034</v>
      </c>
      <c r="J3004" s="636"/>
      <c r="K3004" s="457" t="s">
        <v>596</v>
      </c>
      <c r="L3004" s="543"/>
      <c r="M3004" s="509">
        <f t="shared" si="8867"/>
        <v>0</v>
      </c>
      <c r="N3004" s="647"/>
      <c r="O3004" s="627"/>
      <c r="P3004" s="629"/>
      <c r="Q3004" s="629"/>
    </row>
    <row r="3005" spans="1:17" ht="15.75" hidden="1" thickBot="1">
      <c r="A3005" s="381" t="s">
        <v>48</v>
      </c>
      <c r="B3005" s="382" t="s">
        <v>1152</v>
      </c>
      <c r="C3005" s="383">
        <v>6</v>
      </c>
      <c r="D3005" s="475" t="s">
        <v>1018</v>
      </c>
      <c r="E3005" s="384">
        <v>0.1</v>
      </c>
      <c r="F3005" s="385" t="s">
        <v>1019</v>
      </c>
      <c r="G3005" s="386" t="str">
        <f>CONCATENATE("DE: ",A3005," ",B3005," ",D3005," mm (emission to ",F3005,")")</f>
        <v>DE: PCL particle 0,01-0,1 mm (emission to soil)</v>
      </c>
      <c r="H3005" s="466">
        <v>0.97</v>
      </c>
      <c r="I3005" s="388" t="s">
        <v>1153</v>
      </c>
      <c r="J3005" s="632">
        <v>0.22800000000000001</v>
      </c>
      <c r="K3005" s="389">
        <v>439.96</v>
      </c>
      <c r="L3005" s="536"/>
      <c r="M3005" s="509">
        <f t="shared" si="8867"/>
        <v>2.8411673788526232E-2</v>
      </c>
      <c r="N3005" s="645">
        <f t="shared" si="8887"/>
        <v>2.8411673788526229E-2</v>
      </c>
      <c r="O3005" s="625"/>
      <c r="P3005" s="628">
        <f t="shared" si="8923"/>
        <v>2.8411673788526229E-2</v>
      </c>
      <c r="Q3005" s="628">
        <f t="shared" ref="Q3005:Q3065" si="9048">IFERROR(IF(H3005*M3005+H3006*M3006+H3007*M3007+H3008*M3008+H3009*M3009&gt;500,500,H3005*M3005+H3006*M3006+H3007*M3007+H3008*M3008+H3009*M3009),"N.A.")</f>
        <v>2.8411673788526229E-2</v>
      </c>
    </row>
    <row r="3006" spans="1:17" ht="15.75" hidden="1" thickBot="1">
      <c r="A3006" s="390" t="str">
        <f>A3005</f>
        <v>PCL</v>
      </c>
      <c r="B3006" s="391" t="str">
        <f>B3005</f>
        <v>particle</v>
      </c>
      <c r="C3006" s="391">
        <f t="shared" ref="C3006:G3006" si="9049">C3005</f>
        <v>6</v>
      </c>
      <c r="D3006" s="391" t="str">
        <f t="shared" si="9049"/>
        <v>0,01-0,1</v>
      </c>
      <c r="E3006" s="391">
        <f t="shared" si="9049"/>
        <v>0.1</v>
      </c>
      <c r="F3006" s="391" t="str">
        <f t="shared" si="9049"/>
        <v>soil</v>
      </c>
      <c r="G3006" s="392" t="str">
        <f t="shared" si="9049"/>
        <v>DE: PCL particle 0,01-0,1 mm (emission to soil)</v>
      </c>
      <c r="H3006" s="465">
        <v>0</v>
      </c>
      <c r="I3006" s="394" t="s">
        <v>1097</v>
      </c>
      <c r="J3006" s="632"/>
      <c r="K3006" s="395">
        <v>439.96</v>
      </c>
      <c r="L3006" s="537"/>
      <c r="M3006" s="509">
        <f t="shared" si="8867"/>
        <v>2.8411673788526232E-2</v>
      </c>
      <c r="N3006" s="646"/>
      <c r="O3006" s="626"/>
      <c r="P3006" s="629"/>
      <c r="Q3006" s="629"/>
    </row>
    <row r="3007" spans="1:17" ht="15.75" hidden="1" thickBot="1">
      <c r="A3007" s="390" t="str">
        <f t="shared" ref="A3007:G3007" si="9050">A3006</f>
        <v>PCL</v>
      </c>
      <c r="B3007" s="391" t="str">
        <f t="shared" si="9050"/>
        <v>particle</v>
      </c>
      <c r="C3007" s="391">
        <f t="shared" si="9050"/>
        <v>6</v>
      </c>
      <c r="D3007" s="391" t="str">
        <f t="shared" si="9050"/>
        <v>0,01-0,1</v>
      </c>
      <c r="E3007" s="391">
        <f t="shared" si="9050"/>
        <v>0.1</v>
      </c>
      <c r="F3007" s="391" t="str">
        <f t="shared" si="9050"/>
        <v>soil</v>
      </c>
      <c r="G3007" s="392" t="str">
        <f t="shared" si="9050"/>
        <v>DE: PCL particle 0,01-0,1 mm (emission to soil)</v>
      </c>
      <c r="H3007" s="465">
        <v>2.7E-2</v>
      </c>
      <c r="I3007" s="394" t="s">
        <v>1162</v>
      </c>
      <c r="J3007" s="632"/>
      <c r="K3007" s="395">
        <v>439.96</v>
      </c>
      <c r="L3007" s="537"/>
      <c r="M3007" s="509">
        <f t="shared" si="8867"/>
        <v>2.8411673788526232E-2</v>
      </c>
      <c r="N3007" s="646"/>
      <c r="O3007" s="626"/>
      <c r="P3007" s="629"/>
      <c r="Q3007" s="629"/>
    </row>
    <row r="3008" spans="1:17" ht="15.75" hidden="1" thickBot="1">
      <c r="A3008" s="390" t="str">
        <f t="shared" ref="A3008:G3008" si="9051">A3007</f>
        <v>PCL</v>
      </c>
      <c r="B3008" s="391" t="str">
        <f t="shared" si="9051"/>
        <v>particle</v>
      </c>
      <c r="C3008" s="391">
        <f t="shared" si="9051"/>
        <v>6</v>
      </c>
      <c r="D3008" s="391" t="str">
        <f t="shared" si="9051"/>
        <v>0,01-0,1</v>
      </c>
      <c r="E3008" s="391">
        <f t="shared" si="9051"/>
        <v>0.1</v>
      </c>
      <c r="F3008" s="391" t="str">
        <f t="shared" si="9051"/>
        <v>soil</v>
      </c>
      <c r="G3008" s="392" t="str">
        <f t="shared" si="9051"/>
        <v>DE: PCL particle 0,01-0,1 mm (emission to soil)</v>
      </c>
      <c r="H3008" s="465">
        <v>3.0000000000000001E-3</v>
      </c>
      <c r="I3008" s="394" t="s">
        <v>1163</v>
      </c>
      <c r="J3008" s="632"/>
      <c r="K3008" s="395">
        <v>439.96</v>
      </c>
      <c r="L3008" s="537"/>
      <c r="M3008" s="509">
        <f t="shared" si="8867"/>
        <v>2.8411673788526232E-2</v>
      </c>
      <c r="N3008" s="646"/>
      <c r="O3008" s="626"/>
      <c r="P3008" s="629"/>
      <c r="Q3008" s="629"/>
    </row>
    <row r="3009" spans="1:17" ht="15.75" hidden="1" thickBot="1">
      <c r="A3009" s="390" t="str">
        <f>A3006</f>
        <v>PCL</v>
      </c>
      <c r="B3009" s="391" t="str">
        <f>B3006</f>
        <v>particle</v>
      </c>
      <c r="C3009" s="391">
        <f t="shared" ref="C3009" si="9052">C3008</f>
        <v>6</v>
      </c>
      <c r="D3009" s="391" t="str">
        <f>D3006</f>
        <v>0,01-0,1</v>
      </c>
      <c r="E3009" s="391">
        <f>E3006</f>
        <v>0.1</v>
      </c>
      <c r="F3009" s="391" t="str">
        <f>F3006</f>
        <v>soil</v>
      </c>
      <c r="G3009" s="396" t="str">
        <f t="shared" ref="G3009" si="9053">G3008</f>
        <v>DE: PCL particle 0,01-0,1 mm (emission to soil)</v>
      </c>
      <c r="H3009" s="465">
        <v>0</v>
      </c>
      <c r="I3009" s="397" t="s">
        <v>1034</v>
      </c>
      <c r="J3009" s="633"/>
      <c r="K3009" s="398" t="s">
        <v>596</v>
      </c>
      <c r="L3009" s="538"/>
      <c r="M3009" s="509">
        <f t="shared" si="8867"/>
        <v>0</v>
      </c>
      <c r="N3009" s="647"/>
      <c r="O3009" s="627"/>
      <c r="P3009" s="629"/>
      <c r="Q3009" s="629"/>
    </row>
    <row r="3010" spans="1:17" ht="15.75" hidden="1" thickBot="1">
      <c r="A3010" s="390" t="str">
        <f t="shared" ref="A3010:B3010" si="9054">A3007</f>
        <v>PCL</v>
      </c>
      <c r="B3010" s="391" t="str">
        <f t="shared" si="9054"/>
        <v>particle</v>
      </c>
      <c r="C3010" s="391">
        <f t="shared" ref="C3010" si="9055">C3009</f>
        <v>6</v>
      </c>
      <c r="D3010" s="399" t="str">
        <f t="shared" ref="D3010:E3010" si="9056">D3007</f>
        <v>0,01-0,1</v>
      </c>
      <c r="E3010" s="391">
        <f t="shared" si="9056"/>
        <v>0.1</v>
      </c>
      <c r="F3010" s="400" t="s">
        <v>1147</v>
      </c>
      <c r="G3010" s="386" t="str">
        <f>CONCATENATE("DE: ",A3010," ",B3010," ",D3010," mm (emission to ",F3010,")")</f>
        <v>DE: PCL particle 0,01-0,1 mm (emission to fresh water)</v>
      </c>
      <c r="H3010" s="466">
        <v>0</v>
      </c>
      <c r="I3010" s="388" t="s">
        <v>1153</v>
      </c>
      <c r="J3010" s="634">
        <v>0.22800000000000001</v>
      </c>
      <c r="K3010" s="389">
        <v>439.96</v>
      </c>
      <c r="L3010" s="536"/>
      <c r="M3010" s="509">
        <f t="shared" si="8867"/>
        <v>2.8411673788526232E-2</v>
      </c>
      <c r="N3010" s="645">
        <f t="shared" si="8887"/>
        <v>2.8411673788526232E-2</v>
      </c>
      <c r="O3010" s="625"/>
      <c r="P3010" s="628">
        <f t="shared" si="8923"/>
        <v>2.8411673788526232E-2</v>
      </c>
      <c r="Q3010" s="628">
        <f t="shared" si="9048"/>
        <v>2.8411673788526232E-2</v>
      </c>
    </row>
    <row r="3011" spans="1:17" ht="15.75" hidden="1" thickBot="1">
      <c r="A3011" s="390" t="str">
        <f t="shared" ref="A3011:B3011" si="9057">A3008</f>
        <v>PCL</v>
      </c>
      <c r="B3011" s="391" t="str">
        <f t="shared" si="9057"/>
        <v>particle</v>
      </c>
      <c r="C3011" s="391">
        <f t="shared" ref="C3011" si="9058">C3010</f>
        <v>6</v>
      </c>
      <c r="D3011" s="391" t="str">
        <f t="shared" ref="D3011:E3011" si="9059">D3008</f>
        <v>0,01-0,1</v>
      </c>
      <c r="E3011" s="391">
        <f t="shared" si="9059"/>
        <v>0.1</v>
      </c>
      <c r="F3011" s="391" t="str">
        <f t="shared" ref="F3011:G3011" si="9060">F3010</f>
        <v>fresh water</v>
      </c>
      <c r="G3011" s="401" t="str">
        <f t="shared" si="9060"/>
        <v>DE: PCL particle 0,01-0,1 mm (emission to fresh water)</v>
      </c>
      <c r="H3011" s="465">
        <v>0</v>
      </c>
      <c r="I3011" s="394" t="s">
        <v>1097</v>
      </c>
      <c r="J3011" s="635"/>
      <c r="K3011" s="389">
        <v>439.96</v>
      </c>
      <c r="L3011" s="536"/>
      <c r="M3011" s="509">
        <f t="shared" si="8867"/>
        <v>2.8411673788526232E-2</v>
      </c>
      <c r="N3011" s="646"/>
      <c r="O3011" s="626"/>
      <c r="P3011" s="629"/>
      <c r="Q3011" s="629"/>
    </row>
    <row r="3012" spans="1:17" ht="15.75" hidden="1" thickBot="1">
      <c r="A3012" s="390" t="str">
        <f t="shared" ref="A3012:B3012" si="9061">A3009</f>
        <v>PCL</v>
      </c>
      <c r="B3012" s="391" t="str">
        <f t="shared" si="9061"/>
        <v>particle</v>
      </c>
      <c r="C3012" s="391">
        <f t="shared" ref="C3012" si="9062">C3011</f>
        <v>6</v>
      </c>
      <c r="D3012" s="391" t="str">
        <f t="shared" ref="D3012:E3012" si="9063">D3009</f>
        <v>0,01-0,1</v>
      </c>
      <c r="E3012" s="391">
        <f t="shared" si="9063"/>
        <v>0.1</v>
      </c>
      <c r="F3012" s="391" t="str">
        <f t="shared" ref="F3012:G3012" si="9064">F3011</f>
        <v>fresh water</v>
      </c>
      <c r="G3012" s="401" t="str">
        <f t="shared" si="9064"/>
        <v>DE: PCL particle 0,01-0,1 mm (emission to fresh water)</v>
      </c>
      <c r="H3012" s="465">
        <v>0.89</v>
      </c>
      <c r="I3012" s="394" t="s">
        <v>1162</v>
      </c>
      <c r="J3012" s="635"/>
      <c r="K3012" s="389">
        <v>439.96</v>
      </c>
      <c r="L3012" s="536"/>
      <c r="M3012" s="509">
        <f t="shared" si="8867"/>
        <v>2.8411673788526232E-2</v>
      </c>
      <c r="N3012" s="646"/>
      <c r="O3012" s="626"/>
      <c r="P3012" s="629"/>
      <c r="Q3012" s="629"/>
    </row>
    <row r="3013" spans="1:17" ht="15.75" hidden="1" thickBot="1">
      <c r="A3013" s="390" t="str">
        <f t="shared" ref="A3013:B3013" si="9065">A3010</f>
        <v>PCL</v>
      </c>
      <c r="B3013" s="391" t="str">
        <f t="shared" si="9065"/>
        <v>particle</v>
      </c>
      <c r="C3013" s="391">
        <f t="shared" ref="C3013" si="9066">C3012</f>
        <v>6</v>
      </c>
      <c r="D3013" s="391" t="str">
        <f t="shared" ref="D3013:E3013" si="9067">D3010</f>
        <v>0,01-0,1</v>
      </c>
      <c r="E3013" s="391">
        <f t="shared" si="9067"/>
        <v>0.1</v>
      </c>
      <c r="F3013" s="391" t="str">
        <f t="shared" ref="F3013:G3013" si="9068">F3012</f>
        <v>fresh water</v>
      </c>
      <c r="G3013" s="401" t="str">
        <f t="shared" si="9068"/>
        <v>DE: PCL particle 0,01-0,1 mm (emission to fresh water)</v>
      </c>
      <c r="H3013" s="465">
        <v>0.11</v>
      </c>
      <c r="I3013" s="394" t="s">
        <v>1163</v>
      </c>
      <c r="J3013" s="635"/>
      <c r="K3013" s="389">
        <v>439.96</v>
      </c>
      <c r="L3013" s="536"/>
      <c r="M3013" s="509">
        <f t="shared" si="8867"/>
        <v>2.8411673788526232E-2</v>
      </c>
      <c r="N3013" s="646"/>
      <c r="O3013" s="626"/>
      <c r="P3013" s="629"/>
      <c r="Q3013" s="629"/>
    </row>
    <row r="3014" spans="1:17" ht="15.75" hidden="1" thickBot="1">
      <c r="A3014" s="390" t="str">
        <f t="shared" ref="A3014:B3014" si="9069">A3011</f>
        <v>PCL</v>
      </c>
      <c r="B3014" s="391" t="str">
        <f t="shared" si="9069"/>
        <v>particle</v>
      </c>
      <c r="C3014" s="391">
        <f t="shared" ref="C3014" si="9070">C3013</f>
        <v>6</v>
      </c>
      <c r="D3014" s="391" t="str">
        <f t="shared" ref="D3014:E3014" si="9071">D3011</f>
        <v>0,01-0,1</v>
      </c>
      <c r="E3014" s="391">
        <f t="shared" si="9071"/>
        <v>0.1</v>
      </c>
      <c r="F3014" s="402" t="str">
        <f>F3011</f>
        <v>fresh water</v>
      </c>
      <c r="G3014" s="401" t="str">
        <f t="shared" ref="G3014" si="9072">G3013</f>
        <v>DE: PCL particle 0,01-0,1 mm (emission to fresh water)</v>
      </c>
      <c r="H3014" s="465">
        <v>0</v>
      </c>
      <c r="I3014" s="397" t="s">
        <v>1034</v>
      </c>
      <c r="J3014" s="654"/>
      <c r="K3014" s="398" t="s">
        <v>596</v>
      </c>
      <c r="L3014" s="538"/>
      <c r="M3014" s="509">
        <f t="shared" ref="M3014:M3077" si="9073">IFERROR(IF(K3014="--",0,IF(E3014*1000/K3014*(1-0.5)^(C3014/2)&gt;1000,1000,E3014*1000/K3014*(1-0.5)^(C3014/2))),1000)</f>
        <v>0</v>
      </c>
      <c r="N3014" s="647"/>
      <c r="O3014" s="627"/>
      <c r="P3014" s="629"/>
      <c r="Q3014" s="629"/>
    </row>
    <row r="3015" spans="1:17" ht="15.75" hidden="1" thickBot="1">
      <c r="A3015" s="390" t="str">
        <f t="shared" ref="A3015:B3015" si="9074">A3012</f>
        <v>PCL</v>
      </c>
      <c r="B3015" s="391" t="str">
        <f t="shared" si="9074"/>
        <v>particle</v>
      </c>
      <c r="C3015" s="391">
        <f t="shared" ref="C3015" si="9075">C3014</f>
        <v>6</v>
      </c>
      <c r="D3015" s="391" t="str">
        <f t="shared" ref="D3015:E3015" si="9076">D3012</f>
        <v>0,01-0,1</v>
      </c>
      <c r="E3015" s="391">
        <f t="shared" si="9076"/>
        <v>0.1</v>
      </c>
      <c r="F3015" s="385" t="s">
        <v>1097</v>
      </c>
      <c r="G3015" s="422" t="str">
        <f>CONCATENATE("DE: ",A3015," ",B3015," ",D3015," mm (emission to ",F3015,")")</f>
        <v>DE: PCL particle 0,01-0,1 mm (emission to marine water)</v>
      </c>
      <c r="H3015" s="467">
        <v>0</v>
      </c>
      <c r="I3015" s="388" t="s">
        <v>1153</v>
      </c>
      <c r="J3015" s="634">
        <v>0.22800000000000001</v>
      </c>
      <c r="K3015" s="389">
        <v>439.96</v>
      </c>
      <c r="L3015" s="536"/>
      <c r="M3015" s="509">
        <f t="shared" si="9073"/>
        <v>2.8411673788526232E-2</v>
      </c>
      <c r="N3015" s="645">
        <f t="shared" si="8887"/>
        <v>2.8411673788526232E-2</v>
      </c>
      <c r="O3015" s="625"/>
      <c r="P3015" s="628">
        <f t="shared" si="8923"/>
        <v>2.8411673788526232E-2</v>
      </c>
      <c r="Q3015" s="628">
        <f t="shared" si="9048"/>
        <v>2.8411673788526232E-2</v>
      </c>
    </row>
    <row r="3016" spans="1:17" ht="15.75" hidden="1" thickBot="1">
      <c r="A3016" s="390" t="str">
        <f t="shared" ref="A3016:B3016" si="9077">A3013</f>
        <v>PCL</v>
      </c>
      <c r="B3016" s="391" t="str">
        <f t="shared" si="9077"/>
        <v>particle</v>
      </c>
      <c r="C3016" s="391">
        <f t="shared" ref="C3016" si="9078">C3015</f>
        <v>6</v>
      </c>
      <c r="D3016" s="391" t="str">
        <f t="shared" ref="D3016:E3016" si="9079">D3013</f>
        <v>0,01-0,1</v>
      </c>
      <c r="E3016" s="391">
        <f t="shared" si="9079"/>
        <v>0.1</v>
      </c>
      <c r="F3016" s="391" t="str">
        <f t="shared" ref="F3016:G3016" si="9080">F3015</f>
        <v>marine water</v>
      </c>
      <c r="G3016" s="401" t="str">
        <f t="shared" si="9080"/>
        <v>DE: PCL particle 0,01-0,1 mm (emission to marine water)</v>
      </c>
      <c r="H3016" s="465">
        <v>0</v>
      </c>
      <c r="I3016" s="394" t="s">
        <v>1097</v>
      </c>
      <c r="J3016" s="635"/>
      <c r="K3016" s="389">
        <v>439.96</v>
      </c>
      <c r="L3016" s="536"/>
      <c r="M3016" s="509">
        <f t="shared" si="9073"/>
        <v>2.8411673788526232E-2</v>
      </c>
      <c r="N3016" s="646"/>
      <c r="O3016" s="626"/>
      <c r="P3016" s="629"/>
      <c r="Q3016" s="629"/>
    </row>
    <row r="3017" spans="1:17" ht="15.75" hidden="1" thickBot="1">
      <c r="A3017" s="390" t="str">
        <f t="shared" ref="A3017:B3017" si="9081">A3014</f>
        <v>PCL</v>
      </c>
      <c r="B3017" s="391" t="str">
        <f t="shared" si="9081"/>
        <v>particle</v>
      </c>
      <c r="C3017" s="391">
        <f t="shared" ref="C3017" si="9082">C3016</f>
        <v>6</v>
      </c>
      <c r="D3017" s="391" t="str">
        <f t="shared" ref="D3017:E3017" si="9083">D3014</f>
        <v>0,01-0,1</v>
      </c>
      <c r="E3017" s="391">
        <f t="shared" si="9083"/>
        <v>0.1</v>
      </c>
      <c r="F3017" s="391" t="str">
        <f t="shared" ref="F3017:G3017" si="9084">F3016</f>
        <v>marine water</v>
      </c>
      <c r="G3017" s="401" t="str">
        <f t="shared" si="9084"/>
        <v>DE: PCL particle 0,01-0,1 mm (emission to marine water)</v>
      </c>
      <c r="H3017" s="465">
        <v>0</v>
      </c>
      <c r="I3017" s="394" t="s">
        <v>1162</v>
      </c>
      <c r="J3017" s="635"/>
      <c r="K3017" s="389">
        <v>439.96</v>
      </c>
      <c r="L3017" s="536"/>
      <c r="M3017" s="509">
        <f t="shared" si="9073"/>
        <v>2.8411673788526232E-2</v>
      </c>
      <c r="N3017" s="646"/>
      <c r="O3017" s="626"/>
      <c r="P3017" s="629"/>
      <c r="Q3017" s="629"/>
    </row>
    <row r="3018" spans="1:17" ht="15.75" hidden="1" thickBot="1">
      <c r="A3018" s="390" t="str">
        <f t="shared" ref="A3018:B3018" si="9085">A3015</f>
        <v>PCL</v>
      </c>
      <c r="B3018" s="391" t="str">
        <f t="shared" si="9085"/>
        <v>particle</v>
      </c>
      <c r="C3018" s="391">
        <f t="shared" ref="C3018" si="9086">C3017</f>
        <v>6</v>
      </c>
      <c r="D3018" s="391" t="str">
        <f t="shared" ref="D3018:E3018" si="9087">D3015</f>
        <v>0,01-0,1</v>
      </c>
      <c r="E3018" s="391">
        <f t="shared" si="9087"/>
        <v>0.1</v>
      </c>
      <c r="F3018" s="391" t="str">
        <f t="shared" ref="F3018:G3018" si="9088">F3017</f>
        <v>marine water</v>
      </c>
      <c r="G3018" s="401" t="str">
        <f t="shared" si="9088"/>
        <v>DE: PCL particle 0,01-0,1 mm (emission to marine water)</v>
      </c>
      <c r="H3018" s="465">
        <v>1</v>
      </c>
      <c r="I3018" s="394" t="s">
        <v>1163</v>
      </c>
      <c r="J3018" s="635"/>
      <c r="K3018" s="389">
        <v>439.96</v>
      </c>
      <c r="L3018" s="536"/>
      <c r="M3018" s="509">
        <f t="shared" si="9073"/>
        <v>2.8411673788526232E-2</v>
      </c>
      <c r="N3018" s="646"/>
      <c r="O3018" s="626"/>
      <c r="P3018" s="629"/>
      <c r="Q3018" s="629"/>
    </row>
    <row r="3019" spans="1:17" ht="15.75" hidden="1" thickBot="1">
      <c r="A3019" s="390" t="str">
        <f t="shared" ref="A3019:B3019" si="9089">A3016</f>
        <v>PCL</v>
      </c>
      <c r="B3019" s="391" t="str">
        <f t="shared" si="9089"/>
        <v>particle</v>
      </c>
      <c r="C3019" s="391">
        <f t="shared" ref="C3019" si="9090">C3018</f>
        <v>6</v>
      </c>
      <c r="D3019" s="391" t="str">
        <f t="shared" ref="D3019:E3019" si="9091">D3016</f>
        <v>0,01-0,1</v>
      </c>
      <c r="E3019" s="391">
        <f t="shared" si="9091"/>
        <v>0.1</v>
      </c>
      <c r="F3019" s="391" t="str">
        <f t="shared" ref="F3019:G3019" si="9092">F3018</f>
        <v>marine water</v>
      </c>
      <c r="G3019" s="401" t="str">
        <f t="shared" si="9092"/>
        <v>DE: PCL particle 0,01-0,1 mm (emission to marine water)</v>
      </c>
      <c r="H3019" s="465">
        <v>0</v>
      </c>
      <c r="I3019" s="397" t="s">
        <v>1034</v>
      </c>
      <c r="J3019" s="654"/>
      <c r="K3019" s="398" t="s">
        <v>596</v>
      </c>
      <c r="L3019" s="538"/>
      <c r="M3019" s="509">
        <f t="shared" si="9073"/>
        <v>0</v>
      </c>
      <c r="N3019" s="647"/>
      <c r="O3019" s="627"/>
      <c r="P3019" s="629"/>
      <c r="Q3019" s="629"/>
    </row>
    <row r="3020" spans="1:17" ht="15.75" hidden="1" thickBot="1">
      <c r="A3020" s="390" t="str">
        <f t="shared" ref="A3020:B3020" si="9093">A3017</f>
        <v>PCL</v>
      </c>
      <c r="B3020" s="391" t="str">
        <f t="shared" si="9093"/>
        <v>particle</v>
      </c>
      <c r="C3020" s="391">
        <f t="shared" ref="C3020" si="9094">C3019</f>
        <v>6</v>
      </c>
      <c r="D3020" s="391" t="str">
        <f t="shared" ref="D3020:E3020" si="9095">D3017</f>
        <v>0,01-0,1</v>
      </c>
      <c r="E3020" s="391">
        <f t="shared" si="9095"/>
        <v>0.1</v>
      </c>
      <c r="F3020" s="400" t="s">
        <v>1057</v>
      </c>
      <c r="G3020" s="422" t="str">
        <f>CONCATENATE("DE: ",A3020," ",B3020," ",D3020," mm (emission to ",F3020,")")</f>
        <v>DE: PCL particle 0,01-0,1 mm (emission to air)</v>
      </c>
      <c r="H3020" s="467">
        <v>0.94799999999999995</v>
      </c>
      <c r="I3020" s="388" t="s">
        <v>1153</v>
      </c>
      <c r="J3020" s="634">
        <v>0.22800000000000001</v>
      </c>
      <c r="K3020" s="389">
        <v>439.96</v>
      </c>
      <c r="L3020" s="536"/>
      <c r="M3020" s="509">
        <f t="shared" si="9073"/>
        <v>2.8411673788526232E-2</v>
      </c>
      <c r="N3020" s="645">
        <f t="shared" ref="N3020:N3080" si="9096">IFERROR(H3020*M3020+H3021*M3021+H3022*M3022+H3023*M3023+H3024*M3024,"N.A.")</f>
        <v>2.8411673788526229E-2</v>
      </c>
      <c r="O3020" s="625"/>
      <c r="P3020" s="628">
        <f t="shared" si="8923"/>
        <v>2.8411673788526229E-2</v>
      </c>
      <c r="Q3020" s="628">
        <f t="shared" si="9048"/>
        <v>2.8411673788526229E-2</v>
      </c>
    </row>
    <row r="3021" spans="1:17" ht="15.75" hidden="1" thickBot="1">
      <c r="A3021" s="390" t="str">
        <f t="shared" ref="A3021:B3021" si="9097">A3018</f>
        <v>PCL</v>
      </c>
      <c r="B3021" s="391" t="str">
        <f t="shared" si="9097"/>
        <v>particle</v>
      </c>
      <c r="C3021" s="391">
        <f t="shared" ref="C3021" si="9098">C3020</f>
        <v>6</v>
      </c>
      <c r="D3021" s="391" t="str">
        <f t="shared" ref="D3021:E3021" si="9099">D3018</f>
        <v>0,01-0,1</v>
      </c>
      <c r="E3021" s="391">
        <f t="shared" si="9099"/>
        <v>0.1</v>
      </c>
      <c r="F3021" s="391" t="str">
        <f t="shared" ref="F3021:G3021" si="9100">F3020</f>
        <v>air</v>
      </c>
      <c r="G3021" s="401" t="str">
        <f t="shared" si="9100"/>
        <v>DE: PCL particle 0,01-0,1 mm (emission to air)</v>
      </c>
      <c r="H3021" s="465">
        <v>0</v>
      </c>
      <c r="I3021" s="394" t="s">
        <v>1097</v>
      </c>
      <c r="J3021" s="635"/>
      <c r="K3021" s="389">
        <v>439.96</v>
      </c>
      <c r="L3021" s="536"/>
      <c r="M3021" s="509">
        <f t="shared" si="9073"/>
        <v>2.8411673788526232E-2</v>
      </c>
      <c r="N3021" s="646"/>
      <c r="O3021" s="626"/>
      <c r="P3021" s="629"/>
      <c r="Q3021" s="629"/>
    </row>
    <row r="3022" spans="1:17" ht="15.75" hidden="1" thickBot="1">
      <c r="A3022" s="390" t="str">
        <f t="shared" ref="A3022:B3022" si="9101">A3019</f>
        <v>PCL</v>
      </c>
      <c r="B3022" s="391" t="str">
        <f t="shared" si="9101"/>
        <v>particle</v>
      </c>
      <c r="C3022" s="391">
        <f t="shared" ref="C3022" si="9102">C3021</f>
        <v>6</v>
      </c>
      <c r="D3022" s="391" t="str">
        <f t="shared" ref="D3022:E3022" si="9103">D3019</f>
        <v>0,01-0,1</v>
      </c>
      <c r="E3022" s="391">
        <f t="shared" si="9103"/>
        <v>0.1</v>
      </c>
      <c r="F3022" s="391" t="str">
        <f t="shared" ref="F3022:G3022" si="9104">F3021</f>
        <v>air</v>
      </c>
      <c r="G3022" s="401" t="str">
        <f t="shared" si="9104"/>
        <v>DE: PCL particle 0,01-0,1 mm (emission to air)</v>
      </c>
      <c r="H3022" s="465">
        <v>4.7E-2</v>
      </c>
      <c r="I3022" s="394" t="s">
        <v>1162</v>
      </c>
      <c r="J3022" s="635"/>
      <c r="K3022" s="389">
        <v>439.96</v>
      </c>
      <c r="L3022" s="536"/>
      <c r="M3022" s="509">
        <f t="shared" si="9073"/>
        <v>2.8411673788526232E-2</v>
      </c>
      <c r="N3022" s="646"/>
      <c r="O3022" s="626"/>
      <c r="P3022" s="629"/>
      <c r="Q3022" s="629"/>
    </row>
    <row r="3023" spans="1:17" ht="15.75" hidden="1" thickBot="1">
      <c r="A3023" s="390" t="str">
        <f t="shared" ref="A3023:B3023" si="9105">A3020</f>
        <v>PCL</v>
      </c>
      <c r="B3023" s="391" t="str">
        <f t="shared" si="9105"/>
        <v>particle</v>
      </c>
      <c r="C3023" s="391">
        <f t="shared" ref="C3023" si="9106">C3022</f>
        <v>6</v>
      </c>
      <c r="D3023" s="391" t="str">
        <f t="shared" ref="D3023:E3023" si="9107">D3020</f>
        <v>0,01-0,1</v>
      </c>
      <c r="E3023" s="391">
        <f t="shared" si="9107"/>
        <v>0.1</v>
      </c>
      <c r="F3023" s="391" t="str">
        <f t="shared" ref="F3023:G3023" si="9108">F3022</f>
        <v>air</v>
      </c>
      <c r="G3023" s="401" t="str">
        <f t="shared" si="9108"/>
        <v>DE: PCL particle 0,01-0,1 mm (emission to air)</v>
      </c>
      <c r="H3023" s="465">
        <v>5.0000000000000001E-3</v>
      </c>
      <c r="I3023" s="394" t="s">
        <v>1163</v>
      </c>
      <c r="J3023" s="635"/>
      <c r="K3023" s="389">
        <v>439.96</v>
      </c>
      <c r="L3023" s="536"/>
      <c r="M3023" s="509">
        <f t="shared" si="9073"/>
        <v>2.8411673788526232E-2</v>
      </c>
      <c r="N3023" s="646"/>
      <c r="O3023" s="626"/>
      <c r="P3023" s="629"/>
      <c r="Q3023" s="629"/>
    </row>
    <row r="3024" spans="1:17" ht="15.75" hidden="1" thickBot="1">
      <c r="A3024" s="390" t="str">
        <f t="shared" ref="A3024:B3024" si="9109">A3019</f>
        <v>PCL</v>
      </c>
      <c r="B3024" s="391" t="str">
        <f t="shared" si="9109"/>
        <v>particle</v>
      </c>
      <c r="C3024" s="391">
        <f t="shared" ref="C3024" si="9110">C3023</f>
        <v>6</v>
      </c>
      <c r="D3024" s="391" t="str">
        <f t="shared" ref="D3024:E3024" si="9111">D3019</f>
        <v>0,01-0,1</v>
      </c>
      <c r="E3024" s="391">
        <f t="shared" si="9111"/>
        <v>0.1</v>
      </c>
      <c r="F3024" s="391" t="str">
        <f t="shared" ref="F3024:G3024" si="9112">F3023</f>
        <v>air</v>
      </c>
      <c r="G3024" s="401" t="str">
        <f t="shared" si="9112"/>
        <v>DE: PCL particle 0,01-0,1 mm (emission to air)</v>
      </c>
      <c r="H3024" s="471">
        <v>0</v>
      </c>
      <c r="I3024" s="422" t="s">
        <v>1034</v>
      </c>
      <c r="J3024" s="636"/>
      <c r="K3024" s="451" t="s">
        <v>596</v>
      </c>
      <c r="L3024" s="542"/>
      <c r="M3024" s="509">
        <f t="shared" si="9073"/>
        <v>0</v>
      </c>
      <c r="N3024" s="647"/>
      <c r="O3024" s="627"/>
      <c r="P3024" s="629"/>
      <c r="Q3024" s="629"/>
    </row>
    <row r="3025" spans="1:17" ht="15.75" hidden="1" thickBot="1">
      <c r="A3025" s="405" t="s">
        <v>48</v>
      </c>
      <c r="B3025" s="406" t="s">
        <v>1152</v>
      </c>
      <c r="C3025" s="407">
        <v>6</v>
      </c>
      <c r="D3025" s="423" t="s">
        <v>1028</v>
      </c>
      <c r="E3025" s="408">
        <v>1</v>
      </c>
      <c r="F3025" s="424" t="s">
        <v>1019</v>
      </c>
      <c r="G3025" s="425" t="str">
        <f>CONCATENATE("DE: ",A3025," ",B3025," ",D3025," mm (emission to ",F3025,")")</f>
        <v>DE: PCL particle 0,1-1 mm (emission to soil)</v>
      </c>
      <c r="H3025" s="474">
        <v>0.97</v>
      </c>
      <c r="I3025" s="427" t="s">
        <v>1153</v>
      </c>
      <c r="J3025" s="632">
        <v>0.22800000000000001</v>
      </c>
      <c r="K3025" s="428">
        <v>439.96</v>
      </c>
      <c r="L3025" s="539"/>
      <c r="M3025" s="509">
        <f t="shared" si="9073"/>
        <v>0.28411673788526232</v>
      </c>
      <c r="N3025" s="645">
        <f t="shared" si="9096"/>
        <v>0.28411673788526226</v>
      </c>
      <c r="O3025" s="625"/>
      <c r="P3025" s="628">
        <f t="shared" si="8923"/>
        <v>0.28411673788526226</v>
      </c>
      <c r="Q3025" s="628">
        <f t="shared" si="9048"/>
        <v>0.28411673788526226</v>
      </c>
    </row>
    <row r="3026" spans="1:17" ht="15.75" hidden="1" thickBot="1">
      <c r="A3026" s="390" t="str">
        <f>A3025</f>
        <v>PCL</v>
      </c>
      <c r="B3026" s="391" t="str">
        <f>B3025</f>
        <v>particle</v>
      </c>
      <c r="C3026" s="391">
        <f t="shared" ref="C3026:G3026" si="9113">C3025</f>
        <v>6</v>
      </c>
      <c r="D3026" s="391" t="str">
        <f t="shared" si="9113"/>
        <v>0,1-1</v>
      </c>
      <c r="E3026" s="391">
        <f t="shared" si="9113"/>
        <v>1</v>
      </c>
      <c r="F3026" s="391" t="str">
        <f t="shared" si="9113"/>
        <v>soil</v>
      </c>
      <c r="G3026" s="392" t="str">
        <f t="shared" si="9113"/>
        <v>DE: PCL particle 0,1-1 mm (emission to soil)</v>
      </c>
      <c r="H3026" s="465">
        <v>0</v>
      </c>
      <c r="I3026" s="394" t="s">
        <v>1097</v>
      </c>
      <c r="J3026" s="632"/>
      <c r="K3026" s="395">
        <v>439.96</v>
      </c>
      <c r="L3026" s="537"/>
      <c r="M3026" s="509">
        <f t="shared" si="9073"/>
        <v>0.28411673788526232</v>
      </c>
      <c r="N3026" s="646"/>
      <c r="O3026" s="626"/>
      <c r="P3026" s="629"/>
      <c r="Q3026" s="629"/>
    </row>
    <row r="3027" spans="1:17" ht="15.75" hidden="1" thickBot="1">
      <c r="A3027" s="390" t="str">
        <f t="shared" ref="A3027:G3027" si="9114">A3026</f>
        <v>PCL</v>
      </c>
      <c r="B3027" s="391" t="str">
        <f t="shared" si="9114"/>
        <v>particle</v>
      </c>
      <c r="C3027" s="391">
        <f t="shared" si="9114"/>
        <v>6</v>
      </c>
      <c r="D3027" s="391" t="str">
        <f t="shared" si="9114"/>
        <v>0,1-1</v>
      </c>
      <c r="E3027" s="391">
        <f t="shared" si="9114"/>
        <v>1</v>
      </c>
      <c r="F3027" s="391" t="str">
        <f t="shared" si="9114"/>
        <v>soil</v>
      </c>
      <c r="G3027" s="392" t="str">
        <f t="shared" si="9114"/>
        <v>DE: PCL particle 0,1-1 mm (emission to soil)</v>
      </c>
      <c r="H3027" s="465">
        <v>2.7E-2</v>
      </c>
      <c r="I3027" s="394" t="s">
        <v>1162</v>
      </c>
      <c r="J3027" s="632"/>
      <c r="K3027" s="395">
        <v>439.96</v>
      </c>
      <c r="L3027" s="537"/>
      <c r="M3027" s="509">
        <f t="shared" si="9073"/>
        <v>0.28411673788526232</v>
      </c>
      <c r="N3027" s="646"/>
      <c r="O3027" s="626"/>
      <c r="P3027" s="629"/>
      <c r="Q3027" s="629"/>
    </row>
    <row r="3028" spans="1:17" ht="15.75" hidden="1" thickBot="1">
      <c r="A3028" s="390" t="str">
        <f t="shared" ref="A3028:G3028" si="9115">A3027</f>
        <v>PCL</v>
      </c>
      <c r="B3028" s="391" t="str">
        <f t="shared" si="9115"/>
        <v>particle</v>
      </c>
      <c r="C3028" s="391">
        <f t="shared" si="9115"/>
        <v>6</v>
      </c>
      <c r="D3028" s="391" t="str">
        <f t="shared" si="9115"/>
        <v>0,1-1</v>
      </c>
      <c r="E3028" s="391">
        <f t="shared" si="9115"/>
        <v>1</v>
      </c>
      <c r="F3028" s="391" t="str">
        <f t="shared" si="9115"/>
        <v>soil</v>
      </c>
      <c r="G3028" s="392" t="str">
        <f t="shared" si="9115"/>
        <v>DE: PCL particle 0,1-1 mm (emission to soil)</v>
      </c>
      <c r="H3028" s="465">
        <v>3.0000000000000001E-3</v>
      </c>
      <c r="I3028" s="394" t="s">
        <v>1163</v>
      </c>
      <c r="J3028" s="632"/>
      <c r="K3028" s="395">
        <v>439.96</v>
      </c>
      <c r="L3028" s="537"/>
      <c r="M3028" s="509">
        <f t="shared" si="9073"/>
        <v>0.28411673788526232</v>
      </c>
      <c r="N3028" s="646"/>
      <c r="O3028" s="626"/>
      <c r="P3028" s="629"/>
      <c r="Q3028" s="629"/>
    </row>
    <row r="3029" spans="1:17" ht="15.75" hidden="1" thickBot="1">
      <c r="A3029" s="390" t="str">
        <f>A3026</f>
        <v>PCL</v>
      </c>
      <c r="B3029" s="391" t="str">
        <f>B3026</f>
        <v>particle</v>
      </c>
      <c r="C3029" s="391">
        <f t="shared" ref="C3029" si="9116">C3028</f>
        <v>6</v>
      </c>
      <c r="D3029" s="391" t="str">
        <f>D3026</f>
        <v>0,1-1</v>
      </c>
      <c r="E3029" s="391">
        <f>E3026</f>
        <v>1</v>
      </c>
      <c r="F3029" s="391" t="str">
        <f>F3026</f>
        <v>soil</v>
      </c>
      <c r="G3029" s="396" t="str">
        <f t="shared" ref="G3029" si="9117">G3028</f>
        <v>DE: PCL particle 0,1-1 mm (emission to soil)</v>
      </c>
      <c r="H3029" s="465">
        <v>0</v>
      </c>
      <c r="I3029" s="397" t="s">
        <v>1034</v>
      </c>
      <c r="J3029" s="633"/>
      <c r="K3029" s="398" t="s">
        <v>596</v>
      </c>
      <c r="L3029" s="538"/>
      <c r="M3029" s="509">
        <f t="shared" si="9073"/>
        <v>0</v>
      </c>
      <c r="N3029" s="647"/>
      <c r="O3029" s="627"/>
      <c r="P3029" s="629"/>
      <c r="Q3029" s="629"/>
    </row>
    <row r="3030" spans="1:17" ht="15.75" hidden="1" thickBot="1">
      <c r="A3030" s="390" t="str">
        <f t="shared" ref="A3030:B3030" si="9118">A3027</f>
        <v>PCL</v>
      </c>
      <c r="B3030" s="391" t="str">
        <f t="shared" si="9118"/>
        <v>particle</v>
      </c>
      <c r="C3030" s="391">
        <f t="shared" ref="C3030" si="9119">C3029</f>
        <v>6</v>
      </c>
      <c r="D3030" s="399" t="str">
        <f t="shared" ref="D3030:E3030" si="9120">D3027</f>
        <v>0,1-1</v>
      </c>
      <c r="E3030" s="391">
        <f t="shared" si="9120"/>
        <v>1</v>
      </c>
      <c r="F3030" s="400" t="s">
        <v>1147</v>
      </c>
      <c r="G3030" s="386" t="str">
        <f>CONCATENATE("DE: ",A3030," ",B3030," ",D3030," mm (emission to ",F3030,")")</f>
        <v>DE: PCL particle 0,1-1 mm (emission to fresh water)</v>
      </c>
      <c r="H3030" s="466">
        <v>0</v>
      </c>
      <c r="I3030" s="388" t="s">
        <v>1153</v>
      </c>
      <c r="J3030" s="634">
        <v>0.22800000000000001</v>
      </c>
      <c r="K3030" s="389">
        <v>439.96</v>
      </c>
      <c r="L3030" s="536"/>
      <c r="M3030" s="509">
        <f t="shared" si="9073"/>
        <v>0.28411673788526232</v>
      </c>
      <c r="N3030" s="645">
        <f t="shared" si="9096"/>
        <v>0.28411673788526232</v>
      </c>
      <c r="O3030" s="625"/>
      <c r="P3030" s="628">
        <f t="shared" ref="P3030:P3090" si="9121">IFERROR(IF(H3030*M3030+H3031*M3031+H3032*M3032+H3033*M3033+H3034*M3034&gt;100,100,H3030*M3030+H3031*M3031+H3032*M3032+H3033*M3033+H3034*M3034),"N.A.")</f>
        <v>0.28411673788526232</v>
      </c>
      <c r="Q3030" s="628">
        <f t="shared" si="9048"/>
        <v>0.28411673788526232</v>
      </c>
    </row>
    <row r="3031" spans="1:17" ht="15.75" hidden="1" thickBot="1">
      <c r="A3031" s="390" t="str">
        <f t="shared" ref="A3031:B3031" si="9122">A3028</f>
        <v>PCL</v>
      </c>
      <c r="B3031" s="391" t="str">
        <f t="shared" si="9122"/>
        <v>particle</v>
      </c>
      <c r="C3031" s="391">
        <f t="shared" ref="C3031" si="9123">C3030</f>
        <v>6</v>
      </c>
      <c r="D3031" s="391" t="str">
        <f t="shared" ref="D3031:E3031" si="9124">D3028</f>
        <v>0,1-1</v>
      </c>
      <c r="E3031" s="391">
        <f t="shared" si="9124"/>
        <v>1</v>
      </c>
      <c r="F3031" s="391" t="str">
        <f t="shared" ref="F3031:G3031" si="9125">F3030</f>
        <v>fresh water</v>
      </c>
      <c r="G3031" s="401" t="str">
        <f t="shared" si="9125"/>
        <v>DE: PCL particle 0,1-1 mm (emission to fresh water)</v>
      </c>
      <c r="H3031" s="465">
        <v>0</v>
      </c>
      <c r="I3031" s="394" t="s">
        <v>1097</v>
      </c>
      <c r="J3031" s="635"/>
      <c r="K3031" s="389">
        <v>439.96</v>
      </c>
      <c r="L3031" s="536"/>
      <c r="M3031" s="509">
        <f t="shared" si="9073"/>
        <v>0.28411673788526232</v>
      </c>
      <c r="N3031" s="646"/>
      <c r="O3031" s="626"/>
      <c r="P3031" s="629"/>
      <c r="Q3031" s="629"/>
    </row>
    <row r="3032" spans="1:17" ht="15.75" hidden="1" thickBot="1">
      <c r="A3032" s="390" t="str">
        <f t="shared" ref="A3032:B3032" si="9126">A3029</f>
        <v>PCL</v>
      </c>
      <c r="B3032" s="391" t="str">
        <f t="shared" si="9126"/>
        <v>particle</v>
      </c>
      <c r="C3032" s="391">
        <f t="shared" ref="C3032" si="9127">C3031</f>
        <v>6</v>
      </c>
      <c r="D3032" s="391" t="str">
        <f t="shared" ref="D3032:E3032" si="9128">D3029</f>
        <v>0,1-1</v>
      </c>
      <c r="E3032" s="391">
        <f t="shared" si="9128"/>
        <v>1</v>
      </c>
      <c r="F3032" s="391" t="str">
        <f t="shared" ref="F3032:G3032" si="9129">F3031</f>
        <v>fresh water</v>
      </c>
      <c r="G3032" s="401" t="str">
        <f t="shared" si="9129"/>
        <v>DE: PCL particle 0,1-1 mm (emission to fresh water)</v>
      </c>
      <c r="H3032" s="465">
        <v>0.89</v>
      </c>
      <c r="I3032" s="394" t="s">
        <v>1162</v>
      </c>
      <c r="J3032" s="635"/>
      <c r="K3032" s="389">
        <v>439.96</v>
      </c>
      <c r="L3032" s="536"/>
      <c r="M3032" s="509">
        <f t="shared" si="9073"/>
        <v>0.28411673788526232</v>
      </c>
      <c r="N3032" s="646"/>
      <c r="O3032" s="626"/>
      <c r="P3032" s="629"/>
      <c r="Q3032" s="629"/>
    </row>
    <row r="3033" spans="1:17" ht="15.75" hidden="1" thickBot="1">
      <c r="A3033" s="390" t="str">
        <f t="shared" ref="A3033:B3033" si="9130">A3030</f>
        <v>PCL</v>
      </c>
      <c r="B3033" s="391" t="str">
        <f t="shared" si="9130"/>
        <v>particle</v>
      </c>
      <c r="C3033" s="391">
        <f t="shared" ref="C3033" si="9131">C3032</f>
        <v>6</v>
      </c>
      <c r="D3033" s="391" t="str">
        <f t="shared" ref="D3033:E3033" si="9132">D3030</f>
        <v>0,1-1</v>
      </c>
      <c r="E3033" s="391">
        <f t="shared" si="9132"/>
        <v>1</v>
      </c>
      <c r="F3033" s="391" t="str">
        <f t="shared" ref="F3033:G3033" si="9133">F3032</f>
        <v>fresh water</v>
      </c>
      <c r="G3033" s="401" t="str">
        <f t="shared" si="9133"/>
        <v>DE: PCL particle 0,1-1 mm (emission to fresh water)</v>
      </c>
      <c r="H3033" s="465">
        <v>0.11</v>
      </c>
      <c r="I3033" s="394" t="s">
        <v>1163</v>
      </c>
      <c r="J3033" s="635"/>
      <c r="K3033" s="389">
        <v>439.96</v>
      </c>
      <c r="L3033" s="536"/>
      <c r="M3033" s="509">
        <f t="shared" si="9073"/>
        <v>0.28411673788526232</v>
      </c>
      <c r="N3033" s="646"/>
      <c r="O3033" s="626"/>
      <c r="P3033" s="629"/>
      <c r="Q3033" s="629"/>
    </row>
    <row r="3034" spans="1:17" ht="15.75" hidden="1" thickBot="1">
      <c r="A3034" s="390" t="str">
        <f t="shared" ref="A3034:B3034" si="9134">A3031</f>
        <v>PCL</v>
      </c>
      <c r="B3034" s="391" t="str">
        <f t="shared" si="9134"/>
        <v>particle</v>
      </c>
      <c r="C3034" s="391">
        <f t="shared" ref="C3034" si="9135">C3033</f>
        <v>6</v>
      </c>
      <c r="D3034" s="391" t="str">
        <f t="shared" ref="D3034:E3034" si="9136">D3031</f>
        <v>0,1-1</v>
      </c>
      <c r="E3034" s="391">
        <f t="shared" si="9136"/>
        <v>1</v>
      </c>
      <c r="F3034" s="402" t="str">
        <f>F3031</f>
        <v>fresh water</v>
      </c>
      <c r="G3034" s="401" t="str">
        <f t="shared" ref="G3034" si="9137">G3033</f>
        <v>DE: PCL particle 0,1-1 mm (emission to fresh water)</v>
      </c>
      <c r="H3034" s="465">
        <v>0</v>
      </c>
      <c r="I3034" s="397" t="s">
        <v>1034</v>
      </c>
      <c r="J3034" s="654"/>
      <c r="K3034" s="398" t="s">
        <v>596</v>
      </c>
      <c r="L3034" s="538"/>
      <c r="M3034" s="509">
        <f t="shared" si="9073"/>
        <v>0</v>
      </c>
      <c r="N3034" s="647"/>
      <c r="O3034" s="627"/>
      <c r="P3034" s="629"/>
      <c r="Q3034" s="629"/>
    </row>
    <row r="3035" spans="1:17" ht="15.75" hidden="1" thickBot="1">
      <c r="A3035" s="390" t="str">
        <f t="shared" ref="A3035:B3035" si="9138">A3032</f>
        <v>PCL</v>
      </c>
      <c r="B3035" s="391" t="str">
        <f t="shared" si="9138"/>
        <v>particle</v>
      </c>
      <c r="C3035" s="391">
        <f t="shared" ref="C3035" si="9139">C3034</f>
        <v>6</v>
      </c>
      <c r="D3035" s="391" t="str">
        <f t="shared" ref="D3035:E3035" si="9140">D3032</f>
        <v>0,1-1</v>
      </c>
      <c r="E3035" s="391">
        <f t="shared" si="9140"/>
        <v>1</v>
      </c>
      <c r="F3035" s="385" t="s">
        <v>1097</v>
      </c>
      <c r="G3035" s="422" t="str">
        <f>CONCATENATE("DE: ",A3035," ",B3035," ",D3035," mm (emission to ",F3035,")")</f>
        <v>DE: PCL particle 0,1-1 mm (emission to marine water)</v>
      </c>
      <c r="H3035" s="467">
        <v>0</v>
      </c>
      <c r="I3035" s="388" t="s">
        <v>1153</v>
      </c>
      <c r="J3035" s="634">
        <v>0.22800000000000001</v>
      </c>
      <c r="K3035" s="389">
        <v>439.96</v>
      </c>
      <c r="L3035" s="536"/>
      <c r="M3035" s="509">
        <f t="shared" si="9073"/>
        <v>0.28411673788526232</v>
      </c>
      <c r="N3035" s="645">
        <f t="shared" si="9096"/>
        <v>0.28411673788526232</v>
      </c>
      <c r="O3035" s="625"/>
      <c r="P3035" s="628">
        <f t="shared" si="9121"/>
        <v>0.28411673788526232</v>
      </c>
      <c r="Q3035" s="628">
        <f t="shared" si="9048"/>
        <v>0.28411673788526232</v>
      </c>
    </row>
    <row r="3036" spans="1:17" ht="15.75" hidden="1" thickBot="1">
      <c r="A3036" s="390" t="str">
        <f t="shared" ref="A3036:B3036" si="9141">A3033</f>
        <v>PCL</v>
      </c>
      <c r="B3036" s="391" t="str">
        <f t="shared" si="9141"/>
        <v>particle</v>
      </c>
      <c r="C3036" s="391">
        <f t="shared" ref="C3036" si="9142">C3035</f>
        <v>6</v>
      </c>
      <c r="D3036" s="391" t="str">
        <f t="shared" ref="D3036:E3036" si="9143">D3033</f>
        <v>0,1-1</v>
      </c>
      <c r="E3036" s="391">
        <f t="shared" si="9143"/>
        <v>1</v>
      </c>
      <c r="F3036" s="391" t="str">
        <f t="shared" ref="F3036:G3036" si="9144">F3035</f>
        <v>marine water</v>
      </c>
      <c r="G3036" s="401" t="str">
        <f t="shared" si="9144"/>
        <v>DE: PCL particle 0,1-1 mm (emission to marine water)</v>
      </c>
      <c r="H3036" s="465">
        <v>0</v>
      </c>
      <c r="I3036" s="394" t="s">
        <v>1097</v>
      </c>
      <c r="J3036" s="635"/>
      <c r="K3036" s="389">
        <v>439.96</v>
      </c>
      <c r="L3036" s="536"/>
      <c r="M3036" s="509">
        <f t="shared" si="9073"/>
        <v>0.28411673788526232</v>
      </c>
      <c r="N3036" s="646"/>
      <c r="O3036" s="626"/>
      <c r="P3036" s="629"/>
      <c r="Q3036" s="629"/>
    </row>
    <row r="3037" spans="1:17" ht="15.75" hidden="1" thickBot="1">
      <c r="A3037" s="390" t="str">
        <f t="shared" ref="A3037:B3037" si="9145">A3034</f>
        <v>PCL</v>
      </c>
      <c r="B3037" s="391" t="str">
        <f t="shared" si="9145"/>
        <v>particle</v>
      </c>
      <c r="C3037" s="391">
        <f t="shared" ref="C3037" si="9146">C3036</f>
        <v>6</v>
      </c>
      <c r="D3037" s="391" t="str">
        <f t="shared" ref="D3037:E3037" si="9147">D3034</f>
        <v>0,1-1</v>
      </c>
      <c r="E3037" s="391">
        <f t="shared" si="9147"/>
        <v>1</v>
      </c>
      <c r="F3037" s="391" t="str">
        <f t="shared" ref="F3037:G3037" si="9148">F3036</f>
        <v>marine water</v>
      </c>
      <c r="G3037" s="401" t="str">
        <f t="shared" si="9148"/>
        <v>DE: PCL particle 0,1-1 mm (emission to marine water)</v>
      </c>
      <c r="H3037" s="465">
        <v>0</v>
      </c>
      <c r="I3037" s="394" t="s">
        <v>1162</v>
      </c>
      <c r="J3037" s="635"/>
      <c r="K3037" s="389">
        <v>439.96</v>
      </c>
      <c r="L3037" s="536"/>
      <c r="M3037" s="509">
        <f t="shared" si="9073"/>
        <v>0.28411673788526232</v>
      </c>
      <c r="N3037" s="646"/>
      <c r="O3037" s="626"/>
      <c r="P3037" s="629"/>
      <c r="Q3037" s="629"/>
    </row>
    <row r="3038" spans="1:17" ht="15.75" hidden="1" thickBot="1">
      <c r="A3038" s="390" t="str">
        <f t="shared" ref="A3038:B3038" si="9149">A3035</f>
        <v>PCL</v>
      </c>
      <c r="B3038" s="391" t="str">
        <f t="shared" si="9149"/>
        <v>particle</v>
      </c>
      <c r="C3038" s="391">
        <f t="shared" ref="C3038" si="9150">C3037</f>
        <v>6</v>
      </c>
      <c r="D3038" s="391" t="str">
        <f t="shared" ref="D3038:E3038" si="9151">D3035</f>
        <v>0,1-1</v>
      </c>
      <c r="E3038" s="391">
        <f t="shared" si="9151"/>
        <v>1</v>
      </c>
      <c r="F3038" s="391" t="str">
        <f t="shared" ref="F3038:G3038" si="9152">F3037</f>
        <v>marine water</v>
      </c>
      <c r="G3038" s="401" t="str">
        <f t="shared" si="9152"/>
        <v>DE: PCL particle 0,1-1 mm (emission to marine water)</v>
      </c>
      <c r="H3038" s="465">
        <v>1</v>
      </c>
      <c r="I3038" s="394" t="s">
        <v>1163</v>
      </c>
      <c r="J3038" s="635"/>
      <c r="K3038" s="389">
        <v>439.96</v>
      </c>
      <c r="L3038" s="536"/>
      <c r="M3038" s="509">
        <f t="shared" si="9073"/>
        <v>0.28411673788526232</v>
      </c>
      <c r="N3038" s="646"/>
      <c r="O3038" s="626"/>
      <c r="P3038" s="629"/>
      <c r="Q3038" s="629"/>
    </row>
    <row r="3039" spans="1:17" ht="15.75" hidden="1" thickBot="1">
      <c r="A3039" s="390" t="str">
        <f t="shared" ref="A3039:B3039" si="9153">A3036</f>
        <v>PCL</v>
      </c>
      <c r="B3039" s="391" t="str">
        <f t="shared" si="9153"/>
        <v>particle</v>
      </c>
      <c r="C3039" s="391">
        <f t="shared" ref="C3039" si="9154">C3038</f>
        <v>6</v>
      </c>
      <c r="D3039" s="391" t="str">
        <f t="shared" ref="D3039:E3039" si="9155">D3036</f>
        <v>0,1-1</v>
      </c>
      <c r="E3039" s="391">
        <f t="shared" si="9155"/>
        <v>1</v>
      </c>
      <c r="F3039" s="391" t="str">
        <f t="shared" ref="F3039:G3039" si="9156">F3038</f>
        <v>marine water</v>
      </c>
      <c r="G3039" s="401" t="str">
        <f t="shared" si="9156"/>
        <v>DE: PCL particle 0,1-1 mm (emission to marine water)</v>
      </c>
      <c r="H3039" s="465">
        <v>0</v>
      </c>
      <c r="I3039" s="397" t="s">
        <v>1034</v>
      </c>
      <c r="J3039" s="654"/>
      <c r="K3039" s="398" t="s">
        <v>596</v>
      </c>
      <c r="L3039" s="538"/>
      <c r="M3039" s="509">
        <f t="shared" si="9073"/>
        <v>0</v>
      </c>
      <c r="N3039" s="647"/>
      <c r="O3039" s="627"/>
      <c r="P3039" s="629"/>
      <c r="Q3039" s="629"/>
    </row>
    <row r="3040" spans="1:17" ht="15.75" hidden="1" thickBot="1">
      <c r="A3040" s="390" t="str">
        <f t="shared" ref="A3040:B3040" si="9157">A3037</f>
        <v>PCL</v>
      </c>
      <c r="B3040" s="391" t="str">
        <f t="shared" si="9157"/>
        <v>particle</v>
      </c>
      <c r="C3040" s="391">
        <f t="shared" ref="C3040" si="9158">C3039</f>
        <v>6</v>
      </c>
      <c r="D3040" s="391" t="str">
        <f t="shared" ref="D3040:E3040" si="9159">D3037</f>
        <v>0,1-1</v>
      </c>
      <c r="E3040" s="391">
        <f t="shared" si="9159"/>
        <v>1</v>
      </c>
      <c r="F3040" s="400" t="s">
        <v>1057</v>
      </c>
      <c r="G3040" s="422" t="str">
        <f>CONCATENATE("DE: ",A3040," ",B3040," ",D3040," mm (emission to ",F3040,")")</f>
        <v>DE: PCL particle 0,1-1 mm (emission to air)</v>
      </c>
      <c r="H3040" s="467">
        <v>0.94799999999999995</v>
      </c>
      <c r="I3040" s="388" t="s">
        <v>1153</v>
      </c>
      <c r="J3040" s="634">
        <v>0.22800000000000001</v>
      </c>
      <c r="K3040" s="389">
        <v>439.96</v>
      </c>
      <c r="L3040" s="536"/>
      <c r="M3040" s="509">
        <f t="shared" si="9073"/>
        <v>0.28411673788526232</v>
      </c>
      <c r="N3040" s="645">
        <f t="shared" si="9096"/>
        <v>0.28411673788526232</v>
      </c>
      <c r="O3040" s="625"/>
      <c r="P3040" s="628">
        <f t="shared" si="9121"/>
        <v>0.28411673788526232</v>
      </c>
      <c r="Q3040" s="628">
        <f t="shared" si="9048"/>
        <v>0.28411673788526232</v>
      </c>
    </row>
    <row r="3041" spans="1:17" ht="15.75" hidden="1" thickBot="1">
      <c r="A3041" s="390" t="str">
        <f t="shared" ref="A3041:B3041" si="9160">A3038</f>
        <v>PCL</v>
      </c>
      <c r="B3041" s="391" t="str">
        <f t="shared" si="9160"/>
        <v>particle</v>
      </c>
      <c r="C3041" s="391">
        <f t="shared" ref="C3041" si="9161">C3040</f>
        <v>6</v>
      </c>
      <c r="D3041" s="391" t="str">
        <f t="shared" ref="D3041:E3041" si="9162">D3038</f>
        <v>0,1-1</v>
      </c>
      <c r="E3041" s="391">
        <f t="shared" si="9162"/>
        <v>1</v>
      </c>
      <c r="F3041" s="391" t="str">
        <f t="shared" ref="F3041:G3041" si="9163">F3040</f>
        <v>air</v>
      </c>
      <c r="G3041" s="401" t="str">
        <f t="shared" si="9163"/>
        <v>DE: PCL particle 0,1-1 mm (emission to air)</v>
      </c>
      <c r="H3041" s="465">
        <v>0</v>
      </c>
      <c r="I3041" s="394" t="s">
        <v>1097</v>
      </c>
      <c r="J3041" s="635"/>
      <c r="K3041" s="389">
        <v>439.96</v>
      </c>
      <c r="L3041" s="536"/>
      <c r="M3041" s="509">
        <f t="shared" si="9073"/>
        <v>0.28411673788526232</v>
      </c>
      <c r="N3041" s="646"/>
      <c r="O3041" s="626"/>
      <c r="P3041" s="629"/>
      <c r="Q3041" s="629"/>
    </row>
    <row r="3042" spans="1:17" ht="15.75" hidden="1" thickBot="1">
      <c r="A3042" s="390" t="str">
        <f t="shared" ref="A3042:B3042" si="9164">A3039</f>
        <v>PCL</v>
      </c>
      <c r="B3042" s="391" t="str">
        <f t="shared" si="9164"/>
        <v>particle</v>
      </c>
      <c r="C3042" s="391">
        <f t="shared" ref="C3042" si="9165">C3041</f>
        <v>6</v>
      </c>
      <c r="D3042" s="391" t="str">
        <f t="shared" ref="D3042:E3042" si="9166">D3039</f>
        <v>0,1-1</v>
      </c>
      <c r="E3042" s="391">
        <f t="shared" si="9166"/>
        <v>1</v>
      </c>
      <c r="F3042" s="391" t="str">
        <f t="shared" ref="F3042:G3042" si="9167">F3041</f>
        <v>air</v>
      </c>
      <c r="G3042" s="401" t="str">
        <f t="shared" si="9167"/>
        <v>DE: PCL particle 0,1-1 mm (emission to air)</v>
      </c>
      <c r="H3042" s="465">
        <v>4.7E-2</v>
      </c>
      <c r="I3042" s="394" t="s">
        <v>1162</v>
      </c>
      <c r="J3042" s="635"/>
      <c r="K3042" s="389">
        <v>439.96</v>
      </c>
      <c r="L3042" s="536"/>
      <c r="M3042" s="509">
        <f t="shared" si="9073"/>
        <v>0.28411673788526232</v>
      </c>
      <c r="N3042" s="646"/>
      <c r="O3042" s="626"/>
      <c r="P3042" s="629"/>
      <c r="Q3042" s="629"/>
    </row>
    <row r="3043" spans="1:17" ht="15.75" hidden="1" thickBot="1">
      <c r="A3043" s="390" t="str">
        <f t="shared" ref="A3043:B3043" si="9168">A3040</f>
        <v>PCL</v>
      </c>
      <c r="B3043" s="391" t="str">
        <f t="shared" si="9168"/>
        <v>particle</v>
      </c>
      <c r="C3043" s="391">
        <f t="shared" ref="C3043" si="9169">C3042</f>
        <v>6</v>
      </c>
      <c r="D3043" s="391" t="str">
        <f t="shared" ref="D3043:E3043" si="9170">D3040</f>
        <v>0,1-1</v>
      </c>
      <c r="E3043" s="391">
        <f t="shared" si="9170"/>
        <v>1</v>
      </c>
      <c r="F3043" s="391" t="str">
        <f t="shared" ref="F3043:G3043" si="9171">F3042</f>
        <v>air</v>
      </c>
      <c r="G3043" s="401" t="str">
        <f t="shared" si="9171"/>
        <v>DE: PCL particle 0,1-1 mm (emission to air)</v>
      </c>
      <c r="H3043" s="465">
        <v>5.0000000000000001E-3</v>
      </c>
      <c r="I3043" s="394" t="s">
        <v>1163</v>
      </c>
      <c r="J3043" s="635"/>
      <c r="K3043" s="389">
        <v>439.96</v>
      </c>
      <c r="L3043" s="536"/>
      <c r="M3043" s="509">
        <f t="shared" si="9073"/>
        <v>0.28411673788526232</v>
      </c>
      <c r="N3043" s="646"/>
      <c r="O3043" s="626"/>
      <c r="P3043" s="629"/>
      <c r="Q3043" s="629"/>
    </row>
    <row r="3044" spans="1:17" ht="15.75" hidden="1" thickBot="1">
      <c r="A3044" s="452" t="str">
        <f t="shared" ref="A3044:B3044" si="9172">A3039</f>
        <v>PCL</v>
      </c>
      <c r="B3044" s="453" t="str">
        <f t="shared" si="9172"/>
        <v>particle</v>
      </c>
      <c r="C3044" s="453">
        <f t="shared" ref="C3044" si="9173">C3043</f>
        <v>6</v>
      </c>
      <c r="D3044" s="453" t="str">
        <f t="shared" ref="D3044:E3044" si="9174">D3039</f>
        <v>0,1-1</v>
      </c>
      <c r="E3044" s="453">
        <f t="shared" si="9174"/>
        <v>1</v>
      </c>
      <c r="F3044" s="453" t="str">
        <f t="shared" ref="F3044:G3044" si="9175">F3043</f>
        <v>air</v>
      </c>
      <c r="G3044" s="454" t="str">
        <f t="shared" si="9175"/>
        <v>DE: PCL particle 0,1-1 mm (emission to air)</v>
      </c>
      <c r="H3044" s="473">
        <v>0</v>
      </c>
      <c r="I3044" s="456" t="s">
        <v>1034</v>
      </c>
      <c r="J3044" s="636"/>
      <c r="K3044" s="457" t="s">
        <v>596</v>
      </c>
      <c r="L3044" s="543"/>
      <c r="M3044" s="509">
        <f t="shared" si="9073"/>
        <v>0</v>
      </c>
      <c r="N3044" s="647"/>
      <c r="O3044" s="627"/>
      <c r="P3044" s="629"/>
      <c r="Q3044" s="629"/>
    </row>
    <row r="3045" spans="1:17" ht="15.75" hidden="1" thickBot="1">
      <c r="A3045" s="405" t="s">
        <v>48</v>
      </c>
      <c r="B3045" s="406" t="s">
        <v>1152</v>
      </c>
      <c r="C3045" s="407">
        <v>6</v>
      </c>
      <c r="D3045" s="423" t="s">
        <v>1026</v>
      </c>
      <c r="E3045" s="408">
        <v>10</v>
      </c>
      <c r="F3045" s="424" t="s">
        <v>1019</v>
      </c>
      <c r="G3045" s="425" t="str">
        <f>CONCATENATE("DE: ",A3045," ",B3045," ",D3045," mm (emission to ",F3045,")")</f>
        <v>DE: PCL particle 1-10 mm (emission to soil)</v>
      </c>
      <c r="H3045" s="474">
        <v>0.97</v>
      </c>
      <c r="I3045" s="427" t="s">
        <v>1153</v>
      </c>
      <c r="J3045" s="632">
        <v>0.22800000000000001</v>
      </c>
      <c r="K3045" s="389">
        <v>439.96</v>
      </c>
      <c r="L3045" s="539"/>
      <c r="M3045" s="509">
        <f t="shared" si="9073"/>
        <v>2.841167378852623</v>
      </c>
      <c r="N3045" s="645">
        <f t="shared" si="9096"/>
        <v>2.841167378852623</v>
      </c>
      <c r="O3045" s="625"/>
      <c r="P3045" s="628">
        <f t="shared" si="9121"/>
        <v>2.841167378852623</v>
      </c>
      <c r="Q3045" s="628">
        <f t="shared" si="9048"/>
        <v>2.841167378852623</v>
      </c>
    </row>
    <row r="3046" spans="1:17" ht="15.75" hidden="1" thickBot="1">
      <c r="A3046" s="390" t="str">
        <f>A3045</f>
        <v>PCL</v>
      </c>
      <c r="B3046" s="391" t="str">
        <f>B3045</f>
        <v>particle</v>
      </c>
      <c r="C3046" s="391">
        <f t="shared" ref="C3046:G3046" si="9176">C3045</f>
        <v>6</v>
      </c>
      <c r="D3046" s="391" t="str">
        <f t="shared" si="9176"/>
        <v>1-10</v>
      </c>
      <c r="E3046" s="391">
        <f t="shared" si="9176"/>
        <v>10</v>
      </c>
      <c r="F3046" s="391" t="str">
        <f t="shared" si="9176"/>
        <v>soil</v>
      </c>
      <c r="G3046" s="392" t="str">
        <f t="shared" si="9176"/>
        <v>DE: PCL particle 1-10 mm (emission to soil)</v>
      </c>
      <c r="H3046" s="465">
        <v>0</v>
      </c>
      <c r="I3046" s="394" t="s">
        <v>1097</v>
      </c>
      <c r="J3046" s="632"/>
      <c r="K3046" s="389">
        <v>439.96</v>
      </c>
      <c r="L3046" s="537"/>
      <c r="M3046" s="509">
        <f t="shared" si="9073"/>
        <v>2.841167378852623</v>
      </c>
      <c r="N3046" s="646"/>
      <c r="O3046" s="626"/>
      <c r="P3046" s="629"/>
      <c r="Q3046" s="629"/>
    </row>
    <row r="3047" spans="1:17" ht="15.75" hidden="1" thickBot="1">
      <c r="A3047" s="390" t="str">
        <f t="shared" ref="A3047:G3047" si="9177">A3046</f>
        <v>PCL</v>
      </c>
      <c r="B3047" s="391" t="str">
        <f t="shared" si="9177"/>
        <v>particle</v>
      </c>
      <c r="C3047" s="391">
        <f t="shared" si="9177"/>
        <v>6</v>
      </c>
      <c r="D3047" s="391" t="str">
        <f t="shared" si="9177"/>
        <v>1-10</v>
      </c>
      <c r="E3047" s="391">
        <f t="shared" si="9177"/>
        <v>10</v>
      </c>
      <c r="F3047" s="391" t="str">
        <f t="shared" si="9177"/>
        <v>soil</v>
      </c>
      <c r="G3047" s="392" t="str">
        <f t="shared" si="9177"/>
        <v>DE: PCL particle 1-10 mm (emission to soil)</v>
      </c>
      <c r="H3047" s="465">
        <v>2.7E-2</v>
      </c>
      <c r="I3047" s="394" t="s">
        <v>1162</v>
      </c>
      <c r="J3047" s="632"/>
      <c r="K3047" s="389">
        <v>439.96</v>
      </c>
      <c r="L3047" s="537"/>
      <c r="M3047" s="509">
        <f t="shared" si="9073"/>
        <v>2.841167378852623</v>
      </c>
      <c r="N3047" s="646"/>
      <c r="O3047" s="626"/>
      <c r="P3047" s="629"/>
      <c r="Q3047" s="629"/>
    </row>
    <row r="3048" spans="1:17" ht="15.75" hidden="1" thickBot="1">
      <c r="A3048" s="390" t="str">
        <f t="shared" ref="A3048:G3048" si="9178">A3047</f>
        <v>PCL</v>
      </c>
      <c r="B3048" s="391" t="str">
        <f t="shared" si="9178"/>
        <v>particle</v>
      </c>
      <c r="C3048" s="391">
        <f t="shared" si="9178"/>
        <v>6</v>
      </c>
      <c r="D3048" s="391" t="str">
        <f t="shared" si="9178"/>
        <v>1-10</v>
      </c>
      <c r="E3048" s="391">
        <f t="shared" si="9178"/>
        <v>10</v>
      </c>
      <c r="F3048" s="391" t="str">
        <f t="shared" si="9178"/>
        <v>soil</v>
      </c>
      <c r="G3048" s="392" t="str">
        <f t="shared" si="9178"/>
        <v>DE: PCL particle 1-10 mm (emission to soil)</v>
      </c>
      <c r="H3048" s="465">
        <v>3.0000000000000001E-3</v>
      </c>
      <c r="I3048" s="394" t="s">
        <v>1163</v>
      </c>
      <c r="J3048" s="632"/>
      <c r="K3048" s="389">
        <v>439.96</v>
      </c>
      <c r="L3048" s="537"/>
      <c r="M3048" s="509">
        <f t="shared" si="9073"/>
        <v>2.841167378852623</v>
      </c>
      <c r="N3048" s="646"/>
      <c r="O3048" s="626"/>
      <c r="P3048" s="629"/>
      <c r="Q3048" s="629"/>
    </row>
    <row r="3049" spans="1:17" ht="15.75" hidden="1" thickBot="1">
      <c r="A3049" s="390" t="str">
        <f>A3046</f>
        <v>PCL</v>
      </c>
      <c r="B3049" s="391" t="str">
        <f>B3046</f>
        <v>particle</v>
      </c>
      <c r="C3049" s="391">
        <f t="shared" ref="C3049" si="9179">C3048</f>
        <v>6</v>
      </c>
      <c r="D3049" s="391" t="str">
        <f>D3046</f>
        <v>1-10</v>
      </c>
      <c r="E3049" s="391">
        <f>E3046</f>
        <v>10</v>
      </c>
      <c r="F3049" s="391" t="str">
        <f>F3046</f>
        <v>soil</v>
      </c>
      <c r="G3049" s="396" t="str">
        <f t="shared" ref="G3049" si="9180">G3048</f>
        <v>DE: PCL particle 1-10 mm (emission to soil)</v>
      </c>
      <c r="H3049" s="465">
        <v>0</v>
      </c>
      <c r="I3049" s="397" t="s">
        <v>1034</v>
      </c>
      <c r="J3049" s="633"/>
      <c r="K3049" s="398" t="s">
        <v>596</v>
      </c>
      <c r="L3049" s="538"/>
      <c r="M3049" s="509">
        <f t="shared" si="9073"/>
        <v>0</v>
      </c>
      <c r="N3049" s="647"/>
      <c r="O3049" s="627"/>
      <c r="P3049" s="629"/>
      <c r="Q3049" s="629"/>
    </row>
    <row r="3050" spans="1:17" ht="15.75" hidden="1" thickBot="1">
      <c r="A3050" s="390" t="str">
        <f t="shared" ref="A3050:B3050" si="9181">A3047</f>
        <v>PCL</v>
      </c>
      <c r="B3050" s="391" t="str">
        <f t="shared" si="9181"/>
        <v>particle</v>
      </c>
      <c r="C3050" s="391">
        <f t="shared" ref="C3050" si="9182">C3049</f>
        <v>6</v>
      </c>
      <c r="D3050" s="399" t="str">
        <f t="shared" ref="D3050:E3050" si="9183">D3047</f>
        <v>1-10</v>
      </c>
      <c r="E3050" s="391">
        <f t="shared" si="9183"/>
        <v>10</v>
      </c>
      <c r="F3050" s="400" t="s">
        <v>1147</v>
      </c>
      <c r="G3050" s="386" t="str">
        <f>CONCATENATE("DE: ",A3050," ",B3050," ",D3050," mm (emission to ",F3050,")")</f>
        <v>DE: PCL particle 1-10 mm (emission to fresh water)</v>
      </c>
      <c r="H3050" s="466">
        <v>0</v>
      </c>
      <c r="I3050" s="388" t="s">
        <v>1153</v>
      </c>
      <c r="J3050" s="634">
        <v>0.22800000000000001</v>
      </c>
      <c r="K3050" s="389">
        <v>439.96</v>
      </c>
      <c r="L3050" s="536"/>
      <c r="M3050" s="509">
        <f t="shared" si="9073"/>
        <v>2.841167378852623</v>
      </c>
      <c r="N3050" s="645">
        <f t="shared" si="9096"/>
        <v>2.8411673788526235</v>
      </c>
      <c r="O3050" s="625"/>
      <c r="P3050" s="628">
        <f t="shared" si="9121"/>
        <v>2.8411673788526235</v>
      </c>
      <c r="Q3050" s="628">
        <f t="shared" si="9048"/>
        <v>2.8411673788526235</v>
      </c>
    </row>
    <row r="3051" spans="1:17" ht="15.75" hidden="1" thickBot="1">
      <c r="A3051" s="390" t="str">
        <f t="shared" ref="A3051:B3051" si="9184">A3048</f>
        <v>PCL</v>
      </c>
      <c r="B3051" s="391" t="str">
        <f t="shared" si="9184"/>
        <v>particle</v>
      </c>
      <c r="C3051" s="391">
        <f t="shared" ref="C3051" si="9185">C3050</f>
        <v>6</v>
      </c>
      <c r="D3051" s="391" t="str">
        <f t="shared" ref="D3051:E3051" si="9186">D3048</f>
        <v>1-10</v>
      </c>
      <c r="E3051" s="391">
        <f t="shared" si="9186"/>
        <v>10</v>
      </c>
      <c r="F3051" s="391" t="str">
        <f t="shared" ref="F3051:G3051" si="9187">F3050</f>
        <v>fresh water</v>
      </c>
      <c r="G3051" s="401" t="str">
        <f t="shared" si="9187"/>
        <v>DE: PCL particle 1-10 mm (emission to fresh water)</v>
      </c>
      <c r="H3051" s="465">
        <v>0</v>
      </c>
      <c r="I3051" s="394" t="s">
        <v>1097</v>
      </c>
      <c r="J3051" s="635"/>
      <c r="K3051" s="389">
        <v>439.96</v>
      </c>
      <c r="L3051" s="536"/>
      <c r="M3051" s="509">
        <f t="shared" si="9073"/>
        <v>2.841167378852623</v>
      </c>
      <c r="N3051" s="646"/>
      <c r="O3051" s="626"/>
      <c r="P3051" s="629"/>
      <c r="Q3051" s="629"/>
    </row>
    <row r="3052" spans="1:17" ht="15.75" hidden="1" thickBot="1">
      <c r="A3052" s="390" t="str">
        <f t="shared" ref="A3052:B3052" si="9188">A3049</f>
        <v>PCL</v>
      </c>
      <c r="B3052" s="391" t="str">
        <f t="shared" si="9188"/>
        <v>particle</v>
      </c>
      <c r="C3052" s="391">
        <f t="shared" ref="C3052" si="9189">C3051</f>
        <v>6</v>
      </c>
      <c r="D3052" s="391" t="str">
        <f t="shared" ref="D3052:E3052" si="9190">D3049</f>
        <v>1-10</v>
      </c>
      <c r="E3052" s="391">
        <f t="shared" si="9190"/>
        <v>10</v>
      </c>
      <c r="F3052" s="391" t="str">
        <f t="shared" ref="F3052:G3052" si="9191">F3051</f>
        <v>fresh water</v>
      </c>
      <c r="G3052" s="401" t="str">
        <f t="shared" si="9191"/>
        <v>DE: PCL particle 1-10 mm (emission to fresh water)</v>
      </c>
      <c r="H3052" s="465">
        <v>0.89</v>
      </c>
      <c r="I3052" s="394" t="s">
        <v>1162</v>
      </c>
      <c r="J3052" s="635"/>
      <c r="K3052" s="389">
        <v>439.96</v>
      </c>
      <c r="L3052" s="536"/>
      <c r="M3052" s="509">
        <f t="shared" si="9073"/>
        <v>2.841167378852623</v>
      </c>
      <c r="N3052" s="646"/>
      <c r="O3052" s="626"/>
      <c r="P3052" s="629"/>
      <c r="Q3052" s="629"/>
    </row>
    <row r="3053" spans="1:17" ht="15.75" hidden="1" thickBot="1">
      <c r="A3053" s="390" t="str">
        <f t="shared" ref="A3053:B3053" si="9192">A3050</f>
        <v>PCL</v>
      </c>
      <c r="B3053" s="391" t="str">
        <f t="shared" si="9192"/>
        <v>particle</v>
      </c>
      <c r="C3053" s="391">
        <f t="shared" ref="C3053" si="9193">C3052</f>
        <v>6</v>
      </c>
      <c r="D3053" s="391" t="str">
        <f t="shared" ref="D3053:E3053" si="9194">D3050</f>
        <v>1-10</v>
      </c>
      <c r="E3053" s="391">
        <f t="shared" si="9194"/>
        <v>10</v>
      </c>
      <c r="F3053" s="391" t="str">
        <f t="shared" ref="F3053:G3053" si="9195">F3052</f>
        <v>fresh water</v>
      </c>
      <c r="G3053" s="401" t="str">
        <f t="shared" si="9195"/>
        <v>DE: PCL particle 1-10 mm (emission to fresh water)</v>
      </c>
      <c r="H3053" s="465">
        <v>0.11</v>
      </c>
      <c r="I3053" s="394" t="s">
        <v>1163</v>
      </c>
      <c r="J3053" s="635"/>
      <c r="K3053" s="389">
        <v>439.96</v>
      </c>
      <c r="L3053" s="536"/>
      <c r="M3053" s="509">
        <f t="shared" si="9073"/>
        <v>2.841167378852623</v>
      </c>
      <c r="N3053" s="646"/>
      <c r="O3053" s="626"/>
      <c r="P3053" s="629"/>
      <c r="Q3053" s="629"/>
    </row>
    <row r="3054" spans="1:17" ht="15.75" hidden="1" thickBot="1">
      <c r="A3054" s="390" t="str">
        <f t="shared" ref="A3054:B3054" si="9196">A3051</f>
        <v>PCL</v>
      </c>
      <c r="B3054" s="391" t="str">
        <f t="shared" si="9196"/>
        <v>particle</v>
      </c>
      <c r="C3054" s="391">
        <f t="shared" ref="C3054" si="9197">C3053</f>
        <v>6</v>
      </c>
      <c r="D3054" s="391" t="str">
        <f t="shared" ref="D3054:E3054" si="9198">D3051</f>
        <v>1-10</v>
      </c>
      <c r="E3054" s="391">
        <f t="shared" si="9198"/>
        <v>10</v>
      </c>
      <c r="F3054" s="402" t="str">
        <f>F3051</f>
        <v>fresh water</v>
      </c>
      <c r="G3054" s="401" t="str">
        <f t="shared" ref="G3054" si="9199">G3053</f>
        <v>DE: PCL particle 1-10 mm (emission to fresh water)</v>
      </c>
      <c r="H3054" s="465">
        <v>0</v>
      </c>
      <c r="I3054" s="397" t="s">
        <v>1034</v>
      </c>
      <c r="J3054" s="654"/>
      <c r="K3054" s="398" t="s">
        <v>596</v>
      </c>
      <c r="L3054" s="538"/>
      <c r="M3054" s="509">
        <f t="shared" si="9073"/>
        <v>0</v>
      </c>
      <c r="N3054" s="647"/>
      <c r="O3054" s="627"/>
      <c r="P3054" s="629"/>
      <c r="Q3054" s="629"/>
    </row>
    <row r="3055" spans="1:17" ht="15.75" hidden="1" thickBot="1">
      <c r="A3055" s="390" t="str">
        <f t="shared" ref="A3055:B3055" si="9200">A3052</f>
        <v>PCL</v>
      </c>
      <c r="B3055" s="391" t="str">
        <f t="shared" si="9200"/>
        <v>particle</v>
      </c>
      <c r="C3055" s="391">
        <f t="shared" ref="C3055" si="9201">C3054</f>
        <v>6</v>
      </c>
      <c r="D3055" s="391" t="str">
        <f t="shared" ref="D3055:E3055" si="9202">D3052</f>
        <v>1-10</v>
      </c>
      <c r="E3055" s="391">
        <f t="shared" si="9202"/>
        <v>10</v>
      </c>
      <c r="F3055" s="385" t="s">
        <v>1097</v>
      </c>
      <c r="G3055" s="422" t="str">
        <f>CONCATENATE("DE: ",A3055," ",B3055," ",D3055," mm (emission to ",F3055,")")</f>
        <v>DE: PCL particle 1-10 mm (emission to marine water)</v>
      </c>
      <c r="H3055" s="467">
        <v>0</v>
      </c>
      <c r="I3055" s="388" t="s">
        <v>1153</v>
      </c>
      <c r="J3055" s="634">
        <v>0.22800000000000001</v>
      </c>
      <c r="K3055" s="389">
        <v>439.96</v>
      </c>
      <c r="L3055" s="536"/>
      <c r="M3055" s="509">
        <f t="shared" si="9073"/>
        <v>2.841167378852623</v>
      </c>
      <c r="N3055" s="645">
        <f t="shared" si="9096"/>
        <v>2.841167378852623</v>
      </c>
      <c r="O3055" s="625"/>
      <c r="P3055" s="628">
        <f t="shared" si="9121"/>
        <v>2.841167378852623</v>
      </c>
      <c r="Q3055" s="628">
        <f t="shared" si="9048"/>
        <v>2.841167378852623</v>
      </c>
    </row>
    <row r="3056" spans="1:17" ht="15.75" hidden="1" thickBot="1">
      <c r="A3056" s="390" t="str">
        <f t="shared" ref="A3056:B3056" si="9203">A3053</f>
        <v>PCL</v>
      </c>
      <c r="B3056" s="391" t="str">
        <f t="shared" si="9203"/>
        <v>particle</v>
      </c>
      <c r="C3056" s="391">
        <f t="shared" ref="C3056" si="9204">C3055</f>
        <v>6</v>
      </c>
      <c r="D3056" s="391" t="str">
        <f t="shared" ref="D3056:E3056" si="9205">D3053</f>
        <v>1-10</v>
      </c>
      <c r="E3056" s="391">
        <f t="shared" si="9205"/>
        <v>10</v>
      </c>
      <c r="F3056" s="391" t="str">
        <f t="shared" ref="F3056:G3056" si="9206">F3055</f>
        <v>marine water</v>
      </c>
      <c r="G3056" s="401" t="str">
        <f t="shared" si="9206"/>
        <v>DE: PCL particle 1-10 mm (emission to marine water)</v>
      </c>
      <c r="H3056" s="465">
        <v>0</v>
      </c>
      <c r="I3056" s="394" t="s">
        <v>1097</v>
      </c>
      <c r="J3056" s="635"/>
      <c r="K3056" s="389">
        <v>439.96</v>
      </c>
      <c r="L3056" s="536"/>
      <c r="M3056" s="509">
        <f t="shared" si="9073"/>
        <v>2.841167378852623</v>
      </c>
      <c r="N3056" s="646"/>
      <c r="O3056" s="626"/>
      <c r="P3056" s="629"/>
      <c r="Q3056" s="629"/>
    </row>
    <row r="3057" spans="1:17" ht="15.75" hidden="1" thickBot="1">
      <c r="A3057" s="390" t="str">
        <f t="shared" ref="A3057:B3057" si="9207">A3054</f>
        <v>PCL</v>
      </c>
      <c r="B3057" s="391" t="str">
        <f t="shared" si="9207"/>
        <v>particle</v>
      </c>
      <c r="C3057" s="391">
        <f t="shared" ref="C3057" si="9208">C3056</f>
        <v>6</v>
      </c>
      <c r="D3057" s="391" t="str">
        <f t="shared" ref="D3057:E3057" si="9209">D3054</f>
        <v>1-10</v>
      </c>
      <c r="E3057" s="391">
        <f t="shared" si="9209"/>
        <v>10</v>
      </c>
      <c r="F3057" s="391" t="str">
        <f t="shared" ref="F3057:G3057" si="9210">F3056</f>
        <v>marine water</v>
      </c>
      <c r="G3057" s="401" t="str">
        <f t="shared" si="9210"/>
        <v>DE: PCL particle 1-10 mm (emission to marine water)</v>
      </c>
      <c r="H3057" s="465">
        <v>0</v>
      </c>
      <c r="I3057" s="394" t="s">
        <v>1162</v>
      </c>
      <c r="J3057" s="635"/>
      <c r="K3057" s="389">
        <v>439.96</v>
      </c>
      <c r="L3057" s="536"/>
      <c r="M3057" s="509">
        <f t="shared" si="9073"/>
        <v>2.841167378852623</v>
      </c>
      <c r="N3057" s="646"/>
      <c r="O3057" s="626"/>
      <c r="P3057" s="629"/>
      <c r="Q3057" s="629"/>
    </row>
    <row r="3058" spans="1:17" ht="15.75" hidden="1" thickBot="1">
      <c r="A3058" s="390" t="str">
        <f t="shared" ref="A3058:B3058" si="9211">A3055</f>
        <v>PCL</v>
      </c>
      <c r="B3058" s="391" t="str">
        <f t="shared" si="9211"/>
        <v>particle</v>
      </c>
      <c r="C3058" s="391">
        <f t="shared" ref="C3058" si="9212">C3057</f>
        <v>6</v>
      </c>
      <c r="D3058" s="391" t="str">
        <f t="shared" ref="D3058:E3058" si="9213">D3055</f>
        <v>1-10</v>
      </c>
      <c r="E3058" s="391">
        <f t="shared" si="9213"/>
        <v>10</v>
      </c>
      <c r="F3058" s="391" t="str">
        <f t="shared" ref="F3058:G3058" si="9214">F3057</f>
        <v>marine water</v>
      </c>
      <c r="G3058" s="401" t="str">
        <f t="shared" si="9214"/>
        <v>DE: PCL particle 1-10 mm (emission to marine water)</v>
      </c>
      <c r="H3058" s="465">
        <v>1</v>
      </c>
      <c r="I3058" s="394" t="s">
        <v>1163</v>
      </c>
      <c r="J3058" s="635"/>
      <c r="K3058" s="389">
        <v>439.96</v>
      </c>
      <c r="L3058" s="536"/>
      <c r="M3058" s="509">
        <f t="shared" si="9073"/>
        <v>2.841167378852623</v>
      </c>
      <c r="N3058" s="646"/>
      <c r="O3058" s="626"/>
      <c r="P3058" s="629"/>
      <c r="Q3058" s="629"/>
    </row>
    <row r="3059" spans="1:17" ht="15.75" hidden="1" thickBot="1">
      <c r="A3059" s="390" t="str">
        <f t="shared" ref="A3059:B3059" si="9215">A3056</f>
        <v>PCL</v>
      </c>
      <c r="B3059" s="391" t="str">
        <f t="shared" si="9215"/>
        <v>particle</v>
      </c>
      <c r="C3059" s="391">
        <f t="shared" ref="C3059" si="9216">C3058</f>
        <v>6</v>
      </c>
      <c r="D3059" s="391" t="str">
        <f t="shared" ref="D3059:E3059" si="9217">D3056</f>
        <v>1-10</v>
      </c>
      <c r="E3059" s="391">
        <f t="shared" si="9217"/>
        <v>10</v>
      </c>
      <c r="F3059" s="391" t="str">
        <f t="shared" ref="F3059:G3059" si="9218">F3058</f>
        <v>marine water</v>
      </c>
      <c r="G3059" s="401" t="str">
        <f t="shared" si="9218"/>
        <v>DE: PCL particle 1-10 mm (emission to marine water)</v>
      </c>
      <c r="H3059" s="465">
        <v>0</v>
      </c>
      <c r="I3059" s="397" t="s">
        <v>1034</v>
      </c>
      <c r="J3059" s="654"/>
      <c r="K3059" s="398" t="s">
        <v>596</v>
      </c>
      <c r="L3059" s="538"/>
      <c r="M3059" s="509">
        <f t="shared" si="9073"/>
        <v>0</v>
      </c>
      <c r="N3059" s="647"/>
      <c r="O3059" s="627"/>
      <c r="P3059" s="629"/>
      <c r="Q3059" s="629"/>
    </row>
    <row r="3060" spans="1:17" ht="15.75" hidden="1" thickBot="1">
      <c r="A3060" s="390" t="str">
        <f t="shared" ref="A3060:B3060" si="9219">A3057</f>
        <v>PCL</v>
      </c>
      <c r="B3060" s="391" t="str">
        <f t="shared" si="9219"/>
        <v>particle</v>
      </c>
      <c r="C3060" s="391">
        <f t="shared" ref="C3060" si="9220">C3059</f>
        <v>6</v>
      </c>
      <c r="D3060" s="391" t="str">
        <f t="shared" ref="D3060:E3060" si="9221">D3057</f>
        <v>1-10</v>
      </c>
      <c r="E3060" s="391">
        <f t="shared" si="9221"/>
        <v>10</v>
      </c>
      <c r="F3060" s="400" t="s">
        <v>1057</v>
      </c>
      <c r="G3060" s="422" t="str">
        <f>CONCATENATE("DE: ",A3060," ",B3060," ",D3060," mm (emission to ",F3060,")")</f>
        <v>DE: PCL particle 1-10 mm (emission to air)</v>
      </c>
      <c r="H3060" s="467">
        <v>0.94799999999999995</v>
      </c>
      <c r="I3060" s="388" t="s">
        <v>1153</v>
      </c>
      <c r="J3060" s="634">
        <v>0.22800000000000001</v>
      </c>
      <c r="K3060" s="389">
        <v>439.96</v>
      </c>
      <c r="L3060" s="536"/>
      <c r="M3060" s="509">
        <f t="shared" si="9073"/>
        <v>2.841167378852623</v>
      </c>
      <c r="N3060" s="645">
        <f t="shared" si="9096"/>
        <v>2.841167378852623</v>
      </c>
      <c r="O3060" s="625"/>
      <c r="P3060" s="628">
        <f t="shared" si="9121"/>
        <v>2.841167378852623</v>
      </c>
      <c r="Q3060" s="628">
        <f t="shared" si="9048"/>
        <v>2.841167378852623</v>
      </c>
    </row>
    <row r="3061" spans="1:17" ht="15.75" hidden="1" thickBot="1">
      <c r="A3061" s="390" t="str">
        <f t="shared" ref="A3061:B3061" si="9222">A3058</f>
        <v>PCL</v>
      </c>
      <c r="B3061" s="391" t="str">
        <f t="shared" si="9222"/>
        <v>particle</v>
      </c>
      <c r="C3061" s="391">
        <f t="shared" ref="C3061" si="9223">C3060</f>
        <v>6</v>
      </c>
      <c r="D3061" s="391" t="str">
        <f t="shared" ref="D3061:E3061" si="9224">D3058</f>
        <v>1-10</v>
      </c>
      <c r="E3061" s="391">
        <f t="shared" si="9224"/>
        <v>10</v>
      </c>
      <c r="F3061" s="391" t="str">
        <f t="shared" ref="F3061:G3061" si="9225">F3060</f>
        <v>air</v>
      </c>
      <c r="G3061" s="401" t="str">
        <f t="shared" si="9225"/>
        <v>DE: PCL particle 1-10 mm (emission to air)</v>
      </c>
      <c r="H3061" s="465">
        <v>0</v>
      </c>
      <c r="I3061" s="394" t="s">
        <v>1097</v>
      </c>
      <c r="J3061" s="635"/>
      <c r="K3061" s="389">
        <v>439.96</v>
      </c>
      <c r="L3061" s="536"/>
      <c r="M3061" s="509">
        <f t="shared" si="9073"/>
        <v>2.841167378852623</v>
      </c>
      <c r="N3061" s="646"/>
      <c r="O3061" s="626"/>
      <c r="P3061" s="629"/>
      <c r="Q3061" s="629"/>
    </row>
    <row r="3062" spans="1:17" ht="15.75" hidden="1" thickBot="1">
      <c r="A3062" s="390" t="str">
        <f t="shared" ref="A3062:B3062" si="9226">A3059</f>
        <v>PCL</v>
      </c>
      <c r="B3062" s="391" t="str">
        <f t="shared" si="9226"/>
        <v>particle</v>
      </c>
      <c r="C3062" s="391">
        <f t="shared" ref="C3062" si="9227">C3061</f>
        <v>6</v>
      </c>
      <c r="D3062" s="391" t="str">
        <f t="shared" ref="D3062:E3062" si="9228">D3059</f>
        <v>1-10</v>
      </c>
      <c r="E3062" s="391">
        <f t="shared" si="9228"/>
        <v>10</v>
      </c>
      <c r="F3062" s="391" t="str">
        <f t="shared" ref="F3062:G3062" si="9229">F3061</f>
        <v>air</v>
      </c>
      <c r="G3062" s="401" t="str">
        <f t="shared" si="9229"/>
        <v>DE: PCL particle 1-10 mm (emission to air)</v>
      </c>
      <c r="H3062" s="465">
        <v>4.7E-2</v>
      </c>
      <c r="I3062" s="394" t="s">
        <v>1162</v>
      </c>
      <c r="J3062" s="635"/>
      <c r="K3062" s="389">
        <v>439.96</v>
      </c>
      <c r="L3062" s="536"/>
      <c r="M3062" s="509">
        <f t="shared" si="9073"/>
        <v>2.841167378852623</v>
      </c>
      <c r="N3062" s="646"/>
      <c r="O3062" s="626"/>
      <c r="P3062" s="629"/>
      <c r="Q3062" s="629"/>
    </row>
    <row r="3063" spans="1:17" ht="15.75" hidden="1" thickBot="1">
      <c r="A3063" s="390" t="str">
        <f t="shared" ref="A3063:B3063" si="9230">A3060</f>
        <v>PCL</v>
      </c>
      <c r="B3063" s="391" t="str">
        <f t="shared" si="9230"/>
        <v>particle</v>
      </c>
      <c r="C3063" s="391">
        <f t="shared" ref="C3063" si="9231">C3062</f>
        <v>6</v>
      </c>
      <c r="D3063" s="391" t="str">
        <f t="shared" ref="D3063:E3063" si="9232">D3060</f>
        <v>1-10</v>
      </c>
      <c r="E3063" s="391">
        <f t="shared" si="9232"/>
        <v>10</v>
      </c>
      <c r="F3063" s="391" t="str">
        <f t="shared" ref="F3063:G3063" si="9233">F3062</f>
        <v>air</v>
      </c>
      <c r="G3063" s="401" t="str">
        <f t="shared" si="9233"/>
        <v>DE: PCL particle 1-10 mm (emission to air)</v>
      </c>
      <c r="H3063" s="465">
        <v>5.0000000000000001E-3</v>
      </c>
      <c r="I3063" s="394" t="s">
        <v>1163</v>
      </c>
      <c r="J3063" s="635"/>
      <c r="K3063" s="389">
        <v>439.96</v>
      </c>
      <c r="L3063" s="536"/>
      <c r="M3063" s="509">
        <f t="shared" si="9073"/>
        <v>2.841167378852623</v>
      </c>
      <c r="N3063" s="646"/>
      <c r="O3063" s="626"/>
      <c r="P3063" s="629"/>
      <c r="Q3063" s="629"/>
    </row>
    <row r="3064" spans="1:17" ht="15.75" hidden="1" thickBot="1">
      <c r="A3064" s="452" t="str">
        <f t="shared" ref="A3064:B3064" si="9234">A3059</f>
        <v>PCL</v>
      </c>
      <c r="B3064" s="453" t="str">
        <f t="shared" si="9234"/>
        <v>particle</v>
      </c>
      <c r="C3064" s="453">
        <f t="shared" ref="C3064" si="9235">C3063</f>
        <v>6</v>
      </c>
      <c r="D3064" s="453" t="str">
        <f t="shared" ref="D3064:E3064" si="9236">D3059</f>
        <v>1-10</v>
      </c>
      <c r="E3064" s="453">
        <f t="shared" si="9236"/>
        <v>10</v>
      </c>
      <c r="F3064" s="453" t="str">
        <f t="shared" ref="F3064:G3064" si="9237">F3063</f>
        <v>air</v>
      </c>
      <c r="G3064" s="454" t="str">
        <f t="shared" si="9237"/>
        <v>DE: PCL particle 1-10 mm (emission to air)</v>
      </c>
      <c r="H3064" s="473">
        <v>0</v>
      </c>
      <c r="I3064" s="456" t="s">
        <v>1034</v>
      </c>
      <c r="J3064" s="636"/>
      <c r="K3064" s="457" t="s">
        <v>596</v>
      </c>
      <c r="L3064" s="543"/>
      <c r="M3064" s="509">
        <f t="shared" si="9073"/>
        <v>0</v>
      </c>
      <c r="N3064" s="647"/>
      <c r="O3064" s="627"/>
      <c r="P3064" s="629"/>
      <c r="Q3064" s="629"/>
    </row>
    <row r="3065" spans="1:17" ht="16.5" hidden="1" thickTop="1" thickBot="1">
      <c r="A3065" s="442" t="s">
        <v>177</v>
      </c>
      <c r="B3065" s="443" t="s">
        <v>996</v>
      </c>
      <c r="C3065" s="444">
        <f>IF(OR(B3065="Folie", B3065="Strips", B3065="Film",B3065="Flakes",B3065="Coupon"), 2,IF(OR(B3065="Fibers",B3065="Pellets"),4,IF(OR(B3065="Particles",B3065="Shreds",B3065="Powder",B3065="Fragments",B3065="Granules"),6,"")))</f>
        <v>2</v>
      </c>
      <c r="D3065" s="444" t="s">
        <v>1018</v>
      </c>
      <c r="E3065" s="445">
        <v>0.1</v>
      </c>
      <c r="F3065" s="446" t="s">
        <v>1019</v>
      </c>
      <c r="G3065" s="447" t="str">
        <f>CONCATENATE("DE: ",A3065," ",B3065," ",D3065," mm (emission to ",F3065,")")</f>
        <v>DE: PBAT film 0,01-0,1 mm (emission to soil)</v>
      </c>
      <c r="H3065" s="464">
        <v>0.97</v>
      </c>
      <c r="I3065" s="448" t="s">
        <v>1019</v>
      </c>
      <c r="J3065" s="632">
        <v>0.22800000000000001</v>
      </c>
      <c r="K3065" s="449">
        <v>8.48</v>
      </c>
      <c r="L3065" s="541"/>
      <c r="M3065" s="509">
        <f t="shared" si="9073"/>
        <v>5.8962264150943398</v>
      </c>
      <c r="N3065" s="645">
        <f t="shared" si="9096"/>
        <v>5.8962264150943398</v>
      </c>
      <c r="O3065" s="625"/>
      <c r="P3065" s="628">
        <f t="shared" si="9121"/>
        <v>5.8962264150943398</v>
      </c>
      <c r="Q3065" s="628">
        <f t="shared" si="9048"/>
        <v>5.8962264150943398</v>
      </c>
    </row>
    <row r="3066" spans="1:17" ht="15.75" hidden="1" thickBot="1">
      <c r="A3066" s="390" t="str">
        <f>A3065</f>
        <v>PBAT</v>
      </c>
      <c r="B3066" s="391" t="str">
        <f>B3065</f>
        <v>film</v>
      </c>
      <c r="C3066" s="391">
        <f t="shared" ref="C3066:G3066" si="9238">C3065</f>
        <v>2</v>
      </c>
      <c r="D3066" s="391" t="str">
        <f t="shared" si="9238"/>
        <v>0,01-0,1</v>
      </c>
      <c r="E3066" s="391">
        <f t="shared" si="9238"/>
        <v>0.1</v>
      </c>
      <c r="F3066" s="391" t="str">
        <f t="shared" si="9238"/>
        <v>soil</v>
      </c>
      <c r="G3066" s="392" t="str">
        <f t="shared" si="9238"/>
        <v>DE: PBAT film 0,01-0,1 mm (emission to soil)</v>
      </c>
      <c r="H3066" s="465">
        <v>0</v>
      </c>
      <c r="I3066" s="394" t="s">
        <v>1174</v>
      </c>
      <c r="J3066" s="632"/>
      <c r="K3066" s="395">
        <v>11.86</v>
      </c>
      <c r="L3066" s="537"/>
      <c r="M3066" s="509">
        <f t="shared" si="9073"/>
        <v>4.2158516020236085</v>
      </c>
      <c r="N3066" s="646"/>
      <c r="O3066" s="626"/>
      <c r="P3066" s="629"/>
      <c r="Q3066" s="629"/>
    </row>
    <row r="3067" spans="1:17" ht="15.75" hidden="1" thickBot="1">
      <c r="A3067" s="390" t="str">
        <f t="shared" ref="A3067:G3067" si="9239">A3066</f>
        <v>PBAT</v>
      </c>
      <c r="B3067" s="391" t="str">
        <f t="shared" si="9239"/>
        <v>film</v>
      </c>
      <c r="C3067" s="391">
        <f t="shared" si="9239"/>
        <v>2</v>
      </c>
      <c r="D3067" s="391" t="str">
        <f t="shared" si="9239"/>
        <v>0,01-0,1</v>
      </c>
      <c r="E3067" s="391">
        <f t="shared" si="9239"/>
        <v>0.1</v>
      </c>
      <c r="F3067" s="391" t="str">
        <f t="shared" si="9239"/>
        <v>soil</v>
      </c>
      <c r="G3067" s="392" t="str">
        <f t="shared" si="9239"/>
        <v>DE: PBAT film 0,01-0,1 mm (emission to soil)</v>
      </c>
      <c r="H3067" s="465">
        <v>2.7E-2</v>
      </c>
      <c r="I3067" s="394" t="s">
        <v>1162</v>
      </c>
      <c r="J3067" s="632"/>
      <c r="K3067" s="395">
        <v>8.48</v>
      </c>
      <c r="L3067" s="537"/>
      <c r="M3067" s="509">
        <f t="shared" si="9073"/>
        <v>5.8962264150943398</v>
      </c>
      <c r="N3067" s="646"/>
      <c r="O3067" s="626"/>
      <c r="P3067" s="629"/>
      <c r="Q3067" s="629"/>
    </row>
    <row r="3068" spans="1:17" ht="15.75" hidden="1" thickBot="1">
      <c r="A3068" s="390" t="str">
        <f t="shared" ref="A3068:G3068" si="9240">A3067</f>
        <v>PBAT</v>
      </c>
      <c r="B3068" s="391" t="str">
        <f t="shared" si="9240"/>
        <v>film</v>
      </c>
      <c r="C3068" s="391">
        <f t="shared" si="9240"/>
        <v>2</v>
      </c>
      <c r="D3068" s="391" t="str">
        <f t="shared" si="9240"/>
        <v>0,01-0,1</v>
      </c>
      <c r="E3068" s="391">
        <f t="shared" si="9240"/>
        <v>0.1</v>
      </c>
      <c r="F3068" s="391" t="str">
        <f t="shared" si="9240"/>
        <v>soil</v>
      </c>
      <c r="G3068" s="392" t="str">
        <f t="shared" si="9240"/>
        <v>DE: PBAT film 0,01-0,1 mm (emission to soil)</v>
      </c>
      <c r="H3068" s="465">
        <v>3.0000000000000001E-3</v>
      </c>
      <c r="I3068" s="394" t="s">
        <v>1163</v>
      </c>
      <c r="J3068" s="632"/>
      <c r="K3068" s="395">
        <v>8.48</v>
      </c>
      <c r="L3068" s="537"/>
      <c r="M3068" s="509">
        <f t="shared" si="9073"/>
        <v>5.8962264150943398</v>
      </c>
      <c r="N3068" s="646"/>
      <c r="O3068" s="626"/>
      <c r="P3068" s="629"/>
      <c r="Q3068" s="629"/>
    </row>
    <row r="3069" spans="1:17" ht="15.75" hidden="1" thickBot="1">
      <c r="A3069" s="390" t="str">
        <f>A3066</f>
        <v>PBAT</v>
      </c>
      <c r="B3069" s="391" t="str">
        <f>B3066</f>
        <v>film</v>
      </c>
      <c r="C3069" s="391">
        <f t="shared" ref="C3069" si="9241">C3068</f>
        <v>2</v>
      </c>
      <c r="D3069" s="391" t="str">
        <f>D3066</f>
        <v>0,01-0,1</v>
      </c>
      <c r="E3069" s="391">
        <f>E3066</f>
        <v>0.1</v>
      </c>
      <c r="F3069" s="391" t="str">
        <f>F3066</f>
        <v>soil</v>
      </c>
      <c r="G3069" s="396" t="str">
        <f t="shared" ref="G3069" si="9242">G3068</f>
        <v>DE: PBAT film 0,01-0,1 mm (emission to soil)</v>
      </c>
      <c r="H3069" s="465">
        <v>0</v>
      </c>
      <c r="I3069" s="397" t="s">
        <v>1034</v>
      </c>
      <c r="J3069" s="633"/>
      <c r="K3069" s="398" t="s">
        <v>596</v>
      </c>
      <c r="L3069" s="538"/>
      <c r="M3069" s="509">
        <f t="shared" si="9073"/>
        <v>0</v>
      </c>
      <c r="N3069" s="647"/>
      <c r="O3069" s="627"/>
      <c r="P3069" s="629"/>
      <c r="Q3069" s="629"/>
    </row>
    <row r="3070" spans="1:17" ht="15.75" hidden="1" thickBot="1">
      <c r="A3070" s="390" t="str">
        <f t="shared" ref="A3070:B3070" si="9243">A3067</f>
        <v>PBAT</v>
      </c>
      <c r="B3070" s="391" t="str">
        <f t="shared" si="9243"/>
        <v>film</v>
      </c>
      <c r="C3070" s="391">
        <f t="shared" ref="C3070" si="9244">C3069</f>
        <v>2</v>
      </c>
      <c r="D3070" s="399" t="str">
        <f t="shared" ref="D3070:E3070" si="9245">D3067</f>
        <v>0,01-0,1</v>
      </c>
      <c r="E3070" s="391">
        <f t="shared" si="9245"/>
        <v>0.1</v>
      </c>
      <c r="F3070" s="400" t="s">
        <v>1147</v>
      </c>
      <c r="G3070" s="386" t="str">
        <f>CONCATENATE("DE: ",A3070," ",B3070," ",D3070," mm (emission to ",F3070,")")</f>
        <v>DE: PBAT film 0,01-0,1 mm (emission to fresh water)</v>
      </c>
      <c r="H3070" s="466">
        <v>0</v>
      </c>
      <c r="I3070" s="388" t="s">
        <v>1019</v>
      </c>
      <c r="J3070" s="634">
        <v>0.22800000000000001</v>
      </c>
      <c r="K3070" s="389">
        <v>8.48</v>
      </c>
      <c r="L3070" s="536"/>
      <c r="M3070" s="509">
        <f t="shared" si="9073"/>
        <v>5.8962264150943398</v>
      </c>
      <c r="N3070" s="645">
        <f t="shared" si="9096"/>
        <v>5.8962264150943398</v>
      </c>
      <c r="O3070" s="625"/>
      <c r="P3070" s="628">
        <f t="shared" si="9121"/>
        <v>5.8962264150943398</v>
      </c>
      <c r="Q3070" s="628">
        <f t="shared" ref="Q3070:Q3130" si="9246">IFERROR(IF(H3070*M3070+H3071*M3071+H3072*M3072+H3073*M3073+H3074*M3074&gt;500,500,H3070*M3070+H3071*M3071+H3072*M3072+H3073*M3073+H3074*M3074),"N.A.")</f>
        <v>5.8962264150943398</v>
      </c>
    </row>
    <row r="3071" spans="1:17" ht="15.75" hidden="1" thickBot="1">
      <c r="A3071" s="390" t="str">
        <f t="shared" ref="A3071:B3071" si="9247">A3068</f>
        <v>PBAT</v>
      </c>
      <c r="B3071" s="391" t="str">
        <f t="shared" si="9247"/>
        <v>film</v>
      </c>
      <c r="C3071" s="391">
        <f t="shared" ref="C3071" si="9248">C3070</f>
        <v>2</v>
      </c>
      <c r="D3071" s="391" t="str">
        <f t="shared" ref="D3071:E3071" si="9249">D3068</f>
        <v>0,01-0,1</v>
      </c>
      <c r="E3071" s="391">
        <f t="shared" si="9249"/>
        <v>0.1</v>
      </c>
      <c r="F3071" s="391" t="str">
        <f t="shared" ref="F3071:G3071" si="9250">F3070</f>
        <v>fresh water</v>
      </c>
      <c r="G3071" s="401" t="str">
        <f t="shared" si="9250"/>
        <v>DE: PBAT film 0,01-0,1 mm (emission to fresh water)</v>
      </c>
      <c r="H3071" s="465">
        <v>0</v>
      </c>
      <c r="I3071" s="394" t="s">
        <v>1174</v>
      </c>
      <c r="J3071" s="635"/>
      <c r="K3071" s="389">
        <v>11.86</v>
      </c>
      <c r="L3071" s="536"/>
      <c r="M3071" s="509">
        <f t="shared" si="9073"/>
        <v>4.2158516020236085</v>
      </c>
      <c r="N3071" s="646"/>
      <c r="O3071" s="626"/>
      <c r="P3071" s="629"/>
      <c r="Q3071" s="629"/>
    </row>
    <row r="3072" spans="1:17" ht="15.75" hidden="1" thickBot="1">
      <c r="A3072" s="390" t="str">
        <f t="shared" ref="A3072:B3072" si="9251">A3069</f>
        <v>PBAT</v>
      </c>
      <c r="B3072" s="391" t="str">
        <f t="shared" si="9251"/>
        <v>film</v>
      </c>
      <c r="C3072" s="391">
        <f t="shared" ref="C3072" si="9252">C3071</f>
        <v>2</v>
      </c>
      <c r="D3072" s="391" t="str">
        <f t="shared" ref="D3072:E3072" si="9253">D3069</f>
        <v>0,01-0,1</v>
      </c>
      <c r="E3072" s="391">
        <f t="shared" si="9253"/>
        <v>0.1</v>
      </c>
      <c r="F3072" s="391" t="str">
        <f t="shared" ref="F3072:G3072" si="9254">F3071</f>
        <v>fresh water</v>
      </c>
      <c r="G3072" s="401" t="str">
        <f t="shared" si="9254"/>
        <v>DE: PBAT film 0,01-0,1 mm (emission to fresh water)</v>
      </c>
      <c r="H3072" s="465">
        <v>0.89</v>
      </c>
      <c r="I3072" s="394" t="s">
        <v>1162</v>
      </c>
      <c r="J3072" s="635"/>
      <c r="K3072" s="389">
        <v>8.48</v>
      </c>
      <c r="L3072" s="536"/>
      <c r="M3072" s="509">
        <f t="shared" si="9073"/>
        <v>5.8962264150943398</v>
      </c>
      <c r="N3072" s="646"/>
      <c r="O3072" s="626"/>
      <c r="P3072" s="629"/>
      <c r="Q3072" s="629"/>
    </row>
    <row r="3073" spans="1:17" ht="15.75" hidden="1" thickBot="1">
      <c r="A3073" s="390" t="str">
        <f t="shared" ref="A3073:B3073" si="9255">A3070</f>
        <v>PBAT</v>
      </c>
      <c r="B3073" s="391" t="str">
        <f t="shared" si="9255"/>
        <v>film</v>
      </c>
      <c r="C3073" s="391">
        <f t="shared" ref="C3073" si="9256">C3072</f>
        <v>2</v>
      </c>
      <c r="D3073" s="391" t="str">
        <f t="shared" ref="D3073:E3073" si="9257">D3070</f>
        <v>0,01-0,1</v>
      </c>
      <c r="E3073" s="391">
        <f t="shared" si="9257"/>
        <v>0.1</v>
      </c>
      <c r="F3073" s="391" t="str">
        <f t="shared" ref="F3073:G3073" si="9258">F3072</f>
        <v>fresh water</v>
      </c>
      <c r="G3073" s="401" t="str">
        <f t="shared" si="9258"/>
        <v>DE: PBAT film 0,01-0,1 mm (emission to fresh water)</v>
      </c>
      <c r="H3073" s="465">
        <v>0.11</v>
      </c>
      <c r="I3073" s="394" t="s">
        <v>1163</v>
      </c>
      <c r="J3073" s="635"/>
      <c r="K3073" s="389">
        <v>8.48</v>
      </c>
      <c r="L3073" s="536"/>
      <c r="M3073" s="509">
        <f t="shared" si="9073"/>
        <v>5.8962264150943398</v>
      </c>
      <c r="N3073" s="646"/>
      <c r="O3073" s="626"/>
      <c r="P3073" s="629"/>
      <c r="Q3073" s="629"/>
    </row>
    <row r="3074" spans="1:17" ht="15.75" hidden="1" thickBot="1">
      <c r="A3074" s="390" t="str">
        <f t="shared" ref="A3074:B3074" si="9259">A3071</f>
        <v>PBAT</v>
      </c>
      <c r="B3074" s="391" t="str">
        <f t="shared" si="9259"/>
        <v>film</v>
      </c>
      <c r="C3074" s="391">
        <f t="shared" ref="C3074" si="9260">C3073</f>
        <v>2</v>
      </c>
      <c r="D3074" s="391" t="str">
        <f t="shared" ref="D3074:E3074" si="9261">D3071</f>
        <v>0,01-0,1</v>
      </c>
      <c r="E3074" s="391">
        <f t="shared" si="9261"/>
        <v>0.1</v>
      </c>
      <c r="F3074" s="402" t="str">
        <f>F3071</f>
        <v>fresh water</v>
      </c>
      <c r="G3074" s="401" t="str">
        <f t="shared" ref="G3074" si="9262">G3073</f>
        <v>DE: PBAT film 0,01-0,1 mm (emission to fresh water)</v>
      </c>
      <c r="H3074" s="465">
        <v>0</v>
      </c>
      <c r="I3074" s="397" t="s">
        <v>1034</v>
      </c>
      <c r="J3074" s="654"/>
      <c r="K3074" s="398" t="s">
        <v>596</v>
      </c>
      <c r="L3074" s="538"/>
      <c r="M3074" s="509">
        <f t="shared" si="9073"/>
        <v>0</v>
      </c>
      <c r="N3074" s="647"/>
      <c r="O3074" s="627"/>
      <c r="P3074" s="629"/>
      <c r="Q3074" s="629"/>
    </row>
    <row r="3075" spans="1:17" ht="15.75" hidden="1" thickBot="1">
      <c r="A3075" s="390" t="str">
        <f t="shared" ref="A3075:B3075" si="9263">A3072</f>
        <v>PBAT</v>
      </c>
      <c r="B3075" s="391" t="str">
        <f t="shared" si="9263"/>
        <v>film</v>
      </c>
      <c r="C3075" s="391">
        <f t="shared" ref="C3075" si="9264">C3074</f>
        <v>2</v>
      </c>
      <c r="D3075" s="391" t="str">
        <f t="shared" ref="D3075:E3075" si="9265">D3072</f>
        <v>0,01-0,1</v>
      </c>
      <c r="E3075" s="391">
        <f t="shared" si="9265"/>
        <v>0.1</v>
      </c>
      <c r="F3075" s="385" t="s">
        <v>1097</v>
      </c>
      <c r="G3075" s="422" t="str">
        <f>CONCATENATE("DE: ",A3075," ",B3075," ",D3075," mm (emission to ",F3075,")")</f>
        <v>DE: PBAT film 0,01-0,1 mm (emission to marine water)</v>
      </c>
      <c r="H3075" s="467">
        <v>0</v>
      </c>
      <c r="I3075" s="388" t="s">
        <v>1019</v>
      </c>
      <c r="J3075" s="634">
        <v>0.22800000000000001</v>
      </c>
      <c r="K3075" s="389">
        <v>8.48</v>
      </c>
      <c r="L3075" s="536"/>
      <c r="M3075" s="509">
        <f t="shared" si="9073"/>
        <v>5.8962264150943398</v>
      </c>
      <c r="N3075" s="645">
        <f t="shared" si="9096"/>
        <v>5.8962264150943398</v>
      </c>
      <c r="O3075" s="625"/>
      <c r="P3075" s="628">
        <f t="shared" si="9121"/>
        <v>5.8962264150943398</v>
      </c>
      <c r="Q3075" s="628">
        <f t="shared" si="9246"/>
        <v>5.8962264150943398</v>
      </c>
    </row>
    <row r="3076" spans="1:17" ht="15.75" hidden="1" thickBot="1">
      <c r="A3076" s="390" t="str">
        <f t="shared" ref="A3076:B3076" si="9266">A3073</f>
        <v>PBAT</v>
      </c>
      <c r="B3076" s="391" t="str">
        <f t="shared" si="9266"/>
        <v>film</v>
      </c>
      <c r="C3076" s="391">
        <f t="shared" ref="C3076" si="9267">C3075</f>
        <v>2</v>
      </c>
      <c r="D3076" s="391" t="str">
        <f t="shared" ref="D3076:E3076" si="9268">D3073</f>
        <v>0,01-0,1</v>
      </c>
      <c r="E3076" s="391">
        <f t="shared" si="9268"/>
        <v>0.1</v>
      </c>
      <c r="F3076" s="391" t="str">
        <f t="shared" ref="F3076:G3076" si="9269">F3075</f>
        <v>marine water</v>
      </c>
      <c r="G3076" s="401" t="str">
        <f t="shared" si="9269"/>
        <v>DE: PBAT film 0,01-0,1 mm (emission to marine water)</v>
      </c>
      <c r="H3076" s="465">
        <v>0</v>
      </c>
      <c r="I3076" s="394" t="s">
        <v>1174</v>
      </c>
      <c r="J3076" s="635"/>
      <c r="K3076" s="389">
        <v>11.86</v>
      </c>
      <c r="L3076" s="536"/>
      <c r="M3076" s="509">
        <f t="shared" si="9073"/>
        <v>4.2158516020236085</v>
      </c>
      <c r="N3076" s="646"/>
      <c r="O3076" s="626"/>
      <c r="P3076" s="629"/>
      <c r="Q3076" s="629"/>
    </row>
    <row r="3077" spans="1:17" ht="15.75" hidden="1" thickBot="1">
      <c r="A3077" s="390" t="str">
        <f t="shared" ref="A3077:B3077" si="9270">A3074</f>
        <v>PBAT</v>
      </c>
      <c r="B3077" s="391" t="str">
        <f t="shared" si="9270"/>
        <v>film</v>
      </c>
      <c r="C3077" s="391">
        <f t="shared" ref="C3077" si="9271">C3076</f>
        <v>2</v>
      </c>
      <c r="D3077" s="391" t="str">
        <f t="shared" ref="D3077:E3077" si="9272">D3074</f>
        <v>0,01-0,1</v>
      </c>
      <c r="E3077" s="391">
        <f t="shared" si="9272"/>
        <v>0.1</v>
      </c>
      <c r="F3077" s="391" t="str">
        <f t="shared" ref="F3077:G3077" si="9273">F3076</f>
        <v>marine water</v>
      </c>
      <c r="G3077" s="401" t="str">
        <f t="shared" si="9273"/>
        <v>DE: PBAT film 0,01-0,1 mm (emission to marine water)</v>
      </c>
      <c r="H3077" s="465">
        <v>0</v>
      </c>
      <c r="I3077" s="394" t="s">
        <v>1162</v>
      </c>
      <c r="J3077" s="635"/>
      <c r="K3077" s="389">
        <v>8.48</v>
      </c>
      <c r="L3077" s="536"/>
      <c r="M3077" s="509">
        <f t="shared" si="9073"/>
        <v>5.8962264150943398</v>
      </c>
      <c r="N3077" s="646"/>
      <c r="O3077" s="626"/>
      <c r="P3077" s="629"/>
      <c r="Q3077" s="629"/>
    </row>
    <row r="3078" spans="1:17" ht="15.75" hidden="1" thickBot="1">
      <c r="A3078" s="390" t="str">
        <f t="shared" ref="A3078:B3078" si="9274">A3075</f>
        <v>PBAT</v>
      </c>
      <c r="B3078" s="391" t="str">
        <f t="shared" si="9274"/>
        <v>film</v>
      </c>
      <c r="C3078" s="391">
        <f t="shared" ref="C3078" si="9275">C3077</f>
        <v>2</v>
      </c>
      <c r="D3078" s="391" t="str">
        <f t="shared" ref="D3078:E3078" si="9276">D3075</f>
        <v>0,01-0,1</v>
      </c>
      <c r="E3078" s="391">
        <f t="shared" si="9276"/>
        <v>0.1</v>
      </c>
      <c r="F3078" s="391" t="str">
        <f t="shared" ref="F3078:G3078" si="9277">F3077</f>
        <v>marine water</v>
      </c>
      <c r="G3078" s="401" t="str">
        <f t="shared" si="9277"/>
        <v>DE: PBAT film 0,01-0,1 mm (emission to marine water)</v>
      </c>
      <c r="H3078" s="465">
        <v>1</v>
      </c>
      <c r="I3078" s="394" t="s">
        <v>1163</v>
      </c>
      <c r="J3078" s="635"/>
      <c r="K3078" s="389">
        <v>8.48</v>
      </c>
      <c r="L3078" s="536"/>
      <c r="M3078" s="509">
        <f t="shared" ref="M3078:M3141" si="9278">IFERROR(IF(K3078="--",0,IF(E3078*1000/K3078*(1-0.5)^(C3078/2)&gt;1000,1000,E3078*1000/K3078*(1-0.5)^(C3078/2))),1000)</f>
        <v>5.8962264150943398</v>
      </c>
      <c r="N3078" s="646"/>
      <c r="O3078" s="626"/>
      <c r="P3078" s="629"/>
      <c r="Q3078" s="629"/>
    </row>
    <row r="3079" spans="1:17" ht="15.75" hidden="1" thickBot="1">
      <c r="A3079" s="390" t="str">
        <f t="shared" ref="A3079:B3079" si="9279">A3076</f>
        <v>PBAT</v>
      </c>
      <c r="B3079" s="391" t="str">
        <f t="shared" si="9279"/>
        <v>film</v>
      </c>
      <c r="C3079" s="391">
        <f t="shared" ref="C3079" si="9280">C3078</f>
        <v>2</v>
      </c>
      <c r="D3079" s="391" t="str">
        <f t="shared" ref="D3079:E3079" si="9281">D3076</f>
        <v>0,01-0,1</v>
      </c>
      <c r="E3079" s="391">
        <f t="shared" si="9281"/>
        <v>0.1</v>
      </c>
      <c r="F3079" s="391" t="str">
        <f t="shared" ref="F3079:G3079" si="9282">F3078</f>
        <v>marine water</v>
      </c>
      <c r="G3079" s="401" t="str">
        <f t="shared" si="9282"/>
        <v>DE: PBAT film 0,01-0,1 mm (emission to marine water)</v>
      </c>
      <c r="H3079" s="465">
        <v>0</v>
      </c>
      <c r="I3079" s="397" t="s">
        <v>1034</v>
      </c>
      <c r="J3079" s="654"/>
      <c r="K3079" s="398" t="s">
        <v>596</v>
      </c>
      <c r="L3079" s="538"/>
      <c r="M3079" s="509">
        <f t="shared" si="9278"/>
        <v>0</v>
      </c>
      <c r="N3079" s="647"/>
      <c r="O3079" s="627"/>
      <c r="P3079" s="629"/>
      <c r="Q3079" s="629"/>
    </row>
    <row r="3080" spans="1:17" ht="15.75" hidden="1" thickBot="1">
      <c r="A3080" s="390" t="str">
        <f t="shared" ref="A3080:B3080" si="9283">A3077</f>
        <v>PBAT</v>
      </c>
      <c r="B3080" s="391" t="str">
        <f t="shared" si="9283"/>
        <v>film</v>
      </c>
      <c r="C3080" s="391">
        <f t="shared" ref="C3080" si="9284">C3079</f>
        <v>2</v>
      </c>
      <c r="D3080" s="391" t="str">
        <f t="shared" ref="D3080:E3080" si="9285">D3077</f>
        <v>0,01-0,1</v>
      </c>
      <c r="E3080" s="391">
        <f t="shared" si="9285"/>
        <v>0.1</v>
      </c>
      <c r="F3080" s="400" t="s">
        <v>1057</v>
      </c>
      <c r="G3080" s="422" t="str">
        <f>CONCATENATE("DE: ",A3080," ",B3080," ",D3080," mm (emission to ",F3080,")")</f>
        <v>DE: PBAT film 0,01-0,1 mm (emission to air)</v>
      </c>
      <c r="H3080" s="467">
        <v>0.94799999999999995</v>
      </c>
      <c r="I3080" s="388" t="s">
        <v>1019</v>
      </c>
      <c r="J3080" s="634">
        <v>0.22800000000000001</v>
      </c>
      <c r="K3080" s="389">
        <v>8.48</v>
      </c>
      <c r="L3080" s="536"/>
      <c r="M3080" s="509">
        <f t="shared" si="9278"/>
        <v>5.8962264150943398</v>
      </c>
      <c r="N3080" s="645">
        <f t="shared" si="9096"/>
        <v>5.8962264150943398</v>
      </c>
      <c r="O3080" s="625"/>
      <c r="P3080" s="628">
        <f t="shared" si="9121"/>
        <v>5.8962264150943398</v>
      </c>
      <c r="Q3080" s="628">
        <f t="shared" si="9246"/>
        <v>5.8962264150943398</v>
      </c>
    </row>
    <row r="3081" spans="1:17" ht="15.75" hidden="1" thickBot="1">
      <c r="A3081" s="390" t="str">
        <f t="shared" ref="A3081:B3081" si="9286">A3078</f>
        <v>PBAT</v>
      </c>
      <c r="B3081" s="391" t="str">
        <f t="shared" si="9286"/>
        <v>film</v>
      </c>
      <c r="C3081" s="391">
        <f t="shared" ref="C3081" si="9287">C3080</f>
        <v>2</v>
      </c>
      <c r="D3081" s="391" t="str">
        <f t="shared" ref="D3081:E3081" si="9288">D3078</f>
        <v>0,01-0,1</v>
      </c>
      <c r="E3081" s="391">
        <f t="shared" si="9288"/>
        <v>0.1</v>
      </c>
      <c r="F3081" s="391" t="str">
        <f t="shared" ref="F3081:G3081" si="9289">F3080</f>
        <v>air</v>
      </c>
      <c r="G3081" s="401" t="str">
        <f t="shared" si="9289"/>
        <v>DE: PBAT film 0,01-0,1 mm (emission to air)</v>
      </c>
      <c r="H3081" s="465">
        <v>0</v>
      </c>
      <c r="I3081" s="394" t="s">
        <v>1174</v>
      </c>
      <c r="J3081" s="635"/>
      <c r="K3081" s="389">
        <v>11.86</v>
      </c>
      <c r="L3081" s="536"/>
      <c r="M3081" s="509">
        <f t="shared" si="9278"/>
        <v>4.2158516020236085</v>
      </c>
      <c r="N3081" s="646"/>
      <c r="O3081" s="626"/>
      <c r="P3081" s="629"/>
      <c r="Q3081" s="629"/>
    </row>
    <row r="3082" spans="1:17" ht="15.75" hidden="1" thickBot="1">
      <c r="A3082" s="390" t="str">
        <f t="shared" ref="A3082:B3082" si="9290">A3079</f>
        <v>PBAT</v>
      </c>
      <c r="B3082" s="391" t="str">
        <f t="shared" si="9290"/>
        <v>film</v>
      </c>
      <c r="C3082" s="391">
        <f t="shared" ref="C3082" si="9291">C3081</f>
        <v>2</v>
      </c>
      <c r="D3082" s="391" t="str">
        <f t="shared" ref="D3082:E3082" si="9292">D3079</f>
        <v>0,01-0,1</v>
      </c>
      <c r="E3082" s="391">
        <f t="shared" si="9292"/>
        <v>0.1</v>
      </c>
      <c r="F3082" s="391" t="str">
        <f t="shared" ref="F3082:G3082" si="9293">F3081</f>
        <v>air</v>
      </c>
      <c r="G3082" s="401" t="str">
        <f t="shared" si="9293"/>
        <v>DE: PBAT film 0,01-0,1 mm (emission to air)</v>
      </c>
      <c r="H3082" s="465">
        <v>4.7E-2</v>
      </c>
      <c r="I3082" s="394" t="s">
        <v>1162</v>
      </c>
      <c r="J3082" s="635"/>
      <c r="K3082" s="389">
        <v>8.48</v>
      </c>
      <c r="L3082" s="536"/>
      <c r="M3082" s="509">
        <f t="shared" si="9278"/>
        <v>5.8962264150943398</v>
      </c>
      <c r="N3082" s="646"/>
      <c r="O3082" s="626"/>
      <c r="P3082" s="629"/>
      <c r="Q3082" s="629"/>
    </row>
    <row r="3083" spans="1:17" ht="15.75" hidden="1" thickBot="1">
      <c r="A3083" s="390" t="str">
        <f t="shared" ref="A3083:B3083" si="9294">A3080</f>
        <v>PBAT</v>
      </c>
      <c r="B3083" s="391" t="str">
        <f t="shared" si="9294"/>
        <v>film</v>
      </c>
      <c r="C3083" s="391">
        <f t="shared" ref="C3083" si="9295">C3082</f>
        <v>2</v>
      </c>
      <c r="D3083" s="391" t="str">
        <f t="shared" ref="D3083:E3083" si="9296">D3080</f>
        <v>0,01-0,1</v>
      </c>
      <c r="E3083" s="391">
        <f t="shared" si="9296"/>
        <v>0.1</v>
      </c>
      <c r="F3083" s="391" t="str">
        <f t="shared" ref="F3083:G3083" si="9297">F3082</f>
        <v>air</v>
      </c>
      <c r="G3083" s="401" t="str">
        <f t="shared" si="9297"/>
        <v>DE: PBAT film 0,01-0,1 mm (emission to air)</v>
      </c>
      <c r="H3083" s="465">
        <v>5.0000000000000001E-3</v>
      </c>
      <c r="I3083" s="394" t="s">
        <v>1163</v>
      </c>
      <c r="J3083" s="635"/>
      <c r="K3083" s="389">
        <v>8.48</v>
      </c>
      <c r="L3083" s="536"/>
      <c r="M3083" s="509">
        <f t="shared" si="9278"/>
        <v>5.8962264150943398</v>
      </c>
      <c r="N3083" s="646"/>
      <c r="O3083" s="626"/>
      <c r="P3083" s="629"/>
      <c r="Q3083" s="629"/>
    </row>
    <row r="3084" spans="1:17" ht="15.75" hidden="1" thickBot="1">
      <c r="A3084" s="390" t="str">
        <f t="shared" ref="A3084:B3084" si="9298">A3079</f>
        <v>PBAT</v>
      </c>
      <c r="B3084" s="391" t="str">
        <f t="shared" si="9298"/>
        <v>film</v>
      </c>
      <c r="C3084" s="391">
        <f t="shared" ref="C3084" si="9299">C3083</f>
        <v>2</v>
      </c>
      <c r="D3084" s="391" t="str">
        <f t="shared" ref="D3084:E3084" si="9300">D3079</f>
        <v>0,01-0,1</v>
      </c>
      <c r="E3084" s="391">
        <f t="shared" si="9300"/>
        <v>0.1</v>
      </c>
      <c r="F3084" s="391" t="str">
        <f t="shared" ref="F3084:G3084" si="9301">F3083</f>
        <v>air</v>
      </c>
      <c r="G3084" s="401" t="str">
        <f t="shared" si="9301"/>
        <v>DE: PBAT film 0,01-0,1 mm (emission to air)</v>
      </c>
      <c r="H3084" s="471">
        <v>0</v>
      </c>
      <c r="I3084" s="422" t="s">
        <v>1034</v>
      </c>
      <c r="J3084" s="636"/>
      <c r="K3084" s="451" t="s">
        <v>596</v>
      </c>
      <c r="L3084" s="542"/>
      <c r="M3084" s="509">
        <f t="shared" si="9278"/>
        <v>0</v>
      </c>
      <c r="N3084" s="647"/>
      <c r="O3084" s="627"/>
      <c r="P3084" s="629"/>
      <c r="Q3084" s="629"/>
    </row>
    <row r="3085" spans="1:17" ht="15.75" hidden="1" thickBot="1">
      <c r="A3085" s="405" t="s">
        <v>177</v>
      </c>
      <c r="B3085" s="406" t="s">
        <v>996</v>
      </c>
      <c r="C3085" s="407">
        <f>IF(OR(B3085="Folie", B3085="Strips", B3085="Film",B3085="Flakes",B3085="Coupon"), 2,IF(OR(B3085="Fibers",B3085="Pellets"),4,IF(OR(B3085="Particles",B3085="Shreds",B3085="Powder",B3085="Fragments",B3085="Granules"),6,"")))</f>
        <v>2</v>
      </c>
      <c r="D3085" s="423" t="s">
        <v>1028</v>
      </c>
      <c r="E3085" s="408">
        <v>1</v>
      </c>
      <c r="F3085" s="424" t="s">
        <v>1019</v>
      </c>
      <c r="G3085" s="425" t="str">
        <f>CONCATENATE("DE: ",A3085," ",B3085," ",D3085," mm (emission to ",F3085,")")</f>
        <v>DE: PBAT film 0,1-1 mm (emission to soil)</v>
      </c>
      <c r="H3085" s="474">
        <v>0.97</v>
      </c>
      <c r="I3085" s="427" t="s">
        <v>1019</v>
      </c>
      <c r="J3085" s="632">
        <v>0.22800000000000001</v>
      </c>
      <c r="K3085" s="428">
        <v>8.48</v>
      </c>
      <c r="L3085" s="539"/>
      <c r="M3085" s="509">
        <f t="shared" si="9278"/>
        <v>58.96226415094339</v>
      </c>
      <c r="N3085" s="645">
        <f t="shared" ref="N3085:N3145" si="9302">IFERROR(H3085*M3085+H3086*M3086+H3087*M3087+H3088*M3088+H3089*M3089,"N.A.")</f>
        <v>58.962264150943398</v>
      </c>
      <c r="O3085" s="625"/>
      <c r="P3085" s="628">
        <f t="shared" si="9121"/>
        <v>58.962264150943398</v>
      </c>
      <c r="Q3085" s="628">
        <f t="shared" si="9246"/>
        <v>58.962264150943398</v>
      </c>
    </row>
    <row r="3086" spans="1:17" ht="15.75" hidden="1" thickBot="1">
      <c r="A3086" s="390" t="str">
        <f>A3085</f>
        <v>PBAT</v>
      </c>
      <c r="B3086" s="391" t="str">
        <f>B3085</f>
        <v>film</v>
      </c>
      <c r="C3086" s="391">
        <f t="shared" ref="C3086:G3086" si="9303">C3085</f>
        <v>2</v>
      </c>
      <c r="D3086" s="391" t="str">
        <f t="shared" si="9303"/>
        <v>0,1-1</v>
      </c>
      <c r="E3086" s="391">
        <f t="shared" si="9303"/>
        <v>1</v>
      </c>
      <c r="F3086" s="391" t="str">
        <f t="shared" si="9303"/>
        <v>soil</v>
      </c>
      <c r="G3086" s="392" t="str">
        <f t="shared" si="9303"/>
        <v>DE: PBAT film 0,1-1 mm (emission to soil)</v>
      </c>
      <c r="H3086" s="465">
        <v>0</v>
      </c>
      <c r="I3086" s="394" t="s">
        <v>1174</v>
      </c>
      <c r="J3086" s="632"/>
      <c r="K3086" s="395">
        <v>11.86</v>
      </c>
      <c r="L3086" s="537"/>
      <c r="M3086" s="509">
        <f t="shared" si="9278"/>
        <v>42.158516020236092</v>
      </c>
      <c r="N3086" s="646"/>
      <c r="O3086" s="626"/>
      <c r="P3086" s="629"/>
      <c r="Q3086" s="629"/>
    </row>
    <row r="3087" spans="1:17" ht="15.75" hidden="1" thickBot="1">
      <c r="A3087" s="390" t="str">
        <f t="shared" ref="A3087:G3087" si="9304">A3086</f>
        <v>PBAT</v>
      </c>
      <c r="B3087" s="391" t="str">
        <f t="shared" si="9304"/>
        <v>film</v>
      </c>
      <c r="C3087" s="391">
        <f t="shared" si="9304"/>
        <v>2</v>
      </c>
      <c r="D3087" s="391" t="str">
        <f t="shared" si="9304"/>
        <v>0,1-1</v>
      </c>
      <c r="E3087" s="391">
        <f t="shared" si="9304"/>
        <v>1</v>
      </c>
      <c r="F3087" s="391" t="str">
        <f t="shared" si="9304"/>
        <v>soil</v>
      </c>
      <c r="G3087" s="392" t="str">
        <f t="shared" si="9304"/>
        <v>DE: PBAT film 0,1-1 mm (emission to soil)</v>
      </c>
      <c r="H3087" s="465">
        <v>2.7E-2</v>
      </c>
      <c r="I3087" s="394" t="s">
        <v>1162</v>
      </c>
      <c r="J3087" s="632"/>
      <c r="K3087" s="395">
        <v>8.48</v>
      </c>
      <c r="L3087" s="537"/>
      <c r="M3087" s="509">
        <f t="shared" si="9278"/>
        <v>58.96226415094339</v>
      </c>
      <c r="N3087" s="646"/>
      <c r="O3087" s="626"/>
      <c r="P3087" s="629"/>
      <c r="Q3087" s="629"/>
    </row>
    <row r="3088" spans="1:17" ht="15.75" hidden="1" thickBot="1">
      <c r="A3088" s="390" t="str">
        <f t="shared" ref="A3088:G3088" si="9305">A3087</f>
        <v>PBAT</v>
      </c>
      <c r="B3088" s="391" t="str">
        <f t="shared" si="9305"/>
        <v>film</v>
      </c>
      <c r="C3088" s="391">
        <f t="shared" si="9305"/>
        <v>2</v>
      </c>
      <c r="D3088" s="391" t="str">
        <f t="shared" si="9305"/>
        <v>0,1-1</v>
      </c>
      <c r="E3088" s="391">
        <f t="shared" si="9305"/>
        <v>1</v>
      </c>
      <c r="F3088" s="391" t="str">
        <f t="shared" si="9305"/>
        <v>soil</v>
      </c>
      <c r="G3088" s="392" t="str">
        <f t="shared" si="9305"/>
        <v>DE: PBAT film 0,1-1 mm (emission to soil)</v>
      </c>
      <c r="H3088" s="465">
        <v>3.0000000000000001E-3</v>
      </c>
      <c r="I3088" s="394" t="s">
        <v>1163</v>
      </c>
      <c r="J3088" s="632"/>
      <c r="K3088" s="395">
        <v>8.48</v>
      </c>
      <c r="L3088" s="537"/>
      <c r="M3088" s="509">
        <f t="shared" si="9278"/>
        <v>58.96226415094339</v>
      </c>
      <c r="N3088" s="646"/>
      <c r="O3088" s="626"/>
      <c r="P3088" s="629"/>
      <c r="Q3088" s="629"/>
    </row>
    <row r="3089" spans="1:17" ht="15.75" hidden="1" thickBot="1">
      <c r="A3089" s="390" t="str">
        <f>A3086</f>
        <v>PBAT</v>
      </c>
      <c r="B3089" s="391" t="str">
        <f>B3086</f>
        <v>film</v>
      </c>
      <c r="C3089" s="391">
        <f t="shared" ref="C3089" si="9306">C3088</f>
        <v>2</v>
      </c>
      <c r="D3089" s="391" t="str">
        <f>D3086</f>
        <v>0,1-1</v>
      </c>
      <c r="E3089" s="391">
        <f>E3086</f>
        <v>1</v>
      </c>
      <c r="F3089" s="391" t="str">
        <f>F3086</f>
        <v>soil</v>
      </c>
      <c r="G3089" s="396" t="str">
        <f t="shared" ref="G3089" si="9307">G3088</f>
        <v>DE: PBAT film 0,1-1 mm (emission to soil)</v>
      </c>
      <c r="H3089" s="465">
        <v>0</v>
      </c>
      <c r="I3089" s="397" t="s">
        <v>1034</v>
      </c>
      <c r="J3089" s="633"/>
      <c r="K3089" s="398" t="s">
        <v>596</v>
      </c>
      <c r="L3089" s="538"/>
      <c r="M3089" s="509">
        <f t="shared" si="9278"/>
        <v>0</v>
      </c>
      <c r="N3089" s="647"/>
      <c r="O3089" s="627"/>
      <c r="P3089" s="629"/>
      <c r="Q3089" s="629"/>
    </row>
    <row r="3090" spans="1:17" ht="15.75" hidden="1" thickBot="1">
      <c r="A3090" s="390" t="str">
        <f t="shared" ref="A3090:B3090" si="9308">A3087</f>
        <v>PBAT</v>
      </c>
      <c r="B3090" s="391" t="str">
        <f t="shared" si="9308"/>
        <v>film</v>
      </c>
      <c r="C3090" s="391">
        <f t="shared" ref="C3090" si="9309">C3089</f>
        <v>2</v>
      </c>
      <c r="D3090" s="399" t="str">
        <f t="shared" ref="D3090:E3090" si="9310">D3087</f>
        <v>0,1-1</v>
      </c>
      <c r="E3090" s="391">
        <f t="shared" si="9310"/>
        <v>1</v>
      </c>
      <c r="F3090" s="400" t="s">
        <v>1147</v>
      </c>
      <c r="G3090" s="386" t="str">
        <f>CONCATENATE("DE: ",A3090," ",B3090," ",D3090," mm (emission to ",F3090,")")</f>
        <v>DE: PBAT film 0,1-1 mm (emission to fresh water)</v>
      </c>
      <c r="H3090" s="466">
        <v>0</v>
      </c>
      <c r="I3090" s="388" t="s">
        <v>1019</v>
      </c>
      <c r="J3090" s="634">
        <v>0.22800000000000001</v>
      </c>
      <c r="K3090" s="389">
        <v>8.48</v>
      </c>
      <c r="L3090" s="536"/>
      <c r="M3090" s="509">
        <f t="shared" si="9278"/>
        <v>58.96226415094339</v>
      </c>
      <c r="N3090" s="645">
        <f t="shared" si="9302"/>
        <v>58.962264150943398</v>
      </c>
      <c r="O3090" s="625"/>
      <c r="P3090" s="628">
        <f t="shared" si="9121"/>
        <v>58.962264150943398</v>
      </c>
      <c r="Q3090" s="628">
        <f t="shared" si="9246"/>
        <v>58.962264150943398</v>
      </c>
    </row>
    <row r="3091" spans="1:17" ht="15.75" hidden="1" thickBot="1">
      <c r="A3091" s="390" t="str">
        <f t="shared" ref="A3091:B3091" si="9311">A3088</f>
        <v>PBAT</v>
      </c>
      <c r="B3091" s="391" t="str">
        <f t="shared" si="9311"/>
        <v>film</v>
      </c>
      <c r="C3091" s="391">
        <f t="shared" ref="C3091" si="9312">C3090</f>
        <v>2</v>
      </c>
      <c r="D3091" s="391" t="str">
        <f t="shared" ref="D3091:E3091" si="9313">D3088</f>
        <v>0,1-1</v>
      </c>
      <c r="E3091" s="391">
        <f t="shared" si="9313"/>
        <v>1</v>
      </c>
      <c r="F3091" s="391" t="str">
        <f t="shared" ref="F3091:G3091" si="9314">F3090</f>
        <v>fresh water</v>
      </c>
      <c r="G3091" s="401" t="str">
        <f t="shared" si="9314"/>
        <v>DE: PBAT film 0,1-1 mm (emission to fresh water)</v>
      </c>
      <c r="H3091" s="465">
        <v>0</v>
      </c>
      <c r="I3091" s="394" t="s">
        <v>1174</v>
      </c>
      <c r="J3091" s="635"/>
      <c r="K3091" s="389">
        <v>11.86</v>
      </c>
      <c r="L3091" s="536"/>
      <c r="M3091" s="509">
        <f t="shared" si="9278"/>
        <v>42.158516020236092</v>
      </c>
      <c r="N3091" s="646"/>
      <c r="O3091" s="626"/>
      <c r="P3091" s="629"/>
      <c r="Q3091" s="629"/>
    </row>
    <row r="3092" spans="1:17" ht="15.75" hidden="1" thickBot="1">
      <c r="A3092" s="390" t="str">
        <f t="shared" ref="A3092:B3092" si="9315">A3089</f>
        <v>PBAT</v>
      </c>
      <c r="B3092" s="391" t="str">
        <f t="shared" si="9315"/>
        <v>film</v>
      </c>
      <c r="C3092" s="391">
        <f t="shared" ref="C3092" si="9316">C3091</f>
        <v>2</v>
      </c>
      <c r="D3092" s="391" t="str">
        <f t="shared" ref="D3092:E3092" si="9317">D3089</f>
        <v>0,1-1</v>
      </c>
      <c r="E3092" s="391">
        <f t="shared" si="9317"/>
        <v>1</v>
      </c>
      <c r="F3092" s="391" t="str">
        <f t="shared" ref="F3092:G3092" si="9318">F3091</f>
        <v>fresh water</v>
      </c>
      <c r="G3092" s="401" t="str">
        <f t="shared" si="9318"/>
        <v>DE: PBAT film 0,1-1 mm (emission to fresh water)</v>
      </c>
      <c r="H3092" s="465">
        <v>0.89</v>
      </c>
      <c r="I3092" s="394" t="s">
        <v>1162</v>
      </c>
      <c r="J3092" s="635"/>
      <c r="K3092" s="389">
        <v>8.48</v>
      </c>
      <c r="L3092" s="536"/>
      <c r="M3092" s="509">
        <f t="shared" si="9278"/>
        <v>58.96226415094339</v>
      </c>
      <c r="N3092" s="646"/>
      <c r="O3092" s="626"/>
      <c r="P3092" s="629"/>
      <c r="Q3092" s="629"/>
    </row>
    <row r="3093" spans="1:17" ht="15.75" hidden="1" thickBot="1">
      <c r="A3093" s="390" t="str">
        <f t="shared" ref="A3093:B3093" si="9319">A3090</f>
        <v>PBAT</v>
      </c>
      <c r="B3093" s="391" t="str">
        <f t="shared" si="9319"/>
        <v>film</v>
      </c>
      <c r="C3093" s="391">
        <f t="shared" ref="C3093" si="9320">C3092</f>
        <v>2</v>
      </c>
      <c r="D3093" s="391" t="str">
        <f t="shared" ref="D3093:E3093" si="9321">D3090</f>
        <v>0,1-1</v>
      </c>
      <c r="E3093" s="391">
        <f t="shared" si="9321"/>
        <v>1</v>
      </c>
      <c r="F3093" s="391" t="str">
        <f t="shared" ref="F3093:G3093" si="9322">F3092</f>
        <v>fresh water</v>
      </c>
      <c r="G3093" s="401" t="str">
        <f t="shared" si="9322"/>
        <v>DE: PBAT film 0,1-1 mm (emission to fresh water)</v>
      </c>
      <c r="H3093" s="465">
        <v>0.11</v>
      </c>
      <c r="I3093" s="394" t="s">
        <v>1163</v>
      </c>
      <c r="J3093" s="635"/>
      <c r="K3093" s="389">
        <v>8.48</v>
      </c>
      <c r="L3093" s="536"/>
      <c r="M3093" s="509">
        <f t="shared" si="9278"/>
        <v>58.96226415094339</v>
      </c>
      <c r="N3093" s="646"/>
      <c r="O3093" s="626"/>
      <c r="P3093" s="629"/>
      <c r="Q3093" s="629"/>
    </row>
    <row r="3094" spans="1:17" ht="15.75" hidden="1" thickBot="1">
      <c r="A3094" s="390" t="str">
        <f t="shared" ref="A3094:B3094" si="9323">A3091</f>
        <v>PBAT</v>
      </c>
      <c r="B3094" s="391" t="str">
        <f t="shared" si="9323"/>
        <v>film</v>
      </c>
      <c r="C3094" s="391">
        <f t="shared" ref="C3094" si="9324">C3093</f>
        <v>2</v>
      </c>
      <c r="D3094" s="391" t="str">
        <f t="shared" ref="D3094:E3094" si="9325">D3091</f>
        <v>0,1-1</v>
      </c>
      <c r="E3094" s="391">
        <f t="shared" si="9325"/>
        <v>1</v>
      </c>
      <c r="F3094" s="402" t="str">
        <f>F3091</f>
        <v>fresh water</v>
      </c>
      <c r="G3094" s="401" t="str">
        <f t="shared" ref="G3094" si="9326">G3093</f>
        <v>DE: PBAT film 0,1-1 mm (emission to fresh water)</v>
      </c>
      <c r="H3094" s="465">
        <v>0</v>
      </c>
      <c r="I3094" s="397" t="s">
        <v>1034</v>
      </c>
      <c r="J3094" s="654"/>
      <c r="K3094" s="398" t="s">
        <v>596</v>
      </c>
      <c r="L3094" s="538"/>
      <c r="M3094" s="509">
        <f t="shared" si="9278"/>
        <v>0</v>
      </c>
      <c r="N3094" s="647"/>
      <c r="O3094" s="627"/>
      <c r="P3094" s="629"/>
      <c r="Q3094" s="629"/>
    </row>
    <row r="3095" spans="1:17" ht="15.75" hidden="1" thickBot="1">
      <c r="A3095" s="390" t="str">
        <f t="shared" ref="A3095:B3095" si="9327">A3092</f>
        <v>PBAT</v>
      </c>
      <c r="B3095" s="391" t="str">
        <f t="shared" si="9327"/>
        <v>film</v>
      </c>
      <c r="C3095" s="391">
        <f t="shared" ref="C3095" si="9328">C3094</f>
        <v>2</v>
      </c>
      <c r="D3095" s="391" t="str">
        <f t="shared" ref="D3095:E3095" si="9329">D3092</f>
        <v>0,1-1</v>
      </c>
      <c r="E3095" s="391">
        <f t="shared" si="9329"/>
        <v>1</v>
      </c>
      <c r="F3095" s="385" t="s">
        <v>1097</v>
      </c>
      <c r="G3095" s="422" t="str">
        <f>CONCATENATE("DE: ",A3095," ",B3095," ",D3095," mm (emission to ",F3095,")")</f>
        <v>DE: PBAT film 0,1-1 mm (emission to marine water)</v>
      </c>
      <c r="H3095" s="467">
        <v>0</v>
      </c>
      <c r="I3095" s="388" t="s">
        <v>1019</v>
      </c>
      <c r="J3095" s="634">
        <v>0.22800000000000001</v>
      </c>
      <c r="K3095" s="389">
        <v>8.48</v>
      </c>
      <c r="L3095" s="536"/>
      <c r="M3095" s="509">
        <f t="shared" si="9278"/>
        <v>58.96226415094339</v>
      </c>
      <c r="N3095" s="645">
        <f t="shared" si="9302"/>
        <v>58.96226415094339</v>
      </c>
      <c r="O3095" s="625"/>
      <c r="P3095" s="628">
        <f t="shared" ref="P3095:P3155" si="9330">IFERROR(IF(H3095*M3095+H3096*M3096+H3097*M3097+H3098*M3098+H3099*M3099&gt;100,100,H3095*M3095+H3096*M3096+H3097*M3097+H3098*M3098+H3099*M3099),"N.A.")</f>
        <v>58.96226415094339</v>
      </c>
      <c r="Q3095" s="628">
        <f t="shared" si="9246"/>
        <v>58.96226415094339</v>
      </c>
    </row>
    <row r="3096" spans="1:17" ht="15.75" hidden="1" thickBot="1">
      <c r="A3096" s="390" t="str">
        <f t="shared" ref="A3096:B3096" si="9331">A3093</f>
        <v>PBAT</v>
      </c>
      <c r="B3096" s="391" t="str">
        <f t="shared" si="9331"/>
        <v>film</v>
      </c>
      <c r="C3096" s="391">
        <f t="shared" ref="C3096" si="9332">C3095</f>
        <v>2</v>
      </c>
      <c r="D3096" s="391" t="str">
        <f t="shared" ref="D3096:E3096" si="9333">D3093</f>
        <v>0,1-1</v>
      </c>
      <c r="E3096" s="391">
        <f t="shared" si="9333"/>
        <v>1</v>
      </c>
      <c r="F3096" s="391" t="str">
        <f t="shared" ref="F3096:G3096" si="9334">F3095</f>
        <v>marine water</v>
      </c>
      <c r="G3096" s="401" t="str">
        <f t="shared" si="9334"/>
        <v>DE: PBAT film 0,1-1 mm (emission to marine water)</v>
      </c>
      <c r="H3096" s="465">
        <v>0</v>
      </c>
      <c r="I3096" s="394" t="s">
        <v>1174</v>
      </c>
      <c r="J3096" s="635"/>
      <c r="K3096" s="389">
        <v>11.86</v>
      </c>
      <c r="L3096" s="536"/>
      <c r="M3096" s="509">
        <f t="shared" si="9278"/>
        <v>42.158516020236092</v>
      </c>
      <c r="N3096" s="646"/>
      <c r="O3096" s="626"/>
      <c r="P3096" s="629"/>
      <c r="Q3096" s="629"/>
    </row>
    <row r="3097" spans="1:17" ht="15.75" hidden="1" thickBot="1">
      <c r="A3097" s="390" t="str">
        <f t="shared" ref="A3097:B3097" si="9335">A3094</f>
        <v>PBAT</v>
      </c>
      <c r="B3097" s="391" t="str">
        <f t="shared" si="9335"/>
        <v>film</v>
      </c>
      <c r="C3097" s="391">
        <f t="shared" ref="C3097" si="9336">C3096</f>
        <v>2</v>
      </c>
      <c r="D3097" s="391" t="str">
        <f t="shared" ref="D3097:E3097" si="9337">D3094</f>
        <v>0,1-1</v>
      </c>
      <c r="E3097" s="391">
        <f t="shared" si="9337"/>
        <v>1</v>
      </c>
      <c r="F3097" s="391" t="str">
        <f t="shared" ref="F3097:G3097" si="9338">F3096</f>
        <v>marine water</v>
      </c>
      <c r="G3097" s="401" t="str">
        <f t="shared" si="9338"/>
        <v>DE: PBAT film 0,1-1 mm (emission to marine water)</v>
      </c>
      <c r="H3097" s="465">
        <v>0</v>
      </c>
      <c r="I3097" s="394" t="s">
        <v>1162</v>
      </c>
      <c r="J3097" s="635"/>
      <c r="K3097" s="389">
        <v>8.48</v>
      </c>
      <c r="L3097" s="536"/>
      <c r="M3097" s="509">
        <f t="shared" si="9278"/>
        <v>58.96226415094339</v>
      </c>
      <c r="N3097" s="646"/>
      <c r="O3097" s="626"/>
      <c r="P3097" s="629"/>
      <c r="Q3097" s="629"/>
    </row>
    <row r="3098" spans="1:17" ht="15.75" hidden="1" thickBot="1">
      <c r="A3098" s="390" t="str">
        <f t="shared" ref="A3098:B3098" si="9339">A3095</f>
        <v>PBAT</v>
      </c>
      <c r="B3098" s="391" t="str">
        <f t="shared" si="9339"/>
        <v>film</v>
      </c>
      <c r="C3098" s="391">
        <f t="shared" ref="C3098" si="9340">C3097</f>
        <v>2</v>
      </c>
      <c r="D3098" s="391" t="str">
        <f t="shared" ref="D3098:E3098" si="9341">D3095</f>
        <v>0,1-1</v>
      </c>
      <c r="E3098" s="391">
        <f t="shared" si="9341"/>
        <v>1</v>
      </c>
      <c r="F3098" s="391" t="str">
        <f t="shared" ref="F3098:G3098" si="9342">F3097</f>
        <v>marine water</v>
      </c>
      <c r="G3098" s="401" t="str">
        <f t="shared" si="9342"/>
        <v>DE: PBAT film 0,1-1 mm (emission to marine water)</v>
      </c>
      <c r="H3098" s="465">
        <v>1</v>
      </c>
      <c r="I3098" s="394" t="s">
        <v>1163</v>
      </c>
      <c r="J3098" s="635"/>
      <c r="K3098" s="389">
        <v>8.48</v>
      </c>
      <c r="L3098" s="536"/>
      <c r="M3098" s="509">
        <f t="shared" si="9278"/>
        <v>58.96226415094339</v>
      </c>
      <c r="N3098" s="646"/>
      <c r="O3098" s="626"/>
      <c r="P3098" s="629"/>
      <c r="Q3098" s="629"/>
    </row>
    <row r="3099" spans="1:17" ht="15.75" hidden="1" thickBot="1">
      <c r="A3099" s="390" t="str">
        <f t="shared" ref="A3099:B3099" si="9343">A3096</f>
        <v>PBAT</v>
      </c>
      <c r="B3099" s="391" t="str">
        <f t="shared" si="9343"/>
        <v>film</v>
      </c>
      <c r="C3099" s="391">
        <f t="shared" ref="C3099" si="9344">C3098</f>
        <v>2</v>
      </c>
      <c r="D3099" s="391" t="str">
        <f t="shared" ref="D3099:E3099" si="9345">D3096</f>
        <v>0,1-1</v>
      </c>
      <c r="E3099" s="391">
        <f t="shared" si="9345"/>
        <v>1</v>
      </c>
      <c r="F3099" s="391" t="str">
        <f t="shared" ref="F3099:G3099" si="9346">F3098</f>
        <v>marine water</v>
      </c>
      <c r="G3099" s="401" t="str">
        <f t="shared" si="9346"/>
        <v>DE: PBAT film 0,1-1 mm (emission to marine water)</v>
      </c>
      <c r="H3099" s="465">
        <v>0</v>
      </c>
      <c r="I3099" s="397" t="s">
        <v>1034</v>
      </c>
      <c r="J3099" s="654"/>
      <c r="K3099" s="398" t="s">
        <v>596</v>
      </c>
      <c r="L3099" s="538"/>
      <c r="M3099" s="509">
        <f t="shared" si="9278"/>
        <v>0</v>
      </c>
      <c r="N3099" s="647"/>
      <c r="O3099" s="627"/>
      <c r="P3099" s="629"/>
      <c r="Q3099" s="629"/>
    </row>
    <row r="3100" spans="1:17" ht="15.75" hidden="1" thickBot="1">
      <c r="A3100" s="390" t="str">
        <f t="shared" ref="A3100:B3100" si="9347">A3097</f>
        <v>PBAT</v>
      </c>
      <c r="B3100" s="391" t="str">
        <f t="shared" si="9347"/>
        <v>film</v>
      </c>
      <c r="C3100" s="391">
        <f t="shared" ref="C3100" si="9348">C3099</f>
        <v>2</v>
      </c>
      <c r="D3100" s="391" t="str">
        <f t="shared" ref="D3100:E3100" si="9349">D3097</f>
        <v>0,1-1</v>
      </c>
      <c r="E3100" s="391">
        <f t="shared" si="9349"/>
        <v>1</v>
      </c>
      <c r="F3100" s="400" t="s">
        <v>1057</v>
      </c>
      <c r="G3100" s="422" t="str">
        <f>CONCATENATE("DE: ",A3100," ",B3100," ",D3100," mm (emission to ",F3100,")")</f>
        <v>DE: PBAT film 0,1-1 mm (emission to air)</v>
      </c>
      <c r="H3100" s="467">
        <v>0.94799999999999995</v>
      </c>
      <c r="I3100" s="388" t="s">
        <v>1019</v>
      </c>
      <c r="J3100" s="634">
        <v>0.22800000000000001</v>
      </c>
      <c r="K3100" s="389">
        <v>8.48</v>
      </c>
      <c r="L3100" s="536"/>
      <c r="M3100" s="509">
        <f t="shared" si="9278"/>
        <v>58.96226415094339</v>
      </c>
      <c r="N3100" s="645">
        <f t="shared" si="9302"/>
        <v>58.96226415094339</v>
      </c>
      <c r="O3100" s="625"/>
      <c r="P3100" s="628">
        <f t="shared" si="9330"/>
        <v>58.96226415094339</v>
      </c>
      <c r="Q3100" s="628">
        <f t="shared" si="9246"/>
        <v>58.96226415094339</v>
      </c>
    </row>
    <row r="3101" spans="1:17" ht="15.75" hidden="1" thickBot="1">
      <c r="A3101" s="390" t="str">
        <f t="shared" ref="A3101:B3101" si="9350">A3098</f>
        <v>PBAT</v>
      </c>
      <c r="B3101" s="391" t="str">
        <f t="shared" si="9350"/>
        <v>film</v>
      </c>
      <c r="C3101" s="391">
        <f t="shared" ref="C3101" si="9351">C3100</f>
        <v>2</v>
      </c>
      <c r="D3101" s="391" t="str">
        <f t="shared" ref="D3101:E3101" si="9352">D3098</f>
        <v>0,1-1</v>
      </c>
      <c r="E3101" s="391">
        <f t="shared" si="9352"/>
        <v>1</v>
      </c>
      <c r="F3101" s="391" t="str">
        <f t="shared" ref="F3101:G3101" si="9353">F3100</f>
        <v>air</v>
      </c>
      <c r="G3101" s="401" t="str">
        <f t="shared" si="9353"/>
        <v>DE: PBAT film 0,1-1 mm (emission to air)</v>
      </c>
      <c r="H3101" s="465">
        <v>0</v>
      </c>
      <c r="I3101" s="394" t="s">
        <v>1174</v>
      </c>
      <c r="J3101" s="635"/>
      <c r="K3101" s="389">
        <v>11.86</v>
      </c>
      <c r="L3101" s="536"/>
      <c r="M3101" s="509">
        <f t="shared" si="9278"/>
        <v>42.158516020236092</v>
      </c>
      <c r="N3101" s="646"/>
      <c r="O3101" s="626"/>
      <c r="P3101" s="629"/>
      <c r="Q3101" s="629"/>
    </row>
    <row r="3102" spans="1:17" ht="15.75" hidden="1" thickBot="1">
      <c r="A3102" s="390" t="str">
        <f t="shared" ref="A3102:B3102" si="9354">A3099</f>
        <v>PBAT</v>
      </c>
      <c r="B3102" s="391" t="str">
        <f t="shared" si="9354"/>
        <v>film</v>
      </c>
      <c r="C3102" s="391">
        <f t="shared" ref="C3102" si="9355">C3101</f>
        <v>2</v>
      </c>
      <c r="D3102" s="391" t="str">
        <f t="shared" ref="D3102:E3102" si="9356">D3099</f>
        <v>0,1-1</v>
      </c>
      <c r="E3102" s="391">
        <f t="shared" si="9356"/>
        <v>1</v>
      </c>
      <c r="F3102" s="391" t="str">
        <f t="shared" ref="F3102:G3102" si="9357">F3101</f>
        <v>air</v>
      </c>
      <c r="G3102" s="401" t="str">
        <f t="shared" si="9357"/>
        <v>DE: PBAT film 0,1-1 mm (emission to air)</v>
      </c>
      <c r="H3102" s="465">
        <v>4.7E-2</v>
      </c>
      <c r="I3102" s="394" t="s">
        <v>1162</v>
      </c>
      <c r="J3102" s="635"/>
      <c r="K3102" s="389">
        <v>8.48</v>
      </c>
      <c r="L3102" s="536"/>
      <c r="M3102" s="509">
        <f t="shared" si="9278"/>
        <v>58.96226415094339</v>
      </c>
      <c r="N3102" s="646"/>
      <c r="O3102" s="626"/>
      <c r="P3102" s="629"/>
      <c r="Q3102" s="629"/>
    </row>
    <row r="3103" spans="1:17" ht="15.75" hidden="1" thickBot="1">
      <c r="A3103" s="390" t="str">
        <f t="shared" ref="A3103:B3103" si="9358">A3100</f>
        <v>PBAT</v>
      </c>
      <c r="B3103" s="391" t="str">
        <f t="shared" si="9358"/>
        <v>film</v>
      </c>
      <c r="C3103" s="391">
        <f t="shared" ref="C3103" si="9359">C3102</f>
        <v>2</v>
      </c>
      <c r="D3103" s="391" t="str">
        <f t="shared" ref="D3103:E3103" si="9360">D3100</f>
        <v>0,1-1</v>
      </c>
      <c r="E3103" s="391">
        <f t="shared" si="9360"/>
        <v>1</v>
      </c>
      <c r="F3103" s="391" t="str">
        <f t="shared" ref="F3103:G3103" si="9361">F3102</f>
        <v>air</v>
      </c>
      <c r="G3103" s="401" t="str">
        <f t="shared" si="9361"/>
        <v>DE: PBAT film 0,1-1 mm (emission to air)</v>
      </c>
      <c r="H3103" s="465">
        <v>5.0000000000000001E-3</v>
      </c>
      <c r="I3103" s="394" t="s">
        <v>1163</v>
      </c>
      <c r="J3103" s="635"/>
      <c r="K3103" s="389">
        <v>8.48</v>
      </c>
      <c r="L3103" s="536"/>
      <c r="M3103" s="509">
        <f t="shared" si="9278"/>
        <v>58.96226415094339</v>
      </c>
      <c r="N3103" s="646"/>
      <c r="O3103" s="626"/>
      <c r="P3103" s="629"/>
      <c r="Q3103" s="629"/>
    </row>
    <row r="3104" spans="1:17" ht="15.75" hidden="1" thickBot="1">
      <c r="A3104" s="452" t="str">
        <f t="shared" ref="A3104:B3104" si="9362">A3099</f>
        <v>PBAT</v>
      </c>
      <c r="B3104" s="453" t="str">
        <f t="shared" si="9362"/>
        <v>film</v>
      </c>
      <c r="C3104" s="453">
        <f t="shared" ref="C3104" si="9363">C3103</f>
        <v>2</v>
      </c>
      <c r="D3104" s="453" t="str">
        <f t="shared" ref="D3104:E3104" si="9364">D3099</f>
        <v>0,1-1</v>
      </c>
      <c r="E3104" s="453">
        <f t="shared" si="9364"/>
        <v>1</v>
      </c>
      <c r="F3104" s="453" t="str">
        <f t="shared" ref="F3104:G3104" si="9365">F3103</f>
        <v>air</v>
      </c>
      <c r="G3104" s="454" t="str">
        <f t="shared" si="9365"/>
        <v>DE: PBAT film 0,1-1 mm (emission to air)</v>
      </c>
      <c r="H3104" s="473">
        <v>0</v>
      </c>
      <c r="I3104" s="456" t="s">
        <v>1034</v>
      </c>
      <c r="J3104" s="636"/>
      <c r="K3104" s="457" t="s">
        <v>596</v>
      </c>
      <c r="L3104" s="543"/>
      <c r="M3104" s="509">
        <f t="shared" si="9278"/>
        <v>0</v>
      </c>
      <c r="N3104" s="647"/>
      <c r="O3104" s="627"/>
      <c r="P3104" s="629"/>
      <c r="Q3104" s="629"/>
    </row>
    <row r="3105" spans="1:17" ht="15.75" hidden="1" thickBot="1">
      <c r="A3105" s="381" t="s">
        <v>177</v>
      </c>
      <c r="B3105" s="382" t="s">
        <v>996</v>
      </c>
      <c r="C3105" s="383">
        <f>IF(OR(B3105="Folie", B3105="Strips", B3105="Film",B3105="Flakes",B3105="Coupon"), 2,IF(OR(B3105="Fibers",B3105="Pellets"),4,IF(OR(B3105="Particles",B3105="Shreds",B3105="Powder",B3105="Fragments",B3105="Granules"),6,"")))</f>
        <v>2</v>
      </c>
      <c r="D3105" s="475" t="s">
        <v>1026</v>
      </c>
      <c r="E3105" s="384">
        <v>10</v>
      </c>
      <c r="F3105" s="385" t="s">
        <v>1019</v>
      </c>
      <c r="G3105" s="386" t="str">
        <f>CONCATENATE("DE: ",A3105," ",B3105," ",D3105," mm (emission to ",F3105,")")</f>
        <v>DE: PBAT film 1-10 mm (emission to soil)</v>
      </c>
      <c r="H3105" s="466">
        <v>0.97</v>
      </c>
      <c r="I3105" s="388" t="s">
        <v>1019</v>
      </c>
      <c r="J3105" s="632">
        <v>0.22800000000000001</v>
      </c>
      <c r="K3105" s="389">
        <v>8.48</v>
      </c>
      <c r="L3105" s="536"/>
      <c r="M3105" s="509">
        <f t="shared" si="9278"/>
        <v>589.62264150943395</v>
      </c>
      <c r="N3105" s="645">
        <f t="shared" si="9302"/>
        <v>589.62264150943383</v>
      </c>
      <c r="O3105" s="625"/>
      <c r="P3105" s="628">
        <f t="shared" si="9330"/>
        <v>100</v>
      </c>
      <c r="Q3105" s="628">
        <f t="shared" si="9246"/>
        <v>500</v>
      </c>
    </row>
    <row r="3106" spans="1:17" ht="15.75" hidden="1" thickBot="1">
      <c r="A3106" s="390" t="str">
        <f>A3105</f>
        <v>PBAT</v>
      </c>
      <c r="B3106" s="391" t="str">
        <f>B3105</f>
        <v>film</v>
      </c>
      <c r="C3106" s="391">
        <f t="shared" ref="C3106:G3106" si="9366">C3105</f>
        <v>2</v>
      </c>
      <c r="D3106" s="391" t="str">
        <f t="shared" si="9366"/>
        <v>1-10</v>
      </c>
      <c r="E3106" s="391">
        <f t="shared" si="9366"/>
        <v>10</v>
      </c>
      <c r="F3106" s="391" t="str">
        <f t="shared" si="9366"/>
        <v>soil</v>
      </c>
      <c r="G3106" s="392" t="str">
        <f t="shared" si="9366"/>
        <v>DE: PBAT film 1-10 mm (emission to soil)</v>
      </c>
      <c r="H3106" s="465">
        <v>0</v>
      </c>
      <c r="I3106" s="394" t="s">
        <v>1174</v>
      </c>
      <c r="J3106" s="632"/>
      <c r="K3106" s="395">
        <v>11.86</v>
      </c>
      <c r="L3106" s="537"/>
      <c r="M3106" s="509">
        <f t="shared" si="9278"/>
        <v>421.5851602023609</v>
      </c>
      <c r="N3106" s="646"/>
      <c r="O3106" s="626"/>
      <c r="P3106" s="629"/>
      <c r="Q3106" s="629"/>
    </row>
    <row r="3107" spans="1:17" ht="15.75" hidden="1" thickBot="1">
      <c r="A3107" s="390" t="str">
        <f t="shared" ref="A3107:G3107" si="9367">A3106</f>
        <v>PBAT</v>
      </c>
      <c r="B3107" s="391" t="str">
        <f t="shared" si="9367"/>
        <v>film</v>
      </c>
      <c r="C3107" s="391">
        <f t="shared" si="9367"/>
        <v>2</v>
      </c>
      <c r="D3107" s="391" t="str">
        <f t="shared" si="9367"/>
        <v>1-10</v>
      </c>
      <c r="E3107" s="391">
        <f t="shared" si="9367"/>
        <v>10</v>
      </c>
      <c r="F3107" s="391" t="str">
        <f t="shared" si="9367"/>
        <v>soil</v>
      </c>
      <c r="G3107" s="392" t="str">
        <f t="shared" si="9367"/>
        <v>DE: PBAT film 1-10 mm (emission to soil)</v>
      </c>
      <c r="H3107" s="465">
        <v>2.7E-2</v>
      </c>
      <c r="I3107" s="394" t="s">
        <v>1162</v>
      </c>
      <c r="J3107" s="632"/>
      <c r="K3107" s="395">
        <v>8.48</v>
      </c>
      <c r="L3107" s="537"/>
      <c r="M3107" s="509">
        <f t="shared" si="9278"/>
        <v>589.62264150943395</v>
      </c>
      <c r="N3107" s="646"/>
      <c r="O3107" s="626"/>
      <c r="P3107" s="629"/>
      <c r="Q3107" s="629"/>
    </row>
    <row r="3108" spans="1:17" ht="15.75" hidden="1" thickBot="1">
      <c r="A3108" s="390" t="str">
        <f t="shared" ref="A3108:G3108" si="9368">A3107</f>
        <v>PBAT</v>
      </c>
      <c r="B3108" s="391" t="str">
        <f t="shared" si="9368"/>
        <v>film</v>
      </c>
      <c r="C3108" s="391">
        <f t="shared" si="9368"/>
        <v>2</v>
      </c>
      <c r="D3108" s="391" t="str">
        <f t="shared" si="9368"/>
        <v>1-10</v>
      </c>
      <c r="E3108" s="391">
        <f t="shared" si="9368"/>
        <v>10</v>
      </c>
      <c r="F3108" s="391" t="str">
        <f t="shared" si="9368"/>
        <v>soil</v>
      </c>
      <c r="G3108" s="392" t="str">
        <f t="shared" si="9368"/>
        <v>DE: PBAT film 1-10 mm (emission to soil)</v>
      </c>
      <c r="H3108" s="465">
        <v>3.0000000000000001E-3</v>
      </c>
      <c r="I3108" s="394" t="s">
        <v>1163</v>
      </c>
      <c r="J3108" s="632"/>
      <c r="K3108" s="395">
        <v>8.48</v>
      </c>
      <c r="L3108" s="537"/>
      <c r="M3108" s="509">
        <f t="shared" si="9278"/>
        <v>589.62264150943395</v>
      </c>
      <c r="N3108" s="646"/>
      <c r="O3108" s="626"/>
      <c r="P3108" s="629"/>
      <c r="Q3108" s="629"/>
    </row>
    <row r="3109" spans="1:17" ht="15.75" hidden="1" thickBot="1">
      <c r="A3109" s="390" t="str">
        <f>A3106</f>
        <v>PBAT</v>
      </c>
      <c r="B3109" s="391" t="str">
        <f>B3106</f>
        <v>film</v>
      </c>
      <c r="C3109" s="391">
        <f t="shared" ref="C3109" si="9369">C3108</f>
        <v>2</v>
      </c>
      <c r="D3109" s="391" t="str">
        <f>D3106</f>
        <v>1-10</v>
      </c>
      <c r="E3109" s="391">
        <f>E3106</f>
        <v>10</v>
      </c>
      <c r="F3109" s="391" t="str">
        <f>F3106</f>
        <v>soil</v>
      </c>
      <c r="G3109" s="396" t="str">
        <f t="shared" ref="G3109" si="9370">G3108</f>
        <v>DE: PBAT film 1-10 mm (emission to soil)</v>
      </c>
      <c r="H3109" s="465">
        <v>0</v>
      </c>
      <c r="I3109" s="397" t="s">
        <v>1034</v>
      </c>
      <c r="J3109" s="633"/>
      <c r="K3109" s="398" t="s">
        <v>596</v>
      </c>
      <c r="L3109" s="538"/>
      <c r="M3109" s="509">
        <f t="shared" si="9278"/>
        <v>0</v>
      </c>
      <c r="N3109" s="647"/>
      <c r="O3109" s="627"/>
      <c r="P3109" s="629"/>
      <c r="Q3109" s="629"/>
    </row>
    <row r="3110" spans="1:17" ht="15.75" hidden="1" thickBot="1">
      <c r="A3110" s="390" t="str">
        <f t="shared" ref="A3110:B3110" si="9371">A3107</f>
        <v>PBAT</v>
      </c>
      <c r="B3110" s="391" t="str">
        <f t="shared" si="9371"/>
        <v>film</v>
      </c>
      <c r="C3110" s="391">
        <f t="shared" ref="C3110" si="9372">C3109</f>
        <v>2</v>
      </c>
      <c r="D3110" s="399" t="str">
        <f t="shared" ref="D3110:E3110" si="9373">D3107</f>
        <v>1-10</v>
      </c>
      <c r="E3110" s="391">
        <f t="shared" si="9373"/>
        <v>10</v>
      </c>
      <c r="F3110" s="400" t="s">
        <v>1147</v>
      </c>
      <c r="G3110" s="386" t="str">
        <f>CONCATENATE("DE: ",A3110," ",B3110," ",D3110," mm (emission to ",F3110,")")</f>
        <v>DE: PBAT film 1-10 mm (emission to fresh water)</v>
      </c>
      <c r="H3110" s="466">
        <v>0</v>
      </c>
      <c r="I3110" s="388" t="s">
        <v>1019</v>
      </c>
      <c r="J3110" s="634">
        <v>0.22800000000000001</v>
      </c>
      <c r="K3110" s="389">
        <v>8.48</v>
      </c>
      <c r="L3110" s="536"/>
      <c r="M3110" s="509">
        <f t="shared" si="9278"/>
        <v>589.62264150943395</v>
      </c>
      <c r="N3110" s="645">
        <f t="shared" si="9302"/>
        <v>589.62264150943395</v>
      </c>
      <c r="O3110" s="625"/>
      <c r="P3110" s="628">
        <f t="shared" si="9330"/>
        <v>100</v>
      </c>
      <c r="Q3110" s="628">
        <f t="shared" si="9246"/>
        <v>500</v>
      </c>
    </row>
    <row r="3111" spans="1:17" ht="15.75" hidden="1" thickBot="1">
      <c r="A3111" s="390" t="str">
        <f t="shared" ref="A3111:B3111" si="9374">A3108</f>
        <v>PBAT</v>
      </c>
      <c r="B3111" s="391" t="str">
        <f t="shared" si="9374"/>
        <v>film</v>
      </c>
      <c r="C3111" s="391">
        <f t="shared" ref="C3111" si="9375">C3110</f>
        <v>2</v>
      </c>
      <c r="D3111" s="391" t="str">
        <f t="shared" ref="D3111:E3111" si="9376">D3108</f>
        <v>1-10</v>
      </c>
      <c r="E3111" s="391">
        <f t="shared" si="9376"/>
        <v>10</v>
      </c>
      <c r="F3111" s="391" t="str">
        <f t="shared" ref="F3111:G3111" si="9377">F3110</f>
        <v>fresh water</v>
      </c>
      <c r="G3111" s="401" t="str">
        <f t="shared" si="9377"/>
        <v>DE: PBAT film 1-10 mm (emission to fresh water)</v>
      </c>
      <c r="H3111" s="465">
        <v>0</v>
      </c>
      <c r="I3111" s="394" t="s">
        <v>1174</v>
      </c>
      <c r="J3111" s="635"/>
      <c r="K3111" s="389">
        <v>11.86</v>
      </c>
      <c r="L3111" s="536"/>
      <c r="M3111" s="509">
        <f t="shared" si="9278"/>
        <v>421.5851602023609</v>
      </c>
      <c r="N3111" s="646"/>
      <c r="O3111" s="626"/>
      <c r="P3111" s="629"/>
      <c r="Q3111" s="629"/>
    </row>
    <row r="3112" spans="1:17" ht="15.75" hidden="1" thickBot="1">
      <c r="A3112" s="390" t="str">
        <f t="shared" ref="A3112:B3112" si="9378">A3109</f>
        <v>PBAT</v>
      </c>
      <c r="B3112" s="391" t="str">
        <f t="shared" si="9378"/>
        <v>film</v>
      </c>
      <c r="C3112" s="391">
        <f t="shared" ref="C3112" si="9379">C3111</f>
        <v>2</v>
      </c>
      <c r="D3112" s="391" t="str">
        <f t="shared" ref="D3112:E3112" si="9380">D3109</f>
        <v>1-10</v>
      </c>
      <c r="E3112" s="391">
        <f t="shared" si="9380"/>
        <v>10</v>
      </c>
      <c r="F3112" s="391" t="str">
        <f t="shared" ref="F3112:G3112" si="9381">F3111</f>
        <v>fresh water</v>
      </c>
      <c r="G3112" s="401" t="str">
        <f t="shared" si="9381"/>
        <v>DE: PBAT film 1-10 mm (emission to fresh water)</v>
      </c>
      <c r="H3112" s="465">
        <v>0.89</v>
      </c>
      <c r="I3112" s="394" t="s">
        <v>1162</v>
      </c>
      <c r="J3112" s="635"/>
      <c r="K3112" s="389">
        <v>8.48</v>
      </c>
      <c r="L3112" s="536"/>
      <c r="M3112" s="509">
        <f t="shared" si="9278"/>
        <v>589.62264150943395</v>
      </c>
      <c r="N3112" s="646"/>
      <c r="O3112" s="626"/>
      <c r="P3112" s="629"/>
      <c r="Q3112" s="629"/>
    </row>
    <row r="3113" spans="1:17" ht="15.75" hidden="1" thickBot="1">
      <c r="A3113" s="390" t="str">
        <f t="shared" ref="A3113:B3113" si="9382">A3110</f>
        <v>PBAT</v>
      </c>
      <c r="B3113" s="391" t="str">
        <f t="shared" si="9382"/>
        <v>film</v>
      </c>
      <c r="C3113" s="391">
        <f t="shared" ref="C3113" si="9383">C3112</f>
        <v>2</v>
      </c>
      <c r="D3113" s="391" t="str">
        <f t="shared" ref="D3113:E3113" si="9384">D3110</f>
        <v>1-10</v>
      </c>
      <c r="E3113" s="391">
        <f t="shared" si="9384"/>
        <v>10</v>
      </c>
      <c r="F3113" s="391" t="str">
        <f t="shared" ref="F3113:G3113" si="9385">F3112</f>
        <v>fresh water</v>
      </c>
      <c r="G3113" s="401" t="str">
        <f t="shared" si="9385"/>
        <v>DE: PBAT film 1-10 mm (emission to fresh water)</v>
      </c>
      <c r="H3113" s="465">
        <v>0.11</v>
      </c>
      <c r="I3113" s="394" t="s">
        <v>1163</v>
      </c>
      <c r="J3113" s="635"/>
      <c r="K3113" s="389">
        <v>8.48</v>
      </c>
      <c r="L3113" s="536"/>
      <c r="M3113" s="509">
        <f t="shared" si="9278"/>
        <v>589.62264150943395</v>
      </c>
      <c r="N3113" s="646"/>
      <c r="O3113" s="626"/>
      <c r="P3113" s="629"/>
      <c r="Q3113" s="629"/>
    </row>
    <row r="3114" spans="1:17" ht="15.75" hidden="1" thickBot="1">
      <c r="A3114" s="390" t="str">
        <f t="shared" ref="A3114:B3114" si="9386">A3111</f>
        <v>PBAT</v>
      </c>
      <c r="B3114" s="391" t="str">
        <f t="shared" si="9386"/>
        <v>film</v>
      </c>
      <c r="C3114" s="391">
        <f t="shared" ref="C3114" si="9387">C3113</f>
        <v>2</v>
      </c>
      <c r="D3114" s="391" t="str">
        <f t="shared" ref="D3114:E3114" si="9388">D3111</f>
        <v>1-10</v>
      </c>
      <c r="E3114" s="391">
        <f t="shared" si="9388"/>
        <v>10</v>
      </c>
      <c r="F3114" s="402" t="str">
        <f>F3111</f>
        <v>fresh water</v>
      </c>
      <c r="G3114" s="401" t="str">
        <f t="shared" ref="G3114" si="9389">G3113</f>
        <v>DE: PBAT film 1-10 mm (emission to fresh water)</v>
      </c>
      <c r="H3114" s="465">
        <v>0</v>
      </c>
      <c r="I3114" s="397" t="s">
        <v>1034</v>
      </c>
      <c r="J3114" s="654"/>
      <c r="K3114" s="398" t="s">
        <v>596</v>
      </c>
      <c r="L3114" s="538"/>
      <c r="M3114" s="509">
        <f t="shared" si="9278"/>
        <v>0</v>
      </c>
      <c r="N3114" s="647"/>
      <c r="O3114" s="627"/>
      <c r="P3114" s="629"/>
      <c r="Q3114" s="629"/>
    </row>
    <row r="3115" spans="1:17" ht="15.75" hidden="1" thickBot="1">
      <c r="A3115" s="390" t="str">
        <f t="shared" ref="A3115:B3115" si="9390">A3112</f>
        <v>PBAT</v>
      </c>
      <c r="B3115" s="391" t="str">
        <f t="shared" si="9390"/>
        <v>film</v>
      </c>
      <c r="C3115" s="391">
        <f t="shared" ref="C3115" si="9391">C3114</f>
        <v>2</v>
      </c>
      <c r="D3115" s="391" t="str">
        <f t="shared" ref="D3115:E3115" si="9392">D3112</f>
        <v>1-10</v>
      </c>
      <c r="E3115" s="391">
        <f t="shared" si="9392"/>
        <v>10</v>
      </c>
      <c r="F3115" s="385" t="s">
        <v>1097</v>
      </c>
      <c r="G3115" s="422" t="str">
        <f>CONCATENATE("DE: ",A3115," ",B3115," ",D3115," mm (emission to ",F3115,")")</f>
        <v>DE: PBAT film 1-10 mm (emission to marine water)</v>
      </c>
      <c r="H3115" s="467">
        <v>0</v>
      </c>
      <c r="I3115" s="388" t="s">
        <v>1019</v>
      </c>
      <c r="J3115" s="634">
        <v>0.22800000000000001</v>
      </c>
      <c r="K3115" s="389">
        <v>8.48</v>
      </c>
      <c r="L3115" s="536"/>
      <c r="M3115" s="509">
        <f t="shared" si="9278"/>
        <v>589.62264150943395</v>
      </c>
      <c r="N3115" s="645">
        <f t="shared" si="9302"/>
        <v>589.62264150943395</v>
      </c>
      <c r="O3115" s="625"/>
      <c r="P3115" s="628">
        <f t="shared" si="9330"/>
        <v>100</v>
      </c>
      <c r="Q3115" s="628">
        <f t="shared" si="9246"/>
        <v>500</v>
      </c>
    </row>
    <row r="3116" spans="1:17" ht="15.75" hidden="1" thickBot="1">
      <c r="A3116" s="390" t="str">
        <f t="shared" ref="A3116:B3116" si="9393">A3113</f>
        <v>PBAT</v>
      </c>
      <c r="B3116" s="391" t="str">
        <f t="shared" si="9393"/>
        <v>film</v>
      </c>
      <c r="C3116" s="391">
        <f t="shared" ref="C3116" si="9394">C3115</f>
        <v>2</v>
      </c>
      <c r="D3116" s="391" t="str">
        <f t="shared" ref="D3116:E3116" si="9395">D3113</f>
        <v>1-10</v>
      </c>
      <c r="E3116" s="391">
        <f t="shared" si="9395"/>
        <v>10</v>
      </c>
      <c r="F3116" s="391" t="str">
        <f t="shared" ref="F3116:G3116" si="9396">F3115</f>
        <v>marine water</v>
      </c>
      <c r="G3116" s="401" t="str">
        <f t="shared" si="9396"/>
        <v>DE: PBAT film 1-10 mm (emission to marine water)</v>
      </c>
      <c r="H3116" s="465">
        <v>0</v>
      </c>
      <c r="I3116" s="394" t="s">
        <v>1174</v>
      </c>
      <c r="J3116" s="635"/>
      <c r="K3116" s="389">
        <v>11.86</v>
      </c>
      <c r="L3116" s="536"/>
      <c r="M3116" s="509">
        <f t="shared" si="9278"/>
        <v>421.5851602023609</v>
      </c>
      <c r="N3116" s="646"/>
      <c r="O3116" s="626"/>
      <c r="P3116" s="629"/>
      <c r="Q3116" s="629"/>
    </row>
    <row r="3117" spans="1:17" ht="15.75" hidden="1" thickBot="1">
      <c r="A3117" s="390" t="str">
        <f t="shared" ref="A3117:B3117" si="9397">A3114</f>
        <v>PBAT</v>
      </c>
      <c r="B3117" s="391" t="str">
        <f t="shared" si="9397"/>
        <v>film</v>
      </c>
      <c r="C3117" s="391">
        <f t="shared" ref="C3117" si="9398">C3116</f>
        <v>2</v>
      </c>
      <c r="D3117" s="391" t="str">
        <f t="shared" ref="D3117:E3117" si="9399">D3114</f>
        <v>1-10</v>
      </c>
      <c r="E3117" s="391">
        <f t="shared" si="9399"/>
        <v>10</v>
      </c>
      <c r="F3117" s="391" t="str">
        <f t="shared" ref="F3117:G3117" si="9400">F3116</f>
        <v>marine water</v>
      </c>
      <c r="G3117" s="401" t="str">
        <f t="shared" si="9400"/>
        <v>DE: PBAT film 1-10 mm (emission to marine water)</v>
      </c>
      <c r="H3117" s="465">
        <v>0</v>
      </c>
      <c r="I3117" s="394" t="s">
        <v>1162</v>
      </c>
      <c r="J3117" s="635"/>
      <c r="K3117" s="389">
        <v>8.48</v>
      </c>
      <c r="L3117" s="536"/>
      <c r="M3117" s="509">
        <f t="shared" si="9278"/>
        <v>589.62264150943395</v>
      </c>
      <c r="N3117" s="646"/>
      <c r="O3117" s="626"/>
      <c r="P3117" s="629"/>
      <c r="Q3117" s="629"/>
    </row>
    <row r="3118" spans="1:17" ht="15.75" hidden="1" thickBot="1">
      <c r="A3118" s="390" t="str">
        <f t="shared" ref="A3118:B3118" si="9401">A3115</f>
        <v>PBAT</v>
      </c>
      <c r="B3118" s="391" t="str">
        <f t="shared" si="9401"/>
        <v>film</v>
      </c>
      <c r="C3118" s="391">
        <f t="shared" ref="C3118" si="9402">C3117</f>
        <v>2</v>
      </c>
      <c r="D3118" s="391" t="str">
        <f t="shared" ref="D3118:E3118" si="9403">D3115</f>
        <v>1-10</v>
      </c>
      <c r="E3118" s="391">
        <f t="shared" si="9403"/>
        <v>10</v>
      </c>
      <c r="F3118" s="391" t="str">
        <f t="shared" ref="F3118:G3118" si="9404">F3117</f>
        <v>marine water</v>
      </c>
      <c r="G3118" s="401" t="str">
        <f t="shared" si="9404"/>
        <v>DE: PBAT film 1-10 mm (emission to marine water)</v>
      </c>
      <c r="H3118" s="465">
        <v>1</v>
      </c>
      <c r="I3118" s="394" t="s">
        <v>1163</v>
      </c>
      <c r="J3118" s="635"/>
      <c r="K3118" s="389">
        <v>8.48</v>
      </c>
      <c r="L3118" s="536"/>
      <c r="M3118" s="509">
        <f t="shared" si="9278"/>
        <v>589.62264150943395</v>
      </c>
      <c r="N3118" s="646"/>
      <c r="O3118" s="626"/>
      <c r="P3118" s="629"/>
      <c r="Q3118" s="629"/>
    </row>
    <row r="3119" spans="1:17" ht="15.75" hidden="1" thickBot="1">
      <c r="A3119" s="390" t="str">
        <f t="shared" ref="A3119:B3119" si="9405">A3116</f>
        <v>PBAT</v>
      </c>
      <c r="B3119" s="391" t="str">
        <f t="shared" si="9405"/>
        <v>film</v>
      </c>
      <c r="C3119" s="391">
        <f t="shared" ref="C3119" si="9406">C3118</f>
        <v>2</v>
      </c>
      <c r="D3119" s="391" t="str">
        <f t="shared" ref="D3119:E3119" si="9407">D3116</f>
        <v>1-10</v>
      </c>
      <c r="E3119" s="391">
        <f t="shared" si="9407"/>
        <v>10</v>
      </c>
      <c r="F3119" s="391" t="str">
        <f t="shared" ref="F3119:G3119" si="9408">F3118</f>
        <v>marine water</v>
      </c>
      <c r="G3119" s="401" t="str">
        <f t="shared" si="9408"/>
        <v>DE: PBAT film 1-10 mm (emission to marine water)</v>
      </c>
      <c r="H3119" s="465">
        <v>0</v>
      </c>
      <c r="I3119" s="397" t="s">
        <v>1034</v>
      </c>
      <c r="J3119" s="654"/>
      <c r="K3119" s="398" t="s">
        <v>596</v>
      </c>
      <c r="L3119" s="538"/>
      <c r="M3119" s="509">
        <f t="shared" si="9278"/>
        <v>0</v>
      </c>
      <c r="N3119" s="647"/>
      <c r="O3119" s="627"/>
      <c r="P3119" s="629"/>
      <c r="Q3119" s="629"/>
    </row>
    <row r="3120" spans="1:17" ht="15.75" hidden="1" thickBot="1">
      <c r="A3120" s="390" t="str">
        <f t="shared" ref="A3120:B3120" si="9409">A3117</f>
        <v>PBAT</v>
      </c>
      <c r="B3120" s="391" t="str">
        <f t="shared" si="9409"/>
        <v>film</v>
      </c>
      <c r="C3120" s="391">
        <f t="shared" ref="C3120" si="9410">C3119</f>
        <v>2</v>
      </c>
      <c r="D3120" s="391" t="str">
        <f t="shared" ref="D3120:E3120" si="9411">D3117</f>
        <v>1-10</v>
      </c>
      <c r="E3120" s="391">
        <f t="shared" si="9411"/>
        <v>10</v>
      </c>
      <c r="F3120" s="400" t="s">
        <v>1057</v>
      </c>
      <c r="G3120" s="422" t="str">
        <f>CONCATENATE("DE: ",A3120," ",B3120," ",D3120," mm (emission to ",F3120,")")</f>
        <v>DE: PBAT film 1-10 mm (emission to air)</v>
      </c>
      <c r="H3120" s="467">
        <v>0.94799999999999995</v>
      </c>
      <c r="I3120" s="388" t="s">
        <v>1019</v>
      </c>
      <c r="J3120" s="634">
        <v>0.22800000000000001</v>
      </c>
      <c r="K3120" s="389">
        <v>8.48</v>
      </c>
      <c r="L3120" s="536"/>
      <c r="M3120" s="509">
        <f t="shared" si="9278"/>
        <v>589.62264150943395</v>
      </c>
      <c r="N3120" s="645">
        <f t="shared" si="9302"/>
        <v>589.62264150943395</v>
      </c>
      <c r="O3120" s="625"/>
      <c r="P3120" s="628">
        <f t="shared" si="9330"/>
        <v>100</v>
      </c>
      <c r="Q3120" s="628">
        <f t="shared" si="9246"/>
        <v>500</v>
      </c>
    </row>
    <row r="3121" spans="1:17" ht="15.75" hidden="1" thickBot="1">
      <c r="A3121" s="390" t="str">
        <f t="shared" ref="A3121:B3121" si="9412">A3118</f>
        <v>PBAT</v>
      </c>
      <c r="B3121" s="391" t="str">
        <f t="shared" si="9412"/>
        <v>film</v>
      </c>
      <c r="C3121" s="391">
        <f t="shared" ref="C3121" si="9413">C3120</f>
        <v>2</v>
      </c>
      <c r="D3121" s="391" t="str">
        <f t="shared" ref="D3121:E3121" si="9414">D3118</f>
        <v>1-10</v>
      </c>
      <c r="E3121" s="391">
        <f t="shared" si="9414"/>
        <v>10</v>
      </c>
      <c r="F3121" s="391" t="str">
        <f t="shared" ref="F3121:G3121" si="9415">F3120</f>
        <v>air</v>
      </c>
      <c r="G3121" s="401" t="str">
        <f t="shared" si="9415"/>
        <v>DE: PBAT film 1-10 mm (emission to air)</v>
      </c>
      <c r="H3121" s="465">
        <v>0</v>
      </c>
      <c r="I3121" s="394" t="s">
        <v>1174</v>
      </c>
      <c r="J3121" s="635"/>
      <c r="K3121" s="389">
        <v>11.86</v>
      </c>
      <c r="L3121" s="536"/>
      <c r="M3121" s="509">
        <f t="shared" si="9278"/>
        <v>421.5851602023609</v>
      </c>
      <c r="N3121" s="646"/>
      <c r="O3121" s="626"/>
      <c r="P3121" s="629"/>
      <c r="Q3121" s="629"/>
    </row>
    <row r="3122" spans="1:17" ht="15.75" hidden="1" thickBot="1">
      <c r="A3122" s="390" t="str">
        <f t="shared" ref="A3122:B3122" si="9416">A3119</f>
        <v>PBAT</v>
      </c>
      <c r="B3122" s="391" t="str">
        <f t="shared" si="9416"/>
        <v>film</v>
      </c>
      <c r="C3122" s="391">
        <f t="shared" ref="C3122" si="9417">C3121</f>
        <v>2</v>
      </c>
      <c r="D3122" s="391" t="str">
        <f t="shared" ref="D3122:E3122" si="9418">D3119</f>
        <v>1-10</v>
      </c>
      <c r="E3122" s="391">
        <f t="shared" si="9418"/>
        <v>10</v>
      </c>
      <c r="F3122" s="391" t="str">
        <f t="shared" ref="F3122:G3122" si="9419">F3121</f>
        <v>air</v>
      </c>
      <c r="G3122" s="401" t="str">
        <f t="shared" si="9419"/>
        <v>DE: PBAT film 1-10 mm (emission to air)</v>
      </c>
      <c r="H3122" s="465">
        <v>4.7E-2</v>
      </c>
      <c r="I3122" s="394" t="s">
        <v>1162</v>
      </c>
      <c r="J3122" s="635"/>
      <c r="K3122" s="389">
        <v>8.48</v>
      </c>
      <c r="L3122" s="536"/>
      <c r="M3122" s="509">
        <f t="shared" si="9278"/>
        <v>589.62264150943395</v>
      </c>
      <c r="N3122" s="646"/>
      <c r="O3122" s="626"/>
      <c r="P3122" s="629"/>
      <c r="Q3122" s="629"/>
    </row>
    <row r="3123" spans="1:17" ht="15.75" hidden="1" thickBot="1">
      <c r="A3123" s="390" t="str">
        <f t="shared" ref="A3123:B3123" si="9420">A3120</f>
        <v>PBAT</v>
      </c>
      <c r="B3123" s="391" t="str">
        <f t="shared" si="9420"/>
        <v>film</v>
      </c>
      <c r="C3123" s="391">
        <f t="shared" ref="C3123" si="9421">C3122</f>
        <v>2</v>
      </c>
      <c r="D3123" s="391" t="str">
        <f t="shared" ref="D3123:E3123" si="9422">D3120</f>
        <v>1-10</v>
      </c>
      <c r="E3123" s="391">
        <f t="shared" si="9422"/>
        <v>10</v>
      </c>
      <c r="F3123" s="391" t="str">
        <f t="shared" ref="F3123:G3123" si="9423">F3122</f>
        <v>air</v>
      </c>
      <c r="G3123" s="401" t="str">
        <f t="shared" si="9423"/>
        <v>DE: PBAT film 1-10 mm (emission to air)</v>
      </c>
      <c r="H3123" s="465">
        <v>5.0000000000000001E-3</v>
      </c>
      <c r="I3123" s="394" t="s">
        <v>1163</v>
      </c>
      <c r="J3123" s="635"/>
      <c r="K3123" s="389">
        <v>8.48</v>
      </c>
      <c r="L3123" s="536"/>
      <c r="M3123" s="509">
        <f t="shared" si="9278"/>
        <v>589.62264150943395</v>
      </c>
      <c r="N3123" s="646"/>
      <c r="O3123" s="626"/>
      <c r="P3123" s="629"/>
      <c r="Q3123" s="629"/>
    </row>
    <row r="3124" spans="1:17" ht="15.75" hidden="1" thickBot="1">
      <c r="A3124" s="390" t="str">
        <f t="shared" ref="A3124:B3124" si="9424">A3119</f>
        <v>PBAT</v>
      </c>
      <c r="B3124" s="391" t="str">
        <f t="shared" si="9424"/>
        <v>film</v>
      </c>
      <c r="C3124" s="391">
        <f t="shared" ref="C3124" si="9425">C3123</f>
        <v>2</v>
      </c>
      <c r="D3124" s="391" t="str">
        <f t="shared" ref="D3124:E3124" si="9426">D3119</f>
        <v>1-10</v>
      </c>
      <c r="E3124" s="391">
        <f t="shared" si="9426"/>
        <v>10</v>
      </c>
      <c r="F3124" s="391" t="str">
        <f t="shared" ref="F3124:G3124" si="9427">F3123</f>
        <v>air</v>
      </c>
      <c r="G3124" s="401" t="str">
        <f t="shared" si="9427"/>
        <v>DE: PBAT film 1-10 mm (emission to air)</v>
      </c>
      <c r="H3124" s="471">
        <v>0</v>
      </c>
      <c r="I3124" s="422" t="s">
        <v>1034</v>
      </c>
      <c r="J3124" s="636"/>
      <c r="K3124" s="451" t="s">
        <v>596</v>
      </c>
      <c r="L3124" s="542"/>
      <c r="M3124" s="509">
        <f t="shared" si="9278"/>
        <v>0</v>
      </c>
      <c r="N3124" s="647"/>
      <c r="O3124" s="627"/>
      <c r="P3124" s="629"/>
      <c r="Q3124" s="629"/>
    </row>
    <row r="3125" spans="1:17" ht="15.75" hidden="1" thickBot="1">
      <c r="A3125" s="405" t="s">
        <v>177</v>
      </c>
      <c r="B3125" s="406" t="s">
        <v>1151</v>
      </c>
      <c r="C3125" s="407">
        <v>4</v>
      </c>
      <c r="D3125" s="423" t="s">
        <v>1018</v>
      </c>
      <c r="E3125" s="408">
        <v>0.1</v>
      </c>
      <c r="F3125" s="424" t="s">
        <v>1019</v>
      </c>
      <c r="G3125" s="425" t="str">
        <f>CONCATENATE("DE: ",A3125," ",B3125," ",D3125," mm (emission to ",F3125,")")</f>
        <v>DE: PBAT fiber 0,01-0,1 mm (emission to soil)</v>
      </c>
      <c r="H3125" s="474">
        <v>0.97</v>
      </c>
      <c r="I3125" s="427" t="s">
        <v>1019</v>
      </c>
      <c r="J3125" s="632">
        <v>0.22800000000000001</v>
      </c>
      <c r="K3125" s="428">
        <v>8.48</v>
      </c>
      <c r="L3125" s="539"/>
      <c r="M3125" s="509">
        <f t="shared" si="9278"/>
        <v>2.9481132075471699</v>
      </c>
      <c r="N3125" s="645">
        <f t="shared" si="9302"/>
        <v>2.9481132075471699</v>
      </c>
      <c r="O3125" s="625"/>
      <c r="P3125" s="628">
        <f t="shared" si="9330"/>
        <v>2.9481132075471699</v>
      </c>
      <c r="Q3125" s="628">
        <f t="shared" si="9246"/>
        <v>2.9481132075471699</v>
      </c>
    </row>
    <row r="3126" spans="1:17" ht="15.75" hidden="1" thickBot="1">
      <c r="A3126" s="390" t="str">
        <f>A3125</f>
        <v>PBAT</v>
      </c>
      <c r="B3126" s="391" t="str">
        <f>B3125</f>
        <v>fiber</v>
      </c>
      <c r="C3126" s="391">
        <f t="shared" ref="C3126:G3126" si="9428">C3125</f>
        <v>4</v>
      </c>
      <c r="D3126" s="391" t="str">
        <f t="shared" si="9428"/>
        <v>0,01-0,1</v>
      </c>
      <c r="E3126" s="391">
        <f t="shared" si="9428"/>
        <v>0.1</v>
      </c>
      <c r="F3126" s="391" t="str">
        <f t="shared" si="9428"/>
        <v>soil</v>
      </c>
      <c r="G3126" s="392" t="str">
        <f t="shared" si="9428"/>
        <v>DE: PBAT fiber 0,01-0,1 mm (emission to soil)</v>
      </c>
      <c r="H3126" s="465">
        <v>0</v>
      </c>
      <c r="I3126" s="394" t="s">
        <v>1174</v>
      </c>
      <c r="J3126" s="632"/>
      <c r="K3126" s="395">
        <v>11.86</v>
      </c>
      <c r="L3126" s="537"/>
      <c r="M3126" s="509">
        <f t="shared" si="9278"/>
        <v>2.1079258010118043</v>
      </c>
      <c r="N3126" s="646"/>
      <c r="O3126" s="626"/>
      <c r="P3126" s="629"/>
      <c r="Q3126" s="629"/>
    </row>
    <row r="3127" spans="1:17" ht="15.75" hidden="1" thickBot="1">
      <c r="A3127" s="390" t="str">
        <f t="shared" ref="A3127:G3127" si="9429">A3126</f>
        <v>PBAT</v>
      </c>
      <c r="B3127" s="391" t="str">
        <f t="shared" si="9429"/>
        <v>fiber</v>
      </c>
      <c r="C3127" s="391">
        <f t="shared" si="9429"/>
        <v>4</v>
      </c>
      <c r="D3127" s="391" t="str">
        <f t="shared" si="9429"/>
        <v>0,01-0,1</v>
      </c>
      <c r="E3127" s="391">
        <f t="shared" si="9429"/>
        <v>0.1</v>
      </c>
      <c r="F3127" s="391" t="str">
        <f t="shared" si="9429"/>
        <v>soil</v>
      </c>
      <c r="G3127" s="392" t="str">
        <f t="shared" si="9429"/>
        <v>DE: PBAT fiber 0,01-0,1 mm (emission to soil)</v>
      </c>
      <c r="H3127" s="465">
        <v>2.7E-2</v>
      </c>
      <c r="I3127" s="394" t="s">
        <v>1162</v>
      </c>
      <c r="J3127" s="632"/>
      <c r="K3127" s="395">
        <v>8.48</v>
      </c>
      <c r="L3127" s="537"/>
      <c r="M3127" s="509">
        <f t="shared" si="9278"/>
        <v>2.9481132075471699</v>
      </c>
      <c r="N3127" s="646"/>
      <c r="O3127" s="626"/>
      <c r="P3127" s="629"/>
      <c r="Q3127" s="629"/>
    </row>
    <row r="3128" spans="1:17" ht="15.75" hidden="1" thickBot="1">
      <c r="A3128" s="390" t="str">
        <f t="shared" ref="A3128:G3128" si="9430">A3127</f>
        <v>PBAT</v>
      </c>
      <c r="B3128" s="391" t="str">
        <f t="shared" si="9430"/>
        <v>fiber</v>
      </c>
      <c r="C3128" s="391">
        <f t="shared" si="9430"/>
        <v>4</v>
      </c>
      <c r="D3128" s="391" t="str">
        <f t="shared" si="9430"/>
        <v>0,01-0,1</v>
      </c>
      <c r="E3128" s="391">
        <f t="shared" si="9430"/>
        <v>0.1</v>
      </c>
      <c r="F3128" s="391" t="str">
        <f t="shared" si="9430"/>
        <v>soil</v>
      </c>
      <c r="G3128" s="392" t="str">
        <f t="shared" si="9430"/>
        <v>DE: PBAT fiber 0,01-0,1 mm (emission to soil)</v>
      </c>
      <c r="H3128" s="465">
        <v>3.0000000000000001E-3</v>
      </c>
      <c r="I3128" s="394" t="s">
        <v>1163</v>
      </c>
      <c r="J3128" s="632"/>
      <c r="K3128" s="395">
        <v>8.48</v>
      </c>
      <c r="L3128" s="537"/>
      <c r="M3128" s="509">
        <f t="shared" si="9278"/>
        <v>2.9481132075471699</v>
      </c>
      <c r="N3128" s="646"/>
      <c r="O3128" s="626"/>
      <c r="P3128" s="629"/>
      <c r="Q3128" s="629"/>
    </row>
    <row r="3129" spans="1:17" ht="15.75" hidden="1" thickBot="1">
      <c r="A3129" s="390" t="str">
        <f>A3126</f>
        <v>PBAT</v>
      </c>
      <c r="B3129" s="391" t="str">
        <f>B3126</f>
        <v>fiber</v>
      </c>
      <c r="C3129" s="391">
        <f t="shared" ref="C3129" si="9431">C3128</f>
        <v>4</v>
      </c>
      <c r="D3129" s="391" t="str">
        <f>D3126</f>
        <v>0,01-0,1</v>
      </c>
      <c r="E3129" s="391">
        <f>E3126</f>
        <v>0.1</v>
      </c>
      <c r="F3129" s="391" t="str">
        <f>F3126</f>
        <v>soil</v>
      </c>
      <c r="G3129" s="396" t="str">
        <f t="shared" ref="G3129" si="9432">G3128</f>
        <v>DE: PBAT fiber 0,01-0,1 mm (emission to soil)</v>
      </c>
      <c r="H3129" s="465">
        <v>0</v>
      </c>
      <c r="I3129" s="397" t="s">
        <v>1034</v>
      </c>
      <c r="J3129" s="633"/>
      <c r="K3129" s="398" t="s">
        <v>596</v>
      </c>
      <c r="L3129" s="538"/>
      <c r="M3129" s="509">
        <f t="shared" si="9278"/>
        <v>0</v>
      </c>
      <c r="N3129" s="647"/>
      <c r="O3129" s="627"/>
      <c r="P3129" s="629"/>
      <c r="Q3129" s="629"/>
    </row>
    <row r="3130" spans="1:17" ht="15.75" hidden="1" thickBot="1">
      <c r="A3130" s="390" t="str">
        <f t="shared" ref="A3130:B3130" si="9433">A3127</f>
        <v>PBAT</v>
      </c>
      <c r="B3130" s="391" t="str">
        <f t="shared" si="9433"/>
        <v>fiber</v>
      </c>
      <c r="C3130" s="391">
        <f t="shared" ref="C3130" si="9434">C3129</f>
        <v>4</v>
      </c>
      <c r="D3130" s="399" t="str">
        <f t="shared" ref="D3130:E3130" si="9435">D3127</f>
        <v>0,01-0,1</v>
      </c>
      <c r="E3130" s="391">
        <f t="shared" si="9435"/>
        <v>0.1</v>
      </c>
      <c r="F3130" s="400" t="s">
        <v>1147</v>
      </c>
      <c r="G3130" s="386" t="str">
        <f>CONCATENATE("DE: ",A3130," ",B3130," ",D3130," mm (emission to ",F3130,")")</f>
        <v>DE: PBAT fiber 0,01-0,1 mm (emission to fresh water)</v>
      </c>
      <c r="H3130" s="466">
        <v>0</v>
      </c>
      <c r="I3130" s="388" t="s">
        <v>1019</v>
      </c>
      <c r="J3130" s="634">
        <v>0.22800000000000001</v>
      </c>
      <c r="K3130" s="389">
        <v>8.48</v>
      </c>
      <c r="L3130" s="536"/>
      <c r="M3130" s="509">
        <f t="shared" si="9278"/>
        <v>2.9481132075471699</v>
      </c>
      <c r="N3130" s="645">
        <f t="shared" si="9302"/>
        <v>2.9481132075471699</v>
      </c>
      <c r="O3130" s="625"/>
      <c r="P3130" s="628">
        <f t="shared" si="9330"/>
        <v>2.9481132075471699</v>
      </c>
      <c r="Q3130" s="628">
        <f t="shared" si="9246"/>
        <v>2.9481132075471699</v>
      </c>
    </row>
    <row r="3131" spans="1:17" ht="15.75" hidden="1" thickBot="1">
      <c r="A3131" s="390" t="str">
        <f t="shared" ref="A3131:B3131" si="9436">A3128</f>
        <v>PBAT</v>
      </c>
      <c r="B3131" s="391" t="str">
        <f t="shared" si="9436"/>
        <v>fiber</v>
      </c>
      <c r="C3131" s="391">
        <f t="shared" ref="C3131" si="9437">C3130</f>
        <v>4</v>
      </c>
      <c r="D3131" s="391" t="str">
        <f t="shared" ref="D3131:E3131" si="9438">D3128</f>
        <v>0,01-0,1</v>
      </c>
      <c r="E3131" s="391">
        <f t="shared" si="9438"/>
        <v>0.1</v>
      </c>
      <c r="F3131" s="391" t="str">
        <f t="shared" ref="F3131:G3131" si="9439">F3130</f>
        <v>fresh water</v>
      </c>
      <c r="G3131" s="401" t="str">
        <f t="shared" si="9439"/>
        <v>DE: PBAT fiber 0,01-0,1 mm (emission to fresh water)</v>
      </c>
      <c r="H3131" s="465">
        <v>0</v>
      </c>
      <c r="I3131" s="394" t="s">
        <v>1174</v>
      </c>
      <c r="J3131" s="635"/>
      <c r="K3131" s="389">
        <v>11.86</v>
      </c>
      <c r="L3131" s="536"/>
      <c r="M3131" s="509">
        <f t="shared" si="9278"/>
        <v>2.1079258010118043</v>
      </c>
      <c r="N3131" s="646"/>
      <c r="O3131" s="626"/>
      <c r="P3131" s="629"/>
      <c r="Q3131" s="629"/>
    </row>
    <row r="3132" spans="1:17" ht="15.75" hidden="1" thickBot="1">
      <c r="A3132" s="390" t="str">
        <f t="shared" ref="A3132:B3132" si="9440">A3129</f>
        <v>PBAT</v>
      </c>
      <c r="B3132" s="391" t="str">
        <f t="shared" si="9440"/>
        <v>fiber</v>
      </c>
      <c r="C3132" s="391">
        <f t="shared" ref="C3132" si="9441">C3131</f>
        <v>4</v>
      </c>
      <c r="D3132" s="391" t="str">
        <f t="shared" ref="D3132:E3132" si="9442">D3129</f>
        <v>0,01-0,1</v>
      </c>
      <c r="E3132" s="391">
        <f t="shared" si="9442"/>
        <v>0.1</v>
      </c>
      <c r="F3132" s="391" t="str">
        <f t="shared" ref="F3132:G3132" si="9443">F3131</f>
        <v>fresh water</v>
      </c>
      <c r="G3132" s="401" t="str">
        <f t="shared" si="9443"/>
        <v>DE: PBAT fiber 0,01-0,1 mm (emission to fresh water)</v>
      </c>
      <c r="H3132" s="465">
        <v>0.89</v>
      </c>
      <c r="I3132" s="394" t="s">
        <v>1162</v>
      </c>
      <c r="J3132" s="635"/>
      <c r="K3132" s="389">
        <v>8.48</v>
      </c>
      <c r="L3132" s="536"/>
      <c r="M3132" s="509">
        <f t="shared" si="9278"/>
        <v>2.9481132075471699</v>
      </c>
      <c r="N3132" s="646"/>
      <c r="O3132" s="626"/>
      <c r="P3132" s="629"/>
      <c r="Q3132" s="629"/>
    </row>
    <row r="3133" spans="1:17" ht="15.75" hidden="1" thickBot="1">
      <c r="A3133" s="390" t="str">
        <f t="shared" ref="A3133:B3133" si="9444">A3130</f>
        <v>PBAT</v>
      </c>
      <c r="B3133" s="391" t="str">
        <f t="shared" si="9444"/>
        <v>fiber</v>
      </c>
      <c r="C3133" s="391">
        <f t="shared" ref="C3133" si="9445">C3132</f>
        <v>4</v>
      </c>
      <c r="D3133" s="391" t="str">
        <f t="shared" ref="D3133:E3133" si="9446">D3130</f>
        <v>0,01-0,1</v>
      </c>
      <c r="E3133" s="391">
        <f t="shared" si="9446"/>
        <v>0.1</v>
      </c>
      <c r="F3133" s="391" t="str">
        <f t="shared" ref="F3133:G3133" si="9447">F3132</f>
        <v>fresh water</v>
      </c>
      <c r="G3133" s="401" t="str">
        <f t="shared" si="9447"/>
        <v>DE: PBAT fiber 0,01-0,1 mm (emission to fresh water)</v>
      </c>
      <c r="H3133" s="465">
        <v>0.11</v>
      </c>
      <c r="I3133" s="394" t="s">
        <v>1163</v>
      </c>
      <c r="J3133" s="635"/>
      <c r="K3133" s="389">
        <v>8.48</v>
      </c>
      <c r="L3133" s="536"/>
      <c r="M3133" s="509">
        <f t="shared" si="9278"/>
        <v>2.9481132075471699</v>
      </c>
      <c r="N3133" s="646"/>
      <c r="O3133" s="626"/>
      <c r="P3133" s="629"/>
      <c r="Q3133" s="629"/>
    </row>
    <row r="3134" spans="1:17" ht="15.75" hidden="1" thickBot="1">
      <c r="A3134" s="390" t="str">
        <f t="shared" ref="A3134:B3134" si="9448">A3131</f>
        <v>PBAT</v>
      </c>
      <c r="B3134" s="391" t="str">
        <f t="shared" si="9448"/>
        <v>fiber</v>
      </c>
      <c r="C3134" s="391">
        <f t="shared" ref="C3134" si="9449">C3133</f>
        <v>4</v>
      </c>
      <c r="D3134" s="391" t="str">
        <f t="shared" ref="D3134:E3134" si="9450">D3131</f>
        <v>0,01-0,1</v>
      </c>
      <c r="E3134" s="391">
        <f t="shared" si="9450"/>
        <v>0.1</v>
      </c>
      <c r="F3134" s="402" t="str">
        <f>F3131</f>
        <v>fresh water</v>
      </c>
      <c r="G3134" s="401" t="str">
        <f t="shared" ref="G3134" si="9451">G3133</f>
        <v>DE: PBAT fiber 0,01-0,1 mm (emission to fresh water)</v>
      </c>
      <c r="H3134" s="465">
        <v>0</v>
      </c>
      <c r="I3134" s="397" t="s">
        <v>1034</v>
      </c>
      <c r="J3134" s="654"/>
      <c r="K3134" s="398" t="s">
        <v>596</v>
      </c>
      <c r="L3134" s="538"/>
      <c r="M3134" s="509">
        <f t="shared" si="9278"/>
        <v>0</v>
      </c>
      <c r="N3134" s="647"/>
      <c r="O3134" s="627"/>
      <c r="P3134" s="629"/>
      <c r="Q3134" s="629"/>
    </row>
    <row r="3135" spans="1:17" ht="15.75" hidden="1" thickBot="1">
      <c r="A3135" s="390" t="str">
        <f t="shared" ref="A3135:B3135" si="9452">A3132</f>
        <v>PBAT</v>
      </c>
      <c r="B3135" s="391" t="str">
        <f t="shared" si="9452"/>
        <v>fiber</v>
      </c>
      <c r="C3135" s="391">
        <f t="shared" ref="C3135" si="9453">C3134</f>
        <v>4</v>
      </c>
      <c r="D3135" s="391" t="str">
        <f t="shared" ref="D3135:E3135" si="9454">D3132</f>
        <v>0,01-0,1</v>
      </c>
      <c r="E3135" s="391">
        <f t="shared" si="9454"/>
        <v>0.1</v>
      </c>
      <c r="F3135" s="385" t="s">
        <v>1097</v>
      </c>
      <c r="G3135" s="422" t="str">
        <f>CONCATENATE("DE: ",A3135," ",B3135," ",D3135," mm (emission to ",F3135,")")</f>
        <v>DE: PBAT fiber 0,01-0,1 mm (emission to marine water)</v>
      </c>
      <c r="H3135" s="467">
        <v>0</v>
      </c>
      <c r="I3135" s="388" t="s">
        <v>1019</v>
      </c>
      <c r="J3135" s="634">
        <v>0.22800000000000001</v>
      </c>
      <c r="K3135" s="389">
        <v>8.48</v>
      </c>
      <c r="L3135" s="536"/>
      <c r="M3135" s="509">
        <f t="shared" si="9278"/>
        <v>2.9481132075471699</v>
      </c>
      <c r="N3135" s="645">
        <f t="shared" si="9302"/>
        <v>2.9481132075471699</v>
      </c>
      <c r="O3135" s="625"/>
      <c r="P3135" s="628">
        <f t="shared" si="9330"/>
        <v>2.9481132075471699</v>
      </c>
      <c r="Q3135" s="628">
        <f t="shared" ref="Q3135:Q3195" si="9455">IFERROR(IF(H3135*M3135+H3136*M3136+H3137*M3137+H3138*M3138+H3139*M3139&gt;500,500,H3135*M3135+H3136*M3136+H3137*M3137+H3138*M3138+H3139*M3139),"N.A.")</f>
        <v>2.9481132075471699</v>
      </c>
    </row>
    <row r="3136" spans="1:17" ht="15.75" hidden="1" thickBot="1">
      <c r="A3136" s="390" t="str">
        <f t="shared" ref="A3136:B3136" si="9456">A3133</f>
        <v>PBAT</v>
      </c>
      <c r="B3136" s="391" t="str">
        <f t="shared" si="9456"/>
        <v>fiber</v>
      </c>
      <c r="C3136" s="391">
        <f t="shared" ref="C3136" si="9457">C3135</f>
        <v>4</v>
      </c>
      <c r="D3136" s="391" t="str">
        <f t="shared" ref="D3136:E3136" si="9458">D3133</f>
        <v>0,01-0,1</v>
      </c>
      <c r="E3136" s="391">
        <f t="shared" si="9458"/>
        <v>0.1</v>
      </c>
      <c r="F3136" s="391" t="str">
        <f t="shared" ref="F3136:G3136" si="9459">F3135</f>
        <v>marine water</v>
      </c>
      <c r="G3136" s="401" t="str">
        <f t="shared" si="9459"/>
        <v>DE: PBAT fiber 0,01-0,1 mm (emission to marine water)</v>
      </c>
      <c r="H3136" s="465">
        <v>0</v>
      </c>
      <c r="I3136" s="394" t="s">
        <v>1174</v>
      </c>
      <c r="J3136" s="635"/>
      <c r="K3136" s="389">
        <v>11.86</v>
      </c>
      <c r="L3136" s="536"/>
      <c r="M3136" s="509">
        <f t="shared" si="9278"/>
        <v>2.1079258010118043</v>
      </c>
      <c r="N3136" s="646"/>
      <c r="O3136" s="626"/>
      <c r="P3136" s="629"/>
      <c r="Q3136" s="629"/>
    </row>
    <row r="3137" spans="1:17" ht="15.75" hidden="1" thickBot="1">
      <c r="A3137" s="390" t="str">
        <f t="shared" ref="A3137:B3137" si="9460">A3134</f>
        <v>PBAT</v>
      </c>
      <c r="B3137" s="391" t="str">
        <f t="shared" si="9460"/>
        <v>fiber</v>
      </c>
      <c r="C3137" s="391">
        <f t="shared" ref="C3137" si="9461">C3136</f>
        <v>4</v>
      </c>
      <c r="D3137" s="391" t="str">
        <f t="shared" ref="D3137:E3137" si="9462">D3134</f>
        <v>0,01-0,1</v>
      </c>
      <c r="E3137" s="391">
        <f t="shared" si="9462"/>
        <v>0.1</v>
      </c>
      <c r="F3137" s="391" t="str">
        <f t="shared" ref="F3137:G3137" si="9463">F3136</f>
        <v>marine water</v>
      </c>
      <c r="G3137" s="401" t="str">
        <f t="shared" si="9463"/>
        <v>DE: PBAT fiber 0,01-0,1 mm (emission to marine water)</v>
      </c>
      <c r="H3137" s="465">
        <v>0</v>
      </c>
      <c r="I3137" s="394" t="s">
        <v>1162</v>
      </c>
      <c r="J3137" s="635"/>
      <c r="K3137" s="389">
        <v>8.48</v>
      </c>
      <c r="L3137" s="536"/>
      <c r="M3137" s="509">
        <f t="shared" si="9278"/>
        <v>2.9481132075471699</v>
      </c>
      <c r="N3137" s="646"/>
      <c r="O3137" s="626"/>
      <c r="P3137" s="629"/>
      <c r="Q3137" s="629"/>
    </row>
    <row r="3138" spans="1:17" ht="15.75" hidden="1" thickBot="1">
      <c r="A3138" s="390" t="str">
        <f t="shared" ref="A3138:B3138" si="9464">A3135</f>
        <v>PBAT</v>
      </c>
      <c r="B3138" s="391" t="str">
        <f t="shared" si="9464"/>
        <v>fiber</v>
      </c>
      <c r="C3138" s="391">
        <f t="shared" ref="C3138" si="9465">C3137</f>
        <v>4</v>
      </c>
      <c r="D3138" s="391" t="str">
        <f t="shared" ref="D3138:E3138" si="9466">D3135</f>
        <v>0,01-0,1</v>
      </c>
      <c r="E3138" s="391">
        <f t="shared" si="9466"/>
        <v>0.1</v>
      </c>
      <c r="F3138" s="391" t="str">
        <f t="shared" ref="F3138:G3138" si="9467">F3137</f>
        <v>marine water</v>
      </c>
      <c r="G3138" s="401" t="str">
        <f t="shared" si="9467"/>
        <v>DE: PBAT fiber 0,01-0,1 mm (emission to marine water)</v>
      </c>
      <c r="H3138" s="465">
        <v>1</v>
      </c>
      <c r="I3138" s="394" t="s">
        <v>1163</v>
      </c>
      <c r="J3138" s="635"/>
      <c r="K3138" s="389">
        <v>8.48</v>
      </c>
      <c r="L3138" s="536"/>
      <c r="M3138" s="509">
        <f t="shared" si="9278"/>
        <v>2.9481132075471699</v>
      </c>
      <c r="N3138" s="646"/>
      <c r="O3138" s="626"/>
      <c r="P3138" s="629"/>
      <c r="Q3138" s="629"/>
    </row>
    <row r="3139" spans="1:17" ht="15.75" hidden="1" thickBot="1">
      <c r="A3139" s="390" t="str">
        <f t="shared" ref="A3139:B3139" si="9468">A3136</f>
        <v>PBAT</v>
      </c>
      <c r="B3139" s="391" t="str">
        <f t="shared" si="9468"/>
        <v>fiber</v>
      </c>
      <c r="C3139" s="391">
        <f t="shared" ref="C3139" si="9469">C3138</f>
        <v>4</v>
      </c>
      <c r="D3139" s="391" t="str">
        <f t="shared" ref="D3139:E3139" si="9470">D3136</f>
        <v>0,01-0,1</v>
      </c>
      <c r="E3139" s="391">
        <f t="shared" si="9470"/>
        <v>0.1</v>
      </c>
      <c r="F3139" s="391" t="str">
        <f t="shared" ref="F3139:G3139" si="9471">F3138</f>
        <v>marine water</v>
      </c>
      <c r="G3139" s="401" t="str">
        <f t="shared" si="9471"/>
        <v>DE: PBAT fiber 0,01-0,1 mm (emission to marine water)</v>
      </c>
      <c r="H3139" s="465">
        <v>0</v>
      </c>
      <c r="I3139" s="397" t="s">
        <v>1034</v>
      </c>
      <c r="J3139" s="654"/>
      <c r="K3139" s="398" t="s">
        <v>596</v>
      </c>
      <c r="L3139" s="538"/>
      <c r="M3139" s="509">
        <f t="shared" si="9278"/>
        <v>0</v>
      </c>
      <c r="N3139" s="647"/>
      <c r="O3139" s="627"/>
      <c r="P3139" s="629"/>
      <c r="Q3139" s="629"/>
    </row>
    <row r="3140" spans="1:17" ht="15.75" hidden="1" thickBot="1">
      <c r="A3140" s="390" t="str">
        <f t="shared" ref="A3140:B3140" si="9472">A3137</f>
        <v>PBAT</v>
      </c>
      <c r="B3140" s="391" t="str">
        <f t="shared" si="9472"/>
        <v>fiber</v>
      </c>
      <c r="C3140" s="391">
        <f t="shared" ref="C3140" si="9473">C3139</f>
        <v>4</v>
      </c>
      <c r="D3140" s="391" t="str">
        <f t="shared" ref="D3140:E3140" si="9474">D3137</f>
        <v>0,01-0,1</v>
      </c>
      <c r="E3140" s="391">
        <f t="shared" si="9474"/>
        <v>0.1</v>
      </c>
      <c r="F3140" s="400" t="s">
        <v>1057</v>
      </c>
      <c r="G3140" s="422" t="str">
        <f>CONCATENATE("DE: ",A3140," ",B3140," ",D3140," mm (emission to ",F3140,")")</f>
        <v>DE: PBAT fiber 0,01-0,1 mm (emission to air)</v>
      </c>
      <c r="H3140" s="467">
        <v>0.94799999999999995</v>
      </c>
      <c r="I3140" s="388" t="s">
        <v>1019</v>
      </c>
      <c r="J3140" s="634">
        <v>0.22800000000000001</v>
      </c>
      <c r="K3140" s="389">
        <v>8.48</v>
      </c>
      <c r="L3140" s="536"/>
      <c r="M3140" s="509">
        <f t="shared" si="9278"/>
        <v>2.9481132075471699</v>
      </c>
      <c r="N3140" s="645">
        <f t="shared" si="9302"/>
        <v>2.9481132075471699</v>
      </c>
      <c r="O3140" s="625"/>
      <c r="P3140" s="628">
        <f t="shared" si="9330"/>
        <v>2.9481132075471699</v>
      </c>
      <c r="Q3140" s="628">
        <f t="shared" si="9455"/>
        <v>2.9481132075471699</v>
      </c>
    </row>
    <row r="3141" spans="1:17" ht="15.75" hidden="1" thickBot="1">
      <c r="A3141" s="390" t="str">
        <f t="shared" ref="A3141:B3141" si="9475">A3138</f>
        <v>PBAT</v>
      </c>
      <c r="B3141" s="391" t="str">
        <f t="shared" si="9475"/>
        <v>fiber</v>
      </c>
      <c r="C3141" s="391">
        <f t="shared" ref="C3141" si="9476">C3140</f>
        <v>4</v>
      </c>
      <c r="D3141" s="391" t="str">
        <f t="shared" ref="D3141:E3141" si="9477">D3138</f>
        <v>0,01-0,1</v>
      </c>
      <c r="E3141" s="391">
        <f t="shared" si="9477"/>
        <v>0.1</v>
      </c>
      <c r="F3141" s="391" t="str">
        <f t="shared" ref="F3141:G3141" si="9478">F3140</f>
        <v>air</v>
      </c>
      <c r="G3141" s="401" t="str">
        <f t="shared" si="9478"/>
        <v>DE: PBAT fiber 0,01-0,1 mm (emission to air)</v>
      </c>
      <c r="H3141" s="465">
        <v>0</v>
      </c>
      <c r="I3141" s="394" t="s">
        <v>1174</v>
      </c>
      <c r="J3141" s="635"/>
      <c r="K3141" s="389">
        <v>11.86</v>
      </c>
      <c r="L3141" s="536"/>
      <c r="M3141" s="509">
        <f t="shared" si="9278"/>
        <v>2.1079258010118043</v>
      </c>
      <c r="N3141" s="646"/>
      <c r="O3141" s="626"/>
      <c r="P3141" s="629"/>
      <c r="Q3141" s="629"/>
    </row>
    <row r="3142" spans="1:17" ht="15.75" hidden="1" thickBot="1">
      <c r="A3142" s="390" t="str">
        <f t="shared" ref="A3142:B3142" si="9479">A3139</f>
        <v>PBAT</v>
      </c>
      <c r="B3142" s="391" t="str">
        <f t="shared" si="9479"/>
        <v>fiber</v>
      </c>
      <c r="C3142" s="391">
        <f t="shared" ref="C3142" si="9480">C3141</f>
        <v>4</v>
      </c>
      <c r="D3142" s="391" t="str">
        <f t="shared" ref="D3142:E3142" si="9481">D3139</f>
        <v>0,01-0,1</v>
      </c>
      <c r="E3142" s="391">
        <f t="shared" si="9481"/>
        <v>0.1</v>
      </c>
      <c r="F3142" s="391" t="str">
        <f t="shared" ref="F3142:G3142" si="9482">F3141</f>
        <v>air</v>
      </c>
      <c r="G3142" s="401" t="str">
        <f t="shared" si="9482"/>
        <v>DE: PBAT fiber 0,01-0,1 mm (emission to air)</v>
      </c>
      <c r="H3142" s="465">
        <v>4.7E-2</v>
      </c>
      <c r="I3142" s="394" t="s">
        <v>1162</v>
      </c>
      <c r="J3142" s="635"/>
      <c r="K3142" s="389">
        <v>8.48</v>
      </c>
      <c r="L3142" s="536"/>
      <c r="M3142" s="509">
        <f t="shared" ref="M3142:M3205" si="9483">IFERROR(IF(K3142="--",0,IF(E3142*1000/K3142*(1-0.5)^(C3142/2)&gt;1000,1000,E3142*1000/K3142*(1-0.5)^(C3142/2))),1000)</f>
        <v>2.9481132075471699</v>
      </c>
      <c r="N3142" s="646"/>
      <c r="O3142" s="626"/>
      <c r="P3142" s="629"/>
      <c r="Q3142" s="629"/>
    </row>
    <row r="3143" spans="1:17" ht="15.75" hidden="1" thickBot="1">
      <c r="A3143" s="390" t="str">
        <f t="shared" ref="A3143:B3143" si="9484">A3140</f>
        <v>PBAT</v>
      </c>
      <c r="B3143" s="391" t="str">
        <f t="shared" si="9484"/>
        <v>fiber</v>
      </c>
      <c r="C3143" s="391">
        <f t="shared" ref="C3143" si="9485">C3142</f>
        <v>4</v>
      </c>
      <c r="D3143" s="391" t="str">
        <f t="shared" ref="D3143:E3143" si="9486">D3140</f>
        <v>0,01-0,1</v>
      </c>
      <c r="E3143" s="391">
        <f t="shared" si="9486"/>
        <v>0.1</v>
      </c>
      <c r="F3143" s="391" t="str">
        <f t="shared" ref="F3143:G3143" si="9487">F3142</f>
        <v>air</v>
      </c>
      <c r="G3143" s="401" t="str">
        <f t="shared" si="9487"/>
        <v>DE: PBAT fiber 0,01-0,1 mm (emission to air)</v>
      </c>
      <c r="H3143" s="465">
        <v>5.0000000000000001E-3</v>
      </c>
      <c r="I3143" s="394" t="s">
        <v>1163</v>
      </c>
      <c r="J3143" s="635"/>
      <c r="K3143" s="389">
        <v>8.48</v>
      </c>
      <c r="L3143" s="536"/>
      <c r="M3143" s="509">
        <f t="shared" si="9483"/>
        <v>2.9481132075471699</v>
      </c>
      <c r="N3143" s="646"/>
      <c r="O3143" s="626"/>
      <c r="P3143" s="629"/>
      <c r="Q3143" s="629"/>
    </row>
    <row r="3144" spans="1:17" ht="15.75" hidden="1" thickBot="1">
      <c r="A3144" s="452" t="str">
        <f t="shared" ref="A3144:B3144" si="9488">A3139</f>
        <v>PBAT</v>
      </c>
      <c r="B3144" s="453" t="str">
        <f t="shared" si="9488"/>
        <v>fiber</v>
      </c>
      <c r="C3144" s="453">
        <f t="shared" ref="C3144" si="9489">C3143</f>
        <v>4</v>
      </c>
      <c r="D3144" s="453" t="str">
        <f t="shared" ref="D3144:E3144" si="9490">D3139</f>
        <v>0,01-0,1</v>
      </c>
      <c r="E3144" s="453">
        <f t="shared" si="9490"/>
        <v>0.1</v>
      </c>
      <c r="F3144" s="453" t="str">
        <f t="shared" ref="F3144:G3144" si="9491">F3143</f>
        <v>air</v>
      </c>
      <c r="G3144" s="454" t="str">
        <f t="shared" si="9491"/>
        <v>DE: PBAT fiber 0,01-0,1 mm (emission to air)</v>
      </c>
      <c r="H3144" s="473">
        <v>0</v>
      </c>
      <c r="I3144" s="456" t="s">
        <v>1034</v>
      </c>
      <c r="J3144" s="636"/>
      <c r="K3144" s="457" t="s">
        <v>596</v>
      </c>
      <c r="L3144" s="543"/>
      <c r="M3144" s="509">
        <f t="shared" si="9483"/>
        <v>0</v>
      </c>
      <c r="N3144" s="647"/>
      <c r="O3144" s="627"/>
      <c r="P3144" s="629"/>
      <c r="Q3144" s="629"/>
    </row>
    <row r="3145" spans="1:17" ht="15.75" hidden="1" thickBot="1">
      <c r="A3145" s="381" t="s">
        <v>177</v>
      </c>
      <c r="B3145" s="382" t="s">
        <v>1151</v>
      </c>
      <c r="C3145" s="383">
        <v>4</v>
      </c>
      <c r="D3145" s="475" t="s">
        <v>1028</v>
      </c>
      <c r="E3145" s="384">
        <v>1</v>
      </c>
      <c r="F3145" s="385" t="s">
        <v>1019</v>
      </c>
      <c r="G3145" s="386" t="str">
        <f>CONCATENATE("DE: ",A3145," ",B3145," ",D3145," mm (emission to ",F3145,")")</f>
        <v>DE: PBAT fiber 0,1-1 mm (emission to soil)</v>
      </c>
      <c r="H3145" s="466">
        <v>0.97</v>
      </c>
      <c r="I3145" s="388" t="s">
        <v>1019</v>
      </c>
      <c r="J3145" s="632">
        <v>0.22800000000000001</v>
      </c>
      <c r="K3145" s="389">
        <v>8.48</v>
      </c>
      <c r="L3145" s="536"/>
      <c r="M3145" s="509">
        <f t="shared" si="9483"/>
        <v>29.481132075471695</v>
      </c>
      <c r="N3145" s="645">
        <f t="shared" si="9302"/>
        <v>29.481132075471699</v>
      </c>
      <c r="O3145" s="625"/>
      <c r="P3145" s="628">
        <f t="shared" si="9330"/>
        <v>29.481132075471699</v>
      </c>
      <c r="Q3145" s="628">
        <f t="shared" si="9455"/>
        <v>29.481132075471699</v>
      </c>
    </row>
    <row r="3146" spans="1:17" ht="15.75" hidden="1" thickBot="1">
      <c r="A3146" s="390" t="str">
        <f>A3145</f>
        <v>PBAT</v>
      </c>
      <c r="B3146" s="391" t="str">
        <f>B3145</f>
        <v>fiber</v>
      </c>
      <c r="C3146" s="391">
        <f t="shared" ref="C3146:G3146" si="9492">C3145</f>
        <v>4</v>
      </c>
      <c r="D3146" s="391" t="str">
        <f t="shared" si="9492"/>
        <v>0,1-1</v>
      </c>
      <c r="E3146" s="391">
        <f t="shared" si="9492"/>
        <v>1</v>
      </c>
      <c r="F3146" s="391" t="str">
        <f t="shared" si="9492"/>
        <v>soil</v>
      </c>
      <c r="G3146" s="392" t="str">
        <f t="shared" si="9492"/>
        <v>DE: PBAT fiber 0,1-1 mm (emission to soil)</v>
      </c>
      <c r="H3146" s="465">
        <v>0</v>
      </c>
      <c r="I3146" s="394" t="s">
        <v>1174</v>
      </c>
      <c r="J3146" s="632"/>
      <c r="K3146" s="395">
        <v>11.86</v>
      </c>
      <c r="L3146" s="537"/>
      <c r="M3146" s="509">
        <f t="shared" si="9483"/>
        <v>21.079258010118046</v>
      </c>
      <c r="N3146" s="646"/>
      <c r="O3146" s="626"/>
      <c r="P3146" s="629"/>
      <c r="Q3146" s="629"/>
    </row>
    <row r="3147" spans="1:17" ht="15.75" hidden="1" thickBot="1">
      <c r="A3147" s="390" t="str">
        <f t="shared" ref="A3147:G3147" si="9493">A3146</f>
        <v>PBAT</v>
      </c>
      <c r="B3147" s="391" t="str">
        <f t="shared" si="9493"/>
        <v>fiber</v>
      </c>
      <c r="C3147" s="391">
        <f t="shared" si="9493"/>
        <v>4</v>
      </c>
      <c r="D3147" s="391" t="str">
        <f t="shared" si="9493"/>
        <v>0,1-1</v>
      </c>
      <c r="E3147" s="391">
        <f t="shared" si="9493"/>
        <v>1</v>
      </c>
      <c r="F3147" s="391" t="str">
        <f t="shared" si="9493"/>
        <v>soil</v>
      </c>
      <c r="G3147" s="392" t="str">
        <f t="shared" si="9493"/>
        <v>DE: PBAT fiber 0,1-1 mm (emission to soil)</v>
      </c>
      <c r="H3147" s="465">
        <v>2.7E-2</v>
      </c>
      <c r="I3147" s="394" t="s">
        <v>1162</v>
      </c>
      <c r="J3147" s="632"/>
      <c r="K3147" s="395">
        <v>8.48</v>
      </c>
      <c r="L3147" s="537"/>
      <c r="M3147" s="509">
        <f t="shared" si="9483"/>
        <v>29.481132075471695</v>
      </c>
      <c r="N3147" s="646"/>
      <c r="O3147" s="626"/>
      <c r="P3147" s="629"/>
      <c r="Q3147" s="629"/>
    </row>
    <row r="3148" spans="1:17" ht="15.75" hidden="1" thickBot="1">
      <c r="A3148" s="390" t="str">
        <f t="shared" ref="A3148:G3148" si="9494">A3147</f>
        <v>PBAT</v>
      </c>
      <c r="B3148" s="391" t="str">
        <f t="shared" si="9494"/>
        <v>fiber</v>
      </c>
      <c r="C3148" s="391">
        <f t="shared" si="9494"/>
        <v>4</v>
      </c>
      <c r="D3148" s="391" t="str">
        <f t="shared" si="9494"/>
        <v>0,1-1</v>
      </c>
      <c r="E3148" s="391">
        <f t="shared" si="9494"/>
        <v>1</v>
      </c>
      <c r="F3148" s="391" t="str">
        <f t="shared" si="9494"/>
        <v>soil</v>
      </c>
      <c r="G3148" s="392" t="str">
        <f t="shared" si="9494"/>
        <v>DE: PBAT fiber 0,1-1 mm (emission to soil)</v>
      </c>
      <c r="H3148" s="465">
        <v>3.0000000000000001E-3</v>
      </c>
      <c r="I3148" s="394" t="s">
        <v>1163</v>
      </c>
      <c r="J3148" s="632"/>
      <c r="K3148" s="395">
        <v>8.48</v>
      </c>
      <c r="L3148" s="537"/>
      <c r="M3148" s="509">
        <f t="shared" si="9483"/>
        <v>29.481132075471695</v>
      </c>
      <c r="N3148" s="646"/>
      <c r="O3148" s="626"/>
      <c r="P3148" s="629"/>
      <c r="Q3148" s="629"/>
    </row>
    <row r="3149" spans="1:17" ht="15.75" hidden="1" thickBot="1">
      <c r="A3149" s="390" t="str">
        <f>A3146</f>
        <v>PBAT</v>
      </c>
      <c r="B3149" s="391" t="str">
        <f>B3146</f>
        <v>fiber</v>
      </c>
      <c r="C3149" s="391">
        <f t="shared" ref="C3149" si="9495">C3148</f>
        <v>4</v>
      </c>
      <c r="D3149" s="391" t="str">
        <f>D3146</f>
        <v>0,1-1</v>
      </c>
      <c r="E3149" s="391">
        <f>E3146</f>
        <v>1</v>
      </c>
      <c r="F3149" s="391" t="str">
        <f>F3146</f>
        <v>soil</v>
      </c>
      <c r="G3149" s="396" t="str">
        <f t="shared" ref="G3149" si="9496">G3148</f>
        <v>DE: PBAT fiber 0,1-1 mm (emission to soil)</v>
      </c>
      <c r="H3149" s="465">
        <v>0</v>
      </c>
      <c r="I3149" s="397" t="s">
        <v>1034</v>
      </c>
      <c r="J3149" s="633"/>
      <c r="K3149" s="398" t="s">
        <v>596</v>
      </c>
      <c r="L3149" s="538"/>
      <c r="M3149" s="509">
        <f t="shared" si="9483"/>
        <v>0</v>
      </c>
      <c r="N3149" s="647"/>
      <c r="O3149" s="627"/>
      <c r="P3149" s="629"/>
      <c r="Q3149" s="629"/>
    </row>
    <row r="3150" spans="1:17" ht="15.75" hidden="1" thickBot="1">
      <c r="A3150" s="390" t="str">
        <f t="shared" ref="A3150:B3150" si="9497">A3147</f>
        <v>PBAT</v>
      </c>
      <c r="B3150" s="391" t="str">
        <f t="shared" si="9497"/>
        <v>fiber</v>
      </c>
      <c r="C3150" s="391">
        <f t="shared" ref="C3150" si="9498">C3149</f>
        <v>4</v>
      </c>
      <c r="D3150" s="399" t="str">
        <f t="shared" ref="D3150:E3150" si="9499">D3147</f>
        <v>0,1-1</v>
      </c>
      <c r="E3150" s="391">
        <f t="shared" si="9499"/>
        <v>1</v>
      </c>
      <c r="F3150" s="400" t="s">
        <v>1147</v>
      </c>
      <c r="G3150" s="386" t="str">
        <f>CONCATENATE("DE: ",A3150," ",B3150," ",D3150," mm (emission to ",F3150,")")</f>
        <v>DE: PBAT fiber 0,1-1 mm (emission to fresh water)</v>
      </c>
      <c r="H3150" s="466">
        <v>0</v>
      </c>
      <c r="I3150" s="388" t="s">
        <v>1019</v>
      </c>
      <c r="J3150" s="634">
        <v>0.22800000000000001</v>
      </c>
      <c r="K3150" s="389">
        <v>8.48</v>
      </c>
      <c r="L3150" s="536"/>
      <c r="M3150" s="509">
        <f t="shared" si="9483"/>
        <v>29.481132075471695</v>
      </c>
      <c r="N3150" s="645">
        <f t="shared" ref="N3150:N3210" si="9500">IFERROR(H3150*M3150+H3151*M3151+H3152*M3152+H3153*M3153+H3154*M3154,"N.A.")</f>
        <v>29.481132075471699</v>
      </c>
      <c r="O3150" s="625"/>
      <c r="P3150" s="628">
        <f t="shared" si="9330"/>
        <v>29.481132075471699</v>
      </c>
      <c r="Q3150" s="628">
        <f t="shared" si="9455"/>
        <v>29.481132075471699</v>
      </c>
    </row>
    <row r="3151" spans="1:17" ht="15.75" hidden="1" thickBot="1">
      <c r="A3151" s="390" t="str">
        <f t="shared" ref="A3151:B3151" si="9501">A3148</f>
        <v>PBAT</v>
      </c>
      <c r="B3151" s="391" t="str">
        <f t="shared" si="9501"/>
        <v>fiber</v>
      </c>
      <c r="C3151" s="391">
        <f t="shared" ref="C3151" si="9502">C3150</f>
        <v>4</v>
      </c>
      <c r="D3151" s="391" t="str">
        <f t="shared" ref="D3151:E3151" si="9503">D3148</f>
        <v>0,1-1</v>
      </c>
      <c r="E3151" s="391">
        <f t="shared" si="9503"/>
        <v>1</v>
      </c>
      <c r="F3151" s="391" t="str">
        <f t="shared" ref="F3151:G3151" si="9504">F3150</f>
        <v>fresh water</v>
      </c>
      <c r="G3151" s="401" t="str">
        <f t="shared" si="9504"/>
        <v>DE: PBAT fiber 0,1-1 mm (emission to fresh water)</v>
      </c>
      <c r="H3151" s="465">
        <v>0</v>
      </c>
      <c r="I3151" s="394" t="s">
        <v>1174</v>
      </c>
      <c r="J3151" s="635"/>
      <c r="K3151" s="389">
        <v>11.86</v>
      </c>
      <c r="L3151" s="536"/>
      <c r="M3151" s="509">
        <f t="shared" si="9483"/>
        <v>21.079258010118046</v>
      </c>
      <c r="N3151" s="646"/>
      <c r="O3151" s="626"/>
      <c r="P3151" s="629"/>
      <c r="Q3151" s="629"/>
    </row>
    <row r="3152" spans="1:17" ht="15.75" hidden="1" thickBot="1">
      <c r="A3152" s="390" t="str">
        <f t="shared" ref="A3152:B3152" si="9505">A3149</f>
        <v>PBAT</v>
      </c>
      <c r="B3152" s="391" t="str">
        <f t="shared" si="9505"/>
        <v>fiber</v>
      </c>
      <c r="C3152" s="391">
        <f t="shared" ref="C3152" si="9506">C3151</f>
        <v>4</v>
      </c>
      <c r="D3152" s="391" t="str">
        <f t="shared" ref="D3152:E3152" si="9507">D3149</f>
        <v>0,1-1</v>
      </c>
      <c r="E3152" s="391">
        <f t="shared" si="9507"/>
        <v>1</v>
      </c>
      <c r="F3152" s="391" t="str">
        <f t="shared" ref="F3152:G3152" si="9508">F3151</f>
        <v>fresh water</v>
      </c>
      <c r="G3152" s="401" t="str">
        <f t="shared" si="9508"/>
        <v>DE: PBAT fiber 0,1-1 mm (emission to fresh water)</v>
      </c>
      <c r="H3152" s="465">
        <v>0.89</v>
      </c>
      <c r="I3152" s="394" t="s">
        <v>1162</v>
      </c>
      <c r="J3152" s="635"/>
      <c r="K3152" s="389">
        <v>8.48</v>
      </c>
      <c r="L3152" s="536"/>
      <c r="M3152" s="509">
        <f t="shared" si="9483"/>
        <v>29.481132075471695</v>
      </c>
      <c r="N3152" s="646"/>
      <c r="O3152" s="626"/>
      <c r="P3152" s="629"/>
      <c r="Q3152" s="629"/>
    </row>
    <row r="3153" spans="1:17" ht="15.75" hidden="1" thickBot="1">
      <c r="A3153" s="390" t="str">
        <f t="shared" ref="A3153:B3153" si="9509">A3150</f>
        <v>PBAT</v>
      </c>
      <c r="B3153" s="391" t="str">
        <f t="shared" si="9509"/>
        <v>fiber</v>
      </c>
      <c r="C3153" s="391">
        <f t="shared" ref="C3153" si="9510">C3152</f>
        <v>4</v>
      </c>
      <c r="D3153" s="391" t="str">
        <f t="shared" ref="D3153:E3153" si="9511">D3150</f>
        <v>0,1-1</v>
      </c>
      <c r="E3153" s="391">
        <f t="shared" si="9511"/>
        <v>1</v>
      </c>
      <c r="F3153" s="391" t="str">
        <f t="shared" ref="F3153:G3153" si="9512">F3152</f>
        <v>fresh water</v>
      </c>
      <c r="G3153" s="401" t="str">
        <f t="shared" si="9512"/>
        <v>DE: PBAT fiber 0,1-1 mm (emission to fresh water)</v>
      </c>
      <c r="H3153" s="465">
        <v>0.11</v>
      </c>
      <c r="I3153" s="394" t="s">
        <v>1163</v>
      </c>
      <c r="J3153" s="635"/>
      <c r="K3153" s="389">
        <v>8.48</v>
      </c>
      <c r="L3153" s="536"/>
      <c r="M3153" s="509">
        <f t="shared" si="9483"/>
        <v>29.481132075471695</v>
      </c>
      <c r="N3153" s="646"/>
      <c r="O3153" s="626"/>
      <c r="P3153" s="629"/>
      <c r="Q3153" s="629"/>
    </row>
    <row r="3154" spans="1:17" ht="15.75" hidden="1" thickBot="1">
      <c r="A3154" s="390" t="str">
        <f t="shared" ref="A3154:B3154" si="9513">A3151</f>
        <v>PBAT</v>
      </c>
      <c r="B3154" s="391" t="str">
        <f t="shared" si="9513"/>
        <v>fiber</v>
      </c>
      <c r="C3154" s="391">
        <f t="shared" ref="C3154" si="9514">C3153</f>
        <v>4</v>
      </c>
      <c r="D3154" s="391" t="str">
        <f t="shared" ref="D3154:E3154" si="9515">D3151</f>
        <v>0,1-1</v>
      </c>
      <c r="E3154" s="391">
        <f t="shared" si="9515"/>
        <v>1</v>
      </c>
      <c r="F3154" s="402" t="str">
        <f>F3151</f>
        <v>fresh water</v>
      </c>
      <c r="G3154" s="401" t="str">
        <f t="shared" ref="G3154" si="9516">G3153</f>
        <v>DE: PBAT fiber 0,1-1 mm (emission to fresh water)</v>
      </c>
      <c r="H3154" s="465">
        <v>0</v>
      </c>
      <c r="I3154" s="397" t="s">
        <v>1034</v>
      </c>
      <c r="J3154" s="654"/>
      <c r="K3154" s="398" t="s">
        <v>596</v>
      </c>
      <c r="L3154" s="538"/>
      <c r="M3154" s="509">
        <f t="shared" si="9483"/>
        <v>0</v>
      </c>
      <c r="N3154" s="647"/>
      <c r="O3154" s="627"/>
      <c r="P3154" s="629"/>
      <c r="Q3154" s="629"/>
    </row>
    <row r="3155" spans="1:17" ht="15.75" hidden="1" thickBot="1">
      <c r="A3155" s="390" t="str">
        <f t="shared" ref="A3155:B3155" si="9517">A3152</f>
        <v>PBAT</v>
      </c>
      <c r="B3155" s="391" t="str">
        <f t="shared" si="9517"/>
        <v>fiber</v>
      </c>
      <c r="C3155" s="391">
        <f t="shared" ref="C3155" si="9518">C3154</f>
        <v>4</v>
      </c>
      <c r="D3155" s="391" t="str">
        <f t="shared" ref="D3155:E3155" si="9519">D3152</f>
        <v>0,1-1</v>
      </c>
      <c r="E3155" s="391">
        <f t="shared" si="9519"/>
        <v>1</v>
      </c>
      <c r="F3155" s="385" t="s">
        <v>1097</v>
      </c>
      <c r="G3155" s="422" t="str">
        <f>CONCATENATE("DE: ",A3155," ",B3155," ",D3155," mm (emission to ",F3155,")")</f>
        <v>DE: PBAT fiber 0,1-1 mm (emission to marine water)</v>
      </c>
      <c r="H3155" s="467">
        <v>0</v>
      </c>
      <c r="I3155" s="388" t="s">
        <v>1019</v>
      </c>
      <c r="J3155" s="634">
        <v>0.22800000000000001</v>
      </c>
      <c r="K3155" s="389">
        <v>8.48</v>
      </c>
      <c r="L3155" s="536"/>
      <c r="M3155" s="509">
        <f t="shared" si="9483"/>
        <v>29.481132075471695</v>
      </c>
      <c r="N3155" s="645">
        <f t="shared" si="9500"/>
        <v>29.481132075471695</v>
      </c>
      <c r="O3155" s="625"/>
      <c r="P3155" s="628">
        <f t="shared" si="9330"/>
        <v>29.481132075471695</v>
      </c>
      <c r="Q3155" s="628">
        <f t="shared" si="9455"/>
        <v>29.481132075471695</v>
      </c>
    </row>
    <row r="3156" spans="1:17" ht="15.75" hidden="1" thickBot="1">
      <c r="A3156" s="390" t="str">
        <f t="shared" ref="A3156:B3156" si="9520">A3153</f>
        <v>PBAT</v>
      </c>
      <c r="B3156" s="391" t="str">
        <f t="shared" si="9520"/>
        <v>fiber</v>
      </c>
      <c r="C3156" s="391">
        <f t="shared" ref="C3156" si="9521">C3155</f>
        <v>4</v>
      </c>
      <c r="D3156" s="391" t="str">
        <f t="shared" ref="D3156:E3156" si="9522">D3153</f>
        <v>0,1-1</v>
      </c>
      <c r="E3156" s="391">
        <f t="shared" si="9522"/>
        <v>1</v>
      </c>
      <c r="F3156" s="391" t="str">
        <f t="shared" ref="F3156:G3156" si="9523">F3155</f>
        <v>marine water</v>
      </c>
      <c r="G3156" s="401" t="str">
        <f t="shared" si="9523"/>
        <v>DE: PBAT fiber 0,1-1 mm (emission to marine water)</v>
      </c>
      <c r="H3156" s="465">
        <v>0</v>
      </c>
      <c r="I3156" s="394" t="s">
        <v>1174</v>
      </c>
      <c r="J3156" s="635"/>
      <c r="K3156" s="389">
        <v>11.86</v>
      </c>
      <c r="L3156" s="536"/>
      <c r="M3156" s="509">
        <f t="shared" si="9483"/>
        <v>21.079258010118046</v>
      </c>
      <c r="N3156" s="646"/>
      <c r="O3156" s="626"/>
      <c r="P3156" s="629"/>
      <c r="Q3156" s="629"/>
    </row>
    <row r="3157" spans="1:17" ht="15.75" hidden="1" thickBot="1">
      <c r="A3157" s="390" t="str">
        <f t="shared" ref="A3157:B3157" si="9524">A3154</f>
        <v>PBAT</v>
      </c>
      <c r="B3157" s="391" t="str">
        <f t="shared" si="9524"/>
        <v>fiber</v>
      </c>
      <c r="C3157" s="391">
        <f t="shared" ref="C3157" si="9525">C3156</f>
        <v>4</v>
      </c>
      <c r="D3157" s="391" t="str">
        <f t="shared" ref="D3157:E3157" si="9526">D3154</f>
        <v>0,1-1</v>
      </c>
      <c r="E3157" s="391">
        <f t="shared" si="9526"/>
        <v>1</v>
      </c>
      <c r="F3157" s="391" t="str">
        <f t="shared" ref="F3157:G3157" si="9527">F3156</f>
        <v>marine water</v>
      </c>
      <c r="G3157" s="401" t="str">
        <f t="shared" si="9527"/>
        <v>DE: PBAT fiber 0,1-1 mm (emission to marine water)</v>
      </c>
      <c r="H3157" s="465">
        <v>0</v>
      </c>
      <c r="I3157" s="394" t="s">
        <v>1162</v>
      </c>
      <c r="J3157" s="635"/>
      <c r="K3157" s="389">
        <v>8.48</v>
      </c>
      <c r="L3157" s="536"/>
      <c r="M3157" s="509">
        <f t="shared" si="9483"/>
        <v>29.481132075471695</v>
      </c>
      <c r="N3157" s="646"/>
      <c r="O3157" s="626"/>
      <c r="P3157" s="629"/>
      <c r="Q3157" s="629"/>
    </row>
    <row r="3158" spans="1:17" ht="15.75" hidden="1" thickBot="1">
      <c r="A3158" s="390" t="str">
        <f t="shared" ref="A3158:B3158" si="9528">A3155</f>
        <v>PBAT</v>
      </c>
      <c r="B3158" s="391" t="str">
        <f t="shared" si="9528"/>
        <v>fiber</v>
      </c>
      <c r="C3158" s="391">
        <f t="shared" ref="C3158" si="9529">C3157</f>
        <v>4</v>
      </c>
      <c r="D3158" s="391" t="str">
        <f t="shared" ref="D3158:E3158" si="9530">D3155</f>
        <v>0,1-1</v>
      </c>
      <c r="E3158" s="391">
        <f t="shared" si="9530"/>
        <v>1</v>
      </c>
      <c r="F3158" s="391" t="str">
        <f t="shared" ref="F3158:G3158" si="9531">F3157</f>
        <v>marine water</v>
      </c>
      <c r="G3158" s="401" t="str">
        <f t="shared" si="9531"/>
        <v>DE: PBAT fiber 0,1-1 mm (emission to marine water)</v>
      </c>
      <c r="H3158" s="465">
        <v>1</v>
      </c>
      <c r="I3158" s="394" t="s">
        <v>1163</v>
      </c>
      <c r="J3158" s="635"/>
      <c r="K3158" s="389">
        <v>8.48</v>
      </c>
      <c r="L3158" s="536"/>
      <c r="M3158" s="509">
        <f t="shared" si="9483"/>
        <v>29.481132075471695</v>
      </c>
      <c r="N3158" s="646"/>
      <c r="O3158" s="626"/>
      <c r="P3158" s="629"/>
      <c r="Q3158" s="629"/>
    </row>
    <row r="3159" spans="1:17" ht="15.75" hidden="1" thickBot="1">
      <c r="A3159" s="390" t="str">
        <f t="shared" ref="A3159:B3159" si="9532">A3156</f>
        <v>PBAT</v>
      </c>
      <c r="B3159" s="391" t="str">
        <f t="shared" si="9532"/>
        <v>fiber</v>
      </c>
      <c r="C3159" s="391">
        <f t="shared" ref="C3159" si="9533">C3158</f>
        <v>4</v>
      </c>
      <c r="D3159" s="391" t="str">
        <f t="shared" ref="D3159:E3159" si="9534">D3156</f>
        <v>0,1-1</v>
      </c>
      <c r="E3159" s="391">
        <f t="shared" si="9534"/>
        <v>1</v>
      </c>
      <c r="F3159" s="391" t="str">
        <f t="shared" ref="F3159:G3159" si="9535">F3158</f>
        <v>marine water</v>
      </c>
      <c r="G3159" s="401" t="str">
        <f t="shared" si="9535"/>
        <v>DE: PBAT fiber 0,1-1 mm (emission to marine water)</v>
      </c>
      <c r="H3159" s="465">
        <v>0</v>
      </c>
      <c r="I3159" s="397" t="s">
        <v>1034</v>
      </c>
      <c r="J3159" s="654"/>
      <c r="K3159" s="398" t="s">
        <v>596</v>
      </c>
      <c r="L3159" s="538"/>
      <c r="M3159" s="509">
        <f t="shared" si="9483"/>
        <v>0</v>
      </c>
      <c r="N3159" s="647"/>
      <c r="O3159" s="627"/>
      <c r="P3159" s="629"/>
      <c r="Q3159" s="629"/>
    </row>
    <row r="3160" spans="1:17" ht="15.75" hidden="1" thickBot="1">
      <c r="A3160" s="390" t="str">
        <f t="shared" ref="A3160:B3160" si="9536">A3157</f>
        <v>PBAT</v>
      </c>
      <c r="B3160" s="391" t="str">
        <f t="shared" si="9536"/>
        <v>fiber</v>
      </c>
      <c r="C3160" s="391">
        <f t="shared" ref="C3160" si="9537">C3159</f>
        <v>4</v>
      </c>
      <c r="D3160" s="391" t="str">
        <f t="shared" ref="D3160:E3160" si="9538">D3157</f>
        <v>0,1-1</v>
      </c>
      <c r="E3160" s="391">
        <f t="shared" si="9538"/>
        <v>1</v>
      </c>
      <c r="F3160" s="400" t="s">
        <v>1057</v>
      </c>
      <c r="G3160" s="422" t="str">
        <f>CONCATENATE("DE: ",A3160," ",B3160," ",D3160," mm (emission to ",F3160,")")</f>
        <v>DE: PBAT fiber 0,1-1 mm (emission to air)</v>
      </c>
      <c r="H3160" s="467">
        <v>0.94799999999999995</v>
      </c>
      <c r="I3160" s="388" t="s">
        <v>1019</v>
      </c>
      <c r="J3160" s="634">
        <v>0.22800000000000001</v>
      </c>
      <c r="K3160" s="389">
        <v>8.48</v>
      </c>
      <c r="L3160" s="536"/>
      <c r="M3160" s="509">
        <f t="shared" si="9483"/>
        <v>29.481132075471695</v>
      </c>
      <c r="N3160" s="645">
        <f t="shared" si="9500"/>
        <v>29.481132075471695</v>
      </c>
      <c r="O3160" s="625"/>
      <c r="P3160" s="628">
        <f t="shared" ref="P3160:P3220" si="9539">IFERROR(IF(H3160*M3160+H3161*M3161+H3162*M3162+H3163*M3163+H3164*M3164&gt;100,100,H3160*M3160+H3161*M3161+H3162*M3162+H3163*M3163+H3164*M3164),"N.A.")</f>
        <v>29.481132075471695</v>
      </c>
      <c r="Q3160" s="628">
        <f t="shared" si="9455"/>
        <v>29.481132075471695</v>
      </c>
    </row>
    <row r="3161" spans="1:17" ht="15.75" hidden="1" thickBot="1">
      <c r="A3161" s="390" t="str">
        <f t="shared" ref="A3161:B3161" si="9540">A3158</f>
        <v>PBAT</v>
      </c>
      <c r="B3161" s="391" t="str">
        <f t="shared" si="9540"/>
        <v>fiber</v>
      </c>
      <c r="C3161" s="391">
        <f t="shared" ref="C3161" si="9541">C3160</f>
        <v>4</v>
      </c>
      <c r="D3161" s="391" t="str">
        <f t="shared" ref="D3161:E3161" si="9542">D3158</f>
        <v>0,1-1</v>
      </c>
      <c r="E3161" s="391">
        <f t="shared" si="9542"/>
        <v>1</v>
      </c>
      <c r="F3161" s="391" t="str">
        <f t="shared" ref="F3161:G3161" si="9543">F3160</f>
        <v>air</v>
      </c>
      <c r="G3161" s="401" t="str">
        <f t="shared" si="9543"/>
        <v>DE: PBAT fiber 0,1-1 mm (emission to air)</v>
      </c>
      <c r="H3161" s="465">
        <v>0</v>
      </c>
      <c r="I3161" s="394" t="s">
        <v>1174</v>
      </c>
      <c r="J3161" s="635"/>
      <c r="K3161" s="389">
        <v>11.86</v>
      </c>
      <c r="L3161" s="536"/>
      <c r="M3161" s="509">
        <f t="shared" si="9483"/>
        <v>21.079258010118046</v>
      </c>
      <c r="N3161" s="646"/>
      <c r="O3161" s="626"/>
      <c r="P3161" s="629"/>
      <c r="Q3161" s="629"/>
    </row>
    <row r="3162" spans="1:17" ht="15.75" hidden="1" thickBot="1">
      <c r="A3162" s="390" t="str">
        <f t="shared" ref="A3162:B3162" si="9544">A3159</f>
        <v>PBAT</v>
      </c>
      <c r="B3162" s="391" t="str">
        <f t="shared" si="9544"/>
        <v>fiber</v>
      </c>
      <c r="C3162" s="391">
        <f t="shared" ref="C3162" si="9545">C3161</f>
        <v>4</v>
      </c>
      <c r="D3162" s="391" t="str">
        <f t="shared" ref="D3162:E3162" si="9546">D3159</f>
        <v>0,1-1</v>
      </c>
      <c r="E3162" s="391">
        <f t="shared" si="9546"/>
        <v>1</v>
      </c>
      <c r="F3162" s="391" t="str">
        <f t="shared" ref="F3162:G3162" si="9547">F3161</f>
        <v>air</v>
      </c>
      <c r="G3162" s="401" t="str">
        <f t="shared" si="9547"/>
        <v>DE: PBAT fiber 0,1-1 mm (emission to air)</v>
      </c>
      <c r="H3162" s="465">
        <v>4.7E-2</v>
      </c>
      <c r="I3162" s="394" t="s">
        <v>1162</v>
      </c>
      <c r="J3162" s="635"/>
      <c r="K3162" s="389">
        <v>8.48</v>
      </c>
      <c r="L3162" s="536"/>
      <c r="M3162" s="509">
        <f t="shared" si="9483"/>
        <v>29.481132075471695</v>
      </c>
      <c r="N3162" s="646"/>
      <c r="O3162" s="626"/>
      <c r="P3162" s="629"/>
      <c r="Q3162" s="629"/>
    </row>
    <row r="3163" spans="1:17" ht="15.75" hidden="1" thickBot="1">
      <c r="A3163" s="390" t="str">
        <f t="shared" ref="A3163:B3163" si="9548">A3160</f>
        <v>PBAT</v>
      </c>
      <c r="B3163" s="391" t="str">
        <f t="shared" si="9548"/>
        <v>fiber</v>
      </c>
      <c r="C3163" s="391">
        <f t="shared" ref="C3163" si="9549">C3162</f>
        <v>4</v>
      </c>
      <c r="D3163" s="391" t="str">
        <f t="shared" ref="D3163:E3163" si="9550">D3160</f>
        <v>0,1-1</v>
      </c>
      <c r="E3163" s="391">
        <f t="shared" si="9550"/>
        <v>1</v>
      </c>
      <c r="F3163" s="391" t="str">
        <f t="shared" ref="F3163:G3163" si="9551">F3162</f>
        <v>air</v>
      </c>
      <c r="G3163" s="401" t="str">
        <f t="shared" si="9551"/>
        <v>DE: PBAT fiber 0,1-1 mm (emission to air)</v>
      </c>
      <c r="H3163" s="465">
        <v>5.0000000000000001E-3</v>
      </c>
      <c r="I3163" s="394" t="s">
        <v>1163</v>
      </c>
      <c r="J3163" s="635"/>
      <c r="K3163" s="389">
        <v>8.48</v>
      </c>
      <c r="L3163" s="536"/>
      <c r="M3163" s="509">
        <f t="shared" si="9483"/>
        <v>29.481132075471695</v>
      </c>
      <c r="N3163" s="646"/>
      <c r="O3163" s="626"/>
      <c r="P3163" s="629"/>
      <c r="Q3163" s="629"/>
    </row>
    <row r="3164" spans="1:17" ht="15.75" hidden="1" thickBot="1">
      <c r="A3164" s="390" t="str">
        <f t="shared" ref="A3164:B3164" si="9552">A3159</f>
        <v>PBAT</v>
      </c>
      <c r="B3164" s="391" t="str">
        <f t="shared" si="9552"/>
        <v>fiber</v>
      </c>
      <c r="C3164" s="391">
        <f t="shared" ref="C3164" si="9553">C3163</f>
        <v>4</v>
      </c>
      <c r="D3164" s="391" t="str">
        <f t="shared" ref="D3164:E3164" si="9554">D3159</f>
        <v>0,1-1</v>
      </c>
      <c r="E3164" s="391">
        <f t="shared" si="9554"/>
        <v>1</v>
      </c>
      <c r="F3164" s="391" t="str">
        <f t="shared" ref="F3164:G3164" si="9555">F3163</f>
        <v>air</v>
      </c>
      <c r="G3164" s="401" t="str">
        <f t="shared" si="9555"/>
        <v>DE: PBAT fiber 0,1-1 mm (emission to air)</v>
      </c>
      <c r="H3164" s="471">
        <v>0</v>
      </c>
      <c r="I3164" s="422" t="s">
        <v>1034</v>
      </c>
      <c r="J3164" s="636"/>
      <c r="K3164" s="451" t="s">
        <v>596</v>
      </c>
      <c r="L3164" s="542"/>
      <c r="M3164" s="509">
        <f t="shared" si="9483"/>
        <v>0</v>
      </c>
      <c r="N3164" s="647"/>
      <c r="O3164" s="627"/>
      <c r="P3164" s="629"/>
      <c r="Q3164" s="629"/>
    </row>
    <row r="3165" spans="1:17" ht="15.75" hidden="1" thickBot="1">
      <c r="A3165" s="405" t="s">
        <v>177</v>
      </c>
      <c r="B3165" s="406" t="s">
        <v>1151</v>
      </c>
      <c r="C3165" s="407">
        <v>4</v>
      </c>
      <c r="D3165" s="423" t="s">
        <v>1026</v>
      </c>
      <c r="E3165" s="408">
        <v>10</v>
      </c>
      <c r="F3165" s="424" t="s">
        <v>1019</v>
      </c>
      <c r="G3165" s="425" t="str">
        <f>CONCATENATE("DE: ",A3165," ",B3165," ",D3165," mm (emission to ",F3165,")")</f>
        <v>DE: PBAT fiber 1-10 mm (emission to soil)</v>
      </c>
      <c r="H3165" s="474">
        <v>0.97</v>
      </c>
      <c r="I3165" s="427" t="s">
        <v>1019</v>
      </c>
      <c r="J3165" s="632">
        <v>0.22800000000000001</v>
      </c>
      <c r="K3165" s="428">
        <v>8.48</v>
      </c>
      <c r="L3165" s="539"/>
      <c r="M3165" s="509">
        <f t="shared" si="9483"/>
        <v>294.81132075471697</v>
      </c>
      <c r="N3165" s="645">
        <f t="shared" si="9500"/>
        <v>294.81132075471692</v>
      </c>
      <c r="O3165" s="625"/>
      <c r="P3165" s="628">
        <f t="shared" si="9539"/>
        <v>100</v>
      </c>
      <c r="Q3165" s="628">
        <f t="shared" si="9455"/>
        <v>294.81132075471692</v>
      </c>
    </row>
    <row r="3166" spans="1:17" ht="15.75" hidden="1" thickBot="1">
      <c r="A3166" s="390" t="str">
        <f>A3165</f>
        <v>PBAT</v>
      </c>
      <c r="B3166" s="391" t="str">
        <f>B3165</f>
        <v>fiber</v>
      </c>
      <c r="C3166" s="391">
        <f t="shared" ref="C3166:G3166" si="9556">C3165</f>
        <v>4</v>
      </c>
      <c r="D3166" s="391" t="str">
        <f t="shared" si="9556"/>
        <v>1-10</v>
      </c>
      <c r="E3166" s="391">
        <f t="shared" si="9556"/>
        <v>10</v>
      </c>
      <c r="F3166" s="391" t="str">
        <f t="shared" si="9556"/>
        <v>soil</v>
      </c>
      <c r="G3166" s="392" t="str">
        <f t="shared" si="9556"/>
        <v>DE: PBAT fiber 1-10 mm (emission to soil)</v>
      </c>
      <c r="H3166" s="465">
        <v>0</v>
      </c>
      <c r="I3166" s="394" t="s">
        <v>1174</v>
      </c>
      <c r="J3166" s="632"/>
      <c r="K3166" s="395">
        <v>11.86</v>
      </c>
      <c r="L3166" s="537"/>
      <c r="M3166" s="509">
        <f t="shared" si="9483"/>
        <v>210.79258010118045</v>
      </c>
      <c r="N3166" s="646"/>
      <c r="O3166" s="626"/>
      <c r="P3166" s="629"/>
      <c r="Q3166" s="629"/>
    </row>
    <row r="3167" spans="1:17" ht="15.75" hidden="1" thickBot="1">
      <c r="A3167" s="390" t="str">
        <f t="shared" ref="A3167:G3167" si="9557">A3166</f>
        <v>PBAT</v>
      </c>
      <c r="B3167" s="391" t="str">
        <f t="shared" si="9557"/>
        <v>fiber</v>
      </c>
      <c r="C3167" s="391">
        <f t="shared" si="9557"/>
        <v>4</v>
      </c>
      <c r="D3167" s="391" t="str">
        <f t="shared" si="9557"/>
        <v>1-10</v>
      </c>
      <c r="E3167" s="391">
        <f t="shared" si="9557"/>
        <v>10</v>
      </c>
      <c r="F3167" s="391" t="str">
        <f t="shared" si="9557"/>
        <v>soil</v>
      </c>
      <c r="G3167" s="392" t="str">
        <f t="shared" si="9557"/>
        <v>DE: PBAT fiber 1-10 mm (emission to soil)</v>
      </c>
      <c r="H3167" s="465">
        <v>2.7E-2</v>
      </c>
      <c r="I3167" s="394" t="s">
        <v>1162</v>
      </c>
      <c r="J3167" s="632"/>
      <c r="K3167" s="395">
        <v>8.48</v>
      </c>
      <c r="L3167" s="537"/>
      <c r="M3167" s="509">
        <f t="shared" si="9483"/>
        <v>294.81132075471697</v>
      </c>
      <c r="N3167" s="646"/>
      <c r="O3167" s="626"/>
      <c r="P3167" s="629"/>
      <c r="Q3167" s="629"/>
    </row>
    <row r="3168" spans="1:17" ht="15.75" hidden="1" thickBot="1">
      <c r="A3168" s="390" t="str">
        <f t="shared" ref="A3168:G3168" si="9558">A3167</f>
        <v>PBAT</v>
      </c>
      <c r="B3168" s="391" t="str">
        <f t="shared" si="9558"/>
        <v>fiber</v>
      </c>
      <c r="C3168" s="391">
        <f t="shared" si="9558"/>
        <v>4</v>
      </c>
      <c r="D3168" s="391" t="str">
        <f t="shared" si="9558"/>
        <v>1-10</v>
      </c>
      <c r="E3168" s="391">
        <f t="shared" si="9558"/>
        <v>10</v>
      </c>
      <c r="F3168" s="391" t="str">
        <f t="shared" si="9558"/>
        <v>soil</v>
      </c>
      <c r="G3168" s="392" t="str">
        <f t="shared" si="9558"/>
        <v>DE: PBAT fiber 1-10 mm (emission to soil)</v>
      </c>
      <c r="H3168" s="465">
        <v>3.0000000000000001E-3</v>
      </c>
      <c r="I3168" s="394" t="s">
        <v>1163</v>
      </c>
      <c r="J3168" s="632"/>
      <c r="K3168" s="395">
        <v>8.48</v>
      </c>
      <c r="L3168" s="537"/>
      <c r="M3168" s="509">
        <f t="shared" si="9483"/>
        <v>294.81132075471697</v>
      </c>
      <c r="N3168" s="646"/>
      <c r="O3168" s="626"/>
      <c r="P3168" s="629"/>
      <c r="Q3168" s="629"/>
    </row>
    <row r="3169" spans="1:17" ht="15.75" hidden="1" thickBot="1">
      <c r="A3169" s="390" t="str">
        <f>A3166</f>
        <v>PBAT</v>
      </c>
      <c r="B3169" s="391" t="str">
        <f>B3166</f>
        <v>fiber</v>
      </c>
      <c r="C3169" s="391">
        <f t="shared" ref="C3169" si="9559">C3168</f>
        <v>4</v>
      </c>
      <c r="D3169" s="391" t="str">
        <f>D3166</f>
        <v>1-10</v>
      </c>
      <c r="E3169" s="391">
        <f>E3166</f>
        <v>10</v>
      </c>
      <c r="F3169" s="391" t="str">
        <f>F3166</f>
        <v>soil</v>
      </c>
      <c r="G3169" s="396" t="str">
        <f t="shared" ref="G3169" si="9560">G3168</f>
        <v>DE: PBAT fiber 1-10 mm (emission to soil)</v>
      </c>
      <c r="H3169" s="465">
        <v>0</v>
      </c>
      <c r="I3169" s="397" t="s">
        <v>1034</v>
      </c>
      <c r="J3169" s="633"/>
      <c r="K3169" s="398" t="s">
        <v>596</v>
      </c>
      <c r="L3169" s="538"/>
      <c r="M3169" s="509">
        <f t="shared" si="9483"/>
        <v>0</v>
      </c>
      <c r="N3169" s="647"/>
      <c r="O3169" s="627"/>
      <c r="P3169" s="629"/>
      <c r="Q3169" s="629"/>
    </row>
    <row r="3170" spans="1:17" ht="15.75" hidden="1" thickBot="1">
      <c r="A3170" s="390" t="str">
        <f t="shared" ref="A3170:B3170" si="9561">A3167</f>
        <v>PBAT</v>
      </c>
      <c r="B3170" s="391" t="str">
        <f t="shared" si="9561"/>
        <v>fiber</v>
      </c>
      <c r="C3170" s="391">
        <f t="shared" ref="C3170" si="9562">C3169</f>
        <v>4</v>
      </c>
      <c r="D3170" s="399" t="str">
        <f t="shared" ref="D3170:E3170" si="9563">D3167</f>
        <v>1-10</v>
      </c>
      <c r="E3170" s="391">
        <f t="shared" si="9563"/>
        <v>10</v>
      </c>
      <c r="F3170" s="400" t="s">
        <v>1147</v>
      </c>
      <c r="G3170" s="386" t="str">
        <f>CONCATENATE("DE: ",A3170," ",B3170," ",D3170," mm (emission to ",F3170,")")</f>
        <v>DE: PBAT fiber 1-10 mm (emission to fresh water)</v>
      </c>
      <c r="H3170" s="466">
        <v>0</v>
      </c>
      <c r="I3170" s="388" t="s">
        <v>1019</v>
      </c>
      <c r="J3170" s="634">
        <v>0.22800000000000001</v>
      </c>
      <c r="K3170" s="389">
        <v>8.48</v>
      </c>
      <c r="L3170" s="536"/>
      <c r="M3170" s="509">
        <f t="shared" si="9483"/>
        <v>294.81132075471697</v>
      </c>
      <c r="N3170" s="645">
        <f t="shared" si="9500"/>
        <v>294.81132075471697</v>
      </c>
      <c r="O3170" s="625"/>
      <c r="P3170" s="628">
        <f t="shared" si="9539"/>
        <v>100</v>
      </c>
      <c r="Q3170" s="628">
        <f t="shared" si="9455"/>
        <v>294.81132075471697</v>
      </c>
    </row>
    <row r="3171" spans="1:17" ht="15.75" hidden="1" thickBot="1">
      <c r="A3171" s="390" t="str">
        <f t="shared" ref="A3171:B3171" si="9564">A3168</f>
        <v>PBAT</v>
      </c>
      <c r="B3171" s="391" t="str">
        <f t="shared" si="9564"/>
        <v>fiber</v>
      </c>
      <c r="C3171" s="391">
        <f t="shared" ref="C3171" si="9565">C3170</f>
        <v>4</v>
      </c>
      <c r="D3171" s="391" t="str">
        <f t="shared" ref="D3171:E3171" si="9566">D3168</f>
        <v>1-10</v>
      </c>
      <c r="E3171" s="391">
        <f t="shared" si="9566"/>
        <v>10</v>
      </c>
      <c r="F3171" s="391" t="str">
        <f t="shared" ref="F3171:G3171" si="9567">F3170</f>
        <v>fresh water</v>
      </c>
      <c r="G3171" s="401" t="str">
        <f t="shared" si="9567"/>
        <v>DE: PBAT fiber 1-10 mm (emission to fresh water)</v>
      </c>
      <c r="H3171" s="465">
        <v>0</v>
      </c>
      <c r="I3171" s="394" t="s">
        <v>1174</v>
      </c>
      <c r="J3171" s="635"/>
      <c r="K3171" s="389">
        <v>11.86</v>
      </c>
      <c r="L3171" s="536"/>
      <c r="M3171" s="509">
        <f t="shared" si="9483"/>
        <v>210.79258010118045</v>
      </c>
      <c r="N3171" s="646"/>
      <c r="O3171" s="626"/>
      <c r="P3171" s="629"/>
      <c r="Q3171" s="629"/>
    </row>
    <row r="3172" spans="1:17" ht="15.75" hidden="1" thickBot="1">
      <c r="A3172" s="390" t="str">
        <f t="shared" ref="A3172:B3172" si="9568">A3169</f>
        <v>PBAT</v>
      </c>
      <c r="B3172" s="391" t="str">
        <f t="shared" si="9568"/>
        <v>fiber</v>
      </c>
      <c r="C3172" s="391">
        <f t="shared" ref="C3172" si="9569">C3171</f>
        <v>4</v>
      </c>
      <c r="D3172" s="391" t="str">
        <f t="shared" ref="D3172:E3172" si="9570">D3169</f>
        <v>1-10</v>
      </c>
      <c r="E3172" s="391">
        <f t="shared" si="9570"/>
        <v>10</v>
      </c>
      <c r="F3172" s="391" t="str">
        <f t="shared" ref="F3172:G3172" si="9571">F3171</f>
        <v>fresh water</v>
      </c>
      <c r="G3172" s="401" t="str">
        <f t="shared" si="9571"/>
        <v>DE: PBAT fiber 1-10 mm (emission to fresh water)</v>
      </c>
      <c r="H3172" s="465">
        <v>0.89</v>
      </c>
      <c r="I3172" s="394" t="s">
        <v>1162</v>
      </c>
      <c r="J3172" s="635"/>
      <c r="K3172" s="389">
        <v>8.48</v>
      </c>
      <c r="L3172" s="536"/>
      <c r="M3172" s="509">
        <f t="shared" si="9483"/>
        <v>294.81132075471697</v>
      </c>
      <c r="N3172" s="646"/>
      <c r="O3172" s="626"/>
      <c r="P3172" s="629"/>
      <c r="Q3172" s="629"/>
    </row>
    <row r="3173" spans="1:17" ht="15.75" hidden="1" thickBot="1">
      <c r="A3173" s="390" t="str">
        <f t="shared" ref="A3173:B3173" si="9572">A3170</f>
        <v>PBAT</v>
      </c>
      <c r="B3173" s="391" t="str">
        <f t="shared" si="9572"/>
        <v>fiber</v>
      </c>
      <c r="C3173" s="391">
        <f t="shared" ref="C3173" si="9573">C3172</f>
        <v>4</v>
      </c>
      <c r="D3173" s="391" t="str">
        <f t="shared" ref="D3173:E3173" si="9574">D3170</f>
        <v>1-10</v>
      </c>
      <c r="E3173" s="391">
        <f t="shared" si="9574"/>
        <v>10</v>
      </c>
      <c r="F3173" s="391" t="str">
        <f t="shared" ref="F3173:G3173" si="9575">F3172</f>
        <v>fresh water</v>
      </c>
      <c r="G3173" s="401" t="str">
        <f t="shared" si="9575"/>
        <v>DE: PBAT fiber 1-10 mm (emission to fresh water)</v>
      </c>
      <c r="H3173" s="465">
        <v>0.11</v>
      </c>
      <c r="I3173" s="394" t="s">
        <v>1163</v>
      </c>
      <c r="J3173" s="635"/>
      <c r="K3173" s="389">
        <v>8.48</v>
      </c>
      <c r="L3173" s="536"/>
      <c r="M3173" s="509">
        <f t="shared" si="9483"/>
        <v>294.81132075471697</v>
      </c>
      <c r="N3173" s="646"/>
      <c r="O3173" s="626"/>
      <c r="P3173" s="629"/>
      <c r="Q3173" s="629"/>
    </row>
    <row r="3174" spans="1:17" ht="15.75" hidden="1" thickBot="1">
      <c r="A3174" s="390" t="str">
        <f t="shared" ref="A3174:B3174" si="9576">A3171</f>
        <v>PBAT</v>
      </c>
      <c r="B3174" s="391" t="str">
        <f t="shared" si="9576"/>
        <v>fiber</v>
      </c>
      <c r="C3174" s="391">
        <f t="shared" ref="C3174" si="9577">C3173</f>
        <v>4</v>
      </c>
      <c r="D3174" s="391" t="str">
        <f t="shared" ref="D3174:E3174" si="9578">D3171</f>
        <v>1-10</v>
      </c>
      <c r="E3174" s="391">
        <f t="shared" si="9578"/>
        <v>10</v>
      </c>
      <c r="F3174" s="402" t="str">
        <f>F3171</f>
        <v>fresh water</v>
      </c>
      <c r="G3174" s="401" t="str">
        <f t="shared" ref="G3174" si="9579">G3173</f>
        <v>DE: PBAT fiber 1-10 mm (emission to fresh water)</v>
      </c>
      <c r="H3174" s="465">
        <v>0</v>
      </c>
      <c r="I3174" s="397" t="s">
        <v>1034</v>
      </c>
      <c r="J3174" s="654"/>
      <c r="K3174" s="398" t="s">
        <v>596</v>
      </c>
      <c r="L3174" s="538"/>
      <c r="M3174" s="509">
        <f t="shared" si="9483"/>
        <v>0</v>
      </c>
      <c r="N3174" s="647"/>
      <c r="O3174" s="627"/>
      <c r="P3174" s="629"/>
      <c r="Q3174" s="629"/>
    </row>
    <row r="3175" spans="1:17" ht="15.75" hidden="1" thickBot="1">
      <c r="A3175" s="390" t="str">
        <f t="shared" ref="A3175:B3175" si="9580">A3172</f>
        <v>PBAT</v>
      </c>
      <c r="B3175" s="391" t="str">
        <f t="shared" si="9580"/>
        <v>fiber</v>
      </c>
      <c r="C3175" s="391">
        <f t="shared" ref="C3175" si="9581">C3174</f>
        <v>4</v>
      </c>
      <c r="D3175" s="391" t="str">
        <f t="shared" ref="D3175:E3175" si="9582">D3172</f>
        <v>1-10</v>
      </c>
      <c r="E3175" s="391">
        <f t="shared" si="9582"/>
        <v>10</v>
      </c>
      <c r="F3175" s="385" t="s">
        <v>1097</v>
      </c>
      <c r="G3175" s="422" t="str">
        <f>CONCATENATE("DE: ",A3175," ",B3175," ",D3175," mm (emission to ",F3175,")")</f>
        <v>DE: PBAT fiber 1-10 mm (emission to marine water)</v>
      </c>
      <c r="H3175" s="467">
        <v>0</v>
      </c>
      <c r="I3175" s="388" t="s">
        <v>1019</v>
      </c>
      <c r="J3175" s="634">
        <v>0.22800000000000001</v>
      </c>
      <c r="K3175" s="389">
        <v>8.48</v>
      </c>
      <c r="L3175" s="536"/>
      <c r="M3175" s="509">
        <f t="shared" si="9483"/>
        <v>294.81132075471697</v>
      </c>
      <c r="N3175" s="645">
        <f t="shared" si="9500"/>
        <v>294.81132075471697</v>
      </c>
      <c r="O3175" s="625"/>
      <c r="P3175" s="628">
        <f t="shared" si="9539"/>
        <v>100</v>
      </c>
      <c r="Q3175" s="628">
        <f t="shared" si="9455"/>
        <v>294.81132075471697</v>
      </c>
    </row>
    <row r="3176" spans="1:17" ht="15.75" hidden="1" thickBot="1">
      <c r="A3176" s="390" t="str">
        <f t="shared" ref="A3176:B3176" si="9583">A3173</f>
        <v>PBAT</v>
      </c>
      <c r="B3176" s="391" t="str">
        <f t="shared" si="9583"/>
        <v>fiber</v>
      </c>
      <c r="C3176" s="391">
        <f t="shared" ref="C3176" si="9584">C3175</f>
        <v>4</v>
      </c>
      <c r="D3176" s="391" t="str">
        <f t="shared" ref="D3176:E3176" si="9585">D3173</f>
        <v>1-10</v>
      </c>
      <c r="E3176" s="391">
        <f t="shared" si="9585"/>
        <v>10</v>
      </c>
      <c r="F3176" s="391" t="str">
        <f t="shared" ref="F3176:G3176" si="9586">F3175</f>
        <v>marine water</v>
      </c>
      <c r="G3176" s="401" t="str">
        <f t="shared" si="9586"/>
        <v>DE: PBAT fiber 1-10 mm (emission to marine water)</v>
      </c>
      <c r="H3176" s="465">
        <v>0</v>
      </c>
      <c r="I3176" s="394" t="s">
        <v>1174</v>
      </c>
      <c r="J3176" s="635"/>
      <c r="K3176" s="389">
        <v>11.86</v>
      </c>
      <c r="L3176" s="536"/>
      <c r="M3176" s="509">
        <f t="shared" si="9483"/>
        <v>210.79258010118045</v>
      </c>
      <c r="N3176" s="646"/>
      <c r="O3176" s="626"/>
      <c r="P3176" s="629"/>
      <c r="Q3176" s="629"/>
    </row>
    <row r="3177" spans="1:17" ht="15.75" hidden="1" thickBot="1">
      <c r="A3177" s="390" t="str">
        <f t="shared" ref="A3177:B3177" si="9587">A3174</f>
        <v>PBAT</v>
      </c>
      <c r="B3177" s="391" t="str">
        <f t="shared" si="9587"/>
        <v>fiber</v>
      </c>
      <c r="C3177" s="391">
        <f t="shared" ref="C3177" si="9588">C3176</f>
        <v>4</v>
      </c>
      <c r="D3177" s="391" t="str">
        <f t="shared" ref="D3177:E3177" si="9589">D3174</f>
        <v>1-10</v>
      </c>
      <c r="E3177" s="391">
        <f t="shared" si="9589"/>
        <v>10</v>
      </c>
      <c r="F3177" s="391" t="str">
        <f t="shared" ref="F3177:G3177" si="9590">F3176</f>
        <v>marine water</v>
      </c>
      <c r="G3177" s="401" t="str">
        <f t="shared" si="9590"/>
        <v>DE: PBAT fiber 1-10 mm (emission to marine water)</v>
      </c>
      <c r="H3177" s="465">
        <v>0</v>
      </c>
      <c r="I3177" s="394" t="s">
        <v>1162</v>
      </c>
      <c r="J3177" s="635"/>
      <c r="K3177" s="389">
        <v>8.48</v>
      </c>
      <c r="L3177" s="536"/>
      <c r="M3177" s="509">
        <f t="shared" si="9483"/>
        <v>294.81132075471697</v>
      </c>
      <c r="N3177" s="646"/>
      <c r="O3177" s="626"/>
      <c r="P3177" s="629"/>
      <c r="Q3177" s="629"/>
    </row>
    <row r="3178" spans="1:17" ht="15.75" hidden="1" thickBot="1">
      <c r="A3178" s="390" t="str">
        <f t="shared" ref="A3178:B3178" si="9591">A3175</f>
        <v>PBAT</v>
      </c>
      <c r="B3178" s="391" t="str">
        <f t="shared" si="9591"/>
        <v>fiber</v>
      </c>
      <c r="C3178" s="391">
        <f t="shared" ref="C3178" si="9592">C3177</f>
        <v>4</v>
      </c>
      <c r="D3178" s="391" t="str">
        <f t="shared" ref="D3178:E3178" si="9593">D3175</f>
        <v>1-10</v>
      </c>
      <c r="E3178" s="391">
        <f t="shared" si="9593"/>
        <v>10</v>
      </c>
      <c r="F3178" s="391" t="str">
        <f t="shared" ref="F3178:G3178" si="9594">F3177</f>
        <v>marine water</v>
      </c>
      <c r="G3178" s="401" t="str">
        <f t="shared" si="9594"/>
        <v>DE: PBAT fiber 1-10 mm (emission to marine water)</v>
      </c>
      <c r="H3178" s="465">
        <v>1</v>
      </c>
      <c r="I3178" s="394" t="s">
        <v>1163</v>
      </c>
      <c r="J3178" s="635"/>
      <c r="K3178" s="389">
        <v>8.48</v>
      </c>
      <c r="L3178" s="536"/>
      <c r="M3178" s="509">
        <f t="shared" si="9483"/>
        <v>294.81132075471697</v>
      </c>
      <c r="N3178" s="646"/>
      <c r="O3178" s="626"/>
      <c r="P3178" s="629"/>
      <c r="Q3178" s="629"/>
    </row>
    <row r="3179" spans="1:17" ht="15.75" hidden="1" thickBot="1">
      <c r="A3179" s="390" t="str">
        <f t="shared" ref="A3179:B3179" si="9595">A3176</f>
        <v>PBAT</v>
      </c>
      <c r="B3179" s="391" t="str">
        <f t="shared" si="9595"/>
        <v>fiber</v>
      </c>
      <c r="C3179" s="391">
        <f t="shared" ref="C3179" si="9596">C3178</f>
        <v>4</v>
      </c>
      <c r="D3179" s="391" t="str">
        <f t="shared" ref="D3179:E3179" si="9597">D3176</f>
        <v>1-10</v>
      </c>
      <c r="E3179" s="391">
        <f t="shared" si="9597"/>
        <v>10</v>
      </c>
      <c r="F3179" s="391" t="str">
        <f t="shared" ref="F3179:G3179" si="9598">F3178</f>
        <v>marine water</v>
      </c>
      <c r="G3179" s="401" t="str">
        <f t="shared" si="9598"/>
        <v>DE: PBAT fiber 1-10 mm (emission to marine water)</v>
      </c>
      <c r="H3179" s="465">
        <v>0</v>
      </c>
      <c r="I3179" s="397" t="s">
        <v>1034</v>
      </c>
      <c r="J3179" s="654"/>
      <c r="K3179" s="398" t="s">
        <v>596</v>
      </c>
      <c r="L3179" s="538"/>
      <c r="M3179" s="509">
        <f t="shared" si="9483"/>
        <v>0</v>
      </c>
      <c r="N3179" s="647"/>
      <c r="O3179" s="627"/>
      <c r="P3179" s="629"/>
      <c r="Q3179" s="629"/>
    </row>
    <row r="3180" spans="1:17" ht="15.75" hidden="1" thickBot="1">
      <c r="A3180" s="390" t="str">
        <f t="shared" ref="A3180:B3180" si="9599">A3177</f>
        <v>PBAT</v>
      </c>
      <c r="B3180" s="391" t="str">
        <f t="shared" si="9599"/>
        <v>fiber</v>
      </c>
      <c r="C3180" s="391">
        <f t="shared" ref="C3180" si="9600">C3179</f>
        <v>4</v>
      </c>
      <c r="D3180" s="391" t="str">
        <f t="shared" ref="D3180:E3180" si="9601">D3177</f>
        <v>1-10</v>
      </c>
      <c r="E3180" s="391">
        <f t="shared" si="9601"/>
        <v>10</v>
      </c>
      <c r="F3180" s="400" t="s">
        <v>1057</v>
      </c>
      <c r="G3180" s="422" t="str">
        <f>CONCATENATE("DE: ",A3180," ",B3180," ",D3180," mm (emission to ",F3180,")")</f>
        <v>DE: PBAT fiber 1-10 mm (emission to air)</v>
      </c>
      <c r="H3180" s="467">
        <v>0.94799999999999995</v>
      </c>
      <c r="I3180" s="388" t="s">
        <v>1019</v>
      </c>
      <c r="J3180" s="634">
        <v>0.22800000000000001</v>
      </c>
      <c r="K3180" s="389">
        <v>8.48</v>
      </c>
      <c r="L3180" s="536"/>
      <c r="M3180" s="509">
        <f t="shared" si="9483"/>
        <v>294.81132075471697</v>
      </c>
      <c r="N3180" s="645">
        <f t="shared" si="9500"/>
        <v>294.81132075471697</v>
      </c>
      <c r="O3180" s="625"/>
      <c r="P3180" s="628">
        <f t="shared" si="9539"/>
        <v>100</v>
      </c>
      <c r="Q3180" s="628">
        <f t="shared" si="9455"/>
        <v>294.81132075471697</v>
      </c>
    </row>
    <row r="3181" spans="1:17" ht="15.75" hidden="1" thickBot="1">
      <c r="A3181" s="390" t="str">
        <f t="shared" ref="A3181:B3181" si="9602">A3178</f>
        <v>PBAT</v>
      </c>
      <c r="B3181" s="391" t="str">
        <f t="shared" si="9602"/>
        <v>fiber</v>
      </c>
      <c r="C3181" s="391">
        <f t="shared" ref="C3181" si="9603">C3180</f>
        <v>4</v>
      </c>
      <c r="D3181" s="391" t="str">
        <f t="shared" ref="D3181:E3181" si="9604">D3178</f>
        <v>1-10</v>
      </c>
      <c r="E3181" s="391">
        <f t="shared" si="9604"/>
        <v>10</v>
      </c>
      <c r="F3181" s="391" t="str">
        <f t="shared" ref="F3181:G3181" si="9605">F3180</f>
        <v>air</v>
      </c>
      <c r="G3181" s="401" t="str">
        <f t="shared" si="9605"/>
        <v>DE: PBAT fiber 1-10 mm (emission to air)</v>
      </c>
      <c r="H3181" s="465">
        <v>0</v>
      </c>
      <c r="I3181" s="394" t="s">
        <v>1174</v>
      </c>
      <c r="J3181" s="635"/>
      <c r="K3181" s="389">
        <v>11.86</v>
      </c>
      <c r="L3181" s="536"/>
      <c r="M3181" s="509">
        <f t="shared" si="9483"/>
        <v>210.79258010118045</v>
      </c>
      <c r="N3181" s="646"/>
      <c r="O3181" s="626"/>
      <c r="P3181" s="629"/>
      <c r="Q3181" s="629"/>
    </row>
    <row r="3182" spans="1:17" ht="15.75" hidden="1" thickBot="1">
      <c r="A3182" s="390" t="str">
        <f t="shared" ref="A3182:B3182" si="9606">A3179</f>
        <v>PBAT</v>
      </c>
      <c r="B3182" s="391" t="str">
        <f t="shared" si="9606"/>
        <v>fiber</v>
      </c>
      <c r="C3182" s="391">
        <f t="shared" ref="C3182" si="9607">C3181</f>
        <v>4</v>
      </c>
      <c r="D3182" s="391" t="str">
        <f t="shared" ref="D3182:E3182" si="9608">D3179</f>
        <v>1-10</v>
      </c>
      <c r="E3182" s="391">
        <f t="shared" si="9608"/>
        <v>10</v>
      </c>
      <c r="F3182" s="391" t="str">
        <f t="shared" ref="F3182:G3182" si="9609">F3181</f>
        <v>air</v>
      </c>
      <c r="G3182" s="401" t="str">
        <f t="shared" si="9609"/>
        <v>DE: PBAT fiber 1-10 mm (emission to air)</v>
      </c>
      <c r="H3182" s="465">
        <v>4.7E-2</v>
      </c>
      <c r="I3182" s="394" t="s">
        <v>1162</v>
      </c>
      <c r="J3182" s="635"/>
      <c r="K3182" s="389">
        <v>8.48</v>
      </c>
      <c r="L3182" s="536"/>
      <c r="M3182" s="509">
        <f t="shared" si="9483"/>
        <v>294.81132075471697</v>
      </c>
      <c r="N3182" s="646"/>
      <c r="O3182" s="626"/>
      <c r="P3182" s="629"/>
      <c r="Q3182" s="629"/>
    </row>
    <row r="3183" spans="1:17" ht="15.75" hidden="1" thickBot="1">
      <c r="A3183" s="390" t="str">
        <f t="shared" ref="A3183:B3183" si="9610">A3180</f>
        <v>PBAT</v>
      </c>
      <c r="B3183" s="391" t="str">
        <f t="shared" si="9610"/>
        <v>fiber</v>
      </c>
      <c r="C3183" s="391">
        <f t="shared" ref="C3183" si="9611">C3182</f>
        <v>4</v>
      </c>
      <c r="D3183" s="391" t="str">
        <f t="shared" ref="D3183:E3183" si="9612">D3180</f>
        <v>1-10</v>
      </c>
      <c r="E3183" s="391">
        <f t="shared" si="9612"/>
        <v>10</v>
      </c>
      <c r="F3183" s="391" t="str">
        <f t="shared" ref="F3183:G3183" si="9613">F3182</f>
        <v>air</v>
      </c>
      <c r="G3183" s="401" t="str">
        <f t="shared" si="9613"/>
        <v>DE: PBAT fiber 1-10 mm (emission to air)</v>
      </c>
      <c r="H3183" s="465">
        <v>5.0000000000000001E-3</v>
      </c>
      <c r="I3183" s="394" t="s">
        <v>1163</v>
      </c>
      <c r="J3183" s="635"/>
      <c r="K3183" s="389">
        <v>8.48</v>
      </c>
      <c r="L3183" s="536"/>
      <c r="M3183" s="509">
        <f t="shared" si="9483"/>
        <v>294.81132075471697</v>
      </c>
      <c r="N3183" s="646"/>
      <c r="O3183" s="626"/>
      <c r="P3183" s="629"/>
      <c r="Q3183" s="629"/>
    </row>
    <row r="3184" spans="1:17" ht="15.75" hidden="1" thickBot="1">
      <c r="A3184" s="452" t="str">
        <f t="shared" ref="A3184:B3184" si="9614">A3179</f>
        <v>PBAT</v>
      </c>
      <c r="B3184" s="453" t="str">
        <f t="shared" si="9614"/>
        <v>fiber</v>
      </c>
      <c r="C3184" s="453">
        <f t="shared" ref="C3184" si="9615">C3183</f>
        <v>4</v>
      </c>
      <c r="D3184" s="453" t="str">
        <f t="shared" ref="D3184:E3184" si="9616">D3179</f>
        <v>1-10</v>
      </c>
      <c r="E3184" s="453">
        <f t="shared" si="9616"/>
        <v>10</v>
      </c>
      <c r="F3184" s="453" t="str">
        <f t="shared" ref="F3184:G3184" si="9617">F3183</f>
        <v>air</v>
      </c>
      <c r="G3184" s="454" t="str">
        <f t="shared" si="9617"/>
        <v>DE: PBAT fiber 1-10 mm (emission to air)</v>
      </c>
      <c r="H3184" s="473">
        <v>0</v>
      </c>
      <c r="I3184" s="479" t="s">
        <v>1034</v>
      </c>
      <c r="J3184" s="636"/>
      <c r="K3184" s="457" t="s">
        <v>596</v>
      </c>
      <c r="L3184" s="543"/>
      <c r="M3184" s="509">
        <f t="shared" si="9483"/>
        <v>0</v>
      </c>
      <c r="N3184" s="647"/>
      <c r="O3184" s="627"/>
      <c r="P3184" s="629"/>
      <c r="Q3184" s="629"/>
    </row>
    <row r="3185" spans="1:17" ht="15.75" hidden="1" thickBot="1">
      <c r="A3185" s="381" t="s">
        <v>177</v>
      </c>
      <c r="B3185" s="382" t="s">
        <v>1152</v>
      </c>
      <c r="C3185" s="383">
        <v>6</v>
      </c>
      <c r="D3185" s="475" t="s">
        <v>1018</v>
      </c>
      <c r="E3185" s="384">
        <v>0.1</v>
      </c>
      <c r="F3185" s="385" t="s">
        <v>1019</v>
      </c>
      <c r="G3185" s="386" t="str">
        <f>CONCATENATE("DE: ",A3185," ",B3185," ",D3185," mm (emission to ",F3185,")")</f>
        <v>DE: PBAT particle 0,01-0,1 mm (emission to soil)</v>
      </c>
      <c r="H3185" s="466">
        <v>0.97</v>
      </c>
      <c r="I3185" s="388" t="s">
        <v>1019</v>
      </c>
      <c r="J3185" s="632">
        <v>0.22800000000000001</v>
      </c>
      <c r="K3185" s="389">
        <v>8.48</v>
      </c>
      <c r="L3185" s="536"/>
      <c r="M3185" s="509">
        <f t="shared" si="9483"/>
        <v>1.4740566037735849</v>
      </c>
      <c r="N3185" s="645">
        <f t="shared" si="9500"/>
        <v>1.4740566037735849</v>
      </c>
      <c r="O3185" s="625"/>
      <c r="P3185" s="628">
        <f t="shared" si="9539"/>
        <v>1.4740566037735849</v>
      </c>
      <c r="Q3185" s="628">
        <f t="shared" si="9455"/>
        <v>1.4740566037735849</v>
      </c>
    </row>
    <row r="3186" spans="1:17" ht="15.75" hidden="1" thickBot="1">
      <c r="A3186" s="390" t="str">
        <f>A3185</f>
        <v>PBAT</v>
      </c>
      <c r="B3186" s="391" t="str">
        <f>B3185</f>
        <v>particle</v>
      </c>
      <c r="C3186" s="391">
        <f t="shared" ref="C3186:G3186" si="9618">C3185</f>
        <v>6</v>
      </c>
      <c r="D3186" s="391" t="str">
        <f t="shared" si="9618"/>
        <v>0,01-0,1</v>
      </c>
      <c r="E3186" s="391">
        <f t="shared" si="9618"/>
        <v>0.1</v>
      </c>
      <c r="F3186" s="391" t="str">
        <f t="shared" si="9618"/>
        <v>soil</v>
      </c>
      <c r="G3186" s="392" t="str">
        <f t="shared" si="9618"/>
        <v>DE: PBAT particle 0,01-0,1 mm (emission to soil)</v>
      </c>
      <c r="H3186" s="465">
        <v>0</v>
      </c>
      <c r="I3186" s="394" t="s">
        <v>1174</v>
      </c>
      <c r="J3186" s="632"/>
      <c r="K3186" s="395">
        <v>11.86</v>
      </c>
      <c r="L3186" s="537"/>
      <c r="M3186" s="509">
        <f t="shared" si="9483"/>
        <v>1.0539629005059021</v>
      </c>
      <c r="N3186" s="646"/>
      <c r="O3186" s="626"/>
      <c r="P3186" s="629"/>
      <c r="Q3186" s="629"/>
    </row>
    <row r="3187" spans="1:17" ht="15.75" hidden="1" thickBot="1">
      <c r="A3187" s="390" t="str">
        <f t="shared" ref="A3187:G3187" si="9619">A3186</f>
        <v>PBAT</v>
      </c>
      <c r="B3187" s="391" t="str">
        <f t="shared" si="9619"/>
        <v>particle</v>
      </c>
      <c r="C3187" s="391">
        <f t="shared" si="9619"/>
        <v>6</v>
      </c>
      <c r="D3187" s="391" t="str">
        <f t="shared" si="9619"/>
        <v>0,01-0,1</v>
      </c>
      <c r="E3187" s="391">
        <f t="shared" si="9619"/>
        <v>0.1</v>
      </c>
      <c r="F3187" s="391" t="str">
        <f t="shared" si="9619"/>
        <v>soil</v>
      </c>
      <c r="G3187" s="392" t="str">
        <f t="shared" si="9619"/>
        <v>DE: PBAT particle 0,01-0,1 mm (emission to soil)</v>
      </c>
      <c r="H3187" s="465">
        <v>2.7E-2</v>
      </c>
      <c r="I3187" s="394" t="s">
        <v>1162</v>
      </c>
      <c r="J3187" s="632"/>
      <c r="K3187" s="395">
        <v>8.48</v>
      </c>
      <c r="L3187" s="537"/>
      <c r="M3187" s="509">
        <f t="shared" si="9483"/>
        <v>1.4740566037735849</v>
      </c>
      <c r="N3187" s="646"/>
      <c r="O3187" s="626"/>
      <c r="P3187" s="629"/>
      <c r="Q3187" s="629"/>
    </row>
    <row r="3188" spans="1:17" ht="15.75" hidden="1" thickBot="1">
      <c r="A3188" s="390" t="str">
        <f t="shared" ref="A3188:G3188" si="9620">A3187</f>
        <v>PBAT</v>
      </c>
      <c r="B3188" s="391" t="str">
        <f t="shared" si="9620"/>
        <v>particle</v>
      </c>
      <c r="C3188" s="391">
        <f t="shared" si="9620"/>
        <v>6</v>
      </c>
      <c r="D3188" s="391" t="str">
        <f t="shared" si="9620"/>
        <v>0,01-0,1</v>
      </c>
      <c r="E3188" s="391">
        <f t="shared" si="9620"/>
        <v>0.1</v>
      </c>
      <c r="F3188" s="391" t="str">
        <f t="shared" si="9620"/>
        <v>soil</v>
      </c>
      <c r="G3188" s="392" t="str">
        <f t="shared" si="9620"/>
        <v>DE: PBAT particle 0,01-0,1 mm (emission to soil)</v>
      </c>
      <c r="H3188" s="465">
        <v>3.0000000000000001E-3</v>
      </c>
      <c r="I3188" s="394" t="s">
        <v>1163</v>
      </c>
      <c r="J3188" s="632"/>
      <c r="K3188" s="395">
        <v>8.48</v>
      </c>
      <c r="L3188" s="537"/>
      <c r="M3188" s="509">
        <f t="shared" si="9483"/>
        <v>1.4740566037735849</v>
      </c>
      <c r="N3188" s="646"/>
      <c r="O3188" s="626"/>
      <c r="P3188" s="629"/>
      <c r="Q3188" s="629"/>
    </row>
    <row r="3189" spans="1:17" ht="15.75" hidden="1" thickBot="1">
      <c r="A3189" s="390" t="str">
        <f>A3186</f>
        <v>PBAT</v>
      </c>
      <c r="B3189" s="391" t="str">
        <f>B3186</f>
        <v>particle</v>
      </c>
      <c r="C3189" s="391">
        <f t="shared" ref="C3189" si="9621">C3188</f>
        <v>6</v>
      </c>
      <c r="D3189" s="391" t="str">
        <f>D3186</f>
        <v>0,01-0,1</v>
      </c>
      <c r="E3189" s="391">
        <f>E3186</f>
        <v>0.1</v>
      </c>
      <c r="F3189" s="391" t="str">
        <f>F3186</f>
        <v>soil</v>
      </c>
      <c r="G3189" s="396" t="str">
        <f t="shared" ref="G3189" si="9622">G3188</f>
        <v>DE: PBAT particle 0,01-0,1 mm (emission to soil)</v>
      </c>
      <c r="H3189" s="465">
        <v>0</v>
      </c>
      <c r="I3189" s="397" t="s">
        <v>1034</v>
      </c>
      <c r="J3189" s="633"/>
      <c r="K3189" s="398" t="s">
        <v>596</v>
      </c>
      <c r="L3189" s="538"/>
      <c r="M3189" s="509">
        <f t="shared" si="9483"/>
        <v>0</v>
      </c>
      <c r="N3189" s="647"/>
      <c r="O3189" s="627"/>
      <c r="P3189" s="629"/>
      <c r="Q3189" s="629"/>
    </row>
    <row r="3190" spans="1:17" ht="15.75" hidden="1" thickBot="1">
      <c r="A3190" s="390" t="str">
        <f t="shared" ref="A3190:B3190" si="9623">A3187</f>
        <v>PBAT</v>
      </c>
      <c r="B3190" s="391" t="str">
        <f t="shared" si="9623"/>
        <v>particle</v>
      </c>
      <c r="C3190" s="391">
        <f t="shared" ref="C3190" si="9624">C3189</f>
        <v>6</v>
      </c>
      <c r="D3190" s="399" t="str">
        <f t="shared" ref="D3190:E3190" si="9625">D3187</f>
        <v>0,01-0,1</v>
      </c>
      <c r="E3190" s="391">
        <f t="shared" si="9625"/>
        <v>0.1</v>
      </c>
      <c r="F3190" s="400" t="s">
        <v>1147</v>
      </c>
      <c r="G3190" s="386" t="str">
        <f>CONCATENATE("DE: ",A3190," ",B3190," ",D3190," mm (emission to ",F3190,")")</f>
        <v>DE: PBAT particle 0,01-0,1 mm (emission to fresh water)</v>
      </c>
      <c r="H3190" s="466">
        <v>0</v>
      </c>
      <c r="I3190" s="388" t="s">
        <v>1019</v>
      </c>
      <c r="J3190" s="634">
        <v>0.22800000000000001</v>
      </c>
      <c r="K3190" s="389">
        <v>8.48</v>
      </c>
      <c r="L3190" s="536"/>
      <c r="M3190" s="509">
        <f t="shared" si="9483"/>
        <v>1.4740566037735849</v>
      </c>
      <c r="N3190" s="645">
        <f t="shared" si="9500"/>
        <v>1.4740566037735849</v>
      </c>
      <c r="O3190" s="625"/>
      <c r="P3190" s="628">
        <f t="shared" si="9539"/>
        <v>1.4740566037735849</v>
      </c>
      <c r="Q3190" s="628">
        <f t="shared" si="9455"/>
        <v>1.4740566037735849</v>
      </c>
    </row>
    <row r="3191" spans="1:17" ht="15.75" hidden="1" thickBot="1">
      <c r="A3191" s="390" t="str">
        <f t="shared" ref="A3191:B3191" si="9626">A3188</f>
        <v>PBAT</v>
      </c>
      <c r="B3191" s="391" t="str">
        <f t="shared" si="9626"/>
        <v>particle</v>
      </c>
      <c r="C3191" s="391">
        <f t="shared" ref="C3191" si="9627">C3190</f>
        <v>6</v>
      </c>
      <c r="D3191" s="391" t="str">
        <f t="shared" ref="D3191:E3191" si="9628">D3188</f>
        <v>0,01-0,1</v>
      </c>
      <c r="E3191" s="391">
        <f t="shared" si="9628"/>
        <v>0.1</v>
      </c>
      <c r="F3191" s="391" t="str">
        <f t="shared" ref="F3191:G3191" si="9629">F3190</f>
        <v>fresh water</v>
      </c>
      <c r="G3191" s="401" t="str">
        <f t="shared" si="9629"/>
        <v>DE: PBAT particle 0,01-0,1 mm (emission to fresh water)</v>
      </c>
      <c r="H3191" s="465">
        <v>0</v>
      </c>
      <c r="I3191" s="394" t="s">
        <v>1174</v>
      </c>
      <c r="J3191" s="635"/>
      <c r="K3191" s="389">
        <v>11.86</v>
      </c>
      <c r="L3191" s="536"/>
      <c r="M3191" s="509">
        <f t="shared" si="9483"/>
        <v>1.0539629005059021</v>
      </c>
      <c r="N3191" s="646"/>
      <c r="O3191" s="626"/>
      <c r="P3191" s="629"/>
      <c r="Q3191" s="629"/>
    </row>
    <row r="3192" spans="1:17" ht="15.75" hidden="1" thickBot="1">
      <c r="A3192" s="390" t="str">
        <f t="shared" ref="A3192:B3192" si="9630">A3189</f>
        <v>PBAT</v>
      </c>
      <c r="B3192" s="391" t="str">
        <f t="shared" si="9630"/>
        <v>particle</v>
      </c>
      <c r="C3192" s="391">
        <f t="shared" ref="C3192" si="9631">C3191</f>
        <v>6</v>
      </c>
      <c r="D3192" s="391" t="str">
        <f t="shared" ref="D3192:E3192" si="9632">D3189</f>
        <v>0,01-0,1</v>
      </c>
      <c r="E3192" s="391">
        <f t="shared" si="9632"/>
        <v>0.1</v>
      </c>
      <c r="F3192" s="391" t="str">
        <f t="shared" ref="F3192:G3192" si="9633">F3191</f>
        <v>fresh water</v>
      </c>
      <c r="G3192" s="401" t="str">
        <f t="shared" si="9633"/>
        <v>DE: PBAT particle 0,01-0,1 mm (emission to fresh water)</v>
      </c>
      <c r="H3192" s="465">
        <v>0.89</v>
      </c>
      <c r="I3192" s="394" t="s">
        <v>1162</v>
      </c>
      <c r="J3192" s="635"/>
      <c r="K3192" s="389">
        <v>8.48</v>
      </c>
      <c r="L3192" s="536"/>
      <c r="M3192" s="509">
        <f t="shared" si="9483"/>
        <v>1.4740566037735849</v>
      </c>
      <c r="N3192" s="646"/>
      <c r="O3192" s="626"/>
      <c r="P3192" s="629"/>
      <c r="Q3192" s="629"/>
    </row>
    <row r="3193" spans="1:17" ht="15.75" hidden="1" thickBot="1">
      <c r="A3193" s="390" t="str">
        <f t="shared" ref="A3193:B3193" si="9634">A3190</f>
        <v>PBAT</v>
      </c>
      <c r="B3193" s="391" t="str">
        <f t="shared" si="9634"/>
        <v>particle</v>
      </c>
      <c r="C3193" s="391">
        <f t="shared" ref="C3193" si="9635">C3192</f>
        <v>6</v>
      </c>
      <c r="D3193" s="391" t="str">
        <f t="shared" ref="D3193:E3193" si="9636">D3190</f>
        <v>0,01-0,1</v>
      </c>
      <c r="E3193" s="391">
        <f t="shared" si="9636"/>
        <v>0.1</v>
      </c>
      <c r="F3193" s="391" t="str">
        <f t="shared" ref="F3193:G3193" si="9637">F3192</f>
        <v>fresh water</v>
      </c>
      <c r="G3193" s="401" t="str">
        <f t="shared" si="9637"/>
        <v>DE: PBAT particle 0,01-0,1 mm (emission to fresh water)</v>
      </c>
      <c r="H3193" s="465">
        <v>0.11</v>
      </c>
      <c r="I3193" s="394" t="s">
        <v>1163</v>
      </c>
      <c r="J3193" s="635"/>
      <c r="K3193" s="389">
        <v>8.48</v>
      </c>
      <c r="L3193" s="536"/>
      <c r="M3193" s="509">
        <f t="shared" si="9483"/>
        <v>1.4740566037735849</v>
      </c>
      <c r="N3193" s="646"/>
      <c r="O3193" s="626"/>
      <c r="P3193" s="629"/>
      <c r="Q3193" s="629"/>
    </row>
    <row r="3194" spans="1:17" ht="15.75" hidden="1" thickBot="1">
      <c r="A3194" s="390" t="str">
        <f t="shared" ref="A3194:B3194" si="9638">A3191</f>
        <v>PBAT</v>
      </c>
      <c r="B3194" s="391" t="str">
        <f t="shared" si="9638"/>
        <v>particle</v>
      </c>
      <c r="C3194" s="391">
        <f t="shared" ref="C3194" si="9639">C3193</f>
        <v>6</v>
      </c>
      <c r="D3194" s="391" t="str">
        <f t="shared" ref="D3194:E3194" si="9640">D3191</f>
        <v>0,01-0,1</v>
      </c>
      <c r="E3194" s="391">
        <f t="shared" si="9640"/>
        <v>0.1</v>
      </c>
      <c r="F3194" s="402" t="str">
        <f>F3191</f>
        <v>fresh water</v>
      </c>
      <c r="G3194" s="401" t="str">
        <f t="shared" ref="G3194" si="9641">G3193</f>
        <v>DE: PBAT particle 0,01-0,1 mm (emission to fresh water)</v>
      </c>
      <c r="H3194" s="465">
        <v>0</v>
      </c>
      <c r="I3194" s="397" t="s">
        <v>1034</v>
      </c>
      <c r="J3194" s="654"/>
      <c r="K3194" s="398" t="s">
        <v>596</v>
      </c>
      <c r="L3194" s="538"/>
      <c r="M3194" s="509">
        <f t="shared" si="9483"/>
        <v>0</v>
      </c>
      <c r="N3194" s="647"/>
      <c r="O3194" s="627"/>
      <c r="P3194" s="629"/>
      <c r="Q3194" s="629"/>
    </row>
    <row r="3195" spans="1:17" ht="15.75" hidden="1" thickBot="1">
      <c r="A3195" s="390" t="str">
        <f t="shared" ref="A3195:B3195" si="9642">A3192</f>
        <v>PBAT</v>
      </c>
      <c r="B3195" s="391" t="str">
        <f t="shared" si="9642"/>
        <v>particle</v>
      </c>
      <c r="C3195" s="391">
        <f t="shared" ref="C3195" si="9643">C3194</f>
        <v>6</v>
      </c>
      <c r="D3195" s="391" t="str">
        <f t="shared" ref="D3195:E3195" si="9644">D3192</f>
        <v>0,01-0,1</v>
      </c>
      <c r="E3195" s="391">
        <f t="shared" si="9644"/>
        <v>0.1</v>
      </c>
      <c r="F3195" s="385" t="s">
        <v>1097</v>
      </c>
      <c r="G3195" s="422" t="str">
        <f>CONCATENATE("DE: ",A3195," ",B3195," ",D3195," mm (emission to ",F3195,")")</f>
        <v>DE: PBAT particle 0,01-0,1 mm (emission to marine water)</v>
      </c>
      <c r="H3195" s="467">
        <v>0</v>
      </c>
      <c r="I3195" s="388" t="s">
        <v>1019</v>
      </c>
      <c r="J3195" s="634">
        <v>0.22800000000000001</v>
      </c>
      <c r="K3195" s="389">
        <v>8.48</v>
      </c>
      <c r="L3195" s="536"/>
      <c r="M3195" s="509">
        <f t="shared" si="9483"/>
        <v>1.4740566037735849</v>
      </c>
      <c r="N3195" s="645">
        <f t="shared" si="9500"/>
        <v>1.4740566037735849</v>
      </c>
      <c r="O3195" s="625"/>
      <c r="P3195" s="628">
        <f t="shared" si="9539"/>
        <v>1.4740566037735849</v>
      </c>
      <c r="Q3195" s="628">
        <f t="shared" si="9455"/>
        <v>1.4740566037735849</v>
      </c>
    </row>
    <row r="3196" spans="1:17" ht="15.75" hidden="1" thickBot="1">
      <c r="A3196" s="390" t="str">
        <f t="shared" ref="A3196:B3196" si="9645">A3193</f>
        <v>PBAT</v>
      </c>
      <c r="B3196" s="391" t="str">
        <f t="shared" si="9645"/>
        <v>particle</v>
      </c>
      <c r="C3196" s="391">
        <f t="shared" ref="C3196" si="9646">C3195</f>
        <v>6</v>
      </c>
      <c r="D3196" s="391" t="str">
        <f t="shared" ref="D3196:E3196" si="9647">D3193</f>
        <v>0,01-0,1</v>
      </c>
      <c r="E3196" s="391">
        <f t="shared" si="9647"/>
        <v>0.1</v>
      </c>
      <c r="F3196" s="391" t="str">
        <f t="shared" ref="F3196:G3196" si="9648">F3195</f>
        <v>marine water</v>
      </c>
      <c r="G3196" s="401" t="str">
        <f t="shared" si="9648"/>
        <v>DE: PBAT particle 0,01-0,1 mm (emission to marine water)</v>
      </c>
      <c r="H3196" s="465">
        <v>0</v>
      </c>
      <c r="I3196" s="394" t="s">
        <v>1174</v>
      </c>
      <c r="J3196" s="635"/>
      <c r="K3196" s="389">
        <v>11.86</v>
      </c>
      <c r="L3196" s="536"/>
      <c r="M3196" s="509">
        <f t="shared" si="9483"/>
        <v>1.0539629005059021</v>
      </c>
      <c r="N3196" s="646"/>
      <c r="O3196" s="626"/>
      <c r="P3196" s="629"/>
      <c r="Q3196" s="629"/>
    </row>
    <row r="3197" spans="1:17" ht="15.75" hidden="1" thickBot="1">
      <c r="A3197" s="390" t="str">
        <f t="shared" ref="A3197:B3197" si="9649">A3194</f>
        <v>PBAT</v>
      </c>
      <c r="B3197" s="391" t="str">
        <f t="shared" si="9649"/>
        <v>particle</v>
      </c>
      <c r="C3197" s="391">
        <f t="shared" ref="C3197" si="9650">C3196</f>
        <v>6</v>
      </c>
      <c r="D3197" s="391" t="str">
        <f t="shared" ref="D3197:E3197" si="9651">D3194</f>
        <v>0,01-0,1</v>
      </c>
      <c r="E3197" s="391">
        <f t="shared" si="9651"/>
        <v>0.1</v>
      </c>
      <c r="F3197" s="391" t="str">
        <f t="shared" ref="F3197:G3197" si="9652">F3196</f>
        <v>marine water</v>
      </c>
      <c r="G3197" s="401" t="str">
        <f t="shared" si="9652"/>
        <v>DE: PBAT particle 0,01-0,1 mm (emission to marine water)</v>
      </c>
      <c r="H3197" s="465">
        <v>0</v>
      </c>
      <c r="I3197" s="394" t="s">
        <v>1162</v>
      </c>
      <c r="J3197" s="635"/>
      <c r="K3197" s="389">
        <v>8.48</v>
      </c>
      <c r="L3197" s="536"/>
      <c r="M3197" s="509">
        <f t="shared" si="9483"/>
        <v>1.4740566037735849</v>
      </c>
      <c r="N3197" s="646"/>
      <c r="O3197" s="626"/>
      <c r="P3197" s="629"/>
      <c r="Q3197" s="629"/>
    </row>
    <row r="3198" spans="1:17" ht="15.75" hidden="1" thickBot="1">
      <c r="A3198" s="390" t="str">
        <f t="shared" ref="A3198:B3198" si="9653">A3195</f>
        <v>PBAT</v>
      </c>
      <c r="B3198" s="391" t="str">
        <f t="shared" si="9653"/>
        <v>particle</v>
      </c>
      <c r="C3198" s="391">
        <f t="shared" ref="C3198" si="9654">C3197</f>
        <v>6</v>
      </c>
      <c r="D3198" s="391" t="str">
        <f t="shared" ref="D3198:E3198" si="9655">D3195</f>
        <v>0,01-0,1</v>
      </c>
      <c r="E3198" s="391">
        <f t="shared" si="9655"/>
        <v>0.1</v>
      </c>
      <c r="F3198" s="391" t="str">
        <f t="shared" ref="F3198:G3198" si="9656">F3197</f>
        <v>marine water</v>
      </c>
      <c r="G3198" s="401" t="str">
        <f t="shared" si="9656"/>
        <v>DE: PBAT particle 0,01-0,1 mm (emission to marine water)</v>
      </c>
      <c r="H3198" s="465">
        <v>1</v>
      </c>
      <c r="I3198" s="394" t="s">
        <v>1163</v>
      </c>
      <c r="J3198" s="635"/>
      <c r="K3198" s="389">
        <v>8.48</v>
      </c>
      <c r="L3198" s="536"/>
      <c r="M3198" s="509">
        <f t="shared" si="9483"/>
        <v>1.4740566037735849</v>
      </c>
      <c r="N3198" s="646"/>
      <c r="O3198" s="626"/>
      <c r="P3198" s="629"/>
      <c r="Q3198" s="629"/>
    </row>
    <row r="3199" spans="1:17" ht="15.75" hidden="1" thickBot="1">
      <c r="A3199" s="390" t="str">
        <f t="shared" ref="A3199:B3199" si="9657">A3196</f>
        <v>PBAT</v>
      </c>
      <c r="B3199" s="391" t="str">
        <f t="shared" si="9657"/>
        <v>particle</v>
      </c>
      <c r="C3199" s="391">
        <f t="shared" ref="C3199" si="9658">C3198</f>
        <v>6</v>
      </c>
      <c r="D3199" s="391" t="str">
        <f t="shared" ref="D3199:E3199" si="9659">D3196</f>
        <v>0,01-0,1</v>
      </c>
      <c r="E3199" s="391">
        <f t="shared" si="9659"/>
        <v>0.1</v>
      </c>
      <c r="F3199" s="391" t="str">
        <f t="shared" ref="F3199:G3199" si="9660">F3198</f>
        <v>marine water</v>
      </c>
      <c r="G3199" s="401" t="str">
        <f t="shared" si="9660"/>
        <v>DE: PBAT particle 0,01-0,1 mm (emission to marine water)</v>
      </c>
      <c r="H3199" s="465">
        <v>0</v>
      </c>
      <c r="I3199" s="397" t="s">
        <v>1034</v>
      </c>
      <c r="J3199" s="654"/>
      <c r="K3199" s="398" t="s">
        <v>596</v>
      </c>
      <c r="L3199" s="538"/>
      <c r="M3199" s="509">
        <f t="shared" si="9483"/>
        <v>0</v>
      </c>
      <c r="N3199" s="647"/>
      <c r="O3199" s="627"/>
      <c r="P3199" s="629"/>
      <c r="Q3199" s="629"/>
    </row>
    <row r="3200" spans="1:17" ht="15.75" hidden="1" thickBot="1">
      <c r="A3200" s="390" t="str">
        <f t="shared" ref="A3200:B3200" si="9661">A3197</f>
        <v>PBAT</v>
      </c>
      <c r="B3200" s="391" t="str">
        <f t="shared" si="9661"/>
        <v>particle</v>
      </c>
      <c r="C3200" s="391">
        <f t="shared" ref="C3200" si="9662">C3199</f>
        <v>6</v>
      </c>
      <c r="D3200" s="391" t="str">
        <f t="shared" ref="D3200:E3200" si="9663">D3197</f>
        <v>0,01-0,1</v>
      </c>
      <c r="E3200" s="391">
        <f t="shared" si="9663"/>
        <v>0.1</v>
      </c>
      <c r="F3200" s="400" t="s">
        <v>1057</v>
      </c>
      <c r="G3200" s="422" t="str">
        <f>CONCATENATE("DE: ",A3200," ",B3200," ",D3200," mm (emission to ",F3200,")")</f>
        <v>DE: PBAT particle 0,01-0,1 mm (emission to air)</v>
      </c>
      <c r="H3200" s="467">
        <v>0.94799999999999995</v>
      </c>
      <c r="I3200" s="388" t="s">
        <v>1019</v>
      </c>
      <c r="J3200" s="634">
        <v>0.22800000000000001</v>
      </c>
      <c r="K3200" s="389">
        <v>8.48</v>
      </c>
      <c r="L3200" s="536"/>
      <c r="M3200" s="509">
        <f t="shared" si="9483"/>
        <v>1.4740566037735849</v>
      </c>
      <c r="N3200" s="645">
        <f t="shared" si="9500"/>
        <v>1.4740566037735849</v>
      </c>
      <c r="O3200" s="625"/>
      <c r="P3200" s="628">
        <f t="shared" si="9539"/>
        <v>1.4740566037735849</v>
      </c>
      <c r="Q3200" s="628">
        <f t="shared" ref="Q3200:Q3260" si="9664">IFERROR(IF(H3200*M3200+H3201*M3201+H3202*M3202+H3203*M3203+H3204*M3204&gt;500,500,H3200*M3200+H3201*M3201+H3202*M3202+H3203*M3203+H3204*M3204),"N.A.")</f>
        <v>1.4740566037735849</v>
      </c>
    </row>
    <row r="3201" spans="1:17" ht="15.75" hidden="1" thickBot="1">
      <c r="A3201" s="390" t="str">
        <f t="shared" ref="A3201:B3201" si="9665">A3198</f>
        <v>PBAT</v>
      </c>
      <c r="B3201" s="391" t="str">
        <f t="shared" si="9665"/>
        <v>particle</v>
      </c>
      <c r="C3201" s="391">
        <f t="shared" ref="C3201" si="9666">C3200</f>
        <v>6</v>
      </c>
      <c r="D3201" s="391" t="str">
        <f t="shared" ref="D3201:E3201" si="9667">D3198</f>
        <v>0,01-0,1</v>
      </c>
      <c r="E3201" s="391">
        <f t="shared" si="9667"/>
        <v>0.1</v>
      </c>
      <c r="F3201" s="391" t="str">
        <f t="shared" ref="F3201:G3201" si="9668">F3200</f>
        <v>air</v>
      </c>
      <c r="G3201" s="401" t="str">
        <f t="shared" si="9668"/>
        <v>DE: PBAT particle 0,01-0,1 mm (emission to air)</v>
      </c>
      <c r="H3201" s="465">
        <v>0</v>
      </c>
      <c r="I3201" s="394" t="s">
        <v>1174</v>
      </c>
      <c r="J3201" s="635"/>
      <c r="K3201" s="389">
        <v>11.86</v>
      </c>
      <c r="L3201" s="536"/>
      <c r="M3201" s="509">
        <f t="shared" si="9483"/>
        <v>1.0539629005059021</v>
      </c>
      <c r="N3201" s="646"/>
      <c r="O3201" s="626"/>
      <c r="P3201" s="629"/>
      <c r="Q3201" s="629"/>
    </row>
    <row r="3202" spans="1:17" ht="15.75" hidden="1" thickBot="1">
      <c r="A3202" s="390" t="str">
        <f t="shared" ref="A3202:B3202" si="9669">A3199</f>
        <v>PBAT</v>
      </c>
      <c r="B3202" s="391" t="str">
        <f t="shared" si="9669"/>
        <v>particle</v>
      </c>
      <c r="C3202" s="391">
        <f t="shared" ref="C3202" si="9670">C3201</f>
        <v>6</v>
      </c>
      <c r="D3202" s="391" t="str">
        <f t="shared" ref="D3202:E3202" si="9671">D3199</f>
        <v>0,01-0,1</v>
      </c>
      <c r="E3202" s="391">
        <f t="shared" si="9671"/>
        <v>0.1</v>
      </c>
      <c r="F3202" s="391" t="str">
        <f t="shared" ref="F3202:G3202" si="9672">F3201</f>
        <v>air</v>
      </c>
      <c r="G3202" s="401" t="str">
        <f t="shared" si="9672"/>
        <v>DE: PBAT particle 0,01-0,1 mm (emission to air)</v>
      </c>
      <c r="H3202" s="465">
        <v>4.7E-2</v>
      </c>
      <c r="I3202" s="394" t="s">
        <v>1162</v>
      </c>
      <c r="J3202" s="635"/>
      <c r="K3202" s="389">
        <v>8.48</v>
      </c>
      <c r="L3202" s="536"/>
      <c r="M3202" s="509">
        <f t="shared" si="9483"/>
        <v>1.4740566037735849</v>
      </c>
      <c r="N3202" s="646"/>
      <c r="O3202" s="626"/>
      <c r="P3202" s="629"/>
      <c r="Q3202" s="629"/>
    </row>
    <row r="3203" spans="1:17" ht="15.75" hidden="1" thickBot="1">
      <c r="A3203" s="390" t="str">
        <f t="shared" ref="A3203:B3203" si="9673">A3200</f>
        <v>PBAT</v>
      </c>
      <c r="B3203" s="391" t="str">
        <f t="shared" si="9673"/>
        <v>particle</v>
      </c>
      <c r="C3203" s="391">
        <f t="shared" ref="C3203" si="9674">C3202</f>
        <v>6</v>
      </c>
      <c r="D3203" s="391" t="str">
        <f t="shared" ref="D3203:E3203" si="9675">D3200</f>
        <v>0,01-0,1</v>
      </c>
      <c r="E3203" s="391">
        <f t="shared" si="9675"/>
        <v>0.1</v>
      </c>
      <c r="F3203" s="391" t="str">
        <f t="shared" ref="F3203:G3203" si="9676">F3202</f>
        <v>air</v>
      </c>
      <c r="G3203" s="401" t="str">
        <f t="shared" si="9676"/>
        <v>DE: PBAT particle 0,01-0,1 mm (emission to air)</v>
      </c>
      <c r="H3203" s="465">
        <v>5.0000000000000001E-3</v>
      </c>
      <c r="I3203" s="394" t="s">
        <v>1163</v>
      </c>
      <c r="J3203" s="635"/>
      <c r="K3203" s="389">
        <v>8.48</v>
      </c>
      <c r="L3203" s="536"/>
      <c r="M3203" s="509">
        <f t="shared" si="9483"/>
        <v>1.4740566037735849</v>
      </c>
      <c r="N3203" s="646"/>
      <c r="O3203" s="626"/>
      <c r="P3203" s="629"/>
      <c r="Q3203" s="629"/>
    </row>
    <row r="3204" spans="1:17" ht="15.75" hidden="1" thickBot="1">
      <c r="A3204" s="390" t="str">
        <f t="shared" ref="A3204:B3204" si="9677">A3199</f>
        <v>PBAT</v>
      </c>
      <c r="B3204" s="391" t="str">
        <f t="shared" si="9677"/>
        <v>particle</v>
      </c>
      <c r="C3204" s="391">
        <f t="shared" ref="C3204" si="9678">C3203</f>
        <v>6</v>
      </c>
      <c r="D3204" s="391" t="str">
        <f t="shared" ref="D3204:E3204" si="9679">D3199</f>
        <v>0,01-0,1</v>
      </c>
      <c r="E3204" s="391">
        <f t="shared" si="9679"/>
        <v>0.1</v>
      </c>
      <c r="F3204" s="391" t="str">
        <f t="shared" ref="F3204:G3204" si="9680">F3203</f>
        <v>air</v>
      </c>
      <c r="G3204" s="401" t="str">
        <f t="shared" si="9680"/>
        <v>DE: PBAT particle 0,01-0,1 mm (emission to air)</v>
      </c>
      <c r="H3204" s="471">
        <v>0</v>
      </c>
      <c r="I3204" s="422" t="s">
        <v>1034</v>
      </c>
      <c r="J3204" s="636"/>
      <c r="K3204" s="451" t="s">
        <v>596</v>
      </c>
      <c r="L3204" s="542"/>
      <c r="M3204" s="509">
        <f t="shared" si="9483"/>
        <v>0</v>
      </c>
      <c r="N3204" s="647"/>
      <c r="O3204" s="627"/>
      <c r="P3204" s="629"/>
      <c r="Q3204" s="629"/>
    </row>
    <row r="3205" spans="1:17" ht="15.75" hidden="1" thickBot="1">
      <c r="A3205" s="405" t="s">
        <v>177</v>
      </c>
      <c r="B3205" s="406" t="s">
        <v>1152</v>
      </c>
      <c r="C3205" s="407">
        <v>6</v>
      </c>
      <c r="D3205" s="423" t="s">
        <v>1028</v>
      </c>
      <c r="E3205" s="408">
        <v>1</v>
      </c>
      <c r="F3205" s="424" t="s">
        <v>1019</v>
      </c>
      <c r="G3205" s="425" t="str">
        <f>CONCATENATE("DE: ",A3205," ",B3205," ",D3205," mm (emission to ",F3205,")")</f>
        <v>DE: PBAT particle 0,1-1 mm (emission to soil)</v>
      </c>
      <c r="H3205" s="474">
        <v>0.97</v>
      </c>
      <c r="I3205" s="427" t="s">
        <v>1019</v>
      </c>
      <c r="J3205" s="632">
        <v>0.22800000000000001</v>
      </c>
      <c r="K3205" s="428">
        <v>8.48</v>
      </c>
      <c r="L3205" s="539"/>
      <c r="M3205" s="509">
        <f t="shared" si="9483"/>
        <v>14.740566037735848</v>
      </c>
      <c r="N3205" s="645">
        <f t="shared" si="9500"/>
        <v>14.740566037735849</v>
      </c>
      <c r="O3205" s="625"/>
      <c r="P3205" s="628">
        <f t="shared" si="9539"/>
        <v>14.740566037735849</v>
      </c>
      <c r="Q3205" s="628">
        <f t="shared" si="9664"/>
        <v>14.740566037735849</v>
      </c>
    </row>
    <row r="3206" spans="1:17" ht="15.75" hidden="1" thickBot="1">
      <c r="A3206" s="390" t="str">
        <f>A3205</f>
        <v>PBAT</v>
      </c>
      <c r="B3206" s="391" t="str">
        <f>B3205</f>
        <v>particle</v>
      </c>
      <c r="C3206" s="391">
        <f t="shared" ref="C3206:G3206" si="9681">C3205</f>
        <v>6</v>
      </c>
      <c r="D3206" s="391" t="str">
        <f t="shared" si="9681"/>
        <v>0,1-1</v>
      </c>
      <c r="E3206" s="391">
        <f t="shared" si="9681"/>
        <v>1</v>
      </c>
      <c r="F3206" s="391" t="str">
        <f t="shared" si="9681"/>
        <v>soil</v>
      </c>
      <c r="G3206" s="392" t="str">
        <f t="shared" si="9681"/>
        <v>DE: PBAT particle 0,1-1 mm (emission to soil)</v>
      </c>
      <c r="H3206" s="465">
        <v>0</v>
      </c>
      <c r="I3206" s="394" t="s">
        <v>1174</v>
      </c>
      <c r="J3206" s="632"/>
      <c r="K3206" s="395">
        <v>11.86</v>
      </c>
      <c r="L3206" s="537"/>
      <c r="M3206" s="509">
        <f t="shared" ref="M3206:M3269" si="9682">IFERROR(IF(K3206="--",0,IF(E3206*1000/K3206*(1-0.5)^(C3206/2)&gt;1000,1000,E3206*1000/K3206*(1-0.5)^(C3206/2))),1000)</f>
        <v>10.539629005059023</v>
      </c>
      <c r="N3206" s="646"/>
      <c r="O3206" s="626"/>
      <c r="P3206" s="629"/>
      <c r="Q3206" s="629"/>
    </row>
    <row r="3207" spans="1:17" ht="15.75" hidden="1" thickBot="1">
      <c r="A3207" s="390" t="str">
        <f t="shared" ref="A3207:G3207" si="9683">A3206</f>
        <v>PBAT</v>
      </c>
      <c r="B3207" s="391" t="str">
        <f t="shared" si="9683"/>
        <v>particle</v>
      </c>
      <c r="C3207" s="391">
        <f t="shared" si="9683"/>
        <v>6</v>
      </c>
      <c r="D3207" s="391" t="str">
        <f t="shared" si="9683"/>
        <v>0,1-1</v>
      </c>
      <c r="E3207" s="391">
        <f t="shared" si="9683"/>
        <v>1</v>
      </c>
      <c r="F3207" s="391" t="str">
        <f t="shared" si="9683"/>
        <v>soil</v>
      </c>
      <c r="G3207" s="392" t="str">
        <f t="shared" si="9683"/>
        <v>DE: PBAT particle 0,1-1 mm (emission to soil)</v>
      </c>
      <c r="H3207" s="465">
        <v>2.7E-2</v>
      </c>
      <c r="I3207" s="394" t="s">
        <v>1162</v>
      </c>
      <c r="J3207" s="632"/>
      <c r="K3207" s="395">
        <v>8.48</v>
      </c>
      <c r="L3207" s="537"/>
      <c r="M3207" s="509">
        <f t="shared" si="9682"/>
        <v>14.740566037735848</v>
      </c>
      <c r="N3207" s="646"/>
      <c r="O3207" s="626"/>
      <c r="P3207" s="629"/>
      <c r="Q3207" s="629"/>
    </row>
    <row r="3208" spans="1:17" ht="15.75" hidden="1" thickBot="1">
      <c r="A3208" s="390" t="str">
        <f t="shared" ref="A3208:G3208" si="9684">A3207</f>
        <v>PBAT</v>
      </c>
      <c r="B3208" s="391" t="str">
        <f t="shared" si="9684"/>
        <v>particle</v>
      </c>
      <c r="C3208" s="391">
        <f t="shared" si="9684"/>
        <v>6</v>
      </c>
      <c r="D3208" s="391" t="str">
        <f t="shared" si="9684"/>
        <v>0,1-1</v>
      </c>
      <c r="E3208" s="391">
        <f t="shared" si="9684"/>
        <v>1</v>
      </c>
      <c r="F3208" s="391" t="str">
        <f t="shared" si="9684"/>
        <v>soil</v>
      </c>
      <c r="G3208" s="392" t="str">
        <f t="shared" si="9684"/>
        <v>DE: PBAT particle 0,1-1 mm (emission to soil)</v>
      </c>
      <c r="H3208" s="465">
        <v>3.0000000000000001E-3</v>
      </c>
      <c r="I3208" s="394" t="s">
        <v>1163</v>
      </c>
      <c r="J3208" s="632"/>
      <c r="K3208" s="395">
        <v>8.48</v>
      </c>
      <c r="L3208" s="537"/>
      <c r="M3208" s="509">
        <f t="shared" si="9682"/>
        <v>14.740566037735848</v>
      </c>
      <c r="N3208" s="646"/>
      <c r="O3208" s="626"/>
      <c r="P3208" s="629"/>
      <c r="Q3208" s="629"/>
    </row>
    <row r="3209" spans="1:17" ht="15.75" hidden="1" thickBot="1">
      <c r="A3209" s="390" t="str">
        <f>A3206</f>
        <v>PBAT</v>
      </c>
      <c r="B3209" s="391" t="str">
        <f>B3206</f>
        <v>particle</v>
      </c>
      <c r="C3209" s="391">
        <f t="shared" ref="C3209" si="9685">C3208</f>
        <v>6</v>
      </c>
      <c r="D3209" s="391" t="str">
        <f>D3206</f>
        <v>0,1-1</v>
      </c>
      <c r="E3209" s="391">
        <f>E3206</f>
        <v>1</v>
      </c>
      <c r="F3209" s="391" t="str">
        <f>F3206</f>
        <v>soil</v>
      </c>
      <c r="G3209" s="396" t="str">
        <f t="shared" ref="G3209" si="9686">G3208</f>
        <v>DE: PBAT particle 0,1-1 mm (emission to soil)</v>
      </c>
      <c r="H3209" s="465">
        <v>0</v>
      </c>
      <c r="I3209" s="397" t="s">
        <v>1034</v>
      </c>
      <c r="J3209" s="633"/>
      <c r="K3209" s="398" t="s">
        <v>596</v>
      </c>
      <c r="L3209" s="538"/>
      <c r="M3209" s="509">
        <f t="shared" si="9682"/>
        <v>0</v>
      </c>
      <c r="N3209" s="647"/>
      <c r="O3209" s="627"/>
      <c r="P3209" s="629"/>
      <c r="Q3209" s="629"/>
    </row>
    <row r="3210" spans="1:17" ht="15.75" hidden="1" thickBot="1">
      <c r="A3210" s="390" t="str">
        <f t="shared" ref="A3210:B3210" si="9687">A3207</f>
        <v>PBAT</v>
      </c>
      <c r="B3210" s="391" t="str">
        <f t="shared" si="9687"/>
        <v>particle</v>
      </c>
      <c r="C3210" s="391">
        <f t="shared" ref="C3210" si="9688">C3209</f>
        <v>6</v>
      </c>
      <c r="D3210" s="399" t="str">
        <f t="shared" ref="D3210:E3210" si="9689">D3207</f>
        <v>0,1-1</v>
      </c>
      <c r="E3210" s="391">
        <f t="shared" si="9689"/>
        <v>1</v>
      </c>
      <c r="F3210" s="400" t="s">
        <v>1147</v>
      </c>
      <c r="G3210" s="386" t="str">
        <f>CONCATENATE("DE: ",A3210," ",B3210," ",D3210," mm (emission to ",F3210,")")</f>
        <v>DE: PBAT particle 0,1-1 mm (emission to fresh water)</v>
      </c>
      <c r="H3210" s="466">
        <v>0</v>
      </c>
      <c r="I3210" s="388" t="s">
        <v>1019</v>
      </c>
      <c r="J3210" s="634">
        <v>0.22800000000000001</v>
      </c>
      <c r="K3210" s="389">
        <v>8.48</v>
      </c>
      <c r="L3210" s="536"/>
      <c r="M3210" s="509">
        <f t="shared" si="9682"/>
        <v>14.740566037735848</v>
      </c>
      <c r="N3210" s="645">
        <f t="shared" si="9500"/>
        <v>14.740566037735849</v>
      </c>
      <c r="O3210" s="625"/>
      <c r="P3210" s="628">
        <f t="shared" si="9539"/>
        <v>14.740566037735849</v>
      </c>
      <c r="Q3210" s="628">
        <f t="shared" si="9664"/>
        <v>14.740566037735849</v>
      </c>
    </row>
    <row r="3211" spans="1:17" ht="15.75" hidden="1" thickBot="1">
      <c r="A3211" s="390" t="str">
        <f t="shared" ref="A3211:B3211" si="9690">A3208</f>
        <v>PBAT</v>
      </c>
      <c r="B3211" s="391" t="str">
        <f t="shared" si="9690"/>
        <v>particle</v>
      </c>
      <c r="C3211" s="391">
        <f t="shared" ref="C3211" si="9691">C3210</f>
        <v>6</v>
      </c>
      <c r="D3211" s="391" t="str">
        <f t="shared" ref="D3211:E3211" si="9692">D3208</f>
        <v>0,1-1</v>
      </c>
      <c r="E3211" s="391">
        <f t="shared" si="9692"/>
        <v>1</v>
      </c>
      <c r="F3211" s="391" t="str">
        <f t="shared" ref="F3211:G3211" si="9693">F3210</f>
        <v>fresh water</v>
      </c>
      <c r="G3211" s="401" t="str">
        <f t="shared" si="9693"/>
        <v>DE: PBAT particle 0,1-1 mm (emission to fresh water)</v>
      </c>
      <c r="H3211" s="465">
        <v>0</v>
      </c>
      <c r="I3211" s="394" t="s">
        <v>1174</v>
      </c>
      <c r="J3211" s="635"/>
      <c r="K3211" s="389">
        <v>11.86</v>
      </c>
      <c r="L3211" s="536"/>
      <c r="M3211" s="509">
        <f t="shared" si="9682"/>
        <v>10.539629005059023</v>
      </c>
      <c r="N3211" s="646"/>
      <c r="O3211" s="626"/>
      <c r="P3211" s="629"/>
      <c r="Q3211" s="629"/>
    </row>
    <row r="3212" spans="1:17" ht="15.75" hidden="1" thickBot="1">
      <c r="A3212" s="390" t="str">
        <f t="shared" ref="A3212:B3212" si="9694">A3209</f>
        <v>PBAT</v>
      </c>
      <c r="B3212" s="391" t="str">
        <f t="shared" si="9694"/>
        <v>particle</v>
      </c>
      <c r="C3212" s="391">
        <f t="shared" ref="C3212" si="9695">C3211</f>
        <v>6</v>
      </c>
      <c r="D3212" s="391" t="str">
        <f t="shared" ref="D3212:E3212" si="9696">D3209</f>
        <v>0,1-1</v>
      </c>
      <c r="E3212" s="391">
        <f t="shared" si="9696"/>
        <v>1</v>
      </c>
      <c r="F3212" s="391" t="str">
        <f t="shared" ref="F3212:G3212" si="9697">F3211</f>
        <v>fresh water</v>
      </c>
      <c r="G3212" s="401" t="str">
        <f t="shared" si="9697"/>
        <v>DE: PBAT particle 0,1-1 mm (emission to fresh water)</v>
      </c>
      <c r="H3212" s="465">
        <v>0.89</v>
      </c>
      <c r="I3212" s="394" t="s">
        <v>1162</v>
      </c>
      <c r="J3212" s="635"/>
      <c r="K3212" s="389">
        <v>8.48</v>
      </c>
      <c r="L3212" s="536"/>
      <c r="M3212" s="509">
        <f t="shared" si="9682"/>
        <v>14.740566037735848</v>
      </c>
      <c r="N3212" s="646"/>
      <c r="O3212" s="626"/>
      <c r="P3212" s="629"/>
      <c r="Q3212" s="629"/>
    </row>
    <row r="3213" spans="1:17" ht="15.75" hidden="1" thickBot="1">
      <c r="A3213" s="390" t="str">
        <f t="shared" ref="A3213:B3213" si="9698">A3210</f>
        <v>PBAT</v>
      </c>
      <c r="B3213" s="391" t="str">
        <f t="shared" si="9698"/>
        <v>particle</v>
      </c>
      <c r="C3213" s="391">
        <f t="shared" ref="C3213" si="9699">C3212</f>
        <v>6</v>
      </c>
      <c r="D3213" s="391" t="str">
        <f t="shared" ref="D3213:E3213" si="9700">D3210</f>
        <v>0,1-1</v>
      </c>
      <c r="E3213" s="391">
        <f t="shared" si="9700"/>
        <v>1</v>
      </c>
      <c r="F3213" s="391" t="str">
        <f t="shared" ref="F3213:G3213" si="9701">F3212</f>
        <v>fresh water</v>
      </c>
      <c r="G3213" s="401" t="str">
        <f t="shared" si="9701"/>
        <v>DE: PBAT particle 0,1-1 mm (emission to fresh water)</v>
      </c>
      <c r="H3213" s="465">
        <v>0.11</v>
      </c>
      <c r="I3213" s="394" t="s">
        <v>1163</v>
      </c>
      <c r="J3213" s="635"/>
      <c r="K3213" s="389">
        <v>8.48</v>
      </c>
      <c r="L3213" s="536"/>
      <c r="M3213" s="509">
        <f t="shared" si="9682"/>
        <v>14.740566037735848</v>
      </c>
      <c r="N3213" s="646"/>
      <c r="O3213" s="626"/>
      <c r="P3213" s="629"/>
      <c r="Q3213" s="629"/>
    </row>
    <row r="3214" spans="1:17" ht="15.75" hidden="1" thickBot="1">
      <c r="A3214" s="390" t="str">
        <f t="shared" ref="A3214:B3214" si="9702">A3211</f>
        <v>PBAT</v>
      </c>
      <c r="B3214" s="391" t="str">
        <f t="shared" si="9702"/>
        <v>particle</v>
      </c>
      <c r="C3214" s="391">
        <f t="shared" ref="C3214" si="9703">C3213</f>
        <v>6</v>
      </c>
      <c r="D3214" s="391" t="str">
        <f t="shared" ref="D3214:E3214" si="9704">D3211</f>
        <v>0,1-1</v>
      </c>
      <c r="E3214" s="391">
        <f t="shared" si="9704"/>
        <v>1</v>
      </c>
      <c r="F3214" s="402" t="str">
        <f>F3211</f>
        <v>fresh water</v>
      </c>
      <c r="G3214" s="401" t="str">
        <f t="shared" ref="G3214" si="9705">G3213</f>
        <v>DE: PBAT particle 0,1-1 mm (emission to fresh water)</v>
      </c>
      <c r="H3214" s="465">
        <v>0</v>
      </c>
      <c r="I3214" s="397" t="s">
        <v>1034</v>
      </c>
      <c r="J3214" s="654"/>
      <c r="K3214" s="398" t="s">
        <v>596</v>
      </c>
      <c r="L3214" s="538"/>
      <c r="M3214" s="509">
        <f t="shared" si="9682"/>
        <v>0</v>
      </c>
      <c r="N3214" s="647"/>
      <c r="O3214" s="627"/>
      <c r="P3214" s="629"/>
      <c r="Q3214" s="629"/>
    </row>
    <row r="3215" spans="1:17" ht="15.75" hidden="1" thickBot="1">
      <c r="A3215" s="390" t="str">
        <f t="shared" ref="A3215:B3215" si="9706">A3212</f>
        <v>PBAT</v>
      </c>
      <c r="B3215" s="391" t="str">
        <f t="shared" si="9706"/>
        <v>particle</v>
      </c>
      <c r="C3215" s="391">
        <f t="shared" ref="C3215" si="9707">C3214</f>
        <v>6</v>
      </c>
      <c r="D3215" s="391" t="str">
        <f t="shared" ref="D3215:E3215" si="9708">D3212</f>
        <v>0,1-1</v>
      </c>
      <c r="E3215" s="391">
        <f t="shared" si="9708"/>
        <v>1</v>
      </c>
      <c r="F3215" s="385" t="s">
        <v>1097</v>
      </c>
      <c r="G3215" s="422" t="str">
        <f>CONCATENATE("DE: ",A3215," ",B3215," ",D3215," mm (emission to ",F3215,")")</f>
        <v>DE: PBAT particle 0,1-1 mm (emission to marine water)</v>
      </c>
      <c r="H3215" s="467">
        <v>0</v>
      </c>
      <c r="I3215" s="388" t="s">
        <v>1019</v>
      </c>
      <c r="J3215" s="634">
        <v>0.22800000000000001</v>
      </c>
      <c r="K3215" s="389">
        <v>8.48</v>
      </c>
      <c r="L3215" s="536"/>
      <c r="M3215" s="509">
        <f t="shared" si="9682"/>
        <v>14.740566037735848</v>
      </c>
      <c r="N3215" s="645">
        <f t="shared" ref="N3215:N3275" si="9709">IFERROR(H3215*M3215+H3216*M3216+H3217*M3217+H3218*M3218+H3219*M3219,"N.A.")</f>
        <v>14.740566037735848</v>
      </c>
      <c r="O3215" s="625"/>
      <c r="P3215" s="628">
        <f t="shared" si="9539"/>
        <v>14.740566037735848</v>
      </c>
      <c r="Q3215" s="628">
        <f t="shared" si="9664"/>
        <v>14.740566037735848</v>
      </c>
    </row>
    <row r="3216" spans="1:17" ht="15.75" hidden="1" thickBot="1">
      <c r="A3216" s="390" t="str">
        <f t="shared" ref="A3216:B3216" si="9710">A3213</f>
        <v>PBAT</v>
      </c>
      <c r="B3216" s="391" t="str">
        <f t="shared" si="9710"/>
        <v>particle</v>
      </c>
      <c r="C3216" s="391">
        <f t="shared" ref="C3216" si="9711">C3215</f>
        <v>6</v>
      </c>
      <c r="D3216" s="391" t="str">
        <f t="shared" ref="D3216:E3216" si="9712">D3213</f>
        <v>0,1-1</v>
      </c>
      <c r="E3216" s="391">
        <f t="shared" si="9712"/>
        <v>1</v>
      </c>
      <c r="F3216" s="391" t="str">
        <f t="shared" ref="F3216:G3216" si="9713">F3215</f>
        <v>marine water</v>
      </c>
      <c r="G3216" s="401" t="str">
        <f t="shared" si="9713"/>
        <v>DE: PBAT particle 0,1-1 mm (emission to marine water)</v>
      </c>
      <c r="H3216" s="465">
        <v>0</v>
      </c>
      <c r="I3216" s="394" t="s">
        <v>1174</v>
      </c>
      <c r="J3216" s="635"/>
      <c r="K3216" s="389">
        <v>11.86</v>
      </c>
      <c r="L3216" s="536"/>
      <c r="M3216" s="509">
        <f t="shared" si="9682"/>
        <v>10.539629005059023</v>
      </c>
      <c r="N3216" s="646"/>
      <c r="O3216" s="626"/>
      <c r="P3216" s="629"/>
      <c r="Q3216" s="629"/>
    </row>
    <row r="3217" spans="1:17" ht="15.75" hidden="1" thickBot="1">
      <c r="A3217" s="390" t="str">
        <f t="shared" ref="A3217:B3217" si="9714">A3214</f>
        <v>PBAT</v>
      </c>
      <c r="B3217" s="391" t="str">
        <f t="shared" si="9714"/>
        <v>particle</v>
      </c>
      <c r="C3217" s="391">
        <f t="shared" ref="C3217" si="9715">C3216</f>
        <v>6</v>
      </c>
      <c r="D3217" s="391" t="str">
        <f t="shared" ref="D3217:E3217" si="9716">D3214</f>
        <v>0,1-1</v>
      </c>
      <c r="E3217" s="391">
        <f t="shared" si="9716"/>
        <v>1</v>
      </c>
      <c r="F3217" s="391" t="str">
        <f t="shared" ref="F3217:G3217" si="9717">F3216</f>
        <v>marine water</v>
      </c>
      <c r="G3217" s="401" t="str">
        <f t="shared" si="9717"/>
        <v>DE: PBAT particle 0,1-1 mm (emission to marine water)</v>
      </c>
      <c r="H3217" s="465">
        <v>0</v>
      </c>
      <c r="I3217" s="394" t="s">
        <v>1162</v>
      </c>
      <c r="J3217" s="635"/>
      <c r="K3217" s="389">
        <v>8.48</v>
      </c>
      <c r="L3217" s="536"/>
      <c r="M3217" s="509">
        <f t="shared" si="9682"/>
        <v>14.740566037735848</v>
      </c>
      <c r="N3217" s="646"/>
      <c r="O3217" s="626"/>
      <c r="P3217" s="629"/>
      <c r="Q3217" s="629"/>
    </row>
    <row r="3218" spans="1:17" ht="15.75" hidden="1" thickBot="1">
      <c r="A3218" s="390" t="str">
        <f t="shared" ref="A3218:B3218" si="9718">A3215</f>
        <v>PBAT</v>
      </c>
      <c r="B3218" s="391" t="str">
        <f t="shared" si="9718"/>
        <v>particle</v>
      </c>
      <c r="C3218" s="391">
        <f t="shared" ref="C3218" si="9719">C3217</f>
        <v>6</v>
      </c>
      <c r="D3218" s="391" t="str">
        <f t="shared" ref="D3218:E3218" si="9720">D3215</f>
        <v>0,1-1</v>
      </c>
      <c r="E3218" s="391">
        <f t="shared" si="9720"/>
        <v>1</v>
      </c>
      <c r="F3218" s="391" t="str">
        <f t="shared" ref="F3218:G3218" si="9721">F3217</f>
        <v>marine water</v>
      </c>
      <c r="G3218" s="401" t="str">
        <f t="shared" si="9721"/>
        <v>DE: PBAT particle 0,1-1 mm (emission to marine water)</v>
      </c>
      <c r="H3218" s="465">
        <v>1</v>
      </c>
      <c r="I3218" s="394" t="s">
        <v>1163</v>
      </c>
      <c r="J3218" s="635"/>
      <c r="K3218" s="389">
        <v>8.48</v>
      </c>
      <c r="L3218" s="536"/>
      <c r="M3218" s="509">
        <f t="shared" si="9682"/>
        <v>14.740566037735848</v>
      </c>
      <c r="N3218" s="646"/>
      <c r="O3218" s="626"/>
      <c r="P3218" s="629"/>
      <c r="Q3218" s="629"/>
    </row>
    <row r="3219" spans="1:17" ht="15.75" hidden="1" thickBot="1">
      <c r="A3219" s="390" t="str">
        <f t="shared" ref="A3219:B3219" si="9722">A3216</f>
        <v>PBAT</v>
      </c>
      <c r="B3219" s="391" t="str">
        <f t="shared" si="9722"/>
        <v>particle</v>
      </c>
      <c r="C3219" s="391">
        <f t="shared" ref="C3219" si="9723">C3218</f>
        <v>6</v>
      </c>
      <c r="D3219" s="391" t="str">
        <f t="shared" ref="D3219:E3219" si="9724">D3216</f>
        <v>0,1-1</v>
      </c>
      <c r="E3219" s="391">
        <f t="shared" si="9724"/>
        <v>1</v>
      </c>
      <c r="F3219" s="391" t="str">
        <f t="shared" ref="F3219:G3219" si="9725">F3218</f>
        <v>marine water</v>
      </c>
      <c r="G3219" s="401" t="str">
        <f t="shared" si="9725"/>
        <v>DE: PBAT particle 0,1-1 mm (emission to marine water)</v>
      </c>
      <c r="H3219" s="465">
        <v>0</v>
      </c>
      <c r="I3219" s="397" t="s">
        <v>1034</v>
      </c>
      <c r="J3219" s="654"/>
      <c r="K3219" s="398" t="s">
        <v>596</v>
      </c>
      <c r="L3219" s="538"/>
      <c r="M3219" s="509">
        <f t="shared" si="9682"/>
        <v>0</v>
      </c>
      <c r="N3219" s="647"/>
      <c r="O3219" s="627"/>
      <c r="P3219" s="629"/>
      <c r="Q3219" s="629"/>
    </row>
    <row r="3220" spans="1:17" ht="15.75" hidden="1" thickBot="1">
      <c r="A3220" s="390" t="str">
        <f t="shared" ref="A3220:B3220" si="9726">A3217</f>
        <v>PBAT</v>
      </c>
      <c r="B3220" s="391" t="str">
        <f t="shared" si="9726"/>
        <v>particle</v>
      </c>
      <c r="C3220" s="391">
        <f t="shared" ref="C3220" si="9727">C3219</f>
        <v>6</v>
      </c>
      <c r="D3220" s="391" t="str">
        <f t="shared" ref="D3220:E3220" si="9728">D3217</f>
        <v>0,1-1</v>
      </c>
      <c r="E3220" s="391">
        <f t="shared" si="9728"/>
        <v>1</v>
      </c>
      <c r="F3220" s="400" t="s">
        <v>1057</v>
      </c>
      <c r="G3220" s="422" t="str">
        <f>CONCATENATE("DE: ",A3220," ",B3220," ",D3220," mm (emission to ",F3220,")")</f>
        <v>DE: PBAT particle 0,1-1 mm (emission to air)</v>
      </c>
      <c r="H3220" s="467">
        <v>0.94799999999999995</v>
      </c>
      <c r="I3220" s="388" t="s">
        <v>1019</v>
      </c>
      <c r="J3220" s="634">
        <v>0.22800000000000001</v>
      </c>
      <c r="K3220" s="389">
        <v>8.48</v>
      </c>
      <c r="L3220" s="536"/>
      <c r="M3220" s="509">
        <f t="shared" si="9682"/>
        <v>14.740566037735848</v>
      </c>
      <c r="N3220" s="645">
        <f t="shared" si="9709"/>
        <v>14.740566037735848</v>
      </c>
      <c r="O3220" s="625"/>
      <c r="P3220" s="628">
        <f t="shared" si="9539"/>
        <v>14.740566037735848</v>
      </c>
      <c r="Q3220" s="628">
        <f t="shared" si="9664"/>
        <v>14.740566037735848</v>
      </c>
    </row>
    <row r="3221" spans="1:17" ht="15.75" hidden="1" thickBot="1">
      <c r="A3221" s="390" t="str">
        <f t="shared" ref="A3221:B3221" si="9729">A3218</f>
        <v>PBAT</v>
      </c>
      <c r="B3221" s="391" t="str">
        <f t="shared" si="9729"/>
        <v>particle</v>
      </c>
      <c r="C3221" s="391">
        <f t="shared" ref="C3221" si="9730">C3220</f>
        <v>6</v>
      </c>
      <c r="D3221" s="391" t="str">
        <f t="shared" ref="D3221:E3221" si="9731">D3218</f>
        <v>0,1-1</v>
      </c>
      <c r="E3221" s="391">
        <f t="shared" si="9731"/>
        <v>1</v>
      </c>
      <c r="F3221" s="391" t="str">
        <f t="shared" ref="F3221:G3221" si="9732">F3220</f>
        <v>air</v>
      </c>
      <c r="G3221" s="401" t="str">
        <f t="shared" si="9732"/>
        <v>DE: PBAT particle 0,1-1 mm (emission to air)</v>
      </c>
      <c r="H3221" s="465">
        <v>0</v>
      </c>
      <c r="I3221" s="394" t="s">
        <v>1174</v>
      </c>
      <c r="J3221" s="635"/>
      <c r="K3221" s="389">
        <v>11.86</v>
      </c>
      <c r="L3221" s="536"/>
      <c r="M3221" s="509">
        <f t="shared" si="9682"/>
        <v>10.539629005059023</v>
      </c>
      <c r="N3221" s="646"/>
      <c r="O3221" s="626"/>
      <c r="P3221" s="629"/>
      <c r="Q3221" s="629"/>
    </row>
    <row r="3222" spans="1:17" ht="15.75" hidden="1" thickBot="1">
      <c r="A3222" s="390" t="str">
        <f t="shared" ref="A3222:B3222" si="9733">A3219</f>
        <v>PBAT</v>
      </c>
      <c r="B3222" s="391" t="str">
        <f t="shared" si="9733"/>
        <v>particle</v>
      </c>
      <c r="C3222" s="391">
        <f t="shared" ref="C3222" si="9734">C3221</f>
        <v>6</v>
      </c>
      <c r="D3222" s="391" t="str">
        <f t="shared" ref="D3222:E3222" si="9735">D3219</f>
        <v>0,1-1</v>
      </c>
      <c r="E3222" s="391">
        <f t="shared" si="9735"/>
        <v>1</v>
      </c>
      <c r="F3222" s="391" t="str">
        <f t="shared" ref="F3222:G3222" si="9736">F3221</f>
        <v>air</v>
      </c>
      <c r="G3222" s="401" t="str">
        <f t="shared" si="9736"/>
        <v>DE: PBAT particle 0,1-1 mm (emission to air)</v>
      </c>
      <c r="H3222" s="465">
        <v>4.7E-2</v>
      </c>
      <c r="I3222" s="394" t="s">
        <v>1162</v>
      </c>
      <c r="J3222" s="635"/>
      <c r="K3222" s="389">
        <v>8.48</v>
      </c>
      <c r="L3222" s="536"/>
      <c r="M3222" s="509">
        <f t="shared" si="9682"/>
        <v>14.740566037735848</v>
      </c>
      <c r="N3222" s="646"/>
      <c r="O3222" s="626"/>
      <c r="P3222" s="629"/>
      <c r="Q3222" s="629"/>
    </row>
    <row r="3223" spans="1:17" ht="15.75" hidden="1" thickBot="1">
      <c r="A3223" s="390" t="str">
        <f t="shared" ref="A3223:B3223" si="9737">A3220</f>
        <v>PBAT</v>
      </c>
      <c r="B3223" s="391" t="str">
        <f t="shared" si="9737"/>
        <v>particle</v>
      </c>
      <c r="C3223" s="391">
        <f t="shared" ref="C3223" si="9738">C3222</f>
        <v>6</v>
      </c>
      <c r="D3223" s="391" t="str">
        <f t="shared" ref="D3223:E3223" si="9739">D3220</f>
        <v>0,1-1</v>
      </c>
      <c r="E3223" s="391">
        <f t="shared" si="9739"/>
        <v>1</v>
      </c>
      <c r="F3223" s="391" t="str">
        <f t="shared" ref="F3223:G3223" si="9740">F3222</f>
        <v>air</v>
      </c>
      <c r="G3223" s="401" t="str">
        <f t="shared" si="9740"/>
        <v>DE: PBAT particle 0,1-1 mm (emission to air)</v>
      </c>
      <c r="H3223" s="465">
        <v>5.0000000000000001E-3</v>
      </c>
      <c r="I3223" s="394" t="s">
        <v>1163</v>
      </c>
      <c r="J3223" s="635"/>
      <c r="K3223" s="389">
        <v>8.48</v>
      </c>
      <c r="L3223" s="536"/>
      <c r="M3223" s="509">
        <f t="shared" si="9682"/>
        <v>14.740566037735848</v>
      </c>
      <c r="N3223" s="646"/>
      <c r="O3223" s="626"/>
      <c r="P3223" s="629"/>
      <c r="Q3223" s="629"/>
    </row>
    <row r="3224" spans="1:17" ht="15.75" hidden="1" thickBot="1">
      <c r="A3224" s="452" t="str">
        <f t="shared" ref="A3224:B3224" si="9741">A3219</f>
        <v>PBAT</v>
      </c>
      <c r="B3224" s="453" t="str">
        <f t="shared" si="9741"/>
        <v>particle</v>
      </c>
      <c r="C3224" s="453">
        <f t="shared" ref="C3224" si="9742">C3223</f>
        <v>6</v>
      </c>
      <c r="D3224" s="453" t="str">
        <f t="shared" ref="D3224:E3224" si="9743">D3219</f>
        <v>0,1-1</v>
      </c>
      <c r="E3224" s="453">
        <f t="shared" si="9743"/>
        <v>1</v>
      </c>
      <c r="F3224" s="453" t="str">
        <f t="shared" ref="F3224:G3224" si="9744">F3223</f>
        <v>air</v>
      </c>
      <c r="G3224" s="454" t="str">
        <f t="shared" si="9744"/>
        <v>DE: PBAT particle 0,1-1 mm (emission to air)</v>
      </c>
      <c r="H3224" s="473">
        <v>0</v>
      </c>
      <c r="I3224" s="456" t="s">
        <v>1034</v>
      </c>
      <c r="J3224" s="636"/>
      <c r="K3224" s="457" t="s">
        <v>596</v>
      </c>
      <c r="L3224" s="543"/>
      <c r="M3224" s="509">
        <f t="shared" si="9682"/>
        <v>0</v>
      </c>
      <c r="N3224" s="647"/>
      <c r="O3224" s="627"/>
      <c r="P3224" s="629"/>
      <c r="Q3224" s="629"/>
    </row>
    <row r="3225" spans="1:17" ht="15.75" hidden="1" thickBot="1">
      <c r="A3225" s="405" t="s">
        <v>177</v>
      </c>
      <c r="B3225" s="406" t="s">
        <v>1152</v>
      </c>
      <c r="C3225" s="407">
        <v>6</v>
      </c>
      <c r="D3225" s="423" t="s">
        <v>1026</v>
      </c>
      <c r="E3225" s="408">
        <v>10</v>
      </c>
      <c r="F3225" s="424" t="s">
        <v>1019</v>
      </c>
      <c r="G3225" s="425" t="str">
        <f>CONCATENATE("DE: ",A3225," ",B3225," ",D3225," mm (emission to ",F3225,")")</f>
        <v>DE: PBAT particle 1-10 mm (emission to soil)</v>
      </c>
      <c r="H3225" s="474">
        <v>0.97</v>
      </c>
      <c r="I3225" s="427" t="s">
        <v>1019</v>
      </c>
      <c r="J3225" s="632">
        <v>0.22800000000000001</v>
      </c>
      <c r="K3225" s="428">
        <v>8.48</v>
      </c>
      <c r="L3225" s="539"/>
      <c r="M3225" s="509">
        <f t="shared" si="9682"/>
        <v>147.40566037735849</v>
      </c>
      <c r="N3225" s="645">
        <f t="shared" si="9709"/>
        <v>147.40566037735846</v>
      </c>
      <c r="O3225" s="625"/>
      <c r="P3225" s="628">
        <f t="shared" ref="P3225:P3285" si="9745">IFERROR(IF(H3225*M3225+H3226*M3226+H3227*M3227+H3228*M3228+H3229*M3229&gt;100,100,H3225*M3225+H3226*M3226+H3227*M3227+H3228*M3228+H3229*M3229),"N.A.")</f>
        <v>100</v>
      </c>
      <c r="Q3225" s="628">
        <f t="shared" si="9664"/>
        <v>147.40566037735846</v>
      </c>
    </row>
    <row r="3226" spans="1:17" ht="15.75" hidden="1" thickBot="1">
      <c r="A3226" s="390" t="str">
        <f>A3225</f>
        <v>PBAT</v>
      </c>
      <c r="B3226" s="391" t="str">
        <f>B3225</f>
        <v>particle</v>
      </c>
      <c r="C3226" s="391">
        <f t="shared" ref="C3226:G3226" si="9746">C3225</f>
        <v>6</v>
      </c>
      <c r="D3226" s="391" t="str">
        <f t="shared" si="9746"/>
        <v>1-10</v>
      </c>
      <c r="E3226" s="391">
        <f t="shared" si="9746"/>
        <v>10</v>
      </c>
      <c r="F3226" s="391" t="str">
        <f t="shared" si="9746"/>
        <v>soil</v>
      </c>
      <c r="G3226" s="392" t="str">
        <f t="shared" si="9746"/>
        <v>DE: PBAT particle 1-10 mm (emission to soil)</v>
      </c>
      <c r="H3226" s="465">
        <v>0</v>
      </c>
      <c r="I3226" s="394" t="s">
        <v>1174</v>
      </c>
      <c r="J3226" s="632"/>
      <c r="K3226" s="395">
        <v>11.86</v>
      </c>
      <c r="L3226" s="537"/>
      <c r="M3226" s="509">
        <f t="shared" si="9682"/>
        <v>105.39629005059022</v>
      </c>
      <c r="N3226" s="646"/>
      <c r="O3226" s="626"/>
      <c r="P3226" s="629"/>
      <c r="Q3226" s="629"/>
    </row>
    <row r="3227" spans="1:17" ht="15.75" hidden="1" thickBot="1">
      <c r="A3227" s="390" t="str">
        <f t="shared" ref="A3227:G3227" si="9747">A3226</f>
        <v>PBAT</v>
      </c>
      <c r="B3227" s="391" t="str">
        <f t="shared" si="9747"/>
        <v>particle</v>
      </c>
      <c r="C3227" s="391">
        <f t="shared" si="9747"/>
        <v>6</v>
      </c>
      <c r="D3227" s="391" t="str">
        <f t="shared" si="9747"/>
        <v>1-10</v>
      </c>
      <c r="E3227" s="391">
        <f t="shared" si="9747"/>
        <v>10</v>
      </c>
      <c r="F3227" s="391" t="str">
        <f t="shared" si="9747"/>
        <v>soil</v>
      </c>
      <c r="G3227" s="392" t="str">
        <f t="shared" si="9747"/>
        <v>DE: PBAT particle 1-10 mm (emission to soil)</v>
      </c>
      <c r="H3227" s="465">
        <v>2.7E-2</v>
      </c>
      <c r="I3227" s="394" t="s">
        <v>1162</v>
      </c>
      <c r="J3227" s="632"/>
      <c r="K3227" s="395">
        <v>8.48</v>
      </c>
      <c r="L3227" s="537"/>
      <c r="M3227" s="509">
        <f t="shared" si="9682"/>
        <v>147.40566037735849</v>
      </c>
      <c r="N3227" s="646"/>
      <c r="O3227" s="626"/>
      <c r="P3227" s="629"/>
      <c r="Q3227" s="629"/>
    </row>
    <row r="3228" spans="1:17" ht="15.75" hidden="1" thickBot="1">
      <c r="A3228" s="390" t="str">
        <f t="shared" ref="A3228:G3228" si="9748">A3227</f>
        <v>PBAT</v>
      </c>
      <c r="B3228" s="391" t="str">
        <f t="shared" si="9748"/>
        <v>particle</v>
      </c>
      <c r="C3228" s="391">
        <f t="shared" si="9748"/>
        <v>6</v>
      </c>
      <c r="D3228" s="391" t="str">
        <f t="shared" si="9748"/>
        <v>1-10</v>
      </c>
      <c r="E3228" s="391">
        <f t="shared" si="9748"/>
        <v>10</v>
      </c>
      <c r="F3228" s="391" t="str">
        <f t="shared" si="9748"/>
        <v>soil</v>
      </c>
      <c r="G3228" s="392" t="str">
        <f t="shared" si="9748"/>
        <v>DE: PBAT particle 1-10 mm (emission to soil)</v>
      </c>
      <c r="H3228" s="465">
        <v>3.0000000000000001E-3</v>
      </c>
      <c r="I3228" s="394" t="s">
        <v>1163</v>
      </c>
      <c r="J3228" s="632"/>
      <c r="K3228" s="395">
        <v>8.48</v>
      </c>
      <c r="L3228" s="537"/>
      <c r="M3228" s="509">
        <f t="shared" si="9682"/>
        <v>147.40566037735849</v>
      </c>
      <c r="N3228" s="646"/>
      <c r="O3228" s="626"/>
      <c r="P3228" s="629"/>
      <c r="Q3228" s="629"/>
    </row>
    <row r="3229" spans="1:17" ht="15.75" hidden="1" thickBot="1">
      <c r="A3229" s="390" t="str">
        <f>A3226</f>
        <v>PBAT</v>
      </c>
      <c r="B3229" s="391" t="str">
        <f>B3226</f>
        <v>particle</v>
      </c>
      <c r="C3229" s="391">
        <f t="shared" ref="C3229" si="9749">C3228</f>
        <v>6</v>
      </c>
      <c r="D3229" s="391" t="str">
        <f>D3226</f>
        <v>1-10</v>
      </c>
      <c r="E3229" s="391">
        <f>E3226</f>
        <v>10</v>
      </c>
      <c r="F3229" s="391" t="str">
        <f>F3226</f>
        <v>soil</v>
      </c>
      <c r="G3229" s="396" t="str">
        <f t="shared" ref="G3229" si="9750">G3228</f>
        <v>DE: PBAT particle 1-10 mm (emission to soil)</v>
      </c>
      <c r="H3229" s="465">
        <v>0</v>
      </c>
      <c r="I3229" s="397" t="s">
        <v>1034</v>
      </c>
      <c r="J3229" s="633"/>
      <c r="K3229" s="398" t="s">
        <v>596</v>
      </c>
      <c r="L3229" s="538"/>
      <c r="M3229" s="509">
        <f t="shared" si="9682"/>
        <v>0</v>
      </c>
      <c r="N3229" s="647"/>
      <c r="O3229" s="627"/>
      <c r="P3229" s="629"/>
      <c r="Q3229" s="629"/>
    </row>
    <row r="3230" spans="1:17" ht="15.75" hidden="1" thickBot="1">
      <c r="A3230" s="390" t="str">
        <f t="shared" ref="A3230:B3230" si="9751">A3227</f>
        <v>PBAT</v>
      </c>
      <c r="B3230" s="391" t="str">
        <f t="shared" si="9751"/>
        <v>particle</v>
      </c>
      <c r="C3230" s="391">
        <f t="shared" ref="C3230" si="9752">C3229</f>
        <v>6</v>
      </c>
      <c r="D3230" s="399" t="str">
        <f t="shared" ref="D3230:E3230" si="9753">D3227</f>
        <v>1-10</v>
      </c>
      <c r="E3230" s="391">
        <f t="shared" si="9753"/>
        <v>10</v>
      </c>
      <c r="F3230" s="400" t="s">
        <v>1147</v>
      </c>
      <c r="G3230" s="386" t="str">
        <f>CONCATENATE("DE: ",A3230," ",B3230," ",D3230," mm (emission to ",F3230,")")</f>
        <v>DE: PBAT particle 1-10 mm (emission to fresh water)</v>
      </c>
      <c r="H3230" s="466">
        <v>0</v>
      </c>
      <c r="I3230" s="388" t="s">
        <v>1019</v>
      </c>
      <c r="J3230" s="634">
        <v>0.22800000000000001</v>
      </c>
      <c r="K3230" s="389">
        <v>8.48</v>
      </c>
      <c r="L3230" s="536"/>
      <c r="M3230" s="509">
        <f t="shared" si="9682"/>
        <v>147.40566037735849</v>
      </c>
      <c r="N3230" s="645">
        <f t="shared" si="9709"/>
        <v>147.40566037735849</v>
      </c>
      <c r="O3230" s="625"/>
      <c r="P3230" s="628">
        <f t="shared" si="9745"/>
        <v>100</v>
      </c>
      <c r="Q3230" s="628">
        <f t="shared" si="9664"/>
        <v>147.40566037735849</v>
      </c>
    </row>
    <row r="3231" spans="1:17" ht="15.75" hidden="1" thickBot="1">
      <c r="A3231" s="390" t="str">
        <f t="shared" ref="A3231:B3231" si="9754">A3228</f>
        <v>PBAT</v>
      </c>
      <c r="B3231" s="391" t="str">
        <f t="shared" si="9754"/>
        <v>particle</v>
      </c>
      <c r="C3231" s="391">
        <f t="shared" ref="C3231" si="9755">C3230</f>
        <v>6</v>
      </c>
      <c r="D3231" s="391" t="str">
        <f t="shared" ref="D3231:E3231" si="9756">D3228</f>
        <v>1-10</v>
      </c>
      <c r="E3231" s="391">
        <f t="shared" si="9756"/>
        <v>10</v>
      </c>
      <c r="F3231" s="391" t="str">
        <f t="shared" ref="F3231:G3231" si="9757">F3230</f>
        <v>fresh water</v>
      </c>
      <c r="G3231" s="401" t="str">
        <f t="shared" si="9757"/>
        <v>DE: PBAT particle 1-10 mm (emission to fresh water)</v>
      </c>
      <c r="H3231" s="465">
        <v>0</v>
      </c>
      <c r="I3231" s="394" t="s">
        <v>1174</v>
      </c>
      <c r="J3231" s="635"/>
      <c r="K3231" s="389">
        <v>11.86</v>
      </c>
      <c r="L3231" s="536"/>
      <c r="M3231" s="509">
        <f t="shared" si="9682"/>
        <v>105.39629005059022</v>
      </c>
      <c r="N3231" s="646"/>
      <c r="O3231" s="626"/>
      <c r="P3231" s="629"/>
      <c r="Q3231" s="629"/>
    </row>
    <row r="3232" spans="1:17" ht="15.75" hidden="1" thickBot="1">
      <c r="A3232" s="390" t="str">
        <f t="shared" ref="A3232:B3232" si="9758">A3229</f>
        <v>PBAT</v>
      </c>
      <c r="B3232" s="391" t="str">
        <f t="shared" si="9758"/>
        <v>particle</v>
      </c>
      <c r="C3232" s="391">
        <f t="shared" ref="C3232" si="9759">C3231</f>
        <v>6</v>
      </c>
      <c r="D3232" s="391" t="str">
        <f t="shared" ref="D3232:E3232" si="9760">D3229</f>
        <v>1-10</v>
      </c>
      <c r="E3232" s="391">
        <f t="shared" si="9760"/>
        <v>10</v>
      </c>
      <c r="F3232" s="391" t="str">
        <f t="shared" ref="F3232:G3232" si="9761">F3231</f>
        <v>fresh water</v>
      </c>
      <c r="G3232" s="401" t="str">
        <f t="shared" si="9761"/>
        <v>DE: PBAT particle 1-10 mm (emission to fresh water)</v>
      </c>
      <c r="H3232" s="465">
        <v>0.89</v>
      </c>
      <c r="I3232" s="394" t="s">
        <v>1162</v>
      </c>
      <c r="J3232" s="635"/>
      <c r="K3232" s="389">
        <v>8.48</v>
      </c>
      <c r="L3232" s="536"/>
      <c r="M3232" s="509">
        <f t="shared" si="9682"/>
        <v>147.40566037735849</v>
      </c>
      <c r="N3232" s="646"/>
      <c r="O3232" s="626"/>
      <c r="P3232" s="629"/>
      <c r="Q3232" s="629"/>
    </row>
    <row r="3233" spans="1:17" ht="15.75" hidden="1" thickBot="1">
      <c r="A3233" s="390" t="str">
        <f t="shared" ref="A3233:B3233" si="9762">A3230</f>
        <v>PBAT</v>
      </c>
      <c r="B3233" s="391" t="str">
        <f t="shared" si="9762"/>
        <v>particle</v>
      </c>
      <c r="C3233" s="391">
        <f t="shared" ref="C3233" si="9763">C3232</f>
        <v>6</v>
      </c>
      <c r="D3233" s="391" t="str">
        <f t="shared" ref="D3233:E3233" si="9764">D3230</f>
        <v>1-10</v>
      </c>
      <c r="E3233" s="391">
        <f t="shared" si="9764"/>
        <v>10</v>
      </c>
      <c r="F3233" s="391" t="str">
        <f t="shared" ref="F3233:G3233" si="9765">F3232</f>
        <v>fresh water</v>
      </c>
      <c r="G3233" s="401" t="str">
        <f t="shared" si="9765"/>
        <v>DE: PBAT particle 1-10 mm (emission to fresh water)</v>
      </c>
      <c r="H3233" s="465">
        <v>0.11</v>
      </c>
      <c r="I3233" s="394" t="s">
        <v>1163</v>
      </c>
      <c r="J3233" s="635"/>
      <c r="K3233" s="389">
        <v>8.48</v>
      </c>
      <c r="L3233" s="536"/>
      <c r="M3233" s="509">
        <f t="shared" si="9682"/>
        <v>147.40566037735849</v>
      </c>
      <c r="N3233" s="646"/>
      <c r="O3233" s="626"/>
      <c r="P3233" s="629"/>
      <c r="Q3233" s="629"/>
    </row>
    <row r="3234" spans="1:17" ht="15.75" hidden="1" thickBot="1">
      <c r="A3234" s="390" t="str">
        <f t="shared" ref="A3234:B3234" si="9766">A3231</f>
        <v>PBAT</v>
      </c>
      <c r="B3234" s="391" t="str">
        <f t="shared" si="9766"/>
        <v>particle</v>
      </c>
      <c r="C3234" s="391">
        <f t="shared" ref="C3234" si="9767">C3233</f>
        <v>6</v>
      </c>
      <c r="D3234" s="391" t="str">
        <f t="shared" ref="D3234:E3234" si="9768">D3231</f>
        <v>1-10</v>
      </c>
      <c r="E3234" s="391">
        <f t="shared" si="9768"/>
        <v>10</v>
      </c>
      <c r="F3234" s="402" t="str">
        <f>F3231</f>
        <v>fresh water</v>
      </c>
      <c r="G3234" s="401" t="str">
        <f t="shared" ref="G3234" si="9769">G3233</f>
        <v>DE: PBAT particle 1-10 mm (emission to fresh water)</v>
      </c>
      <c r="H3234" s="465">
        <v>0</v>
      </c>
      <c r="I3234" s="397" t="s">
        <v>1034</v>
      </c>
      <c r="J3234" s="654"/>
      <c r="K3234" s="398" t="s">
        <v>596</v>
      </c>
      <c r="L3234" s="538"/>
      <c r="M3234" s="509">
        <f t="shared" si="9682"/>
        <v>0</v>
      </c>
      <c r="N3234" s="647"/>
      <c r="O3234" s="627"/>
      <c r="P3234" s="629"/>
      <c r="Q3234" s="629"/>
    </row>
    <row r="3235" spans="1:17" ht="15.75" hidden="1" thickBot="1">
      <c r="A3235" s="390" t="str">
        <f t="shared" ref="A3235:B3235" si="9770">A3232</f>
        <v>PBAT</v>
      </c>
      <c r="B3235" s="391" t="str">
        <f t="shared" si="9770"/>
        <v>particle</v>
      </c>
      <c r="C3235" s="391">
        <f t="shared" ref="C3235" si="9771">C3234</f>
        <v>6</v>
      </c>
      <c r="D3235" s="391" t="str">
        <f t="shared" ref="D3235:E3235" si="9772">D3232</f>
        <v>1-10</v>
      </c>
      <c r="E3235" s="391">
        <f t="shared" si="9772"/>
        <v>10</v>
      </c>
      <c r="F3235" s="385" t="s">
        <v>1097</v>
      </c>
      <c r="G3235" s="422" t="str">
        <f>CONCATENATE("DE: ",A3235," ",B3235," ",D3235," mm (emission to ",F3235,")")</f>
        <v>DE: PBAT particle 1-10 mm (emission to marine water)</v>
      </c>
      <c r="H3235" s="467">
        <v>0</v>
      </c>
      <c r="I3235" s="388" t="s">
        <v>1019</v>
      </c>
      <c r="J3235" s="634">
        <v>0.22800000000000001</v>
      </c>
      <c r="K3235" s="389">
        <v>8.48</v>
      </c>
      <c r="L3235" s="536"/>
      <c r="M3235" s="509">
        <f t="shared" si="9682"/>
        <v>147.40566037735849</v>
      </c>
      <c r="N3235" s="645">
        <f t="shared" si="9709"/>
        <v>147.40566037735849</v>
      </c>
      <c r="O3235" s="625"/>
      <c r="P3235" s="628">
        <f t="shared" si="9745"/>
        <v>100</v>
      </c>
      <c r="Q3235" s="628">
        <f t="shared" si="9664"/>
        <v>147.40566037735849</v>
      </c>
    </row>
    <row r="3236" spans="1:17" ht="15.75" hidden="1" thickBot="1">
      <c r="A3236" s="390" t="str">
        <f t="shared" ref="A3236:B3236" si="9773">A3233</f>
        <v>PBAT</v>
      </c>
      <c r="B3236" s="391" t="str">
        <f t="shared" si="9773"/>
        <v>particle</v>
      </c>
      <c r="C3236" s="391">
        <f t="shared" ref="C3236" si="9774">C3235</f>
        <v>6</v>
      </c>
      <c r="D3236" s="391" t="str">
        <f t="shared" ref="D3236:E3236" si="9775">D3233</f>
        <v>1-10</v>
      </c>
      <c r="E3236" s="391">
        <f t="shared" si="9775"/>
        <v>10</v>
      </c>
      <c r="F3236" s="391" t="str">
        <f t="shared" ref="F3236:G3236" si="9776">F3235</f>
        <v>marine water</v>
      </c>
      <c r="G3236" s="401" t="str">
        <f t="shared" si="9776"/>
        <v>DE: PBAT particle 1-10 mm (emission to marine water)</v>
      </c>
      <c r="H3236" s="465">
        <v>0</v>
      </c>
      <c r="I3236" s="394" t="s">
        <v>1174</v>
      </c>
      <c r="J3236" s="635"/>
      <c r="K3236" s="389">
        <v>11.86</v>
      </c>
      <c r="L3236" s="536"/>
      <c r="M3236" s="509">
        <f t="shared" si="9682"/>
        <v>105.39629005059022</v>
      </c>
      <c r="N3236" s="646"/>
      <c r="O3236" s="626"/>
      <c r="P3236" s="629"/>
      <c r="Q3236" s="629"/>
    </row>
    <row r="3237" spans="1:17" ht="15.75" hidden="1" thickBot="1">
      <c r="A3237" s="390" t="str">
        <f t="shared" ref="A3237:B3237" si="9777">A3234</f>
        <v>PBAT</v>
      </c>
      <c r="B3237" s="391" t="str">
        <f t="shared" si="9777"/>
        <v>particle</v>
      </c>
      <c r="C3237" s="391">
        <f t="shared" ref="C3237" si="9778">C3236</f>
        <v>6</v>
      </c>
      <c r="D3237" s="391" t="str">
        <f t="shared" ref="D3237:E3237" si="9779">D3234</f>
        <v>1-10</v>
      </c>
      <c r="E3237" s="391">
        <f t="shared" si="9779"/>
        <v>10</v>
      </c>
      <c r="F3237" s="391" t="str">
        <f t="shared" ref="F3237:G3237" si="9780">F3236</f>
        <v>marine water</v>
      </c>
      <c r="G3237" s="401" t="str">
        <f t="shared" si="9780"/>
        <v>DE: PBAT particle 1-10 mm (emission to marine water)</v>
      </c>
      <c r="H3237" s="465">
        <v>0</v>
      </c>
      <c r="I3237" s="394" t="s">
        <v>1162</v>
      </c>
      <c r="J3237" s="635"/>
      <c r="K3237" s="389">
        <v>8.48</v>
      </c>
      <c r="L3237" s="536"/>
      <c r="M3237" s="509">
        <f t="shared" si="9682"/>
        <v>147.40566037735849</v>
      </c>
      <c r="N3237" s="646"/>
      <c r="O3237" s="626"/>
      <c r="P3237" s="629"/>
      <c r="Q3237" s="629"/>
    </row>
    <row r="3238" spans="1:17" ht="15.75" hidden="1" thickBot="1">
      <c r="A3238" s="390" t="str">
        <f t="shared" ref="A3238:B3238" si="9781">A3235</f>
        <v>PBAT</v>
      </c>
      <c r="B3238" s="391" t="str">
        <f t="shared" si="9781"/>
        <v>particle</v>
      </c>
      <c r="C3238" s="391">
        <f t="shared" ref="C3238" si="9782">C3237</f>
        <v>6</v>
      </c>
      <c r="D3238" s="391" t="str">
        <f t="shared" ref="D3238:E3238" si="9783">D3235</f>
        <v>1-10</v>
      </c>
      <c r="E3238" s="391">
        <f t="shared" si="9783"/>
        <v>10</v>
      </c>
      <c r="F3238" s="391" t="str">
        <f t="shared" ref="F3238:G3238" si="9784">F3237</f>
        <v>marine water</v>
      </c>
      <c r="G3238" s="401" t="str">
        <f t="shared" si="9784"/>
        <v>DE: PBAT particle 1-10 mm (emission to marine water)</v>
      </c>
      <c r="H3238" s="465">
        <v>1</v>
      </c>
      <c r="I3238" s="394" t="s">
        <v>1163</v>
      </c>
      <c r="J3238" s="635"/>
      <c r="K3238" s="389">
        <v>8.48</v>
      </c>
      <c r="L3238" s="536"/>
      <c r="M3238" s="509">
        <f t="shared" si="9682"/>
        <v>147.40566037735849</v>
      </c>
      <c r="N3238" s="646"/>
      <c r="O3238" s="626"/>
      <c r="P3238" s="629"/>
      <c r="Q3238" s="629"/>
    </row>
    <row r="3239" spans="1:17" ht="15.75" hidden="1" thickBot="1">
      <c r="A3239" s="390" t="str">
        <f t="shared" ref="A3239:B3239" si="9785">A3236</f>
        <v>PBAT</v>
      </c>
      <c r="B3239" s="391" t="str">
        <f t="shared" si="9785"/>
        <v>particle</v>
      </c>
      <c r="C3239" s="391">
        <f t="shared" ref="C3239" si="9786">C3238</f>
        <v>6</v>
      </c>
      <c r="D3239" s="391" t="str">
        <f t="shared" ref="D3239:E3239" si="9787">D3236</f>
        <v>1-10</v>
      </c>
      <c r="E3239" s="391">
        <f t="shared" si="9787"/>
        <v>10</v>
      </c>
      <c r="F3239" s="391" t="str">
        <f t="shared" ref="F3239:G3239" si="9788">F3238</f>
        <v>marine water</v>
      </c>
      <c r="G3239" s="401" t="str">
        <f t="shared" si="9788"/>
        <v>DE: PBAT particle 1-10 mm (emission to marine water)</v>
      </c>
      <c r="H3239" s="465">
        <v>0</v>
      </c>
      <c r="I3239" s="397" t="s">
        <v>1034</v>
      </c>
      <c r="J3239" s="654"/>
      <c r="K3239" s="398" t="s">
        <v>596</v>
      </c>
      <c r="L3239" s="538"/>
      <c r="M3239" s="509">
        <f t="shared" si="9682"/>
        <v>0</v>
      </c>
      <c r="N3239" s="647"/>
      <c r="O3239" s="627"/>
      <c r="P3239" s="629"/>
      <c r="Q3239" s="629"/>
    </row>
    <row r="3240" spans="1:17" ht="15.75" hidden="1" thickBot="1">
      <c r="A3240" s="390" t="str">
        <f t="shared" ref="A3240:B3240" si="9789">A3237</f>
        <v>PBAT</v>
      </c>
      <c r="B3240" s="391" t="str">
        <f t="shared" si="9789"/>
        <v>particle</v>
      </c>
      <c r="C3240" s="391">
        <f t="shared" ref="C3240" si="9790">C3239</f>
        <v>6</v>
      </c>
      <c r="D3240" s="391" t="str">
        <f t="shared" ref="D3240:E3240" si="9791">D3237</f>
        <v>1-10</v>
      </c>
      <c r="E3240" s="391">
        <f t="shared" si="9791"/>
        <v>10</v>
      </c>
      <c r="F3240" s="400" t="s">
        <v>1057</v>
      </c>
      <c r="G3240" s="422" t="str">
        <f>CONCATENATE("DE: ",A3240," ",B3240," ",D3240," mm (emission to ",F3240,")")</f>
        <v>DE: PBAT particle 1-10 mm (emission to air)</v>
      </c>
      <c r="H3240" s="467">
        <v>0.94799999999999995</v>
      </c>
      <c r="I3240" s="388" t="s">
        <v>1019</v>
      </c>
      <c r="J3240" s="634">
        <v>0.22800000000000001</v>
      </c>
      <c r="K3240" s="389">
        <v>8.48</v>
      </c>
      <c r="L3240" s="536"/>
      <c r="M3240" s="509">
        <f t="shared" si="9682"/>
        <v>147.40566037735849</v>
      </c>
      <c r="N3240" s="645">
        <f t="shared" si="9709"/>
        <v>147.40566037735849</v>
      </c>
      <c r="O3240" s="625"/>
      <c r="P3240" s="628">
        <f t="shared" si="9745"/>
        <v>100</v>
      </c>
      <c r="Q3240" s="628">
        <f t="shared" si="9664"/>
        <v>147.40566037735849</v>
      </c>
    </row>
    <row r="3241" spans="1:17" ht="15.75" hidden="1" thickBot="1">
      <c r="A3241" s="390" t="str">
        <f t="shared" ref="A3241:B3241" si="9792">A3238</f>
        <v>PBAT</v>
      </c>
      <c r="B3241" s="391" t="str">
        <f t="shared" si="9792"/>
        <v>particle</v>
      </c>
      <c r="C3241" s="391">
        <f t="shared" ref="C3241" si="9793">C3240</f>
        <v>6</v>
      </c>
      <c r="D3241" s="391" t="str">
        <f t="shared" ref="D3241:E3241" si="9794">D3238</f>
        <v>1-10</v>
      </c>
      <c r="E3241" s="391">
        <f t="shared" si="9794"/>
        <v>10</v>
      </c>
      <c r="F3241" s="391" t="str">
        <f t="shared" ref="F3241:G3241" si="9795">F3240</f>
        <v>air</v>
      </c>
      <c r="G3241" s="401" t="str">
        <f t="shared" si="9795"/>
        <v>DE: PBAT particle 1-10 mm (emission to air)</v>
      </c>
      <c r="H3241" s="465">
        <v>0</v>
      </c>
      <c r="I3241" s="394" t="s">
        <v>1174</v>
      </c>
      <c r="J3241" s="635"/>
      <c r="K3241" s="389">
        <v>11.86</v>
      </c>
      <c r="L3241" s="536"/>
      <c r="M3241" s="509">
        <f t="shared" si="9682"/>
        <v>105.39629005059022</v>
      </c>
      <c r="N3241" s="646"/>
      <c r="O3241" s="626"/>
      <c r="P3241" s="629"/>
      <c r="Q3241" s="629"/>
    </row>
    <row r="3242" spans="1:17" ht="15.75" hidden="1" thickBot="1">
      <c r="A3242" s="390" t="str">
        <f t="shared" ref="A3242:B3242" si="9796">A3239</f>
        <v>PBAT</v>
      </c>
      <c r="B3242" s="391" t="str">
        <f t="shared" si="9796"/>
        <v>particle</v>
      </c>
      <c r="C3242" s="391">
        <f t="shared" ref="C3242" si="9797">C3241</f>
        <v>6</v>
      </c>
      <c r="D3242" s="391" t="str">
        <f t="shared" ref="D3242:E3242" si="9798">D3239</f>
        <v>1-10</v>
      </c>
      <c r="E3242" s="391">
        <f t="shared" si="9798"/>
        <v>10</v>
      </c>
      <c r="F3242" s="391" t="str">
        <f t="shared" ref="F3242:G3242" si="9799">F3241</f>
        <v>air</v>
      </c>
      <c r="G3242" s="401" t="str">
        <f t="shared" si="9799"/>
        <v>DE: PBAT particle 1-10 mm (emission to air)</v>
      </c>
      <c r="H3242" s="465">
        <v>4.7E-2</v>
      </c>
      <c r="I3242" s="394" t="s">
        <v>1162</v>
      </c>
      <c r="J3242" s="635"/>
      <c r="K3242" s="389">
        <v>8.48</v>
      </c>
      <c r="L3242" s="536"/>
      <c r="M3242" s="509">
        <f t="shared" si="9682"/>
        <v>147.40566037735849</v>
      </c>
      <c r="N3242" s="646"/>
      <c r="O3242" s="626"/>
      <c r="P3242" s="629"/>
      <c r="Q3242" s="629"/>
    </row>
    <row r="3243" spans="1:17" ht="15.75" hidden="1" thickBot="1">
      <c r="A3243" s="390" t="str">
        <f t="shared" ref="A3243:B3243" si="9800">A3240</f>
        <v>PBAT</v>
      </c>
      <c r="B3243" s="391" t="str">
        <f t="shared" si="9800"/>
        <v>particle</v>
      </c>
      <c r="C3243" s="391">
        <f t="shared" ref="C3243" si="9801">C3242</f>
        <v>6</v>
      </c>
      <c r="D3243" s="391" t="str">
        <f t="shared" ref="D3243:E3243" si="9802">D3240</f>
        <v>1-10</v>
      </c>
      <c r="E3243" s="391">
        <f t="shared" si="9802"/>
        <v>10</v>
      </c>
      <c r="F3243" s="391" t="str">
        <f t="shared" ref="F3243:G3243" si="9803">F3242</f>
        <v>air</v>
      </c>
      <c r="G3243" s="401" t="str">
        <f t="shared" si="9803"/>
        <v>DE: PBAT particle 1-10 mm (emission to air)</v>
      </c>
      <c r="H3243" s="465">
        <v>5.0000000000000001E-3</v>
      </c>
      <c r="I3243" s="394" t="s">
        <v>1163</v>
      </c>
      <c r="J3243" s="635"/>
      <c r="K3243" s="389">
        <v>8.48</v>
      </c>
      <c r="L3243" s="536"/>
      <c r="M3243" s="509">
        <f t="shared" si="9682"/>
        <v>147.40566037735849</v>
      </c>
      <c r="N3243" s="646"/>
      <c r="O3243" s="626"/>
      <c r="P3243" s="629"/>
      <c r="Q3243" s="629"/>
    </row>
    <row r="3244" spans="1:17" ht="15.75" hidden="1" thickBot="1">
      <c r="A3244" s="452" t="str">
        <f t="shared" ref="A3244:B3244" si="9804">A3239</f>
        <v>PBAT</v>
      </c>
      <c r="B3244" s="453" t="str">
        <f t="shared" si="9804"/>
        <v>particle</v>
      </c>
      <c r="C3244" s="453">
        <f t="shared" ref="C3244" si="9805">C3243</f>
        <v>6</v>
      </c>
      <c r="D3244" s="453" t="str">
        <f t="shared" ref="D3244:E3244" si="9806">D3239</f>
        <v>1-10</v>
      </c>
      <c r="E3244" s="453">
        <f t="shared" si="9806"/>
        <v>10</v>
      </c>
      <c r="F3244" s="453" t="str">
        <f t="shared" ref="F3244:G3244" si="9807">F3243</f>
        <v>air</v>
      </c>
      <c r="G3244" s="454" t="str">
        <f t="shared" si="9807"/>
        <v>DE: PBAT particle 1-10 mm (emission to air)</v>
      </c>
      <c r="H3244" s="473">
        <v>0</v>
      </c>
      <c r="I3244" s="456" t="s">
        <v>1034</v>
      </c>
      <c r="J3244" s="636"/>
      <c r="K3244" s="457" t="s">
        <v>596</v>
      </c>
      <c r="L3244" s="543"/>
      <c r="M3244" s="509">
        <f t="shared" si="9682"/>
        <v>0</v>
      </c>
      <c r="N3244" s="647"/>
      <c r="O3244" s="627"/>
      <c r="P3244" s="629"/>
      <c r="Q3244" s="629"/>
    </row>
    <row r="3245" spans="1:17" ht="16.5" hidden="1" thickTop="1" thickBot="1">
      <c r="A3245" s="442" t="s">
        <v>647</v>
      </c>
      <c r="B3245" s="443" t="s">
        <v>996</v>
      </c>
      <c r="C3245" s="444">
        <f>IF(OR(B3245="Folie", B3245="Strips", B3245="Film",B3245="Flakes",B3245="Coupon"), 2,IF(OR(B3245="Fibers",B3245="Pellets"),4,IF(OR(B3245="Particles",B3245="Shreds",B3245="Powder",B3245="Fragments",B3245="Granules"),6,"")))</f>
        <v>2</v>
      </c>
      <c r="D3245" s="444" t="s">
        <v>1018</v>
      </c>
      <c r="E3245" s="445">
        <v>0.1</v>
      </c>
      <c r="F3245" s="446" t="s">
        <v>1019</v>
      </c>
      <c r="G3245" s="447" t="str">
        <f>CONCATENATE("DE: ",A3245," ",B3245," ",D3245," mm (emission to ",F3245,")")</f>
        <v>DE: PEA film 0,01-0,1 mm (emission to soil)</v>
      </c>
      <c r="H3245" s="464">
        <v>0.97</v>
      </c>
      <c r="I3245" s="448" t="s">
        <v>1153</v>
      </c>
      <c r="J3245" s="632">
        <v>0.22800000000000001</v>
      </c>
      <c r="K3245" s="449">
        <v>423.66071428571433</v>
      </c>
      <c r="L3245" s="541"/>
      <c r="M3245" s="509">
        <f t="shared" si="9682"/>
        <v>0.11801896733403582</v>
      </c>
      <c r="N3245" s="645">
        <f t="shared" si="9709"/>
        <v>0.11801896733403582</v>
      </c>
      <c r="O3245" s="625"/>
      <c r="P3245" s="628">
        <f t="shared" si="9745"/>
        <v>0.11801896733403582</v>
      </c>
      <c r="Q3245" s="628">
        <f t="shared" si="9664"/>
        <v>0.11801896733403582</v>
      </c>
    </row>
    <row r="3246" spans="1:17" ht="15.75" hidden="1" thickBot="1">
      <c r="A3246" s="390" t="str">
        <f>A3245</f>
        <v>PEA</v>
      </c>
      <c r="B3246" s="391" t="str">
        <f>B3245</f>
        <v>film</v>
      </c>
      <c r="C3246" s="391">
        <f t="shared" ref="C3246:G3246" si="9808">C3245</f>
        <v>2</v>
      </c>
      <c r="D3246" s="391" t="str">
        <f t="shared" si="9808"/>
        <v>0,01-0,1</v>
      </c>
      <c r="E3246" s="391">
        <f t="shared" si="9808"/>
        <v>0.1</v>
      </c>
      <c r="F3246" s="391" t="str">
        <f t="shared" si="9808"/>
        <v>soil</v>
      </c>
      <c r="G3246" s="392" t="str">
        <f t="shared" si="9808"/>
        <v>DE: PEA film 0,01-0,1 mm (emission to soil)</v>
      </c>
      <c r="H3246" s="465">
        <v>0.03</v>
      </c>
      <c r="I3246" s="394" t="s">
        <v>1097</v>
      </c>
      <c r="J3246" s="632"/>
      <c r="K3246" s="395">
        <v>423.66071428571433</v>
      </c>
      <c r="L3246" s="537"/>
      <c r="M3246" s="509">
        <f t="shared" si="9682"/>
        <v>0.11801896733403582</v>
      </c>
      <c r="N3246" s="646"/>
      <c r="O3246" s="626"/>
      <c r="P3246" s="629"/>
      <c r="Q3246" s="629"/>
    </row>
    <row r="3247" spans="1:17" ht="15.75" hidden="1" thickBot="1">
      <c r="A3247" s="390" t="str">
        <f t="shared" ref="A3247:G3247" si="9809">A3246</f>
        <v>PEA</v>
      </c>
      <c r="B3247" s="391" t="str">
        <f t="shared" si="9809"/>
        <v>film</v>
      </c>
      <c r="C3247" s="391">
        <f t="shared" si="9809"/>
        <v>2</v>
      </c>
      <c r="D3247" s="391" t="str">
        <f t="shared" si="9809"/>
        <v>0,01-0,1</v>
      </c>
      <c r="E3247" s="391">
        <f t="shared" si="9809"/>
        <v>0.1</v>
      </c>
      <c r="F3247" s="391" t="str">
        <f t="shared" si="9809"/>
        <v>soil</v>
      </c>
      <c r="G3247" s="392" t="str">
        <f t="shared" si="9809"/>
        <v>DE: PEA film 0,01-0,1 mm (emission to soil)</v>
      </c>
      <c r="H3247" s="465">
        <v>0</v>
      </c>
      <c r="I3247" s="394" t="s">
        <v>1162</v>
      </c>
      <c r="J3247" s="632"/>
      <c r="K3247" s="395">
        <v>423.66071428571433</v>
      </c>
      <c r="L3247" s="537"/>
      <c r="M3247" s="509">
        <f t="shared" si="9682"/>
        <v>0.11801896733403582</v>
      </c>
      <c r="N3247" s="646"/>
      <c r="O3247" s="626"/>
      <c r="P3247" s="629"/>
      <c r="Q3247" s="629"/>
    </row>
    <row r="3248" spans="1:17" ht="15.75" hidden="1" thickBot="1">
      <c r="A3248" s="390" t="str">
        <f t="shared" ref="A3248:G3248" si="9810">A3247</f>
        <v>PEA</v>
      </c>
      <c r="B3248" s="391" t="str">
        <f t="shared" si="9810"/>
        <v>film</v>
      </c>
      <c r="C3248" s="391">
        <f t="shared" si="9810"/>
        <v>2</v>
      </c>
      <c r="D3248" s="391" t="str">
        <f t="shared" si="9810"/>
        <v>0,01-0,1</v>
      </c>
      <c r="E3248" s="391">
        <f t="shared" si="9810"/>
        <v>0.1</v>
      </c>
      <c r="F3248" s="391" t="str">
        <f t="shared" si="9810"/>
        <v>soil</v>
      </c>
      <c r="G3248" s="392" t="str">
        <f t="shared" si="9810"/>
        <v>DE: PEA film 0,01-0,1 mm (emission to soil)</v>
      </c>
      <c r="H3248" s="465">
        <v>0</v>
      </c>
      <c r="I3248" s="394" t="s">
        <v>1163</v>
      </c>
      <c r="J3248" s="632"/>
      <c r="K3248" s="395">
        <v>423.66071428571433</v>
      </c>
      <c r="L3248" s="537"/>
      <c r="M3248" s="509">
        <f t="shared" si="9682"/>
        <v>0.11801896733403582</v>
      </c>
      <c r="N3248" s="646"/>
      <c r="O3248" s="626"/>
      <c r="P3248" s="629"/>
      <c r="Q3248" s="629"/>
    </row>
    <row r="3249" spans="1:17" ht="15.75" hidden="1" thickBot="1">
      <c r="A3249" s="390" t="str">
        <f>A3246</f>
        <v>PEA</v>
      </c>
      <c r="B3249" s="391" t="str">
        <f>B3246</f>
        <v>film</v>
      </c>
      <c r="C3249" s="391">
        <f t="shared" ref="C3249" si="9811">C3248</f>
        <v>2</v>
      </c>
      <c r="D3249" s="391" t="str">
        <f>D3246</f>
        <v>0,01-0,1</v>
      </c>
      <c r="E3249" s="391">
        <f>E3246</f>
        <v>0.1</v>
      </c>
      <c r="F3249" s="391" t="str">
        <f>F3246</f>
        <v>soil</v>
      </c>
      <c r="G3249" s="396" t="str">
        <f t="shared" ref="G3249" si="9812">G3248</f>
        <v>DE: PEA film 0,01-0,1 mm (emission to soil)</v>
      </c>
      <c r="H3249" s="465">
        <v>0</v>
      </c>
      <c r="I3249" s="397" t="s">
        <v>1034</v>
      </c>
      <c r="J3249" s="633"/>
      <c r="K3249" s="398" t="s">
        <v>596</v>
      </c>
      <c r="L3249" s="538"/>
      <c r="M3249" s="509">
        <f t="shared" si="9682"/>
        <v>0</v>
      </c>
      <c r="N3249" s="647"/>
      <c r="O3249" s="627"/>
      <c r="P3249" s="629"/>
      <c r="Q3249" s="629"/>
    </row>
    <row r="3250" spans="1:17" ht="15.75" hidden="1" thickBot="1">
      <c r="A3250" s="390" t="str">
        <f t="shared" ref="A3250:B3250" si="9813">A3247</f>
        <v>PEA</v>
      </c>
      <c r="B3250" s="391" t="str">
        <f t="shared" si="9813"/>
        <v>film</v>
      </c>
      <c r="C3250" s="391">
        <f t="shared" ref="C3250" si="9814">C3249</f>
        <v>2</v>
      </c>
      <c r="D3250" s="399" t="str">
        <f t="shared" ref="D3250:E3250" si="9815">D3247</f>
        <v>0,01-0,1</v>
      </c>
      <c r="E3250" s="391">
        <f t="shared" si="9815"/>
        <v>0.1</v>
      </c>
      <c r="F3250" s="400" t="s">
        <v>1147</v>
      </c>
      <c r="G3250" s="386" t="str">
        <f>CONCATENATE("DE: ",A3250," ",B3250," ",D3250," mm (emission to ",F3250,")")</f>
        <v>DE: PEA film 0,01-0,1 mm (emission to fresh water)</v>
      </c>
      <c r="H3250" s="466">
        <v>0</v>
      </c>
      <c r="I3250" s="388" t="s">
        <v>1153</v>
      </c>
      <c r="J3250" s="634">
        <v>0.22800000000000001</v>
      </c>
      <c r="K3250" s="389">
        <v>423.66071428571433</v>
      </c>
      <c r="L3250" s="536"/>
      <c r="M3250" s="509">
        <f t="shared" si="9682"/>
        <v>0.11801896733403582</v>
      </c>
      <c r="N3250" s="645">
        <f t="shared" si="9709"/>
        <v>0.11801896733403582</v>
      </c>
      <c r="O3250" s="625"/>
      <c r="P3250" s="628">
        <f t="shared" si="9745"/>
        <v>0.11801896733403582</v>
      </c>
      <c r="Q3250" s="628">
        <f t="shared" si="9664"/>
        <v>0.11801896733403582</v>
      </c>
    </row>
    <row r="3251" spans="1:17" ht="15.75" hidden="1" thickBot="1">
      <c r="A3251" s="390" t="str">
        <f t="shared" ref="A3251:B3251" si="9816">A3248</f>
        <v>PEA</v>
      </c>
      <c r="B3251" s="391" t="str">
        <f t="shared" si="9816"/>
        <v>film</v>
      </c>
      <c r="C3251" s="391">
        <f t="shared" ref="C3251" si="9817">C3250</f>
        <v>2</v>
      </c>
      <c r="D3251" s="391" t="str">
        <f t="shared" ref="D3251:E3251" si="9818">D3248</f>
        <v>0,01-0,1</v>
      </c>
      <c r="E3251" s="391">
        <f t="shared" si="9818"/>
        <v>0.1</v>
      </c>
      <c r="F3251" s="391" t="str">
        <f t="shared" ref="F3251:G3251" si="9819">F3250</f>
        <v>fresh water</v>
      </c>
      <c r="G3251" s="401" t="str">
        <f t="shared" si="9819"/>
        <v>DE: PEA film 0,01-0,1 mm (emission to fresh water)</v>
      </c>
      <c r="H3251" s="465">
        <v>1</v>
      </c>
      <c r="I3251" s="394" t="s">
        <v>1097</v>
      </c>
      <c r="J3251" s="635"/>
      <c r="K3251" s="389">
        <v>423.66071428571433</v>
      </c>
      <c r="L3251" s="536"/>
      <c r="M3251" s="509">
        <f t="shared" si="9682"/>
        <v>0.11801896733403582</v>
      </c>
      <c r="N3251" s="646"/>
      <c r="O3251" s="626"/>
      <c r="P3251" s="629"/>
      <c r="Q3251" s="629"/>
    </row>
    <row r="3252" spans="1:17" ht="15.75" hidden="1" thickBot="1">
      <c r="A3252" s="390" t="str">
        <f t="shared" ref="A3252:B3252" si="9820">A3249</f>
        <v>PEA</v>
      </c>
      <c r="B3252" s="391" t="str">
        <f t="shared" si="9820"/>
        <v>film</v>
      </c>
      <c r="C3252" s="391">
        <f t="shared" ref="C3252" si="9821">C3251</f>
        <v>2</v>
      </c>
      <c r="D3252" s="391" t="str">
        <f t="shared" ref="D3252:E3252" si="9822">D3249</f>
        <v>0,01-0,1</v>
      </c>
      <c r="E3252" s="391">
        <f t="shared" si="9822"/>
        <v>0.1</v>
      </c>
      <c r="F3252" s="391" t="str">
        <f t="shared" ref="F3252:G3252" si="9823">F3251</f>
        <v>fresh water</v>
      </c>
      <c r="G3252" s="401" t="str">
        <f t="shared" si="9823"/>
        <v>DE: PEA film 0,01-0,1 mm (emission to fresh water)</v>
      </c>
      <c r="H3252" s="465">
        <v>0</v>
      </c>
      <c r="I3252" s="394" t="s">
        <v>1162</v>
      </c>
      <c r="J3252" s="635"/>
      <c r="K3252" s="389">
        <v>423.66071428571433</v>
      </c>
      <c r="L3252" s="536"/>
      <c r="M3252" s="509">
        <f t="shared" si="9682"/>
        <v>0.11801896733403582</v>
      </c>
      <c r="N3252" s="646"/>
      <c r="O3252" s="626"/>
      <c r="P3252" s="629"/>
      <c r="Q3252" s="629"/>
    </row>
    <row r="3253" spans="1:17" ht="15.75" hidden="1" thickBot="1">
      <c r="A3253" s="390" t="str">
        <f t="shared" ref="A3253:B3253" si="9824">A3250</f>
        <v>PEA</v>
      </c>
      <c r="B3253" s="391" t="str">
        <f t="shared" si="9824"/>
        <v>film</v>
      </c>
      <c r="C3253" s="391">
        <f t="shared" ref="C3253" si="9825">C3252</f>
        <v>2</v>
      </c>
      <c r="D3253" s="391" t="str">
        <f t="shared" ref="D3253:E3253" si="9826">D3250</f>
        <v>0,01-0,1</v>
      </c>
      <c r="E3253" s="391">
        <f t="shared" si="9826"/>
        <v>0.1</v>
      </c>
      <c r="F3253" s="391" t="str">
        <f t="shared" ref="F3253:G3253" si="9827">F3252</f>
        <v>fresh water</v>
      </c>
      <c r="G3253" s="401" t="str">
        <f t="shared" si="9827"/>
        <v>DE: PEA film 0,01-0,1 mm (emission to fresh water)</v>
      </c>
      <c r="H3253" s="465">
        <v>0</v>
      </c>
      <c r="I3253" s="394" t="s">
        <v>1163</v>
      </c>
      <c r="J3253" s="635"/>
      <c r="K3253" s="389">
        <v>423.66071428571433</v>
      </c>
      <c r="L3253" s="536"/>
      <c r="M3253" s="509">
        <f t="shared" si="9682"/>
        <v>0.11801896733403582</v>
      </c>
      <c r="N3253" s="646"/>
      <c r="O3253" s="626"/>
      <c r="P3253" s="629"/>
      <c r="Q3253" s="629"/>
    </row>
    <row r="3254" spans="1:17" ht="15.75" hidden="1" thickBot="1">
      <c r="A3254" s="390" t="str">
        <f t="shared" ref="A3254:B3254" si="9828">A3251</f>
        <v>PEA</v>
      </c>
      <c r="B3254" s="391" t="str">
        <f t="shared" si="9828"/>
        <v>film</v>
      </c>
      <c r="C3254" s="391">
        <f t="shared" ref="C3254" si="9829">C3253</f>
        <v>2</v>
      </c>
      <c r="D3254" s="391" t="str">
        <f t="shared" ref="D3254:E3254" si="9830">D3251</f>
        <v>0,01-0,1</v>
      </c>
      <c r="E3254" s="391">
        <f t="shared" si="9830"/>
        <v>0.1</v>
      </c>
      <c r="F3254" s="402" t="str">
        <f>F3251</f>
        <v>fresh water</v>
      </c>
      <c r="G3254" s="401" t="str">
        <f t="shared" ref="G3254" si="9831">G3253</f>
        <v>DE: PEA film 0,01-0,1 mm (emission to fresh water)</v>
      </c>
      <c r="H3254" s="465">
        <v>0</v>
      </c>
      <c r="I3254" s="397" t="s">
        <v>1034</v>
      </c>
      <c r="J3254" s="654"/>
      <c r="K3254" s="398" t="s">
        <v>596</v>
      </c>
      <c r="L3254" s="538"/>
      <c r="M3254" s="509">
        <f t="shared" si="9682"/>
        <v>0</v>
      </c>
      <c r="N3254" s="647"/>
      <c r="O3254" s="627"/>
      <c r="P3254" s="629"/>
      <c r="Q3254" s="629"/>
    </row>
    <row r="3255" spans="1:17" ht="15.75" hidden="1" thickBot="1">
      <c r="A3255" s="390" t="str">
        <f t="shared" ref="A3255:B3255" si="9832">A3252</f>
        <v>PEA</v>
      </c>
      <c r="B3255" s="391" t="str">
        <f t="shared" si="9832"/>
        <v>film</v>
      </c>
      <c r="C3255" s="391">
        <f t="shared" ref="C3255" si="9833">C3254</f>
        <v>2</v>
      </c>
      <c r="D3255" s="391" t="str">
        <f t="shared" ref="D3255:E3255" si="9834">D3252</f>
        <v>0,01-0,1</v>
      </c>
      <c r="E3255" s="391">
        <f t="shared" si="9834"/>
        <v>0.1</v>
      </c>
      <c r="F3255" s="385" t="s">
        <v>1097</v>
      </c>
      <c r="G3255" s="422" t="str">
        <f>CONCATENATE("DE: ",A3255," ",B3255," ",D3255," mm (emission to ",F3255,")")</f>
        <v>DE: PEA film 0,01-0,1 mm (emission to marine water)</v>
      </c>
      <c r="H3255" s="467">
        <v>0</v>
      </c>
      <c r="I3255" s="388" t="s">
        <v>1153</v>
      </c>
      <c r="J3255" s="634">
        <v>0.22800000000000001</v>
      </c>
      <c r="K3255" s="389">
        <v>423.66071428571433</v>
      </c>
      <c r="L3255" s="536"/>
      <c r="M3255" s="509">
        <f t="shared" si="9682"/>
        <v>0.11801896733403582</v>
      </c>
      <c r="N3255" s="645">
        <f t="shared" si="9709"/>
        <v>0.11801896733403582</v>
      </c>
      <c r="O3255" s="625"/>
      <c r="P3255" s="628">
        <f t="shared" si="9745"/>
        <v>0.11801896733403582</v>
      </c>
      <c r="Q3255" s="628">
        <f t="shared" si="9664"/>
        <v>0.11801896733403582</v>
      </c>
    </row>
    <row r="3256" spans="1:17" ht="15.75" hidden="1" thickBot="1">
      <c r="A3256" s="390" t="str">
        <f t="shared" ref="A3256:B3256" si="9835">A3253</f>
        <v>PEA</v>
      </c>
      <c r="B3256" s="391" t="str">
        <f t="shared" si="9835"/>
        <v>film</v>
      </c>
      <c r="C3256" s="391">
        <f t="shared" ref="C3256" si="9836">C3255</f>
        <v>2</v>
      </c>
      <c r="D3256" s="391" t="str">
        <f t="shared" ref="D3256:E3256" si="9837">D3253</f>
        <v>0,01-0,1</v>
      </c>
      <c r="E3256" s="391">
        <f t="shared" si="9837"/>
        <v>0.1</v>
      </c>
      <c r="F3256" s="391" t="str">
        <f t="shared" ref="F3256:G3256" si="9838">F3255</f>
        <v>marine water</v>
      </c>
      <c r="G3256" s="401" t="str">
        <f t="shared" si="9838"/>
        <v>DE: PEA film 0,01-0,1 mm (emission to marine water)</v>
      </c>
      <c r="H3256" s="465">
        <v>1</v>
      </c>
      <c r="I3256" s="394" t="s">
        <v>1097</v>
      </c>
      <c r="J3256" s="635"/>
      <c r="K3256" s="389">
        <v>423.66071428571433</v>
      </c>
      <c r="L3256" s="536"/>
      <c r="M3256" s="509">
        <f t="shared" si="9682"/>
        <v>0.11801896733403582</v>
      </c>
      <c r="N3256" s="646"/>
      <c r="O3256" s="626"/>
      <c r="P3256" s="629"/>
      <c r="Q3256" s="629"/>
    </row>
    <row r="3257" spans="1:17" ht="15.75" hidden="1" thickBot="1">
      <c r="A3257" s="390" t="str">
        <f t="shared" ref="A3257:B3257" si="9839">A3254</f>
        <v>PEA</v>
      </c>
      <c r="B3257" s="391" t="str">
        <f t="shared" si="9839"/>
        <v>film</v>
      </c>
      <c r="C3257" s="391">
        <f t="shared" ref="C3257" si="9840">C3256</f>
        <v>2</v>
      </c>
      <c r="D3257" s="391" t="str">
        <f t="shared" ref="D3257:E3257" si="9841">D3254</f>
        <v>0,01-0,1</v>
      </c>
      <c r="E3257" s="391">
        <f t="shared" si="9841"/>
        <v>0.1</v>
      </c>
      <c r="F3257" s="391" t="str">
        <f t="shared" ref="F3257:G3257" si="9842">F3256</f>
        <v>marine water</v>
      </c>
      <c r="G3257" s="401" t="str">
        <f t="shared" si="9842"/>
        <v>DE: PEA film 0,01-0,1 mm (emission to marine water)</v>
      </c>
      <c r="H3257" s="465">
        <v>0</v>
      </c>
      <c r="I3257" s="394" t="s">
        <v>1162</v>
      </c>
      <c r="J3257" s="635"/>
      <c r="K3257" s="389">
        <v>423.66071428571433</v>
      </c>
      <c r="L3257" s="536"/>
      <c r="M3257" s="509">
        <f t="shared" si="9682"/>
        <v>0.11801896733403582</v>
      </c>
      <c r="N3257" s="646"/>
      <c r="O3257" s="626"/>
      <c r="P3257" s="629"/>
      <c r="Q3257" s="629"/>
    </row>
    <row r="3258" spans="1:17" ht="15.75" hidden="1" thickBot="1">
      <c r="A3258" s="390" t="str">
        <f t="shared" ref="A3258:B3258" si="9843">A3255</f>
        <v>PEA</v>
      </c>
      <c r="B3258" s="391" t="str">
        <f t="shared" si="9843"/>
        <v>film</v>
      </c>
      <c r="C3258" s="391">
        <f t="shared" ref="C3258" si="9844">C3257</f>
        <v>2</v>
      </c>
      <c r="D3258" s="391" t="str">
        <f t="shared" ref="D3258:E3258" si="9845">D3255</f>
        <v>0,01-0,1</v>
      </c>
      <c r="E3258" s="391">
        <f t="shared" si="9845"/>
        <v>0.1</v>
      </c>
      <c r="F3258" s="391" t="str">
        <f t="shared" ref="F3258:G3258" si="9846">F3257</f>
        <v>marine water</v>
      </c>
      <c r="G3258" s="401" t="str">
        <f t="shared" si="9846"/>
        <v>DE: PEA film 0,01-0,1 mm (emission to marine water)</v>
      </c>
      <c r="H3258" s="465">
        <v>0</v>
      </c>
      <c r="I3258" s="394" t="s">
        <v>1163</v>
      </c>
      <c r="J3258" s="635"/>
      <c r="K3258" s="389">
        <v>423.66071428571433</v>
      </c>
      <c r="L3258" s="536"/>
      <c r="M3258" s="509">
        <f t="shared" si="9682"/>
        <v>0.11801896733403582</v>
      </c>
      <c r="N3258" s="646"/>
      <c r="O3258" s="626"/>
      <c r="P3258" s="629"/>
      <c r="Q3258" s="629"/>
    </row>
    <row r="3259" spans="1:17" ht="15.75" hidden="1" thickBot="1">
      <c r="A3259" s="390" t="str">
        <f t="shared" ref="A3259:B3259" si="9847">A3256</f>
        <v>PEA</v>
      </c>
      <c r="B3259" s="391" t="str">
        <f t="shared" si="9847"/>
        <v>film</v>
      </c>
      <c r="C3259" s="391">
        <f t="shared" ref="C3259" si="9848">C3258</f>
        <v>2</v>
      </c>
      <c r="D3259" s="391" t="str">
        <f t="shared" ref="D3259:E3259" si="9849">D3256</f>
        <v>0,01-0,1</v>
      </c>
      <c r="E3259" s="391">
        <f t="shared" si="9849"/>
        <v>0.1</v>
      </c>
      <c r="F3259" s="391" t="str">
        <f t="shared" ref="F3259:G3259" si="9850">F3258</f>
        <v>marine water</v>
      </c>
      <c r="G3259" s="401" t="str">
        <f t="shared" si="9850"/>
        <v>DE: PEA film 0,01-0,1 mm (emission to marine water)</v>
      </c>
      <c r="H3259" s="465">
        <v>0</v>
      </c>
      <c r="I3259" s="397" t="s">
        <v>1034</v>
      </c>
      <c r="J3259" s="654"/>
      <c r="K3259" s="398" t="s">
        <v>596</v>
      </c>
      <c r="L3259" s="538"/>
      <c r="M3259" s="509">
        <f t="shared" si="9682"/>
        <v>0</v>
      </c>
      <c r="N3259" s="647"/>
      <c r="O3259" s="627"/>
      <c r="P3259" s="629"/>
      <c r="Q3259" s="629"/>
    </row>
    <row r="3260" spans="1:17" ht="15.75" hidden="1" thickBot="1">
      <c r="A3260" s="390" t="str">
        <f t="shared" ref="A3260:B3260" si="9851">A3257</f>
        <v>PEA</v>
      </c>
      <c r="B3260" s="391" t="str">
        <f t="shared" si="9851"/>
        <v>film</v>
      </c>
      <c r="C3260" s="391">
        <f t="shared" ref="C3260" si="9852">C3259</f>
        <v>2</v>
      </c>
      <c r="D3260" s="391" t="str">
        <f t="shared" ref="D3260:E3260" si="9853">D3257</f>
        <v>0,01-0,1</v>
      </c>
      <c r="E3260" s="391">
        <f t="shared" si="9853"/>
        <v>0.1</v>
      </c>
      <c r="F3260" s="400" t="s">
        <v>1057</v>
      </c>
      <c r="G3260" s="422" t="str">
        <f>CONCATENATE("DE: ",A3260," ",B3260," ",D3260," mm (emission to ",F3260,")")</f>
        <v>DE: PEA film 0,01-0,1 mm (emission to air)</v>
      </c>
      <c r="H3260" s="467">
        <v>0.94799999999999995</v>
      </c>
      <c r="I3260" s="388" t="s">
        <v>1153</v>
      </c>
      <c r="J3260" s="634">
        <v>0.22800000000000001</v>
      </c>
      <c r="K3260" s="389">
        <v>423.66071428571433</v>
      </c>
      <c r="L3260" s="536"/>
      <c r="M3260" s="509">
        <f t="shared" si="9682"/>
        <v>0.11801896733403582</v>
      </c>
      <c r="N3260" s="645">
        <f t="shared" si="9709"/>
        <v>0.1180189673340358</v>
      </c>
      <c r="O3260" s="625"/>
      <c r="P3260" s="628">
        <f t="shared" si="9745"/>
        <v>0.1180189673340358</v>
      </c>
      <c r="Q3260" s="628">
        <f t="shared" si="9664"/>
        <v>0.1180189673340358</v>
      </c>
    </row>
    <row r="3261" spans="1:17" ht="15.75" hidden="1" thickBot="1">
      <c r="A3261" s="390" t="str">
        <f t="shared" ref="A3261:B3261" si="9854">A3258</f>
        <v>PEA</v>
      </c>
      <c r="B3261" s="391" t="str">
        <f t="shared" si="9854"/>
        <v>film</v>
      </c>
      <c r="C3261" s="391">
        <f t="shared" ref="C3261" si="9855">C3260</f>
        <v>2</v>
      </c>
      <c r="D3261" s="391" t="str">
        <f t="shared" ref="D3261:E3261" si="9856">D3258</f>
        <v>0,01-0,1</v>
      </c>
      <c r="E3261" s="391">
        <f t="shared" si="9856"/>
        <v>0.1</v>
      </c>
      <c r="F3261" s="391" t="str">
        <f t="shared" ref="F3261:G3261" si="9857">F3260</f>
        <v>air</v>
      </c>
      <c r="G3261" s="401" t="str">
        <f t="shared" si="9857"/>
        <v>DE: PEA film 0,01-0,1 mm (emission to air)</v>
      </c>
      <c r="H3261" s="465">
        <v>5.1999999999999998E-2</v>
      </c>
      <c r="I3261" s="394" t="s">
        <v>1097</v>
      </c>
      <c r="J3261" s="635"/>
      <c r="K3261" s="389">
        <v>423.66071428571433</v>
      </c>
      <c r="L3261" s="536"/>
      <c r="M3261" s="509">
        <f t="shared" si="9682"/>
        <v>0.11801896733403582</v>
      </c>
      <c r="N3261" s="646"/>
      <c r="O3261" s="626"/>
      <c r="P3261" s="629"/>
      <c r="Q3261" s="629"/>
    </row>
    <row r="3262" spans="1:17" ht="15.75" hidden="1" thickBot="1">
      <c r="A3262" s="390" t="str">
        <f t="shared" ref="A3262:B3262" si="9858">A3259</f>
        <v>PEA</v>
      </c>
      <c r="B3262" s="391" t="str">
        <f t="shared" si="9858"/>
        <v>film</v>
      </c>
      <c r="C3262" s="391">
        <f t="shared" ref="C3262" si="9859">C3261</f>
        <v>2</v>
      </c>
      <c r="D3262" s="391" t="str">
        <f t="shared" ref="D3262:E3262" si="9860">D3259</f>
        <v>0,01-0,1</v>
      </c>
      <c r="E3262" s="391">
        <f t="shared" si="9860"/>
        <v>0.1</v>
      </c>
      <c r="F3262" s="391" t="str">
        <f t="shared" ref="F3262:G3262" si="9861">F3261</f>
        <v>air</v>
      </c>
      <c r="G3262" s="401" t="str">
        <f t="shared" si="9861"/>
        <v>DE: PEA film 0,01-0,1 mm (emission to air)</v>
      </c>
      <c r="H3262" s="465">
        <v>0</v>
      </c>
      <c r="I3262" s="394" t="s">
        <v>1162</v>
      </c>
      <c r="J3262" s="635"/>
      <c r="K3262" s="389">
        <v>423.66071428571433</v>
      </c>
      <c r="L3262" s="536"/>
      <c r="M3262" s="509">
        <f t="shared" si="9682"/>
        <v>0.11801896733403582</v>
      </c>
      <c r="N3262" s="646"/>
      <c r="O3262" s="626"/>
      <c r="P3262" s="629"/>
      <c r="Q3262" s="629"/>
    </row>
    <row r="3263" spans="1:17" ht="15.75" hidden="1" thickBot="1">
      <c r="A3263" s="390" t="str">
        <f t="shared" ref="A3263:B3263" si="9862">A3260</f>
        <v>PEA</v>
      </c>
      <c r="B3263" s="391" t="str">
        <f t="shared" si="9862"/>
        <v>film</v>
      </c>
      <c r="C3263" s="391">
        <f t="shared" ref="C3263" si="9863">C3262</f>
        <v>2</v>
      </c>
      <c r="D3263" s="391" t="str">
        <f t="shared" ref="D3263:E3263" si="9864">D3260</f>
        <v>0,01-0,1</v>
      </c>
      <c r="E3263" s="391">
        <f t="shared" si="9864"/>
        <v>0.1</v>
      </c>
      <c r="F3263" s="391" t="str">
        <f t="shared" ref="F3263:G3263" si="9865">F3262</f>
        <v>air</v>
      </c>
      <c r="G3263" s="401" t="str">
        <f t="shared" si="9865"/>
        <v>DE: PEA film 0,01-0,1 mm (emission to air)</v>
      </c>
      <c r="H3263" s="465">
        <v>0</v>
      </c>
      <c r="I3263" s="394" t="s">
        <v>1163</v>
      </c>
      <c r="J3263" s="635"/>
      <c r="K3263" s="389">
        <v>423.66071428571433</v>
      </c>
      <c r="L3263" s="536"/>
      <c r="M3263" s="509">
        <f t="shared" si="9682"/>
        <v>0.11801896733403582</v>
      </c>
      <c r="N3263" s="646"/>
      <c r="O3263" s="626"/>
      <c r="P3263" s="629"/>
      <c r="Q3263" s="629"/>
    </row>
    <row r="3264" spans="1:17" ht="15.75" hidden="1" thickBot="1">
      <c r="A3264" s="390" t="str">
        <f t="shared" ref="A3264:B3264" si="9866">A3259</f>
        <v>PEA</v>
      </c>
      <c r="B3264" s="391" t="str">
        <f t="shared" si="9866"/>
        <v>film</v>
      </c>
      <c r="C3264" s="391">
        <f t="shared" ref="C3264" si="9867">C3263</f>
        <v>2</v>
      </c>
      <c r="D3264" s="391" t="str">
        <f t="shared" ref="D3264:E3264" si="9868">D3259</f>
        <v>0,01-0,1</v>
      </c>
      <c r="E3264" s="391">
        <f t="shared" si="9868"/>
        <v>0.1</v>
      </c>
      <c r="F3264" s="391" t="str">
        <f t="shared" ref="F3264:G3264" si="9869">F3263</f>
        <v>air</v>
      </c>
      <c r="G3264" s="401" t="str">
        <f t="shared" si="9869"/>
        <v>DE: PEA film 0,01-0,1 mm (emission to air)</v>
      </c>
      <c r="H3264" s="471">
        <v>0</v>
      </c>
      <c r="I3264" s="422" t="s">
        <v>1034</v>
      </c>
      <c r="J3264" s="636"/>
      <c r="K3264" s="451" t="s">
        <v>596</v>
      </c>
      <c r="L3264" s="542"/>
      <c r="M3264" s="509">
        <f t="shared" si="9682"/>
        <v>0</v>
      </c>
      <c r="N3264" s="647"/>
      <c r="O3264" s="627"/>
      <c r="P3264" s="629"/>
      <c r="Q3264" s="629"/>
    </row>
    <row r="3265" spans="1:17" ht="15.75" hidden="1" thickBot="1">
      <c r="A3265" s="405" t="s">
        <v>647</v>
      </c>
      <c r="B3265" s="406" t="s">
        <v>996</v>
      </c>
      <c r="C3265" s="407">
        <f>IF(OR(B3265="Folie", B3265="Strips", B3265="Film",B3265="Flakes",B3265="Coupon"), 2,IF(OR(B3265="Fibers",B3265="Pellets"),4,IF(OR(B3265="Particles",B3265="Shreds",B3265="Powder",B3265="Fragments",B3265="Granules"),6,"")))</f>
        <v>2</v>
      </c>
      <c r="D3265" s="423" t="s">
        <v>1028</v>
      </c>
      <c r="E3265" s="408">
        <v>1</v>
      </c>
      <c r="F3265" s="424" t="s">
        <v>1019</v>
      </c>
      <c r="G3265" s="425" t="str">
        <f>CONCATENATE("DE: ",A3265," ",B3265," ",D3265," mm (emission to ",F3265,")")</f>
        <v>DE: PEA film 0,1-1 mm (emission to soil)</v>
      </c>
      <c r="H3265" s="474">
        <v>0.97</v>
      </c>
      <c r="I3265" s="427" t="s">
        <v>1153</v>
      </c>
      <c r="J3265" s="632">
        <v>0.22800000000000001</v>
      </c>
      <c r="K3265" s="428">
        <v>423.66071428571433</v>
      </c>
      <c r="L3265" s="539"/>
      <c r="M3265" s="509">
        <f t="shared" si="9682"/>
        <v>1.1801896733403581</v>
      </c>
      <c r="N3265" s="645">
        <f t="shared" si="9709"/>
        <v>1.1801896733403581</v>
      </c>
      <c r="O3265" s="625"/>
      <c r="P3265" s="628">
        <f t="shared" si="9745"/>
        <v>1.1801896733403581</v>
      </c>
      <c r="Q3265" s="628">
        <f t="shared" ref="Q3265:Q3325" si="9870">IFERROR(IF(H3265*M3265+H3266*M3266+H3267*M3267+H3268*M3268+H3269*M3269&gt;500,500,H3265*M3265+H3266*M3266+H3267*M3267+H3268*M3268+H3269*M3269),"N.A.")</f>
        <v>1.1801896733403581</v>
      </c>
    </row>
    <row r="3266" spans="1:17" ht="15.75" hidden="1" thickBot="1">
      <c r="A3266" s="390" t="str">
        <f>A3265</f>
        <v>PEA</v>
      </c>
      <c r="B3266" s="391" t="str">
        <f>B3265</f>
        <v>film</v>
      </c>
      <c r="C3266" s="391">
        <f t="shared" ref="C3266:G3266" si="9871">C3265</f>
        <v>2</v>
      </c>
      <c r="D3266" s="391" t="str">
        <f t="shared" si="9871"/>
        <v>0,1-1</v>
      </c>
      <c r="E3266" s="391">
        <f t="shared" si="9871"/>
        <v>1</v>
      </c>
      <c r="F3266" s="391" t="str">
        <f t="shared" si="9871"/>
        <v>soil</v>
      </c>
      <c r="G3266" s="392" t="str">
        <f t="shared" si="9871"/>
        <v>DE: PEA film 0,1-1 mm (emission to soil)</v>
      </c>
      <c r="H3266" s="465">
        <v>0.03</v>
      </c>
      <c r="I3266" s="394" t="s">
        <v>1097</v>
      </c>
      <c r="J3266" s="632"/>
      <c r="K3266" s="395">
        <v>423.66071428571433</v>
      </c>
      <c r="L3266" s="537"/>
      <c r="M3266" s="509">
        <f t="shared" si="9682"/>
        <v>1.1801896733403581</v>
      </c>
      <c r="N3266" s="646"/>
      <c r="O3266" s="626"/>
      <c r="P3266" s="629"/>
      <c r="Q3266" s="629"/>
    </row>
    <row r="3267" spans="1:17" ht="15.75" hidden="1" thickBot="1">
      <c r="A3267" s="390" t="str">
        <f t="shared" ref="A3267:G3267" si="9872">A3266</f>
        <v>PEA</v>
      </c>
      <c r="B3267" s="391" t="str">
        <f t="shared" si="9872"/>
        <v>film</v>
      </c>
      <c r="C3267" s="391">
        <f t="shared" si="9872"/>
        <v>2</v>
      </c>
      <c r="D3267" s="391" t="str">
        <f t="shared" si="9872"/>
        <v>0,1-1</v>
      </c>
      <c r="E3267" s="391">
        <f t="shared" si="9872"/>
        <v>1</v>
      </c>
      <c r="F3267" s="391" t="str">
        <f t="shared" si="9872"/>
        <v>soil</v>
      </c>
      <c r="G3267" s="392" t="str">
        <f t="shared" si="9872"/>
        <v>DE: PEA film 0,1-1 mm (emission to soil)</v>
      </c>
      <c r="H3267" s="465">
        <v>0</v>
      </c>
      <c r="I3267" s="394" t="s">
        <v>1162</v>
      </c>
      <c r="J3267" s="632"/>
      <c r="K3267" s="395">
        <v>423.66071428571433</v>
      </c>
      <c r="L3267" s="537"/>
      <c r="M3267" s="509">
        <f t="shared" si="9682"/>
        <v>1.1801896733403581</v>
      </c>
      <c r="N3267" s="646"/>
      <c r="O3267" s="626"/>
      <c r="P3267" s="629"/>
      <c r="Q3267" s="629"/>
    </row>
    <row r="3268" spans="1:17" ht="15.75" hidden="1" thickBot="1">
      <c r="A3268" s="390" t="str">
        <f t="shared" ref="A3268:G3268" si="9873">A3267</f>
        <v>PEA</v>
      </c>
      <c r="B3268" s="391" t="str">
        <f t="shared" si="9873"/>
        <v>film</v>
      </c>
      <c r="C3268" s="391">
        <f t="shared" si="9873"/>
        <v>2</v>
      </c>
      <c r="D3268" s="391" t="str">
        <f t="shared" si="9873"/>
        <v>0,1-1</v>
      </c>
      <c r="E3268" s="391">
        <f t="shared" si="9873"/>
        <v>1</v>
      </c>
      <c r="F3268" s="391" t="str">
        <f t="shared" si="9873"/>
        <v>soil</v>
      </c>
      <c r="G3268" s="392" t="str">
        <f t="shared" si="9873"/>
        <v>DE: PEA film 0,1-1 mm (emission to soil)</v>
      </c>
      <c r="H3268" s="465">
        <v>0</v>
      </c>
      <c r="I3268" s="394" t="s">
        <v>1163</v>
      </c>
      <c r="J3268" s="632"/>
      <c r="K3268" s="395">
        <v>423.66071428571433</v>
      </c>
      <c r="L3268" s="537"/>
      <c r="M3268" s="509">
        <f t="shared" si="9682"/>
        <v>1.1801896733403581</v>
      </c>
      <c r="N3268" s="646"/>
      <c r="O3268" s="626"/>
      <c r="P3268" s="629"/>
      <c r="Q3268" s="629"/>
    </row>
    <row r="3269" spans="1:17" ht="15.75" hidden="1" thickBot="1">
      <c r="A3269" s="390" t="str">
        <f>A3266</f>
        <v>PEA</v>
      </c>
      <c r="B3269" s="391" t="str">
        <f>B3266</f>
        <v>film</v>
      </c>
      <c r="C3269" s="391">
        <f t="shared" ref="C3269" si="9874">C3268</f>
        <v>2</v>
      </c>
      <c r="D3269" s="391" t="str">
        <f>D3266</f>
        <v>0,1-1</v>
      </c>
      <c r="E3269" s="391">
        <f>E3266</f>
        <v>1</v>
      </c>
      <c r="F3269" s="391" t="str">
        <f>F3266</f>
        <v>soil</v>
      </c>
      <c r="G3269" s="396" t="str">
        <f t="shared" ref="G3269" si="9875">G3268</f>
        <v>DE: PEA film 0,1-1 mm (emission to soil)</v>
      </c>
      <c r="H3269" s="465">
        <v>0</v>
      </c>
      <c r="I3269" s="397" t="s">
        <v>1034</v>
      </c>
      <c r="J3269" s="633"/>
      <c r="K3269" s="398" t="s">
        <v>596</v>
      </c>
      <c r="L3269" s="538"/>
      <c r="M3269" s="509">
        <f t="shared" si="9682"/>
        <v>0</v>
      </c>
      <c r="N3269" s="647"/>
      <c r="O3269" s="627"/>
      <c r="P3269" s="629"/>
      <c r="Q3269" s="629"/>
    </row>
    <row r="3270" spans="1:17" ht="15.75" hidden="1" thickBot="1">
      <c r="A3270" s="390" t="str">
        <f t="shared" ref="A3270:B3270" si="9876">A3267</f>
        <v>PEA</v>
      </c>
      <c r="B3270" s="391" t="str">
        <f t="shared" si="9876"/>
        <v>film</v>
      </c>
      <c r="C3270" s="391">
        <f t="shared" ref="C3270" si="9877">C3269</f>
        <v>2</v>
      </c>
      <c r="D3270" s="399" t="str">
        <f t="shared" ref="D3270:E3270" si="9878">D3267</f>
        <v>0,1-1</v>
      </c>
      <c r="E3270" s="391">
        <f t="shared" si="9878"/>
        <v>1</v>
      </c>
      <c r="F3270" s="400" t="s">
        <v>1147</v>
      </c>
      <c r="G3270" s="386" t="str">
        <f>CONCATENATE("DE: ",A3270," ",B3270," ",D3270," mm (emission to ",F3270,")")</f>
        <v>DE: PEA film 0,1-1 mm (emission to fresh water)</v>
      </c>
      <c r="H3270" s="466">
        <v>0</v>
      </c>
      <c r="I3270" s="388" t="s">
        <v>1153</v>
      </c>
      <c r="J3270" s="634">
        <v>0.22800000000000001</v>
      </c>
      <c r="K3270" s="389">
        <v>423.66071428571433</v>
      </c>
      <c r="L3270" s="536"/>
      <c r="M3270" s="509">
        <f t="shared" ref="M3270:M3333" si="9879">IFERROR(IF(K3270="--",0,IF(E3270*1000/K3270*(1-0.5)^(C3270/2)&gt;1000,1000,E3270*1000/K3270*(1-0.5)^(C3270/2))),1000)</f>
        <v>1.1801896733403581</v>
      </c>
      <c r="N3270" s="645">
        <f t="shared" si="9709"/>
        <v>1.1801896733403581</v>
      </c>
      <c r="O3270" s="625"/>
      <c r="P3270" s="628">
        <f t="shared" si="9745"/>
        <v>1.1801896733403581</v>
      </c>
      <c r="Q3270" s="628">
        <f t="shared" si="9870"/>
        <v>1.1801896733403581</v>
      </c>
    </row>
    <row r="3271" spans="1:17" ht="15.75" hidden="1" thickBot="1">
      <c r="A3271" s="390" t="str">
        <f t="shared" ref="A3271:B3271" si="9880">A3268</f>
        <v>PEA</v>
      </c>
      <c r="B3271" s="391" t="str">
        <f t="shared" si="9880"/>
        <v>film</v>
      </c>
      <c r="C3271" s="391">
        <f t="shared" ref="C3271" si="9881">C3270</f>
        <v>2</v>
      </c>
      <c r="D3271" s="391" t="str">
        <f t="shared" ref="D3271:E3271" si="9882">D3268</f>
        <v>0,1-1</v>
      </c>
      <c r="E3271" s="391">
        <f t="shared" si="9882"/>
        <v>1</v>
      </c>
      <c r="F3271" s="391" t="str">
        <f t="shared" ref="F3271:G3271" si="9883">F3270</f>
        <v>fresh water</v>
      </c>
      <c r="G3271" s="401" t="str">
        <f t="shared" si="9883"/>
        <v>DE: PEA film 0,1-1 mm (emission to fresh water)</v>
      </c>
      <c r="H3271" s="465">
        <v>1</v>
      </c>
      <c r="I3271" s="394" t="s">
        <v>1097</v>
      </c>
      <c r="J3271" s="635"/>
      <c r="K3271" s="389">
        <v>423.66071428571433</v>
      </c>
      <c r="L3271" s="536"/>
      <c r="M3271" s="509">
        <f t="shared" si="9879"/>
        <v>1.1801896733403581</v>
      </c>
      <c r="N3271" s="646"/>
      <c r="O3271" s="626"/>
      <c r="P3271" s="629"/>
      <c r="Q3271" s="629"/>
    </row>
    <row r="3272" spans="1:17" ht="15.75" hidden="1" thickBot="1">
      <c r="A3272" s="390" t="str">
        <f t="shared" ref="A3272:B3272" si="9884">A3269</f>
        <v>PEA</v>
      </c>
      <c r="B3272" s="391" t="str">
        <f t="shared" si="9884"/>
        <v>film</v>
      </c>
      <c r="C3272" s="391">
        <f t="shared" ref="C3272" si="9885">C3271</f>
        <v>2</v>
      </c>
      <c r="D3272" s="391" t="str">
        <f t="shared" ref="D3272:E3272" si="9886">D3269</f>
        <v>0,1-1</v>
      </c>
      <c r="E3272" s="391">
        <f t="shared" si="9886"/>
        <v>1</v>
      </c>
      <c r="F3272" s="391" t="str">
        <f t="shared" ref="F3272:G3272" si="9887">F3271</f>
        <v>fresh water</v>
      </c>
      <c r="G3272" s="401" t="str">
        <f t="shared" si="9887"/>
        <v>DE: PEA film 0,1-1 mm (emission to fresh water)</v>
      </c>
      <c r="H3272" s="465">
        <v>0</v>
      </c>
      <c r="I3272" s="394" t="s">
        <v>1162</v>
      </c>
      <c r="J3272" s="635"/>
      <c r="K3272" s="389">
        <v>423.66071428571433</v>
      </c>
      <c r="L3272" s="536"/>
      <c r="M3272" s="509">
        <f t="shared" si="9879"/>
        <v>1.1801896733403581</v>
      </c>
      <c r="N3272" s="646"/>
      <c r="O3272" s="626"/>
      <c r="P3272" s="629"/>
      <c r="Q3272" s="629"/>
    </row>
    <row r="3273" spans="1:17" ht="15.75" hidden="1" thickBot="1">
      <c r="A3273" s="390" t="str">
        <f t="shared" ref="A3273:B3273" si="9888">A3270</f>
        <v>PEA</v>
      </c>
      <c r="B3273" s="391" t="str">
        <f t="shared" si="9888"/>
        <v>film</v>
      </c>
      <c r="C3273" s="391">
        <f t="shared" ref="C3273" si="9889">C3272</f>
        <v>2</v>
      </c>
      <c r="D3273" s="391" t="str">
        <f t="shared" ref="D3273:E3273" si="9890">D3270</f>
        <v>0,1-1</v>
      </c>
      <c r="E3273" s="391">
        <f t="shared" si="9890"/>
        <v>1</v>
      </c>
      <c r="F3273" s="391" t="str">
        <f t="shared" ref="F3273:G3273" si="9891">F3272</f>
        <v>fresh water</v>
      </c>
      <c r="G3273" s="401" t="str">
        <f t="shared" si="9891"/>
        <v>DE: PEA film 0,1-1 mm (emission to fresh water)</v>
      </c>
      <c r="H3273" s="465">
        <v>0</v>
      </c>
      <c r="I3273" s="394" t="s">
        <v>1163</v>
      </c>
      <c r="J3273" s="635"/>
      <c r="K3273" s="389">
        <v>423.66071428571433</v>
      </c>
      <c r="L3273" s="536"/>
      <c r="M3273" s="509">
        <f t="shared" si="9879"/>
        <v>1.1801896733403581</v>
      </c>
      <c r="N3273" s="646"/>
      <c r="O3273" s="626"/>
      <c r="P3273" s="629"/>
      <c r="Q3273" s="629"/>
    </row>
    <row r="3274" spans="1:17" ht="15.75" hidden="1" thickBot="1">
      <c r="A3274" s="390" t="str">
        <f t="shared" ref="A3274:B3274" si="9892">A3271</f>
        <v>PEA</v>
      </c>
      <c r="B3274" s="391" t="str">
        <f t="shared" si="9892"/>
        <v>film</v>
      </c>
      <c r="C3274" s="391">
        <f t="shared" ref="C3274" si="9893">C3273</f>
        <v>2</v>
      </c>
      <c r="D3274" s="391" t="str">
        <f t="shared" ref="D3274:E3274" si="9894">D3271</f>
        <v>0,1-1</v>
      </c>
      <c r="E3274" s="391">
        <f t="shared" si="9894"/>
        <v>1</v>
      </c>
      <c r="F3274" s="402" t="str">
        <f>F3271</f>
        <v>fresh water</v>
      </c>
      <c r="G3274" s="401" t="str">
        <f t="shared" ref="G3274" si="9895">G3273</f>
        <v>DE: PEA film 0,1-1 mm (emission to fresh water)</v>
      </c>
      <c r="H3274" s="465">
        <v>0</v>
      </c>
      <c r="I3274" s="397" t="s">
        <v>1034</v>
      </c>
      <c r="J3274" s="654"/>
      <c r="K3274" s="398" t="s">
        <v>596</v>
      </c>
      <c r="L3274" s="538"/>
      <c r="M3274" s="509">
        <f t="shared" si="9879"/>
        <v>0</v>
      </c>
      <c r="N3274" s="647"/>
      <c r="O3274" s="627"/>
      <c r="P3274" s="629"/>
      <c r="Q3274" s="629"/>
    </row>
    <row r="3275" spans="1:17" ht="15.75" hidden="1" thickBot="1">
      <c r="A3275" s="390" t="str">
        <f t="shared" ref="A3275:B3275" si="9896">A3272</f>
        <v>PEA</v>
      </c>
      <c r="B3275" s="391" t="str">
        <f t="shared" si="9896"/>
        <v>film</v>
      </c>
      <c r="C3275" s="391">
        <f t="shared" ref="C3275" si="9897">C3274</f>
        <v>2</v>
      </c>
      <c r="D3275" s="391" t="str">
        <f t="shared" ref="D3275:E3275" si="9898">D3272</f>
        <v>0,1-1</v>
      </c>
      <c r="E3275" s="391">
        <f t="shared" si="9898"/>
        <v>1</v>
      </c>
      <c r="F3275" s="385" t="s">
        <v>1097</v>
      </c>
      <c r="G3275" s="422" t="str">
        <f>CONCATENATE("DE: ",A3275," ",B3275," ",D3275," mm (emission to ",F3275,")")</f>
        <v>DE: PEA film 0,1-1 mm (emission to marine water)</v>
      </c>
      <c r="H3275" s="467">
        <v>0</v>
      </c>
      <c r="I3275" s="388" t="s">
        <v>1153</v>
      </c>
      <c r="J3275" s="634">
        <v>0.22800000000000001</v>
      </c>
      <c r="K3275" s="389">
        <v>423.66071428571433</v>
      </c>
      <c r="L3275" s="536"/>
      <c r="M3275" s="509">
        <f t="shared" si="9879"/>
        <v>1.1801896733403581</v>
      </c>
      <c r="N3275" s="645">
        <f t="shared" si="9709"/>
        <v>1.1801896733403581</v>
      </c>
      <c r="O3275" s="625"/>
      <c r="P3275" s="628">
        <f t="shared" si="9745"/>
        <v>1.1801896733403581</v>
      </c>
      <c r="Q3275" s="628">
        <f t="shared" si="9870"/>
        <v>1.1801896733403581</v>
      </c>
    </row>
    <row r="3276" spans="1:17" ht="15.75" hidden="1" thickBot="1">
      <c r="A3276" s="390" t="str">
        <f t="shared" ref="A3276:B3276" si="9899">A3273</f>
        <v>PEA</v>
      </c>
      <c r="B3276" s="391" t="str">
        <f t="shared" si="9899"/>
        <v>film</v>
      </c>
      <c r="C3276" s="391">
        <f t="shared" ref="C3276" si="9900">C3275</f>
        <v>2</v>
      </c>
      <c r="D3276" s="391" t="str">
        <f t="shared" ref="D3276:E3276" si="9901">D3273</f>
        <v>0,1-1</v>
      </c>
      <c r="E3276" s="391">
        <f t="shared" si="9901"/>
        <v>1</v>
      </c>
      <c r="F3276" s="391" t="str">
        <f t="shared" ref="F3276:G3276" si="9902">F3275</f>
        <v>marine water</v>
      </c>
      <c r="G3276" s="401" t="str">
        <f t="shared" si="9902"/>
        <v>DE: PEA film 0,1-1 mm (emission to marine water)</v>
      </c>
      <c r="H3276" s="465">
        <v>1</v>
      </c>
      <c r="I3276" s="394" t="s">
        <v>1097</v>
      </c>
      <c r="J3276" s="635"/>
      <c r="K3276" s="389">
        <v>423.66071428571433</v>
      </c>
      <c r="L3276" s="536"/>
      <c r="M3276" s="509">
        <f t="shared" si="9879"/>
        <v>1.1801896733403581</v>
      </c>
      <c r="N3276" s="646"/>
      <c r="O3276" s="626"/>
      <c r="P3276" s="629"/>
      <c r="Q3276" s="629"/>
    </row>
    <row r="3277" spans="1:17" ht="15.75" hidden="1" thickBot="1">
      <c r="A3277" s="390" t="str">
        <f t="shared" ref="A3277:B3277" si="9903">A3274</f>
        <v>PEA</v>
      </c>
      <c r="B3277" s="391" t="str">
        <f t="shared" si="9903"/>
        <v>film</v>
      </c>
      <c r="C3277" s="391">
        <f t="shared" ref="C3277" si="9904">C3276</f>
        <v>2</v>
      </c>
      <c r="D3277" s="391" t="str">
        <f t="shared" ref="D3277:E3277" si="9905">D3274</f>
        <v>0,1-1</v>
      </c>
      <c r="E3277" s="391">
        <f t="shared" si="9905"/>
        <v>1</v>
      </c>
      <c r="F3277" s="391" t="str">
        <f t="shared" ref="F3277:G3277" si="9906">F3276</f>
        <v>marine water</v>
      </c>
      <c r="G3277" s="401" t="str">
        <f t="shared" si="9906"/>
        <v>DE: PEA film 0,1-1 mm (emission to marine water)</v>
      </c>
      <c r="H3277" s="465">
        <v>0</v>
      </c>
      <c r="I3277" s="394" t="s">
        <v>1162</v>
      </c>
      <c r="J3277" s="635"/>
      <c r="K3277" s="389">
        <v>423.66071428571433</v>
      </c>
      <c r="L3277" s="536"/>
      <c r="M3277" s="509">
        <f t="shared" si="9879"/>
        <v>1.1801896733403581</v>
      </c>
      <c r="N3277" s="646"/>
      <c r="O3277" s="626"/>
      <c r="P3277" s="629"/>
      <c r="Q3277" s="629"/>
    </row>
    <row r="3278" spans="1:17" ht="15.75" hidden="1" thickBot="1">
      <c r="A3278" s="390" t="str">
        <f t="shared" ref="A3278:B3278" si="9907">A3275</f>
        <v>PEA</v>
      </c>
      <c r="B3278" s="391" t="str">
        <f t="shared" si="9907"/>
        <v>film</v>
      </c>
      <c r="C3278" s="391">
        <f t="shared" ref="C3278" si="9908">C3277</f>
        <v>2</v>
      </c>
      <c r="D3278" s="391" t="str">
        <f t="shared" ref="D3278:E3278" si="9909">D3275</f>
        <v>0,1-1</v>
      </c>
      <c r="E3278" s="391">
        <f t="shared" si="9909"/>
        <v>1</v>
      </c>
      <c r="F3278" s="391" t="str">
        <f t="shared" ref="F3278:G3278" si="9910">F3277</f>
        <v>marine water</v>
      </c>
      <c r="G3278" s="401" t="str">
        <f t="shared" si="9910"/>
        <v>DE: PEA film 0,1-1 mm (emission to marine water)</v>
      </c>
      <c r="H3278" s="465">
        <v>0</v>
      </c>
      <c r="I3278" s="394" t="s">
        <v>1163</v>
      </c>
      <c r="J3278" s="635"/>
      <c r="K3278" s="389">
        <v>423.66071428571433</v>
      </c>
      <c r="L3278" s="536"/>
      <c r="M3278" s="509">
        <f t="shared" si="9879"/>
        <v>1.1801896733403581</v>
      </c>
      <c r="N3278" s="646"/>
      <c r="O3278" s="626"/>
      <c r="P3278" s="629"/>
      <c r="Q3278" s="629"/>
    </row>
    <row r="3279" spans="1:17" ht="15.75" hidden="1" thickBot="1">
      <c r="A3279" s="390" t="str">
        <f t="shared" ref="A3279:B3279" si="9911">A3276</f>
        <v>PEA</v>
      </c>
      <c r="B3279" s="391" t="str">
        <f t="shared" si="9911"/>
        <v>film</v>
      </c>
      <c r="C3279" s="391">
        <f t="shared" ref="C3279" si="9912">C3278</f>
        <v>2</v>
      </c>
      <c r="D3279" s="391" t="str">
        <f t="shared" ref="D3279:E3279" si="9913">D3276</f>
        <v>0,1-1</v>
      </c>
      <c r="E3279" s="391">
        <f t="shared" si="9913"/>
        <v>1</v>
      </c>
      <c r="F3279" s="391" t="str">
        <f t="shared" ref="F3279:G3279" si="9914">F3278</f>
        <v>marine water</v>
      </c>
      <c r="G3279" s="401" t="str">
        <f t="shared" si="9914"/>
        <v>DE: PEA film 0,1-1 mm (emission to marine water)</v>
      </c>
      <c r="H3279" s="465">
        <v>0</v>
      </c>
      <c r="I3279" s="397" t="s">
        <v>1034</v>
      </c>
      <c r="J3279" s="654"/>
      <c r="K3279" s="398" t="s">
        <v>596</v>
      </c>
      <c r="L3279" s="538"/>
      <c r="M3279" s="509">
        <f t="shared" si="9879"/>
        <v>0</v>
      </c>
      <c r="N3279" s="647"/>
      <c r="O3279" s="627"/>
      <c r="P3279" s="629"/>
      <c r="Q3279" s="629"/>
    </row>
    <row r="3280" spans="1:17" ht="15.75" hidden="1" thickBot="1">
      <c r="A3280" s="390" t="str">
        <f t="shared" ref="A3280:B3280" si="9915">A3277</f>
        <v>PEA</v>
      </c>
      <c r="B3280" s="391" t="str">
        <f t="shared" si="9915"/>
        <v>film</v>
      </c>
      <c r="C3280" s="391">
        <f t="shared" ref="C3280" si="9916">C3279</f>
        <v>2</v>
      </c>
      <c r="D3280" s="391" t="str">
        <f t="shared" ref="D3280:E3280" si="9917">D3277</f>
        <v>0,1-1</v>
      </c>
      <c r="E3280" s="391">
        <f t="shared" si="9917"/>
        <v>1</v>
      </c>
      <c r="F3280" s="400" t="s">
        <v>1057</v>
      </c>
      <c r="G3280" s="422" t="str">
        <f>CONCATENATE("DE: ",A3280," ",B3280," ",D3280," mm (emission to ",F3280,")")</f>
        <v>DE: PEA film 0,1-1 mm (emission to air)</v>
      </c>
      <c r="H3280" s="467">
        <v>0.94799999999999995</v>
      </c>
      <c r="I3280" s="388" t="s">
        <v>1153</v>
      </c>
      <c r="J3280" s="634">
        <v>0.22800000000000001</v>
      </c>
      <c r="K3280" s="389">
        <v>423.66071428571433</v>
      </c>
      <c r="L3280" s="536"/>
      <c r="M3280" s="509">
        <f t="shared" si="9879"/>
        <v>1.1801896733403581</v>
      </c>
      <c r="N3280" s="645">
        <f t="shared" ref="N3280:N3340" si="9918">IFERROR(H3280*M3280+H3281*M3281+H3282*M3282+H3283*M3283+H3284*M3284,"N.A.")</f>
        <v>1.1801896733403578</v>
      </c>
      <c r="O3280" s="625"/>
      <c r="P3280" s="628">
        <f t="shared" si="9745"/>
        <v>1.1801896733403578</v>
      </c>
      <c r="Q3280" s="628">
        <f t="shared" si="9870"/>
        <v>1.1801896733403578</v>
      </c>
    </row>
    <row r="3281" spans="1:17" ht="15.75" hidden="1" thickBot="1">
      <c r="A3281" s="390" t="str">
        <f t="shared" ref="A3281:B3281" si="9919">A3278</f>
        <v>PEA</v>
      </c>
      <c r="B3281" s="391" t="str">
        <f t="shared" si="9919"/>
        <v>film</v>
      </c>
      <c r="C3281" s="391">
        <f t="shared" ref="C3281" si="9920">C3280</f>
        <v>2</v>
      </c>
      <c r="D3281" s="391" t="str">
        <f t="shared" ref="D3281:E3281" si="9921">D3278</f>
        <v>0,1-1</v>
      </c>
      <c r="E3281" s="391">
        <f t="shared" si="9921"/>
        <v>1</v>
      </c>
      <c r="F3281" s="391" t="str">
        <f t="shared" ref="F3281:G3281" si="9922">F3280</f>
        <v>air</v>
      </c>
      <c r="G3281" s="401" t="str">
        <f t="shared" si="9922"/>
        <v>DE: PEA film 0,1-1 mm (emission to air)</v>
      </c>
      <c r="H3281" s="465">
        <v>5.1999999999999998E-2</v>
      </c>
      <c r="I3281" s="394" t="s">
        <v>1097</v>
      </c>
      <c r="J3281" s="635"/>
      <c r="K3281" s="389">
        <v>423.66071428571433</v>
      </c>
      <c r="L3281" s="536"/>
      <c r="M3281" s="509">
        <f t="shared" si="9879"/>
        <v>1.1801896733403581</v>
      </c>
      <c r="N3281" s="646"/>
      <c r="O3281" s="626"/>
      <c r="P3281" s="629"/>
      <c r="Q3281" s="629"/>
    </row>
    <row r="3282" spans="1:17" ht="15.75" hidden="1" thickBot="1">
      <c r="A3282" s="390" t="str">
        <f t="shared" ref="A3282:B3282" si="9923">A3279</f>
        <v>PEA</v>
      </c>
      <c r="B3282" s="391" t="str">
        <f t="shared" si="9923"/>
        <v>film</v>
      </c>
      <c r="C3282" s="391">
        <f t="shared" ref="C3282" si="9924">C3281</f>
        <v>2</v>
      </c>
      <c r="D3282" s="391" t="str">
        <f t="shared" ref="D3282:E3282" si="9925">D3279</f>
        <v>0,1-1</v>
      </c>
      <c r="E3282" s="391">
        <f t="shared" si="9925"/>
        <v>1</v>
      </c>
      <c r="F3282" s="391" t="str">
        <f t="shared" ref="F3282:G3282" si="9926">F3281</f>
        <v>air</v>
      </c>
      <c r="G3282" s="401" t="str">
        <f t="shared" si="9926"/>
        <v>DE: PEA film 0,1-1 mm (emission to air)</v>
      </c>
      <c r="H3282" s="465">
        <v>0</v>
      </c>
      <c r="I3282" s="394" t="s">
        <v>1162</v>
      </c>
      <c r="J3282" s="635"/>
      <c r="K3282" s="389">
        <v>423.66071428571433</v>
      </c>
      <c r="L3282" s="536"/>
      <c r="M3282" s="509">
        <f t="shared" si="9879"/>
        <v>1.1801896733403581</v>
      </c>
      <c r="N3282" s="646"/>
      <c r="O3282" s="626"/>
      <c r="P3282" s="629"/>
      <c r="Q3282" s="629"/>
    </row>
    <row r="3283" spans="1:17" ht="15.75" hidden="1" thickBot="1">
      <c r="A3283" s="390" t="str">
        <f t="shared" ref="A3283:B3283" si="9927">A3280</f>
        <v>PEA</v>
      </c>
      <c r="B3283" s="391" t="str">
        <f t="shared" si="9927"/>
        <v>film</v>
      </c>
      <c r="C3283" s="391">
        <f t="shared" ref="C3283" si="9928">C3282</f>
        <v>2</v>
      </c>
      <c r="D3283" s="391" t="str">
        <f t="shared" ref="D3283:E3283" si="9929">D3280</f>
        <v>0,1-1</v>
      </c>
      <c r="E3283" s="391">
        <f t="shared" si="9929"/>
        <v>1</v>
      </c>
      <c r="F3283" s="391" t="str">
        <f t="shared" ref="F3283:G3283" si="9930">F3282</f>
        <v>air</v>
      </c>
      <c r="G3283" s="401" t="str">
        <f t="shared" si="9930"/>
        <v>DE: PEA film 0,1-1 mm (emission to air)</v>
      </c>
      <c r="H3283" s="465">
        <v>0</v>
      </c>
      <c r="I3283" s="394" t="s">
        <v>1163</v>
      </c>
      <c r="J3283" s="635"/>
      <c r="K3283" s="389">
        <v>423.66071428571433</v>
      </c>
      <c r="L3283" s="536"/>
      <c r="M3283" s="509">
        <f t="shared" si="9879"/>
        <v>1.1801896733403581</v>
      </c>
      <c r="N3283" s="646"/>
      <c r="O3283" s="626"/>
      <c r="P3283" s="629"/>
      <c r="Q3283" s="629"/>
    </row>
    <row r="3284" spans="1:17" ht="15.75" hidden="1" thickBot="1">
      <c r="A3284" s="452" t="str">
        <f t="shared" ref="A3284:B3284" si="9931">A3279</f>
        <v>PEA</v>
      </c>
      <c r="B3284" s="453" t="str">
        <f t="shared" si="9931"/>
        <v>film</v>
      </c>
      <c r="C3284" s="453">
        <f t="shared" ref="C3284" si="9932">C3283</f>
        <v>2</v>
      </c>
      <c r="D3284" s="453" t="str">
        <f t="shared" ref="D3284:E3284" si="9933">D3279</f>
        <v>0,1-1</v>
      </c>
      <c r="E3284" s="453">
        <f t="shared" si="9933"/>
        <v>1</v>
      </c>
      <c r="F3284" s="453" t="str">
        <f t="shared" ref="F3284:G3284" si="9934">F3283</f>
        <v>air</v>
      </c>
      <c r="G3284" s="454" t="str">
        <f t="shared" si="9934"/>
        <v>DE: PEA film 0,1-1 mm (emission to air)</v>
      </c>
      <c r="H3284" s="473">
        <v>0</v>
      </c>
      <c r="I3284" s="456" t="s">
        <v>1034</v>
      </c>
      <c r="J3284" s="636"/>
      <c r="K3284" s="457" t="s">
        <v>596</v>
      </c>
      <c r="L3284" s="543"/>
      <c r="M3284" s="509">
        <f t="shared" si="9879"/>
        <v>0</v>
      </c>
      <c r="N3284" s="647"/>
      <c r="O3284" s="627"/>
      <c r="P3284" s="629"/>
      <c r="Q3284" s="629"/>
    </row>
    <row r="3285" spans="1:17" ht="15.75" hidden="1" thickBot="1">
      <c r="A3285" s="381" t="s">
        <v>647</v>
      </c>
      <c r="B3285" s="382" t="s">
        <v>996</v>
      </c>
      <c r="C3285" s="383">
        <f>IF(OR(B3285="Folie", B3285="Strips", B3285="Film",B3285="Flakes",B3285="Coupon"), 2,IF(OR(B3285="Fibers",B3285="Pellets"),4,IF(OR(B3285="Particles",B3285="Shreds",B3285="Powder",B3285="Fragments",B3285="Granules"),6,"")))</f>
        <v>2</v>
      </c>
      <c r="D3285" s="475" t="s">
        <v>1026</v>
      </c>
      <c r="E3285" s="384">
        <v>10</v>
      </c>
      <c r="F3285" s="385" t="s">
        <v>1019</v>
      </c>
      <c r="G3285" s="386" t="str">
        <f>CONCATENATE("DE: ",A3285," ",B3285," ",D3285," mm (emission to ",F3285,")")</f>
        <v>DE: PEA film 1-10 mm (emission to soil)</v>
      </c>
      <c r="H3285" s="466">
        <v>0.97</v>
      </c>
      <c r="I3285" s="388" t="s">
        <v>1153</v>
      </c>
      <c r="J3285" s="632">
        <v>0.22800000000000001</v>
      </c>
      <c r="K3285" s="389">
        <v>423.66071428571433</v>
      </c>
      <c r="L3285" s="536"/>
      <c r="M3285" s="509">
        <f t="shared" si="9879"/>
        <v>11.801896733403581</v>
      </c>
      <c r="N3285" s="645">
        <f t="shared" si="9918"/>
        <v>11.801896733403579</v>
      </c>
      <c r="O3285" s="625"/>
      <c r="P3285" s="628">
        <f t="shared" si="9745"/>
        <v>11.801896733403579</v>
      </c>
      <c r="Q3285" s="628">
        <f t="shared" si="9870"/>
        <v>11.801896733403579</v>
      </c>
    </row>
    <row r="3286" spans="1:17" ht="15.75" hidden="1" thickBot="1">
      <c r="A3286" s="390" t="str">
        <f>A3285</f>
        <v>PEA</v>
      </c>
      <c r="B3286" s="391" t="str">
        <f>B3285</f>
        <v>film</v>
      </c>
      <c r="C3286" s="391">
        <f t="shared" ref="C3286:G3286" si="9935">C3285</f>
        <v>2</v>
      </c>
      <c r="D3286" s="391" t="str">
        <f t="shared" si="9935"/>
        <v>1-10</v>
      </c>
      <c r="E3286" s="391">
        <f t="shared" si="9935"/>
        <v>10</v>
      </c>
      <c r="F3286" s="391" t="str">
        <f t="shared" si="9935"/>
        <v>soil</v>
      </c>
      <c r="G3286" s="392" t="str">
        <f t="shared" si="9935"/>
        <v>DE: PEA film 1-10 mm (emission to soil)</v>
      </c>
      <c r="H3286" s="465">
        <v>0.03</v>
      </c>
      <c r="I3286" s="394" t="s">
        <v>1097</v>
      </c>
      <c r="J3286" s="632"/>
      <c r="K3286" s="395">
        <v>423.66071428571433</v>
      </c>
      <c r="L3286" s="537"/>
      <c r="M3286" s="509">
        <f t="shared" si="9879"/>
        <v>11.801896733403581</v>
      </c>
      <c r="N3286" s="646"/>
      <c r="O3286" s="626"/>
      <c r="P3286" s="629"/>
      <c r="Q3286" s="629"/>
    </row>
    <row r="3287" spans="1:17" ht="15.75" hidden="1" thickBot="1">
      <c r="A3287" s="390" t="str">
        <f t="shared" ref="A3287:G3287" si="9936">A3286</f>
        <v>PEA</v>
      </c>
      <c r="B3287" s="391" t="str">
        <f t="shared" si="9936"/>
        <v>film</v>
      </c>
      <c r="C3287" s="391">
        <f t="shared" si="9936"/>
        <v>2</v>
      </c>
      <c r="D3287" s="391" t="str">
        <f t="shared" si="9936"/>
        <v>1-10</v>
      </c>
      <c r="E3287" s="391">
        <f t="shared" si="9936"/>
        <v>10</v>
      </c>
      <c r="F3287" s="391" t="str">
        <f t="shared" si="9936"/>
        <v>soil</v>
      </c>
      <c r="G3287" s="392" t="str">
        <f t="shared" si="9936"/>
        <v>DE: PEA film 1-10 mm (emission to soil)</v>
      </c>
      <c r="H3287" s="465">
        <v>0</v>
      </c>
      <c r="I3287" s="394" t="s">
        <v>1162</v>
      </c>
      <c r="J3287" s="632"/>
      <c r="K3287" s="395">
        <v>423.66071428571433</v>
      </c>
      <c r="L3287" s="537"/>
      <c r="M3287" s="509">
        <f t="shared" si="9879"/>
        <v>11.801896733403581</v>
      </c>
      <c r="N3287" s="646"/>
      <c r="O3287" s="626"/>
      <c r="P3287" s="629"/>
      <c r="Q3287" s="629"/>
    </row>
    <row r="3288" spans="1:17" ht="15.75" hidden="1" thickBot="1">
      <c r="A3288" s="390" t="str">
        <f t="shared" ref="A3288:G3288" si="9937">A3287</f>
        <v>PEA</v>
      </c>
      <c r="B3288" s="391" t="str">
        <f t="shared" si="9937"/>
        <v>film</v>
      </c>
      <c r="C3288" s="391">
        <f t="shared" si="9937"/>
        <v>2</v>
      </c>
      <c r="D3288" s="391" t="str">
        <f t="shared" si="9937"/>
        <v>1-10</v>
      </c>
      <c r="E3288" s="391">
        <f t="shared" si="9937"/>
        <v>10</v>
      </c>
      <c r="F3288" s="391" t="str">
        <f t="shared" si="9937"/>
        <v>soil</v>
      </c>
      <c r="G3288" s="392" t="str">
        <f t="shared" si="9937"/>
        <v>DE: PEA film 1-10 mm (emission to soil)</v>
      </c>
      <c r="H3288" s="465">
        <v>0</v>
      </c>
      <c r="I3288" s="394" t="s">
        <v>1163</v>
      </c>
      <c r="J3288" s="632"/>
      <c r="K3288" s="395">
        <v>423.66071428571433</v>
      </c>
      <c r="L3288" s="537"/>
      <c r="M3288" s="509">
        <f t="shared" si="9879"/>
        <v>11.801896733403581</v>
      </c>
      <c r="N3288" s="646"/>
      <c r="O3288" s="626"/>
      <c r="P3288" s="629"/>
      <c r="Q3288" s="629"/>
    </row>
    <row r="3289" spans="1:17" ht="15.75" hidden="1" thickBot="1">
      <c r="A3289" s="390" t="str">
        <f>A3286</f>
        <v>PEA</v>
      </c>
      <c r="B3289" s="391" t="str">
        <f>B3286</f>
        <v>film</v>
      </c>
      <c r="C3289" s="391">
        <f t="shared" ref="C3289" si="9938">C3288</f>
        <v>2</v>
      </c>
      <c r="D3289" s="391" t="str">
        <f>D3286</f>
        <v>1-10</v>
      </c>
      <c r="E3289" s="391">
        <f>E3286</f>
        <v>10</v>
      </c>
      <c r="F3289" s="391" t="str">
        <f>F3286</f>
        <v>soil</v>
      </c>
      <c r="G3289" s="396" t="str">
        <f t="shared" ref="G3289" si="9939">G3288</f>
        <v>DE: PEA film 1-10 mm (emission to soil)</v>
      </c>
      <c r="H3289" s="465">
        <v>0</v>
      </c>
      <c r="I3289" s="397" t="s">
        <v>1034</v>
      </c>
      <c r="J3289" s="633"/>
      <c r="K3289" s="398" t="s">
        <v>596</v>
      </c>
      <c r="L3289" s="538"/>
      <c r="M3289" s="509">
        <f t="shared" si="9879"/>
        <v>0</v>
      </c>
      <c r="N3289" s="647"/>
      <c r="O3289" s="627"/>
      <c r="P3289" s="629"/>
      <c r="Q3289" s="629"/>
    </row>
    <row r="3290" spans="1:17" ht="15.75" hidden="1" thickBot="1">
      <c r="A3290" s="390" t="str">
        <f t="shared" ref="A3290:B3290" si="9940">A3287</f>
        <v>PEA</v>
      </c>
      <c r="B3290" s="391" t="str">
        <f t="shared" si="9940"/>
        <v>film</v>
      </c>
      <c r="C3290" s="391">
        <f t="shared" ref="C3290" si="9941">C3289</f>
        <v>2</v>
      </c>
      <c r="D3290" s="399" t="str">
        <f t="shared" ref="D3290:E3290" si="9942">D3287</f>
        <v>1-10</v>
      </c>
      <c r="E3290" s="391">
        <f t="shared" si="9942"/>
        <v>10</v>
      </c>
      <c r="F3290" s="400" t="s">
        <v>1147</v>
      </c>
      <c r="G3290" s="386" t="str">
        <f>CONCATENATE("DE: ",A3290," ",B3290," ",D3290," mm (emission to ",F3290,")")</f>
        <v>DE: PEA film 1-10 mm (emission to fresh water)</v>
      </c>
      <c r="H3290" s="466">
        <v>0</v>
      </c>
      <c r="I3290" s="388" t="s">
        <v>1153</v>
      </c>
      <c r="J3290" s="634">
        <v>0.22800000000000001</v>
      </c>
      <c r="K3290" s="389">
        <v>423.66071428571433</v>
      </c>
      <c r="L3290" s="536"/>
      <c r="M3290" s="509">
        <f t="shared" si="9879"/>
        <v>11.801896733403581</v>
      </c>
      <c r="N3290" s="645">
        <f t="shared" si="9918"/>
        <v>11.801896733403581</v>
      </c>
      <c r="O3290" s="625"/>
      <c r="P3290" s="628">
        <f t="shared" ref="P3290:P3350" si="9943">IFERROR(IF(H3290*M3290+H3291*M3291+H3292*M3292+H3293*M3293+H3294*M3294&gt;100,100,H3290*M3290+H3291*M3291+H3292*M3292+H3293*M3293+H3294*M3294),"N.A.")</f>
        <v>11.801896733403581</v>
      </c>
      <c r="Q3290" s="628">
        <f t="shared" si="9870"/>
        <v>11.801896733403581</v>
      </c>
    </row>
    <row r="3291" spans="1:17" ht="15.75" hidden="1" thickBot="1">
      <c r="A3291" s="390" t="str">
        <f t="shared" ref="A3291:B3291" si="9944">A3288</f>
        <v>PEA</v>
      </c>
      <c r="B3291" s="391" t="str">
        <f t="shared" si="9944"/>
        <v>film</v>
      </c>
      <c r="C3291" s="391">
        <f t="shared" ref="C3291" si="9945">C3290</f>
        <v>2</v>
      </c>
      <c r="D3291" s="391" t="str">
        <f t="shared" ref="D3291:E3291" si="9946">D3288</f>
        <v>1-10</v>
      </c>
      <c r="E3291" s="391">
        <f t="shared" si="9946"/>
        <v>10</v>
      </c>
      <c r="F3291" s="391" t="str">
        <f t="shared" ref="F3291:G3291" si="9947">F3290</f>
        <v>fresh water</v>
      </c>
      <c r="G3291" s="401" t="str">
        <f t="shared" si="9947"/>
        <v>DE: PEA film 1-10 mm (emission to fresh water)</v>
      </c>
      <c r="H3291" s="465">
        <v>1</v>
      </c>
      <c r="I3291" s="394" t="s">
        <v>1097</v>
      </c>
      <c r="J3291" s="635"/>
      <c r="K3291" s="389">
        <v>423.66071428571433</v>
      </c>
      <c r="L3291" s="536"/>
      <c r="M3291" s="509">
        <f t="shared" si="9879"/>
        <v>11.801896733403581</v>
      </c>
      <c r="N3291" s="646"/>
      <c r="O3291" s="626"/>
      <c r="P3291" s="629"/>
      <c r="Q3291" s="629"/>
    </row>
    <row r="3292" spans="1:17" ht="15.75" hidden="1" thickBot="1">
      <c r="A3292" s="390" t="str">
        <f t="shared" ref="A3292:B3292" si="9948">A3289</f>
        <v>PEA</v>
      </c>
      <c r="B3292" s="391" t="str">
        <f t="shared" si="9948"/>
        <v>film</v>
      </c>
      <c r="C3292" s="391">
        <f t="shared" ref="C3292" si="9949">C3291</f>
        <v>2</v>
      </c>
      <c r="D3292" s="391" t="str">
        <f t="shared" ref="D3292:E3292" si="9950">D3289</f>
        <v>1-10</v>
      </c>
      <c r="E3292" s="391">
        <f t="shared" si="9950"/>
        <v>10</v>
      </c>
      <c r="F3292" s="391" t="str">
        <f t="shared" ref="F3292:G3292" si="9951">F3291</f>
        <v>fresh water</v>
      </c>
      <c r="G3292" s="401" t="str">
        <f t="shared" si="9951"/>
        <v>DE: PEA film 1-10 mm (emission to fresh water)</v>
      </c>
      <c r="H3292" s="465">
        <v>0</v>
      </c>
      <c r="I3292" s="394" t="s">
        <v>1162</v>
      </c>
      <c r="J3292" s="635"/>
      <c r="K3292" s="389">
        <v>423.66071428571433</v>
      </c>
      <c r="L3292" s="536"/>
      <c r="M3292" s="509">
        <f t="shared" si="9879"/>
        <v>11.801896733403581</v>
      </c>
      <c r="N3292" s="646"/>
      <c r="O3292" s="626"/>
      <c r="P3292" s="629"/>
      <c r="Q3292" s="629"/>
    </row>
    <row r="3293" spans="1:17" ht="15.75" hidden="1" thickBot="1">
      <c r="A3293" s="390" t="str">
        <f t="shared" ref="A3293:B3293" si="9952">A3290</f>
        <v>PEA</v>
      </c>
      <c r="B3293" s="391" t="str">
        <f t="shared" si="9952"/>
        <v>film</v>
      </c>
      <c r="C3293" s="391">
        <f t="shared" ref="C3293" si="9953">C3292</f>
        <v>2</v>
      </c>
      <c r="D3293" s="391" t="str">
        <f t="shared" ref="D3293:E3293" si="9954">D3290</f>
        <v>1-10</v>
      </c>
      <c r="E3293" s="391">
        <f t="shared" si="9954"/>
        <v>10</v>
      </c>
      <c r="F3293" s="391" t="str">
        <f t="shared" ref="F3293:G3293" si="9955">F3292</f>
        <v>fresh water</v>
      </c>
      <c r="G3293" s="401" t="str">
        <f t="shared" si="9955"/>
        <v>DE: PEA film 1-10 mm (emission to fresh water)</v>
      </c>
      <c r="H3293" s="465">
        <v>0</v>
      </c>
      <c r="I3293" s="394" t="s">
        <v>1163</v>
      </c>
      <c r="J3293" s="635"/>
      <c r="K3293" s="389">
        <v>423.66071428571433</v>
      </c>
      <c r="L3293" s="536"/>
      <c r="M3293" s="509">
        <f t="shared" si="9879"/>
        <v>11.801896733403581</v>
      </c>
      <c r="N3293" s="646"/>
      <c r="O3293" s="626"/>
      <c r="P3293" s="629"/>
      <c r="Q3293" s="629"/>
    </row>
    <row r="3294" spans="1:17" ht="15.75" hidden="1" thickBot="1">
      <c r="A3294" s="390" t="str">
        <f t="shared" ref="A3294:B3294" si="9956">A3291</f>
        <v>PEA</v>
      </c>
      <c r="B3294" s="391" t="str">
        <f t="shared" si="9956"/>
        <v>film</v>
      </c>
      <c r="C3294" s="391">
        <f t="shared" ref="C3294" si="9957">C3293</f>
        <v>2</v>
      </c>
      <c r="D3294" s="391" t="str">
        <f t="shared" ref="D3294:E3294" si="9958">D3291</f>
        <v>1-10</v>
      </c>
      <c r="E3294" s="391">
        <f t="shared" si="9958"/>
        <v>10</v>
      </c>
      <c r="F3294" s="402" t="str">
        <f>F3291</f>
        <v>fresh water</v>
      </c>
      <c r="G3294" s="401" t="str">
        <f t="shared" ref="G3294" si="9959">G3293</f>
        <v>DE: PEA film 1-10 mm (emission to fresh water)</v>
      </c>
      <c r="H3294" s="465">
        <v>0</v>
      </c>
      <c r="I3294" s="397" t="s">
        <v>1034</v>
      </c>
      <c r="J3294" s="654"/>
      <c r="K3294" s="398" t="s">
        <v>596</v>
      </c>
      <c r="L3294" s="538"/>
      <c r="M3294" s="509">
        <f t="shared" si="9879"/>
        <v>0</v>
      </c>
      <c r="N3294" s="647"/>
      <c r="O3294" s="627"/>
      <c r="P3294" s="629"/>
      <c r="Q3294" s="629"/>
    </row>
    <row r="3295" spans="1:17" ht="15.75" hidden="1" thickBot="1">
      <c r="A3295" s="390" t="str">
        <f t="shared" ref="A3295:B3295" si="9960">A3292</f>
        <v>PEA</v>
      </c>
      <c r="B3295" s="391" t="str">
        <f t="shared" si="9960"/>
        <v>film</v>
      </c>
      <c r="C3295" s="391">
        <f t="shared" ref="C3295" si="9961">C3294</f>
        <v>2</v>
      </c>
      <c r="D3295" s="391" t="str">
        <f t="shared" ref="D3295:E3295" si="9962">D3292</f>
        <v>1-10</v>
      </c>
      <c r="E3295" s="391">
        <f t="shared" si="9962"/>
        <v>10</v>
      </c>
      <c r="F3295" s="385" t="s">
        <v>1097</v>
      </c>
      <c r="G3295" s="422" t="str">
        <f>CONCATENATE("DE: ",A3295," ",B3295," ",D3295," mm (emission to ",F3295,")")</f>
        <v>DE: PEA film 1-10 mm (emission to marine water)</v>
      </c>
      <c r="H3295" s="467">
        <v>0</v>
      </c>
      <c r="I3295" s="388" t="s">
        <v>1153</v>
      </c>
      <c r="J3295" s="634">
        <v>0.22800000000000001</v>
      </c>
      <c r="K3295" s="389">
        <v>423.66071428571433</v>
      </c>
      <c r="L3295" s="536"/>
      <c r="M3295" s="509">
        <f t="shared" si="9879"/>
        <v>11.801896733403581</v>
      </c>
      <c r="N3295" s="645">
        <f t="shared" si="9918"/>
        <v>11.801896733403581</v>
      </c>
      <c r="O3295" s="625"/>
      <c r="P3295" s="628">
        <f t="shared" si="9943"/>
        <v>11.801896733403581</v>
      </c>
      <c r="Q3295" s="628">
        <f t="shared" si="9870"/>
        <v>11.801896733403581</v>
      </c>
    </row>
    <row r="3296" spans="1:17" ht="15.75" hidden="1" thickBot="1">
      <c r="A3296" s="390" t="str">
        <f t="shared" ref="A3296:B3296" si="9963">A3293</f>
        <v>PEA</v>
      </c>
      <c r="B3296" s="391" t="str">
        <f t="shared" si="9963"/>
        <v>film</v>
      </c>
      <c r="C3296" s="391">
        <f t="shared" ref="C3296" si="9964">C3295</f>
        <v>2</v>
      </c>
      <c r="D3296" s="391" t="str">
        <f t="shared" ref="D3296:E3296" si="9965">D3293</f>
        <v>1-10</v>
      </c>
      <c r="E3296" s="391">
        <f t="shared" si="9965"/>
        <v>10</v>
      </c>
      <c r="F3296" s="391" t="str">
        <f t="shared" ref="F3296:G3296" si="9966">F3295</f>
        <v>marine water</v>
      </c>
      <c r="G3296" s="401" t="str">
        <f t="shared" si="9966"/>
        <v>DE: PEA film 1-10 mm (emission to marine water)</v>
      </c>
      <c r="H3296" s="465">
        <v>1</v>
      </c>
      <c r="I3296" s="394" t="s">
        <v>1097</v>
      </c>
      <c r="J3296" s="635"/>
      <c r="K3296" s="389">
        <v>423.66071428571433</v>
      </c>
      <c r="L3296" s="536"/>
      <c r="M3296" s="509">
        <f t="shared" si="9879"/>
        <v>11.801896733403581</v>
      </c>
      <c r="N3296" s="646"/>
      <c r="O3296" s="626"/>
      <c r="P3296" s="629"/>
      <c r="Q3296" s="629"/>
    </row>
    <row r="3297" spans="1:17" ht="15.75" hidden="1" thickBot="1">
      <c r="A3297" s="390" t="str">
        <f t="shared" ref="A3297:B3297" si="9967">A3294</f>
        <v>PEA</v>
      </c>
      <c r="B3297" s="391" t="str">
        <f t="shared" si="9967"/>
        <v>film</v>
      </c>
      <c r="C3297" s="391">
        <f t="shared" ref="C3297" si="9968">C3296</f>
        <v>2</v>
      </c>
      <c r="D3297" s="391" t="str">
        <f t="shared" ref="D3297:E3297" si="9969">D3294</f>
        <v>1-10</v>
      </c>
      <c r="E3297" s="391">
        <f t="shared" si="9969"/>
        <v>10</v>
      </c>
      <c r="F3297" s="391" t="str">
        <f t="shared" ref="F3297:G3297" si="9970">F3296</f>
        <v>marine water</v>
      </c>
      <c r="G3297" s="401" t="str">
        <f t="shared" si="9970"/>
        <v>DE: PEA film 1-10 mm (emission to marine water)</v>
      </c>
      <c r="H3297" s="465">
        <v>0</v>
      </c>
      <c r="I3297" s="394" t="s">
        <v>1162</v>
      </c>
      <c r="J3297" s="635"/>
      <c r="K3297" s="389">
        <v>423.66071428571433</v>
      </c>
      <c r="L3297" s="536"/>
      <c r="M3297" s="509">
        <f t="shared" si="9879"/>
        <v>11.801896733403581</v>
      </c>
      <c r="N3297" s="646"/>
      <c r="O3297" s="626"/>
      <c r="P3297" s="629"/>
      <c r="Q3297" s="629"/>
    </row>
    <row r="3298" spans="1:17" ht="15.75" hidden="1" thickBot="1">
      <c r="A3298" s="390" t="str">
        <f t="shared" ref="A3298:B3298" si="9971">A3295</f>
        <v>PEA</v>
      </c>
      <c r="B3298" s="391" t="str">
        <f t="shared" si="9971"/>
        <v>film</v>
      </c>
      <c r="C3298" s="391">
        <f t="shared" ref="C3298" si="9972">C3297</f>
        <v>2</v>
      </c>
      <c r="D3298" s="391" t="str">
        <f t="shared" ref="D3298:E3298" si="9973">D3295</f>
        <v>1-10</v>
      </c>
      <c r="E3298" s="391">
        <f t="shared" si="9973"/>
        <v>10</v>
      </c>
      <c r="F3298" s="391" t="str">
        <f t="shared" ref="F3298:G3298" si="9974">F3297</f>
        <v>marine water</v>
      </c>
      <c r="G3298" s="401" t="str">
        <f t="shared" si="9974"/>
        <v>DE: PEA film 1-10 mm (emission to marine water)</v>
      </c>
      <c r="H3298" s="465">
        <v>0</v>
      </c>
      <c r="I3298" s="394" t="s">
        <v>1163</v>
      </c>
      <c r="J3298" s="635"/>
      <c r="K3298" s="389">
        <v>423.66071428571433</v>
      </c>
      <c r="L3298" s="536"/>
      <c r="M3298" s="509">
        <f t="shared" si="9879"/>
        <v>11.801896733403581</v>
      </c>
      <c r="N3298" s="646"/>
      <c r="O3298" s="626"/>
      <c r="P3298" s="629"/>
      <c r="Q3298" s="629"/>
    </row>
    <row r="3299" spans="1:17" ht="15.75" hidden="1" thickBot="1">
      <c r="A3299" s="390" t="str">
        <f t="shared" ref="A3299:B3299" si="9975">A3296</f>
        <v>PEA</v>
      </c>
      <c r="B3299" s="391" t="str">
        <f t="shared" si="9975"/>
        <v>film</v>
      </c>
      <c r="C3299" s="391">
        <f t="shared" ref="C3299" si="9976">C3298</f>
        <v>2</v>
      </c>
      <c r="D3299" s="391" t="str">
        <f t="shared" ref="D3299:E3299" si="9977">D3296</f>
        <v>1-10</v>
      </c>
      <c r="E3299" s="391">
        <f t="shared" si="9977"/>
        <v>10</v>
      </c>
      <c r="F3299" s="391" t="str">
        <f t="shared" ref="F3299:G3299" si="9978">F3298</f>
        <v>marine water</v>
      </c>
      <c r="G3299" s="401" t="str">
        <f t="shared" si="9978"/>
        <v>DE: PEA film 1-10 mm (emission to marine water)</v>
      </c>
      <c r="H3299" s="465">
        <v>0</v>
      </c>
      <c r="I3299" s="397" t="s">
        <v>1034</v>
      </c>
      <c r="J3299" s="654"/>
      <c r="K3299" s="398" t="s">
        <v>596</v>
      </c>
      <c r="L3299" s="538"/>
      <c r="M3299" s="509">
        <f t="shared" si="9879"/>
        <v>0</v>
      </c>
      <c r="N3299" s="647"/>
      <c r="O3299" s="627"/>
      <c r="P3299" s="629"/>
      <c r="Q3299" s="629"/>
    </row>
    <row r="3300" spans="1:17" ht="15.75" hidden="1" thickBot="1">
      <c r="A3300" s="390" t="str">
        <f t="shared" ref="A3300:B3300" si="9979">A3297</f>
        <v>PEA</v>
      </c>
      <c r="B3300" s="391" t="str">
        <f t="shared" si="9979"/>
        <v>film</v>
      </c>
      <c r="C3300" s="391">
        <f t="shared" ref="C3300" si="9980">C3299</f>
        <v>2</v>
      </c>
      <c r="D3300" s="391" t="str">
        <f t="shared" ref="D3300:E3300" si="9981">D3297</f>
        <v>1-10</v>
      </c>
      <c r="E3300" s="391">
        <f t="shared" si="9981"/>
        <v>10</v>
      </c>
      <c r="F3300" s="400" t="s">
        <v>1057</v>
      </c>
      <c r="G3300" s="422" t="str">
        <f>CONCATENATE("DE: ",A3300," ",B3300," ",D3300," mm (emission to ",F3300,")")</f>
        <v>DE: PEA film 1-10 mm (emission to air)</v>
      </c>
      <c r="H3300" s="467">
        <v>0.94799999999999995</v>
      </c>
      <c r="I3300" s="388" t="s">
        <v>1153</v>
      </c>
      <c r="J3300" s="634">
        <v>0.22800000000000001</v>
      </c>
      <c r="K3300" s="389">
        <v>423.66071428571433</v>
      </c>
      <c r="L3300" s="536"/>
      <c r="M3300" s="509">
        <f t="shared" si="9879"/>
        <v>11.801896733403581</v>
      </c>
      <c r="N3300" s="645">
        <f t="shared" si="9918"/>
        <v>11.801896733403579</v>
      </c>
      <c r="O3300" s="625"/>
      <c r="P3300" s="628">
        <f t="shared" si="9943"/>
        <v>11.801896733403579</v>
      </c>
      <c r="Q3300" s="628">
        <f t="shared" si="9870"/>
        <v>11.801896733403579</v>
      </c>
    </row>
    <row r="3301" spans="1:17" ht="15.75" hidden="1" thickBot="1">
      <c r="A3301" s="390" t="str">
        <f t="shared" ref="A3301:B3301" si="9982">A3298</f>
        <v>PEA</v>
      </c>
      <c r="B3301" s="391" t="str">
        <f t="shared" si="9982"/>
        <v>film</v>
      </c>
      <c r="C3301" s="391">
        <f t="shared" ref="C3301" si="9983">C3300</f>
        <v>2</v>
      </c>
      <c r="D3301" s="391" t="str">
        <f t="shared" ref="D3301:E3301" si="9984">D3298</f>
        <v>1-10</v>
      </c>
      <c r="E3301" s="391">
        <f t="shared" si="9984"/>
        <v>10</v>
      </c>
      <c r="F3301" s="391" t="str">
        <f t="shared" ref="F3301:G3301" si="9985">F3300</f>
        <v>air</v>
      </c>
      <c r="G3301" s="401" t="str">
        <f t="shared" si="9985"/>
        <v>DE: PEA film 1-10 mm (emission to air)</v>
      </c>
      <c r="H3301" s="465">
        <v>5.1999999999999998E-2</v>
      </c>
      <c r="I3301" s="394" t="s">
        <v>1097</v>
      </c>
      <c r="J3301" s="635"/>
      <c r="K3301" s="389">
        <v>423.66071428571433</v>
      </c>
      <c r="L3301" s="536"/>
      <c r="M3301" s="509">
        <f t="shared" si="9879"/>
        <v>11.801896733403581</v>
      </c>
      <c r="N3301" s="646"/>
      <c r="O3301" s="626"/>
      <c r="P3301" s="629"/>
      <c r="Q3301" s="629"/>
    </row>
    <row r="3302" spans="1:17" ht="15.75" hidden="1" thickBot="1">
      <c r="A3302" s="390" t="str">
        <f t="shared" ref="A3302:B3302" si="9986">A3299</f>
        <v>PEA</v>
      </c>
      <c r="B3302" s="391" t="str">
        <f t="shared" si="9986"/>
        <v>film</v>
      </c>
      <c r="C3302" s="391">
        <f t="shared" ref="C3302" si="9987">C3301</f>
        <v>2</v>
      </c>
      <c r="D3302" s="391" t="str">
        <f t="shared" ref="D3302:E3302" si="9988">D3299</f>
        <v>1-10</v>
      </c>
      <c r="E3302" s="391">
        <f t="shared" si="9988"/>
        <v>10</v>
      </c>
      <c r="F3302" s="391" t="str">
        <f t="shared" ref="F3302:G3302" si="9989">F3301</f>
        <v>air</v>
      </c>
      <c r="G3302" s="401" t="str">
        <f t="shared" si="9989"/>
        <v>DE: PEA film 1-10 mm (emission to air)</v>
      </c>
      <c r="H3302" s="465">
        <v>0</v>
      </c>
      <c r="I3302" s="394" t="s">
        <v>1162</v>
      </c>
      <c r="J3302" s="635"/>
      <c r="K3302" s="389">
        <v>423.66071428571433</v>
      </c>
      <c r="L3302" s="536"/>
      <c r="M3302" s="509">
        <f t="shared" si="9879"/>
        <v>11.801896733403581</v>
      </c>
      <c r="N3302" s="646"/>
      <c r="O3302" s="626"/>
      <c r="P3302" s="629"/>
      <c r="Q3302" s="629"/>
    </row>
    <row r="3303" spans="1:17" ht="15.75" hidden="1" thickBot="1">
      <c r="A3303" s="390" t="str">
        <f t="shared" ref="A3303:B3303" si="9990">A3300</f>
        <v>PEA</v>
      </c>
      <c r="B3303" s="391" t="str">
        <f t="shared" si="9990"/>
        <v>film</v>
      </c>
      <c r="C3303" s="391">
        <f t="shared" ref="C3303" si="9991">C3302</f>
        <v>2</v>
      </c>
      <c r="D3303" s="391" t="str">
        <f t="shared" ref="D3303:E3303" si="9992">D3300</f>
        <v>1-10</v>
      </c>
      <c r="E3303" s="391">
        <f t="shared" si="9992"/>
        <v>10</v>
      </c>
      <c r="F3303" s="391" t="str">
        <f t="shared" ref="F3303:G3303" si="9993">F3302</f>
        <v>air</v>
      </c>
      <c r="G3303" s="401" t="str">
        <f t="shared" si="9993"/>
        <v>DE: PEA film 1-10 mm (emission to air)</v>
      </c>
      <c r="H3303" s="465">
        <v>0</v>
      </c>
      <c r="I3303" s="394" t="s">
        <v>1163</v>
      </c>
      <c r="J3303" s="635"/>
      <c r="K3303" s="389">
        <v>423.66071428571433</v>
      </c>
      <c r="L3303" s="536"/>
      <c r="M3303" s="509">
        <f t="shared" si="9879"/>
        <v>11.801896733403581</v>
      </c>
      <c r="N3303" s="646"/>
      <c r="O3303" s="626"/>
      <c r="P3303" s="629"/>
      <c r="Q3303" s="629"/>
    </row>
    <row r="3304" spans="1:17" ht="15.75" hidden="1" thickBot="1">
      <c r="A3304" s="390" t="str">
        <f t="shared" ref="A3304:B3304" si="9994">A3299</f>
        <v>PEA</v>
      </c>
      <c r="B3304" s="391" t="str">
        <f t="shared" si="9994"/>
        <v>film</v>
      </c>
      <c r="C3304" s="391">
        <f t="shared" ref="C3304" si="9995">C3303</f>
        <v>2</v>
      </c>
      <c r="D3304" s="391" t="str">
        <f t="shared" ref="D3304:E3304" si="9996">D3299</f>
        <v>1-10</v>
      </c>
      <c r="E3304" s="391">
        <f t="shared" si="9996"/>
        <v>10</v>
      </c>
      <c r="F3304" s="391" t="str">
        <f t="shared" ref="F3304:G3304" si="9997">F3303</f>
        <v>air</v>
      </c>
      <c r="G3304" s="401" t="str">
        <f t="shared" si="9997"/>
        <v>DE: PEA film 1-10 mm (emission to air)</v>
      </c>
      <c r="H3304" s="471">
        <v>0</v>
      </c>
      <c r="I3304" s="422" t="s">
        <v>1034</v>
      </c>
      <c r="J3304" s="636"/>
      <c r="K3304" s="451" t="s">
        <v>596</v>
      </c>
      <c r="L3304" s="542"/>
      <c r="M3304" s="509">
        <f t="shared" si="9879"/>
        <v>0</v>
      </c>
      <c r="N3304" s="647"/>
      <c r="O3304" s="627"/>
      <c r="P3304" s="629"/>
      <c r="Q3304" s="629"/>
    </row>
    <row r="3305" spans="1:17" ht="15.75" hidden="1" thickBot="1">
      <c r="A3305" s="405" t="s">
        <v>647</v>
      </c>
      <c r="B3305" s="406" t="s">
        <v>1151</v>
      </c>
      <c r="C3305" s="407">
        <v>4</v>
      </c>
      <c r="D3305" s="423" t="s">
        <v>1018</v>
      </c>
      <c r="E3305" s="408">
        <v>0.1</v>
      </c>
      <c r="F3305" s="424" t="s">
        <v>1019</v>
      </c>
      <c r="G3305" s="425" t="str">
        <f>CONCATENATE("DE: ",A3305," ",B3305," ",D3305," mm (emission to ",F3305,")")</f>
        <v>DE: PEA fiber 0,01-0,1 mm (emission to soil)</v>
      </c>
      <c r="H3305" s="474">
        <v>0.97</v>
      </c>
      <c r="I3305" s="427" t="s">
        <v>1153</v>
      </c>
      <c r="J3305" s="632">
        <v>0.22800000000000001</v>
      </c>
      <c r="K3305" s="428">
        <v>423.66071428571433</v>
      </c>
      <c r="L3305" s="539"/>
      <c r="M3305" s="509">
        <f t="shared" si="9879"/>
        <v>5.9009483667017908E-2</v>
      </c>
      <c r="N3305" s="645">
        <f t="shared" si="9918"/>
        <v>5.9009483667017908E-2</v>
      </c>
      <c r="O3305" s="625"/>
      <c r="P3305" s="628">
        <f t="shared" si="9943"/>
        <v>5.9009483667017908E-2</v>
      </c>
      <c r="Q3305" s="628">
        <f t="shared" si="9870"/>
        <v>5.9009483667017908E-2</v>
      </c>
    </row>
    <row r="3306" spans="1:17" ht="15.75" hidden="1" thickBot="1">
      <c r="A3306" s="390" t="str">
        <f>A3305</f>
        <v>PEA</v>
      </c>
      <c r="B3306" s="391" t="str">
        <f>B3305</f>
        <v>fiber</v>
      </c>
      <c r="C3306" s="391">
        <f t="shared" ref="C3306:G3306" si="9998">C3305</f>
        <v>4</v>
      </c>
      <c r="D3306" s="391" t="str">
        <f t="shared" si="9998"/>
        <v>0,01-0,1</v>
      </c>
      <c r="E3306" s="391">
        <f t="shared" si="9998"/>
        <v>0.1</v>
      </c>
      <c r="F3306" s="391" t="str">
        <f t="shared" si="9998"/>
        <v>soil</v>
      </c>
      <c r="G3306" s="392" t="str">
        <f t="shared" si="9998"/>
        <v>DE: PEA fiber 0,01-0,1 mm (emission to soil)</v>
      </c>
      <c r="H3306" s="465">
        <v>0.03</v>
      </c>
      <c r="I3306" s="394" t="s">
        <v>1097</v>
      </c>
      <c r="J3306" s="632"/>
      <c r="K3306" s="395">
        <v>423.66071428571433</v>
      </c>
      <c r="L3306" s="537"/>
      <c r="M3306" s="509">
        <f t="shared" si="9879"/>
        <v>5.9009483667017908E-2</v>
      </c>
      <c r="N3306" s="646"/>
      <c r="O3306" s="626"/>
      <c r="P3306" s="629"/>
      <c r="Q3306" s="629"/>
    </row>
    <row r="3307" spans="1:17" ht="15.75" hidden="1" thickBot="1">
      <c r="A3307" s="390" t="str">
        <f t="shared" ref="A3307:G3307" si="9999">A3306</f>
        <v>PEA</v>
      </c>
      <c r="B3307" s="391" t="str">
        <f t="shared" si="9999"/>
        <v>fiber</v>
      </c>
      <c r="C3307" s="391">
        <f t="shared" si="9999"/>
        <v>4</v>
      </c>
      <c r="D3307" s="391" t="str">
        <f t="shared" si="9999"/>
        <v>0,01-0,1</v>
      </c>
      <c r="E3307" s="391">
        <f t="shared" si="9999"/>
        <v>0.1</v>
      </c>
      <c r="F3307" s="391" t="str">
        <f t="shared" si="9999"/>
        <v>soil</v>
      </c>
      <c r="G3307" s="392" t="str">
        <f t="shared" si="9999"/>
        <v>DE: PEA fiber 0,01-0,1 mm (emission to soil)</v>
      </c>
      <c r="H3307" s="465">
        <v>0</v>
      </c>
      <c r="I3307" s="394" t="s">
        <v>1162</v>
      </c>
      <c r="J3307" s="632"/>
      <c r="K3307" s="395">
        <v>423.66071428571433</v>
      </c>
      <c r="L3307" s="537"/>
      <c r="M3307" s="509">
        <f t="shared" si="9879"/>
        <v>5.9009483667017908E-2</v>
      </c>
      <c r="N3307" s="646"/>
      <c r="O3307" s="626"/>
      <c r="P3307" s="629"/>
      <c r="Q3307" s="629"/>
    </row>
    <row r="3308" spans="1:17" ht="15.75" hidden="1" thickBot="1">
      <c r="A3308" s="390" t="str">
        <f t="shared" ref="A3308:G3308" si="10000">A3307</f>
        <v>PEA</v>
      </c>
      <c r="B3308" s="391" t="str">
        <f t="shared" si="10000"/>
        <v>fiber</v>
      </c>
      <c r="C3308" s="391">
        <f t="shared" si="10000"/>
        <v>4</v>
      </c>
      <c r="D3308" s="391" t="str">
        <f t="shared" si="10000"/>
        <v>0,01-0,1</v>
      </c>
      <c r="E3308" s="391">
        <f t="shared" si="10000"/>
        <v>0.1</v>
      </c>
      <c r="F3308" s="391" t="str">
        <f t="shared" si="10000"/>
        <v>soil</v>
      </c>
      <c r="G3308" s="392" t="str">
        <f t="shared" si="10000"/>
        <v>DE: PEA fiber 0,01-0,1 mm (emission to soil)</v>
      </c>
      <c r="H3308" s="465">
        <v>0</v>
      </c>
      <c r="I3308" s="394" t="s">
        <v>1163</v>
      </c>
      <c r="J3308" s="632"/>
      <c r="K3308" s="395">
        <v>423.66071428571433</v>
      </c>
      <c r="L3308" s="537"/>
      <c r="M3308" s="509">
        <f t="shared" si="9879"/>
        <v>5.9009483667017908E-2</v>
      </c>
      <c r="N3308" s="646"/>
      <c r="O3308" s="626"/>
      <c r="P3308" s="629"/>
      <c r="Q3308" s="629"/>
    </row>
    <row r="3309" spans="1:17" ht="15.75" hidden="1" thickBot="1">
      <c r="A3309" s="390" t="str">
        <f>A3306</f>
        <v>PEA</v>
      </c>
      <c r="B3309" s="391" t="str">
        <f>B3306</f>
        <v>fiber</v>
      </c>
      <c r="C3309" s="391">
        <f t="shared" ref="C3309" si="10001">C3308</f>
        <v>4</v>
      </c>
      <c r="D3309" s="391" t="str">
        <f>D3306</f>
        <v>0,01-0,1</v>
      </c>
      <c r="E3309" s="391">
        <f>E3306</f>
        <v>0.1</v>
      </c>
      <c r="F3309" s="391" t="str">
        <f>F3306</f>
        <v>soil</v>
      </c>
      <c r="G3309" s="396" t="str">
        <f t="shared" ref="G3309" si="10002">G3308</f>
        <v>DE: PEA fiber 0,01-0,1 mm (emission to soil)</v>
      </c>
      <c r="H3309" s="465">
        <v>0</v>
      </c>
      <c r="I3309" s="397" t="s">
        <v>1034</v>
      </c>
      <c r="J3309" s="633"/>
      <c r="K3309" s="398" t="s">
        <v>596</v>
      </c>
      <c r="L3309" s="538"/>
      <c r="M3309" s="509">
        <f t="shared" si="9879"/>
        <v>0</v>
      </c>
      <c r="N3309" s="647"/>
      <c r="O3309" s="627"/>
      <c r="P3309" s="629"/>
      <c r="Q3309" s="629"/>
    </row>
    <row r="3310" spans="1:17" ht="15.75" hidden="1" thickBot="1">
      <c r="A3310" s="390" t="str">
        <f t="shared" ref="A3310:B3310" si="10003">A3307</f>
        <v>PEA</v>
      </c>
      <c r="B3310" s="391" t="str">
        <f t="shared" si="10003"/>
        <v>fiber</v>
      </c>
      <c r="C3310" s="391">
        <f t="shared" ref="C3310" si="10004">C3309</f>
        <v>4</v>
      </c>
      <c r="D3310" s="399" t="str">
        <f t="shared" ref="D3310:E3310" si="10005">D3307</f>
        <v>0,01-0,1</v>
      </c>
      <c r="E3310" s="391">
        <f t="shared" si="10005"/>
        <v>0.1</v>
      </c>
      <c r="F3310" s="400" t="s">
        <v>1147</v>
      </c>
      <c r="G3310" s="386" t="str">
        <f>CONCATENATE("DE: ",A3310," ",B3310," ",D3310," mm (emission to ",F3310,")")</f>
        <v>DE: PEA fiber 0,01-0,1 mm (emission to fresh water)</v>
      </c>
      <c r="H3310" s="466">
        <v>0</v>
      </c>
      <c r="I3310" s="388" t="s">
        <v>1153</v>
      </c>
      <c r="J3310" s="634">
        <v>0.22800000000000001</v>
      </c>
      <c r="K3310" s="389">
        <v>423.66071428571433</v>
      </c>
      <c r="L3310" s="536"/>
      <c r="M3310" s="509">
        <f t="shared" si="9879"/>
        <v>5.9009483667017908E-2</v>
      </c>
      <c r="N3310" s="645">
        <f t="shared" si="9918"/>
        <v>5.9009483667017908E-2</v>
      </c>
      <c r="O3310" s="625"/>
      <c r="P3310" s="628">
        <f t="shared" si="9943"/>
        <v>5.9009483667017908E-2</v>
      </c>
      <c r="Q3310" s="628">
        <f t="shared" si="9870"/>
        <v>5.9009483667017908E-2</v>
      </c>
    </row>
    <row r="3311" spans="1:17" ht="15.75" hidden="1" thickBot="1">
      <c r="A3311" s="390" t="str">
        <f t="shared" ref="A3311:B3311" si="10006">A3308</f>
        <v>PEA</v>
      </c>
      <c r="B3311" s="391" t="str">
        <f t="shared" si="10006"/>
        <v>fiber</v>
      </c>
      <c r="C3311" s="391">
        <f t="shared" ref="C3311" si="10007">C3310</f>
        <v>4</v>
      </c>
      <c r="D3311" s="391" t="str">
        <f t="shared" ref="D3311:E3311" si="10008">D3308</f>
        <v>0,01-0,1</v>
      </c>
      <c r="E3311" s="391">
        <f t="shared" si="10008"/>
        <v>0.1</v>
      </c>
      <c r="F3311" s="391" t="str">
        <f t="shared" ref="F3311:G3311" si="10009">F3310</f>
        <v>fresh water</v>
      </c>
      <c r="G3311" s="401" t="str">
        <f t="shared" si="10009"/>
        <v>DE: PEA fiber 0,01-0,1 mm (emission to fresh water)</v>
      </c>
      <c r="H3311" s="465">
        <v>1</v>
      </c>
      <c r="I3311" s="394" t="s">
        <v>1097</v>
      </c>
      <c r="J3311" s="635"/>
      <c r="K3311" s="389">
        <v>423.66071428571433</v>
      </c>
      <c r="L3311" s="536"/>
      <c r="M3311" s="509">
        <f t="shared" si="9879"/>
        <v>5.9009483667017908E-2</v>
      </c>
      <c r="N3311" s="646"/>
      <c r="O3311" s="626"/>
      <c r="P3311" s="629"/>
      <c r="Q3311" s="629"/>
    </row>
    <row r="3312" spans="1:17" ht="15.75" hidden="1" thickBot="1">
      <c r="A3312" s="390" t="str">
        <f t="shared" ref="A3312:B3312" si="10010">A3309</f>
        <v>PEA</v>
      </c>
      <c r="B3312" s="391" t="str">
        <f t="shared" si="10010"/>
        <v>fiber</v>
      </c>
      <c r="C3312" s="391">
        <f t="shared" ref="C3312" si="10011">C3311</f>
        <v>4</v>
      </c>
      <c r="D3312" s="391" t="str">
        <f t="shared" ref="D3312:E3312" si="10012">D3309</f>
        <v>0,01-0,1</v>
      </c>
      <c r="E3312" s="391">
        <f t="shared" si="10012"/>
        <v>0.1</v>
      </c>
      <c r="F3312" s="391" t="str">
        <f t="shared" ref="F3312:G3312" si="10013">F3311</f>
        <v>fresh water</v>
      </c>
      <c r="G3312" s="401" t="str">
        <f t="shared" si="10013"/>
        <v>DE: PEA fiber 0,01-0,1 mm (emission to fresh water)</v>
      </c>
      <c r="H3312" s="465">
        <v>0</v>
      </c>
      <c r="I3312" s="394" t="s">
        <v>1162</v>
      </c>
      <c r="J3312" s="635"/>
      <c r="K3312" s="389">
        <v>423.66071428571433</v>
      </c>
      <c r="L3312" s="536"/>
      <c r="M3312" s="509">
        <f t="shared" si="9879"/>
        <v>5.9009483667017908E-2</v>
      </c>
      <c r="N3312" s="646"/>
      <c r="O3312" s="626"/>
      <c r="P3312" s="629"/>
      <c r="Q3312" s="629"/>
    </row>
    <row r="3313" spans="1:17" ht="15.75" hidden="1" thickBot="1">
      <c r="A3313" s="390" t="str">
        <f t="shared" ref="A3313:B3313" si="10014">A3310</f>
        <v>PEA</v>
      </c>
      <c r="B3313" s="391" t="str">
        <f t="shared" si="10014"/>
        <v>fiber</v>
      </c>
      <c r="C3313" s="391">
        <f t="shared" ref="C3313" si="10015">C3312</f>
        <v>4</v>
      </c>
      <c r="D3313" s="391" t="str">
        <f t="shared" ref="D3313:E3313" si="10016">D3310</f>
        <v>0,01-0,1</v>
      </c>
      <c r="E3313" s="391">
        <f t="shared" si="10016"/>
        <v>0.1</v>
      </c>
      <c r="F3313" s="391" t="str">
        <f t="shared" ref="F3313:G3313" si="10017">F3312</f>
        <v>fresh water</v>
      </c>
      <c r="G3313" s="401" t="str">
        <f t="shared" si="10017"/>
        <v>DE: PEA fiber 0,01-0,1 mm (emission to fresh water)</v>
      </c>
      <c r="H3313" s="465">
        <v>0</v>
      </c>
      <c r="I3313" s="394" t="s">
        <v>1163</v>
      </c>
      <c r="J3313" s="635"/>
      <c r="K3313" s="389">
        <v>423.66071428571433</v>
      </c>
      <c r="L3313" s="536"/>
      <c r="M3313" s="509">
        <f t="shared" si="9879"/>
        <v>5.9009483667017908E-2</v>
      </c>
      <c r="N3313" s="646"/>
      <c r="O3313" s="626"/>
      <c r="P3313" s="629"/>
      <c r="Q3313" s="629"/>
    </row>
    <row r="3314" spans="1:17" ht="15.75" hidden="1" thickBot="1">
      <c r="A3314" s="390" t="str">
        <f t="shared" ref="A3314:B3314" si="10018">A3311</f>
        <v>PEA</v>
      </c>
      <c r="B3314" s="391" t="str">
        <f t="shared" si="10018"/>
        <v>fiber</v>
      </c>
      <c r="C3314" s="391">
        <f t="shared" ref="C3314" si="10019">C3313</f>
        <v>4</v>
      </c>
      <c r="D3314" s="391" t="str">
        <f t="shared" ref="D3314:E3314" si="10020">D3311</f>
        <v>0,01-0,1</v>
      </c>
      <c r="E3314" s="391">
        <f t="shared" si="10020"/>
        <v>0.1</v>
      </c>
      <c r="F3314" s="402" t="str">
        <f>F3311</f>
        <v>fresh water</v>
      </c>
      <c r="G3314" s="401" t="str">
        <f t="shared" ref="G3314" si="10021">G3313</f>
        <v>DE: PEA fiber 0,01-0,1 mm (emission to fresh water)</v>
      </c>
      <c r="H3314" s="465">
        <v>0</v>
      </c>
      <c r="I3314" s="397" t="s">
        <v>1034</v>
      </c>
      <c r="J3314" s="654"/>
      <c r="K3314" s="398" t="s">
        <v>596</v>
      </c>
      <c r="L3314" s="538"/>
      <c r="M3314" s="509">
        <f t="shared" si="9879"/>
        <v>0</v>
      </c>
      <c r="N3314" s="647"/>
      <c r="O3314" s="627"/>
      <c r="P3314" s="629"/>
      <c r="Q3314" s="629"/>
    </row>
    <row r="3315" spans="1:17" ht="15.75" hidden="1" thickBot="1">
      <c r="A3315" s="390" t="str">
        <f t="shared" ref="A3315:B3315" si="10022">A3312</f>
        <v>PEA</v>
      </c>
      <c r="B3315" s="391" t="str">
        <f t="shared" si="10022"/>
        <v>fiber</v>
      </c>
      <c r="C3315" s="391">
        <f t="shared" ref="C3315" si="10023">C3314</f>
        <v>4</v>
      </c>
      <c r="D3315" s="391" t="str">
        <f t="shared" ref="D3315:E3315" si="10024">D3312</f>
        <v>0,01-0,1</v>
      </c>
      <c r="E3315" s="391">
        <f t="shared" si="10024"/>
        <v>0.1</v>
      </c>
      <c r="F3315" s="385" t="s">
        <v>1097</v>
      </c>
      <c r="G3315" s="422" t="str">
        <f>CONCATENATE("DE: ",A3315," ",B3315," ",D3315," mm (emission to ",F3315,")")</f>
        <v>DE: PEA fiber 0,01-0,1 mm (emission to marine water)</v>
      </c>
      <c r="H3315" s="467">
        <v>0</v>
      </c>
      <c r="I3315" s="388" t="s">
        <v>1153</v>
      </c>
      <c r="J3315" s="634">
        <v>0.22800000000000001</v>
      </c>
      <c r="K3315" s="389">
        <v>423.66071428571433</v>
      </c>
      <c r="L3315" s="536"/>
      <c r="M3315" s="509">
        <f t="shared" si="9879"/>
        <v>5.9009483667017908E-2</v>
      </c>
      <c r="N3315" s="645">
        <f t="shared" si="9918"/>
        <v>5.9009483667017908E-2</v>
      </c>
      <c r="O3315" s="625"/>
      <c r="P3315" s="628">
        <f t="shared" si="9943"/>
        <v>5.9009483667017908E-2</v>
      </c>
      <c r="Q3315" s="628">
        <f t="shared" si="9870"/>
        <v>5.9009483667017908E-2</v>
      </c>
    </row>
    <row r="3316" spans="1:17" ht="15.75" hidden="1" thickBot="1">
      <c r="A3316" s="390" t="str">
        <f t="shared" ref="A3316:B3316" si="10025">A3313</f>
        <v>PEA</v>
      </c>
      <c r="B3316" s="391" t="str">
        <f t="shared" si="10025"/>
        <v>fiber</v>
      </c>
      <c r="C3316" s="391">
        <f t="shared" ref="C3316" si="10026">C3315</f>
        <v>4</v>
      </c>
      <c r="D3316" s="391" t="str">
        <f t="shared" ref="D3316:E3316" si="10027">D3313</f>
        <v>0,01-0,1</v>
      </c>
      <c r="E3316" s="391">
        <f t="shared" si="10027"/>
        <v>0.1</v>
      </c>
      <c r="F3316" s="391" t="str">
        <f t="shared" ref="F3316:G3316" si="10028">F3315</f>
        <v>marine water</v>
      </c>
      <c r="G3316" s="401" t="str">
        <f t="shared" si="10028"/>
        <v>DE: PEA fiber 0,01-0,1 mm (emission to marine water)</v>
      </c>
      <c r="H3316" s="465">
        <v>1</v>
      </c>
      <c r="I3316" s="394" t="s">
        <v>1097</v>
      </c>
      <c r="J3316" s="635"/>
      <c r="K3316" s="389">
        <v>423.66071428571433</v>
      </c>
      <c r="L3316" s="536"/>
      <c r="M3316" s="509">
        <f t="shared" si="9879"/>
        <v>5.9009483667017908E-2</v>
      </c>
      <c r="N3316" s="646"/>
      <c r="O3316" s="626"/>
      <c r="P3316" s="629"/>
      <c r="Q3316" s="629"/>
    </row>
    <row r="3317" spans="1:17" ht="15.75" hidden="1" thickBot="1">
      <c r="A3317" s="390" t="str">
        <f t="shared" ref="A3317:B3317" si="10029">A3314</f>
        <v>PEA</v>
      </c>
      <c r="B3317" s="391" t="str">
        <f t="shared" si="10029"/>
        <v>fiber</v>
      </c>
      <c r="C3317" s="391">
        <f t="shared" ref="C3317" si="10030">C3316</f>
        <v>4</v>
      </c>
      <c r="D3317" s="391" t="str">
        <f t="shared" ref="D3317:E3317" si="10031">D3314</f>
        <v>0,01-0,1</v>
      </c>
      <c r="E3317" s="391">
        <f t="shared" si="10031"/>
        <v>0.1</v>
      </c>
      <c r="F3317" s="391" t="str">
        <f t="shared" ref="F3317:G3317" si="10032">F3316</f>
        <v>marine water</v>
      </c>
      <c r="G3317" s="401" t="str">
        <f t="shared" si="10032"/>
        <v>DE: PEA fiber 0,01-0,1 mm (emission to marine water)</v>
      </c>
      <c r="H3317" s="465">
        <v>0</v>
      </c>
      <c r="I3317" s="394" t="s">
        <v>1162</v>
      </c>
      <c r="J3317" s="635"/>
      <c r="K3317" s="389">
        <v>423.66071428571433</v>
      </c>
      <c r="L3317" s="536"/>
      <c r="M3317" s="509">
        <f t="shared" si="9879"/>
        <v>5.9009483667017908E-2</v>
      </c>
      <c r="N3317" s="646"/>
      <c r="O3317" s="626"/>
      <c r="P3317" s="629"/>
      <c r="Q3317" s="629"/>
    </row>
    <row r="3318" spans="1:17" ht="15.75" hidden="1" thickBot="1">
      <c r="A3318" s="390" t="str">
        <f t="shared" ref="A3318:B3318" si="10033">A3315</f>
        <v>PEA</v>
      </c>
      <c r="B3318" s="391" t="str">
        <f t="shared" si="10033"/>
        <v>fiber</v>
      </c>
      <c r="C3318" s="391">
        <f t="shared" ref="C3318" si="10034">C3317</f>
        <v>4</v>
      </c>
      <c r="D3318" s="391" t="str">
        <f t="shared" ref="D3318:E3318" si="10035">D3315</f>
        <v>0,01-0,1</v>
      </c>
      <c r="E3318" s="391">
        <f t="shared" si="10035"/>
        <v>0.1</v>
      </c>
      <c r="F3318" s="391" t="str">
        <f t="shared" ref="F3318:G3318" si="10036">F3317</f>
        <v>marine water</v>
      </c>
      <c r="G3318" s="401" t="str">
        <f t="shared" si="10036"/>
        <v>DE: PEA fiber 0,01-0,1 mm (emission to marine water)</v>
      </c>
      <c r="H3318" s="465">
        <v>0</v>
      </c>
      <c r="I3318" s="394" t="s">
        <v>1163</v>
      </c>
      <c r="J3318" s="635"/>
      <c r="K3318" s="389">
        <v>423.66071428571433</v>
      </c>
      <c r="L3318" s="536"/>
      <c r="M3318" s="509">
        <f t="shared" si="9879"/>
        <v>5.9009483667017908E-2</v>
      </c>
      <c r="N3318" s="646"/>
      <c r="O3318" s="626"/>
      <c r="P3318" s="629"/>
      <c r="Q3318" s="629"/>
    </row>
    <row r="3319" spans="1:17" ht="15.75" hidden="1" thickBot="1">
      <c r="A3319" s="390" t="str">
        <f t="shared" ref="A3319:B3319" si="10037">A3316</f>
        <v>PEA</v>
      </c>
      <c r="B3319" s="391" t="str">
        <f t="shared" si="10037"/>
        <v>fiber</v>
      </c>
      <c r="C3319" s="391">
        <f t="shared" ref="C3319" si="10038">C3318</f>
        <v>4</v>
      </c>
      <c r="D3319" s="391" t="str">
        <f t="shared" ref="D3319:E3319" si="10039">D3316</f>
        <v>0,01-0,1</v>
      </c>
      <c r="E3319" s="391">
        <f t="shared" si="10039"/>
        <v>0.1</v>
      </c>
      <c r="F3319" s="391" t="str">
        <f t="shared" ref="F3319:G3319" si="10040">F3318</f>
        <v>marine water</v>
      </c>
      <c r="G3319" s="401" t="str">
        <f t="shared" si="10040"/>
        <v>DE: PEA fiber 0,01-0,1 mm (emission to marine water)</v>
      </c>
      <c r="H3319" s="465">
        <v>0</v>
      </c>
      <c r="I3319" s="397" t="s">
        <v>1034</v>
      </c>
      <c r="J3319" s="654"/>
      <c r="K3319" s="398" t="s">
        <v>596</v>
      </c>
      <c r="L3319" s="538"/>
      <c r="M3319" s="509">
        <f t="shared" si="9879"/>
        <v>0</v>
      </c>
      <c r="N3319" s="647"/>
      <c r="O3319" s="627"/>
      <c r="P3319" s="629"/>
      <c r="Q3319" s="629"/>
    </row>
    <row r="3320" spans="1:17" ht="15.75" hidden="1" thickBot="1">
      <c r="A3320" s="390" t="str">
        <f t="shared" ref="A3320:B3320" si="10041">A3317</f>
        <v>PEA</v>
      </c>
      <c r="B3320" s="391" t="str">
        <f t="shared" si="10041"/>
        <v>fiber</v>
      </c>
      <c r="C3320" s="391">
        <f t="shared" ref="C3320" si="10042">C3319</f>
        <v>4</v>
      </c>
      <c r="D3320" s="391" t="str">
        <f t="shared" ref="D3320:E3320" si="10043">D3317</f>
        <v>0,01-0,1</v>
      </c>
      <c r="E3320" s="391">
        <f t="shared" si="10043"/>
        <v>0.1</v>
      </c>
      <c r="F3320" s="400" t="s">
        <v>1057</v>
      </c>
      <c r="G3320" s="422" t="str">
        <f>CONCATENATE("DE: ",A3320," ",B3320," ",D3320," mm (emission to ",F3320,")")</f>
        <v>DE: PEA fiber 0,01-0,1 mm (emission to air)</v>
      </c>
      <c r="H3320" s="467">
        <v>0.94799999999999995</v>
      </c>
      <c r="I3320" s="388" t="s">
        <v>1153</v>
      </c>
      <c r="J3320" s="634">
        <v>0.22800000000000001</v>
      </c>
      <c r="K3320" s="389">
        <v>423.66071428571433</v>
      </c>
      <c r="L3320" s="536"/>
      <c r="M3320" s="509">
        <f t="shared" si="9879"/>
        <v>5.9009483667017908E-2</v>
      </c>
      <c r="N3320" s="645">
        <f t="shared" si="9918"/>
        <v>5.9009483667017901E-2</v>
      </c>
      <c r="O3320" s="625"/>
      <c r="P3320" s="628">
        <f t="shared" si="9943"/>
        <v>5.9009483667017901E-2</v>
      </c>
      <c r="Q3320" s="628">
        <f t="shared" si="9870"/>
        <v>5.9009483667017901E-2</v>
      </c>
    </row>
    <row r="3321" spans="1:17" ht="15.75" hidden="1" thickBot="1">
      <c r="A3321" s="390" t="str">
        <f t="shared" ref="A3321:B3321" si="10044">A3318</f>
        <v>PEA</v>
      </c>
      <c r="B3321" s="391" t="str">
        <f t="shared" si="10044"/>
        <v>fiber</v>
      </c>
      <c r="C3321" s="391">
        <f t="shared" ref="C3321" si="10045">C3320</f>
        <v>4</v>
      </c>
      <c r="D3321" s="391" t="str">
        <f t="shared" ref="D3321:E3321" si="10046">D3318</f>
        <v>0,01-0,1</v>
      </c>
      <c r="E3321" s="391">
        <f t="shared" si="10046"/>
        <v>0.1</v>
      </c>
      <c r="F3321" s="391" t="str">
        <f t="shared" ref="F3321:G3321" si="10047">F3320</f>
        <v>air</v>
      </c>
      <c r="G3321" s="401" t="str">
        <f t="shared" si="10047"/>
        <v>DE: PEA fiber 0,01-0,1 mm (emission to air)</v>
      </c>
      <c r="H3321" s="465">
        <v>5.1999999999999998E-2</v>
      </c>
      <c r="I3321" s="394" t="s">
        <v>1097</v>
      </c>
      <c r="J3321" s="635"/>
      <c r="K3321" s="389">
        <v>423.66071428571433</v>
      </c>
      <c r="L3321" s="536"/>
      <c r="M3321" s="509">
        <f t="shared" si="9879"/>
        <v>5.9009483667017908E-2</v>
      </c>
      <c r="N3321" s="646"/>
      <c r="O3321" s="626"/>
      <c r="P3321" s="629"/>
      <c r="Q3321" s="629"/>
    </row>
    <row r="3322" spans="1:17" ht="15.75" hidden="1" thickBot="1">
      <c r="A3322" s="390" t="str">
        <f t="shared" ref="A3322:B3322" si="10048">A3319</f>
        <v>PEA</v>
      </c>
      <c r="B3322" s="391" t="str">
        <f t="shared" si="10048"/>
        <v>fiber</v>
      </c>
      <c r="C3322" s="391">
        <f t="shared" ref="C3322" si="10049">C3321</f>
        <v>4</v>
      </c>
      <c r="D3322" s="391" t="str">
        <f t="shared" ref="D3322:E3322" si="10050">D3319</f>
        <v>0,01-0,1</v>
      </c>
      <c r="E3322" s="391">
        <f t="shared" si="10050"/>
        <v>0.1</v>
      </c>
      <c r="F3322" s="391" t="str">
        <f t="shared" ref="F3322:G3322" si="10051">F3321</f>
        <v>air</v>
      </c>
      <c r="G3322" s="401" t="str">
        <f t="shared" si="10051"/>
        <v>DE: PEA fiber 0,01-0,1 mm (emission to air)</v>
      </c>
      <c r="H3322" s="465">
        <v>0</v>
      </c>
      <c r="I3322" s="394" t="s">
        <v>1162</v>
      </c>
      <c r="J3322" s="635"/>
      <c r="K3322" s="389">
        <v>423.66071428571433</v>
      </c>
      <c r="L3322" s="536"/>
      <c r="M3322" s="509">
        <f t="shared" si="9879"/>
        <v>5.9009483667017908E-2</v>
      </c>
      <c r="N3322" s="646"/>
      <c r="O3322" s="626"/>
      <c r="P3322" s="629"/>
      <c r="Q3322" s="629"/>
    </row>
    <row r="3323" spans="1:17" ht="15.75" hidden="1" thickBot="1">
      <c r="A3323" s="390" t="str">
        <f t="shared" ref="A3323:B3323" si="10052">A3320</f>
        <v>PEA</v>
      </c>
      <c r="B3323" s="391" t="str">
        <f t="shared" si="10052"/>
        <v>fiber</v>
      </c>
      <c r="C3323" s="391">
        <f t="shared" ref="C3323" si="10053">C3322</f>
        <v>4</v>
      </c>
      <c r="D3323" s="391" t="str">
        <f t="shared" ref="D3323:E3323" si="10054">D3320</f>
        <v>0,01-0,1</v>
      </c>
      <c r="E3323" s="391">
        <f t="shared" si="10054"/>
        <v>0.1</v>
      </c>
      <c r="F3323" s="391" t="str">
        <f t="shared" ref="F3323:G3323" si="10055">F3322</f>
        <v>air</v>
      </c>
      <c r="G3323" s="401" t="str">
        <f t="shared" si="10055"/>
        <v>DE: PEA fiber 0,01-0,1 mm (emission to air)</v>
      </c>
      <c r="H3323" s="465">
        <v>0</v>
      </c>
      <c r="I3323" s="394" t="s">
        <v>1163</v>
      </c>
      <c r="J3323" s="635"/>
      <c r="K3323" s="389">
        <v>423.66071428571433</v>
      </c>
      <c r="L3323" s="536"/>
      <c r="M3323" s="509">
        <f t="shared" si="9879"/>
        <v>5.9009483667017908E-2</v>
      </c>
      <c r="N3323" s="646"/>
      <c r="O3323" s="626"/>
      <c r="P3323" s="629"/>
      <c r="Q3323" s="629"/>
    </row>
    <row r="3324" spans="1:17" ht="15.75" hidden="1" thickBot="1">
      <c r="A3324" s="452" t="str">
        <f t="shared" ref="A3324:B3324" si="10056">A3319</f>
        <v>PEA</v>
      </c>
      <c r="B3324" s="453" t="str">
        <f t="shared" si="10056"/>
        <v>fiber</v>
      </c>
      <c r="C3324" s="453">
        <f t="shared" ref="C3324" si="10057">C3323</f>
        <v>4</v>
      </c>
      <c r="D3324" s="453" t="str">
        <f t="shared" ref="D3324:E3324" si="10058">D3319</f>
        <v>0,01-0,1</v>
      </c>
      <c r="E3324" s="453">
        <f t="shared" si="10058"/>
        <v>0.1</v>
      </c>
      <c r="F3324" s="453" t="str">
        <f t="shared" ref="F3324:G3324" si="10059">F3323</f>
        <v>air</v>
      </c>
      <c r="G3324" s="454" t="str">
        <f t="shared" si="10059"/>
        <v>DE: PEA fiber 0,01-0,1 mm (emission to air)</v>
      </c>
      <c r="H3324" s="473">
        <v>0</v>
      </c>
      <c r="I3324" s="456" t="s">
        <v>1034</v>
      </c>
      <c r="J3324" s="636"/>
      <c r="K3324" s="457" t="s">
        <v>596</v>
      </c>
      <c r="L3324" s="543"/>
      <c r="M3324" s="509">
        <f t="shared" si="9879"/>
        <v>0</v>
      </c>
      <c r="N3324" s="647"/>
      <c r="O3324" s="627"/>
      <c r="P3324" s="629"/>
      <c r="Q3324" s="629"/>
    </row>
    <row r="3325" spans="1:17" ht="15.75" hidden="1" thickBot="1">
      <c r="A3325" s="381" t="s">
        <v>647</v>
      </c>
      <c r="B3325" s="382" t="s">
        <v>1151</v>
      </c>
      <c r="C3325" s="383">
        <v>4</v>
      </c>
      <c r="D3325" s="475" t="s">
        <v>1028</v>
      </c>
      <c r="E3325" s="384">
        <v>1</v>
      </c>
      <c r="F3325" s="385" t="s">
        <v>1019</v>
      </c>
      <c r="G3325" s="386" t="str">
        <f>CONCATENATE("DE: ",A3325," ",B3325," ",D3325," mm (emission to ",F3325,")")</f>
        <v>DE: PEA fiber 0,1-1 mm (emission to soil)</v>
      </c>
      <c r="H3325" s="466">
        <v>0.97</v>
      </c>
      <c r="I3325" s="388" t="s">
        <v>1153</v>
      </c>
      <c r="J3325" s="632">
        <v>0.22800000000000001</v>
      </c>
      <c r="K3325" s="389">
        <v>423.66071428571433</v>
      </c>
      <c r="L3325" s="536"/>
      <c r="M3325" s="509">
        <f t="shared" si="9879"/>
        <v>0.59009483667017903</v>
      </c>
      <c r="N3325" s="645">
        <f t="shared" si="9918"/>
        <v>0.59009483667017903</v>
      </c>
      <c r="O3325" s="625"/>
      <c r="P3325" s="628">
        <f t="shared" si="9943"/>
        <v>0.59009483667017903</v>
      </c>
      <c r="Q3325" s="628">
        <f t="shared" si="9870"/>
        <v>0.59009483667017903</v>
      </c>
    </row>
    <row r="3326" spans="1:17" ht="15.75" hidden="1" thickBot="1">
      <c r="A3326" s="390" t="str">
        <f>A3325</f>
        <v>PEA</v>
      </c>
      <c r="B3326" s="391" t="str">
        <f>B3325</f>
        <v>fiber</v>
      </c>
      <c r="C3326" s="391">
        <f t="shared" ref="C3326:G3326" si="10060">C3325</f>
        <v>4</v>
      </c>
      <c r="D3326" s="391" t="str">
        <f t="shared" si="10060"/>
        <v>0,1-1</v>
      </c>
      <c r="E3326" s="391">
        <f t="shared" si="10060"/>
        <v>1</v>
      </c>
      <c r="F3326" s="391" t="str">
        <f t="shared" si="10060"/>
        <v>soil</v>
      </c>
      <c r="G3326" s="392" t="str">
        <f t="shared" si="10060"/>
        <v>DE: PEA fiber 0,1-1 mm (emission to soil)</v>
      </c>
      <c r="H3326" s="465">
        <v>0.03</v>
      </c>
      <c r="I3326" s="394" t="s">
        <v>1097</v>
      </c>
      <c r="J3326" s="632"/>
      <c r="K3326" s="395">
        <v>423.66071428571433</v>
      </c>
      <c r="L3326" s="537"/>
      <c r="M3326" s="509">
        <f t="shared" si="9879"/>
        <v>0.59009483667017903</v>
      </c>
      <c r="N3326" s="646"/>
      <c r="O3326" s="626"/>
      <c r="P3326" s="629"/>
      <c r="Q3326" s="629"/>
    </row>
    <row r="3327" spans="1:17" ht="15.75" hidden="1" thickBot="1">
      <c r="A3327" s="390" t="str">
        <f t="shared" ref="A3327:G3327" si="10061">A3326</f>
        <v>PEA</v>
      </c>
      <c r="B3327" s="391" t="str">
        <f t="shared" si="10061"/>
        <v>fiber</v>
      </c>
      <c r="C3327" s="391">
        <f t="shared" si="10061"/>
        <v>4</v>
      </c>
      <c r="D3327" s="391" t="str">
        <f t="shared" si="10061"/>
        <v>0,1-1</v>
      </c>
      <c r="E3327" s="391">
        <f t="shared" si="10061"/>
        <v>1</v>
      </c>
      <c r="F3327" s="391" t="str">
        <f t="shared" si="10061"/>
        <v>soil</v>
      </c>
      <c r="G3327" s="392" t="str">
        <f t="shared" si="10061"/>
        <v>DE: PEA fiber 0,1-1 mm (emission to soil)</v>
      </c>
      <c r="H3327" s="465">
        <v>0</v>
      </c>
      <c r="I3327" s="394" t="s">
        <v>1162</v>
      </c>
      <c r="J3327" s="632"/>
      <c r="K3327" s="395">
        <v>423.66071428571433</v>
      </c>
      <c r="L3327" s="537"/>
      <c r="M3327" s="509">
        <f t="shared" si="9879"/>
        <v>0.59009483667017903</v>
      </c>
      <c r="N3327" s="646"/>
      <c r="O3327" s="626"/>
      <c r="P3327" s="629"/>
      <c r="Q3327" s="629"/>
    </row>
    <row r="3328" spans="1:17" ht="15.75" hidden="1" thickBot="1">
      <c r="A3328" s="390" t="str">
        <f t="shared" ref="A3328:G3328" si="10062">A3327</f>
        <v>PEA</v>
      </c>
      <c r="B3328" s="391" t="str">
        <f t="shared" si="10062"/>
        <v>fiber</v>
      </c>
      <c r="C3328" s="391">
        <f t="shared" si="10062"/>
        <v>4</v>
      </c>
      <c r="D3328" s="391" t="str">
        <f t="shared" si="10062"/>
        <v>0,1-1</v>
      </c>
      <c r="E3328" s="391">
        <f t="shared" si="10062"/>
        <v>1</v>
      </c>
      <c r="F3328" s="391" t="str">
        <f t="shared" si="10062"/>
        <v>soil</v>
      </c>
      <c r="G3328" s="392" t="str">
        <f t="shared" si="10062"/>
        <v>DE: PEA fiber 0,1-1 mm (emission to soil)</v>
      </c>
      <c r="H3328" s="465">
        <v>0</v>
      </c>
      <c r="I3328" s="394" t="s">
        <v>1163</v>
      </c>
      <c r="J3328" s="632"/>
      <c r="K3328" s="395">
        <v>423.66071428571433</v>
      </c>
      <c r="L3328" s="537"/>
      <c r="M3328" s="509">
        <f t="shared" si="9879"/>
        <v>0.59009483667017903</v>
      </c>
      <c r="N3328" s="646"/>
      <c r="O3328" s="626"/>
      <c r="P3328" s="629"/>
      <c r="Q3328" s="629"/>
    </row>
    <row r="3329" spans="1:17" ht="15.75" hidden="1" thickBot="1">
      <c r="A3329" s="390" t="str">
        <f>A3326</f>
        <v>PEA</v>
      </c>
      <c r="B3329" s="391" t="str">
        <f>B3326</f>
        <v>fiber</v>
      </c>
      <c r="C3329" s="391">
        <f t="shared" ref="C3329" si="10063">C3328</f>
        <v>4</v>
      </c>
      <c r="D3329" s="391" t="str">
        <f>D3326</f>
        <v>0,1-1</v>
      </c>
      <c r="E3329" s="391">
        <f>E3326</f>
        <v>1</v>
      </c>
      <c r="F3329" s="391" t="str">
        <f>F3326</f>
        <v>soil</v>
      </c>
      <c r="G3329" s="396" t="str">
        <f t="shared" ref="G3329" si="10064">G3328</f>
        <v>DE: PEA fiber 0,1-1 mm (emission to soil)</v>
      </c>
      <c r="H3329" s="465">
        <v>0</v>
      </c>
      <c r="I3329" s="397" t="s">
        <v>1034</v>
      </c>
      <c r="J3329" s="633"/>
      <c r="K3329" s="398" t="s">
        <v>596</v>
      </c>
      <c r="L3329" s="538"/>
      <c r="M3329" s="509">
        <f t="shared" si="9879"/>
        <v>0</v>
      </c>
      <c r="N3329" s="647"/>
      <c r="O3329" s="627"/>
      <c r="P3329" s="629"/>
      <c r="Q3329" s="629"/>
    </row>
    <row r="3330" spans="1:17" ht="15.75" hidden="1" thickBot="1">
      <c r="A3330" s="390" t="str">
        <f t="shared" ref="A3330:B3330" si="10065">A3327</f>
        <v>PEA</v>
      </c>
      <c r="B3330" s="391" t="str">
        <f t="shared" si="10065"/>
        <v>fiber</v>
      </c>
      <c r="C3330" s="391">
        <f t="shared" ref="C3330" si="10066">C3329</f>
        <v>4</v>
      </c>
      <c r="D3330" s="399" t="str">
        <f t="shared" ref="D3330:E3330" si="10067">D3327</f>
        <v>0,1-1</v>
      </c>
      <c r="E3330" s="391">
        <f t="shared" si="10067"/>
        <v>1</v>
      </c>
      <c r="F3330" s="400" t="s">
        <v>1147</v>
      </c>
      <c r="G3330" s="386" t="str">
        <f>CONCATENATE("DE: ",A3330," ",B3330," ",D3330," mm (emission to ",F3330,")")</f>
        <v>DE: PEA fiber 0,1-1 mm (emission to fresh water)</v>
      </c>
      <c r="H3330" s="466">
        <v>0</v>
      </c>
      <c r="I3330" s="388" t="s">
        <v>1153</v>
      </c>
      <c r="J3330" s="634">
        <v>0.22800000000000001</v>
      </c>
      <c r="K3330" s="389">
        <v>423.66071428571433</v>
      </c>
      <c r="L3330" s="536"/>
      <c r="M3330" s="509">
        <f t="shared" si="9879"/>
        <v>0.59009483667017903</v>
      </c>
      <c r="N3330" s="645">
        <f t="shared" si="9918"/>
        <v>0.59009483667017903</v>
      </c>
      <c r="O3330" s="625"/>
      <c r="P3330" s="628">
        <f t="shared" si="9943"/>
        <v>0.59009483667017903</v>
      </c>
      <c r="Q3330" s="628">
        <f t="shared" ref="Q3330:Q3390" si="10068">IFERROR(IF(H3330*M3330+H3331*M3331+H3332*M3332+H3333*M3333+H3334*M3334&gt;500,500,H3330*M3330+H3331*M3331+H3332*M3332+H3333*M3333+H3334*M3334),"N.A.")</f>
        <v>0.59009483667017903</v>
      </c>
    </row>
    <row r="3331" spans="1:17" ht="15.75" hidden="1" thickBot="1">
      <c r="A3331" s="390" t="str">
        <f t="shared" ref="A3331:B3331" si="10069">A3328</f>
        <v>PEA</v>
      </c>
      <c r="B3331" s="391" t="str">
        <f t="shared" si="10069"/>
        <v>fiber</v>
      </c>
      <c r="C3331" s="391">
        <f t="shared" ref="C3331" si="10070">C3330</f>
        <v>4</v>
      </c>
      <c r="D3331" s="391" t="str">
        <f t="shared" ref="D3331:E3331" si="10071">D3328</f>
        <v>0,1-1</v>
      </c>
      <c r="E3331" s="391">
        <f t="shared" si="10071"/>
        <v>1</v>
      </c>
      <c r="F3331" s="391" t="str">
        <f t="shared" ref="F3331:G3331" si="10072">F3330</f>
        <v>fresh water</v>
      </c>
      <c r="G3331" s="401" t="str">
        <f t="shared" si="10072"/>
        <v>DE: PEA fiber 0,1-1 mm (emission to fresh water)</v>
      </c>
      <c r="H3331" s="465">
        <v>1</v>
      </c>
      <c r="I3331" s="394" t="s">
        <v>1097</v>
      </c>
      <c r="J3331" s="635"/>
      <c r="K3331" s="389">
        <v>423.66071428571433</v>
      </c>
      <c r="L3331" s="536"/>
      <c r="M3331" s="509">
        <f t="shared" si="9879"/>
        <v>0.59009483667017903</v>
      </c>
      <c r="N3331" s="646"/>
      <c r="O3331" s="626"/>
      <c r="P3331" s="629"/>
      <c r="Q3331" s="629"/>
    </row>
    <row r="3332" spans="1:17" ht="15.75" hidden="1" thickBot="1">
      <c r="A3332" s="390" t="str">
        <f t="shared" ref="A3332:B3332" si="10073">A3329</f>
        <v>PEA</v>
      </c>
      <c r="B3332" s="391" t="str">
        <f t="shared" si="10073"/>
        <v>fiber</v>
      </c>
      <c r="C3332" s="391">
        <f t="shared" ref="C3332" si="10074">C3331</f>
        <v>4</v>
      </c>
      <c r="D3332" s="391" t="str">
        <f t="shared" ref="D3332:E3332" si="10075">D3329</f>
        <v>0,1-1</v>
      </c>
      <c r="E3332" s="391">
        <f t="shared" si="10075"/>
        <v>1</v>
      </c>
      <c r="F3332" s="391" t="str">
        <f t="shared" ref="F3332:G3332" si="10076">F3331</f>
        <v>fresh water</v>
      </c>
      <c r="G3332" s="401" t="str">
        <f t="shared" si="10076"/>
        <v>DE: PEA fiber 0,1-1 mm (emission to fresh water)</v>
      </c>
      <c r="H3332" s="465">
        <v>0</v>
      </c>
      <c r="I3332" s="394" t="s">
        <v>1162</v>
      </c>
      <c r="J3332" s="635"/>
      <c r="K3332" s="389">
        <v>423.66071428571433</v>
      </c>
      <c r="L3332" s="536"/>
      <c r="M3332" s="509">
        <f t="shared" si="9879"/>
        <v>0.59009483667017903</v>
      </c>
      <c r="N3332" s="646"/>
      <c r="O3332" s="626"/>
      <c r="P3332" s="629"/>
      <c r="Q3332" s="629"/>
    </row>
    <row r="3333" spans="1:17" ht="15.75" hidden="1" thickBot="1">
      <c r="A3333" s="390" t="str">
        <f t="shared" ref="A3333:B3333" si="10077">A3330</f>
        <v>PEA</v>
      </c>
      <c r="B3333" s="391" t="str">
        <f t="shared" si="10077"/>
        <v>fiber</v>
      </c>
      <c r="C3333" s="391">
        <f t="shared" ref="C3333" si="10078">C3332</f>
        <v>4</v>
      </c>
      <c r="D3333" s="391" t="str">
        <f t="shared" ref="D3333:E3333" si="10079">D3330</f>
        <v>0,1-1</v>
      </c>
      <c r="E3333" s="391">
        <f t="shared" si="10079"/>
        <v>1</v>
      </c>
      <c r="F3333" s="391" t="str">
        <f t="shared" ref="F3333:G3333" si="10080">F3332</f>
        <v>fresh water</v>
      </c>
      <c r="G3333" s="401" t="str">
        <f t="shared" si="10080"/>
        <v>DE: PEA fiber 0,1-1 mm (emission to fresh water)</v>
      </c>
      <c r="H3333" s="465">
        <v>0</v>
      </c>
      <c r="I3333" s="394" t="s">
        <v>1163</v>
      </c>
      <c r="J3333" s="635"/>
      <c r="K3333" s="389">
        <v>423.66071428571433</v>
      </c>
      <c r="L3333" s="536"/>
      <c r="M3333" s="509">
        <f t="shared" si="9879"/>
        <v>0.59009483667017903</v>
      </c>
      <c r="N3333" s="646"/>
      <c r="O3333" s="626"/>
      <c r="P3333" s="629"/>
      <c r="Q3333" s="629"/>
    </row>
    <row r="3334" spans="1:17" ht="15.75" hidden="1" thickBot="1">
      <c r="A3334" s="390" t="str">
        <f t="shared" ref="A3334:B3334" si="10081">A3331</f>
        <v>PEA</v>
      </c>
      <c r="B3334" s="391" t="str">
        <f t="shared" si="10081"/>
        <v>fiber</v>
      </c>
      <c r="C3334" s="391">
        <f t="shared" ref="C3334" si="10082">C3333</f>
        <v>4</v>
      </c>
      <c r="D3334" s="391" t="str">
        <f t="shared" ref="D3334:E3334" si="10083">D3331</f>
        <v>0,1-1</v>
      </c>
      <c r="E3334" s="391">
        <f t="shared" si="10083"/>
        <v>1</v>
      </c>
      <c r="F3334" s="402" t="str">
        <f>F3331</f>
        <v>fresh water</v>
      </c>
      <c r="G3334" s="401" t="str">
        <f t="shared" ref="G3334" si="10084">G3333</f>
        <v>DE: PEA fiber 0,1-1 mm (emission to fresh water)</v>
      </c>
      <c r="H3334" s="465">
        <v>0</v>
      </c>
      <c r="I3334" s="397" t="s">
        <v>1034</v>
      </c>
      <c r="J3334" s="654"/>
      <c r="K3334" s="398" t="s">
        <v>596</v>
      </c>
      <c r="L3334" s="538"/>
      <c r="M3334" s="509">
        <f t="shared" ref="M3334:M3397" si="10085">IFERROR(IF(K3334="--",0,IF(E3334*1000/K3334*(1-0.5)^(C3334/2)&gt;1000,1000,E3334*1000/K3334*(1-0.5)^(C3334/2))),1000)</f>
        <v>0</v>
      </c>
      <c r="N3334" s="647"/>
      <c r="O3334" s="627"/>
      <c r="P3334" s="629"/>
      <c r="Q3334" s="629"/>
    </row>
    <row r="3335" spans="1:17" ht="15.75" hidden="1" thickBot="1">
      <c r="A3335" s="390" t="str">
        <f t="shared" ref="A3335:B3335" si="10086">A3332</f>
        <v>PEA</v>
      </c>
      <c r="B3335" s="391" t="str">
        <f t="shared" si="10086"/>
        <v>fiber</v>
      </c>
      <c r="C3335" s="391">
        <f t="shared" ref="C3335" si="10087">C3334</f>
        <v>4</v>
      </c>
      <c r="D3335" s="391" t="str">
        <f t="shared" ref="D3335:E3335" si="10088">D3332</f>
        <v>0,1-1</v>
      </c>
      <c r="E3335" s="391">
        <f t="shared" si="10088"/>
        <v>1</v>
      </c>
      <c r="F3335" s="385" t="s">
        <v>1097</v>
      </c>
      <c r="G3335" s="422" t="str">
        <f>CONCATENATE("DE: ",A3335," ",B3335," ",D3335," mm (emission to ",F3335,")")</f>
        <v>DE: PEA fiber 0,1-1 mm (emission to marine water)</v>
      </c>
      <c r="H3335" s="467">
        <v>0</v>
      </c>
      <c r="I3335" s="388" t="s">
        <v>1153</v>
      </c>
      <c r="J3335" s="634">
        <v>0.22800000000000001</v>
      </c>
      <c r="K3335" s="389">
        <v>423.66071428571433</v>
      </c>
      <c r="L3335" s="536"/>
      <c r="M3335" s="509">
        <f t="shared" si="10085"/>
        <v>0.59009483667017903</v>
      </c>
      <c r="N3335" s="645">
        <f t="shared" si="9918"/>
        <v>0.59009483667017903</v>
      </c>
      <c r="O3335" s="625"/>
      <c r="P3335" s="628">
        <f t="shared" si="9943"/>
        <v>0.59009483667017903</v>
      </c>
      <c r="Q3335" s="628">
        <f t="shared" si="10068"/>
        <v>0.59009483667017903</v>
      </c>
    </row>
    <row r="3336" spans="1:17" ht="15.75" hidden="1" thickBot="1">
      <c r="A3336" s="390" t="str">
        <f t="shared" ref="A3336:B3336" si="10089">A3333</f>
        <v>PEA</v>
      </c>
      <c r="B3336" s="391" t="str">
        <f t="shared" si="10089"/>
        <v>fiber</v>
      </c>
      <c r="C3336" s="391">
        <f t="shared" ref="C3336" si="10090">C3335</f>
        <v>4</v>
      </c>
      <c r="D3336" s="391" t="str">
        <f t="shared" ref="D3336:E3336" si="10091">D3333</f>
        <v>0,1-1</v>
      </c>
      <c r="E3336" s="391">
        <f t="shared" si="10091"/>
        <v>1</v>
      </c>
      <c r="F3336" s="391" t="str">
        <f t="shared" ref="F3336:G3336" si="10092">F3335</f>
        <v>marine water</v>
      </c>
      <c r="G3336" s="401" t="str">
        <f t="shared" si="10092"/>
        <v>DE: PEA fiber 0,1-1 mm (emission to marine water)</v>
      </c>
      <c r="H3336" s="465">
        <v>1</v>
      </c>
      <c r="I3336" s="394" t="s">
        <v>1097</v>
      </c>
      <c r="J3336" s="635"/>
      <c r="K3336" s="389">
        <v>423.66071428571433</v>
      </c>
      <c r="L3336" s="536"/>
      <c r="M3336" s="509">
        <f t="shared" si="10085"/>
        <v>0.59009483667017903</v>
      </c>
      <c r="N3336" s="646"/>
      <c r="O3336" s="626"/>
      <c r="P3336" s="629"/>
      <c r="Q3336" s="629"/>
    </row>
    <row r="3337" spans="1:17" ht="15.75" hidden="1" thickBot="1">
      <c r="A3337" s="390" t="str">
        <f t="shared" ref="A3337:B3337" si="10093">A3334</f>
        <v>PEA</v>
      </c>
      <c r="B3337" s="391" t="str">
        <f t="shared" si="10093"/>
        <v>fiber</v>
      </c>
      <c r="C3337" s="391">
        <f t="shared" ref="C3337" si="10094">C3336</f>
        <v>4</v>
      </c>
      <c r="D3337" s="391" t="str">
        <f t="shared" ref="D3337:E3337" si="10095">D3334</f>
        <v>0,1-1</v>
      </c>
      <c r="E3337" s="391">
        <f t="shared" si="10095"/>
        <v>1</v>
      </c>
      <c r="F3337" s="391" t="str">
        <f t="shared" ref="F3337:G3337" si="10096">F3336</f>
        <v>marine water</v>
      </c>
      <c r="G3337" s="401" t="str">
        <f t="shared" si="10096"/>
        <v>DE: PEA fiber 0,1-1 mm (emission to marine water)</v>
      </c>
      <c r="H3337" s="465">
        <v>0</v>
      </c>
      <c r="I3337" s="394" t="s">
        <v>1162</v>
      </c>
      <c r="J3337" s="635"/>
      <c r="K3337" s="389">
        <v>423.66071428571433</v>
      </c>
      <c r="L3337" s="536"/>
      <c r="M3337" s="509">
        <f t="shared" si="10085"/>
        <v>0.59009483667017903</v>
      </c>
      <c r="N3337" s="646"/>
      <c r="O3337" s="626"/>
      <c r="P3337" s="629"/>
      <c r="Q3337" s="629"/>
    </row>
    <row r="3338" spans="1:17" ht="15.75" hidden="1" thickBot="1">
      <c r="A3338" s="390" t="str">
        <f t="shared" ref="A3338:B3338" si="10097">A3335</f>
        <v>PEA</v>
      </c>
      <c r="B3338" s="391" t="str">
        <f t="shared" si="10097"/>
        <v>fiber</v>
      </c>
      <c r="C3338" s="391">
        <f t="shared" ref="C3338" si="10098">C3337</f>
        <v>4</v>
      </c>
      <c r="D3338" s="391" t="str">
        <f t="shared" ref="D3338:E3338" si="10099">D3335</f>
        <v>0,1-1</v>
      </c>
      <c r="E3338" s="391">
        <f t="shared" si="10099"/>
        <v>1</v>
      </c>
      <c r="F3338" s="391" t="str">
        <f t="shared" ref="F3338:G3338" si="10100">F3337</f>
        <v>marine water</v>
      </c>
      <c r="G3338" s="401" t="str">
        <f t="shared" si="10100"/>
        <v>DE: PEA fiber 0,1-1 mm (emission to marine water)</v>
      </c>
      <c r="H3338" s="465">
        <v>0</v>
      </c>
      <c r="I3338" s="394" t="s">
        <v>1163</v>
      </c>
      <c r="J3338" s="635"/>
      <c r="K3338" s="389">
        <v>423.66071428571433</v>
      </c>
      <c r="L3338" s="536"/>
      <c r="M3338" s="509">
        <f t="shared" si="10085"/>
        <v>0.59009483667017903</v>
      </c>
      <c r="N3338" s="646"/>
      <c r="O3338" s="626"/>
      <c r="P3338" s="629"/>
      <c r="Q3338" s="629"/>
    </row>
    <row r="3339" spans="1:17" ht="15.75" hidden="1" thickBot="1">
      <c r="A3339" s="390" t="str">
        <f t="shared" ref="A3339:B3339" si="10101">A3336</f>
        <v>PEA</v>
      </c>
      <c r="B3339" s="391" t="str">
        <f t="shared" si="10101"/>
        <v>fiber</v>
      </c>
      <c r="C3339" s="391">
        <f t="shared" ref="C3339" si="10102">C3338</f>
        <v>4</v>
      </c>
      <c r="D3339" s="391" t="str">
        <f t="shared" ref="D3339:E3339" si="10103">D3336</f>
        <v>0,1-1</v>
      </c>
      <c r="E3339" s="391">
        <f t="shared" si="10103"/>
        <v>1</v>
      </c>
      <c r="F3339" s="391" t="str">
        <f t="shared" ref="F3339:G3339" si="10104">F3338</f>
        <v>marine water</v>
      </c>
      <c r="G3339" s="401" t="str">
        <f t="shared" si="10104"/>
        <v>DE: PEA fiber 0,1-1 mm (emission to marine water)</v>
      </c>
      <c r="H3339" s="465">
        <v>0</v>
      </c>
      <c r="I3339" s="397" t="s">
        <v>1034</v>
      </c>
      <c r="J3339" s="654"/>
      <c r="K3339" s="398" t="s">
        <v>596</v>
      </c>
      <c r="L3339" s="538"/>
      <c r="M3339" s="509">
        <f t="shared" si="10085"/>
        <v>0</v>
      </c>
      <c r="N3339" s="647"/>
      <c r="O3339" s="627"/>
      <c r="P3339" s="629"/>
      <c r="Q3339" s="629"/>
    </row>
    <row r="3340" spans="1:17" ht="15.75" hidden="1" thickBot="1">
      <c r="A3340" s="390" t="str">
        <f t="shared" ref="A3340:B3340" si="10105">A3337</f>
        <v>PEA</v>
      </c>
      <c r="B3340" s="391" t="str">
        <f t="shared" si="10105"/>
        <v>fiber</v>
      </c>
      <c r="C3340" s="391">
        <f t="shared" ref="C3340" si="10106">C3339</f>
        <v>4</v>
      </c>
      <c r="D3340" s="391" t="str">
        <f t="shared" ref="D3340:E3340" si="10107">D3337</f>
        <v>0,1-1</v>
      </c>
      <c r="E3340" s="391">
        <f t="shared" si="10107"/>
        <v>1</v>
      </c>
      <c r="F3340" s="400" t="s">
        <v>1057</v>
      </c>
      <c r="G3340" s="422" t="str">
        <f>CONCATENATE("DE: ",A3340," ",B3340," ",D3340," mm (emission to ",F3340,")")</f>
        <v>DE: PEA fiber 0,1-1 mm (emission to air)</v>
      </c>
      <c r="H3340" s="467">
        <v>0.94799999999999995</v>
      </c>
      <c r="I3340" s="388" t="s">
        <v>1153</v>
      </c>
      <c r="J3340" s="634">
        <v>0.22800000000000001</v>
      </c>
      <c r="K3340" s="389">
        <v>423.66071428571433</v>
      </c>
      <c r="L3340" s="536"/>
      <c r="M3340" s="509">
        <f t="shared" si="10085"/>
        <v>0.59009483667017903</v>
      </c>
      <c r="N3340" s="645">
        <f t="shared" si="9918"/>
        <v>0.59009483667017892</v>
      </c>
      <c r="O3340" s="625"/>
      <c r="P3340" s="628">
        <f t="shared" si="9943"/>
        <v>0.59009483667017892</v>
      </c>
      <c r="Q3340" s="628">
        <f t="shared" si="10068"/>
        <v>0.59009483667017892</v>
      </c>
    </row>
    <row r="3341" spans="1:17" ht="15.75" hidden="1" thickBot="1">
      <c r="A3341" s="390" t="str">
        <f t="shared" ref="A3341:B3341" si="10108">A3338</f>
        <v>PEA</v>
      </c>
      <c r="B3341" s="391" t="str">
        <f t="shared" si="10108"/>
        <v>fiber</v>
      </c>
      <c r="C3341" s="391">
        <f t="shared" ref="C3341" si="10109">C3340</f>
        <v>4</v>
      </c>
      <c r="D3341" s="391" t="str">
        <f t="shared" ref="D3341:E3341" si="10110">D3338</f>
        <v>0,1-1</v>
      </c>
      <c r="E3341" s="391">
        <f t="shared" si="10110"/>
        <v>1</v>
      </c>
      <c r="F3341" s="391" t="str">
        <f t="shared" ref="F3341:G3341" si="10111">F3340</f>
        <v>air</v>
      </c>
      <c r="G3341" s="401" t="str">
        <f t="shared" si="10111"/>
        <v>DE: PEA fiber 0,1-1 mm (emission to air)</v>
      </c>
      <c r="H3341" s="465">
        <v>5.1999999999999998E-2</v>
      </c>
      <c r="I3341" s="394" t="s">
        <v>1097</v>
      </c>
      <c r="J3341" s="635"/>
      <c r="K3341" s="389">
        <v>423.66071428571433</v>
      </c>
      <c r="L3341" s="536"/>
      <c r="M3341" s="509">
        <f t="shared" si="10085"/>
        <v>0.59009483667017903</v>
      </c>
      <c r="N3341" s="646"/>
      <c r="O3341" s="626"/>
      <c r="P3341" s="629"/>
      <c r="Q3341" s="629"/>
    </row>
    <row r="3342" spans="1:17" ht="15.75" hidden="1" thickBot="1">
      <c r="A3342" s="390" t="str">
        <f t="shared" ref="A3342:B3342" si="10112">A3339</f>
        <v>PEA</v>
      </c>
      <c r="B3342" s="391" t="str">
        <f t="shared" si="10112"/>
        <v>fiber</v>
      </c>
      <c r="C3342" s="391">
        <f t="shared" ref="C3342" si="10113">C3341</f>
        <v>4</v>
      </c>
      <c r="D3342" s="391" t="str">
        <f t="shared" ref="D3342:E3342" si="10114">D3339</f>
        <v>0,1-1</v>
      </c>
      <c r="E3342" s="391">
        <f t="shared" si="10114"/>
        <v>1</v>
      </c>
      <c r="F3342" s="391" t="str">
        <f t="shared" ref="F3342:G3342" si="10115">F3341</f>
        <v>air</v>
      </c>
      <c r="G3342" s="401" t="str">
        <f t="shared" si="10115"/>
        <v>DE: PEA fiber 0,1-1 mm (emission to air)</v>
      </c>
      <c r="H3342" s="465">
        <v>0</v>
      </c>
      <c r="I3342" s="394" t="s">
        <v>1162</v>
      </c>
      <c r="J3342" s="635"/>
      <c r="K3342" s="389">
        <v>423.66071428571433</v>
      </c>
      <c r="L3342" s="536"/>
      <c r="M3342" s="509">
        <f t="shared" si="10085"/>
        <v>0.59009483667017903</v>
      </c>
      <c r="N3342" s="646"/>
      <c r="O3342" s="626"/>
      <c r="P3342" s="629"/>
      <c r="Q3342" s="629"/>
    </row>
    <row r="3343" spans="1:17" ht="15.75" hidden="1" thickBot="1">
      <c r="A3343" s="390" t="str">
        <f t="shared" ref="A3343:B3343" si="10116">A3340</f>
        <v>PEA</v>
      </c>
      <c r="B3343" s="391" t="str">
        <f t="shared" si="10116"/>
        <v>fiber</v>
      </c>
      <c r="C3343" s="391">
        <f t="shared" ref="C3343" si="10117">C3342</f>
        <v>4</v>
      </c>
      <c r="D3343" s="391" t="str">
        <f t="shared" ref="D3343:E3343" si="10118">D3340</f>
        <v>0,1-1</v>
      </c>
      <c r="E3343" s="391">
        <f t="shared" si="10118"/>
        <v>1</v>
      </c>
      <c r="F3343" s="391" t="str">
        <f t="shared" ref="F3343:G3343" si="10119">F3342</f>
        <v>air</v>
      </c>
      <c r="G3343" s="401" t="str">
        <f t="shared" si="10119"/>
        <v>DE: PEA fiber 0,1-1 mm (emission to air)</v>
      </c>
      <c r="H3343" s="465">
        <v>0</v>
      </c>
      <c r="I3343" s="394" t="s">
        <v>1163</v>
      </c>
      <c r="J3343" s="635"/>
      <c r="K3343" s="389">
        <v>423.66071428571433</v>
      </c>
      <c r="L3343" s="536"/>
      <c r="M3343" s="509">
        <f t="shared" si="10085"/>
        <v>0.59009483667017903</v>
      </c>
      <c r="N3343" s="646"/>
      <c r="O3343" s="626"/>
      <c r="P3343" s="629"/>
      <c r="Q3343" s="629"/>
    </row>
    <row r="3344" spans="1:17" ht="15.75" hidden="1" thickBot="1">
      <c r="A3344" s="390" t="str">
        <f t="shared" ref="A3344:B3344" si="10120">A3339</f>
        <v>PEA</v>
      </c>
      <c r="B3344" s="391" t="str">
        <f t="shared" si="10120"/>
        <v>fiber</v>
      </c>
      <c r="C3344" s="391">
        <f t="shared" ref="C3344" si="10121">C3343</f>
        <v>4</v>
      </c>
      <c r="D3344" s="391" t="str">
        <f t="shared" ref="D3344:E3344" si="10122">D3339</f>
        <v>0,1-1</v>
      </c>
      <c r="E3344" s="391">
        <f t="shared" si="10122"/>
        <v>1</v>
      </c>
      <c r="F3344" s="391" t="str">
        <f t="shared" ref="F3344:G3344" si="10123">F3343</f>
        <v>air</v>
      </c>
      <c r="G3344" s="401" t="str">
        <f t="shared" si="10123"/>
        <v>DE: PEA fiber 0,1-1 mm (emission to air)</v>
      </c>
      <c r="H3344" s="471">
        <v>0</v>
      </c>
      <c r="I3344" s="422" t="s">
        <v>1034</v>
      </c>
      <c r="J3344" s="636"/>
      <c r="K3344" s="451" t="s">
        <v>596</v>
      </c>
      <c r="L3344" s="542"/>
      <c r="M3344" s="509">
        <f t="shared" si="10085"/>
        <v>0</v>
      </c>
      <c r="N3344" s="647"/>
      <c r="O3344" s="627"/>
      <c r="P3344" s="629"/>
      <c r="Q3344" s="629"/>
    </row>
    <row r="3345" spans="1:17" ht="15.75" hidden="1" thickBot="1">
      <c r="A3345" s="405" t="s">
        <v>647</v>
      </c>
      <c r="B3345" s="406" t="s">
        <v>1151</v>
      </c>
      <c r="C3345" s="407">
        <v>4</v>
      </c>
      <c r="D3345" s="423" t="s">
        <v>1026</v>
      </c>
      <c r="E3345" s="408">
        <v>10</v>
      </c>
      <c r="F3345" s="424" t="s">
        <v>1019</v>
      </c>
      <c r="G3345" s="425" t="str">
        <f>CONCATENATE("DE: ",A3345," ",B3345," ",D3345," mm (emission to ",F3345,")")</f>
        <v>DE: PEA fiber 1-10 mm (emission to soil)</v>
      </c>
      <c r="H3345" s="474">
        <v>0.97</v>
      </c>
      <c r="I3345" s="427" t="s">
        <v>1153</v>
      </c>
      <c r="J3345" s="632">
        <v>0.22800000000000001</v>
      </c>
      <c r="K3345" s="428">
        <v>423.66071428571433</v>
      </c>
      <c r="L3345" s="539"/>
      <c r="M3345" s="509">
        <f t="shared" si="10085"/>
        <v>5.9009483667017903</v>
      </c>
      <c r="N3345" s="645">
        <f t="shared" ref="N3345:N3405" si="10124">IFERROR(H3345*M3345+H3346*M3346+H3347*M3347+H3348*M3348+H3349*M3349,"N.A.")</f>
        <v>5.9009483667017895</v>
      </c>
      <c r="O3345" s="625"/>
      <c r="P3345" s="628">
        <f t="shared" si="9943"/>
        <v>5.9009483667017895</v>
      </c>
      <c r="Q3345" s="628">
        <f t="shared" si="10068"/>
        <v>5.9009483667017895</v>
      </c>
    </row>
    <row r="3346" spans="1:17" ht="15.75" hidden="1" thickBot="1">
      <c r="A3346" s="390" t="str">
        <f>A3345</f>
        <v>PEA</v>
      </c>
      <c r="B3346" s="391" t="str">
        <f>B3345</f>
        <v>fiber</v>
      </c>
      <c r="C3346" s="391">
        <f t="shared" ref="C3346:G3346" si="10125">C3345</f>
        <v>4</v>
      </c>
      <c r="D3346" s="391" t="str">
        <f t="shared" si="10125"/>
        <v>1-10</v>
      </c>
      <c r="E3346" s="391">
        <f t="shared" si="10125"/>
        <v>10</v>
      </c>
      <c r="F3346" s="391" t="str">
        <f t="shared" si="10125"/>
        <v>soil</v>
      </c>
      <c r="G3346" s="392" t="str">
        <f t="shared" si="10125"/>
        <v>DE: PEA fiber 1-10 mm (emission to soil)</v>
      </c>
      <c r="H3346" s="465">
        <v>0.03</v>
      </c>
      <c r="I3346" s="394" t="s">
        <v>1097</v>
      </c>
      <c r="J3346" s="632"/>
      <c r="K3346" s="395">
        <v>423.66071428571433</v>
      </c>
      <c r="L3346" s="537"/>
      <c r="M3346" s="509">
        <f t="shared" si="10085"/>
        <v>5.9009483667017903</v>
      </c>
      <c r="N3346" s="646"/>
      <c r="O3346" s="626"/>
      <c r="P3346" s="629"/>
      <c r="Q3346" s="629"/>
    </row>
    <row r="3347" spans="1:17" ht="15.75" hidden="1" thickBot="1">
      <c r="A3347" s="390" t="str">
        <f t="shared" ref="A3347:G3347" si="10126">A3346</f>
        <v>PEA</v>
      </c>
      <c r="B3347" s="391" t="str">
        <f t="shared" si="10126"/>
        <v>fiber</v>
      </c>
      <c r="C3347" s="391">
        <f t="shared" si="10126"/>
        <v>4</v>
      </c>
      <c r="D3347" s="391" t="str">
        <f t="shared" si="10126"/>
        <v>1-10</v>
      </c>
      <c r="E3347" s="391">
        <f t="shared" si="10126"/>
        <v>10</v>
      </c>
      <c r="F3347" s="391" t="str">
        <f t="shared" si="10126"/>
        <v>soil</v>
      </c>
      <c r="G3347" s="392" t="str">
        <f t="shared" si="10126"/>
        <v>DE: PEA fiber 1-10 mm (emission to soil)</v>
      </c>
      <c r="H3347" s="465">
        <v>0</v>
      </c>
      <c r="I3347" s="394" t="s">
        <v>1162</v>
      </c>
      <c r="J3347" s="632"/>
      <c r="K3347" s="395">
        <v>423.66071428571433</v>
      </c>
      <c r="L3347" s="537"/>
      <c r="M3347" s="509">
        <f t="shared" si="10085"/>
        <v>5.9009483667017903</v>
      </c>
      <c r="N3347" s="646"/>
      <c r="O3347" s="626"/>
      <c r="P3347" s="629"/>
      <c r="Q3347" s="629"/>
    </row>
    <row r="3348" spans="1:17" ht="15.75" hidden="1" thickBot="1">
      <c r="A3348" s="390" t="str">
        <f t="shared" ref="A3348:G3348" si="10127">A3347</f>
        <v>PEA</v>
      </c>
      <c r="B3348" s="391" t="str">
        <f t="shared" si="10127"/>
        <v>fiber</v>
      </c>
      <c r="C3348" s="391">
        <f t="shared" si="10127"/>
        <v>4</v>
      </c>
      <c r="D3348" s="391" t="str">
        <f t="shared" si="10127"/>
        <v>1-10</v>
      </c>
      <c r="E3348" s="391">
        <f t="shared" si="10127"/>
        <v>10</v>
      </c>
      <c r="F3348" s="391" t="str">
        <f t="shared" si="10127"/>
        <v>soil</v>
      </c>
      <c r="G3348" s="392" t="str">
        <f t="shared" si="10127"/>
        <v>DE: PEA fiber 1-10 mm (emission to soil)</v>
      </c>
      <c r="H3348" s="465">
        <v>0</v>
      </c>
      <c r="I3348" s="394" t="s">
        <v>1163</v>
      </c>
      <c r="J3348" s="632"/>
      <c r="K3348" s="395">
        <v>423.66071428571433</v>
      </c>
      <c r="L3348" s="537"/>
      <c r="M3348" s="509">
        <f t="shared" si="10085"/>
        <v>5.9009483667017903</v>
      </c>
      <c r="N3348" s="646"/>
      <c r="O3348" s="626"/>
      <c r="P3348" s="629"/>
      <c r="Q3348" s="629"/>
    </row>
    <row r="3349" spans="1:17" ht="15.75" hidden="1" thickBot="1">
      <c r="A3349" s="390" t="str">
        <f>A3346</f>
        <v>PEA</v>
      </c>
      <c r="B3349" s="391" t="str">
        <f>B3346</f>
        <v>fiber</v>
      </c>
      <c r="C3349" s="391">
        <f t="shared" ref="C3349" si="10128">C3348</f>
        <v>4</v>
      </c>
      <c r="D3349" s="391" t="str">
        <f>D3346</f>
        <v>1-10</v>
      </c>
      <c r="E3349" s="391">
        <f>E3346</f>
        <v>10</v>
      </c>
      <c r="F3349" s="391" t="str">
        <f>F3346</f>
        <v>soil</v>
      </c>
      <c r="G3349" s="396" t="str">
        <f t="shared" ref="G3349" si="10129">G3348</f>
        <v>DE: PEA fiber 1-10 mm (emission to soil)</v>
      </c>
      <c r="H3349" s="465">
        <v>0</v>
      </c>
      <c r="I3349" s="397" t="s">
        <v>1034</v>
      </c>
      <c r="J3349" s="633"/>
      <c r="K3349" s="398" t="s">
        <v>596</v>
      </c>
      <c r="L3349" s="538"/>
      <c r="M3349" s="509">
        <f t="shared" si="10085"/>
        <v>0</v>
      </c>
      <c r="N3349" s="647"/>
      <c r="O3349" s="627"/>
      <c r="P3349" s="629"/>
      <c r="Q3349" s="629"/>
    </row>
    <row r="3350" spans="1:17" ht="15.75" hidden="1" thickBot="1">
      <c r="A3350" s="390" t="str">
        <f t="shared" ref="A3350:B3350" si="10130">A3347</f>
        <v>PEA</v>
      </c>
      <c r="B3350" s="391" t="str">
        <f t="shared" si="10130"/>
        <v>fiber</v>
      </c>
      <c r="C3350" s="391">
        <f t="shared" ref="C3350" si="10131">C3349</f>
        <v>4</v>
      </c>
      <c r="D3350" s="399" t="str">
        <f t="shared" ref="D3350:E3350" si="10132">D3347</f>
        <v>1-10</v>
      </c>
      <c r="E3350" s="391">
        <f t="shared" si="10132"/>
        <v>10</v>
      </c>
      <c r="F3350" s="400" t="s">
        <v>1147</v>
      </c>
      <c r="G3350" s="386" t="str">
        <f>CONCATENATE("DE: ",A3350," ",B3350," ",D3350," mm (emission to ",F3350,")")</f>
        <v>DE: PEA fiber 1-10 mm (emission to fresh water)</v>
      </c>
      <c r="H3350" s="466">
        <v>0</v>
      </c>
      <c r="I3350" s="388" t="s">
        <v>1153</v>
      </c>
      <c r="J3350" s="634">
        <v>0.22800000000000001</v>
      </c>
      <c r="K3350" s="389">
        <v>423.66071428571433</v>
      </c>
      <c r="L3350" s="536"/>
      <c r="M3350" s="509">
        <f t="shared" si="10085"/>
        <v>5.9009483667017903</v>
      </c>
      <c r="N3350" s="645">
        <f t="shared" si="10124"/>
        <v>5.9009483667017903</v>
      </c>
      <c r="O3350" s="625"/>
      <c r="P3350" s="628">
        <f t="shared" si="9943"/>
        <v>5.9009483667017903</v>
      </c>
      <c r="Q3350" s="628">
        <f t="shared" si="10068"/>
        <v>5.9009483667017903</v>
      </c>
    </row>
    <row r="3351" spans="1:17" ht="15.75" hidden="1" thickBot="1">
      <c r="A3351" s="390" t="str">
        <f t="shared" ref="A3351:B3351" si="10133">A3348</f>
        <v>PEA</v>
      </c>
      <c r="B3351" s="391" t="str">
        <f t="shared" si="10133"/>
        <v>fiber</v>
      </c>
      <c r="C3351" s="391">
        <f t="shared" ref="C3351" si="10134">C3350</f>
        <v>4</v>
      </c>
      <c r="D3351" s="391" t="str">
        <f t="shared" ref="D3351:E3351" si="10135">D3348</f>
        <v>1-10</v>
      </c>
      <c r="E3351" s="391">
        <f t="shared" si="10135"/>
        <v>10</v>
      </c>
      <c r="F3351" s="391" t="str">
        <f t="shared" ref="F3351:G3351" si="10136">F3350</f>
        <v>fresh water</v>
      </c>
      <c r="G3351" s="401" t="str">
        <f t="shared" si="10136"/>
        <v>DE: PEA fiber 1-10 mm (emission to fresh water)</v>
      </c>
      <c r="H3351" s="465">
        <v>1</v>
      </c>
      <c r="I3351" s="394" t="s">
        <v>1097</v>
      </c>
      <c r="J3351" s="635"/>
      <c r="K3351" s="389">
        <v>423.66071428571433</v>
      </c>
      <c r="L3351" s="536"/>
      <c r="M3351" s="509">
        <f t="shared" si="10085"/>
        <v>5.9009483667017903</v>
      </c>
      <c r="N3351" s="646"/>
      <c r="O3351" s="626"/>
      <c r="P3351" s="629"/>
      <c r="Q3351" s="629"/>
    </row>
    <row r="3352" spans="1:17" ht="15.75" hidden="1" thickBot="1">
      <c r="A3352" s="390" t="str">
        <f t="shared" ref="A3352:B3352" si="10137">A3349</f>
        <v>PEA</v>
      </c>
      <c r="B3352" s="391" t="str">
        <f t="shared" si="10137"/>
        <v>fiber</v>
      </c>
      <c r="C3352" s="391">
        <f t="shared" ref="C3352" si="10138">C3351</f>
        <v>4</v>
      </c>
      <c r="D3352" s="391" t="str">
        <f t="shared" ref="D3352:E3352" si="10139">D3349</f>
        <v>1-10</v>
      </c>
      <c r="E3352" s="391">
        <f t="shared" si="10139"/>
        <v>10</v>
      </c>
      <c r="F3352" s="391" t="str">
        <f t="shared" ref="F3352:G3352" si="10140">F3351</f>
        <v>fresh water</v>
      </c>
      <c r="G3352" s="401" t="str">
        <f t="shared" si="10140"/>
        <v>DE: PEA fiber 1-10 mm (emission to fresh water)</v>
      </c>
      <c r="H3352" s="465">
        <v>0</v>
      </c>
      <c r="I3352" s="394" t="s">
        <v>1162</v>
      </c>
      <c r="J3352" s="635"/>
      <c r="K3352" s="389">
        <v>423.66071428571433</v>
      </c>
      <c r="L3352" s="536"/>
      <c r="M3352" s="509">
        <f t="shared" si="10085"/>
        <v>5.9009483667017903</v>
      </c>
      <c r="N3352" s="646"/>
      <c r="O3352" s="626"/>
      <c r="P3352" s="629"/>
      <c r="Q3352" s="629"/>
    </row>
    <row r="3353" spans="1:17" ht="15.75" hidden="1" thickBot="1">
      <c r="A3353" s="390" t="str">
        <f t="shared" ref="A3353:B3353" si="10141">A3350</f>
        <v>PEA</v>
      </c>
      <c r="B3353" s="391" t="str">
        <f t="shared" si="10141"/>
        <v>fiber</v>
      </c>
      <c r="C3353" s="391">
        <f t="shared" ref="C3353" si="10142">C3352</f>
        <v>4</v>
      </c>
      <c r="D3353" s="391" t="str">
        <f t="shared" ref="D3353:E3353" si="10143">D3350</f>
        <v>1-10</v>
      </c>
      <c r="E3353" s="391">
        <f t="shared" si="10143"/>
        <v>10</v>
      </c>
      <c r="F3353" s="391" t="str">
        <f t="shared" ref="F3353:G3353" si="10144">F3352</f>
        <v>fresh water</v>
      </c>
      <c r="G3353" s="401" t="str">
        <f t="shared" si="10144"/>
        <v>DE: PEA fiber 1-10 mm (emission to fresh water)</v>
      </c>
      <c r="H3353" s="465">
        <v>0</v>
      </c>
      <c r="I3353" s="394" t="s">
        <v>1163</v>
      </c>
      <c r="J3353" s="635"/>
      <c r="K3353" s="389">
        <v>423.66071428571433</v>
      </c>
      <c r="L3353" s="536"/>
      <c r="M3353" s="509">
        <f t="shared" si="10085"/>
        <v>5.9009483667017903</v>
      </c>
      <c r="N3353" s="646"/>
      <c r="O3353" s="626"/>
      <c r="P3353" s="629"/>
      <c r="Q3353" s="629"/>
    </row>
    <row r="3354" spans="1:17" ht="15.75" hidden="1" thickBot="1">
      <c r="A3354" s="390" t="str">
        <f t="shared" ref="A3354:B3354" si="10145">A3351</f>
        <v>PEA</v>
      </c>
      <c r="B3354" s="391" t="str">
        <f t="shared" si="10145"/>
        <v>fiber</v>
      </c>
      <c r="C3354" s="391">
        <f t="shared" ref="C3354" si="10146">C3353</f>
        <v>4</v>
      </c>
      <c r="D3354" s="391" t="str">
        <f t="shared" ref="D3354:E3354" si="10147">D3351</f>
        <v>1-10</v>
      </c>
      <c r="E3354" s="391">
        <f t="shared" si="10147"/>
        <v>10</v>
      </c>
      <c r="F3354" s="402" t="str">
        <f>F3351</f>
        <v>fresh water</v>
      </c>
      <c r="G3354" s="401" t="str">
        <f t="shared" ref="G3354" si="10148">G3353</f>
        <v>DE: PEA fiber 1-10 mm (emission to fresh water)</v>
      </c>
      <c r="H3354" s="465">
        <v>0</v>
      </c>
      <c r="I3354" s="397" t="s">
        <v>1034</v>
      </c>
      <c r="J3354" s="654"/>
      <c r="K3354" s="398" t="s">
        <v>596</v>
      </c>
      <c r="L3354" s="538"/>
      <c r="M3354" s="509">
        <f t="shared" si="10085"/>
        <v>0</v>
      </c>
      <c r="N3354" s="647"/>
      <c r="O3354" s="627"/>
      <c r="P3354" s="629"/>
      <c r="Q3354" s="629"/>
    </row>
    <row r="3355" spans="1:17" ht="15.75" hidden="1" thickBot="1">
      <c r="A3355" s="390" t="str">
        <f t="shared" ref="A3355:B3355" si="10149">A3352</f>
        <v>PEA</v>
      </c>
      <c r="B3355" s="391" t="str">
        <f t="shared" si="10149"/>
        <v>fiber</v>
      </c>
      <c r="C3355" s="391">
        <f t="shared" ref="C3355" si="10150">C3354</f>
        <v>4</v>
      </c>
      <c r="D3355" s="391" t="str">
        <f t="shared" ref="D3355:E3355" si="10151">D3352</f>
        <v>1-10</v>
      </c>
      <c r="E3355" s="391">
        <f t="shared" si="10151"/>
        <v>10</v>
      </c>
      <c r="F3355" s="385" t="s">
        <v>1097</v>
      </c>
      <c r="G3355" s="422" t="str">
        <f>CONCATENATE("DE: ",A3355," ",B3355," ",D3355," mm (emission to ",F3355,")")</f>
        <v>DE: PEA fiber 1-10 mm (emission to marine water)</v>
      </c>
      <c r="H3355" s="467">
        <v>0</v>
      </c>
      <c r="I3355" s="388" t="s">
        <v>1153</v>
      </c>
      <c r="J3355" s="634">
        <v>0.22800000000000001</v>
      </c>
      <c r="K3355" s="389">
        <v>423.66071428571433</v>
      </c>
      <c r="L3355" s="536"/>
      <c r="M3355" s="509">
        <f t="shared" si="10085"/>
        <v>5.9009483667017903</v>
      </c>
      <c r="N3355" s="645">
        <f t="shared" si="10124"/>
        <v>5.9009483667017903</v>
      </c>
      <c r="O3355" s="625"/>
      <c r="P3355" s="628">
        <f t="shared" ref="P3355:P3415" si="10152">IFERROR(IF(H3355*M3355+H3356*M3356+H3357*M3357+H3358*M3358+H3359*M3359&gt;100,100,H3355*M3355+H3356*M3356+H3357*M3357+H3358*M3358+H3359*M3359),"N.A.")</f>
        <v>5.9009483667017903</v>
      </c>
      <c r="Q3355" s="628">
        <f t="shared" si="10068"/>
        <v>5.9009483667017903</v>
      </c>
    </row>
    <row r="3356" spans="1:17" ht="15.75" hidden="1" thickBot="1">
      <c r="A3356" s="390" t="str">
        <f t="shared" ref="A3356:B3356" si="10153">A3353</f>
        <v>PEA</v>
      </c>
      <c r="B3356" s="391" t="str">
        <f t="shared" si="10153"/>
        <v>fiber</v>
      </c>
      <c r="C3356" s="391">
        <f t="shared" ref="C3356" si="10154">C3355</f>
        <v>4</v>
      </c>
      <c r="D3356" s="391" t="str">
        <f t="shared" ref="D3356:E3356" si="10155">D3353</f>
        <v>1-10</v>
      </c>
      <c r="E3356" s="391">
        <f t="shared" si="10155"/>
        <v>10</v>
      </c>
      <c r="F3356" s="391" t="str">
        <f t="shared" ref="F3356:G3356" si="10156">F3355</f>
        <v>marine water</v>
      </c>
      <c r="G3356" s="401" t="str">
        <f t="shared" si="10156"/>
        <v>DE: PEA fiber 1-10 mm (emission to marine water)</v>
      </c>
      <c r="H3356" s="465">
        <v>1</v>
      </c>
      <c r="I3356" s="394" t="s">
        <v>1097</v>
      </c>
      <c r="J3356" s="635"/>
      <c r="K3356" s="389">
        <v>423.66071428571433</v>
      </c>
      <c r="L3356" s="536"/>
      <c r="M3356" s="509">
        <f t="shared" si="10085"/>
        <v>5.9009483667017903</v>
      </c>
      <c r="N3356" s="646"/>
      <c r="O3356" s="626"/>
      <c r="P3356" s="629"/>
      <c r="Q3356" s="629"/>
    </row>
    <row r="3357" spans="1:17" ht="15.75" hidden="1" thickBot="1">
      <c r="A3357" s="390" t="str">
        <f t="shared" ref="A3357:B3357" si="10157">A3354</f>
        <v>PEA</v>
      </c>
      <c r="B3357" s="391" t="str">
        <f t="shared" si="10157"/>
        <v>fiber</v>
      </c>
      <c r="C3357" s="391">
        <f t="shared" ref="C3357" si="10158">C3356</f>
        <v>4</v>
      </c>
      <c r="D3357" s="391" t="str">
        <f t="shared" ref="D3357:E3357" si="10159">D3354</f>
        <v>1-10</v>
      </c>
      <c r="E3357" s="391">
        <f t="shared" si="10159"/>
        <v>10</v>
      </c>
      <c r="F3357" s="391" t="str">
        <f t="shared" ref="F3357:G3357" si="10160">F3356</f>
        <v>marine water</v>
      </c>
      <c r="G3357" s="401" t="str">
        <f t="shared" si="10160"/>
        <v>DE: PEA fiber 1-10 mm (emission to marine water)</v>
      </c>
      <c r="H3357" s="465">
        <v>0</v>
      </c>
      <c r="I3357" s="394" t="s">
        <v>1162</v>
      </c>
      <c r="J3357" s="635"/>
      <c r="K3357" s="389">
        <v>423.66071428571433</v>
      </c>
      <c r="L3357" s="536"/>
      <c r="M3357" s="509">
        <f t="shared" si="10085"/>
        <v>5.9009483667017903</v>
      </c>
      <c r="N3357" s="646"/>
      <c r="O3357" s="626"/>
      <c r="P3357" s="629"/>
      <c r="Q3357" s="629"/>
    </row>
    <row r="3358" spans="1:17" ht="15.75" hidden="1" thickBot="1">
      <c r="A3358" s="390" t="str">
        <f t="shared" ref="A3358:B3358" si="10161">A3355</f>
        <v>PEA</v>
      </c>
      <c r="B3358" s="391" t="str">
        <f t="shared" si="10161"/>
        <v>fiber</v>
      </c>
      <c r="C3358" s="391">
        <f t="shared" ref="C3358" si="10162">C3357</f>
        <v>4</v>
      </c>
      <c r="D3358" s="391" t="str">
        <f t="shared" ref="D3358:E3358" si="10163">D3355</f>
        <v>1-10</v>
      </c>
      <c r="E3358" s="391">
        <f t="shared" si="10163"/>
        <v>10</v>
      </c>
      <c r="F3358" s="391" t="str">
        <f t="shared" ref="F3358:G3358" si="10164">F3357</f>
        <v>marine water</v>
      </c>
      <c r="G3358" s="401" t="str">
        <f t="shared" si="10164"/>
        <v>DE: PEA fiber 1-10 mm (emission to marine water)</v>
      </c>
      <c r="H3358" s="465">
        <v>0</v>
      </c>
      <c r="I3358" s="394" t="s">
        <v>1163</v>
      </c>
      <c r="J3358" s="635"/>
      <c r="K3358" s="389">
        <v>423.66071428571433</v>
      </c>
      <c r="L3358" s="536"/>
      <c r="M3358" s="509">
        <f t="shared" si="10085"/>
        <v>5.9009483667017903</v>
      </c>
      <c r="N3358" s="646"/>
      <c r="O3358" s="626"/>
      <c r="P3358" s="629"/>
      <c r="Q3358" s="629"/>
    </row>
    <row r="3359" spans="1:17" ht="15.75" hidden="1" thickBot="1">
      <c r="A3359" s="390" t="str">
        <f t="shared" ref="A3359:B3359" si="10165">A3356</f>
        <v>PEA</v>
      </c>
      <c r="B3359" s="391" t="str">
        <f t="shared" si="10165"/>
        <v>fiber</v>
      </c>
      <c r="C3359" s="391">
        <f t="shared" ref="C3359" si="10166">C3358</f>
        <v>4</v>
      </c>
      <c r="D3359" s="391" t="str">
        <f t="shared" ref="D3359:E3359" si="10167">D3356</f>
        <v>1-10</v>
      </c>
      <c r="E3359" s="391">
        <f t="shared" si="10167"/>
        <v>10</v>
      </c>
      <c r="F3359" s="391" t="str">
        <f t="shared" ref="F3359:G3359" si="10168">F3358</f>
        <v>marine water</v>
      </c>
      <c r="G3359" s="401" t="str">
        <f t="shared" si="10168"/>
        <v>DE: PEA fiber 1-10 mm (emission to marine water)</v>
      </c>
      <c r="H3359" s="465">
        <v>0</v>
      </c>
      <c r="I3359" s="397" t="s">
        <v>1034</v>
      </c>
      <c r="J3359" s="654"/>
      <c r="K3359" s="398" t="s">
        <v>596</v>
      </c>
      <c r="L3359" s="538"/>
      <c r="M3359" s="509">
        <f t="shared" si="10085"/>
        <v>0</v>
      </c>
      <c r="N3359" s="647"/>
      <c r="O3359" s="627"/>
      <c r="P3359" s="629"/>
      <c r="Q3359" s="629"/>
    </row>
    <row r="3360" spans="1:17" ht="15.75" hidden="1" thickBot="1">
      <c r="A3360" s="390" t="str">
        <f t="shared" ref="A3360:B3360" si="10169">A3357</f>
        <v>PEA</v>
      </c>
      <c r="B3360" s="391" t="str">
        <f t="shared" si="10169"/>
        <v>fiber</v>
      </c>
      <c r="C3360" s="391">
        <f t="shared" ref="C3360" si="10170">C3359</f>
        <v>4</v>
      </c>
      <c r="D3360" s="391" t="str">
        <f t="shared" ref="D3360:E3360" si="10171">D3357</f>
        <v>1-10</v>
      </c>
      <c r="E3360" s="391">
        <f t="shared" si="10171"/>
        <v>10</v>
      </c>
      <c r="F3360" s="400" t="s">
        <v>1057</v>
      </c>
      <c r="G3360" s="422" t="str">
        <f>CONCATENATE("DE: ",A3360," ",B3360," ",D3360," mm (emission to ",F3360,")")</f>
        <v>DE: PEA fiber 1-10 mm (emission to air)</v>
      </c>
      <c r="H3360" s="467">
        <v>0.94799999999999995</v>
      </c>
      <c r="I3360" s="388" t="s">
        <v>1153</v>
      </c>
      <c r="J3360" s="634">
        <v>0.22800000000000001</v>
      </c>
      <c r="K3360" s="389">
        <v>423.66071428571433</v>
      </c>
      <c r="L3360" s="536"/>
      <c r="M3360" s="509">
        <f t="shared" si="10085"/>
        <v>5.9009483667017903</v>
      </c>
      <c r="N3360" s="645">
        <f t="shared" si="10124"/>
        <v>5.9009483667017895</v>
      </c>
      <c r="O3360" s="625"/>
      <c r="P3360" s="628">
        <f t="shared" si="10152"/>
        <v>5.9009483667017895</v>
      </c>
      <c r="Q3360" s="628">
        <f t="shared" si="10068"/>
        <v>5.9009483667017895</v>
      </c>
    </row>
    <row r="3361" spans="1:17" ht="15.75" hidden="1" thickBot="1">
      <c r="A3361" s="390" t="str">
        <f t="shared" ref="A3361:B3361" si="10172">A3358</f>
        <v>PEA</v>
      </c>
      <c r="B3361" s="391" t="str">
        <f t="shared" si="10172"/>
        <v>fiber</v>
      </c>
      <c r="C3361" s="391">
        <f t="shared" ref="C3361" si="10173">C3360</f>
        <v>4</v>
      </c>
      <c r="D3361" s="391" t="str">
        <f t="shared" ref="D3361:E3361" si="10174">D3358</f>
        <v>1-10</v>
      </c>
      <c r="E3361" s="391">
        <f t="shared" si="10174"/>
        <v>10</v>
      </c>
      <c r="F3361" s="391" t="str">
        <f t="shared" ref="F3361:G3361" si="10175">F3360</f>
        <v>air</v>
      </c>
      <c r="G3361" s="401" t="str">
        <f t="shared" si="10175"/>
        <v>DE: PEA fiber 1-10 mm (emission to air)</v>
      </c>
      <c r="H3361" s="465">
        <v>5.1999999999999998E-2</v>
      </c>
      <c r="I3361" s="394" t="s">
        <v>1097</v>
      </c>
      <c r="J3361" s="635"/>
      <c r="K3361" s="389">
        <v>423.66071428571433</v>
      </c>
      <c r="L3361" s="536"/>
      <c r="M3361" s="509">
        <f t="shared" si="10085"/>
        <v>5.9009483667017903</v>
      </c>
      <c r="N3361" s="646"/>
      <c r="O3361" s="626"/>
      <c r="P3361" s="629"/>
      <c r="Q3361" s="629"/>
    </row>
    <row r="3362" spans="1:17" ht="15.75" hidden="1" thickBot="1">
      <c r="A3362" s="390" t="str">
        <f t="shared" ref="A3362:B3362" si="10176">A3359</f>
        <v>PEA</v>
      </c>
      <c r="B3362" s="391" t="str">
        <f t="shared" si="10176"/>
        <v>fiber</v>
      </c>
      <c r="C3362" s="391">
        <f t="shared" ref="C3362" si="10177">C3361</f>
        <v>4</v>
      </c>
      <c r="D3362" s="391" t="str">
        <f t="shared" ref="D3362:E3362" si="10178">D3359</f>
        <v>1-10</v>
      </c>
      <c r="E3362" s="391">
        <f t="shared" si="10178"/>
        <v>10</v>
      </c>
      <c r="F3362" s="391" t="str">
        <f t="shared" ref="F3362:G3362" si="10179">F3361</f>
        <v>air</v>
      </c>
      <c r="G3362" s="401" t="str">
        <f t="shared" si="10179"/>
        <v>DE: PEA fiber 1-10 mm (emission to air)</v>
      </c>
      <c r="H3362" s="465">
        <v>0</v>
      </c>
      <c r="I3362" s="394" t="s">
        <v>1162</v>
      </c>
      <c r="J3362" s="635"/>
      <c r="K3362" s="389">
        <v>423.66071428571433</v>
      </c>
      <c r="L3362" s="536"/>
      <c r="M3362" s="509">
        <f t="shared" si="10085"/>
        <v>5.9009483667017903</v>
      </c>
      <c r="N3362" s="646"/>
      <c r="O3362" s="626"/>
      <c r="P3362" s="629"/>
      <c r="Q3362" s="629"/>
    </row>
    <row r="3363" spans="1:17" ht="15.75" hidden="1" thickBot="1">
      <c r="A3363" s="390" t="str">
        <f t="shared" ref="A3363:B3363" si="10180">A3360</f>
        <v>PEA</v>
      </c>
      <c r="B3363" s="391" t="str">
        <f t="shared" si="10180"/>
        <v>fiber</v>
      </c>
      <c r="C3363" s="391">
        <f t="shared" ref="C3363" si="10181">C3362</f>
        <v>4</v>
      </c>
      <c r="D3363" s="391" t="str">
        <f t="shared" ref="D3363:E3363" si="10182">D3360</f>
        <v>1-10</v>
      </c>
      <c r="E3363" s="391">
        <f t="shared" si="10182"/>
        <v>10</v>
      </c>
      <c r="F3363" s="391" t="str">
        <f t="shared" ref="F3363:G3363" si="10183">F3362</f>
        <v>air</v>
      </c>
      <c r="G3363" s="401" t="str">
        <f t="shared" si="10183"/>
        <v>DE: PEA fiber 1-10 mm (emission to air)</v>
      </c>
      <c r="H3363" s="465">
        <v>0</v>
      </c>
      <c r="I3363" s="394" t="s">
        <v>1163</v>
      </c>
      <c r="J3363" s="635"/>
      <c r="K3363" s="389">
        <v>423.66071428571433</v>
      </c>
      <c r="L3363" s="536"/>
      <c r="M3363" s="509">
        <f t="shared" si="10085"/>
        <v>5.9009483667017903</v>
      </c>
      <c r="N3363" s="646"/>
      <c r="O3363" s="626"/>
      <c r="P3363" s="629"/>
      <c r="Q3363" s="629"/>
    </row>
    <row r="3364" spans="1:17" ht="15.75" hidden="1" thickBot="1">
      <c r="A3364" s="452" t="str">
        <f t="shared" ref="A3364:B3364" si="10184">A3359</f>
        <v>PEA</v>
      </c>
      <c r="B3364" s="453" t="str">
        <f t="shared" si="10184"/>
        <v>fiber</v>
      </c>
      <c r="C3364" s="453">
        <f t="shared" ref="C3364" si="10185">C3363</f>
        <v>4</v>
      </c>
      <c r="D3364" s="453" t="str">
        <f t="shared" ref="D3364:E3364" si="10186">D3359</f>
        <v>1-10</v>
      </c>
      <c r="E3364" s="453">
        <f t="shared" si="10186"/>
        <v>10</v>
      </c>
      <c r="F3364" s="453" t="str">
        <f t="shared" ref="F3364:G3364" si="10187">F3363</f>
        <v>air</v>
      </c>
      <c r="G3364" s="454" t="str">
        <f t="shared" si="10187"/>
        <v>DE: PEA fiber 1-10 mm (emission to air)</v>
      </c>
      <c r="H3364" s="473">
        <v>0</v>
      </c>
      <c r="I3364" s="479" t="s">
        <v>1034</v>
      </c>
      <c r="J3364" s="636"/>
      <c r="K3364" s="457" t="s">
        <v>596</v>
      </c>
      <c r="L3364" s="543"/>
      <c r="M3364" s="509">
        <f t="shared" si="10085"/>
        <v>0</v>
      </c>
      <c r="N3364" s="647"/>
      <c r="O3364" s="627"/>
      <c r="P3364" s="629"/>
      <c r="Q3364" s="629"/>
    </row>
    <row r="3365" spans="1:17" ht="15.75" hidden="1" thickBot="1">
      <c r="A3365" s="381" t="s">
        <v>647</v>
      </c>
      <c r="B3365" s="382" t="s">
        <v>1152</v>
      </c>
      <c r="C3365" s="383">
        <v>6</v>
      </c>
      <c r="D3365" s="475" t="s">
        <v>1018</v>
      </c>
      <c r="E3365" s="384">
        <v>0.1</v>
      </c>
      <c r="F3365" s="385" t="s">
        <v>1019</v>
      </c>
      <c r="G3365" s="386" t="str">
        <f>CONCATENATE("DE: ",A3365," ",B3365," ",D3365," mm (emission to ",F3365,")")</f>
        <v>DE: PEA particle 0,01-0,1 mm (emission to soil)</v>
      </c>
      <c r="H3365" s="466">
        <v>0.97</v>
      </c>
      <c r="I3365" s="388" t="s">
        <v>1153</v>
      </c>
      <c r="J3365" s="632">
        <v>0.22800000000000001</v>
      </c>
      <c r="K3365" s="389">
        <v>423.66071428571433</v>
      </c>
      <c r="L3365" s="536"/>
      <c r="M3365" s="509">
        <f t="shared" si="10085"/>
        <v>2.9504741833508954E-2</v>
      </c>
      <c r="N3365" s="645">
        <f t="shared" si="10124"/>
        <v>2.9504741833508954E-2</v>
      </c>
      <c r="O3365" s="625"/>
      <c r="P3365" s="628">
        <f t="shared" si="10152"/>
        <v>2.9504741833508954E-2</v>
      </c>
      <c r="Q3365" s="628">
        <f t="shared" si="10068"/>
        <v>2.9504741833508954E-2</v>
      </c>
    </row>
    <row r="3366" spans="1:17" ht="15.75" hidden="1" thickBot="1">
      <c r="A3366" s="390" t="str">
        <f>A3365</f>
        <v>PEA</v>
      </c>
      <c r="B3366" s="391" t="str">
        <f>B3365</f>
        <v>particle</v>
      </c>
      <c r="C3366" s="391">
        <f t="shared" ref="C3366:G3366" si="10188">C3365</f>
        <v>6</v>
      </c>
      <c r="D3366" s="391" t="str">
        <f t="shared" si="10188"/>
        <v>0,01-0,1</v>
      </c>
      <c r="E3366" s="391">
        <f t="shared" si="10188"/>
        <v>0.1</v>
      </c>
      <c r="F3366" s="391" t="str">
        <f t="shared" si="10188"/>
        <v>soil</v>
      </c>
      <c r="G3366" s="392" t="str">
        <f t="shared" si="10188"/>
        <v>DE: PEA particle 0,01-0,1 mm (emission to soil)</v>
      </c>
      <c r="H3366" s="465">
        <v>0.03</v>
      </c>
      <c r="I3366" s="394" t="s">
        <v>1097</v>
      </c>
      <c r="J3366" s="632"/>
      <c r="K3366" s="395">
        <v>423.66071428571433</v>
      </c>
      <c r="L3366" s="537"/>
      <c r="M3366" s="509">
        <f t="shared" si="10085"/>
        <v>2.9504741833508954E-2</v>
      </c>
      <c r="N3366" s="646"/>
      <c r="O3366" s="626"/>
      <c r="P3366" s="629"/>
      <c r="Q3366" s="629"/>
    </row>
    <row r="3367" spans="1:17" ht="15.75" hidden="1" thickBot="1">
      <c r="A3367" s="390" t="str">
        <f t="shared" ref="A3367:G3367" si="10189">A3366</f>
        <v>PEA</v>
      </c>
      <c r="B3367" s="391" t="str">
        <f t="shared" si="10189"/>
        <v>particle</v>
      </c>
      <c r="C3367" s="391">
        <f t="shared" si="10189"/>
        <v>6</v>
      </c>
      <c r="D3367" s="391" t="str">
        <f t="shared" si="10189"/>
        <v>0,01-0,1</v>
      </c>
      <c r="E3367" s="391">
        <f t="shared" si="10189"/>
        <v>0.1</v>
      </c>
      <c r="F3367" s="391" t="str">
        <f t="shared" si="10189"/>
        <v>soil</v>
      </c>
      <c r="G3367" s="392" t="str">
        <f t="shared" si="10189"/>
        <v>DE: PEA particle 0,01-0,1 mm (emission to soil)</v>
      </c>
      <c r="H3367" s="465">
        <v>0</v>
      </c>
      <c r="I3367" s="394" t="s">
        <v>1162</v>
      </c>
      <c r="J3367" s="632"/>
      <c r="K3367" s="395">
        <v>423.66071428571433</v>
      </c>
      <c r="L3367" s="537"/>
      <c r="M3367" s="509">
        <f t="shared" si="10085"/>
        <v>2.9504741833508954E-2</v>
      </c>
      <c r="N3367" s="646"/>
      <c r="O3367" s="626"/>
      <c r="P3367" s="629"/>
      <c r="Q3367" s="629"/>
    </row>
    <row r="3368" spans="1:17" ht="15.75" hidden="1" thickBot="1">
      <c r="A3368" s="390" t="str">
        <f t="shared" ref="A3368:G3368" si="10190">A3367</f>
        <v>PEA</v>
      </c>
      <c r="B3368" s="391" t="str">
        <f t="shared" si="10190"/>
        <v>particle</v>
      </c>
      <c r="C3368" s="391">
        <f t="shared" si="10190"/>
        <v>6</v>
      </c>
      <c r="D3368" s="391" t="str">
        <f t="shared" si="10190"/>
        <v>0,01-0,1</v>
      </c>
      <c r="E3368" s="391">
        <f t="shared" si="10190"/>
        <v>0.1</v>
      </c>
      <c r="F3368" s="391" t="str">
        <f t="shared" si="10190"/>
        <v>soil</v>
      </c>
      <c r="G3368" s="392" t="str">
        <f t="shared" si="10190"/>
        <v>DE: PEA particle 0,01-0,1 mm (emission to soil)</v>
      </c>
      <c r="H3368" s="465">
        <v>0</v>
      </c>
      <c r="I3368" s="394" t="s">
        <v>1163</v>
      </c>
      <c r="J3368" s="632"/>
      <c r="K3368" s="395">
        <v>423.66071428571433</v>
      </c>
      <c r="L3368" s="537"/>
      <c r="M3368" s="509">
        <f t="shared" si="10085"/>
        <v>2.9504741833508954E-2</v>
      </c>
      <c r="N3368" s="646"/>
      <c r="O3368" s="626"/>
      <c r="P3368" s="629"/>
      <c r="Q3368" s="629"/>
    </row>
    <row r="3369" spans="1:17" ht="15.75" hidden="1" thickBot="1">
      <c r="A3369" s="390" t="str">
        <f>A3366</f>
        <v>PEA</v>
      </c>
      <c r="B3369" s="391" t="str">
        <f>B3366</f>
        <v>particle</v>
      </c>
      <c r="C3369" s="391">
        <f t="shared" ref="C3369" si="10191">C3368</f>
        <v>6</v>
      </c>
      <c r="D3369" s="391" t="str">
        <f>D3366</f>
        <v>0,01-0,1</v>
      </c>
      <c r="E3369" s="391">
        <f>E3366</f>
        <v>0.1</v>
      </c>
      <c r="F3369" s="391" t="str">
        <f>F3366</f>
        <v>soil</v>
      </c>
      <c r="G3369" s="396" t="str">
        <f t="shared" ref="G3369" si="10192">G3368</f>
        <v>DE: PEA particle 0,01-0,1 mm (emission to soil)</v>
      </c>
      <c r="H3369" s="465">
        <v>0</v>
      </c>
      <c r="I3369" s="397" t="s">
        <v>1034</v>
      </c>
      <c r="J3369" s="633"/>
      <c r="K3369" s="398" t="s">
        <v>596</v>
      </c>
      <c r="L3369" s="538"/>
      <c r="M3369" s="509">
        <f t="shared" si="10085"/>
        <v>0</v>
      </c>
      <c r="N3369" s="647"/>
      <c r="O3369" s="627"/>
      <c r="P3369" s="629"/>
      <c r="Q3369" s="629"/>
    </row>
    <row r="3370" spans="1:17" ht="15.75" hidden="1" thickBot="1">
      <c r="A3370" s="390" t="str">
        <f t="shared" ref="A3370:B3370" si="10193">A3367</f>
        <v>PEA</v>
      </c>
      <c r="B3370" s="391" t="str">
        <f t="shared" si="10193"/>
        <v>particle</v>
      </c>
      <c r="C3370" s="391">
        <f t="shared" ref="C3370" si="10194">C3369</f>
        <v>6</v>
      </c>
      <c r="D3370" s="399" t="str">
        <f t="shared" ref="D3370:E3370" si="10195">D3367</f>
        <v>0,01-0,1</v>
      </c>
      <c r="E3370" s="391">
        <f t="shared" si="10195"/>
        <v>0.1</v>
      </c>
      <c r="F3370" s="400" t="s">
        <v>1147</v>
      </c>
      <c r="G3370" s="386" t="str">
        <f>CONCATENATE("DE: ",A3370," ",B3370," ",D3370," mm (emission to ",F3370,")")</f>
        <v>DE: PEA particle 0,01-0,1 mm (emission to fresh water)</v>
      </c>
      <c r="H3370" s="466">
        <v>0</v>
      </c>
      <c r="I3370" s="388" t="s">
        <v>1153</v>
      </c>
      <c r="J3370" s="634">
        <v>0.22800000000000001</v>
      </c>
      <c r="K3370" s="389">
        <v>423.66071428571433</v>
      </c>
      <c r="L3370" s="536"/>
      <c r="M3370" s="509">
        <f t="shared" si="10085"/>
        <v>2.9504741833508954E-2</v>
      </c>
      <c r="N3370" s="645">
        <f t="shared" si="10124"/>
        <v>2.9504741833508954E-2</v>
      </c>
      <c r="O3370" s="625"/>
      <c r="P3370" s="628">
        <f t="shared" si="10152"/>
        <v>2.9504741833508954E-2</v>
      </c>
      <c r="Q3370" s="628">
        <f t="shared" si="10068"/>
        <v>2.9504741833508954E-2</v>
      </c>
    </row>
    <row r="3371" spans="1:17" ht="15.75" hidden="1" thickBot="1">
      <c r="A3371" s="390" t="str">
        <f t="shared" ref="A3371:B3371" si="10196">A3368</f>
        <v>PEA</v>
      </c>
      <c r="B3371" s="391" t="str">
        <f t="shared" si="10196"/>
        <v>particle</v>
      </c>
      <c r="C3371" s="391">
        <f t="shared" ref="C3371" si="10197">C3370</f>
        <v>6</v>
      </c>
      <c r="D3371" s="391" t="str">
        <f t="shared" ref="D3371:E3371" si="10198">D3368</f>
        <v>0,01-0,1</v>
      </c>
      <c r="E3371" s="391">
        <f t="shared" si="10198"/>
        <v>0.1</v>
      </c>
      <c r="F3371" s="391" t="str">
        <f t="shared" ref="F3371:G3371" si="10199">F3370</f>
        <v>fresh water</v>
      </c>
      <c r="G3371" s="401" t="str">
        <f t="shared" si="10199"/>
        <v>DE: PEA particle 0,01-0,1 mm (emission to fresh water)</v>
      </c>
      <c r="H3371" s="465">
        <v>1</v>
      </c>
      <c r="I3371" s="394" t="s">
        <v>1097</v>
      </c>
      <c r="J3371" s="635"/>
      <c r="K3371" s="389">
        <v>423.66071428571433</v>
      </c>
      <c r="L3371" s="536"/>
      <c r="M3371" s="509">
        <f t="shared" si="10085"/>
        <v>2.9504741833508954E-2</v>
      </c>
      <c r="N3371" s="646"/>
      <c r="O3371" s="626"/>
      <c r="P3371" s="629"/>
      <c r="Q3371" s="629"/>
    </row>
    <row r="3372" spans="1:17" ht="15.75" hidden="1" thickBot="1">
      <c r="A3372" s="390" t="str">
        <f t="shared" ref="A3372:B3372" si="10200">A3369</f>
        <v>PEA</v>
      </c>
      <c r="B3372" s="391" t="str">
        <f t="shared" si="10200"/>
        <v>particle</v>
      </c>
      <c r="C3372" s="391">
        <f t="shared" ref="C3372" si="10201">C3371</f>
        <v>6</v>
      </c>
      <c r="D3372" s="391" t="str">
        <f t="shared" ref="D3372:E3372" si="10202">D3369</f>
        <v>0,01-0,1</v>
      </c>
      <c r="E3372" s="391">
        <f t="shared" si="10202"/>
        <v>0.1</v>
      </c>
      <c r="F3372" s="391" t="str">
        <f t="shared" ref="F3372:G3372" si="10203">F3371</f>
        <v>fresh water</v>
      </c>
      <c r="G3372" s="401" t="str">
        <f t="shared" si="10203"/>
        <v>DE: PEA particle 0,01-0,1 mm (emission to fresh water)</v>
      </c>
      <c r="H3372" s="465">
        <v>0</v>
      </c>
      <c r="I3372" s="394" t="s">
        <v>1162</v>
      </c>
      <c r="J3372" s="635"/>
      <c r="K3372" s="389">
        <v>423.66071428571433</v>
      </c>
      <c r="L3372" s="536"/>
      <c r="M3372" s="509">
        <f t="shared" si="10085"/>
        <v>2.9504741833508954E-2</v>
      </c>
      <c r="N3372" s="646"/>
      <c r="O3372" s="626"/>
      <c r="P3372" s="629"/>
      <c r="Q3372" s="629"/>
    </row>
    <row r="3373" spans="1:17" ht="15.75" hidden="1" thickBot="1">
      <c r="A3373" s="390" t="str">
        <f t="shared" ref="A3373:B3373" si="10204">A3370</f>
        <v>PEA</v>
      </c>
      <c r="B3373" s="391" t="str">
        <f t="shared" si="10204"/>
        <v>particle</v>
      </c>
      <c r="C3373" s="391">
        <f t="shared" ref="C3373" si="10205">C3372</f>
        <v>6</v>
      </c>
      <c r="D3373" s="391" t="str">
        <f t="shared" ref="D3373:E3373" si="10206">D3370</f>
        <v>0,01-0,1</v>
      </c>
      <c r="E3373" s="391">
        <f t="shared" si="10206"/>
        <v>0.1</v>
      </c>
      <c r="F3373" s="391" t="str">
        <f t="shared" ref="F3373:G3373" si="10207">F3372</f>
        <v>fresh water</v>
      </c>
      <c r="G3373" s="401" t="str">
        <f t="shared" si="10207"/>
        <v>DE: PEA particle 0,01-0,1 mm (emission to fresh water)</v>
      </c>
      <c r="H3373" s="465">
        <v>0</v>
      </c>
      <c r="I3373" s="394" t="s">
        <v>1163</v>
      </c>
      <c r="J3373" s="635"/>
      <c r="K3373" s="389">
        <v>423.66071428571433</v>
      </c>
      <c r="L3373" s="536"/>
      <c r="M3373" s="509">
        <f t="shared" si="10085"/>
        <v>2.9504741833508954E-2</v>
      </c>
      <c r="N3373" s="646"/>
      <c r="O3373" s="626"/>
      <c r="P3373" s="629"/>
      <c r="Q3373" s="629"/>
    </row>
    <row r="3374" spans="1:17" ht="15.75" hidden="1" thickBot="1">
      <c r="A3374" s="390" t="str">
        <f t="shared" ref="A3374:B3374" si="10208">A3371</f>
        <v>PEA</v>
      </c>
      <c r="B3374" s="391" t="str">
        <f t="shared" si="10208"/>
        <v>particle</v>
      </c>
      <c r="C3374" s="391">
        <f t="shared" ref="C3374" si="10209">C3373</f>
        <v>6</v>
      </c>
      <c r="D3374" s="391" t="str">
        <f t="shared" ref="D3374:E3374" si="10210">D3371</f>
        <v>0,01-0,1</v>
      </c>
      <c r="E3374" s="391">
        <f t="shared" si="10210"/>
        <v>0.1</v>
      </c>
      <c r="F3374" s="402" t="str">
        <f>F3371</f>
        <v>fresh water</v>
      </c>
      <c r="G3374" s="401" t="str">
        <f t="shared" ref="G3374" si="10211">G3373</f>
        <v>DE: PEA particle 0,01-0,1 mm (emission to fresh water)</v>
      </c>
      <c r="H3374" s="465">
        <v>0</v>
      </c>
      <c r="I3374" s="397" t="s">
        <v>1034</v>
      </c>
      <c r="J3374" s="654"/>
      <c r="K3374" s="398" t="s">
        <v>596</v>
      </c>
      <c r="L3374" s="538"/>
      <c r="M3374" s="509">
        <f t="shared" si="10085"/>
        <v>0</v>
      </c>
      <c r="N3374" s="647"/>
      <c r="O3374" s="627"/>
      <c r="P3374" s="629"/>
      <c r="Q3374" s="629"/>
    </row>
    <row r="3375" spans="1:17" ht="15.75" hidden="1" thickBot="1">
      <c r="A3375" s="390" t="str">
        <f t="shared" ref="A3375:B3375" si="10212">A3372</f>
        <v>PEA</v>
      </c>
      <c r="B3375" s="391" t="str">
        <f t="shared" si="10212"/>
        <v>particle</v>
      </c>
      <c r="C3375" s="391">
        <f t="shared" ref="C3375" si="10213">C3374</f>
        <v>6</v>
      </c>
      <c r="D3375" s="391" t="str">
        <f t="shared" ref="D3375:E3375" si="10214">D3372</f>
        <v>0,01-0,1</v>
      </c>
      <c r="E3375" s="391">
        <f t="shared" si="10214"/>
        <v>0.1</v>
      </c>
      <c r="F3375" s="385" t="s">
        <v>1097</v>
      </c>
      <c r="G3375" s="422" t="str">
        <f>CONCATENATE("DE: ",A3375," ",B3375," ",D3375," mm (emission to ",F3375,")")</f>
        <v>DE: PEA particle 0,01-0,1 mm (emission to marine water)</v>
      </c>
      <c r="H3375" s="467">
        <v>0</v>
      </c>
      <c r="I3375" s="388" t="s">
        <v>1153</v>
      </c>
      <c r="J3375" s="634">
        <v>0.22800000000000001</v>
      </c>
      <c r="K3375" s="389">
        <v>423.66071428571433</v>
      </c>
      <c r="L3375" s="536"/>
      <c r="M3375" s="509">
        <f t="shared" si="10085"/>
        <v>2.9504741833508954E-2</v>
      </c>
      <c r="N3375" s="645">
        <f t="shared" si="10124"/>
        <v>2.9504741833508954E-2</v>
      </c>
      <c r="O3375" s="625"/>
      <c r="P3375" s="628">
        <f t="shared" si="10152"/>
        <v>2.9504741833508954E-2</v>
      </c>
      <c r="Q3375" s="628">
        <f t="shared" si="10068"/>
        <v>2.9504741833508954E-2</v>
      </c>
    </row>
    <row r="3376" spans="1:17" ht="15.75" hidden="1" thickBot="1">
      <c r="A3376" s="390" t="str">
        <f t="shared" ref="A3376:B3376" si="10215">A3373</f>
        <v>PEA</v>
      </c>
      <c r="B3376" s="391" t="str">
        <f t="shared" si="10215"/>
        <v>particle</v>
      </c>
      <c r="C3376" s="391">
        <f t="shared" ref="C3376" si="10216">C3375</f>
        <v>6</v>
      </c>
      <c r="D3376" s="391" t="str">
        <f t="shared" ref="D3376:E3376" si="10217">D3373</f>
        <v>0,01-0,1</v>
      </c>
      <c r="E3376" s="391">
        <f t="shared" si="10217"/>
        <v>0.1</v>
      </c>
      <c r="F3376" s="391" t="str">
        <f t="shared" ref="F3376:G3376" si="10218">F3375</f>
        <v>marine water</v>
      </c>
      <c r="G3376" s="401" t="str">
        <f t="shared" si="10218"/>
        <v>DE: PEA particle 0,01-0,1 mm (emission to marine water)</v>
      </c>
      <c r="H3376" s="465">
        <v>1</v>
      </c>
      <c r="I3376" s="394" t="s">
        <v>1097</v>
      </c>
      <c r="J3376" s="635"/>
      <c r="K3376" s="389">
        <v>423.66071428571433</v>
      </c>
      <c r="L3376" s="536"/>
      <c r="M3376" s="509">
        <f t="shared" si="10085"/>
        <v>2.9504741833508954E-2</v>
      </c>
      <c r="N3376" s="646"/>
      <c r="O3376" s="626"/>
      <c r="P3376" s="629"/>
      <c r="Q3376" s="629"/>
    </row>
    <row r="3377" spans="1:17" ht="15.75" hidden="1" thickBot="1">
      <c r="A3377" s="390" t="str">
        <f t="shared" ref="A3377:B3377" si="10219">A3374</f>
        <v>PEA</v>
      </c>
      <c r="B3377" s="391" t="str">
        <f t="shared" si="10219"/>
        <v>particle</v>
      </c>
      <c r="C3377" s="391">
        <f t="shared" ref="C3377" si="10220">C3376</f>
        <v>6</v>
      </c>
      <c r="D3377" s="391" t="str">
        <f t="shared" ref="D3377:E3377" si="10221">D3374</f>
        <v>0,01-0,1</v>
      </c>
      <c r="E3377" s="391">
        <f t="shared" si="10221"/>
        <v>0.1</v>
      </c>
      <c r="F3377" s="391" t="str">
        <f t="shared" ref="F3377:G3377" si="10222">F3376</f>
        <v>marine water</v>
      </c>
      <c r="G3377" s="401" t="str">
        <f t="shared" si="10222"/>
        <v>DE: PEA particle 0,01-0,1 mm (emission to marine water)</v>
      </c>
      <c r="H3377" s="465">
        <v>0</v>
      </c>
      <c r="I3377" s="394" t="s">
        <v>1162</v>
      </c>
      <c r="J3377" s="635"/>
      <c r="K3377" s="389">
        <v>423.66071428571433</v>
      </c>
      <c r="L3377" s="536"/>
      <c r="M3377" s="509">
        <f t="shared" si="10085"/>
        <v>2.9504741833508954E-2</v>
      </c>
      <c r="N3377" s="646"/>
      <c r="O3377" s="626"/>
      <c r="P3377" s="629"/>
      <c r="Q3377" s="629"/>
    </row>
    <row r="3378" spans="1:17" ht="15.75" hidden="1" thickBot="1">
      <c r="A3378" s="390" t="str">
        <f t="shared" ref="A3378:B3378" si="10223">A3375</f>
        <v>PEA</v>
      </c>
      <c r="B3378" s="391" t="str">
        <f t="shared" si="10223"/>
        <v>particle</v>
      </c>
      <c r="C3378" s="391">
        <f t="shared" ref="C3378" si="10224">C3377</f>
        <v>6</v>
      </c>
      <c r="D3378" s="391" t="str">
        <f t="shared" ref="D3378:E3378" si="10225">D3375</f>
        <v>0,01-0,1</v>
      </c>
      <c r="E3378" s="391">
        <f t="shared" si="10225"/>
        <v>0.1</v>
      </c>
      <c r="F3378" s="391" t="str">
        <f t="shared" ref="F3378:G3378" si="10226">F3377</f>
        <v>marine water</v>
      </c>
      <c r="G3378" s="401" t="str">
        <f t="shared" si="10226"/>
        <v>DE: PEA particle 0,01-0,1 mm (emission to marine water)</v>
      </c>
      <c r="H3378" s="465">
        <v>0</v>
      </c>
      <c r="I3378" s="394" t="s">
        <v>1163</v>
      </c>
      <c r="J3378" s="635"/>
      <c r="K3378" s="389">
        <v>423.66071428571433</v>
      </c>
      <c r="L3378" s="536"/>
      <c r="M3378" s="509">
        <f t="shared" si="10085"/>
        <v>2.9504741833508954E-2</v>
      </c>
      <c r="N3378" s="646"/>
      <c r="O3378" s="626"/>
      <c r="P3378" s="629"/>
      <c r="Q3378" s="629"/>
    </row>
    <row r="3379" spans="1:17" ht="15.75" hidden="1" thickBot="1">
      <c r="A3379" s="390" t="str">
        <f t="shared" ref="A3379:B3379" si="10227">A3376</f>
        <v>PEA</v>
      </c>
      <c r="B3379" s="391" t="str">
        <f t="shared" si="10227"/>
        <v>particle</v>
      </c>
      <c r="C3379" s="391">
        <f t="shared" ref="C3379" si="10228">C3378</f>
        <v>6</v>
      </c>
      <c r="D3379" s="391" t="str">
        <f t="shared" ref="D3379:E3379" si="10229">D3376</f>
        <v>0,01-0,1</v>
      </c>
      <c r="E3379" s="391">
        <f t="shared" si="10229"/>
        <v>0.1</v>
      </c>
      <c r="F3379" s="391" t="str">
        <f t="shared" ref="F3379:G3379" si="10230">F3378</f>
        <v>marine water</v>
      </c>
      <c r="G3379" s="401" t="str">
        <f t="shared" si="10230"/>
        <v>DE: PEA particle 0,01-0,1 mm (emission to marine water)</v>
      </c>
      <c r="H3379" s="465">
        <v>0</v>
      </c>
      <c r="I3379" s="397" t="s">
        <v>1034</v>
      </c>
      <c r="J3379" s="654"/>
      <c r="K3379" s="398" t="s">
        <v>596</v>
      </c>
      <c r="L3379" s="538"/>
      <c r="M3379" s="509">
        <f t="shared" si="10085"/>
        <v>0</v>
      </c>
      <c r="N3379" s="647"/>
      <c r="O3379" s="627"/>
      <c r="P3379" s="629"/>
      <c r="Q3379" s="629"/>
    </row>
    <row r="3380" spans="1:17" ht="15.75" hidden="1" thickBot="1">
      <c r="A3380" s="390" t="str">
        <f t="shared" ref="A3380:B3380" si="10231">A3377</f>
        <v>PEA</v>
      </c>
      <c r="B3380" s="391" t="str">
        <f t="shared" si="10231"/>
        <v>particle</v>
      </c>
      <c r="C3380" s="391">
        <f t="shared" ref="C3380" si="10232">C3379</f>
        <v>6</v>
      </c>
      <c r="D3380" s="391" t="str">
        <f t="shared" ref="D3380:E3380" si="10233">D3377</f>
        <v>0,01-0,1</v>
      </c>
      <c r="E3380" s="391">
        <f t="shared" si="10233"/>
        <v>0.1</v>
      </c>
      <c r="F3380" s="400" t="s">
        <v>1057</v>
      </c>
      <c r="G3380" s="422" t="str">
        <f>CONCATENATE("DE: ",A3380," ",B3380," ",D3380," mm (emission to ",F3380,")")</f>
        <v>DE: PEA particle 0,01-0,1 mm (emission to air)</v>
      </c>
      <c r="H3380" s="467">
        <v>0.94799999999999995</v>
      </c>
      <c r="I3380" s="388" t="s">
        <v>1153</v>
      </c>
      <c r="J3380" s="634">
        <v>0.22800000000000001</v>
      </c>
      <c r="K3380" s="389">
        <v>423.66071428571433</v>
      </c>
      <c r="L3380" s="536"/>
      <c r="M3380" s="509">
        <f t="shared" si="10085"/>
        <v>2.9504741833508954E-2</v>
      </c>
      <c r="N3380" s="645">
        <f t="shared" si="10124"/>
        <v>2.950474183350895E-2</v>
      </c>
      <c r="O3380" s="625"/>
      <c r="P3380" s="628">
        <f t="shared" si="10152"/>
        <v>2.950474183350895E-2</v>
      </c>
      <c r="Q3380" s="628">
        <f t="shared" si="10068"/>
        <v>2.950474183350895E-2</v>
      </c>
    </row>
    <row r="3381" spans="1:17" ht="15.75" hidden="1" thickBot="1">
      <c r="A3381" s="390" t="str">
        <f t="shared" ref="A3381:B3381" si="10234">A3378</f>
        <v>PEA</v>
      </c>
      <c r="B3381" s="391" t="str">
        <f t="shared" si="10234"/>
        <v>particle</v>
      </c>
      <c r="C3381" s="391">
        <f t="shared" ref="C3381" si="10235">C3380</f>
        <v>6</v>
      </c>
      <c r="D3381" s="391" t="str">
        <f t="shared" ref="D3381:E3381" si="10236">D3378</f>
        <v>0,01-0,1</v>
      </c>
      <c r="E3381" s="391">
        <f t="shared" si="10236"/>
        <v>0.1</v>
      </c>
      <c r="F3381" s="391" t="str">
        <f t="shared" ref="F3381:G3381" si="10237">F3380</f>
        <v>air</v>
      </c>
      <c r="G3381" s="401" t="str">
        <f t="shared" si="10237"/>
        <v>DE: PEA particle 0,01-0,1 mm (emission to air)</v>
      </c>
      <c r="H3381" s="465">
        <v>5.1999999999999998E-2</v>
      </c>
      <c r="I3381" s="394" t="s">
        <v>1097</v>
      </c>
      <c r="J3381" s="635"/>
      <c r="K3381" s="389">
        <v>423.66071428571433</v>
      </c>
      <c r="L3381" s="536"/>
      <c r="M3381" s="509">
        <f t="shared" si="10085"/>
        <v>2.9504741833508954E-2</v>
      </c>
      <c r="N3381" s="646"/>
      <c r="O3381" s="626"/>
      <c r="P3381" s="629"/>
      <c r="Q3381" s="629"/>
    </row>
    <row r="3382" spans="1:17" ht="15.75" hidden="1" thickBot="1">
      <c r="A3382" s="390" t="str">
        <f t="shared" ref="A3382:B3382" si="10238">A3379</f>
        <v>PEA</v>
      </c>
      <c r="B3382" s="391" t="str">
        <f t="shared" si="10238"/>
        <v>particle</v>
      </c>
      <c r="C3382" s="391">
        <f t="shared" ref="C3382" si="10239">C3381</f>
        <v>6</v>
      </c>
      <c r="D3382" s="391" t="str">
        <f t="shared" ref="D3382:E3382" si="10240">D3379</f>
        <v>0,01-0,1</v>
      </c>
      <c r="E3382" s="391">
        <f t="shared" si="10240"/>
        <v>0.1</v>
      </c>
      <c r="F3382" s="391" t="str">
        <f t="shared" ref="F3382:G3382" si="10241">F3381</f>
        <v>air</v>
      </c>
      <c r="G3382" s="401" t="str">
        <f t="shared" si="10241"/>
        <v>DE: PEA particle 0,01-0,1 mm (emission to air)</v>
      </c>
      <c r="H3382" s="465">
        <v>0</v>
      </c>
      <c r="I3382" s="394" t="s">
        <v>1162</v>
      </c>
      <c r="J3382" s="635"/>
      <c r="K3382" s="389">
        <v>423.66071428571433</v>
      </c>
      <c r="L3382" s="536"/>
      <c r="M3382" s="509">
        <f t="shared" si="10085"/>
        <v>2.9504741833508954E-2</v>
      </c>
      <c r="N3382" s="646"/>
      <c r="O3382" s="626"/>
      <c r="P3382" s="629"/>
      <c r="Q3382" s="629"/>
    </row>
    <row r="3383" spans="1:17" ht="15.75" hidden="1" thickBot="1">
      <c r="A3383" s="390" t="str">
        <f t="shared" ref="A3383:B3383" si="10242">A3380</f>
        <v>PEA</v>
      </c>
      <c r="B3383" s="391" t="str">
        <f t="shared" si="10242"/>
        <v>particle</v>
      </c>
      <c r="C3383" s="391">
        <f t="shared" ref="C3383" si="10243">C3382</f>
        <v>6</v>
      </c>
      <c r="D3383" s="391" t="str">
        <f t="shared" ref="D3383:E3383" si="10244">D3380</f>
        <v>0,01-0,1</v>
      </c>
      <c r="E3383" s="391">
        <f t="shared" si="10244"/>
        <v>0.1</v>
      </c>
      <c r="F3383" s="391" t="str">
        <f t="shared" ref="F3383:G3383" si="10245">F3382</f>
        <v>air</v>
      </c>
      <c r="G3383" s="401" t="str">
        <f t="shared" si="10245"/>
        <v>DE: PEA particle 0,01-0,1 mm (emission to air)</v>
      </c>
      <c r="H3383" s="465">
        <v>0</v>
      </c>
      <c r="I3383" s="394" t="s">
        <v>1163</v>
      </c>
      <c r="J3383" s="635"/>
      <c r="K3383" s="389">
        <v>423.66071428571433</v>
      </c>
      <c r="L3383" s="536"/>
      <c r="M3383" s="509">
        <f t="shared" si="10085"/>
        <v>2.9504741833508954E-2</v>
      </c>
      <c r="N3383" s="646"/>
      <c r="O3383" s="626"/>
      <c r="P3383" s="629"/>
      <c r="Q3383" s="629"/>
    </row>
    <row r="3384" spans="1:17" ht="15.75" hidden="1" thickBot="1">
      <c r="A3384" s="390" t="str">
        <f t="shared" ref="A3384:B3384" si="10246">A3379</f>
        <v>PEA</v>
      </c>
      <c r="B3384" s="391" t="str">
        <f t="shared" si="10246"/>
        <v>particle</v>
      </c>
      <c r="C3384" s="391">
        <f t="shared" ref="C3384" si="10247">C3383</f>
        <v>6</v>
      </c>
      <c r="D3384" s="391" t="str">
        <f t="shared" ref="D3384:E3384" si="10248">D3379</f>
        <v>0,01-0,1</v>
      </c>
      <c r="E3384" s="391">
        <f t="shared" si="10248"/>
        <v>0.1</v>
      </c>
      <c r="F3384" s="391" t="str">
        <f t="shared" ref="F3384:G3384" si="10249">F3383</f>
        <v>air</v>
      </c>
      <c r="G3384" s="401" t="str">
        <f t="shared" si="10249"/>
        <v>DE: PEA particle 0,01-0,1 mm (emission to air)</v>
      </c>
      <c r="H3384" s="471">
        <v>0</v>
      </c>
      <c r="I3384" s="422" t="s">
        <v>1034</v>
      </c>
      <c r="J3384" s="636"/>
      <c r="K3384" s="451" t="s">
        <v>596</v>
      </c>
      <c r="L3384" s="542"/>
      <c r="M3384" s="509">
        <f t="shared" si="10085"/>
        <v>0</v>
      </c>
      <c r="N3384" s="647"/>
      <c r="O3384" s="627"/>
      <c r="P3384" s="629"/>
      <c r="Q3384" s="629"/>
    </row>
    <row r="3385" spans="1:17" ht="15.75" hidden="1" thickBot="1">
      <c r="A3385" s="405" t="s">
        <v>647</v>
      </c>
      <c r="B3385" s="406" t="s">
        <v>1152</v>
      </c>
      <c r="C3385" s="407">
        <v>6</v>
      </c>
      <c r="D3385" s="423" t="s">
        <v>1028</v>
      </c>
      <c r="E3385" s="408">
        <v>1</v>
      </c>
      <c r="F3385" s="424" t="s">
        <v>1019</v>
      </c>
      <c r="G3385" s="425" t="str">
        <f>CONCATENATE("DE: ",A3385," ",B3385," ",D3385," mm (emission to ",F3385,")")</f>
        <v>DE: PEA particle 0,1-1 mm (emission to soil)</v>
      </c>
      <c r="H3385" s="474">
        <v>0.97</v>
      </c>
      <c r="I3385" s="427" t="s">
        <v>1153</v>
      </c>
      <c r="J3385" s="632">
        <v>0.22800000000000001</v>
      </c>
      <c r="K3385" s="428">
        <v>423.66071428571433</v>
      </c>
      <c r="L3385" s="539"/>
      <c r="M3385" s="509">
        <f t="shared" si="10085"/>
        <v>0.29504741833508952</v>
      </c>
      <c r="N3385" s="645">
        <f t="shared" si="10124"/>
        <v>0.29504741833508952</v>
      </c>
      <c r="O3385" s="625"/>
      <c r="P3385" s="628">
        <f t="shared" si="10152"/>
        <v>0.29504741833508952</v>
      </c>
      <c r="Q3385" s="628">
        <f t="shared" si="10068"/>
        <v>0.29504741833508952</v>
      </c>
    </row>
    <row r="3386" spans="1:17" ht="15.75" hidden="1" thickBot="1">
      <c r="A3386" s="390" t="str">
        <f>A3385</f>
        <v>PEA</v>
      </c>
      <c r="B3386" s="391" t="str">
        <f>B3385</f>
        <v>particle</v>
      </c>
      <c r="C3386" s="391">
        <f t="shared" ref="C3386:G3386" si="10250">C3385</f>
        <v>6</v>
      </c>
      <c r="D3386" s="391" t="str">
        <f t="shared" si="10250"/>
        <v>0,1-1</v>
      </c>
      <c r="E3386" s="391">
        <f t="shared" si="10250"/>
        <v>1</v>
      </c>
      <c r="F3386" s="391" t="str">
        <f t="shared" si="10250"/>
        <v>soil</v>
      </c>
      <c r="G3386" s="392" t="str">
        <f t="shared" si="10250"/>
        <v>DE: PEA particle 0,1-1 mm (emission to soil)</v>
      </c>
      <c r="H3386" s="465">
        <v>0.03</v>
      </c>
      <c r="I3386" s="394" t="s">
        <v>1097</v>
      </c>
      <c r="J3386" s="632"/>
      <c r="K3386" s="395">
        <v>423.66071428571433</v>
      </c>
      <c r="L3386" s="537"/>
      <c r="M3386" s="509">
        <f t="shared" si="10085"/>
        <v>0.29504741833508952</v>
      </c>
      <c r="N3386" s="646"/>
      <c r="O3386" s="626"/>
      <c r="P3386" s="629"/>
      <c r="Q3386" s="629"/>
    </row>
    <row r="3387" spans="1:17" ht="15.75" hidden="1" thickBot="1">
      <c r="A3387" s="390" t="str">
        <f t="shared" ref="A3387:G3387" si="10251">A3386</f>
        <v>PEA</v>
      </c>
      <c r="B3387" s="391" t="str">
        <f t="shared" si="10251"/>
        <v>particle</v>
      </c>
      <c r="C3387" s="391">
        <f t="shared" si="10251"/>
        <v>6</v>
      </c>
      <c r="D3387" s="391" t="str">
        <f t="shared" si="10251"/>
        <v>0,1-1</v>
      </c>
      <c r="E3387" s="391">
        <f t="shared" si="10251"/>
        <v>1</v>
      </c>
      <c r="F3387" s="391" t="str">
        <f t="shared" si="10251"/>
        <v>soil</v>
      </c>
      <c r="G3387" s="392" t="str">
        <f t="shared" si="10251"/>
        <v>DE: PEA particle 0,1-1 mm (emission to soil)</v>
      </c>
      <c r="H3387" s="465">
        <v>0</v>
      </c>
      <c r="I3387" s="394" t="s">
        <v>1162</v>
      </c>
      <c r="J3387" s="632"/>
      <c r="K3387" s="395">
        <v>423.66071428571433</v>
      </c>
      <c r="L3387" s="537"/>
      <c r="M3387" s="509">
        <f t="shared" si="10085"/>
        <v>0.29504741833508952</v>
      </c>
      <c r="N3387" s="646"/>
      <c r="O3387" s="626"/>
      <c r="P3387" s="629"/>
      <c r="Q3387" s="629"/>
    </row>
    <row r="3388" spans="1:17" ht="15.75" hidden="1" thickBot="1">
      <c r="A3388" s="390" t="str">
        <f t="shared" ref="A3388:G3388" si="10252">A3387</f>
        <v>PEA</v>
      </c>
      <c r="B3388" s="391" t="str">
        <f t="shared" si="10252"/>
        <v>particle</v>
      </c>
      <c r="C3388" s="391">
        <f t="shared" si="10252"/>
        <v>6</v>
      </c>
      <c r="D3388" s="391" t="str">
        <f t="shared" si="10252"/>
        <v>0,1-1</v>
      </c>
      <c r="E3388" s="391">
        <f t="shared" si="10252"/>
        <v>1</v>
      </c>
      <c r="F3388" s="391" t="str">
        <f t="shared" si="10252"/>
        <v>soil</v>
      </c>
      <c r="G3388" s="392" t="str">
        <f t="shared" si="10252"/>
        <v>DE: PEA particle 0,1-1 mm (emission to soil)</v>
      </c>
      <c r="H3388" s="465">
        <v>0</v>
      </c>
      <c r="I3388" s="394" t="s">
        <v>1163</v>
      </c>
      <c r="J3388" s="632"/>
      <c r="K3388" s="395">
        <v>423.66071428571433</v>
      </c>
      <c r="L3388" s="537"/>
      <c r="M3388" s="509">
        <f t="shared" si="10085"/>
        <v>0.29504741833508952</v>
      </c>
      <c r="N3388" s="646"/>
      <c r="O3388" s="626"/>
      <c r="P3388" s="629"/>
      <c r="Q3388" s="629"/>
    </row>
    <row r="3389" spans="1:17" ht="15.75" hidden="1" thickBot="1">
      <c r="A3389" s="390" t="str">
        <f>A3386</f>
        <v>PEA</v>
      </c>
      <c r="B3389" s="391" t="str">
        <f>B3386</f>
        <v>particle</v>
      </c>
      <c r="C3389" s="391">
        <f t="shared" ref="C3389" si="10253">C3388</f>
        <v>6</v>
      </c>
      <c r="D3389" s="391" t="str">
        <f>D3386</f>
        <v>0,1-1</v>
      </c>
      <c r="E3389" s="391">
        <f>E3386</f>
        <v>1</v>
      </c>
      <c r="F3389" s="391" t="str">
        <f>F3386</f>
        <v>soil</v>
      </c>
      <c r="G3389" s="396" t="str">
        <f t="shared" ref="G3389" si="10254">G3388</f>
        <v>DE: PEA particle 0,1-1 mm (emission to soil)</v>
      </c>
      <c r="H3389" s="465">
        <v>0</v>
      </c>
      <c r="I3389" s="397" t="s">
        <v>1034</v>
      </c>
      <c r="J3389" s="633"/>
      <c r="K3389" s="398" t="s">
        <v>596</v>
      </c>
      <c r="L3389" s="538"/>
      <c r="M3389" s="509">
        <f t="shared" si="10085"/>
        <v>0</v>
      </c>
      <c r="N3389" s="647"/>
      <c r="O3389" s="627"/>
      <c r="P3389" s="629"/>
      <c r="Q3389" s="629"/>
    </row>
    <row r="3390" spans="1:17" ht="15.75" hidden="1" thickBot="1">
      <c r="A3390" s="390" t="str">
        <f t="shared" ref="A3390:B3390" si="10255">A3387</f>
        <v>PEA</v>
      </c>
      <c r="B3390" s="391" t="str">
        <f t="shared" si="10255"/>
        <v>particle</v>
      </c>
      <c r="C3390" s="391">
        <f t="shared" ref="C3390" si="10256">C3389</f>
        <v>6</v>
      </c>
      <c r="D3390" s="399" t="str">
        <f t="shared" ref="D3390:E3390" si="10257">D3387</f>
        <v>0,1-1</v>
      </c>
      <c r="E3390" s="391">
        <f t="shared" si="10257"/>
        <v>1</v>
      </c>
      <c r="F3390" s="400" t="s">
        <v>1147</v>
      </c>
      <c r="G3390" s="386" t="str">
        <f>CONCATENATE("DE: ",A3390," ",B3390," ",D3390," mm (emission to ",F3390,")")</f>
        <v>DE: PEA particle 0,1-1 mm (emission to fresh water)</v>
      </c>
      <c r="H3390" s="466">
        <v>0</v>
      </c>
      <c r="I3390" s="388" t="s">
        <v>1153</v>
      </c>
      <c r="J3390" s="634">
        <v>0.22800000000000001</v>
      </c>
      <c r="K3390" s="389">
        <v>423.66071428571433</v>
      </c>
      <c r="L3390" s="536"/>
      <c r="M3390" s="509">
        <f t="shared" si="10085"/>
        <v>0.29504741833508952</v>
      </c>
      <c r="N3390" s="645">
        <f t="shared" si="10124"/>
        <v>0.29504741833508952</v>
      </c>
      <c r="O3390" s="625"/>
      <c r="P3390" s="628">
        <f t="shared" si="10152"/>
        <v>0.29504741833508952</v>
      </c>
      <c r="Q3390" s="628">
        <f t="shared" si="10068"/>
        <v>0.29504741833508952</v>
      </c>
    </row>
    <row r="3391" spans="1:17" ht="15.75" hidden="1" thickBot="1">
      <c r="A3391" s="390" t="str">
        <f t="shared" ref="A3391:B3391" si="10258">A3388</f>
        <v>PEA</v>
      </c>
      <c r="B3391" s="391" t="str">
        <f t="shared" si="10258"/>
        <v>particle</v>
      </c>
      <c r="C3391" s="391">
        <f t="shared" ref="C3391" si="10259">C3390</f>
        <v>6</v>
      </c>
      <c r="D3391" s="391" t="str">
        <f t="shared" ref="D3391:E3391" si="10260">D3388</f>
        <v>0,1-1</v>
      </c>
      <c r="E3391" s="391">
        <f t="shared" si="10260"/>
        <v>1</v>
      </c>
      <c r="F3391" s="391" t="str">
        <f t="shared" ref="F3391:G3391" si="10261">F3390</f>
        <v>fresh water</v>
      </c>
      <c r="G3391" s="401" t="str">
        <f t="shared" si="10261"/>
        <v>DE: PEA particle 0,1-1 mm (emission to fresh water)</v>
      </c>
      <c r="H3391" s="465">
        <v>1</v>
      </c>
      <c r="I3391" s="394" t="s">
        <v>1097</v>
      </c>
      <c r="J3391" s="635"/>
      <c r="K3391" s="389">
        <v>423.66071428571433</v>
      </c>
      <c r="L3391" s="536"/>
      <c r="M3391" s="509">
        <f t="shared" si="10085"/>
        <v>0.29504741833508952</v>
      </c>
      <c r="N3391" s="646"/>
      <c r="O3391" s="626"/>
      <c r="P3391" s="629"/>
      <c r="Q3391" s="629"/>
    </row>
    <row r="3392" spans="1:17" ht="15.75" hidden="1" thickBot="1">
      <c r="A3392" s="390" t="str">
        <f t="shared" ref="A3392:B3392" si="10262">A3389</f>
        <v>PEA</v>
      </c>
      <c r="B3392" s="391" t="str">
        <f t="shared" si="10262"/>
        <v>particle</v>
      </c>
      <c r="C3392" s="391">
        <f t="shared" ref="C3392" si="10263">C3391</f>
        <v>6</v>
      </c>
      <c r="D3392" s="391" t="str">
        <f t="shared" ref="D3392:E3392" si="10264">D3389</f>
        <v>0,1-1</v>
      </c>
      <c r="E3392" s="391">
        <f t="shared" si="10264"/>
        <v>1</v>
      </c>
      <c r="F3392" s="391" t="str">
        <f t="shared" ref="F3392:G3392" si="10265">F3391</f>
        <v>fresh water</v>
      </c>
      <c r="G3392" s="401" t="str">
        <f t="shared" si="10265"/>
        <v>DE: PEA particle 0,1-1 mm (emission to fresh water)</v>
      </c>
      <c r="H3392" s="465">
        <v>0</v>
      </c>
      <c r="I3392" s="394" t="s">
        <v>1162</v>
      </c>
      <c r="J3392" s="635"/>
      <c r="K3392" s="389">
        <v>423.66071428571433</v>
      </c>
      <c r="L3392" s="536"/>
      <c r="M3392" s="509">
        <f t="shared" si="10085"/>
        <v>0.29504741833508952</v>
      </c>
      <c r="N3392" s="646"/>
      <c r="O3392" s="626"/>
      <c r="P3392" s="629"/>
      <c r="Q3392" s="629"/>
    </row>
    <row r="3393" spans="1:17" ht="15.75" hidden="1" thickBot="1">
      <c r="A3393" s="390" t="str">
        <f t="shared" ref="A3393:B3393" si="10266">A3390</f>
        <v>PEA</v>
      </c>
      <c r="B3393" s="391" t="str">
        <f t="shared" si="10266"/>
        <v>particle</v>
      </c>
      <c r="C3393" s="391">
        <f t="shared" ref="C3393" si="10267">C3392</f>
        <v>6</v>
      </c>
      <c r="D3393" s="391" t="str">
        <f t="shared" ref="D3393:E3393" si="10268">D3390</f>
        <v>0,1-1</v>
      </c>
      <c r="E3393" s="391">
        <f t="shared" si="10268"/>
        <v>1</v>
      </c>
      <c r="F3393" s="391" t="str">
        <f t="shared" ref="F3393:G3393" si="10269">F3392</f>
        <v>fresh water</v>
      </c>
      <c r="G3393" s="401" t="str">
        <f t="shared" si="10269"/>
        <v>DE: PEA particle 0,1-1 mm (emission to fresh water)</v>
      </c>
      <c r="H3393" s="465">
        <v>0</v>
      </c>
      <c r="I3393" s="394" t="s">
        <v>1163</v>
      </c>
      <c r="J3393" s="635"/>
      <c r="K3393" s="389">
        <v>423.66071428571433</v>
      </c>
      <c r="L3393" s="536"/>
      <c r="M3393" s="509">
        <f t="shared" si="10085"/>
        <v>0.29504741833508952</v>
      </c>
      <c r="N3393" s="646"/>
      <c r="O3393" s="626"/>
      <c r="P3393" s="629"/>
      <c r="Q3393" s="629"/>
    </row>
    <row r="3394" spans="1:17" ht="15.75" hidden="1" thickBot="1">
      <c r="A3394" s="390" t="str">
        <f t="shared" ref="A3394:B3394" si="10270">A3391</f>
        <v>PEA</v>
      </c>
      <c r="B3394" s="391" t="str">
        <f t="shared" si="10270"/>
        <v>particle</v>
      </c>
      <c r="C3394" s="391">
        <f t="shared" ref="C3394" si="10271">C3393</f>
        <v>6</v>
      </c>
      <c r="D3394" s="391" t="str">
        <f t="shared" ref="D3394:E3394" si="10272">D3391</f>
        <v>0,1-1</v>
      </c>
      <c r="E3394" s="391">
        <f t="shared" si="10272"/>
        <v>1</v>
      </c>
      <c r="F3394" s="402" t="str">
        <f>F3391</f>
        <v>fresh water</v>
      </c>
      <c r="G3394" s="401" t="str">
        <f t="shared" ref="G3394" si="10273">G3393</f>
        <v>DE: PEA particle 0,1-1 mm (emission to fresh water)</v>
      </c>
      <c r="H3394" s="465">
        <v>0</v>
      </c>
      <c r="I3394" s="397" t="s">
        <v>1034</v>
      </c>
      <c r="J3394" s="654"/>
      <c r="K3394" s="398" t="s">
        <v>596</v>
      </c>
      <c r="L3394" s="538"/>
      <c r="M3394" s="509">
        <f t="shared" si="10085"/>
        <v>0</v>
      </c>
      <c r="N3394" s="647"/>
      <c r="O3394" s="627"/>
      <c r="P3394" s="629"/>
      <c r="Q3394" s="629"/>
    </row>
    <row r="3395" spans="1:17" ht="15.75" hidden="1" thickBot="1">
      <c r="A3395" s="390" t="str">
        <f t="shared" ref="A3395:B3395" si="10274">A3392</f>
        <v>PEA</v>
      </c>
      <c r="B3395" s="391" t="str">
        <f t="shared" si="10274"/>
        <v>particle</v>
      </c>
      <c r="C3395" s="391">
        <f t="shared" ref="C3395" si="10275">C3394</f>
        <v>6</v>
      </c>
      <c r="D3395" s="391" t="str">
        <f t="shared" ref="D3395:E3395" si="10276">D3392</f>
        <v>0,1-1</v>
      </c>
      <c r="E3395" s="391">
        <f t="shared" si="10276"/>
        <v>1</v>
      </c>
      <c r="F3395" s="385" t="s">
        <v>1097</v>
      </c>
      <c r="G3395" s="422" t="str">
        <f>CONCATENATE("DE: ",A3395," ",B3395," ",D3395," mm (emission to ",F3395,")")</f>
        <v>DE: PEA particle 0,1-1 mm (emission to marine water)</v>
      </c>
      <c r="H3395" s="467">
        <v>0</v>
      </c>
      <c r="I3395" s="388" t="s">
        <v>1153</v>
      </c>
      <c r="J3395" s="634">
        <v>0.22800000000000001</v>
      </c>
      <c r="K3395" s="389">
        <v>423.66071428571433</v>
      </c>
      <c r="L3395" s="536"/>
      <c r="M3395" s="509">
        <f t="shared" si="10085"/>
        <v>0.29504741833508952</v>
      </c>
      <c r="N3395" s="645">
        <f t="shared" si="10124"/>
        <v>0.29504741833508952</v>
      </c>
      <c r="O3395" s="625"/>
      <c r="P3395" s="628">
        <f t="shared" si="10152"/>
        <v>0.29504741833508952</v>
      </c>
      <c r="Q3395" s="628">
        <f t="shared" ref="Q3395:Q3455" si="10277">IFERROR(IF(H3395*M3395+H3396*M3396+H3397*M3397+H3398*M3398+H3399*M3399&gt;500,500,H3395*M3395+H3396*M3396+H3397*M3397+H3398*M3398+H3399*M3399),"N.A.")</f>
        <v>0.29504741833508952</v>
      </c>
    </row>
    <row r="3396" spans="1:17" ht="15.75" hidden="1" thickBot="1">
      <c r="A3396" s="390" t="str">
        <f t="shared" ref="A3396:B3396" si="10278">A3393</f>
        <v>PEA</v>
      </c>
      <c r="B3396" s="391" t="str">
        <f t="shared" si="10278"/>
        <v>particle</v>
      </c>
      <c r="C3396" s="391">
        <f t="shared" ref="C3396" si="10279">C3395</f>
        <v>6</v>
      </c>
      <c r="D3396" s="391" t="str">
        <f t="shared" ref="D3396:E3396" si="10280">D3393</f>
        <v>0,1-1</v>
      </c>
      <c r="E3396" s="391">
        <f t="shared" si="10280"/>
        <v>1</v>
      </c>
      <c r="F3396" s="391" t="str">
        <f t="shared" ref="F3396:G3396" si="10281">F3395</f>
        <v>marine water</v>
      </c>
      <c r="G3396" s="401" t="str">
        <f t="shared" si="10281"/>
        <v>DE: PEA particle 0,1-1 mm (emission to marine water)</v>
      </c>
      <c r="H3396" s="465">
        <v>1</v>
      </c>
      <c r="I3396" s="394" t="s">
        <v>1097</v>
      </c>
      <c r="J3396" s="635"/>
      <c r="K3396" s="389">
        <v>423.66071428571433</v>
      </c>
      <c r="L3396" s="536"/>
      <c r="M3396" s="509">
        <f t="shared" si="10085"/>
        <v>0.29504741833508952</v>
      </c>
      <c r="N3396" s="646"/>
      <c r="O3396" s="626"/>
      <c r="P3396" s="629"/>
      <c r="Q3396" s="629"/>
    </row>
    <row r="3397" spans="1:17" ht="15.75" hidden="1" thickBot="1">
      <c r="A3397" s="390" t="str">
        <f t="shared" ref="A3397:B3397" si="10282">A3394</f>
        <v>PEA</v>
      </c>
      <c r="B3397" s="391" t="str">
        <f t="shared" si="10282"/>
        <v>particle</v>
      </c>
      <c r="C3397" s="391">
        <f t="shared" ref="C3397" si="10283">C3396</f>
        <v>6</v>
      </c>
      <c r="D3397" s="391" t="str">
        <f t="shared" ref="D3397:E3397" si="10284">D3394</f>
        <v>0,1-1</v>
      </c>
      <c r="E3397" s="391">
        <f t="shared" si="10284"/>
        <v>1</v>
      </c>
      <c r="F3397" s="391" t="str">
        <f t="shared" ref="F3397:G3397" si="10285">F3396</f>
        <v>marine water</v>
      </c>
      <c r="G3397" s="401" t="str">
        <f t="shared" si="10285"/>
        <v>DE: PEA particle 0,1-1 mm (emission to marine water)</v>
      </c>
      <c r="H3397" s="465">
        <v>0</v>
      </c>
      <c r="I3397" s="394" t="s">
        <v>1162</v>
      </c>
      <c r="J3397" s="635"/>
      <c r="K3397" s="389">
        <v>423.66071428571433</v>
      </c>
      <c r="L3397" s="536"/>
      <c r="M3397" s="509">
        <f t="shared" si="10085"/>
        <v>0.29504741833508952</v>
      </c>
      <c r="N3397" s="646"/>
      <c r="O3397" s="626"/>
      <c r="P3397" s="629"/>
      <c r="Q3397" s="629"/>
    </row>
    <row r="3398" spans="1:17" ht="15.75" hidden="1" thickBot="1">
      <c r="A3398" s="390" t="str">
        <f t="shared" ref="A3398:B3398" si="10286">A3395</f>
        <v>PEA</v>
      </c>
      <c r="B3398" s="391" t="str">
        <f t="shared" si="10286"/>
        <v>particle</v>
      </c>
      <c r="C3398" s="391">
        <f t="shared" ref="C3398" si="10287">C3397</f>
        <v>6</v>
      </c>
      <c r="D3398" s="391" t="str">
        <f t="shared" ref="D3398:E3398" si="10288">D3395</f>
        <v>0,1-1</v>
      </c>
      <c r="E3398" s="391">
        <f t="shared" si="10288"/>
        <v>1</v>
      </c>
      <c r="F3398" s="391" t="str">
        <f t="shared" ref="F3398:G3398" si="10289">F3397</f>
        <v>marine water</v>
      </c>
      <c r="G3398" s="401" t="str">
        <f t="shared" si="10289"/>
        <v>DE: PEA particle 0,1-1 mm (emission to marine water)</v>
      </c>
      <c r="H3398" s="465">
        <v>0</v>
      </c>
      <c r="I3398" s="394" t="s">
        <v>1163</v>
      </c>
      <c r="J3398" s="635"/>
      <c r="K3398" s="389">
        <v>423.66071428571433</v>
      </c>
      <c r="L3398" s="536"/>
      <c r="M3398" s="509">
        <f t="shared" ref="M3398:M3461" si="10290">IFERROR(IF(K3398="--",0,IF(E3398*1000/K3398*(1-0.5)^(C3398/2)&gt;1000,1000,E3398*1000/K3398*(1-0.5)^(C3398/2))),1000)</f>
        <v>0.29504741833508952</v>
      </c>
      <c r="N3398" s="646"/>
      <c r="O3398" s="626"/>
      <c r="P3398" s="629"/>
      <c r="Q3398" s="629"/>
    </row>
    <row r="3399" spans="1:17" ht="15.75" hidden="1" thickBot="1">
      <c r="A3399" s="390" t="str">
        <f t="shared" ref="A3399:B3399" si="10291">A3396</f>
        <v>PEA</v>
      </c>
      <c r="B3399" s="391" t="str">
        <f t="shared" si="10291"/>
        <v>particle</v>
      </c>
      <c r="C3399" s="391">
        <f t="shared" ref="C3399" si="10292">C3398</f>
        <v>6</v>
      </c>
      <c r="D3399" s="391" t="str">
        <f t="shared" ref="D3399:E3399" si="10293">D3396</f>
        <v>0,1-1</v>
      </c>
      <c r="E3399" s="391">
        <f t="shared" si="10293"/>
        <v>1</v>
      </c>
      <c r="F3399" s="391" t="str">
        <f t="shared" ref="F3399:G3399" si="10294">F3398</f>
        <v>marine water</v>
      </c>
      <c r="G3399" s="401" t="str">
        <f t="shared" si="10294"/>
        <v>DE: PEA particle 0,1-1 mm (emission to marine water)</v>
      </c>
      <c r="H3399" s="465">
        <v>0</v>
      </c>
      <c r="I3399" s="397" t="s">
        <v>1034</v>
      </c>
      <c r="J3399" s="654"/>
      <c r="K3399" s="398" t="s">
        <v>596</v>
      </c>
      <c r="L3399" s="538"/>
      <c r="M3399" s="509">
        <f t="shared" si="10290"/>
        <v>0</v>
      </c>
      <c r="N3399" s="647"/>
      <c r="O3399" s="627"/>
      <c r="P3399" s="629"/>
      <c r="Q3399" s="629"/>
    </row>
    <row r="3400" spans="1:17" ht="15.75" hidden="1" thickBot="1">
      <c r="A3400" s="390" t="str">
        <f t="shared" ref="A3400:B3400" si="10295">A3397</f>
        <v>PEA</v>
      </c>
      <c r="B3400" s="391" t="str">
        <f t="shared" si="10295"/>
        <v>particle</v>
      </c>
      <c r="C3400" s="391">
        <f t="shared" ref="C3400" si="10296">C3399</f>
        <v>6</v>
      </c>
      <c r="D3400" s="391" t="str">
        <f t="shared" ref="D3400:E3400" si="10297">D3397</f>
        <v>0,1-1</v>
      </c>
      <c r="E3400" s="391">
        <f t="shared" si="10297"/>
        <v>1</v>
      </c>
      <c r="F3400" s="400" t="s">
        <v>1057</v>
      </c>
      <c r="G3400" s="422" t="str">
        <f>CONCATENATE("DE: ",A3400," ",B3400," ",D3400," mm (emission to ",F3400,")")</f>
        <v>DE: PEA particle 0,1-1 mm (emission to air)</v>
      </c>
      <c r="H3400" s="467">
        <v>0.94799999999999995</v>
      </c>
      <c r="I3400" s="388" t="s">
        <v>1153</v>
      </c>
      <c r="J3400" s="634">
        <v>0.22800000000000001</v>
      </c>
      <c r="K3400" s="389">
        <v>423.66071428571433</v>
      </c>
      <c r="L3400" s="536"/>
      <c r="M3400" s="509">
        <f t="shared" si="10290"/>
        <v>0.29504741833508952</v>
      </c>
      <c r="N3400" s="645">
        <f t="shared" si="10124"/>
        <v>0.29504741833508946</v>
      </c>
      <c r="O3400" s="625"/>
      <c r="P3400" s="628">
        <f t="shared" si="10152"/>
        <v>0.29504741833508946</v>
      </c>
      <c r="Q3400" s="628">
        <f t="shared" si="10277"/>
        <v>0.29504741833508946</v>
      </c>
    </row>
    <row r="3401" spans="1:17" ht="15.75" hidden="1" thickBot="1">
      <c r="A3401" s="390" t="str">
        <f t="shared" ref="A3401:B3401" si="10298">A3398</f>
        <v>PEA</v>
      </c>
      <c r="B3401" s="391" t="str">
        <f t="shared" si="10298"/>
        <v>particle</v>
      </c>
      <c r="C3401" s="391">
        <f t="shared" ref="C3401" si="10299">C3400</f>
        <v>6</v>
      </c>
      <c r="D3401" s="391" t="str">
        <f t="shared" ref="D3401:E3401" si="10300">D3398</f>
        <v>0,1-1</v>
      </c>
      <c r="E3401" s="391">
        <f t="shared" si="10300"/>
        <v>1</v>
      </c>
      <c r="F3401" s="391" t="str">
        <f t="shared" ref="F3401:G3401" si="10301">F3400</f>
        <v>air</v>
      </c>
      <c r="G3401" s="401" t="str">
        <f t="shared" si="10301"/>
        <v>DE: PEA particle 0,1-1 mm (emission to air)</v>
      </c>
      <c r="H3401" s="465">
        <v>5.1999999999999998E-2</v>
      </c>
      <c r="I3401" s="394" t="s">
        <v>1097</v>
      </c>
      <c r="J3401" s="635"/>
      <c r="K3401" s="389">
        <v>423.66071428571433</v>
      </c>
      <c r="L3401" s="536"/>
      <c r="M3401" s="509">
        <f t="shared" si="10290"/>
        <v>0.29504741833508952</v>
      </c>
      <c r="N3401" s="646"/>
      <c r="O3401" s="626"/>
      <c r="P3401" s="629"/>
      <c r="Q3401" s="629"/>
    </row>
    <row r="3402" spans="1:17" ht="15.75" hidden="1" thickBot="1">
      <c r="A3402" s="390" t="str">
        <f t="shared" ref="A3402:B3402" si="10302">A3399</f>
        <v>PEA</v>
      </c>
      <c r="B3402" s="391" t="str">
        <f t="shared" si="10302"/>
        <v>particle</v>
      </c>
      <c r="C3402" s="391">
        <f t="shared" ref="C3402" si="10303">C3401</f>
        <v>6</v>
      </c>
      <c r="D3402" s="391" t="str">
        <f t="shared" ref="D3402:E3402" si="10304">D3399</f>
        <v>0,1-1</v>
      </c>
      <c r="E3402" s="391">
        <f t="shared" si="10304"/>
        <v>1</v>
      </c>
      <c r="F3402" s="391" t="str">
        <f t="shared" ref="F3402:G3402" si="10305">F3401</f>
        <v>air</v>
      </c>
      <c r="G3402" s="401" t="str">
        <f t="shared" si="10305"/>
        <v>DE: PEA particle 0,1-1 mm (emission to air)</v>
      </c>
      <c r="H3402" s="465">
        <v>0</v>
      </c>
      <c r="I3402" s="394" t="s">
        <v>1162</v>
      </c>
      <c r="J3402" s="635"/>
      <c r="K3402" s="389">
        <v>423.66071428571433</v>
      </c>
      <c r="L3402" s="536"/>
      <c r="M3402" s="509">
        <f t="shared" si="10290"/>
        <v>0.29504741833508952</v>
      </c>
      <c r="N3402" s="646"/>
      <c r="O3402" s="626"/>
      <c r="P3402" s="629"/>
      <c r="Q3402" s="629"/>
    </row>
    <row r="3403" spans="1:17" ht="15.75" hidden="1" thickBot="1">
      <c r="A3403" s="390" t="str">
        <f t="shared" ref="A3403:B3403" si="10306">A3400</f>
        <v>PEA</v>
      </c>
      <c r="B3403" s="391" t="str">
        <f t="shared" si="10306"/>
        <v>particle</v>
      </c>
      <c r="C3403" s="391">
        <f t="shared" ref="C3403" si="10307">C3402</f>
        <v>6</v>
      </c>
      <c r="D3403" s="391" t="str">
        <f t="shared" ref="D3403:E3403" si="10308">D3400</f>
        <v>0,1-1</v>
      </c>
      <c r="E3403" s="391">
        <f t="shared" si="10308"/>
        <v>1</v>
      </c>
      <c r="F3403" s="391" t="str">
        <f t="shared" ref="F3403:G3403" si="10309">F3402</f>
        <v>air</v>
      </c>
      <c r="G3403" s="401" t="str">
        <f t="shared" si="10309"/>
        <v>DE: PEA particle 0,1-1 mm (emission to air)</v>
      </c>
      <c r="H3403" s="465">
        <v>0</v>
      </c>
      <c r="I3403" s="394" t="s">
        <v>1163</v>
      </c>
      <c r="J3403" s="635"/>
      <c r="K3403" s="389">
        <v>423.66071428571433</v>
      </c>
      <c r="L3403" s="536"/>
      <c r="M3403" s="509">
        <f t="shared" si="10290"/>
        <v>0.29504741833508952</v>
      </c>
      <c r="N3403" s="646"/>
      <c r="O3403" s="626"/>
      <c r="P3403" s="629"/>
      <c r="Q3403" s="629"/>
    </row>
    <row r="3404" spans="1:17" ht="15.75" hidden="1" thickBot="1">
      <c r="A3404" s="452" t="str">
        <f t="shared" ref="A3404:B3404" si="10310">A3399</f>
        <v>PEA</v>
      </c>
      <c r="B3404" s="453" t="str">
        <f t="shared" si="10310"/>
        <v>particle</v>
      </c>
      <c r="C3404" s="453">
        <f t="shared" ref="C3404" si="10311">C3403</f>
        <v>6</v>
      </c>
      <c r="D3404" s="453" t="str">
        <f t="shared" ref="D3404:E3404" si="10312">D3399</f>
        <v>0,1-1</v>
      </c>
      <c r="E3404" s="453">
        <f t="shared" si="10312"/>
        <v>1</v>
      </c>
      <c r="F3404" s="453" t="str">
        <f t="shared" ref="F3404:G3404" si="10313">F3403</f>
        <v>air</v>
      </c>
      <c r="G3404" s="454" t="str">
        <f t="shared" si="10313"/>
        <v>DE: PEA particle 0,1-1 mm (emission to air)</v>
      </c>
      <c r="H3404" s="473">
        <v>0</v>
      </c>
      <c r="I3404" s="456" t="s">
        <v>1034</v>
      </c>
      <c r="J3404" s="636"/>
      <c r="K3404" s="457" t="s">
        <v>596</v>
      </c>
      <c r="L3404" s="543"/>
      <c r="M3404" s="509">
        <f t="shared" si="10290"/>
        <v>0</v>
      </c>
      <c r="N3404" s="647"/>
      <c r="O3404" s="627"/>
      <c r="P3404" s="629"/>
      <c r="Q3404" s="629"/>
    </row>
    <row r="3405" spans="1:17" ht="15.75" hidden="1" thickBot="1">
      <c r="A3405" s="405" t="s">
        <v>647</v>
      </c>
      <c r="B3405" s="406" t="s">
        <v>1152</v>
      </c>
      <c r="C3405" s="407">
        <v>6</v>
      </c>
      <c r="D3405" s="423" t="s">
        <v>1026</v>
      </c>
      <c r="E3405" s="408">
        <v>10</v>
      </c>
      <c r="F3405" s="424" t="s">
        <v>1019</v>
      </c>
      <c r="G3405" s="425" t="str">
        <f>CONCATENATE("DE: ",A3405," ",B3405," ",D3405," mm (emission to ",F3405,")")</f>
        <v>DE: PEA particle 1-10 mm (emission to soil)</v>
      </c>
      <c r="H3405" s="474">
        <v>0.97</v>
      </c>
      <c r="I3405" s="427" t="s">
        <v>1153</v>
      </c>
      <c r="J3405" s="632">
        <v>0.22800000000000001</v>
      </c>
      <c r="K3405" s="428">
        <v>423.66071428571433</v>
      </c>
      <c r="L3405" s="539"/>
      <c r="M3405" s="509">
        <f t="shared" si="10290"/>
        <v>2.9504741833508952</v>
      </c>
      <c r="N3405" s="645">
        <f t="shared" si="10124"/>
        <v>2.9504741833508947</v>
      </c>
      <c r="O3405" s="625"/>
      <c r="P3405" s="628">
        <f t="shared" si="10152"/>
        <v>2.9504741833508947</v>
      </c>
      <c r="Q3405" s="628">
        <f t="shared" si="10277"/>
        <v>2.9504741833508947</v>
      </c>
    </row>
    <row r="3406" spans="1:17" ht="15.75" hidden="1" thickBot="1">
      <c r="A3406" s="390" t="str">
        <f>A3405</f>
        <v>PEA</v>
      </c>
      <c r="B3406" s="391" t="str">
        <f>B3405</f>
        <v>particle</v>
      </c>
      <c r="C3406" s="391">
        <f t="shared" ref="C3406:G3406" si="10314">C3405</f>
        <v>6</v>
      </c>
      <c r="D3406" s="391" t="str">
        <f t="shared" si="10314"/>
        <v>1-10</v>
      </c>
      <c r="E3406" s="391">
        <f t="shared" si="10314"/>
        <v>10</v>
      </c>
      <c r="F3406" s="391" t="str">
        <f t="shared" si="10314"/>
        <v>soil</v>
      </c>
      <c r="G3406" s="392" t="str">
        <f t="shared" si="10314"/>
        <v>DE: PEA particle 1-10 mm (emission to soil)</v>
      </c>
      <c r="H3406" s="465">
        <v>0.03</v>
      </c>
      <c r="I3406" s="394" t="s">
        <v>1097</v>
      </c>
      <c r="J3406" s="632"/>
      <c r="K3406" s="395">
        <v>423.66071428571433</v>
      </c>
      <c r="L3406" s="537"/>
      <c r="M3406" s="509">
        <f t="shared" si="10290"/>
        <v>2.9504741833508952</v>
      </c>
      <c r="N3406" s="646"/>
      <c r="O3406" s="626"/>
      <c r="P3406" s="629"/>
      <c r="Q3406" s="629"/>
    </row>
    <row r="3407" spans="1:17" ht="15.75" hidden="1" thickBot="1">
      <c r="A3407" s="390" t="str">
        <f t="shared" ref="A3407:G3407" si="10315">A3406</f>
        <v>PEA</v>
      </c>
      <c r="B3407" s="391" t="str">
        <f t="shared" si="10315"/>
        <v>particle</v>
      </c>
      <c r="C3407" s="391">
        <f t="shared" si="10315"/>
        <v>6</v>
      </c>
      <c r="D3407" s="391" t="str">
        <f t="shared" si="10315"/>
        <v>1-10</v>
      </c>
      <c r="E3407" s="391">
        <f t="shared" si="10315"/>
        <v>10</v>
      </c>
      <c r="F3407" s="391" t="str">
        <f t="shared" si="10315"/>
        <v>soil</v>
      </c>
      <c r="G3407" s="392" t="str">
        <f t="shared" si="10315"/>
        <v>DE: PEA particle 1-10 mm (emission to soil)</v>
      </c>
      <c r="H3407" s="465">
        <v>0</v>
      </c>
      <c r="I3407" s="394" t="s">
        <v>1162</v>
      </c>
      <c r="J3407" s="632"/>
      <c r="K3407" s="395">
        <v>423.66071428571433</v>
      </c>
      <c r="L3407" s="537"/>
      <c r="M3407" s="509">
        <f t="shared" si="10290"/>
        <v>2.9504741833508952</v>
      </c>
      <c r="N3407" s="646"/>
      <c r="O3407" s="626"/>
      <c r="P3407" s="629"/>
      <c r="Q3407" s="629"/>
    </row>
    <row r="3408" spans="1:17" ht="15.75" hidden="1" thickBot="1">
      <c r="A3408" s="390" t="str">
        <f t="shared" ref="A3408:G3408" si="10316">A3407</f>
        <v>PEA</v>
      </c>
      <c r="B3408" s="391" t="str">
        <f t="shared" si="10316"/>
        <v>particle</v>
      </c>
      <c r="C3408" s="391">
        <f t="shared" si="10316"/>
        <v>6</v>
      </c>
      <c r="D3408" s="391" t="str">
        <f t="shared" si="10316"/>
        <v>1-10</v>
      </c>
      <c r="E3408" s="391">
        <f t="shared" si="10316"/>
        <v>10</v>
      </c>
      <c r="F3408" s="391" t="str">
        <f t="shared" si="10316"/>
        <v>soil</v>
      </c>
      <c r="G3408" s="392" t="str">
        <f t="shared" si="10316"/>
        <v>DE: PEA particle 1-10 mm (emission to soil)</v>
      </c>
      <c r="H3408" s="465">
        <v>0</v>
      </c>
      <c r="I3408" s="394" t="s">
        <v>1163</v>
      </c>
      <c r="J3408" s="632"/>
      <c r="K3408" s="395">
        <v>423.66071428571433</v>
      </c>
      <c r="L3408" s="537"/>
      <c r="M3408" s="509">
        <f t="shared" si="10290"/>
        <v>2.9504741833508952</v>
      </c>
      <c r="N3408" s="646"/>
      <c r="O3408" s="626"/>
      <c r="P3408" s="629"/>
      <c r="Q3408" s="629"/>
    </row>
    <row r="3409" spans="1:17" ht="15.75" hidden="1" thickBot="1">
      <c r="A3409" s="390" t="str">
        <f>A3406</f>
        <v>PEA</v>
      </c>
      <c r="B3409" s="391" t="str">
        <f>B3406</f>
        <v>particle</v>
      </c>
      <c r="C3409" s="391">
        <f t="shared" ref="C3409" si="10317">C3408</f>
        <v>6</v>
      </c>
      <c r="D3409" s="391" t="str">
        <f>D3406</f>
        <v>1-10</v>
      </c>
      <c r="E3409" s="391">
        <f>E3406</f>
        <v>10</v>
      </c>
      <c r="F3409" s="391" t="str">
        <f>F3406</f>
        <v>soil</v>
      </c>
      <c r="G3409" s="396" t="str">
        <f t="shared" ref="G3409" si="10318">G3408</f>
        <v>DE: PEA particle 1-10 mm (emission to soil)</v>
      </c>
      <c r="H3409" s="465">
        <v>0</v>
      </c>
      <c r="I3409" s="397" t="s">
        <v>1034</v>
      </c>
      <c r="J3409" s="633"/>
      <c r="K3409" s="398" t="s">
        <v>596</v>
      </c>
      <c r="L3409" s="538"/>
      <c r="M3409" s="509">
        <f t="shared" si="10290"/>
        <v>0</v>
      </c>
      <c r="N3409" s="647"/>
      <c r="O3409" s="627"/>
      <c r="P3409" s="629"/>
      <c r="Q3409" s="629"/>
    </row>
    <row r="3410" spans="1:17" ht="15.75" hidden="1" thickBot="1">
      <c r="A3410" s="390" t="str">
        <f t="shared" ref="A3410:B3410" si="10319">A3407</f>
        <v>PEA</v>
      </c>
      <c r="B3410" s="391" t="str">
        <f t="shared" si="10319"/>
        <v>particle</v>
      </c>
      <c r="C3410" s="391">
        <f t="shared" ref="C3410" si="10320">C3409</f>
        <v>6</v>
      </c>
      <c r="D3410" s="399" t="str">
        <f t="shared" ref="D3410:E3410" si="10321">D3407</f>
        <v>1-10</v>
      </c>
      <c r="E3410" s="391">
        <f t="shared" si="10321"/>
        <v>10</v>
      </c>
      <c r="F3410" s="400" t="s">
        <v>1147</v>
      </c>
      <c r="G3410" s="386" t="str">
        <f>CONCATENATE("DE: ",A3410," ",B3410," ",D3410," mm (emission to ",F3410,")")</f>
        <v>DE: PEA particle 1-10 mm (emission to fresh water)</v>
      </c>
      <c r="H3410" s="466">
        <v>0</v>
      </c>
      <c r="I3410" s="388" t="s">
        <v>1153</v>
      </c>
      <c r="J3410" s="634">
        <v>0.22800000000000001</v>
      </c>
      <c r="K3410" s="389">
        <v>423.66071428571433</v>
      </c>
      <c r="L3410" s="536"/>
      <c r="M3410" s="509">
        <f t="shared" si="10290"/>
        <v>2.9504741833508952</v>
      </c>
      <c r="N3410" s="645">
        <f t="shared" ref="N3410:N3470" si="10322">IFERROR(H3410*M3410+H3411*M3411+H3412*M3412+H3413*M3413+H3414*M3414,"N.A.")</f>
        <v>2.9504741833508952</v>
      </c>
      <c r="O3410" s="625"/>
      <c r="P3410" s="628">
        <f t="shared" si="10152"/>
        <v>2.9504741833508952</v>
      </c>
      <c r="Q3410" s="628">
        <f t="shared" si="10277"/>
        <v>2.9504741833508952</v>
      </c>
    </row>
    <row r="3411" spans="1:17" ht="15.75" hidden="1" thickBot="1">
      <c r="A3411" s="390" t="str">
        <f t="shared" ref="A3411:B3411" si="10323">A3408</f>
        <v>PEA</v>
      </c>
      <c r="B3411" s="391" t="str">
        <f t="shared" si="10323"/>
        <v>particle</v>
      </c>
      <c r="C3411" s="391">
        <f t="shared" ref="C3411" si="10324">C3410</f>
        <v>6</v>
      </c>
      <c r="D3411" s="391" t="str">
        <f t="shared" ref="D3411:E3411" si="10325">D3408</f>
        <v>1-10</v>
      </c>
      <c r="E3411" s="391">
        <f t="shared" si="10325"/>
        <v>10</v>
      </c>
      <c r="F3411" s="391" t="str">
        <f t="shared" ref="F3411:G3411" si="10326">F3410</f>
        <v>fresh water</v>
      </c>
      <c r="G3411" s="401" t="str">
        <f t="shared" si="10326"/>
        <v>DE: PEA particle 1-10 mm (emission to fresh water)</v>
      </c>
      <c r="H3411" s="465">
        <v>1</v>
      </c>
      <c r="I3411" s="394" t="s">
        <v>1097</v>
      </c>
      <c r="J3411" s="635"/>
      <c r="K3411" s="389">
        <v>423.66071428571433</v>
      </c>
      <c r="L3411" s="536"/>
      <c r="M3411" s="509">
        <f t="shared" si="10290"/>
        <v>2.9504741833508952</v>
      </c>
      <c r="N3411" s="646"/>
      <c r="O3411" s="626"/>
      <c r="P3411" s="629"/>
      <c r="Q3411" s="629"/>
    </row>
    <row r="3412" spans="1:17" ht="15.75" hidden="1" thickBot="1">
      <c r="A3412" s="390" t="str">
        <f t="shared" ref="A3412:B3412" si="10327">A3409</f>
        <v>PEA</v>
      </c>
      <c r="B3412" s="391" t="str">
        <f t="shared" si="10327"/>
        <v>particle</v>
      </c>
      <c r="C3412" s="391">
        <f t="shared" ref="C3412" si="10328">C3411</f>
        <v>6</v>
      </c>
      <c r="D3412" s="391" t="str">
        <f t="shared" ref="D3412:E3412" si="10329">D3409</f>
        <v>1-10</v>
      </c>
      <c r="E3412" s="391">
        <f t="shared" si="10329"/>
        <v>10</v>
      </c>
      <c r="F3412" s="391" t="str">
        <f t="shared" ref="F3412:G3412" si="10330">F3411</f>
        <v>fresh water</v>
      </c>
      <c r="G3412" s="401" t="str">
        <f t="shared" si="10330"/>
        <v>DE: PEA particle 1-10 mm (emission to fresh water)</v>
      </c>
      <c r="H3412" s="465">
        <v>0</v>
      </c>
      <c r="I3412" s="394" t="s">
        <v>1162</v>
      </c>
      <c r="J3412" s="635"/>
      <c r="K3412" s="389">
        <v>423.66071428571433</v>
      </c>
      <c r="L3412" s="536"/>
      <c r="M3412" s="509">
        <f t="shared" si="10290"/>
        <v>2.9504741833508952</v>
      </c>
      <c r="N3412" s="646"/>
      <c r="O3412" s="626"/>
      <c r="P3412" s="629"/>
      <c r="Q3412" s="629"/>
    </row>
    <row r="3413" spans="1:17" ht="15.75" hidden="1" thickBot="1">
      <c r="A3413" s="390" t="str">
        <f t="shared" ref="A3413:B3413" si="10331">A3410</f>
        <v>PEA</v>
      </c>
      <c r="B3413" s="391" t="str">
        <f t="shared" si="10331"/>
        <v>particle</v>
      </c>
      <c r="C3413" s="391">
        <f t="shared" ref="C3413" si="10332">C3412</f>
        <v>6</v>
      </c>
      <c r="D3413" s="391" t="str">
        <f t="shared" ref="D3413:E3413" si="10333">D3410</f>
        <v>1-10</v>
      </c>
      <c r="E3413" s="391">
        <f t="shared" si="10333"/>
        <v>10</v>
      </c>
      <c r="F3413" s="391" t="str">
        <f t="shared" ref="F3413:G3413" si="10334">F3412</f>
        <v>fresh water</v>
      </c>
      <c r="G3413" s="401" t="str">
        <f t="shared" si="10334"/>
        <v>DE: PEA particle 1-10 mm (emission to fresh water)</v>
      </c>
      <c r="H3413" s="465">
        <v>0</v>
      </c>
      <c r="I3413" s="394" t="s">
        <v>1163</v>
      </c>
      <c r="J3413" s="635"/>
      <c r="K3413" s="389">
        <v>423.66071428571433</v>
      </c>
      <c r="L3413" s="536"/>
      <c r="M3413" s="509">
        <f t="shared" si="10290"/>
        <v>2.9504741833508952</v>
      </c>
      <c r="N3413" s="646"/>
      <c r="O3413" s="626"/>
      <c r="P3413" s="629"/>
      <c r="Q3413" s="629"/>
    </row>
    <row r="3414" spans="1:17" ht="15.75" hidden="1" thickBot="1">
      <c r="A3414" s="390" t="str">
        <f t="shared" ref="A3414:B3414" si="10335">A3411</f>
        <v>PEA</v>
      </c>
      <c r="B3414" s="391" t="str">
        <f t="shared" si="10335"/>
        <v>particle</v>
      </c>
      <c r="C3414" s="391">
        <f t="shared" ref="C3414" si="10336">C3413</f>
        <v>6</v>
      </c>
      <c r="D3414" s="391" t="str">
        <f t="shared" ref="D3414:E3414" si="10337">D3411</f>
        <v>1-10</v>
      </c>
      <c r="E3414" s="391">
        <f t="shared" si="10337"/>
        <v>10</v>
      </c>
      <c r="F3414" s="402" t="str">
        <f>F3411</f>
        <v>fresh water</v>
      </c>
      <c r="G3414" s="401" t="str">
        <f t="shared" ref="G3414" si="10338">G3413</f>
        <v>DE: PEA particle 1-10 mm (emission to fresh water)</v>
      </c>
      <c r="H3414" s="465">
        <v>0</v>
      </c>
      <c r="I3414" s="397" t="s">
        <v>1034</v>
      </c>
      <c r="J3414" s="654"/>
      <c r="K3414" s="398" t="s">
        <v>596</v>
      </c>
      <c r="L3414" s="538"/>
      <c r="M3414" s="509">
        <f t="shared" si="10290"/>
        <v>0</v>
      </c>
      <c r="N3414" s="647"/>
      <c r="O3414" s="627"/>
      <c r="P3414" s="629"/>
      <c r="Q3414" s="629"/>
    </row>
    <row r="3415" spans="1:17" ht="15.75" hidden="1" thickBot="1">
      <c r="A3415" s="390" t="str">
        <f t="shared" ref="A3415:B3415" si="10339">A3412</f>
        <v>PEA</v>
      </c>
      <c r="B3415" s="391" t="str">
        <f t="shared" si="10339"/>
        <v>particle</v>
      </c>
      <c r="C3415" s="391">
        <f t="shared" ref="C3415" si="10340">C3414</f>
        <v>6</v>
      </c>
      <c r="D3415" s="391" t="str">
        <f t="shared" ref="D3415:E3415" si="10341">D3412</f>
        <v>1-10</v>
      </c>
      <c r="E3415" s="391">
        <f t="shared" si="10341"/>
        <v>10</v>
      </c>
      <c r="F3415" s="385" t="s">
        <v>1097</v>
      </c>
      <c r="G3415" s="422" t="str">
        <f>CONCATENATE("DE: ",A3415," ",B3415," ",D3415," mm (emission to ",F3415,")")</f>
        <v>DE: PEA particle 1-10 mm (emission to marine water)</v>
      </c>
      <c r="H3415" s="467">
        <v>0</v>
      </c>
      <c r="I3415" s="388" t="s">
        <v>1153</v>
      </c>
      <c r="J3415" s="634">
        <v>0.22800000000000001</v>
      </c>
      <c r="K3415" s="389">
        <v>423.66071428571433</v>
      </c>
      <c r="L3415" s="536"/>
      <c r="M3415" s="509">
        <f t="shared" si="10290"/>
        <v>2.9504741833508952</v>
      </c>
      <c r="N3415" s="645">
        <f t="shared" si="10322"/>
        <v>2.9504741833508952</v>
      </c>
      <c r="O3415" s="625"/>
      <c r="P3415" s="628">
        <f t="shared" si="10152"/>
        <v>2.9504741833508952</v>
      </c>
      <c r="Q3415" s="628">
        <f t="shared" si="10277"/>
        <v>2.9504741833508952</v>
      </c>
    </row>
    <row r="3416" spans="1:17" ht="15.75" hidden="1" thickBot="1">
      <c r="A3416" s="390" t="str">
        <f t="shared" ref="A3416:B3416" si="10342">A3413</f>
        <v>PEA</v>
      </c>
      <c r="B3416" s="391" t="str">
        <f t="shared" si="10342"/>
        <v>particle</v>
      </c>
      <c r="C3416" s="391">
        <f t="shared" ref="C3416" si="10343">C3415</f>
        <v>6</v>
      </c>
      <c r="D3416" s="391" t="str">
        <f t="shared" ref="D3416:E3416" si="10344">D3413</f>
        <v>1-10</v>
      </c>
      <c r="E3416" s="391">
        <f t="shared" si="10344"/>
        <v>10</v>
      </c>
      <c r="F3416" s="391" t="str">
        <f t="shared" ref="F3416:G3416" si="10345">F3415</f>
        <v>marine water</v>
      </c>
      <c r="G3416" s="401" t="str">
        <f t="shared" si="10345"/>
        <v>DE: PEA particle 1-10 mm (emission to marine water)</v>
      </c>
      <c r="H3416" s="465">
        <v>1</v>
      </c>
      <c r="I3416" s="394" t="s">
        <v>1097</v>
      </c>
      <c r="J3416" s="635"/>
      <c r="K3416" s="389">
        <v>423.66071428571433</v>
      </c>
      <c r="L3416" s="536"/>
      <c r="M3416" s="509">
        <f t="shared" si="10290"/>
        <v>2.9504741833508952</v>
      </c>
      <c r="N3416" s="646"/>
      <c r="O3416" s="626"/>
      <c r="P3416" s="629"/>
      <c r="Q3416" s="629"/>
    </row>
    <row r="3417" spans="1:17" ht="15.75" hidden="1" thickBot="1">
      <c r="A3417" s="390" t="str">
        <f t="shared" ref="A3417:B3417" si="10346">A3414</f>
        <v>PEA</v>
      </c>
      <c r="B3417" s="391" t="str">
        <f t="shared" si="10346"/>
        <v>particle</v>
      </c>
      <c r="C3417" s="391">
        <f t="shared" ref="C3417" si="10347">C3416</f>
        <v>6</v>
      </c>
      <c r="D3417" s="391" t="str">
        <f t="shared" ref="D3417:E3417" si="10348">D3414</f>
        <v>1-10</v>
      </c>
      <c r="E3417" s="391">
        <f t="shared" si="10348"/>
        <v>10</v>
      </c>
      <c r="F3417" s="391" t="str">
        <f t="shared" ref="F3417:G3417" si="10349">F3416</f>
        <v>marine water</v>
      </c>
      <c r="G3417" s="401" t="str">
        <f t="shared" si="10349"/>
        <v>DE: PEA particle 1-10 mm (emission to marine water)</v>
      </c>
      <c r="H3417" s="465">
        <v>0</v>
      </c>
      <c r="I3417" s="394" t="s">
        <v>1162</v>
      </c>
      <c r="J3417" s="635"/>
      <c r="K3417" s="389">
        <v>423.66071428571433</v>
      </c>
      <c r="L3417" s="536"/>
      <c r="M3417" s="509">
        <f t="shared" si="10290"/>
        <v>2.9504741833508952</v>
      </c>
      <c r="N3417" s="646"/>
      <c r="O3417" s="626"/>
      <c r="P3417" s="629"/>
      <c r="Q3417" s="629"/>
    </row>
    <row r="3418" spans="1:17" ht="15.75" hidden="1" thickBot="1">
      <c r="A3418" s="390" t="str">
        <f t="shared" ref="A3418:B3418" si="10350">A3415</f>
        <v>PEA</v>
      </c>
      <c r="B3418" s="391" t="str">
        <f t="shared" si="10350"/>
        <v>particle</v>
      </c>
      <c r="C3418" s="391">
        <f t="shared" ref="C3418" si="10351">C3417</f>
        <v>6</v>
      </c>
      <c r="D3418" s="391" t="str">
        <f t="shared" ref="D3418:E3418" si="10352">D3415</f>
        <v>1-10</v>
      </c>
      <c r="E3418" s="391">
        <f t="shared" si="10352"/>
        <v>10</v>
      </c>
      <c r="F3418" s="391" t="str">
        <f t="shared" ref="F3418:G3418" si="10353">F3417</f>
        <v>marine water</v>
      </c>
      <c r="G3418" s="401" t="str">
        <f t="shared" si="10353"/>
        <v>DE: PEA particle 1-10 mm (emission to marine water)</v>
      </c>
      <c r="H3418" s="465">
        <v>0</v>
      </c>
      <c r="I3418" s="394" t="s">
        <v>1163</v>
      </c>
      <c r="J3418" s="635"/>
      <c r="K3418" s="389">
        <v>423.66071428571433</v>
      </c>
      <c r="L3418" s="536"/>
      <c r="M3418" s="509">
        <f t="shared" si="10290"/>
        <v>2.9504741833508952</v>
      </c>
      <c r="N3418" s="646"/>
      <c r="O3418" s="626"/>
      <c r="P3418" s="629"/>
      <c r="Q3418" s="629"/>
    </row>
    <row r="3419" spans="1:17" ht="15.75" hidden="1" thickBot="1">
      <c r="A3419" s="390" t="str">
        <f t="shared" ref="A3419:B3419" si="10354">A3416</f>
        <v>PEA</v>
      </c>
      <c r="B3419" s="391" t="str">
        <f t="shared" si="10354"/>
        <v>particle</v>
      </c>
      <c r="C3419" s="391">
        <f t="shared" ref="C3419" si="10355">C3418</f>
        <v>6</v>
      </c>
      <c r="D3419" s="391" t="str">
        <f t="shared" ref="D3419:E3419" si="10356">D3416</f>
        <v>1-10</v>
      </c>
      <c r="E3419" s="391">
        <f t="shared" si="10356"/>
        <v>10</v>
      </c>
      <c r="F3419" s="391" t="str">
        <f t="shared" ref="F3419:G3419" si="10357">F3418</f>
        <v>marine water</v>
      </c>
      <c r="G3419" s="401" t="str">
        <f t="shared" si="10357"/>
        <v>DE: PEA particle 1-10 mm (emission to marine water)</v>
      </c>
      <c r="H3419" s="465">
        <v>0</v>
      </c>
      <c r="I3419" s="397" t="s">
        <v>1034</v>
      </c>
      <c r="J3419" s="654"/>
      <c r="K3419" s="398" t="s">
        <v>596</v>
      </c>
      <c r="L3419" s="538"/>
      <c r="M3419" s="509">
        <f t="shared" si="10290"/>
        <v>0</v>
      </c>
      <c r="N3419" s="647"/>
      <c r="O3419" s="627"/>
      <c r="P3419" s="629"/>
      <c r="Q3419" s="629"/>
    </row>
    <row r="3420" spans="1:17" ht="15.75" hidden="1" thickBot="1">
      <c r="A3420" s="390" t="str">
        <f t="shared" ref="A3420:B3420" si="10358">A3417</f>
        <v>PEA</v>
      </c>
      <c r="B3420" s="391" t="str">
        <f t="shared" si="10358"/>
        <v>particle</v>
      </c>
      <c r="C3420" s="391">
        <f t="shared" ref="C3420" si="10359">C3419</f>
        <v>6</v>
      </c>
      <c r="D3420" s="391" t="str">
        <f t="shared" ref="D3420:E3420" si="10360">D3417</f>
        <v>1-10</v>
      </c>
      <c r="E3420" s="391">
        <f t="shared" si="10360"/>
        <v>10</v>
      </c>
      <c r="F3420" s="400" t="s">
        <v>1057</v>
      </c>
      <c r="G3420" s="422" t="str">
        <f>CONCATENATE("DE: ",A3420," ",B3420," ",D3420," mm (emission to ",F3420,")")</f>
        <v>DE: PEA particle 1-10 mm (emission to air)</v>
      </c>
      <c r="H3420" s="467">
        <v>0.94799999999999995</v>
      </c>
      <c r="I3420" s="388" t="s">
        <v>1153</v>
      </c>
      <c r="J3420" s="634">
        <v>0.22800000000000001</v>
      </c>
      <c r="K3420" s="389">
        <v>423.66071428571433</v>
      </c>
      <c r="L3420" s="536"/>
      <c r="M3420" s="509">
        <f t="shared" si="10290"/>
        <v>2.9504741833508952</v>
      </c>
      <c r="N3420" s="645">
        <f t="shared" si="10322"/>
        <v>2.9504741833508947</v>
      </c>
      <c r="O3420" s="625"/>
      <c r="P3420" s="628">
        <f t="shared" ref="P3420:P3430" si="10361">IFERROR(IF(H3420*M3420+H3421*M3421+H3422*M3422+H3423*M3423+H3424*M3424&gt;100,100,H3420*M3420+H3421*M3421+H3422*M3422+H3423*M3423+H3424*M3424),"N.A.")</f>
        <v>2.9504741833508947</v>
      </c>
      <c r="Q3420" s="628">
        <f t="shared" si="10277"/>
        <v>2.9504741833508947</v>
      </c>
    </row>
    <row r="3421" spans="1:17" ht="15.75" hidden="1" thickBot="1">
      <c r="A3421" s="390" t="str">
        <f t="shared" ref="A3421:B3421" si="10362">A3418</f>
        <v>PEA</v>
      </c>
      <c r="B3421" s="391" t="str">
        <f t="shared" si="10362"/>
        <v>particle</v>
      </c>
      <c r="C3421" s="391">
        <f t="shared" ref="C3421" si="10363">C3420</f>
        <v>6</v>
      </c>
      <c r="D3421" s="391" t="str">
        <f t="shared" ref="D3421:E3421" si="10364">D3418</f>
        <v>1-10</v>
      </c>
      <c r="E3421" s="391">
        <f t="shared" si="10364"/>
        <v>10</v>
      </c>
      <c r="F3421" s="391" t="str">
        <f t="shared" ref="F3421:G3421" si="10365">F3420</f>
        <v>air</v>
      </c>
      <c r="G3421" s="401" t="str">
        <f t="shared" si="10365"/>
        <v>DE: PEA particle 1-10 mm (emission to air)</v>
      </c>
      <c r="H3421" s="465">
        <v>5.1999999999999998E-2</v>
      </c>
      <c r="I3421" s="394" t="s">
        <v>1097</v>
      </c>
      <c r="J3421" s="635"/>
      <c r="K3421" s="389">
        <v>423.66071428571433</v>
      </c>
      <c r="L3421" s="536"/>
      <c r="M3421" s="509">
        <f t="shared" si="10290"/>
        <v>2.9504741833508952</v>
      </c>
      <c r="N3421" s="646"/>
      <c r="O3421" s="626"/>
      <c r="P3421" s="629"/>
      <c r="Q3421" s="629"/>
    </row>
    <row r="3422" spans="1:17" ht="15.75" hidden="1" thickBot="1">
      <c r="A3422" s="390" t="str">
        <f t="shared" ref="A3422:B3422" si="10366">A3419</f>
        <v>PEA</v>
      </c>
      <c r="B3422" s="391" t="str">
        <f t="shared" si="10366"/>
        <v>particle</v>
      </c>
      <c r="C3422" s="391">
        <f t="shared" ref="C3422" si="10367">C3421</f>
        <v>6</v>
      </c>
      <c r="D3422" s="391" t="str">
        <f t="shared" ref="D3422:E3422" si="10368">D3419</f>
        <v>1-10</v>
      </c>
      <c r="E3422" s="391">
        <f t="shared" si="10368"/>
        <v>10</v>
      </c>
      <c r="F3422" s="391" t="str">
        <f t="shared" ref="F3422:G3422" si="10369">F3421</f>
        <v>air</v>
      </c>
      <c r="G3422" s="401" t="str">
        <f t="shared" si="10369"/>
        <v>DE: PEA particle 1-10 mm (emission to air)</v>
      </c>
      <c r="H3422" s="465">
        <v>0</v>
      </c>
      <c r="I3422" s="394" t="s">
        <v>1162</v>
      </c>
      <c r="J3422" s="635"/>
      <c r="K3422" s="389">
        <v>423.66071428571433</v>
      </c>
      <c r="L3422" s="536"/>
      <c r="M3422" s="509">
        <f t="shared" si="10290"/>
        <v>2.9504741833508952</v>
      </c>
      <c r="N3422" s="646"/>
      <c r="O3422" s="626"/>
      <c r="P3422" s="629"/>
      <c r="Q3422" s="629"/>
    </row>
    <row r="3423" spans="1:17" ht="15.75" hidden="1" thickBot="1">
      <c r="A3423" s="390" t="str">
        <f t="shared" ref="A3423:B3423" si="10370">A3420</f>
        <v>PEA</v>
      </c>
      <c r="B3423" s="391" t="str">
        <f t="shared" si="10370"/>
        <v>particle</v>
      </c>
      <c r="C3423" s="391">
        <f t="shared" ref="C3423" si="10371">C3422</f>
        <v>6</v>
      </c>
      <c r="D3423" s="391" t="str">
        <f t="shared" ref="D3423:E3423" si="10372">D3420</f>
        <v>1-10</v>
      </c>
      <c r="E3423" s="391">
        <f t="shared" si="10372"/>
        <v>10</v>
      </c>
      <c r="F3423" s="391" t="str">
        <f t="shared" ref="F3423:G3423" si="10373">F3422</f>
        <v>air</v>
      </c>
      <c r="G3423" s="401" t="str">
        <f t="shared" si="10373"/>
        <v>DE: PEA particle 1-10 mm (emission to air)</v>
      </c>
      <c r="H3423" s="465">
        <v>0</v>
      </c>
      <c r="I3423" s="394" t="s">
        <v>1163</v>
      </c>
      <c r="J3423" s="635"/>
      <c r="K3423" s="389">
        <v>423.66071428571433</v>
      </c>
      <c r="L3423" s="536"/>
      <c r="M3423" s="509">
        <f t="shared" si="10290"/>
        <v>2.9504741833508952</v>
      </c>
      <c r="N3423" s="646"/>
      <c r="O3423" s="626"/>
      <c r="P3423" s="629"/>
      <c r="Q3423" s="629"/>
    </row>
    <row r="3424" spans="1:17" ht="15.75" hidden="1" thickBot="1">
      <c r="A3424" s="452" t="str">
        <f t="shared" ref="A3424:B3424" si="10374">A3419</f>
        <v>PEA</v>
      </c>
      <c r="B3424" s="453" t="str">
        <f t="shared" si="10374"/>
        <v>particle</v>
      </c>
      <c r="C3424" s="453">
        <f t="shared" ref="C3424" si="10375">C3423</f>
        <v>6</v>
      </c>
      <c r="D3424" s="453" t="str">
        <f t="shared" ref="D3424:E3424" si="10376">D3419</f>
        <v>1-10</v>
      </c>
      <c r="E3424" s="453">
        <f t="shared" si="10376"/>
        <v>10</v>
      </c>
      <c r="F3424" s="453" t="str">
        <f t="shared" ref="F3424:G3424" si="10377">F3423</f>
        <v>air</v>
      </c>
      <c r="G3424" s="454" t="str">
        <f t="shared" si="10377"/>
        <v>DE: PEA particle 1-10 mm (emission to air)</v>
      </c>
      <c r="H3424" s="473">
        <v>0</v>
      </c>
      <c r="I3424" s="456" t="s">
        <v>1034</v>
      </c>
      <c r="J3424" s="636"/>
      <c r="K3424" s="457" t="s">
        <v>596</v>
      </c>
      <c r="L3424" s="543"/>
      <c r="M3424" s="509">
        <f t="shared" si="10290"/>
        <v>0</v>
      </c>
      <c r="N3424" s="647"/>
      <c r="O3424" s="627"/>
      <c r="P3424" s="629"/>
      <c r="Q3424" s="629"/>
    </row>
    <row r="3425" spans="1:17" ht="16.5" hidden="1" thickTop="1" thickBot="1">
      <c r="A3425" s="442" t="s">
        <v>771</v>
      </c>
      <c r="B3425" s="443" t="s">
        <v>996</v>
      </c>
      <c r="C3425" s="444">
        <f>IF(OR(B3425="Folie", B3425="Strips", B3425="Film",B3425="Flakes",B3425="Coupon"), 2,IF(OR(B3425="Fibers",B3425="Pellets"),4,IF(OR(B3425="Particles",B3425="Shreds",B3425="Powder",B3425="Fragments",B3425="Granules"),6,"")))</f>
        <v>2</v>
      </c>
      <c r="D3425" s="444" t="s">
        <v>1018</v>
      </c>
      <c r="E3425" s="445">
        <v>0.1</v>
      </c>
      <c r="F3425" s="446" t="s">
        <v>1019</v>
      </c>
      <c r="G3425" s="447" t="str">
        <f>CONCATENATE("DE: ",A3425," ",B3425," ",D3425," mm (emission to ",F3425,")")</f>
        <v>DE: PES film 0,01-0,1 mm (emission to soil)</v>
      </c>
      <c r="H3425" s="464">
        <v>0.97</v>
      </c>
      <c r="I3425" s="448" t="s">
        <v>1153</v>
      </c>
      <c r="J3425" s="632">
        <v>0.22800000000000001</v>
      </c>
      <c r="K3425" s="449">
        <v>13.04</v>
      </c>
      <c r="L3425" s="541"/>
      <c r="M3425" s="509">
        <f t="shared" si="10290"/>
        <v>3.834355828220859</v>
      </c>
      <c r="N3425" s="645">
        <f t="shared" si="10322"/>
        <v>3.834355828220859</v>
      </c>
      <c r="O3425" s="625"/>
      <c r="P3425" s="628">
        <f t="shared" si="10361"/>
        <v>3.834355828220859</v>
      </c>
      <c r="Q3425" s="628">
        <f t="shared" si="10277"/>
        <v>3.834355828220859</v>
      </c>
    </row>
    <row r="3426" spans="1:17" ht="15.75" hidden="1" thickBot="1">
      <c r="A3426" s="390" t="str">
        <f>A3425</f>
        <v>PES</v>
      </c>
      <c r="B3426" s="391" t="str">
        <f>B3425</f>
        <v>film</v>
      </c>
      <c r="C3426" s="391">
        <f t="shared" ref="C3426:G3426" si="10378">C3425</f>
        <v>2</v>
      </c>
      <c r="D3426" s="391" t="str">
        <f t="shared" si="10378"/>
        <v>0,01-0,1</v>
      </c>
      <c r="E3426" s="391">
        <f t="shared" si="10378"/>
        <v>0.1</v>
      </c>
      <c r="F3426" s="391" t="str">
        <f t="shared" si="10378"/>
        <v>soil</v>
      </c>
      <c r="G3426" s="392" t="str">
        <f t="shared" si="10378"/>
        <v>DE: PES film 0,01-0,1 mm (emission to soil)</v>
      </c>
      <c r="H3426" s="465">
        <v>0.03</v>
      </c>
      <c r="I3426" s="394" t="s">
        <v>1097</v>
      </c>
      <c r="J3426" s="632"/>
      <c r="K3426" s="395">
        <v>13.04</v>
      </c>
      <c r="L3426" s="537"/>
      <c r="M3426" s="509">
        <f t="shared" si="10290"/>
        <v>3.834355828220859</v>
      </c>
      <c r="N3426" s="646"/>
      <c r="O3426" s="626"/>
      <c r="P3426" s="629"/>
      <c r="Q3426" s="629"/>
    </row>
    <row r="3427" spans="1:17" ht="15.75" hidden="1" thickBot="1">
      <c r="A3427" s="390" t="str">
        <f t="shared" ref="A3427:G3427" si="10379">A3426</f>
        <v>PES</v>
      </c>
      <c r="B3427" s="391" t="str">
        <f t="shared" si="10379"/>
        <v>film</v>
      </c>
      <c r="C3427" s="391">
        <f t="shared" si="10379"/>
        <v>2</v>
      </c>
      <c r="D3427" s="391" t="str">
        <f t="shared" si="10379"/>
        <v>0,01-0,1</v>
      </c>
      <c r="E3427" s="391">
        <f t="shared" si="10379"/>
        <v>0.1</v>
      </c>
      <c r="F3427" s="391" t="str">
        <f t="shared" si="10379"/>
        <v>soil</v>
      </c>
      <c r="G3427" s="392" t="str">
        <f t="shared" si="10379"/>
        <v>DE: PES film 0,01-0,1 mm (emission to soil)</v>
      </c>
      <c r="H3427" s="465">
        <v>0</v>
      </c>
      <c r="I3427" s="394" t="s">
        <v>1162</v>
      </c>
      <c r="J3427" s="632"/>
      <c r="K3427" s="395">
        <v>13.04</v>
      </c>
      <c r="L3427" s="537"/>
      <c r="M3427" s="509">
        <f t="shared" si="10290"/>
        <v>3.834355828220859</v>
      </c>
      <c r="N3427" s="646"/>
      <c r="O3427" s="626"/>
      <c r="P3427" s="629"/>
      <c r="Q3427" s="629"/>
    </row>
    <row r="3428" spans="1:17" ht="15.75" hidden="1" thickBot="1">
      <c r="A3428" s="390" t="str">
        <f t="shared" ref="A3428:G3428" si="10380">A3427</f>
        <v>PES</v>
      </c>
      <c r="B3428" s="391" t="str">
        <f t="shared" si="10380"/>
        <v>film</v>
      </c>
      <c r="C3428" s="391">
        <f t="shared" si="10380"/>
        <v>2</v>
      </c>
      <c r="D3428" s="391" t="str">
        <f t="shared" si="10380"/>
        <v>0,01-0,1</v>
      </c>
      <c r="E3428" s="391">
        <f t="shared" si="10380"/>
        <v>0.1</v>
      </c>
      <c r="F3428" s="391" t="str">
        <f t="shared" si="10380"/>
        <v>soil</v>
      </c>
      <c r="G3428" s="392" t="str">
        <f t="shared" si="10380"/>
        <v>DE: PES film 0,01-0,1 mm (emission to soil)</v>
      </c>
      <c r="H3428" s="465">
        <v>0</v>
      </c>
      <c r="I3428" s="394" t="s">
        <v>1163</v>
      </c>
      <c r="J3428" s="632"/>
      <c r="K3428" s="395">
        <v>13.04</v>
      </c>
      <c r="L3428" s="537"/>
      <c r="M3428" s="509">
        <f t="shared" si="10290"/>
        <v>3.834355828220859</v>
      </c>
      <c r="N3428" s="646"/>
      <c r="O3428" s="626"/>
      <c r="P3428" s="629"/>
      <c r="Q3428" s="629"/>
    </row>
    <row r="3429" spans="1:17" ht="15.75" hidden="1" thickBot="1">
      <c r="A3429" s="390" t="str">
        <f>A3426</f>
        <v>PES</v>
      </c>
      <c r="B3429" s="391" t="str">
        <f>B3426</f>
        <v>film</v>
      </c>
      <c r="C3429" s="391">
        <f t="shared" ref="C3429" si="10381">C3428</f>
        <v>2</v>
      </c>
      <c r="D3429" s="391" t="str">
        <f>D3426</f>
        <v>0,01-0,1</v>
      </c>
      <c r="E3429" s="391">
        <f>E3426</f>
        <v>0.1</v>
      </c>
      <c r="F3429" s="391" t="str">
        <f>F3426</f>
        <v>soil</v>
      </c>
      <c r="G3429" s="396" t="str">
        <f t="shared" ref="G3429" si="10382">G3428</f>
        <v>DE: PES film 0,01-0,1 mm (emission to soil)</v>
      </c>
      <c r="H3429" s="465">
        <v>0</v>
      </c>
      <c r="I3429" s="397" t="s">
        <v>1034</v>
      </c>
      <c r="J3429" s="633"/>
      <c r="K3429" s="398" t="s">
        <v>596</v>
      </c>
      <c r="L3429" s="538"/>
      <c r="M3429" s="509">
        <f t="shared" si="10290"/>
        <v>0</v>
      </c>
      <c r="N3429" s="647"/>
      <c r="O3429" s="627"/>
      <c r="P3429" s="629"/>
      <c r="Q3429" s="629"/>
    </row>
    <row r="3430" spans="1:17" ht="15.75" hidden="1" thickBot="1">
      <c r="A3430" s="390" t="str">
        <f t="shared" ref="A3430:B3430" si="10383">A3427</f>
        <v>PES</v>
      </c>
      <c r="B3430" s="391" t="str">
        <f t="shared" si="10383"/>
        <v>film</v>
      </c>
      <c r="C3430" s="391">
        <f t="shared" ref="C3430" si="10384">C3429</f>
        <v>2</v>
      </c>
      <c r="D3430" s="399" t="str">
        <f t="shared" ref="D3430:E3430" si="10385">D3427</f>
        <v>0,01-0,1</v>
      </c>
      <c r="E3430" s="391">
        <f t="shared" si="10385"/>
        <v>0.1</v>
      </c>
      <c r="F3430" s="400" t="s">
        <v>1147</v>
      </c>
      <c r="G3430" s="386" t="str">
        <f>CONCATENATE("DE: ",A3430," ",B3430," ",D3430," mm (emission to ",F3430,")")</f>
        <v>DE: PES film 0,01-0,1 mm (emission to fresh water)</v>
      </c>
      <c r="H3430" s="466">
        <v>0</v>
      </c>
      <c r="I3430" s="388" t="s">
        <v>1153</v>
      </c>
      <c r="J3430" s="634">
        <v>0.22800000000000001</v>
      </c>
      <c r="K3430" s="389">
        <v>13.04</v>
      </c>
      <c r="L3430" s="536"/>
      <c r="M3430" s="509">
        <f t="shared" si="10290"/>
        <v>3.834355828220859</v>
      </c>
      <c r="N3430" s="645">
        <f t="shared" si="10322"/>
        <v>3.834355828220859</v>
      </c>
      <c r="O3430" s="625"/>
      <c r="P3430" s="628">
        <f t="shared" si="10361"/>
        <v>3.834355828220859</v>
      </c>
      <c r="Q3430" s="628">
        <f t="shared" si="10277"/>
        <v>3.834355828220859</v>
      </c>
    </row>
    <row r="3431" spans="1:17" ht="15.75" hidden="1" thickBot="1">
      <c r="A3431" s="390" t="str">
        <f t="shared" ref="A3431:B3431" si="10386">A3428</f>
        <v>PES</v>
      </c>
      <c r="B3431" s="391" t="str">
        <f t="shared" si="10386"/>
        <v>film</v>
      </c>
      <c r="C3431" s="391">
        <f t="shared" ref="C3431" si="10387">C3430</f>
        <v>2</v>
      </c>
      <c r="D3431" s="391" t="str">
        <f t="shared" ref="D3431:E3431" si="10388">D3428</f>
        <v>0,01-0,1</v>
      </c>
      <c r="E3431" s="391">
        <f t="shared" si="10388"/>
        <v>0.1</v>
      </c>
      <c r="F3431" s="391" t="str">
        <f t="shared" ref="F3431:G3431" si="10389">F3430</f>
        <v>fresh water</v>
      </c>
      <c r="G3431" s="401" t="str">
        <f t="shared" si="10389"/>
        <v>DE: PES film 0,01-0,1 mm (emission to fresh water)</v>
      </c>
      <c r="H3431" s="465">
        <v>1</v>
      </c>
      <c r="I3431" s="394" t="s">
        <v>1097</v>
      </c>
      <c r="J3431" s="635"/>
      <c r="K3431" s="389">
        <v>13.04</v>
      </c>
      <c r="L3431" s="536"/>
      <c r="M3431" s="509">
        <f t="shared" si="10290"/>
        <v>3.834355828220859</v>
      </c>
      <c r="N3431" s="646"/>
      <c r="O3431" s="626"/>
      <c r="P3431" s="629"/>
      <c r="Q3431" s="629"/>
    </row>
    <row r="3432" spans="1:17" ht="15.75" hidden="1" thickBot="1">
      <c r="A3432" s="390" t="str">
        <f t="shared" ref="A3432:B3432" si="10390">A3429</f>
        <v>PES</v>
      </c>
      <c r="B3432" s="391" t="str">
        <f t="shared" si="10390"/>
        <v>film</v>
      </c>
      <c r="C3432" s="391">
        <f t="shared" ref="C3432" si="10391">C3431</f>
        <v>2</v>
      </c>
      <c r="D3432" s="391" t="str">
        <f t="shared" ref="D3432:E3432" si="10392">D3429</f>
        <v>0,01-0,1</v>
      </c>
      <c r="E3432" s="391">
        <f t="shared" si="10392"/>
        <v>0.1</v>
      </c>
      <c r="F3432" s="391" t="str">
        <f t="shared" ref="F3432:G3432" si="10393">F3431</f>
        <v>fresh water</v>
      </c>
      <c r="G3432" s="401" t="str">
        <f t="shared" si="10393"/>
        <v>DE: PES film 0,01-0,1 mm (emission to fresh water)</v>
      </c>
      <c r="H3432" s="465">
        <v>0</v>
      </c>
      <c r="I3432" s="394" t="s">
        <v>1162</v>
      </c>
      <c r="J3432" s="635"/>
      <c r="K3432" s="389">
        <v>13.04</v>
      </c>
      <c r="L3432" s="536"/>
      <c r="M3432" s="509">
        <f t="shared" si="10290"/>
        <v>3.834355828220859</v>
      </c>
      <c r="N3432" s="646"/>
      <c r="O3432" s="626"/>
      <c r="P3432" s="629"/>
      <c r="Q3432" s="629"/>
    </row>
    <row r="3433" spans="1:17" ht="15.75" hidden="1" thickBot="1">
      <c r="A3433" s="390" t="str">
        <f t="shared" ref="A3433:B3433" si="10394">A3430</f>
        <v>PES</v>
      </c>
      <c r="B3433" s="391" t="str">
        <f t="shared" si="10394"/>
        <v>film</v>
      </c>
      <c r="C3433" s="391">
        <f t="shared" ref="C3433" si="10395">C3432</f>
        <v>2</v>
      </c>
      <c r="D3433" s="391" t="str">
        <f t="shared" ref="D3433:E3433" si="10396">D3430</f>
        <v>0,01-0,1</v>
      </c>
      <c r="E3433" s="391">
        <f t="shared" si="10396"/>
        <v>0.1</v>
      </c>
      <c r="F3433" s="391" t="str">
        <f t="shared" ref="F3433:G3433" si="10397">F3432</f>
        <v>fresh water</v>
      </c>
      <c r="G3433" s="401" t="str">
        <f t="shared" si="10397"/>
        <v>DE: PES film 0,01-0,1 mm (emission to fresh water)</v>
      </c>
      <c r="H3433" s="465">
        <v>0</v>
      </c>
      <c r="I3433" s="394" t="s">
        <v>1163</v>
      </c>
      <c r="J3433" s="635"/>
      <c r="K3433" s="389">
        <v>13.04</v>
      </c>
      <c r="L3433" s="536"/>
      <c r="M3433" s="509">
        <f t="shared" si="10290"/>
        <v>3.834355828220859</v>
      </c>
      <c r="N3433" s="646"/>
      <c r="O3433" s="626"/>
      <c r="P3433" s="629"/>
      <c r="Q3433" s="629"/>
    </row>
    <row r="3434" spans="1:17" ht="15.75" hidden="1" thickBot="1">
      <c r="A3434" s="390" t="str">
        <f t="shared" ref="A3434:B3434" si="10398">A3431</f>
        <v>PES</v>
      </c>
      <c r="B3434" s="391" t="str">
        <f t="shared" si="10398"/>
        <v>film</v>
      </c>
      <c r="C3434" s="391">
        <f t="shared" ref="C3434" si="10399">C3433</f>
        <v>2</v>
      </c>
      <c r="D3434" s="391" t="str">
        <f t="shared" ref="D3434:E3434" si="10400">D3431</f>
        <v>0,01-0,1</v>
      </c>
      <c r="E3434" s="391">
        <f t="shared" si="10400"/>
        <v>0.1</v>
      </c>
      <c r="F3434" s="402" t="str">
        <f>F3431</f>
        <v>fresh water</v>
      </c>
      <c r="G3434" s="401" t="str">
        <f t="shared" ref="G3434" si="10401">G3433</f>
        <v>DE: PES film 0,01-0,1 mm (emission to fresh water)</v>
      </c>
      <c r="H3434" s="465">
        <v>0</v>
      </c>
      <c r="I3434" s="397" t="s">
        <v>1034</v>
      </c>
      <c r="J3434" s="654"/>
      <c r="K3434" s="398" t="s">
        <v>596</v>
      </c>
      <c r="L3434" s="538"/>
      <c r="M3434" s="509">
        <f t="shared" si="10290"/>
        <v>0</v>
      </c>
      <c r="N3434" s="647"/>
      <c r="O3434" s="627"/>
      <c r="P3434" s="629"/>
      <c r="Q3434" s="629"/>
    </row>
    <row r="3435" spans="1:17" ht="15.75" hidden="1" thickBot="1">
      <c r="A3435" s="390" t="str">
        <f t="shared" ref="A3435:B3435" si="10402">A3432</f>
        <v>PES</v>
      </c>
      <c r="B3435" s="391" t="str">
        <f t="shared" si="10402"/>
        <v>film</v>
      </c>
      <c r="C3435" s="391">
        <f t="shared" ref="C3435" si="10403">C3434</f>
        <v>2</v>
      </c>
      <c r="D3435" s="391" t="str">
        <f t="shared" ref="D3435:E3435" si="10404">D3432</f>
        <v>0,01-0,1</v>
      </c>
      <c r="E3435" s="391">
        <f t="shared" si="10404"/>
        <v>0.1</v>
      </c>
      <c r="F3435" s="385" t="s">
        <v>1097</v>
      </c>
      <c r="G3435" s="422" t="str">
        <f>CONCATENATE("DE: ",A3435," ",B3435," ",D3435," mm (emission to ",F3435,")")</f>
        <v>DE: PES film 0,01-0,1 mm (emission to marine water)</v>
      </c>
      <c r="H3435" s="467">
        <v>0</v>
      </c>
      <c r="I3435" s="388" t="s">
        <v>1153</v>
      </c>
      <c r="J3435" s="634">
        <v>0.22800000000000001</v>
      </c>
      <c r="K3435" s="389">
        <v>13.04</v>
      </c>
      <c r="L3435" s="536"/>
      <c r="M3435" s="509">
        <f t="shared" si="10290"/>
        <v>3.834355828220859</v>
      </c>
      <c r="N3435" s="645">
        <f t="shared" si="10322"/>
        <v>3.834355828220859</v>
      </c>
      <c r="O3435" s="625"/>
      <c r="P3435" s="628">
        <f t="shared" ref="P3435:P3495" si="10405">IFERROR(IF(H3435*M3435+H3436*M3436+H3437*M3437+H3438*M3438+H3439*M3439&gt;100,100,H3435*M3435+H3436*M3436+H3437*M3437+H3438*M3438+H3439*M3439),"N.A.")</f>
        <v>3.834355828220859</v>
      </c>
      <c r="Q3435" s="628">
        <f t="shared" si="10277"/>
        <v>3.834355828220859</v>
      </c>
    </row>
    <row r="3436" spans="1:17" ht="15.75" hidden="1" thickBot="1">
      <c r="A3436" s="390" t="str">
        <f t="shared" ref="A3436:B3436" si="10406">A3433</f>
        <v>PES</v>
      </c>
      <c r="B3436" s="391" t="str">
        <f t="shared" si="10406"/>
        <v>film</v>
      </c>
      <c r="C3436" s="391">
        <f t="shared" ref="C3436" si="10407">C3435</f>
        <v>2</v>
      </c>
      <c r="D3436" s="391" t="str">
        <f t="shared" ref="D3436:E3436" si="10408">D3433</f>
        <v>0,01-0,1</v>
      </c>
      <c r="E3436" s="391">
        <f t="shared" si="10408"/>
        <v>0.1</v>
      </c>
      <c r="F3436" s="391" t="str">
        <f t="shared" ref="F3436:G3436" si="10409">F3435</f>
        <v>marine water</v>
      </c>
      <c r="G3436" s="401" t="str">
        <f t="shared" si="10409"/>
        <v>DE: PES film 0,01-0,1 mm (emission to marine water)</v>
      </c>
      <c r="H3436" s="465">
        <v>1</v>
      </c>
      <c r="I3436" s="394" t="s">
        <v>1097</v>
      </c>
      <c r="J3436" s="635"/>
      <c r="K3436" s="389">
        <v>13.04</v>
      </c>
      <c r="L3436" s="536"/>
      <c r="M3436" s="509">
        <f t="shared" si="10290"/>
        <v>3.834355828220859</v>
      </c>
      <c r="N3436" s="646"/>
      <c r="O3436" s="626"/>
      <c r="P3436" s="629"/>
      <c r="Q3436" s="629"/>
    </row>
    <row r="3437" spans="1:17" ht="15.75" hidden="1" thickBot="1">
      <c r="A3437" s="390" t="str">
        <f t="shared" ref="A3437:B3437" si="10410">A3434</f>
        <v>PES</v>
      </c>
      <c r="B3437" s="391" t="str">
        <f t="shared" si="10410"/>
        <v>film</v>
      </c>
      <c r="C3437" s="391">
        <f t="shared" ref="C3437" si="10411">C3436</f>
        <v>2</v>
      </c>
      <c r="D3437" s="391" t="str">
        <f t="shared" ref="D3437:E3437" si="10412">D3434</f>
        <v>0,01-0,1</v>
      </c>
      <c r="E3437" s="391">
        <f t="shared" si="10412"/>
        <v>0.1</v>
      </c>
      <c r="F3437" s="391" t="str">
        <f t="shared" ref="F3437:G3437" si="10413">F3436</f>
        <v>marine water</v>
      </c>
      <c r="G3437" s="401" t="str">
        <f t="shared" si="10413"/>
        <v>DE: PES film 0,01-0,1 mm (emission to marine water)</v>
      </c>
      <c r="H3437" s="465">
        <v>0</v>
      </c>
      <c r="I3437" s="394" t="s">
        <v>1162</v>
      </c>
      <c r="J3437" s="635"/>
      <c r="K3437" s="389">
        <v>13.04</v>
      </c>
      <c r="L3437" s="536"/>
      <c r="M3437" s="509">
        <f t="shared" si="10290"/>
        <v>3.834355828220859</v>
      </c>
      <c r="N3437" s="646"/>
      <c r="O3437" s="626"/>
      <c r="P3437" s="629"/>
      <c r="Q3437" s="629"/>
    </row>
    <row r="3438" spans="1:17" ht="15.75" hidden="1" thickBot="1">
      <c r="A3438" s="390" t="str">
        <f t="shared" ref="A3438:B3438" si="10414">A3435</f>
        <v>PES</v>
      </c>
      <c r="B3438" s="391" t="str">
        <f t="shared" si="10414"/>
        <v>film</v>
      </c>
      <c r="C3438" s="391">
        <f t="shared" ref="C3438" si="10415">C3437</f>
        <v>2</v>
      </c>
      <c r="D3438" s="391" t="str">
        <f t="shared" ref="D3438:E3438" si="10416">D3435</f>
        <v>0,01-0,1</v>
      </c>
      <c r="E3438" s="391">
        <f t="shared" si="10416"/>
        <v>0.1</v>
      </c>
      <c r="F3438" s="391" t="str">
        <f t="shared" ref="F3438:G3438" si="10417">F3437</f>
        <v>marine water</v>
      </c>
      <c r="G3438" s="401" t="str">
        <f t="shared" si="10417"/>
        <v>DE: PES film 0,01-0,1 mm (emission to marine water)</v>
      </c>
      <c r="H3438" s="465">
        <v>0</v>
      </c>
      <c r="I3438" s="394" t="s">
        <v>1163</v>
      </c>
      <c r="J3438" s="635"/>
      <c r="K3438" s="389">
        <v>13.04</v>
      </c>
      <c r="L3438" s="536"/>
      <c r="M3438" s="509">
        <f t="shared" si="10290"/>
        <v>3.834355828220859</v>
      </c>
      <c r="N3438" s="646"/>
      <c r="O3438" s="626"/>
      <c r="P3438" s="629"/>
      <c r="Q3438" s="629"/>
    </row>
    <row r="3439" spans="1:17" ht="15.75" hidden="1" thickBot="1">
      <c r="A3439" s="390" t="str">
        <f t="shared" ref="A3439:B3439" si="10418">A3436</f>
        <v>PES</v>
      </c>
      <c r="B3439" s="391" t="str">
        <f t="shared" si="10418"/>
        <v>film</v>
      </c>
      <c r="C3439" s="391">
        <f t="shared" ref="C3439" si="10419">C3438</f>
        <v>2</v>
      </c>
      <c r="D3439" s="391" t="str">
        <f t="shared" ref="D3439:E3439" si="10420">D3436</f>
        <v>0,01-0,1</v>
      </c>
      <c r="E3439" s="391">
        <f t="shared" si="10420"/>
        <v>0.1</v>
      </c>
      <c r="F3439" s="391" t="str">
        <f t="shared" ref="F3439:G3439" si="10421">F3438</f>
        <v>marine water</v>
      </c>
      <c r="G3439" s="401" t="str">
        <f t="shared" si="10421"/>
        <v>DE: PES film 0,01-0,1 mm (emission to marine water)</v>
      </c>
      <c r="H3439" s="465">
        <v>0</v>
      </c>
      <c r="I3439" s="397" t="s">
        <v>1034</v>
      </c>
      <c r="J3439" s="654"/>
      <c r="K3439" s="398" t="s">
        <v>596</v>
      </c>
      <c r="L3439" s="538"/>
      <c r="M3439" s="509">
        <f t="shared" si="10290"/>
        <v>0</v>
      </c>
      <c r="N3439" s="647"/>
      <c r="O3439" s="627"/>
      <c r="P3439" s="629"/>
      <c r="Q3439" s="629"/>
    </row>
    <row r="3440" spans="1:17" ht="15.75" hidden="1" thickBot="1">
      <c r="A3440" s="390" t="str">
        <f t="shared" ref="A3440:B3440" si="10422">A3437</f>
        <v>PES</v>
      </c>
      <c r="B3440" s="391" t="str">
        <f t="shared" si="10422"/>
        <v>film</v>
      </c>
      <c r="C3440" s="391">
        <f t="shared" ref="C3440" si="10423">C3439</f>
        <v>2</v>
      </c>
      <c r="D3440" s="391" t="str">
        <f t="shared" ref="D3440:E3440" si="10424">D3437</f>
        <v>0,01-0,1</v>
      </c>
      <c r="E3440" s="391">
        <f t="shared" si="10424"/>
        <v>0.1</v>
      </c>
      <c r="F3440" s="400" t="s">
        <v>1057</v>
      </c>
      <c r="G3440" s="422" t="str">
        <f>CONCATENATE("DE: ",A3440," ",B3440," ",D3440," mm (emission to ",F3440,")")</f>
        <v>DE: PES film 0,01-0,1 mm (emission to air)</v>
      </c>
      <c r="H3440" s="467">
        <v>0.94799999999999995</v>
      </c>
      <c r="I3440" s="388" t="s">
        <v>1153</v>
      </c>
      <c r="J3440" s="634">
        <v>0.22800000000000001</v>
      </c>
      <c r="K3440" s="389">
        <v>13.04</v>
      </c>
      <c r="L3440" s="536"/>
      <c r="M3440" s="509">
        <f t="shared" si="10290"/>
        <v>3.834355828220859</v>
      </c>
      <c r="N3440" s="645">
        <f t="shared" si="10322"/>
        <v>3.834355828220859</v>
      </c>
      <c r="O3440" s="625"/>
      <c r="P3440" s="628">
        <f t="shared" si="10405"/>
        <v>3.834355828220859</v>
      </c>
      <c r="Q3440" s="628">
        <f t="shared" si="10277"/>
        <v>3.834355828220859</v>
      </c>
    </row>
    <row r="3441" spans="1:17" ht="15.75" hidden="1" thickBot="1">
      <c r="A3441" s="390" t="str">
        <f t="shared" ref="A3441:B3441" si="10425">A3438</f>
        <v>PES</v>
      </c>
      <c r="B3441" s="391" t="str">
        <f t="shared" si="10425"/>
        <v>film</v>
      </c>
      <c r="C3441" s="391">
        <f t="shared" ref="C3441" si="10426">C3440</f>
        <v>2</v>
      </c>
      <c r="D3441" s="391" t="str">
        <f t="shared" ref="D3441:E3441" si="10427">D3438</f>
        <v>0,01-0,1</v>
      </c>
      <c r="E3441" s="391">
        <f t="shared" si="10427"/>
        <v>0.1</v>
      </c>
      <c r="F3441" s="391" t="str">
        <f t="shared" ref="F3441:G3441" si="10428">F3440</f>
        <v>air</v>
      </c>
      <c r="G3441" s="401" t="str">
        <f t="shared" si="10428"/>
        <v>DE: PES film 0,01-0,1 mm (emission to air)</v>
      </c>
      <c r="H3441" s="465">
        <v>5.1999999999999998E-2</v>
      </c>
      <c r="I3441" s="394" t="s">
        <v>1097</v>
      </c>
      <c r="J3441" s="635"/>
      <c r="K3441" s="389">
        <v>13.04</v>
      </c>
      <c r="L3441" s="536"/>
      <c r="M3441" s="509">
        <f t="shared" si="10290"/>
        <v>3.834355828220859</v>
      </c>
      <c r="N3441" s="646"/>
      <c r="O3441" s="626"/>
      <c r="P3441" s="629"/>
      <c r="Q3441" s="629"/>
    </row>
    <row r="3442" spans="1:17" ht="15.75" hidden="1" thickBot="1">
      <c r="A3442" s="390" t="str">
        <f t="shared" ref="A3442:B3442" si="10429">A3439</f>
        <v>PES</v>
      </c>
      <c r="B3442" s="391" t="str">
        <f t="shared" si="10429"/>
        <v>film</v>
      </c>
      <c r="C3442" s="391">
        <f t="shared" ref="C3442" si="10430">C3441</f>
        <v>2</v>
      </c>
      <c r="D3442" s="391" t="str">
        <f t="shared" ref="D3442:E3442" si="10431">D3439</f>
        <v>0,01-0,1</v>
      </c>
      <c r="E3442" s="391">
        <f t="shared" si="10431"/>
        <v>0.1</v>
      </c>
      <c r="F3442" s="391" t="str">
        <f t="shared" ref="F3442:G3442" si="10432">F3441</f>
        <v>air</v>
      </c>
      <c r="G3442" s="401" t="str">
        <f t="shared" si="10432"/>
        <v>DE: PES film 0,01-0,1 mm (emission to air)</v>
      </c>
      <c r="H3442" s="465">
        <v>0</v>
      </c>
      <c r="I3442" s="394" t="s">
        <v>1162</v>
      </c>
      <c r="J3442" s="635"/>
      <c r="K3442" s="389">
        <v>13.04</v>
      </c>
      <c r="L3442" s="536"/>
      <c r="M3442" s="509">
        <f t="shared" si="10290"/>
        <v>3.834355828220859</v>
      </c>
      <c r="N3442" s="646"/>
      <c r="O3442" s="626"/>
      <c r="P3442" s="629"/>
      <c r="Q3442" s="629"/>
    </row>
    <row r="3443" spans="1:17" ht="15.75" hidden="1" thickBot="1">
      <c r="A3443" s="390" t="str">
        <f t="shared" ref="A3443:B3443" si="10433">A3440</f>
        <v>PES</v>
      </c>
      <c r="B3443" s="391" t="str">
        <f t="shared" si="10433"/>
        <v>film</v>
      </c>
      <c r="C3443" s="391">
        <f t="shared" ref="C3443" si="10434">C3442</f>
        <v>2</v>
      </c>
      <c r="D3443" s="391" t="str">
        <f t="shared" ref="D3443:E3443" si="10435">D3440</f>
        <v>0,01-0,1</v>
      </c>
      <c r="E3443" s="391">
        <f t="shared" si="10435"/>
        <v>0.1</v>
      </c>
      <c r="F3443" s="391" t="str">
        <f t="shared" ref="F3443:G3443" si="10436">F3442</f>
        <v>air</v>
      </c>
      <c r="G3443" s="401" t="str">
        <f t="shared" si="10436"/>
        <v>DE: PES film 0,01-0,1 mm (emission to air)</v>
      </c>
      <c r="H3443" s="465">
        <v>0</v>
      </c>
      <c r="I3443" s="394" t="s">
        <v>1163</v>
      </c>
      <c r="J3443" s="635"/>
      <c r="K3443" s="389">
        <v>13.04</v>
      </c>
      <c r="L3443" s="536"/>
      <c r="M3443" s="509">
        <f t="shared" si="10290"/>
        <v>3.834355828220859</v>
      </c>
      <c r="N3443" s="646"/>
      <c r="O3443" s="626"/>
      <c r="P3443" s="629"/>
      <c r="Q3443" s="629"/>
    </row>
    <row r="3444" spans="1:17" ht="15.75" hidden="1" thickBot="1">
      <c r="A3444" s="390" t="str">
        <f t="shared" ref="A3444:B3444" si="10437">A3439</f>
        <v>PES</v>
      </c>
      <c r="B3444" s="391" t="str">
        <f t="shared" si="10437"/>
        <v>film</v>
      </c>
      <c r="C3444" s="391">
        <f t="shared" ref="C3444" si="10438">C3443</f>
        <v>2</v>
      </c>
      <c r="D3444" s="391" t="str">
        <f t="shared" ref="D3444:E3444" si="10439">D3439</f>
        <v>0,01-0,1</v>
      </c>
      <c r="E3444" s="391">
        <f t="shared" si="10439"/>
        <v>0.1</v>
      </c>
      <c r="F3444" s="391" t="str">
        <f t="shared" ref="F3444:G3444" si="10440">F3443</f>
        <v>air</v>
      </c>
      <c r="G3444" s="401" t="str">
        <f t="shared" si="10440"/>
        <v>DE: PES film 0,01-0,1 mm (emission to air)</v>
      </c>
      <c r="H3444" s="471">
        <v>0</v>
      </c>
      <c r="I3444" s="422" t="s">
        <v>1034</v>
      </c>
      <c r="J3444" s="636"/>
      <c r="K3444" s="451" t="s">
        <v>596</v>
      </c>
      <c r="L3444" s="542"/>
      <c r="M3444" s="509">
        <f t="shared" si="10290"/>
        <v>0</v>
      </c>
      <c r="N3444" s="647"/>
      <c r="O3444" s="627"/>
      <c r="P3444" s="629"/>
      <c r="Q3444" s="629"/>
    </row>
    <row r="3445" spans="1:17" ht="15.75" hidden="1" thickBot="1">
      <c r="A3445" s="405" t="s">
        <v>771</v>
      </c>
      <c r="B3445" s="406" t="s">
        <v>996</v>
      </c>
      <c r="C3445" s="407">
        <f>IF(OR(B3445="Folie", B3445="Strips", B3445="Film",B3445="Flakes",B3445="Coupon"), 2,IF(OR(B3445="Fibers",B3445="Pellets"),4,IF(OR(B3445="Particles",B3445="Shreds",B3445="Powder",B3445="Fragments",B3445="Granules"),6,"")))</f>
        <v>2</v>
      </c>
      <c r="D3445" s="423" t="s">
        <v>1028</v>
      </c>
      <c r="E3445" s="408">
        <v>1</v>
      </c>
      <c r="F3445" s="424" t="s">
        <v>1019</v>
      </c>
      <c r="G3445" s="425" t="str">
        <f>CONCATENATE("DE: ",A3445," ",B3445," ",D3445," mm (emission to ",F3445,")")</f>
        <v>DE: PES film 0,1-1 mm (emission to soil)</v>
      </c>
      <c r="H3445" s="474">
        <v>0.97</v>
      </c>
      <c r="I3445" s="427" t="s">
        <v>1153</v>
      </c>
      <c r="J3445" s="632">
        <v>0.22800000000000001</v>
      </c>
      <c r="K3445" s="428">
        <v>13.04</v>
      </c>
      <c r="L3445" s="539"/>
      <c r="M3445" s="509">
        <f t="shared" si="10290"/>
        <v>38.343558282208591</v>
      </c>
      <c r="N3445" s="645">
        <f t="shared" si="10322"/>
        <v>38.343558282208591</v>
      </c>
      <c r="O3445" s="625"/>
      <c r="P3445" s="628">
        <f t="shared" si="10405"/>
        <v>38.343558282208591</v>
      </c>
      <c r="Q3445" s="628">
        <f t="shared" si="10277"/>
        <v>38.343558282208591</v>
      </c>
    </row>
    <row r="3446" spans="1:17" ht="15.75" hidden="1" thickBot="1">
      <c r="A3446" s="390" t="str">
        <f>A3445</f>
        <v>PES</v>
      </c>
      <c r="B3446" s="391" t="str">
        <f>B3445</f>
        <v>film</v>
      </c>
      <c r="C3446" s="391">
        <f t="shared" ref="C3446:G3446" si="10441">C3445</f>
        <v>2</v>
      </c>
      <c r="D3446" s="391" t="str">
        <f t="shared" si="10441"/>
        <v>0,1-1</v>
      </c>
      <c r="E3446" s="391">
        <f t="shared" si="10441"/>
        <v>1</v>
      </c>
      <c r="F3446" s="391" t="str">
        <f t="shared" si="10441"/>
        <v>soil</v>
      </c>
      <c r="G3446" s="392" t="str">
        <f t="shared" si="10441"/>
        <v>DE: PES film 0,1-1 mm (emission to soil)</v>
      </c>
      <c r="H3446" s="465">
        <v>0.03</v>
      </c>
      <c r="I3446" s="394" t="s">
        <v>1097</v>
      </c>
      <c r="J3446" s="632"/>
      <c r="K3446" s="395">
        <v>13.04</v>
      </c>
      <c r="L3446" s="537"/>
      <c r="M3446" s="509">
        <f t="shared" si="10290"/>
        <v>38.343558282208591</v>
      </c>
      <c r="N3446" s="646"/>
      <c r="O3446" s="626"/>
      <c r="P3446" s="629"/>
      <c r="Q3446" s="629"/>
    </row>
    <row r="3447" spans="1:17" ht="15.75" hidden="1" thickBot="1">
      <c r="A3447" s="390" t="str">
        <f t="shared" ref="A3447:G3447" si="10442">A3446</f>
        <v>PES</v>
      </c>
      <c r="B3447" s="391" t="str">
        <f t="shared" si="10442"/>
        <v>film</v>
      </c>
      <c r="C3447" s="391">
        <f t="shared" si="10442"/>
        <v>2</v>
      </c>
      <c r="D3447" s="391" t="str">
        <f t="shared" si="10442"/>
        <v>0,1-1</v>
      </c>
      <c r="E3447" s="391">
        <f t="shared" si="10442"/>
        <v>1</v>
      </c>
      <c r="F3447" s="391" t="str">
        <f t="shared" si="10442"/>
        <v>soil</v>
      </c>
      <c r="G3447" s="392" t="str">
        <f t="shared" si="10442"/>
        <v>DE: PES film 0,1-1 mm (emission to soil)</v>
      </c>
      <c r="H3447" s="465">
        <v>0</v>
      </c>
      <c r="I3447" s="394" t="s">
        <v>1162</v>
      </c>
      <c r="J3447" s="632"/>
      <c r="K3447" s="395">
        <v>13.04</v>
      </c>
      <c r="L3447" s="537"/>
      <c r="M3447" s="509">
        <f t="shared" si="10290"/>
        <v>38.343558282208591</v>
      </c>
      <c r="N3447" s="646"/>
      <c r="O3447" s="626"/>
      <c r="P3447" s="629"/>
      <c r="Q3447" s="629"/>
    </row>
    <row r="3448" spans="1:17" ht="15.75" hidden="1" thickBot="1">
      <c r="A3448" s="390" t="str">
        <f t="shared" ref="A3448:G3448" si="10443">A3447</f>
        <v>PES</v>
      </c>
      <c r="B3448" s="391" t="str">
        <f t="shared" si="10443"/>
        <v>film</v>
      </c>
      <c r="C3448" s="391">
        <f t="shared" si="10443"/>
        <v>2</v>
      </c>
      <c r="D3448" s="391" t="str">
        <f t="shared" si="10443"/>
        <v>0,1-1</v>
      </c>
      <c r="E3448" s="391">
        <f t="shared" si="10443"/>
        <v>1</v>
      </c>
      <c r="F3448" s="391" t="str">
        <f t="shared" si="10443"/>
        <v>soil</v>
      </c>
      <c r="G3448" s="392" t="str">
        <f t="shared" si="10443"/>
        <v>DE: PES film 0,1-1 mm (emission to soil)</v>
      </c>
      <c r="H3448" s="465">
        <v>0</v>
      </c>
      <c r="I3448" s="394" t="s">
        <v>1163</v>
      </c>
      <c r="J3448" s="632"/>
      <c r="K3448" s="395">
        <v>13.04</v>
      </c>
      <c r="L3448" s="537"/>
      <c r="M3448" s="509">
        <f t="shared" si="10290"/>
        <v>38.343558282208591</v>
      </c>
      <c r="N3448" s="646"/>
      <c r="O3448" s="626"/>
      <c r="P3448" s="629"/>
      <c r="Q3448" s="629"/>
    </row>
    <row r="3449" spans="1:17" ht="15.75" hidden="1" thickBot="1">
      <c r="A3449" s="390" t="str">
        <f>A3446</f>
        <v>PES</v>
      </c>
      <c r="B3449" s="391" t="str">
        <f>B3446</f>
        <v>film</v>
      </c>
      <c r="C3449" s="391">
        <f t="shared" ref="C3449" si="10444">C3448</f>
        <v>2</v>
      </c>
      <c r="D3449" s="391" t="str">
        <f>D3446</f>
        <v>0,1-1</v>
      </c>
      <c r="E3449" s="391">
        <f>E3446</f>
        <v>1</v>
      </c>
      <c r="F3449" s="391" t="str">
        <f>F3446</f>
        <v>soil</v>
      </c>
      <c r="G3449" s="396" t="str">
        <f t="shared" ref="G3449" si="10445">G3448</f>
        <v>DE: PES film 0,1-1 mm (emission to soil)</v>
      </c>
      <c r="H3449" s="465">
        <v>0</v>
      </c>
      <c r="I3449" s="397" t="s">
        <v>1034</v>
      </c>
      <c r="J3449" s="633"/>
      <c r="K3449" s="398" t="s">
        <v>596</v>
      </c>
      <c r="L3449" s="538"/>
      <c r="M3449" s="509">
        <f t="shared" si="10290"/>
        <v>0</v>
      </c>
      <c r="N3449" s="647"/>
      <c r="O3449" s="627"/>
      <c r="P3449" s="629"/>
      <c r="Q3449" s="629"/>
    </row>
    <row r="3450" spans="1:17" ht="15.75" hidden="1" thickBot="1">
      <c r="A3450" s="390" t="str">
        <f t="shared" ref="A3450:B3450" si="10446">A3447</f>
        <v>PES</v>
      </c>
      <c r="B3450" s="391" t="str">
        <f t="shared" si="10446"/>
        <v>film</v>
      </c>
      <c r="C3450" s="391">
        <f t="shared" ref="C3450" si="10447">C3449</f>
        <v>2</v>
      </c>
      <c r="D3450" s="399" t="str">
        <f t="shared" ref="D3450:E3450" si="10448">D3447</f>
        <v>0,1-1</v>
      </c>
      <c r="E3450" s="391">
        <f t="shared" si="10448"/>
        <v>1</v>
      </c>
      <c r="F3450" s="400" t="s">
        <v>1147</v>
      </c>
      <c r="G3450" s="386" t="str">
        <f>CONCATENATE("DE: ",A3450," ",B3450," ",D3450," mm (emission to ",F3450,")")</f>
        <v>DE: PES film 0,1-1 mm (emission to fresh water)</v>
      </c>
      <c r="H3450" s="466">
        <v>0</v>
      </c>
      <c r="I3450" s="388" t="s">
        <v>1153</v>
      </c>
      <c r="J3450" s="634">
        <v>0.22800000000000001</v>
      </c>
      <c r="K3450" s="389">
        <v>13.04</v>
      </c>
      <c r="L3450" s="536"/>
      <c r="M3450" s="509">
        <f t="shared" si="10290"/>
        <v>38.343558282208591</v>
      </c>
      <c r="N3450" s="645">
        <f t="shared" si="10322"/>
        <v>38.343558282208591</v>
      </c>
      <c r="O3450" s="625"/>
      <c r="P3450" s="628">
        <f t="shared" si="10405"/>
        <v>38.343558282208591</v>
      </c>
      <c r="Q3450" s="628">
        <f t="shared" si="10277"/>
        <v>38.343558282208591</v>
      </c>
    </row>
    <row r="3451" spans="1:17" ht="15.75" hidden="1" thickBot="1">
      <c r="A3451" s="390" t="str">
        <f t="shared" ref="A3451:B3451" si="10449">A3448</f>
        <v>PES</v>
      </c>
      <c r="B3451" s="391" t="str">
        <f t="shared" si="10449"/>
        <v>film</v>
      </c>
      <c r="C3451" s="391">
        <f t="shared" ref="C3451" si="10450">C3450</f>
        <v>2</v>
      </c>
      <c r="D3451" s="391" t="str">
        <f t="shared" ref="D3451:E3451" si="10451">D3448</f>
        <v>0,1-1</v>
      </c>
      <c r="E3451" s="391">
        <f t="shared" si="10451"/>
        <v>1</v>
      </c>
      <c r="F3451" s="391" t="str">
        <f t="shared" ref="F3451:G3451" si="10452">F3450</f>
        <v>fresh water</v>
      </c>
      <c r="G3451" s="401" t="str">
        <f t="shared" si="10452"/>
        <v>DE: PES film 0,1-1 mm (emission to fresh water)</v>
      </c>
      <c r="H3451" s="465">
        <v>1</v>
      </c>
      <c r="I3451" s="394" t="s">
        <v>1097</v>
      </c>
      <c r="J3451" s="635"/>
      <c r="K3451" s="389">
        <v>13.04</v>
      </c>
      <c r="L3451" s="536"/>
      <c r="M3451" s="509">
        <f t="shared" si="10290"/>
        <v>38.343558282208591</v>
      </c>
      <c r="N3451" s="646"/>
      <c r="O3451" s="626"/>
      <c r="P3451" s="629"/>
      <c r="Q3451" s="629"/>
    </row>
    <row r="3452" spans="1:17" ht="15.75" hidden="1" thickBot="1">
      <c r="A3452" s="390" t="str">
        <f t="shared" ref="A3452:B3452" si="10453">A3449</f>
        <v>PES</v>
      </c>
      <c r="B3452" s="391" t="str">
        <f t="shared" si="10453"/>
        <v>film</v>
      </c>
      <c r="C3452" s="391">
        <f t="shared" ref="C3452" si="10454">C3451</f>
        <v>2</v>
      </c>
      <c r="D3452" s="391" t="str">
        <f t="shared" ref="D3452:E3452" si="10455">D3449</f>
        <v>0,1-1</v>
      </c>
      <c r="E3452" s="391">
        <f t="shared" si="10455"/>
        <v>1</v>
      </c>
      <c r="F3452" s="391" t="str">
        <f t="shared" ref="F3452:G3452" si="10456">F3451</f>
        <v>fresh water</v>
      </c>
      <c r="G3452" s="401" t="str">
        <f t="shared" si="10456"/>
        <v>DE: PES film 0,1-1 mm (emission to fresh water)</v>
      </c>
      <c r="H3452" s="465">
        <v>0</v>
      </c>
      <c r="I3452" s="394" t="s">
        <v>1162</v>
      </c>
      <c r="J3452" s="635"/>
      <c r="K3452" s="389">
        <v>13.04</v>
      </c>
      <c r="L3452" s="536"/>
      <c r="M3452" s="509">
        <f t="shared" si="10290"/>
        <v>38.343558282208591</v>
      </c>
      <c r="N3452" s="646"/>
      <c r="O3452" s="626"/>
      <c r="P3452" s="629"/>
      <c r="Q3452" s="629"/>
    </row>
    <row r="3453" spans="1:17" ht="15.75" hidden="1" thickBot="1">
      <c r="A3453" s="390" t="str">
        <f t="shared" ref="A3453:B3453" si="10457">A3450</f>
        <v>PES</v>
      </c>
      <c r="B3453" s="391" t="str">
        <f t="shared" si="10457"/>
        <v>film</v>
      </c>
      <c r="C3453" s="391">
        <f t="shared" ref="C3453" si="10458">C3452</f>
        <v>2</v>
      </c>
      <c r="D3453" s="391" t="str">
        <f t="shared" ref="D3453:E3453" si="10459">D3450</f>
        <v>0,1-1</v>
      </c>
      <c r="E3453" s="391">
        <f t="shared" si="10459"/>
        <v>1</v>
      </c>
      <c r="F3453" s="391" t="str">
        <f t="shared" ref="F3453:G3453" si="10460">F3452</f>
        <v>fresh water</v>
      </c>
      <c r="G3453" s="401" t="str">
        <f t="shared" si="10460"/>
        <v>DE: PES film 0,1-1 mm (emission to fresh water)</v>
      </c>
      <c r="H3453" s="465">
        <v>0</v>
      </c>
      <c r="I3453" s="394" t="s">
        <v>1163</v>
      </c>
      <c r="J3453" s="635"/>
      <c r="K3453" s="389">
        <v>13.04</v>
      </c>
      <c r="L3453" s="536"/>
      <c r="M3453" s="509">
        <f t="shared" si="10290"/>
        <v>38.343558282208591</v>
      </c>
      <c r="N3453" s="646"/>
      <c r="O3453" s="626"/>
      <c r="P3453" s="629"/>
      <c r="Q3453" s="629"/>
    </row>
    <row r="3454" spans="1:17" ht="15.75" hidden="1" thickBot="1">
      <c r="A3454" s="390" t="str">
        <f t="shared" ref="A3454:B3454" si="10461">A3451</f>
        <v>PES</v>
      </c>
      <c r="B3454" s="391" t="str">
        <f t="shared" si="10461"/>
        <v>film</v>
      </c>
      <c r="C3454" s="391">
        <f t="shared" ref="C3454" si="10462">C3453</f>
        <v>2</v>
      </c>
      <c r="D3454" s="391" t="str">
        <f t="shared" ref="D3454:E3454" si="10463">D3451</f>
        <v>0,1-1</v>
      </c>
      <c r="E3454" s="391">
        <f t="shared" si="10463"/>
        <v>1</v>
      </c>
      <c r="F3454" s="402" t="str">
        <f>F3451</f>
        <v>fresh water</v>
      </c>
      <c r="G3454" s="401" t="str">
        <f t="shared" ref="G3454" si="10464">G3453</f>
        <v>DE: PES film 0,1-1 mm (emission to fresh water)</v>
      </c>
      <c r="H3454" s="465">
        <v>0</v>
      </c>
      <c r="I3454" s="397" t="s">
        <v>1034</v>
      </c>
      <c r="J3454" s="654"/>
      <c r="K3454" s="398" t="s">
        <v>596</v>
      </c>
      <c r="L3454" s="538"/>
      <c r="M3454" s="509">
        <f t="shared" si="10290"/>
        <v>0</v>
      </c>
      <c r="N3454" s="647"/>
      <c r="O3454" s="627"/>
      <c r="P3454" s="629"/>
      <c r="Q3454" s="629"/>
    </row>
    <row r="3455" spans="1:17" ht="15.75" hidden="1" thickBot="1">
      <c r="A3455" s="390" t="str">
        <f t="shared" ref="A3455:B3455" si="10465">A3452</f>
        <v>PES</v>
      </c>
      <c r="B3455" s="391" t="str">
        <f t="shared" si="10465"/>
        <v>film</v>
      </c>
      <c r="C3455" s="391">
        <f t="shared" ref="C3455" si="10466">C3454</f>
        <v>2</v>
      </c>
      <c r="D3455" s="391" t="str">
        <f t="shared" ref="D3455:E3455" si="10467">D3452</f>
        <v>0,1-1</v>
      </c>
      <c r="E3455" s="391">
        <f t="shared" si="10467"/>
        <v>1</v>
      </c>
      <c r="F3455" s="385" t="s">
        <v>1097</v>
      </c>
      <c r="G3455" s="422" t="str">
        <f>CONCATENATE("DE: ",A3455," ",B3455," ",D3455," mm (emission to ",F3455,")")</f>
        <v>DE: PES film 0,1-1 mm (emission to marine water)</v>
      </c>
      <c r="H3455" s="467">
        <v>0</v>
      </c>
      <c r="I3455" s="388" t="s">
        <v>1153</v>
      </c>
      <c r="J3455" s="634">
        <v>0.22800000000000001</v>
      </c>
      <c r="K3455" s="389">
        <v>13.04</v>
      </c>
      <c r="L3455" s="536"/>
      <c r="M3455" s="509">
        <f t="shared" si="10290"/>
        <v>38.343558282208591</v>
      </c>
      <c r="N3455" s="645">
        <f t="shared" si="10322"/>
        <v>38.343558282208591</v>
      </c>
      <c r="O3455" s="625"/>
      <c r="P3455" s="628">
        <f t="shared" si="10405"/>
        <v>38.343558282208591</v>
      </c>
      <c r="Q3455" s="628">
        <f t="shared" si="10277"/>
        <v>38.343558282208591</v>
      </c>
    </row>
    <row r="3456" spans="1:17" ht="15.75" hidden="1" thickBot="1">
      <c r="A3456" s="390" t="str">
        <f t="shared" ref="A3456:B3456" si="10468">A3453</f>
        <v>PES</v>
      </c>
      <c r="B3456" s="391" t="str">
        <f t="shared" si="10468"/>
        <v>film</v>
      </c>
      <c r="C3456" s="391">
        <f t="shared" ref="C3456" si="10469">C3455</f>
        <v>2</v>
      </c>
      <c r="D3456" s="391" t="str">
        <f t="shared" ref="D3456:E3456" si="10470">D3453</f>
        <v>0,1-1</v>
      </c>
      <c r="E3456" s="391">
        <f t="shared" si="10470"/>
        <v>1</v>
      </c>
      <c r="F3456" s="391" t="str">
        <f t="shared" ref="F3456:G3456" si="10471">F3455</f>
        <v>marine water</v>
      </c>
      <c r="G3456" s="401" t="str">
        <f t="shared" si="10471"/>
        <v>DE: PES film 0,1-1 mm (emission to marine water)</v>
      </c>
      <c r="H3456" s="465">
        <v>1</v>
      </c>
      <c r="I3456" s="394" t="s">
        <v>1097</v>
      </c>
      <c r="J3456" s="635"/>
      <c r="K3456" s="389">
        <v>13.04</v>
      </c>
      <c r="L3456" s="536"/>
      <c r="M3456" s="509">
        <f t="shared" si="10290"/>
        <v>38.343558282208591</v>
      </c>
      <c r="N3456" s="646"/>
      <c r="O3456" s="626"/>
      <c r="P3456" s="629"/>
      <c r="Q3456" s="629"/>
    </row>
    <row r="3457" spans="1:17" ht="15.75" hidden="1" thickBot="1">
      <c r="A3457" s="390" t="str">
        <f t="shared" ref="A3457:B3457" si="10472">A3454</f>
        <v>PES</v>
      </c>
      <c r="B3457" s="391" t="str">
        <f t="shared" si="10472"/>
        <v>film</v>
      </c>
      <c r="C3457" s="391">
        <f t="shared" ref="C3457" si="10473">C3456</f>
        <v>2</v>
      </c>
      <c r="D3457" s="391" t="str">
        <f t="shared" ref="D3457:E3457" si="10474">D3454</f>
        <v>0,1-1</v>
      </c>
      <c r="E3457" s="391">
        <f t="shared" si="10474"/>
        <v>1</v>
      </c>
      <c r="F3457" s="391" t="str">
        <f t="shared" ref="F3457:G3457" si="10475">F3456</f>
        <v>marine water</v>
      </c>
      <c r="G3457" s="401" t="str">
        <f t="shared" si="10475"/>
        <v>DE: PES film 0,1-1 mm (emission to marine water)</v>
      </c>
      <c r="H3457" s="465">
        <v>0</v>
      </c>
      <c r="I3457" s="394" t="s">
        <v>1162</v>
      </c>
      <c r="J3457" s="635"/>
      <c r="K3457" s="389">
        <v>13.04</v>
      </c>
      <c r="L3457" s="536"/>
      <c r="M3457" s="509">
        <f t="shared" si="10290"/>
        <v>38.343558282208591</v>
      </c>
      <c r="N3457" s="646"/>
      <c r="O3457" s="626"/>
      <c r="P3457" s="629"/>
      <c r="Q3457" s="629"/>
    </row>
    <row r="3458" spans="1:17" ht="15.75" hidden="1" thickBot="1">
      <c r="A3458" s="390" t="str">
        <f t="shared" ref="A3458:B3458" si="10476">A3455</f>
        <v>PES</v>
      </c>
      <c r="B3458" s="391" t="str">
        <f t="shared" si="10476"/>
        <v>film</v>
      </c>
      <c r="C3458" s="391">
        <f t="shared" ref="C3458" si="10477">C3457</f>
        <v>2</v>
      </c>
      <c r="D3458" s="391" t="str">
        <f t="shared" ref="D3458:E3458" si="10478">D3455</f>
        <v>0,1-1</v>
      </c>
      <c r="E3458" s="391">
        <f t="shared" si="10478"/>
        <v>1</v>
      </c>
      <c r="F3458" s="391" t="str">
        <f t="shared" ref="F3458:G3458" si="10479">F3457</f>
        <v>marine water</v>
      </c>
      <c r="G3458" s="401" t="str">
        <f t="shared" si="10479"/>
        <v>DE: PES film 0,1-1 mm (emission to marine water)</v>
      </c>
      <c r="H3458" s="465">
        <v>0</v>
      </c>
      <c r="I3458" s="394" t="s">
        <v>1163</v>
      </c>
      <c r="J3458" s="635"/>
      <c r="K3458" s="389">
        <v>13.04</v>
      </c>
      <c r="L3458" s="536"/>
      <c r="M3458" s="509">
        <f t="shared" si="10290"/>
        <v>38.343558282208591</v>
      </c>
      <c r="N3458" s="646"/>
      <c r="O3458" s="626"/>
      <c r="P3458" s="629"/>
      <c r="Q3458" s="629"/>
    </row>
    <row r="3459" spans="1:17" ht="15.75" hidden="1" thickBot="1">
      <c r="A3459" s="390" t="str">
        <f t="shared" ref="A3459:B3459" si="10480">A3456</f>
        <v>PES</v>
      </c>
      <c r="B3459" s="391" t="str">
        <f t="shared" si="10480"/>
        <v>film</v>
      </c>
      <c r="C3459" s="391">
        <f t="shared" ref="C3459" si="10481">C3458</f>
        <v>2</v>
      </c>
      <c r="D3459" s="391" t="str">
        <f t="shared" ref="D3459:E3459" si="10482">D3456</f>
        <v>0,1-1</v>
      </c>
      <c r="E3459" s="391">
        <f t="shared" si="10482"/>
        <v>1</v>
      </c>
      <c r="F3459" s="391" t="str">
        <f t="shared" ref="F3459:G3459" si="10483">F3458</f>
        <v>marine water</v>
      </c>
      <c r="G3459" s="401" t="str">
        <f t="shared" si="10483"/>
        <v>DE: PES film 0,1-1 mm (emission to marine water)</v>
      </c>
      <c r="H3459" s="465">
        <v>0</v>
      </c>
      <c r="I3459" s="397" t="s">
        <v>1034</v>
      </c>
      <c r="J3459" s="654"/>
      <c r="K3459" s="398" t="s">
        <v>596</v>
      </c>
      <c r="L3459" s="538"/>
      <c r="M3459" s="509">
        <f t="shared" si="10290"/>
        <v>0</v>
      </c>
      <c r="N3459" s="647"/>
      <c r="O3459" s="627"/>
      <c r="P3459" s="629"/>
      <c r="Q3459" s="629"/>
    </row>
    <row r="3460" spans="1:17" ht="15.75" hidden="1" thickBot="1">
      <c r="A3460" s="390" t="str">
        <f t="shared" ref="A3460:B3460" si="10484">A3457</f>
        <v>PES</v>
      </c>
      <c r="B3460" s="391" t="str">
        <f t="shared" si="10484"/>
        <v>film</v>
      </c>
      <c r="C3460" s="391">
        <f t="shared" ref="C3460" si="10485">C3459</f>
        <v>2</v>
      </c>
      <c r="D3460" s="391" t="str">
        <f t="shared" ref="D3460:E3460" si="10486">D3457</f>
        <v>0,1-1</v>
      </c>
      <c r="E3460" s="391">
        <f t="shared" si="10486"/>
        <v>1</v>
      </c>
      <c r="F3460" s="400" t="s">
        <v>1057</v>
      </c>
      <c r="G3460" s="422" t="str">
        <f>CONCATENATE("DE: ",A3460," ",B3460," ",D3460," mm (emission to ",F3460,")")</f>
        <v>DE: PES film 0,1-1 mm (emission to air)</v>
      </c>
      <c r="H3460" s="467">
        <v>0.94799999999999995</v>
      </c>
      <c r="I3460" s="388" t="s">
        <v>1153</v>
      </c>
      <c r="J3460" s="634">
        <v>0.22800000000000001</v>
      </c>
      <c r="K3460" s="389">
        <v>13.04</v>
      </c>
      <c r="L3460" s="536"/>
      <c r="M3460" s="509">
        <f t="shared" si="10290"/>
        <v>38.343558282208591</v>
      </c>
      <c r="N3460" s="645">
        <f t="shared" si="10322"/>
        <v>38.343558282208591</v>
      </c>
      <c r="O3460" s="625"/>
      <c r="P3460" s="628">
        <f t="shared" si="10405"/>
        <v>38.343558282208591</v>
      </c>
      <c r="Q3460" s="628">
        <f t="shared" ref="Q3460:Q3520" si="10487">IFERROR(IF(H3460*M3460+H3461*M3461+H3462*M3462+H3463*M3463+H3464*M3464&gt;500,500,H3460*M3460+H3461*M3461+H3462*M3462+H3463*M3463+H3464*M3464),"N.A.")</f>
        <v>38.343558282208591</v>
      </c>
    </row>
    <row r="3461" spans="1:17" ht="15.75" hidden="1" thickBot="1">
      <c r="A3461" s="390" t="str">
        <f t="shared" ref="A3461:B3461" si="10488">A3458</f>
        <v>PES</v>
      </c>
      <c r="B3461" s="391" t="str">
        <f t="shared" si="10488"/>
        <v>film</v>
      </c>
      <c r="C3461" s="391">
        <f t="shared" ref="C3461" si="10489">C3460</f>
        <v>2</v>
      </c>
      <c r="D3461" s="391" t="str">
        <f t="shared" ref="D3461:E3461" si="10490">D3458</f>
        <v>0,1-1</v>
      </c>
      <c r="E3461" s="391">
        <f t="shared" si="10490"/>
        <v>1</v>
      </c>
      <c r="F3461" s="391" t="str">
        <f t="shared" ref="F3461:G3461" si="10491">F3460</f>
        <v>air</v>
      </c>
      <c r="G3461" s="401" t="str">
        <f t="shared" si="10491"/>
        <v>DE: PES film 0,1-1 mm (emission to air)</v>
      </c>
      <c r="H3461" s="465">
        <v>5.1999999999999998E-2</v>
      </c>
      <c r="I3461" s="394" t="s">
        <v>1097</v>
      </c>
      <c r="J3461" s="635"/>
      <c r="K3461" s="389">
        <v>13.04</v>
      </c>
      <c r="L3461" s="536"/>
      <c r="M3461" s="509">
        <f t="shared" si="10290"/>
        <v>38.343558282208591</v>
      </c>
      <c r="N3461" s="646"/>
      <c r="O3461" s="626"/>
      <c r="P3461" s="629"/>
      <c r="Q3461" s="629"/>
    </row>
    <row r="3462" spans="1:17" ht="15.75" hidden="1" thickBot="1">
      <c r="A3462" s="390" t="str">
        <f t="shared" ref="A3462:B3462" si="10492">A3459</f>
        <v>PES</v>
      </c>
      <c r="B3462" s="391" t="str">
        <f t="shared" si="10492"/>
        <v>film</v>
      </c>
      <c r="C3462" s="391">
        <f t="shared" ref="C3462" si="10493">C3461</f>
        <v>2</v>
      </c>
      <c r="D3462" s="391" t="str">
        <f t="shared" ref="D3462:E3462" si="10494">D3459</f>
        <v>0,1-1</v>
      </c>
      <c r="E3462" s="391">
        <f t="shared" si="10494"/>
        <v>1</v>
      </c>
      <c r="F3462" s="391" t="str">
        <f t="shared" ref="F3462:G3462" si="10495">F3461</f>
        <v>air</v>
      </c>
      <c r="G3462" s="401" t="str">
        <f t="shared" si="10495"/>
        <v>DE: PES film 0,1-1 mm (emission to air)</v>
      </c>
      <c r="H3462" s="465">
        <v>0</v>
      </c>
      <c r="I3462" s="394" t="s">
        <v>1162</v>
      </c>
      <c r="J3462" s="635"/>
      <c r="K3462" s="389">
        <v>13.04</v>
      </c>
      <c r="L3462" s="536"/>
      <c r="M3462" s="509">
        <f t="shared" ref="M3462:M3525" si="10496">IFERROR(IF(K3462="--",0,IF(E3462*1000/K3462*(1-0.5)^(C3462/2)&gt;1000,1000,E3462*1000/K3462*(1-0.5)^(C3462/2))),1000)</f>
        <v>38.343558282208591</v>
      </c>
      <c r="N3462" s="646"/>
      <c r="O3462" s="626"/>
      <c r="P3462" s="629"/>
      <c r="Q3462" s="629"/>
    </row>
    <row r="3463" spans="1:17" ht="15.75" hidden="1" thickBot="1">
      <c r="A3463" s="390" t="str">
        <f t="shared" ref="A3463:B3463" si="10497">A3460</f>
        <v>PES</v>
      </c>
      <c r="B3463" s="391" t="str">
        <f t="shared" si="10497"/>
        <v>film</v>
      </c>
      <c r="C3463" s="391">
        <f t="shared" ref="C3463" si="10498">C3462</f>
        <v>2</v>
      </c>
      <c r="D3463" s="391" t="str">
        <f t="shared" ref="D3463:E3463" si="10499">D3460</f>
        <v>0,1-1</v>
      </c>
      <c r="E3463" s="391">
        <f t="shared" si="10499"/>
        <v>1</v>
      </c>
      <c r="F3463" s="391" t="str">
        <f t="shared" ref="F3463:G3463" si="10500">F3462</f>
        <v>air</v>
      </c>
      <c r="G3463" s="401" t="str">
        <f t="shared" si="10500"/>
        <v>DE: PES film 0,1-1 mm (emission to air)</v>
      </c>
      <c r="H3463" s="465">
        <v>0</v>
      </c>
      <c r="I3463" s="394" t="s">
        <v>1163</v>
      </c>
      <c r="J3463" s="635"/>
      <c r="K3463" s="389">
        <v>13.04</v>
      </c>
      <c r="L3463" s="536"/>
      <c r="M3463" s="509">
        <f t="shared" si="10496"/>
        <v>38.343558282208591</v>
      </c>
      <c r="N3463" s="646"/>
      <c r="O3463" s="626"/>
      <c r="P3463" s="629"/>
      <c r="Q3463" s="629"/>
    </row>
    <row r="3464" spans="1:17" ht="15.75" hidden="1" thickBot="1">
      <c r="A3464" s="452" t="str">
        <f t="shared" ref="A3464:B3464" si="10501">A3459</f>
        <v>PES</v>
      </c>
      <c r="B3464" s="453" t="str">
        <f t="shared" si="10501"/>
        <v>film</v>
      </c>
      <c r="C3464" s="453">
        <f t="shared" ref="C3464" si="10502">C3463</f>
        <v>2</v>
      </c>
      <c r="D3464" s="453" t="str">
        <f t="shared" ref="D3464:E3464" si="10503">D3459</f>
        <v>0,1-1</v>
      </c>
      <c r="E3464" s="453">
        <f t="shared" si="10503"/>
        <v>1</v>
      </c>
      <c r="F3464" s="453" t="str">
        <f t="shared" ref="F3464:G3464" si="10504">F3463</f>
        <v>air</v>
      </c>
      <c r="G3464" s="454" t="str">
        <f t="shared" si="10504"/>
        <v>DE: PES film 0,1-1 mm (emission to air)</v>
      </c>
      <c r="H3464" s="473">
        <v>0</v>
      </c>
      <c r="I3464" s="456" t="s">
        <v>1034</v>
      </c>
      <c r="J3464" s="636"/>
      <c r="K3464" s="457" t="s">
        <v>596</v>
      </c>
      <c r="L3464" s="543"/>
      <c r="M3464" s="509">
        <f t="shared" si="10496"/>
        <v>0</v>
      </c>
      <c r="N3464" s="647"/>
      <c r="O3464" s="627"/>
      <c r="P3464" s="629"/>
      <c r="Q3464" s="629"/>
    </row>
    <row r="3465" spans="1:17" ht="15.75" hidden="1" thickBot="1">
      <c r="A3465" s="381" t="s">
        <v>771</v>
      </c>
      <c r="B3465" s="382" t="s">
        <v>996</v>
      </c>
      <c r="C3465" s="383">
        <f>IF(OR(B3465="Folie", B3465="Strips", B3465="Film",B3465="Flakes",B3465="Coupon"), 2,IF(OR(B3465="Fibers",B3465="Pellets"),4,IF(OR(B3465="Particles",B3465="Shreds",B3465="Powder",B3465="Fragments",B3465="Granules"),6,"")))</f>
        <v>2</v>
      </c>
      <c r="D3465" s="475" t="s">
        <v>1026</v>
      </c>
      <c r="E3465" s="384">
        <v>10</v>
      </c>
      <c r="F3465" s="385" t="s">
        <v>1019</v>
      </c>
      <c r="G3465" s="386" t="str">
        <f>CONCATENATE("DE: ",A3465," ",B3465," ",D3465," mm (emission to ",F3465,")")</f>
        <v>DE: PES film 1-10 mm (emission to soil)</v>
      </c>
      <c r="H3465" s="466">
        <v>0.97</v>
      </c>
      <c r="I3465" s="388" t="s">
        <v>1153</v>
      </c>
      <c r="J3465" s="632">
        <v>0.22800000000000001</v>
      </c>
      <c r="K3465" s="389">
        <v>13.04</v>
      </c>
      <c r="L3465" s="536"/>
      <c r="M3465" s="509">
        <f t="shared" si="10496"/>
        <v>383.43558282208591</v>
      </c>
      <c r="N3465" s="645">
        <f t="shared" si="10322"/>
        <v>383.43558282208585</v>
      </c>
      <c r="O3465" s="625"/>
      <c r="P3465" s="628">
        <f t="shared" si="10405"/>
        <v>100</v>
      </c>
      <c r="Q3465" s="628">
        <f t="shared" si="10487"/>
        <v>383.43558282208585</v>
      </c>
    </row>
    <row r="3466" spans="1:17" ht="15.75" hidden="1" thickBot="1">
      <c r="A3466" s="390" t="str">
        <f>A3465</f>
        <v>PES</v>
      </c>
      <c r="B3466" s="391" t="str">
        <f>B3465</f>
        <v>film</v>
      </c>
      <c r="C3466" s="391">
        <f t="shared" ref="C3466:G3466" si="10505">C3465</f>
        <v>2</v>
      </c>
      <c r="D3466" s="391" t="str">
        <f t="shared" si="10505"/>
        <v>1-10</v>
      </c>
      <c r="E3466" s="391">
        <f t="shared" si="10505"/>
        <v>10</v>
      </c>
      <c r="F3466" s="391" t="str">
        <f t="shared" si="10505"/>
        <v>soil</v>
      </c>
      <c r="G3466" s="392" t="str">
        <f t="shared" si="10505"/>
        <v>DE: PES film 1-10 mm (emission to soil)</v>
      </c>
      <c r="H3466" s="465">
        <v>0.03</v>
      </c>
      <c r="I3466" s="394" t="s">
        <v>1097</v>
      </c>
      <c r="J3466" s="632"/>
      <c r="K3466" s="395">
        <v>13.04</v>
      </c>
      <c r="L3466" s="537"/>
      <c r="M3466" s="509">
        <f t="shared" si="10496"/>
        <v>383.43558282208591</v>
      </c>
      <c r="N3466" s="646"/>
      <c r="O3466" s="626"/>
      <c r="P3466" s="629"/>
      <c r="Q3466" s="629"/>
    </row>
    <row r="3467" spans="1:17" ht="15.75" hidden="1" thickBot="1">
      <c r="A3467" s="390" t="str">
        <f t="shared" ref="A3467:G3467" si="10506">A3466</f>
        <v>PES</v>
      </c>
      <c r="B3467" s="391" t="str">
        <f t="shared" si="10506"/>
        <v>film</v>
      </c>
      <c r="C3467" s="391">
        <f t="shared" si="10506"/>
        <v>2</v>
      </c>
      <c r="D3467" s="391" t="str">
        <f t="shared" si="10506"/>
        <v>1-10</v>
      </c>
      <c r="E3467" s="391">
        <f t="shared" si="10506"/>
        <v>10</v>
      </c>
      <c r="F3467" s="391" t="str">
        <f t="shared" si="10506"/>
        <v>soil</v>
      </c>
      <c r="G3467" s="392" t="str">
        <f t="shared" si="10506"/>
        <v>DE: PES film 1-10 mm (emission to soil)</v>
      </c>
      <c r="H3467" s="465">
        <v>0</v>
      </c>
      <c r="I3467" s="394" t="s">
        <v>1162</v>
      </c>
      <c r="J3467" s="632"/>
      <c r="K3467" s="395">
        <v>13.04</v>
      </c>
      <c r="L3467" s="537"/>
      <c r="M3467" s="509">
        <f t="shared" si="10496"/>
        <v>383.43558282208591</v>
      </c>
      <c r="N3467" s="646"/>
      <c r="O3467" s="626"/>
      <c r="P3467" s="629"/>
      <c r="Q3467" s="629"/>
    </row>
    <row r="3468" spans="1:17" ht="15.75" hidden="1" thickBot="1">
      <c r="A3468" s="390" t="str">
        <f t="shared" ref="A3468:G3468" si="10507">A3467</f>
        <v>PES</v>
      </c>
      <c r="B3468" s="391" t="str">
        <f t="shared" si="10507"/>
        <v>film</v>
      </c>
      <c r="C3468" s="391">
        <f t="shared" si="10507"/>
        <v>2</v>
      </c>
      <c r="D3468" s="391" t="str">
        <f t="shared" si="10507"/>
        <v>1-10</v>
      </c>
      <c r="E3468" s="391">
        <f t="shared" si="10507"/>
        <v>10</v>
      </c>
      <c r="F3468" s="391" t="str">
        <f t="shared" si="10507"/>
        <v>soil</v>
      </c>
      <c r="G3468" s="392" t="str">
        <f t="shared" si="10507"/>
        <v>DE: PES film 1-10 mm (emission to soil)</v>
      </c>
      <c r="H3468" s="465">
        <v>0</v>
      </c>
      <c r="I3468" s="394" t="s">
        <v>1163</v>
      </c>
      <c r="J3468" s="632"/>
      <c r="K3468" s="395">
        <v>13.04</v>
      </c>
      <c r="L3468" s="537"/>
      <c r="M3468" s="509">
        <f t="shared" si="10496"/>
        <v>383.43558282208591</v>
      </c>
      <c r="N3468" s="646"/>
      <c r="O3468" s="626"/>
      <c r="P3468" s="629"/>
      <c r="Q3468" s="629"/>
    </row>
    <row r="3469" spans="1:17" ht="15.75" hidden="1" thickBot="1">
      <c r="A3469" s="390" t="str">
        <f>A3466</f>
        <v>PES</v>
      </c>
      <c r="B3469" s="391" t="str">
        <f>B3466</f>
        <v>film</v>
      </c>
      <c r="C3469" s="391">
        <f t="shared" ref="C3469" si="10508">C3468</f>
        <v>2</v>
      </c>
      <c r="D3469" s="391" t="str">
        <f>D3466</f>
        <v>1-10</v>
      </c>
      <c r="E3469" s="391">
        <f>E3466</f>
        <v>10</v>
      </c>
      <c r="F3469" s="391" t="str">
        <f>F3466</f>
        <v>soil</v>
      </c>
      <c r="G3469" s="396" t="str">
        <f t="shared" ref="G3469" si="10509">G3468</f>
        <v>DE: PES film 1-10 mm (emission to soil)</v>
      </c>
      <c r="H3469" s="465">
        <v>0</v>
      </c>
      <c r="I3469" s="397" t="s">
        <v>1034</v>
      </c>
      <c r="J3469" s="633"/>
      <c r="K3469" s="398" t="s">
        <v>596</v>
      </c>
      <c r="L3469" s="538"/>
      <c r="M3469" s="509">
        <f t="shared" si="10496"/>
        <v>0</v>
      </c>
      <c r="N3469" s="647"/>
      <c r="O3469" s="627"/>
      <c r="P3469" s="629"/>
      <c r="Q3469" s="629"/>
    </row>
    <row r="3470" spans="1:17" ht="15.75" hidden="1" thickBot="1">
      <c r="A3470" s="390" t="str">
        <f t="shared" ref="A3470:B3470" si="10510">A3467</f>
        <v>PES</v>
      </c>
      <c r="B3470" s="391" t="str">
        <f t="shared" si="10510"/>
        <v>film</v>
      </c>
      <c r="C3470" s="391">
        <f t="shared" ref="C3470" si="10511">C3469</f>
        <v>2</v>
      </c>
      <c r="D3470" s="399" t="str">
        <f t="shared" ref="D3470:E3470" si="10512">D3467</f>
        <v>1-10</v>
      </c>
      <c r="E3470" s="391">
        <f t="shared" si="10512"/>
        <v>10</v>
      </c>
      <c r="F3470" s="400" t="s">
        <v>1147</v>
      </c>
      <c r="G3470" s="386" t="str">
        <f>CONCATENATE("DE: ",A3470," ",B3470," ",D3470," mm (emission to ",F3470,")")</f>
        <v>DE: PES film 1-10 mm (emission to fresh water)</v>
      </c>
      <c r="H3470" s="466">
        <v>0</v>
      </c>
      <c r="I3470" s="388" t="s">
        <v>1153</v>
      </c>
      <c r="J3470" s="634">
        <v>0.22800000000000001</v>
      </c>
      <c r="K3470" s="389">
        <v>13.04</v>
      </c>
      <c r="L3470" s="536"/>
      <c r="M3470" s="509">
        <f t="shared" si="10496"/>
        <v>383.43558282208591</v>
      </c>
      <c r="N3470" s="645">
        <f t="shared" si="10322"/>
        <v>383.43558282208591</v>
      </c>
      <c r="O3470" s="625"/>
      <c r="P3470" s="628">
        <f t="shared" si="10405"/>
        <v>100</v>
      </c>
      <c r="Q3470" s="628">
        <f t="shared" si="10487"/>
        <v>383.43558282208591</v>
      </c>
    </row>
    <row r="3471" spans="1:17" ht="15.75" hidden="1" thickBot="1">
      <c r="A3471" s="390" t="str">
        <f t="shared" ref="A3471:B3471" si="10513">A3468</f>
        <v>PES</v>
      </c>
      <c r="B3471" s="391" t="str">
        <f t="shared" si="10513"/>
        <v>film</v>
      </c>
      <c r="C3471" s="391">
        <f t="shared" ref="C3471" si="10514">C3470</f>
        <v>2</v>
      </c>
      <c r="D3471" s="391" t="str">
        <f t="shared" ref="D3471:E3471" si="10515">D3468</f>
        <v>1-10</v>
      </c>
      <c r="E3471" s="391">
        <f t="shared" si="10515"/>
        <v>10</v>
      </c>
      <c r="F3471" s="391" t="str">
        <f t="shared" ref="F3471:G3471" si="10516">F3470</f>
        <v>fresh water</v>
      </c>
      <c r="G3471" s="401" t="str">
        <f t="shared" si="10516"/>
        <v>DE: PES film 1-10 mm (emission to fresh water)</v>
      </c>
      <c r="H3471" s="465">
        <v>1</v>
      </c>
      <c r="I3471" s="394" t="s">
        <v>1097</v>
      </c>
      <c r="J3471" s="635"/>
      <c r="K3471" s="389">
        <v>13.04</v>
      </c>
      <c r="L3471" s="536"/>
      <c r="M3471" s="509">
        <f t="shared" si="10496"/>
        <v>383.43558282208591</v>
      </c>
      <c r="N3471" s="646"/>
      <c r="O3471" s="626"/>
      <c r="P3471" s="629"/>
      <c r="Q3471" s="629"/>
    </row>
    <row r="3472" spans="1:17" ht="15.75" hidden="1" thickBot="1">
      <c r="A3472" s="390" t="str">
        <f t="shared" ref="A3472:B3472" si="10517">A3469</f>
        <v>PES</v>
      </c>
      <c r="B3472" s="391" t="str">
        <f t="shared" si="10517"/>
        <v>film</v>
      </c>
      <c r="C3472" s="391">
        <f t="shared" ref="C3472" si="10518">C3471</f>
        <v>2</v>
      </c>
      <c r="D3472" s="391" t="str">
        <f t="shared" ref="D3472:E3472" si="10519">D3469</f>
        <v>1-10</v>
      </c>
      <c r="E3472" s="391">
        <f t="shared" si="10519"/>
        <v>10</v>
      </c>
      <c r="F3472" s="391" t="str">
        <f t="shared" ref="F3472:G3472" si="10520">F3471</f>
        <v>fresh water</v>
      </c>
      <c r="G3472" s="401" t="str">
        <f t="shared" si="10520"/>
        <v>DE: PES film 1-10 mm (emission to fresh water)</v>
      </c>
      <c r="H3472" s="465">
        <v>0</v>
      </c>
      <c r="I3472" s="394" t="s">
        <v>1162</v>
      </c>
      <c r="J3472" s="635"/>
      <c r="K3472" s="389">
        <v>13.04</v>
      </c>
      <c r="L3472" s="536"/>
      <c r="M3472" s="509">
        <f t="shared" si="10496"/>
        <v>383.43558282208591</v>
      </c>
      <c r="N3472" s="646"/>
      <c r="O3472" s="626"/>
      <c r="P3472" s="629"/>
      <c r="Q3472" s="629"/>
    </row>
    <row r="3473" spans="1:17" ht="15.75" hidden="1" thickBot="1">
      <c r="A3473" s="390" t="str">
        <f t="shared" ref="A3473:B3473" si="10521">A3470</f>
        <v>PES</v>
      </c>
      <c r="B3473" s="391" t="str">
        <f t="shared" si="10521"/>
        <v>film</v>
      </c>
      <c r="C3473" s="391">
        <f t="shared" ref="C3473" si="10522">C3472</f>
        <v>2</v>
      </c>
      <c r="D3473" s="391" t="str">
        <f t="shared" ref="D3473:E3473" si="10523">D3470</f>
        <v>1-10</v>
      </c>
      <c r="E3473" s="391">
        <f t="shared" si="10523"/>
        <v>10</v>
      </c>
      <c r="F3473" s="391" t="str">
        <f t="shared" ref="F3473:G3473" si="10524">F3472</f>
        <v>fresh water</v>
      </c>
      <c r="G3473" s="401" t="str">
        <f t="shared" si="10524"/>
        <v>DE: PES film 1-10 mm (emission to fresh water)</v>
      </c>
      <c r="H3473" s="465">
        <v>0</v>
      </c>
      <c r="I3473" s="394" t="s">
        <v>1163</v>
      </c>
      <c r="J3473" s="635"/>
      <c r="K3473" s="389">
        <v>13.04</v>
      </c>
      <c r="L3473" s="536"/>
      <c r="M3473" s="509">
        <f t="shared" si="10496"/>
        <v>383.43558282208591</v>
      </c>
      <c r="N3473" s="646"/>
      <c r="O3473" s="626"/>
      <c r="P3473" s="629"/>
      <c r="Q3473" s="629"/>
    </row>
    <row r="3474" spans="1:17" ht="15.75" hidden="1" thickBot="1">
      <c r="A3474" s="390" t="str">
        <f t="shared" ref="A3474:B3474" si="10525">A3471</f>
        <v>PES</v>
      </c>
      <c r="B3474" s="391" t="str">
        <f t="shared" si="10525"/>
        <v>film</v>
      </c>
      <c r="C3474" s="391">
        <f t="shared" ref="C3474" si="10526">C3473</f>
        <v>2</v>
      </c>
      <c r="D3474" s="391" t="str">
        <f t="shared" ref="D3474:E3474" si="10527">D3471</f>
        <v>1-10</v>
      </c>
      <c r="E3474" s="391">
        <f t="shared" si="10527"/>
        <v>10</v>
      </c>
      <c r="F3474" s="402" t="str">
        <f>F3471</f>
        <v>fresh water</v>
      </c>
      <c r="G3474" s="401" t="str">
        <f t="shared" ref="G3474" si="10528">G3473</f>
        <v>DE: PES film 1-10 mm (emission to fresh water)</v>
      </c>
      <c r="H3474" s="465">
        <v>0</v>
      </c>
      <c r="I3474" s="397" t="s">
        <v>1034</v>
      </c>
      <c r="J3474" s="654"/>
      <c r="K3474" s="398" t="s">
        <v>596</v>
      </c>
      <c r="L3474" s="538"/>
      <c r="M3474" s="509">
        <f t="shared" si="10496"/>
        <v>0</v>
      </c>
      <c r="N3474" s="647"/>
      <c r="O3474" s="627"/>
      <c r="P3474" s="629"/>
      <c r="Q3474" s="629"/>
    </row>
    <row r="3475" spans="1:17" ht="15.75" hidden="1" thickBot="1">
      <c r="A3475" s="390" t="str">
        <f t="shared" ref="A3475:B3475" si="10529">A3472</f>
        <v>PES</v>
      </c>
      <c r="B3475" s="391" t="str">
        <f t="shared" si="10529"/>
        <v>film</v>
      </c>
      <c r="C3475" s="391">
        <f t="shared" ref="C3475" si="10530">C3474</f>
        <v>2</v>
      </c>
      <c r="D3475" s="391" t="str">
        <f t="shared" ref="D3475:E3475" si="10531">D3472</f>
        <v>1-10</v>
      </c>
      <c r="E3475" s="391">
        <f t="shared" si="10531"/>
        <v>10</v>
      </c>
      <c r="F3475" s="385" t="s">
        <v>1097</v>
      </c>
      <c r="G3475" s="422" t="str">
        <f>CONCATENATE("DE: ",A3475," ",B3475," ",D3475," mm (emission to ",F3475,")")</f>
        <v>DE: PES film 1-10 mm (emission to marine water)</v>
      </c>
      <c r="H3475" s="467">
        <v>0</v>
      </c>
      <c r="I3475" s="388" t="s">
        <v>1153</v>
      </c>
      <c r="J3475" s="634">
        <v>0.22800000000000001</v>
      </c>
      <c r="K3475" s="389">
        <v>13.04</v>
      </c>
      <c r="L3475" s="536"/>
      <c r="M3475" s="509">
        <f t="shared" si="10496"/>
        <v>383.43558282208591</v>
      </c>
      <c r="N3475" s="645">
        <f t="shared" ref="N3475:N3535" si="10532">IFERROR(H3475*M3475+H3476*M3476+H3477*M3477+H3478*M3478+H3479*M3479,"N.A.")</f>
        <v>383.43558282208591</v>
      </c>
      <c r="O3475" s="625"/>
      <c r="P3475" s="628">
        <f t="shared" si="10405"/>
        <v>100</v>
      </c>
      <c r="Q3475" s="628">
        <f t="shared" si="10487"/>
        <v>383.43558282208591</v>
      </c>
    </row>
    <row r="3476" spans="1:17" ht="15.75" hidden="1" thickBot="1">
      <c r="A3476" s="390" t="str">
        <f t="shared" ref="A3476:B3476" si="10533">A3473</f>
        <v>PES</v>
      </c>
      <c r="B3476" s="391" t="str">
        <f t="shared" si="10533"/>
        <v>film</v>
      </c>
      <c r="C3476" s="391">
        <f t="shared" ref="C3476" si="10534">C3475</f>
        <v>2</v>
      </c>
      <c r="D3476" s="391" t="str">
        <f t="shared" ref="D3476:E3476" si="10535">D3473</f>
        <v>1-10</v>
      </c>
      <c r="E3476" s="391">
        <f t="shared" si="10535"/>
        <v>10</v>
      </c>
      <c r="F3476" s="391" t="str">
        <f t="shared" ref="F3476:G3476" si="10536">F3475</f>
        <v>marine water</v>
      </c>
      <c r="G3476" s="401" t="str">
        <f t="shared" si="10536"/>
        <v>DE: PES film 1-10 mm (emission to marine water)</v>
      </c>
      <c r="H3476" s="465">
        <v>1</v>
      </c>
      <c r="I3476" s="394" t="s">
        <v>1097</v>
      </c>
      <c r="J3476" s="635"/>
      <c r="K3476" s="389">
        <v>13.04</v>
      </c>
      <c r="L3476" s="536"/>
      <c r="M3476" s="509">
        <f t="shared" si="10496"/>
        <v>383.43558282208591</v>
      </c>
      <c r="N3476" s="646"/>
      <c r="O3476" s="626"/>
      <c r="P3476" s="629"/>
      <c r="Q3476" s="629"/>
    </row>
    <row r="3477" spans="1:17" ht="15.75" hidden="1" thickBot="1">
      <c r="A3477" s="390" t="str">
        <f t="shared" ref="A3477:B3477" si="10537">A3474</f>
        <v>PES</v>
      </c>
      <c r="B3477" s="391" t="str">
        <f t="shared" si="10537"/>
        <v>film</v>
      </c>
      <c r="C3477" s="391">
        <f t="shared" ref="C3477" si="10538">C3476</f>
        <v>2</v>
      </c>
      <c r="D3477" s="391" t="str">
        <f t="shared" ref="D3477:E3477" si="10539">D3474</f>
        <v>1-10</v>
      </c>
      <c r="E3477" s="391">
        <f t="shared" si="10539"/>
        <v>10</v>
      </c>
      <c r="F3477" s="391" t="str">
        <f t="shared" ref="F3477:G3477" si="10540">F3476</f>
        <v>marine water</v>
      </c>
      <c r="G3477" s="401" t="str">
        <f t="shared" si="10540"/>
        <v>DE: PES film 1-10 mm (emission to marine water)</v>
      </c>
      <c r="H3477" s="465">
        <v>0</v>
      </c>
      <c r="I3477" s="394" t="s">
        <v>1162</v>
      </c>
      <c r="J3477" s="635"/>
      <c r="K3477" s="389">
        <v>13.04</v>
      </c>
      <c r="L3477" s="536"/>
      <c r="M3477" s="509">
        <f t="shared" si="10496"/>
        <v>383.43558282208591</v>
      </c>
      <c r="N3477" s="646"/>
      <c r="O3477" s="626"/>
      <c r="P3477" s="629"/>
      <c r="Q3477" s="629"/>
    </row>
    <row r="3478" spans="1:17" ht="15.75" hidden="1" thickBot="1">
      <c r="A3478" s="390" t="str">
        <f t="shared" ref="A3478:B3478" si="10541">A3475</f>
        <v>PES</v>
      </c>
      <c r="B3478" s="391" t="str">
        <f t="shared" si="10541"/>
        <v>film</v>
      </c>
      <c r="C3478" s="391">
        <f t="shared" ref="C3478" si="10542">C3477</f>
        <v>2</v>
      </c>
      <c r="D3478" s="391" t="str">
        <f t="shared" ref="D3478:E3478" si="10543">D3475</f>
        <v>1-10</v>
      </c>
      <c r="E3478" s="391">
        <f t="shared" si="10543"/>
        <v>10</v>
      </c>
      <c r="F3478" s="391" t="str">
        <f t="shared" ref="F3478:G3478" si="10544">F3477</f>
        <v>marine water</v>
      </c>
      <c r="G3478" s="401" t="str">
        <f t="shared" si="10544"/>
        <v>DE: PES film 1-10 mm (emission to marine water)</v>
      </c>
      <c r="H3478" s="465">
        <v>0</v>
      </c>
      <c r="I3478" s="394" t="s">
        <v>1163</v>
      </c>
      <c r="J3478" s="635"/>
      <c r="K3478" s="389">
        <v>13.04</v>
      </c>
      <c r="L3478" s="536"/>
      <c r="M3478" s="509">
        <f t="shared" si="10496"/>
        <v>383.43558282208591</v>
      </c>
      <c r="N3478" s="646"/>
      <c r="O3478" s="626"/>
      <c r="P3478" s="629"/>
      <c r="Q3478" s="629"/>
    </row>
    <row r="3479" spans="1:17" ht="15.75" hidden="1" thickBot="1">
      <c r="A3479" s="390" t="str">
        <f t="shared" ref="A3479:B3479" si="10545">A3476</f>
        <v>PES</v>
      </c>
      <c r="B3479" s="391" t="str">
        <f t="shared" si="10545"/>
        <v>film</v>
      </c>
      <c r="C3479" s="391">
        <f t="shared" ref="C3479" si="10546">C3478</f>
        <v>2</v>
      </c>
      <c r="D3479" s="391" t="str">
        <f t="shared" ref="D3479:E3479" si="10547">D3476</f>
        <v>1-10</v>
      </c>
      <c r="E3479" s="391">
        <f t="shared" si="10547"/>
        <v>10</v>
      </c>
      <c r="F3479" s="391" t="str">
        <f t="shared" ref="F3479:G3479" si="10548">F3478</f>
        <v>marine water</v>
      </c>
      <c r="G3479" s="401" t="str">
        <f t="shared" si="10548"/>
        <v>DE: PES film 1-10 mm (emission to marine water)</v>
      </c>
      <c r="H3479" s="465">
        <v>0</v>
      </c>
      <c r="I3479" s="397" t="s">
        <v>1034</v>
      </c>
      <c r="J3479" s="654"/>
      <c r="K3479" s="398" t="s">
        <v>596</v>
      </c>
      <c r="L3479" s="538"/>
      <c r="M3479" s="509">
        <f t="shared" si="10496"/>
        <v>0</v>
      </c>
      <c r="N3479" s="647"/>
      <c r="O3479" s="627"/>
      <c r="P3479" s="629"/>
      <c r="Q3479" s="629"/>
    </row>
    <row r="3480" spans="1:17" ht="15.75" hidden="1" thickBot="1">
      <c r="A3480" s="390" t="str">
        <f t="shared" ref="A3480:B3480" si="10549">A3477</f>
        <v>PES</v>
      </c>
      <c r="B3480" s="391" t="str">
        <f t="shared" si="10549"/>
        <v>film</v>
      </c>
      <c r="C3480" s="391">
        <f t="shared" ref="C3480" si="10550">C3479</f>
        <v>2</v>
      </c>
      <c r="D3480" s="391" t="str">
        <f t="shared" ref="D3480:E3480" si="10551">D3477</f>
        <v>1-10</v>
      </c>
      <c r="E3480" s="391">
        <f t="shared" si="10551"/>
        <v>10</v>
      </c>
      <c r="F3480" s="400" t="s">
        <v>1057</v>
      </c>
      <c r="G3480" s="422" t="str">
        <f>CONCATENATE("DE: ",A3480," ",B3480," ",D3480," mm (emission to ",F3480,")")</f>
        <v>DE: PES film 1-10 mm (emission to air)</v>
      </c>
      <c r="H3480" s="467">
        <v>0.94799999999999995</v>
      </c>
      <c r="I3480" s="388" t="s">
        <v>1153</v>
      </c>
      <c r="J3480" s="634">
        <v>0.22800000000000001</v>
      </c>
      <c r="K3480" s="389">
        <v>13.04</v>
      </c>
      <c r="L3480" s="536"/>
      <c r="M3480" s="509">
        <f t="shared" si="10496"/>
        <v>383.43558282208591</v>
      </c>
      <c r="N3480" s="645">
        <f t="shared" si="10532"/>
        <v>383.43558282208591</v>
      </c>
      <c r="O3480" s="625"/>
      <c r="P3480" s="628">
        <f t="shared" si="10405"/>
        <v>100</v>
      </c>
      <c r="Q3480" s="628">
        <f t="shared" si="10487"/>
        <v>383.43558282208591</v>
      </c>
    </row>
    <row r="3481" spans="1:17" ht="15.75" hidden="1" thickBot="1">
      <c r="A3481" s="390" t="str">
        <f t="shared" ref="A3481:B3481" si="10552">A3478</f>
        <v>PES</v>
      </c>
      <c r="B3481" s="391" t="str">
        <f t="shared" si="10552"/>
        <v>film</v>
      </c>
      <c r="C3481" s="391">
        <f t="shared" ref="C3481" si="10553">C3480</f>
        <v>2</v>
      </c>
      <c r="D3481" s="391" t="str">
        <f t="shared" ref="D3481:E3481" si="10554">D3478</f>
        <v>1-10</v>
      </c>
      <c r="E3481" s="391">
        <f t="shared" si="10554"/>
        <v>10</v>
      </c>
      <c r="F3481" s="391" t="str">
        <f t="shared" ref="F3481:G3481" si="10555">F3480</f>
        <v>air</v>
      </c>
      <c r="G3481" s="401" t="str">
        <f t="shared" si="10555"/>
        <v>DE: PES film 1-10 mm (emission to air)</v>
      </c>
      <c r="H3481" s="465">
        <v>5.1999999999999998E-2</v>
      </c>
      <c r="I3481" s="394" t="s">
        <v>1097</v>
      </c>
      <c r="J3481" s="635"/>
      <c r="K3481" s="389">
        <v>13.04</v>
      </c>
      <c r="L3481" s="536"/>
      <c r="M3481" s="509">
        <f t="shared" si="10496"/>
        <v>383.43558282208591</v>
      </c>
      <c r="N3481" s="646"/>
      <c r="O3481" s="626"/>
      <c r="P3481" s="629"/>
      <c r="Q3481" s="629"/>
    </row>
    <row r="3482" spans="1:17" ht="15.75" hidden="1" thickBot="1">
      <c r="A3482" s="390" t="str">
        <f t="shared" ref="A3482:B3482" si="10556">A3479</f>
        <v>PES</v>
      </c>
      <c r="B3482" s="391" t="str">
        <f t="shared" si="10556"/>
        <v>film</v>
      </c>
      <c r="C3482" s="391">
        <f t="shared" ref="C3482" si="10557">C3481</f>
        <v>2</v>
      </c>
      <c r="D3482" s="391" t="str">
        <f t="shared" ref="D3482:E3482" si="10558">D3479</f>
        <v>1-10</v>
      </c>
      <c r="E3482" s="391">
        <f t="shared" si="10558"/>
        <v>10</v>
      </c>
      <c r="F3482" s="391" t="str">
        <f t="shared" ref="F3482:G3482" si="10559">F3481</f>
        <v>air</v>
      </c>
      <c r="G3482" s="401" t="str">
        <f t="shared" si="10559"/>
        <v>DE: PES film 1-10 mm (emission to air)</v>
      </c>
      <c r="H3482" s="465">
        <v>0</v>
      </c>
      <c r="I3482" s="394" t="s">
        <v>1162</v>
      </c>
      <c r="J3482" s="635"/>
      <c r="K3482" s="389">
        <v>13.04</v>
      </c>
      <c r="L3482" s="536"/>
      <c r="M3482" s="509">
        <f t="shared" si="10496"/>
        <v>383.43558282208591</v>
      </c>
      <c r="N3482" s="646"/>
      <c r="O3482" s="626"/>
      <c r="P3482" s="629"/>
      <c r="Q3482" s="629"/>
    </row>
    <row r="3483" spans="1:17" ht="15.75" hidden="1" thickBot="1">
      <c r="A3483" s="390" t="str">
        <f t="shared" ref="A3483:B3483" si="10560">A3480</f>
        <v>PES</v>
      </c>
      <c r="B3483" s="391" t="str">
        <f t="shared" si="10560"/>
        <v>film</v>
      </c>
      <c r="C3483" s="391">
        <f t="shared" ref="C3483" si="10561">C3482</f>
        <v>2</v>
      </c>
      <c r="D3483" s="391" t="str">
        <f t="shared" ref="D3483:E3483" si="10562">D3480</f>
        <v>1-10</v>
      </c>
      <c r="E3483" s="391">
        <f t="shared" si="10562"/>
        <v>10</v>
      </c>
      <c r="F3483" s="391" t="str">
        <f t="shared" ref="F3483:G3483" si="10563">F3482</f>
        <v>air</v>
      </c>
      <c r="G3483" s="401" t="str">
        <f t="shared" si="10563"/>
        <v>DE: PES film 1-10 mm (emission to air)</v>
      </c>
      <c r="H3483" s="465">
        <v>0</v>
      </c>
      <c r="I3483" s="394" t="s">
        <v>1163</v>
      </c>
      <c r="J3483" s="635"/>
      <c r="K3483" s="389">
        <v>13.04</v>
      </c>
      <c r="L3483" s="536"/>
      <c r="M3483" s="509">
        <f t="shared" si="10496"/>
        <v>383.43558282208591</v>
      </c>
      <c r="N3483" s="646"/>
      <c r="O3483" s="626"/>
      <c r="P3483" s="629"/>
      <c r="Q3483" s="629"/>
    </row>
    <row r="3484" spans="1:17" ht="15.75" hidden="1" thickBot="1">
      <c r="A3484" s="390" t="str">
        <f t="shared" ref="A3484:B3484" si="10564">A3479</f>
        <v>PES</v>
      </c>
      <c r="B3484" s="391" t="str">
        <f t="shared" si="10564"/>
        <v>film</v>
      </c>
      <c r="C3484" s="391">
        <f t="shared" ref="C3484" si="10565">C3483</f>
        <v>2</v>
      </c>
      <c r="D3484" s="391" t="str">
        <f t="shared" ref="D3484:E3484" si="10566">D3479</f>
        <v>1-10</v>
      </c>
      <c r="E3484" s="391">
        <f t="shared" si="10566"/>
        <v>10</v>
      </c>
      <c r="F3484" s="391" t="str">
        <f t="shared" ref="F3484:G3484" si="10567">F3483</f>
        <v>air</v>
      </c>
      <c r="G3484" s="401" t="str">
        <f t="shared" si="10567"/>
        <v>DE: PES film 1-10 mm (emission to air)</v>
      </c>
      <c r="H3484" s="471">
        <v>0</v>
      </c>
      <c r="I3484" s="422" t="s">
        <v>1034</v>
      </c>
      <c r="J3484" s="636"/>
      <c r="K3484" s="451" t="s">
        <v>596</v>
      </c>
      <c r="L3484" s="542"/>
      <c r="M3484" s="509">
        <f t="shared" si="10496"/>
        <v>0</v>
      </c>
      <c r="N3484" s="647"/>
      <c r="O3484" s="627"/>
      <c r="P3484" s="629"/>
      <c r="Q3484" s="629"/>
    </row>
    <row r="3485" spans="1:17" ht="15.75" hidden="1" thickBot="1">
      <c r="A3485" s="405" t="s">
        <v>771</v>
      </c>
      <c r="B3485" s="406" t="s">
        <v>1151</v>
      </c>
      <c r="C3485" s="407">
        <v>4</v>
      </c>
      <c r="D3485" s="423" t="s">
        <v>1018</v>
      </c>
      <c r="E3485" s="408">
        <v>0.1</v>
      </c>
      <c r="F3485" s="424" t="s">
        <v>1019</v>
      </c>
      <c r="G3485" s="425" t="str">
        <f>CONCATENATE("DE: ",A3485," ",B3485," ",D3485," mm (emission to ",F3485,")")</f>
        <v>DE: PES fiber 0,01-0,1 mm (emission to soil)</v>
      </c>
      <c r="H3485" s="474">
        <v>0.97</v>
      </c>
      <c r="I3485" s="427" t="s">
        <v>1153</v>
      </c>
      <c r="J3485" s="632">
        <v>0.22800000000000001</v>
      </c>
      <c r="K3485" s="428">
        <v>13.04</v>
      </c>
      <c r="L3485" s="539"/>
      <c r="M3485" s="509">
        <f t="shared" si="10496"/>
        <v>1.9171779141104295</v>
      </c>
      <c r="N3485" s="645">
        <f t="shared" si="10532"/>
        <v>1.9171779141104295</v>
      </c>
      <c r="O3485" s="625"/>
      <c r="P3485" s="628">
        <f t="shared" si="10405"/>
        <v>1.9171779141104295</v>
      </c>
      <c r="Q3485" s="628">
        <f t="shared" si="10487"/>
        <v>1.9171779141104295</v>
      </c>
    </row>
    <row r="3486" spans="1:17" ht="15.75" hidden="1" thickBot="1">
      <c r="A3486" s="390" t="str">
        <f>A3485</f>
        <v>PES</v>
      </c>
      <c r="B3486" s="391" t="str">
        <f>B3485</f>
        <v>fiber</v>
      </c>
      <c r="C3486" s="391">
        <f t="shared" ref="C3486:G3486" si="10568">C3485</f>
        <v>4</v>
      </c>
      <c r="D3486" s="391" t="str">
        <f t="shared" si="10568"/>
        <v>0,01-0,1</v>
      </c>
      <c r="E3486" s="391">
        <f t="shared" si="10568"/>
        <v>0.1</v>
      </c>
      <c r="F3486" s="391" t="str">
        <f t="shared" si="10568"/>
        <v>soil</v>
      </c>
      <c r="G3486" s="392" t="str">
        <f t="shared" si="10568"/>
        <v>DE: PES fiber 0,01-0,1 mm (emission to soil)</v>
      </c>
      <c r="H3486" s="465">
        <v>0.03</v>
      </c>
      <c r="I3486" s="394" t="s">
        <v>1097</v>
      </c>
      <c r="J3486" s="632"/>
      <c r="K3486" s="395">
        <v>13.04</v>
      </c>
      <c r="L3486" s="537"/>
      <c r="M3486" s="509">
        <f t="shared" si="10496"/>
        <v>1.9171779141104295</v>
      </c>
      <c r="N3486" s="646"/>
      <c r="O3486" s="626"/>
      <c r="P3486" s="629"/>
      <c r="Q3486" s="629"/>
    </row>
    <row r="3487" spans="1:17" ht="15.75" hidden="1" thickBot="1">
      <c r="A3487" s="390" t="str">
        <f t="shared" ref="A3487:G3487" si="10569">A3486</f>
        <v>PES</v>
      </c>
      <c r="B3487" s="391" t="str">
        <f t="shared" si="10569"/>
        <v>fiber</v>
      </c>
      <c r="C3487" s="391">
        <f t="shared" si="10569"/>
        <v>4</v>
      </c>
      <c r="D3487" s="391" t="str">
        <f t="shared" si="10569"/>
        <v>0,01-0,1</v>
      </c>
      <c r="E3487" s="391">
        <f t="shared" si="10569"/>
        <v>0.1</v>
      </c>
      <c r="F3487" s="391" t="str">
        <f t="shared" si="10569"/>
        <v>soil</v>
      </c>
      <c r="G3487" s="392" t="str">
        <f t="shared" si="10569"/>
        <v>DE: PES fiber 0,01-0,1 mm (emission to soil)</v>
      </c>
      <c r="H3487" s="465">
        <v>0</v>
      </c>
      <c r="I3487" s="394" t="s">
        <v>1162</v>
      </c>
      <c r="J3487" s="632"/>
      <c r="K3487" s="395">
        <v>13.04</v>
      </c>
      <c r="L3487" s="537"/>
      <c r="M3487" s="509">
        <f t="shared" si="10496"/>
        <v>1.9171779141104295</v>
      </c>
      <c r="N3487" s="646"/>
      <c r="O3487" s="626"/>
      <c r="P3487" s="629"/>
      <c r="Q3487" s="629"/>
    </row>
    <row r="3488" spans="1:17" ht="15.75" hidden="1" thickBot="1">
      <c r="A3488" s="390" t="str">
        <f t="shared" ref="A3488:G3488" si="10570">A3487</f>
        <v>PES</v>
      </c>
      <c r="B3488" s="391" t="str">
        <f t="shared" si="10570"/>
        <v>fiber</v>
      </c>
      <c r="C3488" s="391">
        <f t="shared" si="10570"/>
        <v>4</v>
      </c>
      <c r="D3488" s="391" t="str">
        <f t="shared" si="10570"/>
        <v>0,01-0,1</v>
      </c>
      <c r="E3488" s="391">
        <f t="shared" si="10570"/>
        <v>0.1</v>
      </c>
      <c r="F3488" s="391" t="str">
        <f t="shared" si="10570"/>
        <v>soil</v>
      </c>
      <c r="G3488" s="392" t="str">
        <f t="shared" si="10570"/>
        <v>DE: PES fiber 0,01-0,1 mm (emission to soil)</v>
      </c>
      <c r="H3488" s="465">
        <v>0</v>
      </c>
      <c r="I3488" s="394" t="s">
        <v>1163</v>
      </c>
      <c r="J3488" s="632"/>
      <c r="K3488" s="395">
        <v>13.04</v>
      </c>
      <c r="L3488" s="537"/>
      <c r="M3488" s="509">
        <f t="shared" si="10496"/>
        <v>1.9171779141104295</v>
      </c>
      <c r="N3488" s="646"/>
      <c r="O3488" s="626"/>
      <c r="P3488" s="629"/>
      <c r="Q3488" s="629"/>
    </row>
    <row r="3489" spans="1:17" ht="15.75" hidden="1" thickBot="1">
      <c r="A3489" s="390" t="str">
        <f>A3486</f>
        <v>PES</v>
      </c>
      <c r="B3489" s="391" t="str">
        <f>B3486</f>
        <v>fiber</v>
      </c>
      <c r="C3489" s="391">
        <f t="shared" ref="C3489" si="10571">C3488</f>
        <v>4</v>
      </c>
      <c r="D3489" s="391" t="str">
        <f>D3486</f>
        <v>0,01-0,1</v>
      </c>
      <c r="E3489" s="391">
        <f>E3486</f>
        <v>0.1</v>
      </c>
      <c r="F3489" s="391" t="str">
        <f>F3486</f>
        <v>soil</v>
      </c>
      <c r="G3489" s="396" t="str">
        <f t="shared" ref="G3489" si="10572">G3488</f>
        <v>DE: PES fiber 0,01-0,1 mm (emission to soil)</v>
      </c>
      <c r="H3489" s="465">
        <v>0</v>
      </c>
      <c r="I3489" s="397" t="s">
        <v>1034</v>
      </c>
      <c r="J3489" s="633"/>
      <c r="K3489" s="398" t="s">
        <v>596</v>
      </c>
      <c r="L3489" s="538"/>
      <c r="M3489" s="509">
        <f t="shared" si="10496"/>
        <v>0</v>
      </c>
      <c r="N3489" s="647"/>
      <c r="O3489" s="627"/>
      <c r="P3489" s="629"/>
      <c r="Q3489" s="629"/>
    </row>
    <row r="3490" spans="1:17" ht="15.75" hidden="1" thickBot="1">
      <c r="A3490" s="390" t="str">
        <f t="shared" ref="A3490:B3490" si="10573">A3487</f>
        <v>PES</v>
      </c>
      <c r="B3490" s="391" t="str">
        <f t="shared" si="10573"/>
        <v>fiber</v>
      </c>
      <c r="C3490" s="391">
        <f t="shared" ref="C3490" si="10574">C3489</f>
        <v>4</v>
      </c>
      <c r="D3490" s="399" t="str">
        <f t="shared" ref="D3490:E3490" si="10575">D3487</f>
        <v>0,01-0,1</v>
      </c>
      <c r="E3490" s="391">
        <f t="shared" si="10575"/>
        <v>0.1</v>
      </c>
      <c r="F3490" s="400" t="s">
        <v>1147</v>
      </c>
      <c r="G3490" s="386" t="str">
        <f>CONCATENATE("DE: ",A3490," ",B3490," ",D3490," mm (emission to ",F3490,")")</f>
        <v>DE: PES fiber 0,01-0,1 mm (emission to fresh water)</v>
      </c>
      <c r="H3490" s="466">
        <v>0</v>
      </c>
      <c r="I3490" s="388" t="s">
        <v>1153</v>
      </c>
      <c r="J3490" s="634">
        <v>0.22800000000000001</v>
      </c>
      <c r="K3490" s="389">
        <v>13.04</v>
      </c>
      <c r="L3490" s="536"/>
      <c r="M3490" s="509">
        <f t="shared" si="10496"/>
        <v>1.9171779141104295</v>
      </c>
      <c r="N3490" s="645">
        <f t="shared" si="10532"/>
        <v>1.9171779141104295</v>
      </c>
      <c r="O3490" s="625"/>
      <c r="P3490" s="628">
        <f t="shared" si="10405"/>
        <v>1.9171779141104295</v>
      </c>
      <c r="Q3490" s="628">
        <f t="shared" si="10487"/>
        <v>1.9171779141104295</v>
      </c>
    </row>
    <row r="3491" spans="1:17" ht="15.75" hidden="1" thickBot="1">
      <c r="A3491" s="390" t="str">
        <f t="shared" ref="A3491:B3491" si="10576">A3488</f>
        <v>PES</v>
      </c>
      <c r="B3491" s="391" t="str">
        <f t="shared" si="10576"/>
        <v>fiber</v>
      </c>
      <c r="C3491" s="391">
        <f t="shared" ref="C3491" si="10577">C3490</f>
        <v>4</v>
      </c>
      <c r="D3491" s="391" t="str">
        <f t="shared" ref="D3491:E3491" si="10578">D3488</f>
        <v>0,01-0,1</v>
      </c>
      <c r="E3491" s="391">
        <f t="shared" si="10578"/>
        <v>0.1</v>
      </c>
      <c r="F3491" s="391" t="str">
        <f t="shared" ref="F3491:G3491" si="10579">F3490</f>
        <v>fresh water</v>
      </c>
      <c r="G3491" s="401" t="str">
        <f t="shared" si="10579"/>
        <v>DE: PES fiber 0,01-0,1 mm (emission to fresh water)</v>
      </c>
      <c r="H3491" s="465">
        <v>1</v>
      </c>
      <c r="I3491" s="394" t="s">
        <v>1097</v>
      </c>
      <c r="J3491" s="635"/>
      <c r="K3491" s="389">
        <v>13.04</v>
      </c>
      <c r="L3491" s="536"/>
      <c r="M3491" s="509">
        <f t="shared" si="10496"/>
        <v>1.9171779141104295</v>
      </c>
      <c r="N3491" s="646"/>
      <c r="O3491" s="626"/>
      <c r="P3491" s="629"/>
      <c r="Q3491" s="629"/>
    </row>
    <row r="3492" spans="1:17" ht="15.75" hidden="1" thickBot="1">
      <c r="A3492" s="390" t="str">
        <f t="shared" ref="A3492:B3492" si="10580">A3489</f>
        <v>PES</v>
      </c>
      <c r="B3492" s="391" t="str">
        <f t="shared" si="10580"/>
        <v>fiber</v>
      </c>
      <c r="C3492" s="391">
        <f t="shared" ref="C3492" si="10581">C3491</f>
        <v>4</v>
      </c>
      <c r="D3492" s="391" t="str">
        <f t="shared" ref="D3492:E3492" si="10582">D3489</f>
        <v>0,01-0,1</v>
      </c>
      <c r="E3492" s="391">
        <f t="shared" si="10582"/>
        <v>0.1</v>
      </c>
      <c r="F3492" s="391" t="str">
        <f t="shared" ref="F3492:G3492" si="10583">F3491</f>
        <v>fresh water</v>
      </c>
      <c r="G3492" s="401" t="str">
        <f t="shared" si="10583"/>
        <v>DE: PES fiber 0,01-0,1 mm (emission to fresh water)</v>
      </c>
      <c r="H3492" s="465">
        <v>0</v>
      </c>
      <c r="I3492" s="394" t="s">
        <v>1162</v>
      </c>
      <c r="J3492" s="635"/>
      <c r="K3492" s="389">
        <v>13.04</v>
      </c>
      <c r="L3492" s="536"/>
      <c r="M3492" s="509">
        <f t="shared" si="10496"/>
        <v>1.9171779141104295</v>
      </c>
      <c r="N3492" s="646"/>
      <c r="O3492" s="626"/>
      <c r="P3492" s="629"/>
      <c r="Q3492" s="629"/>
    </row>
    <row r="3493" spans="1:17" ht="15.75" hidden="1" thickBot="1">
      <c r="A3493" s="390" t="str">
        <f t="shared" ref="A3493:B3493" si="10584">A3490</f>
        <v>PES</v>
      </c>
      <c r="B3493" s="391" t="str">
        <f t="shared" si="10584"/>
        <v>fiber</v>
      </c>
      <c r="C3493" s="391">
        <f t="shared" ref="C3493" si="10585">C3492</f>
        <v>4</v>
      </c>
      <c r="D3493" s="391" t="str">
        <f t="shared" ref="D3493:E3493" si="10586">D3490</f>
        <v>0,01-0,1</v>
      </c>
      <c r="E3493" s="391">
        <f t="shared" si="10586"/>
        <v>0.1</v>
      </c>
      <c r="F3493" s="391" t="str">
        <f t="shared" ref="F3493:G3493" si="10587">F3492</f>
        <v>fresh water</v>
      </c>
      <c r="G3493" s="401" t="str">
        <f t="shared" si="10587"/>
        <v>DE: PES fiber 0,01-0,1 mm (emission to fresh water)</v>
      </c>
      <c r="H3493" s="465">
        <v>0</v>
      </c>
      <c r="I3493" s="394" t="s">
        <v>1163</v>
      </c>
      <c r="J3493" s="635"/>
      <c r="K3493" s="389">
        <v>13.04</v>
      </c>
      <c r="L3493" s="536"/>
      <c r="M3493" s="509">
        <f t="shared" si="10496"/>
        <v>1.9171779141104295</v>
      </c>
      <c r="N3493" s="646"/>
      <c r="O3493" s="626"/>
      <c r="P3493" s="629"/>
      <c r="Q3493" s="629"/>
    </row>
    <row r="3494" spans="1:17" ht="15.75" hidden="1" thickBot="1">
      <c r="A3494" s="390" t="str">
        <f t="shared" ref="A3494:B3494" si="10588">A3491</f>
        <v>PES</v>
      </c>
      <c r="B3494" s="391" t="str">
        <f t="shared" si="10588"/>
        <v>fiber</v>
      </c>
      <c r="C3494" s="391">
        <f t="shared" ref="C3494" si="10589">C3493</f>
        <v>4</v>
      </c>
      <c r="D3494" s="391" t="str">
        <f t="shared" ref="D3494:E3494" si="10590">D3491</f>
        <v>0,01-0,1</v>
      </c>
      <c r="E3494" s="391">
        <f t="shared" si="10590"/>
        <v>0.1</v>
      </c>
      <c r="F3494" s="402" t="str">
        <f>F3491</f>
        <v>fresh water</v>
      </c>
      <c r="G3494" s="401" t="str">
        <f t="shared" ref="G3494" si="10591">G3493</f>
        <v>DE: PES fiber 0,01-0,1 mm (emission to fresh water)</v>
      </c>
      <c r="H3494" s="465">
        <v>0</v>
      </c>
      <c r="I3494" s="397" t="s">
        <v>1034</v>
      </c>
      <c r="J3494" s="654"/>
      <c r="K3494" s="398" t="s">
        <v>596</v>
      </c>
      <c r="L3494" s="538"/>
      <c r="M3494" s="509">
        <f t="shared" si="10496"/>
        <v>0</v>
      </c>
      <c r="N3494" s="647"/>
      <c r="O3494" s="627"/>
      <c r="P3494" s="629"/>
      <c r="Q3494" s="629"/>
    </row>
    <row r="3495" spans="1:17" ht="15.75" hidden="1" thickBot="1">
      <c r="A3495" s="390" t="str">
        <f t="shared" ref="A3495:B3495" si="10592">A3492</f>
        <v>PES</v>
      </c>
      <c r="B3495" s="391" t="str">
        <f t="shared" si="10592"/>
        <v>fiber</v>
      </c>
      <c r="C3495" s="391">
        <f t="shared" ref="C3495" si="10593">C3494</f>
        <v>4</v>
      </c>
      <c r="D3495" s="391" t="str">
        <f t="shared" ref="D3495:E3495" si="10594">D3492</f>
        <v>0,01-0,1</v>
      </c>
      <c r="E3495" s="391">
        <f t="shared" si="10594"/>
        <v>0.1</v>
      </c>
      <c r="F3495" s="385" t="s">
        <v>1097</v>
      </c>
      <c r="G3495" s="422" t="str">
        <f>CONCATENATE("DE: ",A3495," ",B3495," ",D3495," mm (emission to ",F3495,")")</f>
        <v>DE: PES fiber 0,01-0,1 mm (emission to marine water)</v>
      </c>
      <c r="H3495" s="467">
        <v>0</v>
      </c>
      <c r="I3495" s="388" t="s">
        <v>1153</v>
      </c>
      <c r="J3495" s="634">
        <v>0.22800000000000001</v>
      </c>
      <c r="K3495" s="389">
        <v>13.04</v>
      </c>
      <c r="L3495" s="536"/>
      <c r="M3495" s="509">
        <f t="shared" si="10496"/>
        <v>1.9171779141104295</v>
      </c>
      <c r="N3495" s="645">
        <f t="shared" si="10532"/>
        <v>1.9171779141104295</v>
      </c>
      <c r="O3495" s="625"/>
      <c r="P3495" s="628">
        <f t="shared" si="10405"/>
        <v>1.9171779141104295</v>
      </c>
      <c r="Q3495" s="628">
        <f t="shared" si="10487"/>
        <v>1.9171779141104295</v>
      </c>
    </row>
    <row r="3496" spans="1:17" ht="15.75" hidden="1" thickBot="1">
      <c r="A3496" s="390" t="str">
        <f t="shared" ref="A3496:B3496" si="10595">A3493</f>
        <v>PES</v>
      </c>
      <c r="B3496" s="391" t="str">
        <f t="shared" si="10595"/>
        <v>fiber</v>
      </c>
      <c r="C3496" s="391">
        <f t="shared" ref="C3496" si="10596">C3495</f>
        <v>4</v>
      </c>
      <c r="D3496" s="391" t="str">
        <f t="shared" ref="D3496:E3496" si="10597">D3493</f>
        <v>0,01-0,1</v>
      </c>
      <c r="E3496" s="391">
        <f t="shared" si="10597"/>
        <v>0.1</v>
      </c>
      <c r="F3496" s="391" t="str">
        <f t="shared" ref="F3496:G3496" si="10598">F3495</f>
        <v>marine water</v>
      </c>
      <c r="G3496" s="401" t="str">
        <f t="shared" si="10598"/>
        <v>DE: PES fiber 0,01-0,1 mm (emission to marine water)</v>
      </c>
      <c r="H3496" s="465">
        <v>1</v>
      </c>
      <c r="I3496" s="394" t="s">
        <v>1097</v>
      </c>
      <c r="J3496" s="635"/>
      <c r="K3496" s="389">
        <v>13.04</v>
      </c>
      <c r="L3496" s="536"/>
      <c r="M3496" s="509">
        <f t="shared" si="10496"/>
        <v>1.9171779141104295</v>
      </c>
      <c r="N3496" s="646"/>
      <c r="O3496" s="626"/>
      <c r="P3496" s="629"/>
      <c r="Q3496" s="629"/>
    </row>
    <row r="3497" spans="1:17" ht="15.75" hidden="1" thickBot="1">
      <c r="A3497" s="390" t="str">
        <f t="shared" ref="A3497:B3497" si="10599">A3494</f>
        <v>PES</v>
      </c>
      <c r="B3497" s="391" t="str">
        <f t="shared" si="10599"/>
        <v>fiber</v>
      </c>
      <c r="C3497" s="391">
        <f t="shared" ref="C3497" si="10600">C3496</f>
        <v>4</v>
      </c>
      <c r="D3497" s="391" t="str">
        <f t="shared" ref="D3497:E3497" si="10601">D3494</f>
        <v>0,01-0,1</v>
      </c>
      <c r="E3497" s="391">
        <f t="shared" si="10601"/>
        <v>0.1</v>
      </c>
      <c r="F3497" s="391" t="str">
        <f t="shared" ref="F3497:G3497" si="10602">F3496</f>
        <v>marine water</v>
      </c>
      <c r="G3497" s="401" t="str">
        <f t="shared" si="10602"/>
        <v>DE: PES fiber 0,01-0,1 mm (emission to marine water)</v>
      </c>
      <c r="H3497" s="465">
        <v>0</v>
      </c>
      <c r="I3497" s="394" t="s">
        <v>1162</v>
      </c>
      <c r="J3497" s="635"/>
      <c r="K3497" s="389">
        <v>13.04</v>
      </c>
      <c r="L3497" s="536"/>
      <c r="M3497" s="509">
        <f t="shared" si="10496"/>
        <v>1.9171779141104295</v>
      </c>
      <c r="N3497" s="646"/>
      <c r="O3497" s="626"/>
      <c r="P3497" s="629"/>
      <c r="Q3497" s="629"/>
    </row>
    <row r="3498" spans="1:17" ht="15.75" hidden="1" thickBot="1">
      <c r="A3498" s="390" t="str">
        <f t="shared" ref="A3498:B3498" si="10603">A3495</f>
        <v>PES</v>
      </c>
      <c r="B3498" s="391" t="str">
        <f t="shared" si="10603"/>
        <v>fiber</v>
      </c>
      <c r="C3498" s="391">
        <f t="shared" ref="C3498" si="10604">C3497</f>
        <v>4</v>
      </c>
      <c r="D3498" s="391" t="str">
        <f t="shared" ref="D3498:E3498" si="10605">D3495</f>
        <v>0,01-0,1</v>
      </c>
      <c r="E3498" s="391">
        <f t="shared" si="10605"/>
        <v>0.1</v>
      </c>
      <c r="F3498" s="391" t="str">
        <f t="shared" ref="F3498:G3498" si="10606">F3497</f>
        <v>marine water</v>
      </c>
      <c r="G3498" s="401" t="str">
        <f t="shared" si="10606"/>
        <v>DE: PES fiber 0,01-0,1 mm (emission to marine water)</v>
      </c>
      <c r="H3498" s="465">
        <v>0</v>
      </c>
      <c r="I3498" s="394" t="s">
        <v>1163</v>
      </c>
      <c r="J3498" s="635"/>
      <c r="K3498" s="389">
        <v>13.04</v>
      </c>
      <c r="L3498" s="536"/>
      <c r="M3498" s="509">
        <f t="shared" si="10496"/>
        <v>1.9171779141104295</v>
      </c>
      <c r="N3498" s="646"/>
      <c r="O3498" s="626"/>
      <c r="P3498" s="629"/>
      <c r="Q3498" s="629"/>
    </row>
    <row r="3499" spans="1:17" ht="15.75" hidden="1" thickBot="1">
      <c r="A3499" s="390" t="str">
        <f t="shared" ref="A3499:B3499" si="10607">A3496</f>
        <v>PES</v>
      </c>
      <c r="B3499" s="391" t="str">
        <f t="shared" si="10607"/>
        <v>fiber</v>
      </c>
      <c r="C3499" s="391">
        <f t="shared" ref="C3499" si="10608">C3498</f>
        <v>4</v>
      </c>
      <c r="D3499" s="391" t="str">
        <f t="shared" ref="D3499:E3499" si="10609">D3496</f>
        <v>0,01-0,1</v>
      </c>
      <c r="E3499" s="391">
        <f t="shared" si="10609"/>
        <v>0.1</v>
      </c>
      <c r="F3499" s="391" t="str">
        <f t="shared" ref="F3499:G3499" si="10610">F3498</f>
        <v>marine water</v>
      </c>
      <c r="G3499" s="401" t="str">
        <f t="shared" si="10610"/>
        <v>DE: PES fiber 0,01-0,1 mm (emission to marine water)</v>
      </c>
      <c r="H3499" s="465">
        <v>0</v>
      </c>
      <c r="I3499" s="397" t="s">
        <v>1034</v>
      </c>
      <c r="J3499" s="654"/>
      <c r="K3499" s="398" t="s">
        <v>596</v>
      </c>
      <c r="L3499" s="538"/>
      <c r="M3499" s="509">
        <f t="shared" si="10496"/>
        <v>0</v>
      </c>
      <c r="N3499" s="647"/>
      <c r="O3499" s="627"/>
      <c r="P3499" s="629"/>
      <c r="Q3499" s="629"/>
    </row>
    <row r="3500" spans="1:17" ht="15.75" hidden="1" thickBot="1">
      <c r="A3500" s="390" t="str">
        <f t="shared" ref="A3500:B3500" si="10611">A3497</f>
        <v>PES</v>
      </c>
      <c r="B3500" s="391" t="str">
        <f t="shared" si="10611"/>
        <v>fiber</v>
      </c>
      <c r="C3500" s="391">
        <f t="shared" ref="C3500" si="10612">C3499</f>
        <v>4</v>
      </c>
      <c r="D3500" s="391" t="str">
        <f t="shared" ref="D3500:E3500" si="10613">D3497</f>
        <v>0,01-0,1</v>
      </c>
      <c r="E3500" s="391">
        <f t="shared" si="10613"/>
        <v>0.1</v>
      </c>
      <c r="F3500" s="400" t="s">
        <v>1057</v>
      </c>
      <c r="G3500" s="422" t="str">
        <f>CONCATENATE("DE: ",A3500," ",B3500," ",D3500," mm (emission to ",F3500,")")</f>
        <v>DE: PES fiber 0,01-0,1 mm (emission to air)</v>
      </c>
      <c r="H3500" s="467">
        <v>0.94799999999999995</v>
      </c>
      <c r="I3500" s="388" t="s">
        <v>1153</v>
      </c>
      <c r="J3500" s="634">
        <v>0.22800000000000001</v>
      </c>
      <c r="K3500" s="389">
        <v>13.04</v>
      </c>
      <c r="L3500" s="536"/>
      <c r="M3500" s="509">
        <f t="shared" si="10496"/>
        <v>1.9171779141104295</v>
      </c>
      <c r="N3500" s="645">
        <f t="shared" si="10532"/>
        <v>1.9171779141104295</v>
      </c>
      <c r="O3500" s="625"/>
      <c r="P3500" s="628">
        <f t="shared" ref="P3500:P3560" si="10614">IFERROR(IF(H3500*M3500+H3501*M3501+H3502*M3502+H3503*M3503+H3504*M3504&gt;100,100,H3500*M3500+H3501*M3501+H3502*M3502+H3503*M3503+H3504*M3504),"N.A.")</f>
        <v>1.9171779141104295</v>
      </c>
      <c r="Q3500" s="628">
        <f t="shared" si="10487"/>
        <v>1.9171779141104295</v>
      </c>
    </row>
    <row r="3501" spans="1:17" ht="15.75" hidden="1" thickBot="1">
      <c r="A3501" s="390" t="str">
        <f t="shared" ref="A3501:B3501" si="10615">A3498</f>
        <v>PES</v>
      </c>
      <c r="B3501" s="391" t="str">
        <f t="shared" si="10615"/>
        <v>fiber</v>
      </c>
      <c r="C3501" s="391">
        <f t="shared" ref="C3501" si="10616">C3500</f>
        <v>4</v>
      </c>
      <c r="D3501" s="391" t="str">
        <f t="shared" ref="D3501:E3501" si="10617">D3498</f>
        <v>0,01-0,1</v>
      </c>
      <c r="E3501" s="391">
        <f t="shared" si="10617"/>
        <v>0.1</v>
      </c>
      <c r="F3501" s="391" t="str">
        <f t="shared" ref="F3501:G3501" si="10618">F3500</f>
        <v>air</v>
      </c>
      <c r="G3501" s="401" t="str">
        <f t="shared" si="10618"/>
        <v>DE: PES fiber 0,01-0,1 mm (emission to air)</v>
      </c>
      <c r="H3501" s="465">
        <v>5.1999999999999998E-2</v>
      </c>
      <c r="I3501" s="394" t="s">
        <v>1097</v>
      </c>
      <c r="J3501" s="635"/>
      <c r="K3501" s="389">
        <v>13.04</v>
      </c>
      <c r="L3501" s="536"/>
      <c r="M3501" s="509">
        <f t="shared" si="10496"/>
        <v>1.9171779141104295</v>
      </c>
      <c r="N3501" s="646"/>
      <c r="O3501" s="626"/>
      <c r="P3501" s="629"/>
      <c r="Q3501" s="629"/>
    </row>
    <row r="3502" spans="1:17" ht="15.75" hidden="1" thickBot="1">
      <c r="A3502" s="390" t="str">
        <f t="shared" ref="A3502:B3502" si="10619">A3499</f>
        <v>PES</v>
      </c>
      <c r="B3502" s="391" t="str">
        <f t="shared" si="10619"/>
        <v>fiber</v>
      </c>
      <c r="C3502" s="391">
        <f t="shared" ref="C3502" si="10620">C3501</f>
        <v>4</v>
      </c>
      <c r="D3502" s="391" t="str">
        <f t="shared" ref="D3502:E3502" si="10621">D3499</f>
        <v>0,01-0,1</v>
      </c>
      <c r="E3502" s="391">
        <f t="shared" si="10621"/>
        <v>0.1</v>
      </c>
      <c r="F3502" s="391" t="str">
        <f t="shared" ref="F3502:G3502" si="10622">F3501</f>
        <v>air</v>
      </c>
      <c r="G3502" s="401" t="str">
        <f t="shared" si="10622"/>
        <v>DE: PES fiber 0,01-0,1 mm (emission to air)</v>
      </c>
      <c r="H3502" s="465">
        <v>0</v>
      </c>
      <c r="I3502" s="394" t="s">
        <v>1162</v>
      </c>
      <c r="J3502" s="635"/>
      <c r="K3502" s="389">
        <v>13.04</v>
      </c>
      <c r="L3502" s="536"/>
      <c r="M3502" s="509">
        <f t="shared" si="10496"/>
        <v>1.9171779141104295</v>
      </c>
      <c r="N3502" s="646"/>
      <c r="O3502" s="626"/>
      <c r="P3502" s="629"/>
      <c r="Q3502" s="629"/>
    </row>
    <row r="3503" spans="1:17" ht="15.75" hidden="1" thickBot="1">
      <c r="A3503" s="390" t="str">
        <f t="shared" ref="A3503:B3503" si="10623">A3500</f>
        <v>PES</v>
      </c>
      <c r="B3503" s="391" t="str">
        <f t="shared" si="10623"/>
        <v>fiber</v>
      </c>
      <c r="C3503" s="391">
        <f t="shared" ref="C3503" si="10624">C3502</f>
        <v>4</v>
      </c>
      <c r="D3503" s="391" t="str">
        <f t="shared" ref="D3503:E3503" si="10625">D3500</f>
        <v>0,01-0,1</v>
      </c>
      <c r="E3503" s="391">
        <f t="shared" si="10625"/>
        <v>0.1</v>
      </c>
      <c r="F3503" s="391" t="str">
        <f t="shared" ref="F3503:G3503" si="10626">F3502</f>
        <v>air</v>
      </c>
      <c r="G3503" s="401" t="str">
        <f t="shared" si="10626"/>
        <v>DE: PES fiber 0,01-0,1 mm (emission to air)</v>
      </c>
      <c r="H3503" s="465">
        <v>0</v>
      </c>
      <c r="I3503" s="394" t="s">
        <v>1163</v>
      </c>
      <c r="J3503" s="635"/>
      <c r="K3503" s="389">
        <v>13.04</v>
      </c>
      <c r="L3503" s="536"/>
      <c r="M3503" s="509">
        <f t="shared" si="10496"/>
        <v>1.9171779141104295</v>
      </c>
      <c r="N3503" s="646"/>
      <c r="O3503" s="626"/>
      <c r="P3503" s="629"/>
      <c r="Q3503" s="629"/>
    </row>
    <row r="3504" spans="1:17" ht="15.75" hidden="1" thickBot="1">
      <c r="A3504" s="452" t="str">
        <f t="shared" ref="A3504:B3504" si="10627">A3499</f>
        <v>PES</v>
      </c>
      <c r="B3504" s="453" t="str">
        <f t="shared" si="10627"/>
        <v>fiber</v>
      </c>
      <c r="C3504" s="453">
        <f t="shared" ref="C3504" si="10628">C3503</f>
        <v>4</v>
      </c>
      <c r="D3504" s="453" t="str">
        <f t="shared" ref="D3504:E3504" si="10629">D3499</f>
        <v>0,01-0,1</v>
      </c>
      <c r="E3504" s="453">
        <f t="shared" si="10629"/>
        <v>0.1</v>
      </c>
      <c r="F3504" s="453" t="str">
        <f t="shared" ref="F3504:G3504" si="10630">F3503</f>
        <v>air</v>
      </c>
      <c r="G3504" s="454" t="str">
        <f t="shared" si="10630"/>
        <v>DE: PES fiber 0,01-0,1 mm (emission to air)</v>
      </c>
      <c r="H3504" s="473">
        <v>0</v>
      </c>
      <c r="I3504" s="456" t="s">
        <v>1034</v>
      </c>
      <c r="J3504" s="636"/>
      <c r="K3504" s="457" t="s">
        <v>596</v>
      </c>
      <c r="L3504" s="543"/>
      <c r="M3504" s="509">
        <f t="shared" si="10496"/>
        <v>0</v>
      </c>
      <c r="N3504" s="647"/>
      <c r="O3504" s="627"/>
      <c r="P3504" s="629"/>
      <c r="Q3504" s="629"/>
    </row>
    <row r="3505" spans="1:17" ht="15.75" hidden="1" thickBot="1">
      <c r="A3505" s="381" t="s">
        <v>771</v>
      </c>
      <c r="B3505" s="382" t="s">
        <v>1151</v>
      </c>
      <c r="C3505" s="383">
        <v>4</v>
      </c>
      <c r="D3505" s="475" t="s">
        <v>1028</v>
      </c>
      <c r="E3505" s="384">
        <v>1</v>
      </c>
      <c r="F3505" s="385" t="s">
        <v>1019</v>
      </c>
      <c r="G3505" s="386" t="str">
        <f>CONCATENATE("DE: ",A3505," ",B3505," ",D3505," mm (emission to ",F3505,")")</f>
        <v>DE: PES fiber 0,1-1 mm (emission to soil)</v>
      </c>
      <c r="H3505" s="466">
        <v>0.97</v>
      </c>
      <c r="I3505" s="388" t="s">
        <v>1153</v>
      </c>
      <c r="J3505" s="632">
        <v>0.22800000000000001</v>
      </c>
      <c r="K3505" s="389">
        <v>13.04</v>
      </c>
      <c r="L3505" s="536"/>
      <c r="M3505" s="509">
        <f t="shared" si="10496"/>
        <v>19.171779141104295</v>
      </c>
      <c r="N3505" s="645">
        <f t="shared" si="10532"/>
        <v>19.171779141104295</v>
      </c>
      <c r="O3505" s="625"/>
      <c r="P3505" s="628">
        <f t="shared" si="10614"/>
        <v>19.171779141104295</v>
      </c>
      <c r="Q3505" s="628">
        <f t="shared" si="10487"/>
        <v>19.171779141104295</v>
      </c>
    </row>
    <row r="3506" spans="1:17" ht="15.75" hidden="1" thickBot="1">
      <c r="A3506" s="390" t="str">
        <f>A3505</f>
        <v>PES</v>
      </c>
      <c r="B3506" s="391" t="str">
        <f>B3505</f>
        <v>fiber</v>
      </c>
      <c r="C3506" s="391">
        <f t="shared" ref="C3506:G3506" si="10631">C3505</f>
        <v>4</v>
      </c>
      <c r="D3506" s="391" t="str">
        <f t="shared" si="10631"/>
        <v>0,1-1</v>
      </c>
      <c r="E3506" s="391">
        <f t="shared" si="10631"/>
        <v>1</v>
      </c>
      <c r="F3506" s="391" t="str">
        <f t="shared" si="10631"/>
        <v>soil</v>
      </c>
      <c r="G3506" s="392" t="str">
        <f t="shared" si="10631"/>
        <v>DE: PES fiber 0,1-1 mm (emission to soil)</v>
      </c>
      <c r="H3506" s="465">
        <v>0.03</v>
      </c>
      <c r="I3506" s="394" t="s">
        <v>1097</v>
      </c>
      <c r="J3506" s="632"/>
      <c r="K3506" s="395">
        <v>13.04</v>
      </c>
      <c r="L3506" s="537"/>
      <c r="M3506" s="509">
        <f t="shared" si="10496"/>
        <v>19.171779141104295</v>
      </c>
      <c r="N3506" s="646"/>
      <c r="O3506" s="626"/>
      <c r="P3506" s="629"/>
      <c r="Q3506" s="629"/>
    </row>
    <row r="3507" spans="1:17" ht="15.75" hidden="1" thickBot="1">
      <c r="A3507" s="390" t="str">
        <f t="shared" ref="A3507:G3507" si="10632">A3506</f>
        <v>PES</v>
      </c>
      <c r="B3507" s="391" t="str">
        <f t="shared" si="10632"/>
        <v>fiber</v>
      </c>
      <c r="C3507" s="391">
        <f t="shared" si="10632"/>
        <v>4</v>
      </c>
      <c r="D3507" s="391" t="str">
        <f t="shared" si="10632"/>
        <v>0,1-1</v>
      </c>
      <c r="E3507" s="391">
        <f t="shared" si="10632"/>
        <v>1</v>
      </c>
      <c r="F3507" s="391" t="str">
        <f t="shared" si="10632"/>
        <v>soil</v>
      </c>
      <c r="G3507" s="392" t="str">
        <f t="shared" si="10632"/>
        <v>DE: PES fiber 0,1-1 mm (emission to soil)</v>
      </c>
      <c r="H3507" s="465">
        <v>0</v>
      </c>
      <c r="I3507" s="394" t="s">
        <v>1162</v>
      </c>
      <c r="J3507" s="632"/>
      <c r="K3507" s="395">
        <v>13.04</v>
      </c>
      <c r="L3507" s="537"/>
      <c r="M3507" s="509">
        <f t="shared" si="10496"/>
        <v>19.171779141104295</v>
      </c>
      <c r="N3507" s="646"/>
      <c r="O3507" s="626"/>
      <c r="P3507" s="629"/>
      <c r="Q3507" s="629"/>
    </row>
    <row r="3508" spans="1:17" ht="15.75" hidden="1" thickBot="1">
      <c r="A3508" s="390" t="str">
        <f t="shared" ref="A3508:G3508" si="10633">A3507</f>
        <v>PES</v>
      </c>
      <c r="B3508" s="391" t="str">
        <f t="shared" si="10633"/>
        <v>fiber</v>
      </c>
      <c r="C3508" s="391">
        <f t="shared" si="10633"/>
        <v>4</v>
      </c>
      <c r="D3508" s="391" t="str">
        <f t="shared" si="10633"/>
        <v>0,1-1</v>
      </c>
      <c r="E3508" s="391">
        <f t="shared" si="10633"/>
        <v>1</v>
      </c>
      <c r="F3508" s="391" t="str">
        <f t="shared" si="10633"/>
        <v>soil</v>
      </c>
      <c r="G3508" s="392" t="str">
        <f t="shared" si="10633"/>
        <v>DE: PES fiber 0,1-1 mm (emission to soil)</v>
      </c>
      <c r="H3508" s="465">
        <v>0</v>
      </c>
      <c r="I3508" s="394" t="s">
        <v>1163</v>
      </c>
      <c r="J3508" s="632"/>
      <c r="K3508" s="395">
        <v>13.04</v>
      </c>
      <c r="L3508" s="537"/>
      <c r="M3508" s="509">
        <f t="shared" si="10496"/>
        <v>19.171779141104295</v>
      </c>
      <c r="N3508" s="646"/>
      <c r="O3508" s="626"/>
      <c r="P3508" s="629"/>
      <c r="Q3508" s="629"/>
    </row>
    <row r="3509" spans="1:17" ht="15.75" hidden="1" thickBot="1">
      <c r="A3509" s="390" t="str">
        <f>A3506</f>
        <v>PES</v>
      </c>
      <c r="B3509" s="391" t="str">
        <f>B3506</f>
        <v>fiber</v>
      </c>
      <c r="C3509" s="391">
        <f t="shared" ref="C3509" si="10634">C3508</f>
        <v>4</v>
      </c>
      <c r="D3509" s="391" t="str">
        <f>D3506</f>
        <v>0,1-1</v>
      </c>
      <c r="E3509" s="391">
        <f>E3506</f>
        <v>1</v>
      </c>
      <c r="F3509" s="391" t="str">
        <f>F3506</f>
        <v>soil</v>
      </c>
      <c r="G3509" s="396" t="str">
        <f t="shared" ref="G3509" si="10635">G3508</f>
        <v>DE: PES fiber 0,1-1 mm (emission to soil)</v>
      </c>
      <c r="H3509" s="465">
        <v>0</v>
      </c>
      <c r="I3509" s="397" t="s">
        <v>1034</v>
      </c>
      <c r="J3509" s="633"/>
      <c r="K3509" s="398" t="s">
        <v>596</v>
      </c>
      <c r="L3509" s="538"/>
      <c r="M3509" s="509">
        <f t="shared" si="10496"/>
        <v>0</v>
      </c>
      <c r="N3509" s="647"/>
      <c r="O3509" s="627"/>
      <c r="P3509" s="629"/>
      <c r="Q3509" s="629"/>
    </row>
    <row r="3510" spans="1:17" ht="15.75" hidden="1" thickBot="1">
      <c r="A3510" s="390" t="str">
        <f t="shared" ref="A3510:B3510" si="10636">A3507</f>
        <v>PES</v>
      </c>
      <c r="B3510" s="391" t="str">
        <f t="shared" si="10636"/>
        <v>fiber</v>
      </c>
      <c r="C3510" s="391">
        <f t="shared" ref="C3510" si="10637">C3509</f>
        <v>4</v>
      </c>
      <c r="D3510" s="399" t="str">
        <f t="shared" ref="D3510:E3510" si="10638">D3507</f>
        <v>0,1-1</v>
      </c>
      <c r="E3510" s="391">
        <f t="shared" si="10638"/>
        <v>1</v>
      </c>
      <c r="F3510" s="400" t="s">
        <v>1147</v>
      </c>
      <c r="G3510" s="386" t="str">
        <f>CONCATENATE("DE: ",A3510," ",B3510," ",D3510," mm (emission to ",F3510,")")</f>
        <v>DE: PES fiber 0,1-1 mm (emission to fresh water)</v>
      </c>
      <c r="H3510" s="466">
        <v>0</v>
      </c>
      <c r="I3510" s="388" t="s">
        <v>1153</v>
      </c>
      <c r="J3510" s="634">
        <v>0.22800000000000001</v>
      </c>
      <c r="K3510" s="389">
        <v>13.04</v>
      </c>
      <c r="L3510" s="536"/>
      <c r="M3510" s="509">
        <f t="shared" si="10496"/>
        <v>19.171779141104295</v>
      </c>
      <c r="N3510" s="645">
        <f t="shared" si="10532"/>
        <v>19.171779141104295</v>
      </c>
      <c r="O3510" s="625"/>
      <c r="P3510" s="628">
        <f t="shared" si="10614"/>
        <v>19.171779141104295</v>
      </c>
      <c r="Q3510" s="628">
        <f t="shared" si="10487"/>
        <v>19.171779141104295</v>
      </c>
    </row>
    <row r="3511" spans="1:17" ht="15.75" hidden="1" thickBot="1">
      <c r="A3511" s="390" t="str">
        <f t="shared" ref="A3511:B3511" si="10639">A3508</f>
        <v>PES</v>
      </c>
      <c r="B3511" s="391" t="str">
        <f t="shared" si="10639"/>
        <v>fiber</v>
      </c>
      <c r="C3511" s="391">
        <f t="shared" ref="C3511" si="10640">C3510</f>
        <v>4</v>
      </c>
      <c r="D3511" s="391" t="str">
        <f t="shared" ref="D3511:E3511" si="10641">D3508</f>
        <v>0,1-1</v>
      </c>
      <c r="E3511" s="391">
        <f t="shared" si="10641"/>
        <v>1</v>
      </c>
      <c r="F3511" s="391" t="str">
        <f t="shared" ref="F3511:G3511" si="10642">F3510</f>
        <v>fresh water</v>
      </c>
      <c r="G3511" s="401" t="str">
        <f t="shared" si="10642"/>
        <v>DE: PES fiber 0,1-1 mm (emission to fresh water)</v>
      </c>
      <c r="H3511" s="465">
        <v>1</v>
      </c>
      <c r="I3511" s="394" t="s">
        <v>1097</v>
      </c>
      <c r="J3511" s="635"/>
      <c r="K3511" s="389">
        <v>13.04</v>
      </c>
      <c r="L3511" s="536"/>
      <c r="M3511" s="509">
        <f t="shared" si="10496"/>
        <v>19.171779141104295</v>
      </c>
      <c r="N3511" s="646"/>
      <c r="O3511" s="626"/>
      <c r="P3511" s="629"/>
      <c r="Q3511" s="629"/>
    </row>
    <row r="3512" spans="1:17" ht="15.75" hidden="1" thickBot="1">
      <c r="A3512" s="390" t="str">
        <f t="shared" ref="A3512:B3512" si="10643">A3509</f>
        <v>PES</v>
      </c>
      <c r="B3512" s="391" t="str">
        <f t="shared" si="10643"/>
        <v>fiber</v>
      </c>
      <c r="C3512" s="391">
        <f t="shared" ref="C3512" si="10644">C3511</f>
        <v>4</v>
      </c>
      <c r="D3512" s="391" t="str">
        <f t="shared" ref="D3512:E3512" si="10645">D3509</f>
        <v>0,1-1</v>
      </c>
      <c r="E3512" s="391">
        <f t="shared" si="10645"/>
        <v>1</v>
      </c>
      <c r="F3512" s="391" t="str">
        <f t="shared" ref="F3512:G3512" si="10646">F3511</f>
        <v>fresh water</v>
      </c>
      <c r="G3512" s="401" t="str">
        <f t="shared" si="10646"/>
        <v>DE: PES fiber 0,1-1 mm (emission to fresh water)</v>
      </c>
      <c r="H3512" s="465">
        <v>0</v>
      </c>
      <c r="I3512" s="394" t="s">
        <v>1162</v>
      </c>
      <c r="J3512" s="635"/>
      <c r="K3512" s="389">
        <v>13.04</v>
      </c>
      <c r="L3512" s="536"/>
      <c r="M3512" s="509">
        <f t="shared" si="10496"/>
        <v>19.171779141104295</v>
      </c>
      <c r="N3512" s="646"/>
      <c r="O3512" s="626"/>
      <c r="P3512" s="629"/>
      <c r="Q3512" s="629"/>
    </row>
    <row r="3513" spans="1:17" ht="15.75" hidden="1" thickBot="1">
      <c r="A3513" s="390" t="str">
        <f t="shared" ref="A3513:B3513" si="10647">A3510</f>
        <v>PES</v>
      </c>
      <c r="B3513" s="391" t="str">
        <f t="shared" si="10647"/>
        <v>fiber</v>
      </c>
      <c r="C3513" s="391">
        <f t="shared" ref="C3513" si="10648">C3512</f>
        <v>4</v>
      </c>
      <c r="D3513" s="391" t="str">
        <f t="shared" ref="D3513:E3513" si="10649">D3510</f>
        <v>0,1-1</v>
      </c>
      <c r="E3513" s="391">
        <f t="shared" si="10649"/>
        <v>1</v>
      </c>
      <c r="F3513" s="391" t="str">
        <f t="shared" ref="F3513:G3513" si="10650">F3512</f>
        <v>fresh water</v>
      </c>
      <c r="G3513" s="401" t="str">
        <f t="shared" si="10650"/>
        <v>DE: PES fiber 0,1-1 mm (emission to fresh water)</v>
      </c>
      <c r="H3513" s="465">
        <v>0</v>
      </c>
      <c r="I3513" s="394" t="s">
        <v>1163</v>
      </c>
      <c r="J3513" s="635"/>
      <c r="K3513" s="389">
        <v>13.04</v>
      </c>
      <c r="L3513" s="536"/>
      <c r="M3513" s="509">
        <f t="shared" si="10496"/>
        <v>19.171779141104295</v>
      </c>
      <c r="N3513" s="646"/>
      <c r="O3513" s="626"/>
      <c r="P3513" s="629"/>
      <c r="Q3513" s="629"/>
    </row>
    <row r="3514" spans="1:17" ht="15.75" hidden="1" thickBot="1">
      <c r="A3514" s="390" t="str">
        <f t="shared" ref="A3514:B3514" si="10651">A3511</f>
        <v>PES</v>
      </c>
      <c r="B3514" s="391" t="str">
        <f t="shared" si="10651"/>
        <v>fiber</v>
      </c>
      <c r="C3514" s="391">
        <f t="shared" ref="C3514" si="10652">C3513</f>
        <v>4</v>
      </c>
      <c r="D3514" s="391" t="str">
        <f t="shared" ref="D3514:E3514" si="10653">D3511</f>
        <v>0,1-1</v>
      </c>
      <c r="E3514" s="391">
        <f t="shared" si="10653"/>
        <v>1</v>
      </c>
      <c r="F3514" s="402" t="str">
        <f>F3511</f>
        <v>fresh water</v>
      </c>
      <c r="G3514" s="401" t="str">
        <f t="shared" ref="G3514" si="10654">G3513</f>
        <v>DE: PES fiber 0,1-1 mm (emission to fresh water)</v>
      </c>
      <c r="H3514" s="465">
        <v>0</v>
      </c>
      <c r="I3514" s="397" t="s">
        <v>1034</v>
      </c>
      <c r="J3514" s="654"/>
      <c r="K3514" s="398" t="s">
        <v>596</v>
      </c>
      <c r="L3514" s="538"/>
      <c r="M3514" s="509">
        <f t="shared" si="10496"/>
        <v>0</v>
      </c>
      <c r="N3514" s="647"/>
      <c r="O3514" s="627"/>
      <c r="P3514" s="629"/>
      <c r="Q3514" s="629"/>
    </row>
    <row r="3515" spans="1:17" ht="15.75" hidden="1" thickBot="1">
      <c r="A3515" s="390" t="str">
        <f t="shared" ref="A3515:B3515" si="10655">A3512</f>
        <v>PES</v>
      </c>
      <c r="B3515" s="391" t="str">
        <f t="shared" si="10655"/>
        <v>fiber</v>
      </c>
      <c r="C3515" s="391">
        <f t="shared" ref="C3515" si="10656">C3514</f>
        <v>4</v>
      </c>
      <c r="D3515" s="391" t="str">
        <f t="shared" ref="D3515:E3515" si="10657">D3512</f>
        <v>0,1-1</v>
      </c>
      <c r="E3515" s="391">
        <f t="shared" si="10657"/>
        <v>1</v>
      </c>
      <c r="F3515" s="385" t="s">
        <v>1097</v>
      </c>
      <c r="G3515" s="422" t="str">
        <f>CONCATENATE("DE: ",A3515," ",B3515," ",D3515," mm (emission to ",F3515,")")</f>
        <v>DE: PES fiber 0,1-1 mm (emission to marine water)</v>
      </c>
      <c r="H3515" s="467">
        <v>0</v>
      </c>
      <c r="I3515" s="388" t="s">
        <v>1153</v>
      </c>
      <c r="J3515" s="634">
        <v>0.22800000000000001</v>
      </c>
      <c r="K3515" s="389">
        <v>13.04</v>
      </c>
      <c r="L3515" s="536"/>
      <c r="M3515" s="509">
        <f t="shared" si="10496"/>
        <v>19.171779141104295</v>
      </c>
      <c r="N3515" s="645">
        <f t="shared" si="10532"/>
        <v>19.171779141104295</v>
      </c>
      <c r="O3515" s="625"/>
      <c r="P3515" s="628">
        <f t="shared" si="10614"/>
        <v>19.171779141104295</v>
      </c>
      <c r="Q3515" s="628">
        <f t="shared" si="10487"/>
        <v>19.171779141104295</v>
      </c>
    </row>
    <row r="3516" spans="1:17" ht="15.75" hidden="1" thickBot="1">
      <c r="A3516" s="390" t="str">
        <f t="shared" ref="A3516:B3516" si="10658">A3513</f>
        <v>PES</v>
      </c>
      <c r="B3516" s="391" t="str">
        <f t="shared" si="10658"/>
        <v>fiber</v>
      </c>
      <c r="C3516" s="391">
        <f t="shared" ref="C3516" si="10659">C3515</f>
        <v>4</v>
      </c>
      <c r="D3516" s="391" t="str">
        <f t="shared" ref="D3516:E3516" si="10660">D3513</f>
        <v>0,1-1</v>
      </c>
      <c r="E3516" s="391">
        <f t="shared" si="10660"/>
        <v>1</v>
      </c>
      <c r="F3516" s="391" t="str">
        <f t="shared" ref="F3516:G3516" si="10661">F3515</f>
        <v>marine water</v>
      </c>
      <c r="G3516" s="401" t="str">
        <f t="shared" si="10661"/>
        <v>DE: PES fiber 0,1-1 mm (emission to marine water)</v>
      </c>
      <c r="H3516" s="465">
        <v>1</v>
      </c>
      <c r="I3516" s="394" t="s">
        <v>1097</v>
      </c>
      <c r="J3516" s="635"/>
      <c r="K3516" s="389">
        <v>13.04</v>
      </c>
      <c r="L3516" s="536"/>
      <c r="M3516" s="509">
        <f t="shared" si="10496"/>
        <v>19.171779141104295</v>
      </c>
      <c r="N3516" s="646"/>
      <c r="O3516" s="626"/>
      <c r="P3516" s="629"/>
      <c r="Q3516" s="629"/>
    </row>
    <row r="3517" spans="1:17" ht="15.75" hidden="1" thickBot="1">
      <c r="A3517" s="390" t="str">
        <f t="shared" ref="A3517:B3517" si="10662">A3514</f>
        <v>PES</v>
      </c>
      <c r="B3517" s="391" t="str">
        <f t="shared" si="10662"/>
        <v>fiber</v>
      </c>
      <c r="C3517" s="391">
        <f t="shared" ref="C3517" si="10663">C3516</f>
        <v>4</v>
      </c>
      <c r="D3517" s="391" t="str">
        <f t="shared" ref="D3517:E3517" si="10664">D3514</f>
        <v>0,1-1</v>
      </c>
      <c r="E3517" s="391">
        <f t="shared" si="10664"/>
        <v>1</v>
      </c>
      <c r="F3517" s="391" t="str">
        <f t="shared" ref="F3517:G3517" si="10665">F3516</f>
        <v>marine water</v>
      </c>
      <c r="G3517" s="401" t="str">
        <f t="shared" si="10665"/>
        <v>DE: PES fiber 0,1-1 mm (emission to marine water)</v>
      </c>
      <c r="H3517" s="465">
        <v>0</v>
      </c>
      <c r="I3517" s="394" t="s">
        <v>1162</v>
      </c>
      <c r="J3517" s="635"/>
      <c r="K3517" s="389">
        <v>13.04</v>
      </c>
      <c r="L3517" s="536"/>
      <c r="M3517" s="509">
        <f t="shared" si="10496"/>
        <v>19.171779141104295</v>
      </c>
      <c r="N3517" s="646"/>
      <c r="O3517" s="626"/>
      <c r="P3517" s="629"/>
      <c r="Q3517" s="629"/>
    </row>
    <row r="3518" spans="1:17" ht="15.75" hidden="1" thickBot="1">
      <c r="A3518" s="390" t="str">
        <f t="shared" ref="A3518:B3518" si="10666">A3515</f>
        <v>PES</v>
      </c>
      <c r="B3518" s="391" t="str">
        <f t="shared" si="10666"/>
        <v>fiber</v>
      </c>
      <c r="C3518" s="391">
        <f t="shared" ref="C3518" si="10667">C3517</f>
        <v>4</v>
      </c>
      <c r="D3518" s="391" t="str">
        <f t="shared" ref="D3518:E3518" si="10668">D3515</f>
        <v>0,1-1</v>
      </c>
      <c r="E3518" s="391">
        <f t="shared" si="10668"/>
        <v>1</v>
      </c>
      <c r="F3518" s="391" t="str">
        <f t="shared" ref="F3518:G3518" si="10669">F3517</f>
        <v>marine water</v>
      </c>
      <c r="G3518" s="401" t="str">
        <f t="shared" si="10669"/>
        <v>DE: PES fiber 0,1-1 mm (emission to marine water)</v>
      </c>
      <c r="H3518" s="465">
        <v>0</v>
      </c>
      <c r="I3518" s="394" t="s">
        <v>1163</v>
      </c>
      <c r="J3518" s="635"/>
      <c r="K3518" s="389">
        <v>13.04</v>
      </c>
      <c r="L3518" s="536"/>
      <c r="M3518" s="509">
        <f t="shared" si="10496"/>
        <v>19.171779141104295</v>
      </c>
      <c r="N3518" s="646"/>
      <c r="O3518" s="626"/>
      <c r="P3518" s="629"/>
      <c r="Q3518" s="629"/>
    </row>
    <row r="3519" spans="1:17" ht="15.75" hidden="1" thickBot="1">
      <c r="A3519" s="390" t="str">
        <f t="shared" ref="A3519:B3519" si="10670">A3516</f>
        <v>PES</v>
      </c>
      <c r="B3519" s="391" t="str">
        <f t="shared" si="10670"/>
        <v>fiber</v>
      </c>
      <c r="C3519" s="391">
        <f t="shared" ref="C3519" si="10671">C3518</f>
        <v>4</v>
      </c>
      <c r="D3519" s="391" t="str">
        <f t="shared" ref="D3519:E3519" si="10672">D3516</f>
        <v>0,1-1</v>
      </c>
      <c r="E3519" s="391">
        <f t="shared" si="10672"/>
        <v>1</v>
      </c>
      <c r="F3519" s="391" t="str">
        <f t="shared" ref="F3519:G3519" si="10673">F3518</f>
        <v>marine water</v>
      </c>
      <c r="G3519" s="401" t="str">
        <f t="shared" si="10673"/>
        <v>DE: PES fiber 0,1-1 mm (emission to marine water)</v>
      </c>
      <c r="H3519" s="465">
        <v>0</v>
      </c>
      <c r="I3519" s="397" t="s">
        <v>1034</v>
      </c>
      <c r="J3519" s="654"/>
      <c r="K3519" s="398" t="s">
        <v>596</v>
      </c>
      <c r="L3519" s="538"/>
      <c r="M3519" s="509">
        <f t="shared" si="10496"/>
        <v>0</v>
      </c>
      <c r="N3519" s="647"/>
      <c r="O3519" s="627"/>
      <c r="P3519" s="629"/>
      <c r="Q3519" s="629"/>
    </row>
    <row r="3520" spans="1:17" ht="15.75" hidden="1" thickBot="1">
      <c r="A3520" s="390" t="str">
        <f t="shared" ref="A3520:B3520" si="10674">A3517</f>
        <v>PES</v>
      </c>
      <c r="B3520" s="391" t="str">
        <f t="shared" si="10674"/>
        <v>fiber</v>
      </c>
      <c r="C3520" s="391">
        <f t="shared" ref="C3520" si="10675">C3519</f>
        <v>4</v>
      </c>
      <c r="D3520" s="391" t="str">
        <f t="shared" ref="D3520:E3520" si="10676">D3517</f>
        <v>0,1-1</v>
      </c>
      <c r="E3520" s="391">
        <f t="shared" si="10676"/>
        <v>1</v>
      </c>
      <c r="F3520" s="400" t="s">
        <v>1057</v>
      </c>
      <c r="G3520" s="422" t="str">
        <f>CONCATENATE("DE: ",A3520," ",B3520," ",D3520," mm (emission to ",F3520,")")</f>
        <v>DE: PES fiber 0,1-1 mm (emission to air)</v>
      </c>
      <c r="H3520" s="467">
        <v>0.94799999999999995</v>
      </c>
      <c r="I3520" s="388" t="s">
        <v>1153</v>
      </c>
      <c r="J3520" s="634">
        <v>0.22800000000000001</v>
      </c>
      <c r="K3520" s="389">
        <v>13.04</v>
      </c>
      <c r="L3520" s="536"/>
      <c r="M3520" s="509">
        <f t="shared" si="10496"/>
        <v>19.171779141104295</v>
      </c>
      <c r="N3520" s="645">
        <f t="shared" si="10532"/>
        <v>19.171779141104295</v>
      </c>
      <c r="O3520" s="625"/>
      <c r="P3520" s="628">
        <f t="shared" si="10614"/>
        <v>19.171779141104295</v>
      </c>
      <c r="Q3520" s="628">
        <f t="shared" si="10487"/>
        <v>19.171779141104295</v>
      </c>
    </row>
    <row r="3521" spans="1:17" ht="15.75" hidden="1" thickBot="1">
      <c r="A3521" s="390" t="str">
        <f t="shared" ref="A3521:B3521" si="10677">A3518</f>
        <v>PES</v>
      </c>
      <c r="B3521" s="391" t="str">
        <f t="shared" si="10677"/>
        <v>fiber</v>
      </c>
      <c r="C3521" s="391">
        <f t="shared" ref="C3521" si="10678">C3520</f>
        <v>4</v>
      </c>
      <c r="D3521" s="391" t="str">
        <f t="shared" ref="D3521:E3521" si="10679">D3518</f>
        <v>0,1-1</v>
      </c>
      <c r="E3521" s="391">
        <f t="shared" si="10679"/>
        <v>1</v>
      </c>
      <c r="F3521" s="391" t="str">
        <f t="shared" ref="F3521:G3521" si="10680">F3520</f>
        <v>air</v>
      </c>
      <c r="G3521" s="401" t="str">
        <f t="shared" si="10680"/>
        <v>DE: PES fiber 0,1-1 mm (emission to air)</v>
      </c>
      <c r="H3521" s="465">
        <v>5.1999999999999998E-2</v>
      </c>
      <c r="I3521" s="394" t="s">
        <v>1097</v>
      </c>
      <c r="J3521" s="635"/>
      <c r="K3521" s="389">
        <v>13.04</v>
      </c>
      <c r="L3521" s="536"/>
      <c r="M3521" s="509">
        <f t="shared" si="10496"/>
        <v>19.171779141104295</v>
      </c>
      <c r="N3521" s="646"/>
      <c r="O3521" s="626"/>
      <c r="P3521" s="629"/>
      <c r="Q3521" s="629"/>
    </row>
    <row r="3522" spans="1:17" ht="15.75" hidden="1" thickBot="1">
      <c r="A3522" s="390" t="str">
        <f t="shared" ref="A3522:B3522" si="10681">A3519</f>
        <v>PES</v>
      </c>
      <c r="B3522" s="391" t="str">
        <f t="shared" si="10681"/>
        <v>fiber</v>
      </c>
      <c r="C3522" s="391">
        <f t="shared" ref="C3522" si="10682">C3521</f>
        <v>4</v>
      </c>
      <c r="D3522" s="391" t="str">
        <f t="shared" ref="D3522:E3522" si="10683">D3519</f>
        <v>0,1-1</v>
      </c>
      <c r="E3522" s="391">
        <f t="shared" si="10683"/>
        <v>1</v>
      </c>
      <c r="F3522" s="391" t="str">
        <f t="shared" ref="F3522:G3522" si="10684">F3521</f>
        <v>air</v>
      </c>
      <c r="G3522" s="401" t="str">
        <f t="shared" si="10684"/>
        <v>DE: PES fiber 0,1-1 mm (emission to air)</v>
      </c>
      <c r="H3522" s="465">
        <v>0</v>
      </c>
      <c r="I3522" s="394" t="s">
        <v>1162</v>
      </c>
      <c r="J3522" s="635"/>
      <c r="K3522" s="389">
        <v>13.04</v>
      </c>
      <c r="L3522" s="536"/>
      <c r="M3522" s="509">
        <f t="shared" si="10496"/>
        <v>19.171779141104295</v>
      </c>
      <c r="N3522" s="646"/>
      <c r="O3522" s="626"/>
      <c r="P3522" s="629"/>
      <c r="Q3522" s="629"/>
    </row>
    <row r="3523" spans="1:17" ht="15.75" hidden="1" thickBot="1">
      <c r="A3523" s="390" t="str">
        <f t="shared" ref="A3523:B3523" si="10685">A3520</f>
        <v>PES</v>
      </c>
      <c r="B3523" s="391" t="str">
        <f t="shared" si="10685"/>
        <v>fiber</v>
      </c>
      <c r="C3523" s="391">
        <f t="shared" ref="C3523" si="10686">C3522</f>
        <v>4</v>
      </c>
      <c r="D3523" s="391" t="str">
        <f t="shared" ref="D3523:E3523" si="10687">D3520</f>
        <v>0,1-1</v>
      </c>
      <c r="E3523" s="391">
        <f t="shared" si="10687"/>
        <v>1</v>
      </c>
      <c r="F3523" s="391" t="str">
        <f t="shared" ref="F3523:G3523" si="10688">F3522</f>
        <v>air</v>
      </c>
      <c r="G3523" s="401" t="str">
        <f t="shared" si="10688"/>
        <v>DE: PES fiber 0,1-1 mm (emission to air)</v>
      </c>
      <c r="H3523" s="465">
        <v>0</v>
      </c>
      <c r="I3523" s="394" t="s">
        <v>1163</v>
      </c>
      <c r="J3523" s="635"/>
      <c r="K3523" s="389">
        <v>13.04</v>
      </c>
      <c r="L3523" s="536"/>
      <c r="M3523" s="509">
        <f t="shared" si="10496"/>
        <v>19.171779141104295</v>
      </c>
      <c r="N3523" s="646"/>
      <c r="O3523" s="626"/>
      <c r="P3523" s="629"/>
      <c r="Q3523" s="629"/>
    </row>
    <row r="3524" spans="1:17" ht="15.75" hidden="1" thickBot="1">
      <c r="A3524" s="390" t="str">
        <f t="shared" ref="A3524:B3524" si="10689">A3519</f>
        <v>PES</v>
      </c>
      <c r="B3524" s="391" t="str">
        <f t="shared" si="10689"/>
        <v>fiber</v>
      </c>
      <c r="C3524" s="391">
        <f t="shared" ref="C3524" si="10690">C3523</f>
        <v>4</v>
      </c>
      <c r="D3524" s="391" t="str">
        <f t="shared" ref="D3524:E3524" si="10691">D3519</f>
        <v>0,1-1</v>
      </c>
      <c r="E3524" s="391">
        <f t="shared" si="10691"/>
        <v>1</v>
      </c>
      <c r="F3524" s="391" t="str">
        <f t="shared" ref="F3524:G3524" si="10692">F3523</f>
        <v>air</v>
      </c>
      <c r="G3524" s="401" t="str">
        <f t="shared" si="10692"/>
        <v>DE: PES fiber 0,1-1 mm (emission to air)</v>
      </c>
      <c r="H3524" s="471">
        <v>0</v>
      </c>
      <c r="I3524" s="422" t="s">
        <v>1034</v>
      </c>
      <c r="J3524" s="636"/>
      <c r="K3524" s="451" t="s">
        <v>596</v>
      </c>
      <c r="L3524" s="542"/>
      <c r="M3524" s="509">
        <f t="shared" si="10496"/>
        <v>0</v>
      </c>
      <c r="N3524" s="647"/>
      <c r="O3524" s="627"/>
      <c r="P3524" s="629"/>
      <c r="Q3524" s="629"/>
    </row>
    <row r="3525" spans="1:17" ht="15.75" hidden="1" thickBot="1">
      <c r="A3525" s="405" t="s">
        <v>771</v>
      </c>
      <c r="B3525" s="406" t="s">
        <v>1151</v>
      </c>
      <c r="C3525" s="407">
        <v>4</v>
      </c>
      <c r="D3525" s="423" t="s">
        <v>1026</v>
      </c>
      <c r="E3525" s="408">
        <v>10</v>
      </c>
      <c r="F3525" s="424" t="s">
        <v>1019</v>
      </c>
      <c r="G3525" s="425" t="str">
        <f>CONCATENATE("DE: ",A3525," ",B3525," ",D3525," mm (emission to ",F3525,")")</f>
        <v>DE: PES fiber 1-10 mm (emission to soil)</v>
      </c>
      <c r="H3525" s="474">
        <v>0.97</v>
      </c>
      <c r="I3525" s="427" t="s">
        <v>1153</v>
      </c>
      <c r="J3525" s="632">
        <v>0.22800000000000001</v>
      </c>
      <c r="K3525" s="428">
        <v>13.04</v>
      </c>
      <c r="L3525" s="539"/>
      <c r="M3525" s="509">
        <f t="shared" si="10496"/>
        <v>191.71779141104295</v>
      </c>
      <c r="N3525" s="645">
        <f t="shared" si="10532"/>
        <v>191.71779141104292</v>
      </c>
      <c r="O3525" s="625"/>
      <c r="P3525" s="628">
        <f t="shared" si="10614"/>
        <v>100</v>
      </c>
      <c r="Q3525" s="628">
        <f t="shared" ref="Q3525:Q3585" si="10693">IFERROR(IF(H3525*M3525+H3526*M3526+H3527*M3527+H3528*M3528+H3529*M3529&gt;500,500,H3525*M3525+H3526*M3526+H3527*M3527+H3528*M3528+H3529*M3529),"N.A.")</f>
        <v>191.71779141104292</v>
      </c>
    </row>
    <row r="3526" spans="1:17" ht="15.75" hidden="1" thickBot="1">
      <c r="A3526" s="390" t="str">
        <f>A3525</f>
        <v>PES</v>
      </c>
      <c r="B3526" s="391" t="str">
        <f>B3525</f>
        <v>fiber</v>
      </c>
      <c r="C3526" s="391">
        <f t="shared" ref="C3526:G3526" si="10694">C3525</f>
        <v>4</v>
      </c>
      <c r="D3526" s="391" t="str">
        <f t="shared" si="10694"/>
        <v>1-10</v>
      </c>
      <c r="E3526" s="391">
        <f t="shared" si="10694"/>
        <v>10</v>
      </c>
      <c r="F3526" s="391" t="str">
        <f t="shared" si="10694"/>
        <v>soil</v>
      </c>
      <c r="G3526" s="392" t="str">
        <f t="shared" si="10694"/>
        <v>DE: PES fiber 1-10 mm (emission to soil)</v>
      </c>
      <c r="H3526" s="465">
        <v>0.03</v>
      </c>
      <c r="I3526" s="394" t="s">
        <v>1097</v>
      </c>
      <c r="J3526" s="632"/>
      <c r="K3526" s="395">
        <v>13.04</v>
      </c>
      <c r="L3526" s="537"/>
      <c r="M3526" s="509">
        <f t="shared" ref="M3526:M3589" si="10695">IFERROR(IF(K3526="--",0,IF(E3526*1000/K3526*(1-0.5)^(C3526/2)&gt;1000,1000,E3526*1000/K3526*(1-0.5)^(C3526/2))),1000)</f>
        <v>191.71779141104295</v>
      </c>
      <c r="N3526" s="646"/>
      <c r="O3526" s="626"/>
      <c r="P3526" s="629"/>
      <c r="Q3526" s="629"/>
    </row>
    <row r="3527" spans="1:17" ht="15.75" hidden="1" thickBot="1">
      <c r="A3527" s="390" t="str">
        <f t="shared" ref="A3527:G3527" si="10696">A3526</f>
        <v>PES</v>
      </c>
      <c r="B3527" s="391" t="str">
        <f t="shared" si="10696"/>
        <v>fiber</v>
      </c>
      <c r="C3527" s="391">
        <f t="shared" si="10696"/>
        <v>4</v>
      </c>
      <c r="D3527" s="391" t="str">
        <f t="shared" si="10696"/>
        <v>1-10</v>
      </c>
      <c r="E3527" s="391">
        <f t="shared" si="10696"/>
        <v>10</v>
      </c>
      <c r="F3527" s="391" t="str">
        <f t="shared" si="10696"/>
        <v>soil</v>
      </c>
      <c r="G3527" s="392" t="str">
        <f t="shared" si="10696"/>
        <v>DE: PES fiber 1-10 mm (emission to soil)</v>
      </c>
      <c r="H3527" s="465">
        <v>0</v>
      </c>
      <c r="I3527" s="394" t="s">
        <v>1162</v>
      </c>
      <c r="J3527" s="632"/>
      <c r="K3527" s="395">
        <v>13.04</v>
      </c>
      <c r="L3527" s="537"/>
      <c r="M3527" s="509">
        <f t="shared" si="10695"/>
        <v>191.71779141104295</v>
      </c>
      <c r="N3527" s="646"/>
      <c r="O3527" s="626"/>
      <c r="P3527" s="629"/>
      <c r="Q3527" s="629"/>
    </row>
    <row r="3528" spans="1:17" ht="15.75" hidden="1" thickBot="1">
      <c r="A3528" s="390" t="str">
        <f t="shared" ref="A3528:G3528" si="10697">A3527</f>
        <v>PES</v>
      </c>
      <c r="B3528" s="391" t="str">
        <f t="shared" si="10697"/>
        <v>fiber</v>
      </c>
      <c r="C3528" s="391">
        <f t="shared" si="10697"/>
        <v>4</v>
      </c>
      <c r="D3528" s="391" t="str">
        <f t="shared" si="10697"/>
        <v>1-10</v>
      </c>
      <c r="E3528" s="391">
        <f t="shared" si="10697"/>
        <v>10</v>
      </c>
      <c r="F3528" s="391" t="str">
        <f t="shared" si="10697"/>
        <v>soil</v>
      </c>
      <c r="G3528" s="392" t="str">
        <f t="shared" si="10697"/>
        <v>DE: PES fiber 1-10 mm (emission to soil)</v>
      </c>
      <c r="H3528" s="465">
        <v>0</v>
      </c>
      <c r="I3528" s="394" t="s">
        <v>1163</v>
      </c>
      <c r="J3528" s="632"/>
      <c r="K3528" s="395">
        <v>13.04</v>
      </c>
      <c r="L3528" s="537"/>
      <c r="M3528" s="509">
        <f t="shared" si="10695"/>
        <v>191.71779141104295</v>
      </c>
      <c r="N3528" s="646"/>
      <c r="O3528" s="626"/>
      <c r="P3528" s="629"/>
      <c r="Q3528" s="629"/>
    </row>
    <row r="3529" spans="1:17" ht="15.75" hidden="1" thickBot="1">
      <c r="A3529" s="390" t="str">
        <f>A3526</f>
        <v>PES</v>
      </c>
      <c r="B3529" s="391" t="str">
        <f>B3526</f>
        <v>fiber</v>
      </c>
      <c r="C3529" s="391">
        <f t="shared" ref="C3529" si="10698">C3528</f>
        <v>4</v>
      </c>
      <c r="D3529" s="391" t="str">
        <f>D3526</f>
        <v>1-10</v>
      </c>
      <c r="E3529" s="391">
        <f>E3526</f>
        <v>10</v>
      </c>
      <c r="F3529" s="391" t="str">
        <f>F3526</f>
        <v>soil</v>
      </c>
      <c r="G3529" s="396" t="str">
        <f t="shared" ref="G3529" si="10699">G3528</f>
        <v>DE: PES fiber 1-10 mm (emission to soil)</v>
      </c>
      <c r="H3529" s="465">
        <v>0</v>
      </c>
      <c r="I3529" s="397" t="s">
        <v>1034</v>
      </c>
      <c r="J3529" s="633"/>
      <c r="K3529" s="398" t="s">
        <v>596</v>
      </c>
      <c r="L3529" s="538"/>
      <c r="M3529" s="509">
        <f t="shared" si="10695"/>
        <v>0</v>
      </c>
      <c r="N3529" s="647"/>
      <c r="O3529" s="627"/>
      <c r="P3529" s="629"/>
      <c r="Q3529" s="629"/>
    </row>
    <row r="3530" spans="1:17" ht="15.75" hidden="1" thickBot="1">
      <c r="A3530" s="390" t="str">
        <f t="shared" ref="A3530:B3530" si="10700">A3527</f>
        <v>PES</v>
      </c>
      <c r="B3530" s="391" t="str">
        <f t="shared" si="10700"/>
        <v>fiber</v>
      </c>
      <c r="C3530" s="391">
        <f t="shared" ref="C3530" si="10701">C3529</f>
        <v>4</v>
      </c>
      <c r="D3530" s="399" t="str">
        <f t="shared" ref="D3530:E3530" si="10702">D3527</f>
        <v>1-10</v>
      </c>
      <c r="E3530" s="391">
        <f t="shared" si="10702"/>
        <v>10</v>
      </c>
      <c r="F3530" s="400" t="s">
        <v>1147</v>
      </c>
      <c r="G3530" s="386" t="str">
        <f>CONCATENATE("DE: ",A3530," ",B3530," ",D3530," mm (emission to ",F3530,")")</f>
        <v>DE: PES fiber 1-10 mm (emission to fresh water)</v>
      </c>
      <c r="H3530" s="466">
        <v>0</v>
      </c>
      <c r="I3530" s="388" t="s">
        <v>1153</v>
      </c>
      <c r="J3530" s="634">
        <v>0.22800000000000001</v>
      </c>
      <c r="K3530" s="389">
        <v>13.04</v>
      </c>
      <c r="L3530" s="536"/>
      <c r="M3530" s="509">
        <f t="shared" si="10695"/>
        <v>191.71779141104295</v>
      </c>
      <c r="N3530" s="645">
        <f t="shared" si="10532"/>
        <v>191.71779141104295</v>
      </c>
      <c r="O3530" s="625"/>
      <c r="P3530" s="628">
        <f t="shared" si="10614"/>
        <v>100</v>
      </c>
      <c r="Q3530" s="628">
        <f t="shared" si="10693"/>
        <v>191.71779141104295</v>
      </c>
    </row>
    <row r="3531" spans="1:17" ht="15.75" hidden="1" thickBot="1">
      <c r="A3531" s="390" t="str">
        <f t="shared" ref="A3531:B3531" si="10703">A3528</f>
        <v>PES</v>
      </c>
      <c r="B3531" s="391" t="str">
        <f t="shared" si="10703"/>
        <v>fiber</v>
      </c>
      <c r="C3531" s="391">
        <f t="shared" ref="C3531" si="10704">C3530</f>
        <v>4</v>
      </c>
      <c r="D3531" s="391" t="str">
        <f t="shared" ref="D3531:E3531" si="10705">D3528</f>
        <v>1-10</v>
      </c>
      <c r="E3531" s="391">
        <f t="shared" si="10705"/>
        <v>10</v>
      </c>
      <c r="F3531" s="391" t="str">
        <f t="shared" ref="F3531:G3531" si="10706">F3530</f>
        <v>fresh water</v>
      </c>
      <c r="G3531" s="401" t="str">
        <f t="shared" si="10706"/>
        <v>DE: PES fiber 1-10 mm (emission to fresh water)</v>
      </c>
      <c r="H3531" s="465">
        <v>1</v>
      </c>
      <c r="I3531" s="394" t="s">
        <v>1097</v>
      </c>
      <c r="J3531" s="635"/>
      <c r="K3531" s="389">
        <v>13.04</v>
      </c>
      <c r="L3531" s="536"/>
      <c r="M3531" s="509">
        <f t="shared" si="10695"/>
        <v>191.71779141104295</v>
      </c>
      <c r="N3531" s="646"/>
      <c r="O3531" s="626"/>
      <c r="P3531" s="629"/>
      <c r="Q3531" s="629"/>
    </row>
    <row r="3532" spans="1:17" ht="15.75" hidden="1" thickBot="1">
      <c r="A3532" s="390" t="str">
        <f t="shared" ref="A3532:B3532" si="10707">A3529</f>
        <v>PES</v>
      </c>
      <c r="B3532" s="391" t="str">
        <f t="shared" si="10707"/>
        <v>fiber</v>
      </c>
      <c r="C3532" s="391">
        <f t="shared" ref="C3532" si="10708">C3531</f>
        <v>4</v>
      </c>
      <c r="D3532" s="391" t="str">
        <f t="shared" ref="D3532:E3532" si="10709">D3529</f>
        <v>1-10</v>
      </c>
      <c r="E3532" s="391">
        <f t="shared" si="10709"/>
        <v>10</v>
      </c>
      <c r="F3532" s="391" t="str">
        <f t="shared" ref="F3532:G3532" si="10710">F3531</f>
        <v>fresh water</v>
      </c>
      <c r="G3532" s="401" t="str">
        <f t="shared" si="10710"/>
        <v>DE: PES fiber 1-10 mm (emission to fresh water)</v>
      </c>
      <c r="H3532" s="465">
        <v>0</v>
      </c>
      <c r="I3532" s="394" t="s">
        <v>1162</v>
      </c>
      <c r="J3532" s="635"/>
      <c r="K3532" s="389">
        <v>13.04</v>
      </c>
      <c r="L3532" s="536"/>
      <c r="M3532" s="509">
        <f t="shared" si="10695"/>
        <v>191.71779141104295</v>
      </c>
      <c r="N3532" s="646"/>
      <c r="O3532" s="626"/>
      <c r="P3532" s="629"/>
      <c r="Q3532" s="629"/>
    </row>
    <row r="3533" spans="1:17" ht="15.75" hidden="1" thickBot="1">
      <c r="A3533" s="390" t="str">
        <f t="shared" ref="A3533:B3533" si="10711">A3530</f>
        <v>PES</v>
      </c>
      <c r="B3533" s="391" t="str">
        <f t="shared" si="10711"/>
        <v>fiber</v>
      </c>
      <c r="C3533" s="391">
        <f t="shared" ref="C3533" si="10712">C3532</f>
        <v>4</v>
      </c>
      <c r="D3533" s="391" t="str">
        <f t="shared" ref="D3533:E3533" si="10713">D3530</f>
        <v>1-10</v>
      </c>
      <c r="E3533" s="391">
        <f t="shared" si="10713"/>
        <v>10</v>
      </c>
      <c r="F3533" s="391" t="str">
        <f t="shared" ref="F3533:G3533" si="10714">F3532</f>
        <v>fresh water</v>
      </c>
      <c r="G3533" s="401" t="str">
        <f t="shared" si="10714"/>
        <v>DE: PES fiber 1-10 mm (emission to fresh water)</v>
      </c>
      <c r="H3533" s="465">
        <v>0</v>
      </c>
      <c r="I3533" s="394" t="s">
        <v>1163</v>
      </c>
      <c r="J3533" s="635"/>
      <c r="K3533" s="389">
        <v>13.04</v>
      </c>
      <c r="L3533" s="536"/>
      <c r="M3533" s="509">
        <f t="shared" si="10695"/>
        <v>191.71779141104295</v>
      </c>
      <c r="N3533" s="646"/>
      <c r="O3533" s="626"/>
      <c r="P3533" s="629"/>
      <c r="Q3533" s="629"/>
    </row>
    <row r="3534" spans="1:17" ht="15.75" hidden="1" thickBot="1">
      <c r="A3534" s="390" t="str">
        <f t="shared" ref="A3534:B3534" si="10715">A3531</f>
        <v>PES</v>
      </c>
      <c r="B3534" s="391" t="str">
        <f t="shared" si="10715"/>
        <v>fiber</v>
      </c>
      <c r="C3534" s="391">
        <f t="shared" ref="C3534" si="10716">C3533</f>
        <v>4</v>
      </c>
      <c r="D3534" s="391" t="str">
        <f t="shared" ref="D3534:E3534" si="10717">D3531</f>
        <v>1-10</v>
      </c>
      <c r="E3534" s="391">
        <f t="shared" si="10717"/>
        <v>10</v>
      </c>
      <c r="F3534" s="402" t="str">
        <f>F3531</f>
        <v>fresh water</v>
      </c>
      <c r="G3534" s="401" t="str">
        <f t="shared" ref="G3534" si="10718">G3533</f>
        <v>DE: PES fiber 1-10 mm (emission to fresh water)</v>
      </c>
      <c r="H3534" s="465">
        <v>0</v>
      </c>
      <c r="I3534" s="397" t="s">
        <v>1034</v>
      </c>
      <c r="J3534" s="654"/>
      <c r="K3534" s="398" t="s">
        <v>596</v>
      </c>
      <c r="L3534" s="538"/>
      <c r="M3534" s="509">
        <f t="shared" si="10695"/>
        <v>0</v>
      </c>
      <c r="N3534" s="647"/>
      <c r="O3534" s="627"/>
      <c r="P3534" s="629"/>
      <c r="Q3534" s="629"/>
    </row>
    <row r="3535" spans="1:17" ht="15.75" hidden="1" thickBot="1">
      <c r="A3535" s="390" t="str">
        <f t="shared" ref="A3535:B3535" si="10719">A3532</f>
        <v>PES</v>
      </c>
      <c r="B3535" s="391" t="str">
        <f t="shared" si="10719"/>
        <v>fiber</v>
      </c>
      <c r="C3535" s="391">
        <f t="shared" ref="C3535" si="10720">C3534</f>
        <v>4</v>
      </c>
      <c r="D3535" s="391" t="str">
        <f t="shared" ref="D3535:E3535" si="10721">D3532</f>
        <v>1-10</v>
      </c>
      <c r="E3535" s="391">
        <f t="shared" si="10721"/>
        <v>10</v>
      </c>
      <c r="F3535" s="385" t="s">
        <v>1097</v>
      </c>
      <c r="G3535" s="422" t="str">
        <f>CONCATENATE("DE: ",A3535," ",B3535," ",D3535," mm (emission to ",F3535,")")</f>
        <v>DE: PES fiber 1-10 mm (emission to marine water)</v>
      </c>
      <c r="H3535" s="467">
        <v>0</v>
      </c>
      <c r="I3535" s="388" t="s">
        <v>1153</v>
      </c>
      <c r="J3535" s="634">
        <v>0.22800000000000001</v>
      </c>
      <c r="K3535" s="389">
        <v>13.04</v>
      </c>
      <c r="L3535" s="536"/>
      <c r="M3535" s="509">
        <f t="shared" si="10695"/>
        <v>191.71779141104295</v>
      </c>
      <c r="N3535" s="645">
        <f t="shared" si="10532"/>
        <v>191.71779141104295</v>
      </c>
      <c r="O3535" s="625"/>
      <c r="P3535" s="628">
        <f t="shared" si="10614"/>
        <v>100</v>
      </c>
      <c r="Q3535" s="628">
        <f t="shared" si="10693"/>
        <v>191.71779141104295</v>
      </c>
    </row>
    <row r="3536" spans="1:17" ht="15.75" hidden="1" thickBot="1">
      <c r="A3536" s="390" t="str">
        <f t="shared" ref="A3536:B3536" si="10722">A3533</f>
        <v>PES</v>
      </c>
      <c r="B3536" s="391" t="str">
        <f t="shared" si="10722"/>
        <v>fiber</v>
      </c>
      <c r="C3536" s="391">
        <f t="shared" ref="C3536" si="10723">C3535</f>
        <v>4</v>
      </c>
      <c r="D3536" s="391" t="str">
        <f t="shared" ref="D3536:E3536" si="10724">D3533</f>
        <v>1-10</v>
      </c>
      <c r="E3536" s="391">
        <f t="shared" si="10724"/>
        <v>10</v>
      </c>
      <c r="F3536" s="391" t="str">
        <f t="shared" ref="F3536:G3536" si="10725">F3535</f>
        <v>marine water</v>
      </c>
      <c r="G3536" s="401" t="str">
        <f t="shared" si="10725"/>
        <v>DE: PES fiber 1-10 mm (emission to marine water)</v>
      </c>
      <c r="H3536" s="465">
        <v>1</v>
      </c>
      <c r="I3536" s="394" t="s">
        <v>1097</v>
      </c>
      <c r="J3536" s="635"/>
      <c r="K3536" s="389">
        <v>13.04</v>
      </c>
      <c r="L3536" s="536"/>
      <c r="M3536" s="509">
        <f t="shared" si="10695"/>
        <v>191.71779141104295</v>
      </c>
      <c r="N3536" s="646"/>
      <c r="O3536" s="626"/>
      <c r="P3536" s="629"/>
      <c r="Q3536" s="629"/>
    </row>
    <row r="3537" spans="1:17" ht="15.75" hidden="1" thickBot="1">
      <c r="A3537" s="390" t="str">
        <f t="shared" ref="A3537:B3537" si="10726">A3534</f>
        <v>PES</v>
      </c>
      <c r="B3537" s="391" t="str">
        <f t="shared" si="10726"/>
        <v>fiber</v>
      </c>
      <c r="C3537" s="391">
        <f t="shared" ref="C3537" si="10727">C3536</f>
        <v>4</v>
      </c>
      <c r="D3537" s="391" t="str">
        <f t="shared" ref="D3537:E3537" si="10728">D3534</f>
        <v>1-10</v>
      </c>
      <c r="E3537" s="391">
        <f t="shared" si="10728"/>
        <v>10</v>
      </c>
      <c r="F3537" s="391" t="str">
        <f t="shared" ref="F3537:G3537" si="10729">F3536</f>
        <v>marine water</v>
      </c>
      <c r="G3537" s="401" t="str">
        <f t="shared" si="10729"/>
        <v>DE: PES fiber 1-10 mm (emission to marine water)</v>
      </c>
      <c r="H3537" s="465">
        <v>0</v>
      </c>
      <c r="I3537" s="394" t="s">
        <v>1162</v>
      </c>
      <c r="J3537" s="635"/>
      <c r="K3537" s="389">
        <v>13.04</v>
      </c>
      <c r="L3537" s="536"/>
      <c r="M3537" s="509">
        <f t="shared" si="10695"/>
        <v>191.71779141104295</v>
      </c>
      <c r="N3537" s="646"/>
      <c r="O3537" s="626"/>
      <c r="P3537" s="629"/>
      <c r="Q3537" s="629"/>
    </row>
    <row r="3538" spans="1:17" ht="15.75" hidden="1" thickBot="1">
      <c r="A3538" s="390" t="str">
        <f t="shared" ref="A3538:B3538" si="10730">A3535</f>
        <v>PES</v>
      </c>
      <c r="B3538" s="391" t="str">
        <f t="shared" si="10730"/>
        <v>fiber</v>
      </c>
      <c r="C3538" s="391">
        <f t="shared" ref="C3538" si="10731">C3537</f>
        <v>4</v>
      </c>
      <c r="D3538" s="391" t="str">
        <f t="shared" ref="D3538:E3538" si="10732">D3535</f>
        <v>1-10</v>
      </c>
      <c r="E3538" s="391">
        <f t="shared" si="10732"/>
        <v>10</v>
      </c>
      <c r="F3538" s="391" t="str">
        <f t="shared" ref="F3538:G3538" si="10733">F3537</f>
        <v>marine water</v>
      </c>
      <c r="G3538" s="401" t="str">
        <f t="shared" si="10733"/>
        <v>DE: PES fiber 1-10 mm (emission to marine water)</v>
      </c>
      <c r="H3538" s="465">
        <v>0</v>
      </c>
      <c r="I3538" s="394" t="s">
        <v>1163</v>
      </c>
      <c r="J3538" s="635"/>
      <c r="K3538" s="389">
        <v>13.04</v>
      </c>
      <c r="L3538" s="536"/>
      <c r="M3538" s="509">
        <f t="shared" si="10695"/>
        <v>191.71779141104295</v>
      </c>
      <c r="N3538" s="646"/>
      <c r="O3538" s="626"/>
      <c r="P3538" s="629"/>
      <c r="Q3538" s="629"/>
    </row>
    <row r="3539" spans="1:17" ht="15.75" hidden="1" thickBot="1">
      <c r="A3539" s="390" t="str">
        <f t="shared" ref="A3539:B3539" si="10734">A3536</f>
        <v>PES</v>
      </c>
      <c r="B3539" s="391" t="str">
        <f t="shared" si="10734"/>
        <v>fiber</v>
      </c>
      <c r="C3539" s="391">
        <f t="shared" ref="C3539" si="10735">C3538</f>
        <v>4</v>
      </c>
      <c r="D3539" s="391" t="str">
        <f t="shared" ref="D3539:E3539" si="10736">D3536</f>
        <v>1-10</v>
      </c>
      <c r="E3539" s="391">
        <f t="shared" si="10736"/>
        <v>10</v>
      </c>
      <c r="F3539" s="391" t="str">
        <f t="shared" ref="F3539:G3539" si="10737">F3538</f>
        <v>marine water</v>
      </c>
      <c r="G3539" s="401" t="str">
        <f t="shared" si="10737"/>
        <v>DE: PES fiber 1-10 mm (emission to marine water)</v>
      </c>
      <c r="H3539" s="465">
        <v>0</v>
      </c>
      <c r="I3539" s="397" t="s">
        <v>1034</v>
      </c>
      <c r="J3539" s="654"/>
      <c r="K3539" s="398" t="s">
        <v>596</v>
      </c>
      <c r="L3539" s="538"/>
      <c r="M3539" s="509">
        <f t="shared" si="10695"/>
        <v>0</v>
      </c>
      <c r="N3539" s="647"/>
      <c r="O3539" s="627"/>
      <c r="P3539" s="629"/>
      <c r="Q3539" s="629"/>
    </row>
    <row r="3540" spans="1:17" ht="15.75" hidden="1" thickBot="1">
      <c r="A3540" s="390" t="str">
        <f t="shared" ref="A3540:B3540" si="10738">A3537</f>
        <v>PES</v>
      </c>
      <c r="B3540" s="391" t="str">
        <f t="shared" si="10738"/>
        <v>fiber</v>
      </c>
      <c r="C3540" s="391">
        <f t="shared" ref="C3540" si="10739">C3539</f>
        <v>4</v>
      </c>
      <c r="D3540" s="391" t="str">
        <f t="shared" ref="D3540:E3540" si="10740">D3537</f>
        <v>1-10</v>
      </c>
      <c r="E3540" s="391">
        <f t="shared" si="10740"/>
        <v>10</v>
      </c>
      <c r="F3540" s="400" t="s">
        <v>1057</v>
      </c>
      <c r="G3540" s="422" t="str">
        <f>CONCATENATE("DE: ",A3540," ",B3540," ",D3540," mm (emission to ",F3540,")")</f>
        <v>DE: PES fiber 1-10 mm (emission to air)</v>
      </c>
      <c r="H3540" s="467">
        <v>0.94799999999999995</v>
      </c>
      <c r="I3540" s="388" t="s">
        <v>1153</v>
      </c>
      <c r="J3540" s="634">
        <v>0.22800000000000001</v>
      </c>
      <c r="K3540" s="389">
        <v>13.04</v>
      </c>
      <c r="L3540" s="536"/>
      <c r="M3540" s="509">
        <f t="shared" si="10695"/>
        <v>191.71779141104295</v>
      </c>
      <c r="N3540" s="645">
        <f t="shared" ref="N3540:N3600" si="10741">IFERROR(H3540*M3540+H3541*M3541+H3542*M3542+H3543*M3543+H3544*M3544,"N.A.")</f>
        <v>191.71779141104295</v>
      </c>
      <c r="O3540" s="625"/>
      <c r="P3540" s="628">
        <f t="shared" si="10614"/>
        <v>100</v>
      </c>
      <c r="Q3540" s="628">
        <f t="shared" si="10693"/>
        <v>191.71779141104295</v>
      </c>
    </row>
    <row r="3541" spans="1:17" ht="15.75" hidden="1" thickBot="1">
      <c r="A3541" s="390" t="str">
        <f t="shared" ref="A3541:B3541" si="10742">A3538</f>
        <v>PES</v>
      </c>
      <c r="B3541" s="391" t="str">
        <f t="shared" si="10742"/>
        <v>fiber</v>
      </c>
      <c r="C3541" s="391">
        <f t="shared" ref="C3541" si="10743">C3540</f>
        <v>4</v>
      </c>
      <c r="D3541" s="391" t="str">
        <f t="shared" ref="D3541:E3541" si="10744">D3538</f>
        <v>1-10</v>
      </c>
      <c r="E3541" s="391">
        <f t="shared" si="10744"/>
        <v>10</v>
      </c>
      <c r="F3541" s="391" t="str">
        <f t="shared" ref="F3541:G3541" si="10745">F3540</f>
        <v>air</v>
      </c>
      <c r="G3541" s="401" t="str">
        <f t="shared" si="10745"/>
        <v>DE: PES fiber 1-10 mm (emission to air)</v>
      </c>
      <c r="H3541" s="465">
        <v>5.1999999999999998E-2</v>
      </c>
      <c r="I3541" s="394" t="s">
        <v>1097</v>
      </c>
      <c r="J3541" s="635"/>
      <c r="K3541" s="389">
        <v>13.04</v>
      </c>
      <c r="L3541" s="536"/>
      <c r="M3541" s="509">
        <f t="shared" si="10695"/>
        <v>191.71779141104295</v>
      </c>
      <c r="N3541" s="646"/>
      <c r="O3541" s="626"/>
      <c r="P3541" s="629"/>
      <c r="Q3541" s="629"/>
    </row>
    <row r="3542" spans="1:17" ht="15.75" hidden="1" thickBot="1">
      <c r="A3542" s="390" t="str">
        <f t="shared" ref="A3542:B3542" si="10746">A3539</f>
        <v>PES</v>
      </c>
      <c r="B3542" s="391" t="str">
        <f t="shared" si="10746"/>
        <v>fiber</v>
      </c>
      <c r="C3542" s="391">
        <f t="shared" ref="C3542" si="10747">C3541</f>
        <v>4</v>
      </c>
      <c r="D3542" s="391" t="str">
        <f t="shared" ref="D3542:E3542" si="10748">D3539</f>
        <v>1-10</v>
      </c>
      <c r="E3542" s="391">
        <f t="shared" si="10748"/>
        <v>10</v>
      </c>
      <c r="F3542" s="391" t="str">
        <f t="shared" ref="F3542:G3542" si="10749">F3541</f>
        <v>air</v>
      </c>
      <c r="G3542" s="401" t="str">
        <f t="shared" si="10749"/>
        <v>DE: PES fiber 1-10 mm (emission to air)</v>
      </c>
      <c r="H3542" s="465">
        <v>0</v>
      </c>
      <c r="I3542" s="394" t="s">
        <v>1162</v>
      </c>
      <c r="J3542" s="635"/>
      <c r="K3542" s="389">
        <v>13.04</v>
      </c>
      <c r="L3542" s="536"/>
      <c r="M3542" s="509">
        <f t="shared" si="10695"/>
        <v>191.71779141104295</v>
      </c>
      <c r="N3542" s="646"/>
      <c r="O3542" s="626"/>
      <c r="P3542" s="629"/>
      <c r="Q3542" s="629"/>
    </row>
    <row r="3543" spans="1:17" ht="15.75" hidden="1" thickBot="1">
      <c r="A3543" s="390" t="str">
        <f t="shared" ref="A3543:B3543" si="10750">A3540</f>
        <v>PES</v>
      </c>
      <c r="B3543" s="391" t="str">
        <f t="shared" si="10750"/>
        <v>fiber</v>
      </c>
      <c r="C3543" s="391">
        <f t="shared" ref="C3543" si="10751">C3542</f>
        <v>4</v>
      </c>
      <c r="D3543" s="391" t="str">
        <f t="shared" ref="D3543:E3543" si="10752">D3540</f>
        <v>1-10</v>
      </c>
      <c r="E3543" s="391">
        <f t="shared" si="10752"/>
        <v>10</v>
      </c>
      <c r="F3543" s="391" t="str">
        <f t="shared" ref="F3543:G3543" si="10753">F3542</f>
        <v>air</v>
      </c>
      <c r="G3543" s="401" t="str">
        <f t="shared" si="10753"/>
        <v>DE: PES fiber 1-10 mm (emission to air)</v>
      </c>
      <c r="H3543" s="465">
        <v>0</v>
      </c>
      <c r="I3543" s="394" t="s">
        <v>1163</v>
      </c>
      <c r="J3543" s="635"/>
      <c r="K3543" s="389">
        <v>13.04</v>
      </c>
      <c r="L3543" s="536"/>
      <c r="M3543" s="509">
        <f t="shared" si="10695"/>
        <v>191.71779141104295</v>
      </c>
      <c r="N3543" s="646"/>
      <c r="O3543" s="626"/>
      <c r="P3543" s="629"/>
      <c r="Q3543" s="629"/>
    </row>
    <row r="3544" spans="1:17" ht="15.75" hidden="1" thickBot="1">
      <c r="A3544" s="452" t="str">
        <f t="shared" ref="A3544:B3544" si="10754">A3539</f>
        <v>PES</v>
      </c>
      <c r="B3544" s="453" t="str">
        <f t="shared" si="10754"/>
        <v>fiber</v>
      </c>
      <c r="C3544" s="453">
        <f t="shared" ref="C3544" si="10755">C3543</f>
        <v>4</v>
      </c>
      <c r="D3544" s="453" t="str">
        <f t="shared" ref="D3544:E3544" si="10756">D3539</f>
        <v>1-10</v>
      </c>
      <c r="E3544" s="453">
        <f t="shared" si="10756"/>
        <v>10</v>
      </c>
      <c r="F3544" s="453" t="str">
        <f t="shared" ref="F3544:G3544" si="10757">F3543</f>
        <v>air</v>
      </c>
      <c r="G3544" s="454" t="str">
        <f t="shared" si="10757"/>
        <v>DE: PES fiber 1-10 mm (emission to air)</v>
      </c>
      <c r="H3544" s="473">
        <v>0</v>
      </c>
      <c r="I3544" s="479" t="s">
        <v>1034</v>
      </c>
      <c r="J3544" s="636"/>
      <c r="K3544" s="457" t="s">
        <v>596</v>
      </c>
      <c r="L3544" s="543"/>
      <c r="M3544" s="509">
        <f t="shared" si="10695"/>
        <v>0</v>
      </c>
      <c r="N3544" s="647"/>
      <c r="O3544" s="627"/>
      <c r="P3544" s="629"/>
      <c r="Q3544" s="629"/>
    </row>
    <row r="3545" spans="1:17" ht="15.75" hidden="1" thickBot="1">
      <c r="A3545" s="381" t="s">
        <v>771</v>
      </c>
      <c r="B3545" s="382" t="s">
        <v>1152</v>
      </c>
      <c r="C3545" s="383">
        <v>6</v>
      </c>
      <c r="D3545" s="475" t="s">
        <v>1018</v>
      </c>
      <c r="E3545" s="384">
        <v>0.1</v>
      </c>
      <c r="F3545" s="385" t="s">
        <v>1019</v>
      </c>
      <c r="G3545" s="386" t="str">
        <f>CONCATENATE("DE: ",A3545," ",B3545," ",D3545," mm (emission to ",F3545,")")</f>
        <v>DE: PES particle 0,01-0,1 mm (emission to soil)</v>
      </c>
      <c r="H3545" s="466">
        <v>0.97</v>
      </c>
      <c r="I3545" s="388" t="s">
        <v>1153</v>
      </c>
      <c r="J3545" s="632">
        <v>0.22800000000000001</v>
      </c>
      <c r="K3545" s="389">
        <v>13.04</v>
      </c>
      <c r="L3545" s="536"/>
      <c r="M3545" s="509">
        <f t="shared" si="10695"/>
        <v>0.95858895705521474</v>
      </c>
      <c r="N3545" s="645">
        <f t="shared" si="10741"/>
        <v>0.95858895705521474</v>
      </c>
      <c r="O3545" s="625"/>
      <c r="P3545" s="628">
        <f t="shared" si="10614"/>
        <v>0.95858895705521474</v>
      </c>
      <c r="Q3545" s="628">
        <f t="shared" si="10693"/>
        <v>0.95858895705521474</v>
      </c>
    </row>
    <row r="3546" spans="1:17" ht="15.75" hidden="1" thickBot="1">
      <c r="A3546" s="390" t="str">
        <f>A3545</f>
        <v>PES</v>
      </c>
      <c r="B3546" s="391" t="str">
        <f>B3545</f>
        <v>particle</v>
      </c>
      <c r="C3546" s="391">
        <f t="shared" ref="C3546:G3546" si="10758">C3545</f>
        <v>6</v>
      </c>
      <c r="D3546" s="391" t="str">
        <f t="shared" si="10758"/>
        <v>0,01-0,1</v>
      </c>
      <c r="E3546" s="391">
        <f t="shared" si="10758"/>
        <v>0.1</v>
      </c>
      <c r="F3546" s="391" t="str">
        <f t="shared" si="10758"/>
        <v>soil</v>
      </c>
      <c r="G3546" s="392" t="str">
        <f t="shared" si="10758"/>
        <v>DE: PES particle 0,01-0,1 mm (emission to soil)</v>
      </c>
      <c r="H3546" s="465">
        <v>0.03</v>
      </c>
      <c r="I3546" s="394" t="s">
        <v>1097</v>
      </c>
      <c r="J3546" s="632"/>
      <c r="K3546" s="395">
        <v>13.04</v>
      </c>
      <c r="L3546" s="537"/>
      <c r="M3546" s="509">
        <f t="shared" si="10695"/>
        <v>0.95858895705521474</v>
      </c>
      <c r="N3546" s="646"/>
      <c r="O3546" s="626"/>
      <c r="P3546" s="629"/>
      <c r="Q3546" s="629"/>
    </row>
    <row r="3547" spans="1:17" ht="15.75" hidden="1" thickBot="1">
      <c r="A3547" s="390" t="str">
        <f t="shared" ref="A3547:G3547" si="10759">A3546</f>
        <v>PES</v>
      </c>
      <c r="B3547" s="391" t="str">
        <f t="shared" si="10759"/>
        <v>particle</v>
      </c>
      <c r="C3547" s="391">
        <f t="shared" si="10759"/>
        <v>6</v>
      </c>
      <c r="D3547" s="391" t="str">
        <f t="shared" si="10759"/>
        <v>0,01-0,1</v>
      </c>
      <c r="E3547" s="391">
        <f t="shared" si="10759"/>
        <v>0.1</v>
      </c>
      <c r="F3547" s="391" t="str">
        <f t="shared" si="10759"/>
        <v>soil</v>
      </c>
      <c r="G3547" s="392" t="str">
        <f t="shared" si="10759"/>
        <v>DE: PES particle 0,01-0,1 mm (emission to soil)</v>
      </c>
      <c r="H3547" s="465">
        <v>0</v>
      </c>
      <c r="I3547" s="394" t="s">
        <v>1162</v>
      </c>
      <c r="J3547" s="632"/>
      <c r="K3547" s="395">
        <v>13.04</v>
      </c>
      <c r="L3547" s="537"/>
      <c r="M3547" s="509">
        <f t="shared" si="10695"/>
        <v>0.95858895705521474</v>
      </c>
      <c r="N3547" s="646"/>
      <c r="O3547" s="626"/>
      <c r="P3547" s="629"/>
      <c r="Q3547" s="629"/>
    </row>
    <row r="3548" spans="1:17" ht="15.75" hidden="1" thickBot="1">
      <c r="A3548" s="390" t="str">
        <f t="shared" ref="A3548:G3548" si="10760">A3547</f>
        <v>PES</v>
      </c>
      <c r="B3548" s="391" t="str">
        <f t="shared" si="10760"/>
        <v>particle</v>
      </c>
      <c r="C3548" s="391">
        <f t="shared" si="10760"/>
        <v>6</v>
      </c>
      <c r="D3548" s="391" t="str">
        <f t="shared" si="10760"/>
        <v>0,01-0,1</v>
      </c>
      <c r="E3548" s="391">
        <f t="shared" si="10760"/>
        <v>0.1</v>
      </c>
      <c r="F3548" s="391" t="str">
        <f t="shared" si="10760"/>
        <v>soil</v>
      </c>
      <c r="G3548" s="392" t="str">
        <f t="shared" si="10760"/>
        <v>DE: PES particle 0,01-0,1 mm (emission to soil)</v>
      </c>
      <c r="H3548" s="465">
        <v>0</v>
      </c>
      <c r="I3548" s="394" t="s">
        <v>1163</v>
      </c>
      <c r="J3548" s="632"/>
      <c r="K3548" s="395">
        <v>13.04</v>
      </c>
      <c r="L3548" s="537"/>
      <c r="M3548" s="509">
        <f t="shared" si="10695"/>
        <v>0.95858895705521474</v>
      </c>
      <c r="N3548" s="646"/>
      <c r="O3548" s="626"/>
      <c r="P3548" s="629"/>
      <c r="Q3548" s="629"/>
    </row>
    <row r="3549" spans="1:17" ht="15.75" hidden="1" thickBot="1">
      <c r="A3549" s="390" t="str">
        <f>A3546</f>
        <v>PES</v>
      </c>
      <c r="B3549" s="391" t="str">
        <f>B3546</f>
        <v>particle</v>
      </c>
      <c r="C3549" s="391">
        <f t="shared" ref="C3549" si="10761">C3548</f>
        <v>6</v>
      </c>
      <c r="D3549" s="391" t="str">
        <f>D3546</f>
        <v>0,01-0,1</v>
      </c>
      <c r="E3549" s="391">
        <f>E3546</f>
        <v>0.1</v>
      </c>
      <c r="F3549" s="391" t="str">
        <f>F3546</f>
        <v>soil</v>
      </c>
      <c r="G3549" s="396" t="str">
        <f t="shared" ref="G3549" si="10762">G3548</f>
        <v>DE: PES particle 0,01-0,1 mm (emission to soil)</v>
      </c>
      <c r="H3549" s="465">
        <v>0</v>
      </c>
      <c r="I3549" s="397" t="s">
        <v>1034</v>
      </c>
      <c r="J3549" s="633"/>
      <c r="K3549" s="398" t="s">
        <v>596</v>
      </c>
      <c r="L3549" s="538"/>
      <c r="M3549" s="509">
        <f t="shared" si="10695"/>
        <v>0</v>
      </c>
      <c r="N3549" s="647"/>
      <c r="O3549" s="627"/>
      <c r="P3549" s="629"/>
      <c r="Q3549" s="629"/>
    </row>
    <row r="3550" spans="1:17" ht="15.75" hidden="1" thickBot="1">
      <c r="A3550" s="390" t="str">
        <f t="shared" ref="A3550:B3550" si="10763">A3547</f>
        <v>PES</v>
      </c>
      <c r="B3550" s="391" t="str">
        <f t="shared" si="10763"/>
        <v>particle</v>
      </c>
      <c r="C3550" s="391">
        <f t="shared" ref="C3550" si="10764">C3549</f>
        <v>6</v>
      </c>
      <c r="D3550" s="399" t="str">
        <f t="shared" ref="D3550:E3550" si="10765">D3547</f>
        <v>0,01-0,1</v>
      </c>
      <c r="E3550" s="391">
        <f t="shared" si="10765"/>
        <v>0.1</v>
      </c>
      <c r="F3550" s="400" t="s">
        <v>1147</v>
      </c>
      <c r="G3550" s="386" t="str">
        <f>CONCATENATE("DE: ",A3550," ",B3550," ",D3550," mm (emission to ",F3550,")")</f>
        <v>DE: PES particle 0,01-0,1 mm (emission to fresh water)</v>
      </c>
      <c r="H3550" s="466">
        <v>0</v>
      </c>
      <c r="I3550" s="388" t="s">
        <v>1153</v>
      </c>
      <c r="J3550" s="634">
        <v>0.22800000000000001</v>
      </c>
      <c r="K3550" s="389">
        <v>13.04</v>
      </c>
      <c r="L3550" s="536"/>
      <c r="M3550" s="509">
        <f t="shared" si="10695"/>
        <v>0.95858895705521474</v>
      </c>
      <c r="N3550" s="645">
        <f t="shared" si="10741"/>
        <v>0.95858895705521474</v>
      </c>
      <c r="O3550" s="625"/>
      <c r="P3550" s="628">
        <f t="shared" si="10614"/>
        <v>0.95858895705521474</v>
      </c>
      <c r="Q3550" s="628">
        <f t="shared" si="10693"/>
        <v>0.95858895705521474</v>
      </c>
    </row>
    <row r="3551" spans="1:17" ht="15.75" hidden="1" thickBot="1">
      <c r="A3551" s="390" t="str">
        <f t="shared" ref="A3551:B3551" si="10766">A3548</f>
        <v>PES</v>
      </c>
      <c r="B3551" s="391" t="str">
        <f t="shared" si="10766"/>
        <v>particle</v>
      </c>
      <c r="C3551" s="391">
        <f t="shared" ref="C3551" si="10767">C3550</f>
        <v>6</v>
      </c>
      <c r="D3551" s="391" t="str">
        <f t="shared" ref="D3551:E3551" si="10768">D3548</f>
        <v>0,01-0,1</v>
      </c>
      <c r="E3551" s="391">
        <f t="shared" si="10768"/>
        <v>0.1</v>
      </c>
      <c r="F3551" s="391" t="str">
        <f t="shared" ref="F3551:G3551" si="10769">F3550</f>
        <v>fresh water</v>
      </c>
      <c r="G3551" s="401" t="str">
        <f t="shared" si="10769"/>
        <v>DE: PES particle 0,01-0,1 mm (emission to fresh water)</v>
      </c>
      <c r="H3551" s="465">
        <v>1</v>
      </c>
      <c r="I3551" s="394" t="s">
        <v>1097</v>
      </c>
      <c r="J3551" s="635"/>
      <c r="K3551" s="389">
        <v>13.04</v>
      </c>
      <c r="L3551" s="536"/>
      <c r="M3551" s="509">
        <f t="shared" si="10695"/>
        <v>0.95858895705521474</v>
      </c>
      <c r="N3551" s="646"/>
      <c r="O3551" s="626"/>
      <c r="P3551" s="629"/>
      <c r="Q3551" s="629"/>
    </row>
    <row r="3552" spans="1:17" ht="15.75" hidden="1" thickBot="1">
      <c r="A3552" s="390" t="str">
        <f t="shared" ref="A3552:B3552" si="10770">A3549</f>
        <v>PES</v>
      </c>
      <c r="B3552" s="391" t="str">
        <f t="shared" si="10770"/>
        <v>particle</v>
      </c>
      <c r="C3552" s="391">
        <f t="shared" ref="C3552" si="10771">C3551</f>
        <v>6</v>
      </c>
      <c r="D3552" s="391" t="str">
        <f t="shared" ref="D3552:E3552" si="10772">D3549</f>
        <v>0,01-0,1</v>
      </c>
      <c r="E3552" s="391">
        <f t="shared" si="10772"/>
        <v>0.1</v>
      </c>
      <c r="F3552" s="391" t="str">
        <f t="shared" ref="F3552:G3552" si="10773">F3551</f>
        <v>fresh water</v>
      </c>
      <c r="G3552" s="401" t="str">
        <f t="shared" si="10773"/>
        <v>DE: PES particle 0,01-0,1 mm (emission to fresh water)</v>
      </c>
      <c r="H3552" s="465">
        <v>0</v>
      </c>
      <c r="I3552" s="394" t="s">
        <v>1162</v>
      </c>
      <c r="J3552" s="635"/>
      <c r="K3552" s="389">
        <v>13.04</v>
      </c>
      <c r="L3552" s="536"/>
      <c r="M3552" s="509">
        <f t="shared" si="10695"/>
        <v>0.95858895705521474</v>
      </c>
      <c r="N3552" s="646"/>
      <c r="O3552" s="626"/>
      <c r="P3552" s="629"/>
      <c r="Q3552" s="629"/>
    </row>
    <row r="3553" spans="1:17" ht="15.75" hidden="1" thickBot="1">
      <c r="A3553" s="390" t="str">
        <f t="shared" ref="A3553:B3553" si="10774">A3550</f>
        <v>PES</v>
      </c>
      <c r="B3553" s="391" t="str">
        <f t="shared" si="10774"/>
        <v>particle</v>
      </c>
      <c r="C3553" s="391">
        <f t="shared" ref="C3553" si="10775">C3552</f>
        <v>6</v>
      </c>
      <c r="D3553" s="391" t="str">
        <f t="shared" ref="D3553:E3553" si="10776">D3550</f>
        <v>0,01-0,1</v>
      </c>
      <c r="E3553" s="391">
        <f t="shared" si="10776"/>
        <v>0.1</v>
      </c>
      <c r="F3553" s="391" t="str">
        <f t="shared" ref="F3553:G3553" si="10777">F3552</f>
        <v>fresh water</v>
      </c>
      <c r="G3553" s="401" t="str">
        <f t="shared" si="10777"/>
        <v>DE: PES particle 0,01-0,1 mm (emission to fresh water)</v>
      </c>
      <c r="H3553" s="465">
        <v>0</v>
      </c>
      <c r="I3553" s="394" t="s">
        <v>1163</v>
      </c>
      <c r="J3553" s="635"/>
      <c r="K3553" s="389">
        <v>13.04</v>
      </c>
      <c r="L3553" s="536"/>
      <c r="M3553" s="509">
        <f t="shared" si="10695"/>
        <v>0.95858895705521474</v>
      </c>
      <c r="N3553" s="646"/>
      <c r="O3553" s="626"/>
      <c r="P3553" s="629"/>
      <c r="Q3553" s="629"/>
    </row>
    <row r="3554" spans="1:17" ht="15.75" hidden="1" thickBot="1">
      <c r="A3554" s="390" t="str">
        <f t="shared" ref="A3554:B3554" si="10778">A3551</f>
        <v>PES</v>
      </c>
      <c r="B3554" s="391" t="str">
        <f t="shared" si="10778"/>
        <v>particle</v>
      </c>
      <c r="C3554" s="391">
        <f t="shared" ref="C3554" si="10779">C3553</f>
        <v>6</v>
      </c>
      <c r="D3554" s="391" t="str">
        <f t="shared" ref="D3554:E3554" si="10780">D3551</f>
        <v>0,01-0,1</v>
      </c>
      <c r="E3554" s="391">
        <f t="shared" si="10780"/>
        <v>0.1</v>
      </c>
      <c r="F3554" s="402" t="str">
        <f>F3551</f>
        <v>fresh water</v>
      </c>
      <c r="G3554" s="401" t="str">
        <f t="shared" ref="G3554" si="10781">G3553</f>
        <v>DE: PES particle 0,01-0,1 mm (emission to fresh water)</v>
      </c>
      <c r="H3554" s="465">
        <v>0</v>
      </c>
      <c r="I3554" s="397" t="s">
        <v>1034</v>
      </c>
      <c r="J3554" s="654"/>
      <c r="K3554" s="398" t="s">
        <v>596</v>
      </c>
      <c r="L3554" s="538"/>
      <c r="M3554" s="509">
        <f t="shared" si="10695"/>
        <v>0</v>
      </c>
      <c r="N3554" s="647"/>
      <c r="O3554" s="627"/>
      <c r="P3554" s="629"/>
      <c r="Q3554" s="629"/>
    </row>
    <row r="3555" spans="1:17" ht="15.75" hidden="1" thickBot="1">
      <c r="A3555" s="390" t="str">
        <f t="shared" ref="A3555:B3555" si="10782">A3552</f>
        <v>PES</v>
      </c>
      <c r="B3555" s="391" t="str">
        <f t="shared" si="10782"/>
        <v>particle</v>
      </c>
      <c r="C3555" s="391">
        <f t="shared" ref="C3555" si="10783">C3554</f>
        <v>6</v>
      </c>
      <c r="D3555" s="391" t="str">
        <f t="shared" ref="D3555:E3555" si="10784">D3552</f>
        <v>0,01-0,1</v>
      </c>
      <c r="E3555" s="391">
        <f t="shared" si="10784"/>
        <v>0.1</v>
      </c>
      <c r="F3555" s="385" t="s">
        <v>1097</v>
      </c>
      <c r="G3555" s="422" t="str">
        <f>CONCATENATE("DE: ",A3555," ",B3555," ",D3555," mm (emission to ",F3555,")")</f>
        <v>DE: PES particle 0,01-0,1 mm (emission to marine water)</v>
      </c>
      <c r="H3555" s="467">
        <v>0</v>
      </c>
      <c r="I3555" s="388" t="s">
        <v>1153</v>
      </c>
      <c r="J3555" s="634">
        <v>0.22800000000000001</v>
      </c>
      <c r="K3555" s="389">
        <v>13.04</v>
      </c>
      <c r="L3555" s="536"/>
      <c r="M3555" s="509">
        <f t="shared" si="10695"/>
        <v>0.95858895705521474</v>
      </c>
      <c r="N3555" s="645">
        <f t="shared" si="10741"/>
        <v>0.95858895705521474</v>
      </c>
      <c r="O3555" s="625"/>
      <c r="P3555" s="628">
        <f t="shared" si="10614"/>
        <v>0.95858895705521474</v>
      </c>
      <c r="Q3555" s="628">
        <f t="shared" si="10693"/>
        <v>0.95858895705521474</v>
      </c>
    </row>
    <row r="3556" spans="1:17" ht="15.75" hidden="1" thickBot="1">
      <c r="A3556" s="390" t="str">
        <f t="shared" ref="A3556:B3556" si="10785">A3553</f>
        <v>PES</v>
      </c>
      <c r="B3556" s="391" t="str">
        <f t="shared" si="10785"/>
        <v>particle</v>
      </c>
      <c r="C3556" s="391">
        <f t="shared" ref="C3556" si="10786">C3555</f>
        <v>6</v>
      </c>
      <c r="D3556" s="391" t="str">
        <f t="shared" ref="D3556:E3556" si="10787">D3553</f>
        <v>0,01-0,1</v>
      </c>
      <c r="E3556" s="391">
        <f t="shared" si="10787"/>
        <v>0.1</v>
      </c>
      <c r="F3556" s="391" t="str">
        <f t="shared" ref="F3556:G3556" si="10788">F3555</f>
        <v>marine water</v>
      </c>
      <c r="G3556" s="401" t="str">
        <f t="shared" si="10788"/>
        <v>DE: PES particle 0,01-0,1 mm (emission to marine water)</v>
      </c>
      <c r="H3556" s="465">
        <v>1</v>
      </c>
      <c r="I3556" s="394" t="s">
        <v>1097</v>
      </c>
      <c r="J3556" s="635"/>
      <c r="K3556" s="389">
        <v>13.04</v>
      </c>
      <c r="L3556" s="536"/>
      <c r="M3556" s="509">
        <f t="shared" si="10695"/>
        <v>0.95858895705521474</v>
      </c>
      <c r="N3556" s="646"/>
      <c r="O3556" s="626"/>
      <c r="P3556" s="629"/>
      <c r="Q3556" s="629"/>
    </row>
    <row r="3557" spans="1:17" ht="15.75" hidden="1" thickBot="1">
      <c r="A3557" s="390" t="str">
        <f t="shared" ref="A3557:B3557" si="10789">A3554</f>
        <v>PES</v>
      </c>
      <c r="B3557" s="391" t="str">
        <f t="shared" si="10789"/>
        <v>particle</v>
      </c>
      <c r="C3557" s="391">
        <f t="shared" ref="C3557" si="10790">C3556</f>
        <v>6</v>
      </c>
      <c r="D3557" s="391" t="str">
        <f t="shared" ref="D3557:E3557" si="10791">D3554</f>
        <v>0,01-0,1</v>
      </c>
      <c r="E3557" s="391">
        <f t="shared" si="10791"/>
        <v>0.1</v>
      </c>
      <c r="F3557" s="391" t="str">
        <f t="shared" ref="F3557:G3557" si="10792">F3556</f>
        <v>marine water</v>
      </c>
      <c r="G3557" s="401" t="str">
        <f t="shared" si="10792"/>
        <v>DE: PES particle 0,01-0,1 mm (emission to marine water)</v>
      </c>
      <c r="H3557" s="465">
        <v>0</v>
      </c>
      <c r="I3557" s="394" t="s">
        <v>1162</v>
      </c>
      <c r="J3557" s="635"/>
      <c r="K3557" s="389">
        <v>13.04</v>
      </c>
      <c r="L3557" s="536"/>
      <c r="M3557" s="509">
        <f t="shared" si="10695"/>
        <v>0.95858895705521474</v>
      </c>
      <c r="N3557" s="646"/>
      <c r="O3557" s="626"/>
      <c r="P3557" s="629"/>
      <c r="Q3557" s="629"/>
    </row>
    <row r="3558" spans="1:17" ht="15.75" hidden="1" thickBot="1">
      <c r="A3558" s="390" t="str">
        <f t="shared" ref="A3558:B3558" si="10793">A3555</f>
        <v>PES</v>
      </c>
      <c r="B3558" s="391" t="str">
        <f t="shared" si="10793"/>
        <v>particle</v>
      </c>
      <c r="C3558" s="391">
        <f t="shared" ref="C3558" si="10794">C3557</f>
        <v>6</v>
      </c>
      <c r="D3558" s="391" t="str">
        <f t="shared" ref="D3558:E3558" si="10795">D3555</f>
        <v>0,01-0,1</v>
      </c>
      <c r="E3558" s="391">
        <f t="shared" si="10795"/>
        <v>0.1</v>
      </c>
      <c r="F3558" s="391" t="str">
        <f t="shared" ref="F3558:G3558" si="10796">F3557</f>
        <v>marine water</v>
      </c>
      <c r="G3558" s="401" t="str">
        <f t="shared" si="10796"/>
        <v>DE: PES particle 0,01-0,1 mm (emission to marine water)</v>
      </c>
      <c r="H3558" s="465">
        <v>0</v>
      </c>
      <c r="I3558" s="394" t="s">
        <v>1163</v>
      </c>
      <c r="J3558" s="635"/>
      <c r="K3558" s="389">
        <v>13.04</v>
      </c>
      <c r="L3558" s="536"/>
      <c r="M3558" s="509">
        <f t="shared" si="10695"/>
        <v>0.95858895705521474</v>
      </c>
      <c r="N3558" s="646"/>
      <c r="O3558" s="626"/>
      <c r="P3558" s="629"/>
      <c r="Q3558" s="629"/>
    </row>
    <row r="3559" spans="1:17" ht="15.75" hidden="1" thickBot="1">
      <c r="A3559" s="390" t="str">
        <f t="shared" ref="A3559:B3559" si="10797">A3556</f>
        <v>PES</v>
      </c>
      <c r="B3559" s="391" t="str">
        <f t="shared" si="10797"/>
        <v>particle</v>
      </c>
      <c r="C3559" s="391">
        <f t="shared" ref="C3559" si="10798">C3558</f>
        <v>6</v>
      </c>
      <c r="D3559" s="391" t="str">
        <f t="shared" ref="D3559:E3559" si="10799">D3556</f>
        <v>0,01-0,1</v>
      </c>
      <c r="E3559" s="391">
        <f t="shared" si="10799"/>
        <v>0.1</v>
      </c>
      <c r="F3559" s="391" t="str">
        <f t="shared" ref="F3559:G3559" si="10800">F3558</f>
        <v>marine water</v>
      </c>
      <c r="G3559" s="401" t="str">
        <f t="shared" si="10800"/>
        <v>DE: PES particle 0,01-0,1 mm (emission to marine water)</v>
      </c>
      <c r="H3559" s="465">
        <v>0</v>
      </c>
      <c r="I3559" s="397" t="s">
        <v>1034</v>
      </c>
      <c r="J3559" s="654"/>
      <c r="K3559" s="398" t="s">
        <v>596</v>
      </c>
      <c r="L3559" s="538"/>
      <c r="M3559" s="509">
        <f t="shared" si="10695"/>
        <v>0</v>
      </c>
      <c r="N3559" s="647"/>
      <c r="O3559" s="627"/>
      <c r="P3559" s="629"/>
      <c r="Q3559" s="629"/>
    </row>
    <row r="3560" spans="1:17" ht="15.75" hidden="1" thickBot="1">
      <c r="A3560" s="390" t="str">
        <f t="shared" ref="A3560:B3560" si="10801">A3557</f>
        <v>PES</v>
      </c>
      <c r="B3560" s="391" t="str">
        <f t="shared" si="10801"/>
        <v>particle</v>
      </c>
      <c r="C3560" s="391">
        <f t="shared" ref="C3560" si="10802">C3559</f>
        <v>6</v>
      </c>
      <c r="D3560" s="391" t="str">
        <f t="shared" ref="D3560:E3560" si="10803">D3557</f>
        <v>0,01-0,1</v>
      </c>
      <c r="E3560" s="391">
        <f t="shared" si="10803"/>
        <v>0.1</v>
      </c>
      <c r="F3560" s="400" t="s">
        <v>1057</v>
      </c>
      <c r="G3560" s="422" t="str">
        <f>CONCATENATE("DE: ",A3560," ",B3560," ",D3560," mm (emission to ",F3560,")")</f>
        <v>DE: PES particle 0,01-0,1 mm (emission to air)</v>
      </c>
      <c r="H3560" s="467">
        <v>0.94799999999999995</v>
      </c>
      <c r="I3560" s="388" t="s">
        <v>1153</v>
      </c>
      <c r="J3560" s="634">
        <v>0.22800000000000001</v>
      </c>
      <c r="K3560" s="389">
        <v>13.04</v>
      </c>
      <c r="L3560" s="536"/>
      <c r="M3560" s="509">
        <f t="shared" si="10695"/>
        <v>0.95858895705521474</v>
      </c>
      <c r="N3560" s="645">
        <f t="shared" si="10741"/>
        <v>0.95858895705521474</v>
      </c>
      <c r="O3560" s="625"/>
      <c r="P3560" s="628">
        <f t="shared" si="10614"/>
        <v>0.95858895705521474</v>
      </c>
      <c r="Q3560" s="628">
        <f t="shared" si="10693"/>
        <v>0.95858895705521474</v>
      </c>
    </row>
    <row r="3561" spans="1:17" ht="15.75" hidden="1" thickBot="1">
      <c r="A3561" s="390" t="str">
        <f t="shared" ref="A3561:B3561" si="10804">A3558</f>
        <v>PES</v>
      </c>
      <c r="B3561" s="391" t="str">
        <f t="shared" si="10804"/>
        <v>particle</v>
      </c>
      <c r="C3561" s="391">
        <f t="shared" ref="C3561" si="10805">C3560</f>
        <v>6</v>
      </c>
      <c r="D3561" s="391" t="str">
        <f t="shared" ref="D3561:E3561" si="10806">D3558</f>
        <v>0,01-0,1</v>
      </c>
      <c r="E3561" s="391">
        <f t="shared" si="10806"/>
        <v>0.1</v>
      </c>
      <c r="F3561" s="391" t="str">
        <f t="shared" ref="F3561:G3561" si="10807">F3560</f>
        <v>air</v>
      </c>
      <c r="G3561" s="401" t="str">
        <f t="shared" si="10807"/>
        <v>DE: PES particle 0,01-0,1 mm (emission to air)</v>
      </c>
      <c r="H3561" s="465">
        <v>5.1999999999999998E-2</v>
      </c>
      <c r="I3561" s="394" t="s">
        <v>1097</v>
      </c>
      <c r="J3561" s="635"/>
      <c r="K3561" s="389">
        <v>13.04</v>
      </c>
      <c r="L3561" s="536"/>
      <c r="M3561" s="509">
        <f t="shared" si="10695"/>
        <v>0.95858895705521474</v>
      </c>
      <c r="N3561" s="646"/>
      <c r="O3561" s="626"/>
      <c r="P3561" s="629"/>
      <c r="Q3561" s="629"/>
    </row>
    <row r="3562" spans="1:17" ht="15.75" hidden="1" thickBot="1">
      <c r="A3562" s="390" t="str">
        <f t="shared" ref="A3562:B3562" si="10808">A3559</f>
        <v>PES</v>
      </c>
      <c r="B3562" s="391" t="str">
        <f t="shared" si="10808"/>
        <v>particle</v>
      </c>
      <c r="C3562" s="391">
        <f t="shared" ref="C3562" si="10809">C3561</f>
        <v>6</v>
      </c>
      <c r="D3562" s="391" t="str">
        <f t="shared" ref="D3562:E3562" si="10810">D3559</f>
        <v>0,01-0,1</v>
      </c>
      <c r="E3562" s="391">
        <f t="shared" si="10810"/>
        <v>0.1</v>
      </c>
      <c r="F3562" s="391" t="str">
        <f t="shared" ref="F3562:G3562" si="10811">F3561</f>
        <v>air</v>
      </c>
      <c r="G3562" s="401" t="str">
        <f t="shared" si="10811"/>
        <v>DE: PES particle 0,01-0,1 mm (emission to air)</v>
      </c>
      <c r="H3562" s="465">
        <v>0</v>
      </c>
      <c r="I3562" s="394" t="s">
        <v>1162</v>
      </c>
      <c r="J3562" s="635"/>
      <c r="K3562" s="389">
        <v>13.04</v>
      </c>
      <c r="L3562" s="536"/>
      <c r="M3562" s="509">
        <f t="shared" si="10695"/>
        <v>0.95858895705521474</v>
      </c>
      <c r="N3562" s="646"/>
      <c r="O3562" s="626"/>
      <c r="P3562" s="629"/>
      <c r="Q3562" s="629"/>
    </row>
    <row r="3563" spans="1:17" ht="15.75" hidden="1" thickBot="1">
      <c r="A3563" s="390" t="str">
        <f t="shared" ref="A3563:B3563" si="10812">A3560</f>
        <v>PES</v>
      </c>
      <c r="B3563" s="391" t="str">
        <f t="shared" si="10812"/>
        <v>particle</v>
      </c>
      <c r="C3563" s="391">
        <f t="shared" ref="C3563" si="10813">C3562</f>
        <v>6</v>
      </c>
      <c r="D3563" s="391" t="str">
        <f t="shared" ref="D3563:E3563" si="10814">D3560</f>
        <v>0,01-0,1</v>
      </c>
      <c r="E3563" s="391">
        <f t="shared" si="10814"/>
        <v>0.1</v>
      </c>
      <c r="F3563" s="391" t="str">
        <f t="shared" ref="F3563:G3563" si="10815">F3562</f>
        <v>air</v>
      </c>
      <c r="G3563" s="401" t="str">
        <f t="shared" si="10815"/>
        <v>DE: PES particle 0,01-0,1 mm (emission to air)</v>
      </c>
      <c r="H3563" s="465">
        <v>0</v>
      </c>
      <c r="I3563" s="394" t="s">
        <v>1163</v>
      </c>
      <c r="J3563" s="635"/>
      <c r="K3563" s="389">
        <v>13.04</v>
      </c>
      <c r="L3563" s="536"/>
      <c r="M3563" s="509">
        <f t="shared" si="10695"/>
        <v>0.95858895705521474</v>
      </c>
      <c r="N3563" s="646"/>
      <c r="O3563" s="626"/>
      <c r="P3563" s="629"/>
      <c r="Q3563" s="629"/>
    </row>
    <row r="3564" spans="1:17" ht="15.75" hidden="1" thickBot="1">
      <c r="A3564" s="390" t="str">
        <f t="shared" ref="A3564:B3564" si="10816">A3559</f>
        <v>PES</v>
      </c>
      <c r="B3564" s="391" t="str">
        <f t="shared" si="10816"/>
        <v>particle</v>
      </c>
      <c r="C3564" s="391">
        <f t="shared" ref="C3564" si="10817">C3563</f>
        <v>6</v>
      </c>
      <c r="D3564" s="391" t="str">
        <f t="shared" ref="D3564:E3564" si="10818">D3559</f>
        <v>0,01-0,1</v>
      </c>
      <c r="E3564" s="391">
        <f t="shared" si="10818"/>
        <v>0.1</v>
      </c>
      <c r="F3564" s="391" t="str">
        <f t="shared" ref="F3564:G3564" si="10819">F3563</f>
        <v>air</v>
      </c>
      <c r="G3564" s="401" t="str">
        <f t="shared" si="10819"/>
        <v>DE: PES particle 0,01-0,1 mm (emission to air)</v>
      </c>
      <c r="H3564" s="471">
        <v>0</v>
      </c>
      <c r="I3564" s="422" t="s">
        <v>1034</v>
      </c>
      <c r="J3564" s="636"/>
      <c r="K3564" s="451" t="s">
        <v>596</v>
      </c>
      <c r="L3564" s="542"/>
      <c r="M3564" s="509">
        <f t="shared" si="10695"/>
        <v>0</v>
      </c>
      <c r="N3564" s="647"/>
      <c r="O3564" s="627"/>
      <c r="P3564" s="629"/>
      <c r="Q3564" s="629"/>
    </row>
    <row r="3565" spans="1:17" ht="15.75" hidden="1" thickBot="1">
      <c r="A3565" s="405" t="s">
        <v>771</v>
      </c>
      <c r="B3565" s="406" t="s">
        <v>1152</v>
      </c>
      <c r="C3565" s="407">
        <v>6</v>
      </c>
      <c r="D3565" s="423" t="s">
        <v>1028</v>
      </c>
      <c r="E3565" s="408">
        <v>1</v>
      </c>
      <c r="F3565" s="424" t="s">
        <v>1019</v>
      </c>
      <c r="G3565" s="425" t="str">
        <f>CONCATENATE("DE: ",A3565," ",B3565," ",D3565," mm (emission to ",F3565,")")</f>
        <v>DE: PES particle 0,1-1 mm (emission to soil)</v>
      </c>
      <c r="H3565" s="474">
        <v>0.97</v>
      </c>
      <c r="I3565" s="427" t="s">
        <v>1153</v>
      </c>
      <c r="J3565" s="632">
        <v>0.22800000000000001</v>
      </c>
      <c r="K3565" s="428">
        <v>13.04</v>
      </c>
      <c r="L3565" s="539"/>
      <c r="M3565" s="509">
        <f t="shared" si="10695"/>
        <v>9.5858895705521476</v>
      </c>
      <c r="N3565" s="645">
        <f t="shared" si="10741"/>
        <v>9.5858895705521476</v>
      </c>
      <c r="O3565" s="625"/>
      <c r="P3565" s="628">
        <f t="shared" ref="P3565:P3625" si="10820">IFERROR(IF(H3565*M3565+H3566*M3566+H3567*M3567+H3568*M3568+H3569*M3569&gt;100,100,H3565*M3565+H3566*M3566+H3567*M3567+H3568*M3568+H3569*M3569),"N.A.")</f>
        <v>9.5858895705521476</v>
      </c>
      <c r="Q3565" s="628">
        <f t="shared" si="10693"/>
        <v>9.5858895705521476</v>
      </c>
    </row>
    <row r="3566" spans="1:17" ht="15.75" hidden="1" thickBot="1">
      <c r="A3566" s="390" t="str">
        <f>A3565</f>
        <v>PES</v>
      </c>
      <c r="B3566" s="391" t="str">
        <f>B3565</f>
        <v>particle</v>
      </c>
      <c r="C3566" s="391">
        <f t="shared" ref="C3566:G3566" si="10821">C3565</f>
        <v>6</v>
      </c>
      <c r="D3566" s="391" t="str">
        <f t="shared" si="10821"/>
        <v>0,1-1</v>
      </c>
      <c r="E3566" s="391">
        <f t="shared" si="10821"/>
        <v>1</v>
      </c>
      <c r="F3566" s="391" t="str">
        <f t="shared" si="10821"/>
        <v>soil</v>
      </c>
      <c r="G3566" s="392" t="str">
        <f t="shared" si="10821"/>
        <v>DE: PES particle 0,1-1 mm (emission to soil)</v>
      </c>
      <c r="H3566" s="465">
        <v>0.03</v>
      </c>
      <c r="I3566" s="394" t="s">
        <v>1097</v>
      </c>
      <c r="J3566" s="632"/>
      <c r="K3566" s="395">
        <v>13.04</v>
      </c>
      <c r="L3566" s="537"/>
      <c r="M3566" s="509">
        <f t="shared" si="10695"/>
        <v>9.5858895705521476</v>
      </c>
      <c r="N3566" s="646"/>
      <c r="O3566" s="626"/>
      <c r="P3566" s="629"/>
      <c r="Q3566" s="629"/>
    </row>
    <row r="3567" spans="1:17" ht="15.75" hidden="1" thickBot="1">
      <c r="A3567" s="390" t="str">
        <f t="shared" ref="A3567:G3567" si="10822">A3566</f>
        <v>PES</v>
      </c>
      <c r="B3567" s="391" t="str">
        <f t="shared" si="10822"/>
        <v>particle</v>
      </c>
      <c r="C3567" s="391">
        <f t="shared" si="10822"/>
        <v>6</v>
      </c>
      <c r="D3567" s="391" t="str">
        <f t="shared" si="10822"/>
        <v>0,1-1</v>
      </c>
      <c r="E3567" s="391">
        <f t="shared" si="10822"/>
        <v>1</v>
      </c>
      <c r="F3567" s="391" t="str">
        <f t="shared" si="10822"/>
        <v>soil</v>
      </c>
      <c r="G3567" s="392" t="str">
        <f t="shared" si="10822"/>
        <v>DE: PES particle 0,1-1 mm (emission to soil)</v>
      </c>
      <c r="H3567" s="465">
        <v>0</v>
      </c>
      <c r="I3567" s="394" t="s">
        <v>1162</v>
      </c>
      <c r="J3567" s="632"/>
      <c r="K3567" s="395">
        <v>13.04</v>
      </c>
      <c r="L3567" s="537"/>
      <c r="M3567" s="509">
        <f t="shared" si="10695"/>
        <v>9.5858895705521476</v>
      </c>
      <c r="N3567" s="646"/>
      <c r="O3567" s="626"/>
      <c r="P3567" s="629"/>
      <c r="Q3567" s="629"/>
    </row>
    <row r="3568" spans="1:17" ht="15.75" hidden="1" thickBot="1">
      <c r="A3568" s="390" t="str">
        <f t="shared" ref="A3568:G3568" si="10823">A3567</f>
        <v>PES</v>
      </c>
      <c r="B3568" s="391" t="str">
        <f t="shared" si="10823"/>
        <v>particle</v>
      </c>
      <c r="C3568" s="391">
        <f t="shared" si="10823"/>
        <v>6</v>
      </c>
      <c r="D3568" s="391" t="str">
        <f t="shared" si="10823"/>
        <v>0,1-1</v>
      </c>
      <c r="E3568" s="391">
        <f t="shared" si="10823"/>
        <v>1</v>
      </c>
      <c r="F3568" s="391" t="str">
        <f t="shared" si="10823"/>
        <v>soil</v>
      </c>
      <c r="G3568" s="392" t="str">
        <f t="shared" si="10823"/>
        <v>DE: PES particle 0,1-1 mm (emission to soil)</v>
      </c>
      <c r="H3568" s="465">
        <v>0</v>
      </c>
      <c r="I3568" s="394" t="s">
        <v>1163</v>
      </c>
      <c r="J3568" s="632"/>
      <c r="K3568" s="395">
        <v>13.04</v>
      </c>
      <c r="L3568" s="537"/>
      <c r="M3568" s="509">
        <f t="shared" si="10695"/>
        <v>9.5858895705521476</v>
      </c>
      <c r="N3568" s="646"/>
      <c r="O3568" s="626"/>
      <c r="P3568" s="629"/>
      <c r="Q3568" s="629"/>
    </row>
    <row r="3569" spans="1:17" ht="15.75" hidden="1" thickBot="1">
      <c r="A3569" s="390" t="str">
        <f>A3566</f>
        <v>PES</v>
      </c>
      <c r="B3569" s="391" t="str">
        <f>B3566</f>
        <v>particle</v>
      </c>
      <c r="C3569" s="391">
        <f t="shared" ref="C3569" si="10824">C3568</f>
        <v>6</v>
      </c>
      <c r="D3569" s="391" t="str">
        <f>D3566</f>
        <v>0,1-1</v>
      </c>
      <c r="E3569" s="391">
        <f>E3566</f>
        <v>1</v>
      </c>
      <c r="F3569" s="391" t="str">
        <f>F3566</f>
        <v>soil</v>
      </c>
      <c r="G3569" s="396" t="str">
        <f t="shared" ref="G3569" si="10825">G3568</f>
        <v>DE: PES particle 0,1-1 mm (emission to soil)</v>
      </c>
      <c r="H3569" s="465">
        <v>0</v>
      </c>
      <c r="I3569" s="397" t="s">
        <v>1034</v>
      </c>
      <c r="J3569" s="633"/>
      <c r="K3569" s="398" t="s">
        <v>596</v>
      </c>
      <c r="L3569" s="538"/>
      <c r="M3569" s="509">
        <f t="shared" si="10695"/>
        <v>0</v>
      </c>
      <c r="N3569" s="647"/>
      <c r="O3569" s="627"/>
      <c r="P3569" s="629"/>
      <c r="Q3569" s="629"/>
    </row>
    <row r="3570" spans="1:17" ht="15.75" hidden="1" thickBot="1">
      <c r="A3570" s="390" t="str">
        <f t="shared" ref="A3570:B3570" si="10826">A3567</f>
        <v>PES</v>
      </c>
      <c r="B3570" s="391" t="str">
        <f t="shared" si="10826"/>
        <v>particle</v>
      </c>
      <c r="C3570" s="391">
        <f t="shared" ref="C3570" si="10827">C3569</f>
        <v>6</v>
      </c>
      <c r="D3570" s="399" t="str">
        <f t="shared" ref="D3570:E3570" si="10828">D3567</f>
        <v>0,1-1</v>
      </c>
      <c r="E3570" s="391">
        <f t="shared" si="10828"/>
        <v>1</v>
      </c>
      <c r="F3570" s="400" t="s">
        <v>1147</v>
      </c>
      <c r="G3570" s="386" t="str">
        <f>CONCATENATE("DE: ",A3570," ",B3570," ",D3570," mm (emission to ",F3570,")")</f>
        <v>DE: PES particle 0,1-1 mm (emission to fresh water)</v>
      </c>
      <c r="H3570" s="466">
        <v>0</v>
      </c>
      <c r="I3570" s="388" t="s">
        <v>1153</v>
      </c>
      <c r="J3570" s="634">
        <v>0.22800000000000001</v>
      </c>
      <c r="K3570" s="389">
        <v>13.04</v>
      </c>
      <c r="L3570" s="536"/>
      <c r="M3570" s="509">
        <f t="shared" si="10695"/>
        <v>9.5858895705521476</v>
      </c>
      <c r="N3570" s="645">
        <f t="shared" si="10741"/>
        <v>9.5858895705521476</v>
      </c>
      <c r="O3570" s="625"/>
      <c r="P3570" s="628">
        <f t="shared" si="10820"/>
        <v>9.5858895705521476</v>
      </c>
      <c r="Q3570" s="628">
        <f t="shared" si="10693"/>
        <v>9.5858895705521476</v>
      </c>
    </row>
    <row r="3571" spans="1:17" ht="15.75" hidden="1" thickBot="1">
      <c r="A3571" s="390" t="str">
        <f t="shared" ref="A3571:B3571" si="10829">A3568</f>
        <v>PES</v>
      </c>
      <c r="B3571" s="391" t="str">
        <f t="shared" si="10829"/>
        <v>particle</v>
      </c>
      <c r="C3571" s="391">
        <f t="shared" ref="C3571" si="10830">C3570</f>
        <v>6</v>
      </c>
      <c r="D3571" s="391" t="str">
        <f t="shared" ref="D3571:E3571" si="10831">D3568</f>
        <v>0,1-1</v>
      </c>
      <c r="E3571" s="391">
        <f t="shared" si="10831"/>
        <v>1</v>
      </c>
      <c r="F3571" s="391" t="str">
        <f t="shared" ref="F3571:G3571" si="10832">F3570</f>
        <v>fresh water</v>
      </c>
      <c r="G3571" s="401" t="str">
        <f t="shared" si="10832"/>
        <v>DE: PES particle 0,1-1 mm (emission to fresh water)</v>
      </c>
      <c r="H3571" s="465">
        <v>1</v>
      </c>
      <c r="I3571" s="394" t="s">
        <v>1097</v>
      </c>
      <c r="J3571" s="635"/>
      <c r="K3571" s="389">
        <v>13.04</v>
      </c>
      <c r="L3571" s="536"/>
      <c r="M3571" s="509">
        <f t="shared" si="10695"/>
        <v>9.5858895705521476</v>
      </c>
      <c r="N3571" s="646"/>
      <c r="O3571" s="626"/>
      <c r="P3571" s="629"/>
      <c r="Q3571" s="629"/>
    </row>
    <row r="3572" spans="1:17" ht="15.75" hidden="1" thickBot="1">
      <c r="A3572" s="390" t="str">
        <f t="shared" ref="A3572:B3572" si="10833">A3569</f>
        <v>PES</v>
      </c>
      <c r="B3572" s="391" t="str">
        <f t="shared" si="10833"/>
        <v>particle</v>
      </c>
      <c r="C3572" s="391">
        <f t="shared" ref="C3572" si="10834">C3571</f>
        <v>6</v>
      </c>
      <c r="D3572" s="391" t="str">
        <f t="shared" ref="D3572:E3572" si="10835">D3569</f>
        <v>0,1-1</v>
      </c>
      <c r="E3572" s="391">
        <f t="shared" si="10835"/>
        <v>1</v>
      </c>
      <c r="F3572" s="391" t="str">
        <f t="shared" ref="F3572:G3572" si="10836">F3571</f>
        <v>fresh water</v>
      </c>
      <c r="G3572" s="401" t="str">
        <f t="shared" si="10836"/>
        <v>DE: PES particle 0,1-1 mm (emission to fresh water)</v>
      </c>
      <c r="H3572" s="465">
        <v>0</v>
      </c>
      <c r="I3572" s="394" t="s">
        <v>1162</v>
      </c>
      <c r="J3572" s="635"/>
      <c r="K3572" s="389">
        <v>13.04</v>
      </c>
      <c r="L3572" s="536"/>
      <c r="M3572" s="509">
        <f t="shared" si="10695"/>
        <v>9.5858895705521476</v>
      </c>
      <c r="N3572" s="646"/>
      <c r="O3572" s="626"/>
      <c r="P3572" s="629"/>
      <c r="Q3572" s="629"/>
    </row>
    <row r="3573" spans="1:17" ht="15.75" hidden="1" thickBot="1">
      <c r="A3573" s="390" t="str">
        <f t="shared" ref="A3573:B3573" si="10837">A3570</f>
        <v>PES</v>
      </c>
      <c r="B3573" s="391" t="str">
        <f t="shared" si="10837"/>
        <v>particle</v>
      </c>
      <c r="C3573" s="391">
        <f t="shared" ref="C3573" si="10838">C3572</f>
        <v>6</v>
      </c>
      <c r="D3573" s="391" t="str">
        <f t="shared" ref="D3573:E3573" si="10839">D3570</f>
        <v>0,1-1</v>
      </c>
      <c r="E3573" s="391">
        <f t="shared" si="10839"/>
        <v>1</v>
      </c>
      <c r="F3573" s="391" t="str">
        <f t="shared" ref="F3573:G3573" si="10840">F3572</f>
        <v>fresh water</v>
      </c>
      <c r="G3573" s="401" t="str">
        <f t="shared" si="10840"/>
        <v>DE: PES particle 0,1-1 mm (emission to fresh water)</v>
      </c>
      <c r="H3573" s="465">
        <v>0</v>
      </c>
      <c r="I3573" s="394" t="s">
        <v>1163</v>
      </c>
      <c r="J3573" s="635"/>
      <c r="K3573" s="389">
        <v>13.04</v>
      </c>
      <c r="L3573" s="536"/>
      <c r="M3573" s="509">
        <f t="shared" si="10695"/>
        <v>9.5858895705521476</v>
      </c>
      <c r="N3573" s="646"/>
      <c r="O3573" s="626"/>
      <c r="P3573" s="629"/>
      <c r="Q3573" s="629"/>
    </row>
    <row r="3574" spans="1:17" ht="15.75" hidden="1" thickBot="1">
      <c r="A3574" s="390" t="str">
        <f t="shared" ref="A3574:B3574" si="10841">A3571</f>
        <v>PES</v>
      </c>
      <c r="B3574" s="391" t="str">
        <f t="shared" si="10841"/>
        <v>particle</v>
      </c>
      <c r="C3574" s="391">
        <f t="shared" ref="C3574" si="10842">C3573</f>
        <v>6</v>
      </c>
      <c r="D3574" s="391" t="str">
        <f t="shared" ref="D3574:E3574" si="10843">D3571</f>
        <v>0,1-1</v>
      </c>
      <c r="E3574" s="391">
        <f t="shared" si="10843"/>
        <v>1</v>
      </c>
      <c r="F3574" s="402" t="str">
        <f>F3571</f>
        <v>fresh water</v>
      </c>
      <c r="G3574" s="401" t="str">
        <f t="shared" ref="G3574" si="10844">G3573</f>
        <v>DE: PES particle 0,1-1 mm (emission to fresh water)</v>
      </c>
      <c r="H3574" s="465">
        <v>0</v>
      </c>
      <c r="I3574" s="397" t="s">
        <v>1034</v>
      </c>
      <c r="J3574" s="654"/>
      <c r="K3574" s="398" t="s">
        <v>596</v>
      </c>
      <c r="L3574" s="538"/>
      <c r="M3574" s="509">
        <f t="shared" si="10695"/>
        <v>0</v>
      </c>
      <c r="N3574" s="647"/>
      <c r="O3574" s="627"/>
      <c r="P3574" s="629"/>
      <c r="Q3574" s="629"/>
    </row>
    <row r="3575" spans="1:17" ht="15.75" hidden="1" thickBot="1">
      <c r="A3575" s="390" t="str">
        <f t="shared" ref="A3575:B3575" si="10845">A3572</f>
        <v>PES</v>
      </c>
      <c r="B3575" s="391" t="str">
        <f t="shared" si="10845"/>
        <v>particle</v>
      </c>
      <c r="C3575" s="391">
        <f t="shared" ref="C3575" si="10846">C3574</f>
        <v>6</v>
      </c>
      <c r="D3575" s="391" t="str">
        <f t="shared" ref="D3575:E3575" si="10847">D3572</f>
        <v>0,1-1</v>
      </c>
      <c r="E3575" s="391">
        <f t="shared" si="10847"/>
        <v>1</v>
      </c>
      <c r="F3575" s="385" t="s">
        <v>1097</v>
      </c>
      <c r="G3575" s="422" t="str">
        <f>CONCATENATE("DE: ",A3575," ",B3575," ",D3575," mm (emission to ",F3575,")")</f>
        <v>DE: PES particle 0,1-1 mm (emission to marine water)</v>
      </c>
      <c r="H3575" s="467">
        <v>0</v>
      </c>
      <c r="I3575" s="388" t="s">
        <v>1153</v>
      </c>
      <c r="J3575" s="634">
        <v>0.22800000000000001</v>
      </c>
      <c r="K3575" s="389">
        <v>13.04</v>
      </c>
      <c r="L3575" s="536"/>
      <c r="M3575" s="509">
        <f t="shared" si="10695"/>
        <v>9.5858895705521476</v>
      </c>
      <c r="N3575" s="645">
        <f t="shared" si="10741"/>
        <v>9.5858895705521476</v>
      </c>
      <c r="O3575" s="625"/>
      <c r="P3575" s="628">
        <f t="shared" si="10820"/>
        <v>9.5858895705521476</v>
      </c>
      <c r="Q3575" s="628">
        <f t="shared" si="10693"/>
        <v>9.5858895705521476</v>
      </c>
    </row>
    <row r="3576" spans="1:17" ht="15.75" hidden="1" thickBot="1">
      <c r="A3576" s="390" t="str">
        <f t="shared" ref="A3576:B3576" si="10848">A3573</f>
        <v>PES</v>
      </c>
      <c r="B3576" s="391" t="str">
        <f t="shared" si="10848"/>
        <v>particle</v>
      </c>
      <c r="C3576" s="391">
        <f t="shared" ref="C3576" si="10849">C3575</f>
        <v>6</v>
      </c>
      <c r="D3576" s="391" t="str">
        <f t="shared" ref="D3576:E3576" si="10850">D3573</f>
        <v>0,1-1</v>
      </c>
      <c r="E3576" s="391">
        <f t="shared" si="10850"/>
        <v>1</v>
      </c>
      <c r="F3576" s="391" t="str">
        <f t="shared" ref="F3576:G3576" si="10851">F3575</f>
        <v>marine water</v>
      </c>
      <c r="G3576" s="401" t="str">
        <f t="shared" si="10851"/>
        <v>DE: PES particle 0,1-1 mm (emission to marine water)</v>
      </c>
      <c r="H3576" s="465">
        <v>1</v>
      </c>
      <c r="I3576" s="394" t="s">
        <v>1097</v>
      </c>
      <c r="J3576" s="635"/>
      <c r="K3576" s="389">
        <v>13.04</v>
      </c>
      <c r="L3576" s="536"/>
      <c r="M3576" s="509">
        <f t="shared" si="10695"/>
        <v>9.5858895705521476</v>
      </c>
      <c r="N3576" s="646"/>
      <c r="O3576" s="626"/>
      <c r="P3576" s="629"/>
      <c r="Q3576" s="629"/>
    </row>
    <row r="3577" spans="1:17" ht="15.75" hidden="1" thickBot="1">
      <c r="A3577" s="390" t="str">
        <f t="shared" ref="A3577:B3577" si="10852">A3574</f>
        <v>PES</v>
      </c>
      <c r="B3577" s="391" t="str">
        <f t="shared" si="10852"/>
        <v>particle</v>
      </c>
      <c r="C3577" s="391">
        <f t="shared" ref="C3577" si="10853">C3576</f>
        <v>6</v>
      </c>
      <c r="D3577" s="391" t="str">
        <f t="shared" ref="D3577:E3577" si="10854">D3574</f>
        <v>0,1-1</v>
      </c>
      <c r="E3577" s="391">
        <f t="shared" si="10854"/>
        <v>1</v>
      </c>
      <c r="F3577" s="391" t="str">
        <f t="shared" ref="F3577:G3577" si="10855">F3576</f>
        <v>marine water</v>
      </c>
      <c r="G3577" s="401" t="str">
        <f t="shared" si="10855"/>
        <v>DE: PES particle 0,1-1 mm (emission to marine water)</v>
      </c>
      <c r="H3577" s="465">
        <v>0</v>
      </c>
      <c r="I3577" s="394" t="s">
        <v>1162</v>
      </c>
      <c r="J3577" s="635"/>
      <c r="K3577" s="389">
        <v>13.04</v>
      </c>
      <c r="L3577" s="536"/>
      <c r="M3577" s="509">
        <f t="shared" si="10695"/>
        <v>9.5858895705521476</v>
      </c>
      <c r="N3577" s="646"/>
      <c r="O3577" s="626"/>
      <c r="P3577" s="629"/>
      <c r="Q3577" s="629"/>
    </row>
    <row r="3578" spans="1:17" ht="15.75" hidden="1" thickBot="1">
      <c r="A3578" s="390" t="str">
        <f t="shared" ref="A3578:B3578" si="10856">A3575</f>
        <v>PES</v>
      </c>
      <c r="B3578" s="391" t="str">
        <f t="shared" si="10856"/>
        <v>particle</v>
      </c>
      <c r="C3578" s="391">
        <f t="shared" ref="C3578" si="10857">C3577</f>
        <v>6</v>
      </c>
      <c r="D3578" s="391" t="str">
        <f t="shared" ref="D3578:E3578" si="10858">D3575</f>
        <v>0,1-1</v>
      </c>
      <c r="E3578" s="391">
        <f t="shared" si="10858"/>
        <v>1</v>
      </c>
      <c r="F3578" s="391" t="str">
        <f t="shared" ref="F3578:G3578" si="10859">F3577</f>
        <v>marine water</v>
      </c>
      <c r="G3578" s="401" t="str">
        <f t="shared" si="10859"/>
        <v>DE: PES particle 0,1-1 mm (emission to marine water)</v>
      </c>
      <c r="H3578" s="465">
        <v>0</v>
      </c>
      <c r="I3578" s="394" t="s">
        <v>1163</v>
      </c>
      <c r="J3578" s="635"/>
      <c r="K3578" s="389">
        <v>13.04</v>
      </c>
      <c r="L3578" s="536"/>
      <c r="M3578" s="509">
        <f t="shared" si="10695"/>
        <v>9.5858895705521476</v>
      </c>
      <c r="N3578" s="646"/>
      <c r="O3578" s="626"/>
      <c r="P3578" s="629"/>
      <c r="Q3578" s="629"/>
    </row>
    <row r="3579" spans="1:17" ht="15.75" hidden="1" thickBot="1">
      <c r="A3579" s="390" t="str">
        <f t="shared" ref="A3579:B3579" si="10860">A3576</f>
        <v>PES</v>
      </c>
      <c r="B3579" s="391" t="str">
        <f t="shared" si="10860"/>
        <v>particle</v>
      </c>
      <c r="C3579" s="391">
        <f t="shared" ref="C3579" si="10861">C3578</f>
        <v>6</v>
      </c>
      <c r="D3579" s="391" t="str">
        <f t="shared" ref="D3579:E3579" si="10862">D3576</f>
        <v>0,1-1</v>
      </c>
      <c r="E3579" s="391">
        <f t="shared" si="10862"/>
        <v>1</v>
      </c>
      <c r="F3579" s="391" t="str">
        <f t="shared" ref="F3579:G3579" si="10863">F3578</f>
        <v>marine water</v>
      </c>
      <c r="G3579" s="401" t="str">
        <f t="shared" si="10863"/>
        <v>DE: PES particle 0,1-1 mm (emission to marine water)</v>
      </c>
      <c r="H3579" s="465">
        <v>0</v>
      </c>
      <c r="I3579" s="397" t="s">
        <v>1034</v>
      </c>
      <c r="J3579" s="654"/>
      <c r="K3579" s="398" t="s">
        <v>596</v>
      </c>
      <c r="L3579" s="538"/>
      <c r="M3579" s="509">
        <f t="shared" si="10695"/>
        <v>0</v>
      </c>
      <c r="N3579" s="647"/>
      <c r="O3579" s="627"/>
      <c r="P3579" s="629"/>
      <c r="Q3579" s="629"/>
    </row>
    <row r="3580" spans="1:17" ht="15.75" hidden="1" thickBot="1">
      <c r="A3580" s="390" t="str">
        <f t="shared" ref="A3580:B3580" si="10864">A3577</f>
        <v>PES</v>
      </c>
      <c r="B3580" s="391" t="str">
        <f t="shared" si="10864"/>
        <v>particle</v>
      </c>
      <c r="C3580" s="391">
        <f t="shared" ref="C3580" si="10865">C3579</f>
        <v>6</v>
      </c>
      <c r="D3580" s="391" t="str">
        <f t="shared" ref="D3580:E3580" si="10866">D3577</f>
        <v>0,1-1</v>
      </c>
      <c r="E3580" s="391">
        <f t="shared" si="10866"/>
        <v>1</v>
      </c>
      <c r="F3580" s="400" t="s">
        <v>1057</v>
      </c>
      <c r="G3580" s="422" t="str">
        <f>CONCATENATE("DE: ",A3580," ",B3580," ",D3580," mm (emission to ",F3580,")")</f>
        <v>DE: PES particle 0,1-1 mm (emission to air)</v>
      </c>
      <c r="H3580" s="467">
        <v>0.94799999999999995</v>
      </c>
      <c r="I3580" s="388" t="s">
        <v>1153</v>
      </c>
      <c r="J3580" s="634">
        <v>0.22800000000000001</v>
      </c>
      <c r="K3580" s="389">
        <v>13.04</v>
      </c>
      <c r="L3580" s="536"/>
      <c r="M3580" s="509">
        <f t="shared" si="10695"/>
        <v>9.5858895705521476</v>
      </c>
      <c r="N3580" s="645">
        <f t="shared" si="10741"/>
        <v>9.5858895705521476</v>
      </c>
      <c r="O3580" s="625"/>
      <c r="P3580" s="628">
        <f t="shared" si="10820"/>
        <v>9.5858895705521476</v>
      </c>
      <c r="Q3580" s="628">
        <f t="shared" si="10693"/>
        <v>9.5858895705521476</v>
      </c>
    </row>
    <row r="3581" spans="1:17" ht="15.75" hidden="1" thickBot="1">
      <c r="A3581" s="390" t="str">
        <f t="shared" ref="A3581:B3581" si="10867">A3578</f>
        <v>PES</v>
      </c>
      <c r="B3581" s="391" t="str">
        <f t="shared" si="10867"/>
        <v>particle</v>
      </c>
      <c r="C3581" s="391">
        <f t="shared" ref="C3581" si="10868">C3580</f>
        <v>6</v>
      </c>
      <c r="D3581" s="391" t="str">
        <f t="shared" ref="D3581:E3581" si="10869">D3578</f>
        <v>0,1-1</v>
      </c>
      <c r="E3581" s="391">
        <f t="shared" si="10869"/>
        <v>1</v>
      </c>
      <c r="F3581" s="391" t="str">
        <f t="shared" ref="F3581:G3581" si="10870">F3580</f>
        <v>air</v>
      </c>
      <c r="G3581" s="401" t="str">
        <f t="shared" si="10870"/>
        <v>DE: PES particle 0,1-1 mm (emission to air)</v>
      </c>
      <c r="H3581" s="465">
        <v>5.1999999999999998E-2</v>
      </c>
      <c r="I3581" s="394" t="s">
        <v>1097</v>
      </c>
      <c r="J3581" s="635"/>
      <c r="K3581" s="389">
        <v>13.04</v>
      </c>
      <c r="L3581" s="536"/>
      <c r="M3581" s="509">
        <f t="shared" si="10695"/>
        <v>9.5858895705521476</v>
      </c>
      <c r="N3581" s="646"/>
      <c r="O3581" s="626"/>
      <c r="P3581" s="629"/>
      <c r="Q3581" s="629"/>
    </row>
    <row r="3582" spans="1:17" ht="15.75" hidden="1" thickBot="1">
      <c r="A3582" s="390" t="str">
        <f t="shared" ref="A3582:B3582" si="10871">A3579</f>
        <v>PES</v>
      </c>
      <c r="B3582" s="391" t="str">
        <f t="shared" si="10871"/>
        <v>particle</v>
      </c>
      <c r="C3582" s="391">
        <f t="shared" ref="C3582" si="10872">C3581</f>
        <v>6</v>
      </c>
      <c r="D3582" s="391" t="str">
        <f t="shared" ref="D3582:E3582" si="10873">D3579</f>
        <v>0,1-1</v>
      </c>
      <c r="E3582" s="391">
        <f t="shared" si="10873"/>
        <v>1</v>
      </c>
      <c r="F3582" s="391" t="str">
        <f t="shared" ref="F3582:G3582" si="10874">F3581</f>
        <v>air</v>
      </c>
      <c r="G3582" s="401" t="str">
        <f t="shared" si="10874"/>
        <v>DE: PES particle 0,1-1 mm (emission to air)</v>
      </c>
      <c r="H3582" s="465">
        <v>0</v>
      </c>
      <c r="I3582" s="394" t="s">
        <v>1162</v>
      </c>
      <c r="J3582" s="635"/>
      <c r="K3582" s="389">
        <v>13.04</v>
      </c>
      <c r="L3582" s="536"/>
      <c r="M3582" s="509">
        <f t="shared" si="10695"/>
        <v>9.5858895705521476</v>
      </c>
      <c r="N3582" s="646"/>
      <c r="O3582" s="626"/>
      <c r="P3582" s="629"/>
      <c r="Q3582" s="629"/>
    </row>
    <row r="3583" spans="1:17" ht="15.75" hidden="1" thickBot="1">
      <c r="A3583" s="390" t="str">
        <f t="shared" ref="A3583:B3583" si="10875">A3580</f>
        <v>PES</v>
      </c>
      <c r="B3583" s="391" t="str">
        <f t="shared" si="10875"/>
        <v>particle</v>
      </c>
      <c r="C3583" s="391">
        <f t="shared" ref="C3583" si="10876">C3582</f>
        <v>6</v>
      </c>
      <c r="D3583" s="391" t="str">
        <f t="shared" ref="D3583:E3583" si="10877">D3580</f>
        <v>0,1-1</v>
      </c>
      <c r="E3583" s="391">
        <f t="shared" si="10877"/>
        <v>1</v>
      </c>
      <c r="F3583" s="391" t="str">
        <f t="shared" ref="F3583:G3583" si="10878">F3582</f>
        <v>air</v>
      </c>
      <c r="G3583" s="401" t="str">
        <f t="shared" si="10878"/>
        <v>DE: PES particle 0,1-1 mm (emission to air)</v>
      </c>
      <c r="H3583" s="465">
        <v>0</v>
      </c>
      <c r="I3583" s="394" t="s">
        <v>1163</v>
      </c>
      <c r="J3583" s="635"/>
      <c r="K3583" s="389">
        <v>13.04</v>
      </c>
      <c r="L3583" s="536"/>
      <c r="M3583" s="509">
        <f t="shared" si="10695"/>
        <v>9.5858895705521476</v>
      </c>
      <c r="N3583" s="646"/>
      <c r="O3583" s="626"/>
      <c r="P3583" s="629"/>
      <c r="Q3583" s="629"/>
    </row>
    <row r="3584" spans="1:17" ht="15.75" hidden="1" thickBot="1">
      <c r="A3584" s="452" t="str">
        <f t="shared" ref="A3584:B3584" si="10879">A3579</f>
        <v>PES</v>
      </c>
      <c r="B3584" s="453" t="str">
        <f t="shared" si="10879"/>
        <v>particle</v>
      </c>
      <c r="C3584" s="453">
        <f t="shared" ref="C3584" si="10880">C3583</f>
        <v>6</v>
      </c>
      <c r="D3584" s="453" t="str">
        <f t="shared" ref="D3584:E3584" si="10881">D3579</f>
        <v>0,1-1</v>
      </c>
      <c r="E3584" s="453">
        <f t="shared" si="10881"/>
        <v>1</v>
      </c>
      <c r="F3584" s="453" t="str">
        <f t="shared" ref="F3584:G3584" si="10882">F3583</f>
        <v>air</v>
      </c>
      <c r="G3584" s="454" t="str">
        <f t="shared" si="10882"/>
        <v>DE: PES particle 0,1-1 mm (emission to air)</v>
      </c>
      <c r="H3584" s="473">
        <v>0</v>
      </c>
      <c r="I3584" s="456" t="s">
        <v>1034</v>
      </c>
      <c r="J3584" s="636"/>
      <c r="K3584" s="457" t="s">
        <v>596</v>
      </c>
      <c r="L3584" s="543"/>
      <c r="M3584" s="509">
        <f t="shared" si="10695"/>
        <v>0</v>
      </c>
      <c r="N3584" s="647"/>
      <c r="O3584" s="627"/>
      <c r="P3584" s="629"/>
      <c r="Q3584" s="629"/>
    </row>
    <row r="3585" spans="1:17" ht="15.75" hidden="1" thickBot="1">
      <c r="A3585" s="405" t="s">
        <v>771</v>
      </c>
      <c r="B3585" s="406" t="s">
        <v>1152</v>
      </c>
      <c r="C3585" s="407">
        <v>6</v>
      </c>
      <c r="D3585" s="423" t="s">
        <v>1026</v>
      </c>
      <c r="E3585" s="408">
        <v>10</v>
      </c>
      <c r="F3585" s="424" t="s">
        <v>1019</v>
      </c>
      <c r="G3585" s="425" t="str">
        <f>CONCATENATE("DE: ",A3585," ",B3585," ",D3585," mm (emission to ",F3585,")")</f>
        <v>DE: PES particle 1-10 mm (emission to soil)</v>
      </c>
      <c r="H3585" s="474">
        <v>0.97</v>
      </c>
      <c r="I3585" s="427" t="s">
        <v>1153</v>
      </c>
      <c r="J3585" s="632">
        <v>0.22800000000000001</v>
      </c>
      <c r="K3585" s="428">
        <v>13.04</v>
      </c>
      <c r="L3585" s="539"/>
      <c r="M3585" s="509">
        <f t="shared" si="10695"/>
        <v>95.858895705521476</v>
      </c>
      <c r="N3585" s="645">
        <f t="shared" si="10741"/>
        <v>95.858895705521462</v>
      </c>
      <c r="O3585" s="625"/>
      <c r="P3585" s="628">
        <f t="shared" si="10820"/>
        <v>95.858895705521462</v>
      </c>
      <c r="Q3585" s="628">
        <f t="shared" si="10693"/>
        <v>95.858895705521462</v>
      </c>
    </row>
    <row r="3586" spans="1:17" ht="15.75" hidden="1" thickBot="1">
      <c r="A3586" s="390" t="str">
        <f>A3585</f>
        <v>PES</v>
      </c>
      <c r="B3586" s="391" t="str">
        <f>B3585</f>
        <v>particle</v>
      </c>
      <c r="C3586" s="391">
        <f t="shared" ref="C3586:G3586" si="10883">C3585</f>
        <v>6</v>
      </c>
      <c r="D3586" s="391" t="str">
        <f t="shared" si="10883"/>
        <v>1-10</v>
      </c>
      <c r="E3586" s="391">
        <f t="shared" si="10883"/>
        <v>10</v>
      </c>
      <c r="F3586" s="391" t="str">
        <f t="shared" si="10883"/>
        <v>soil</v>
      </c>
      <c r="G3586" s="392" t="str">
        <f t="shared" si="10883"/>
        <v>DE: PES particle 1-10 mm (emission to soil)</v>
      </c>
      <c r="H3586" s="465">
        <v>0.03</v>
      </c>
      <c r="I3586" s="394" t="s">
        <v>1097</v>
      </c>
      <c r="J3586" s="632"/>
      <c r="K3586" s="395">
        <v>13.04</v>
      </c>
      <c r="L3586" s="537"/>
      <c r="M3586" s="509">
        <f t="shared" si="10695"/>
        <v>95.858895705521476</v>
      </c>
      <c r="N3586" s="646"/>
      <c r="O3586" s="626"/>
      <c r="P3586" s="629"/>
      <c r="Q3586" s="629"/>
    </row>
    <row r="3587" spans="1:17" ht="15.75" hidden="1" thickBot="1">
      <c r="A3587" s="390" t="str">
        <f t="shared" ref="A3587:G3587" si="10884">A3586</f>
        <v>PES</v>
      </c>
      <c r="B3587" s="391" t="str">
        <f t="shared" si="10884"/>
        <v>particle</v>
      </c>
      <c r="C3587" s="391">
        <f t="shared" si="10884"/>
        <v>6</v>
      </c>
      <c r="D3587" s="391" t="str">
        <f t="shared" si="10884"/>
        <v>1-10</v>
      </c>
      <c r="E3587" s="391">
        <f t="shared" si="10884"/>
        <v>10</v>
      </c>
      <c r="F3587" s="391" t="str">
        <f t="shared" si="10884"/>
        <v>soil</v>
      </c>
      <c r="G3587" s="392" t="str">
        <f t="shared" si="10884"/>
        <v>DE: PES particle 1-10 mm (emission to soil)</v>
      </c>
      <c r="H3587" s="465">
        <v>0</v>
      </c>
      <c r="I3587" s="394" t="s">
        <v>1162</v>
      </c>
      <c r="J3587" s="632"/>
      <c r="K3587" s="395">
        <v>13.04</v>
      </c>
      <c r="L3587" s="537"/>
      <c r="M3587" s="509">
        <f t="shared" si="10695"/>
        <v>95.858895705521476</v>
      </c>
      <c r="N3587" s="646"/>
      <c r="O3587" s="626"/>
      <c r="P3587" s="629"/>
      <c r="Q3587" s="629"/>
    </row>
    <row r="3588" spans="1:17" ht="15.75" hidden="1" thickBot="1">
      <c r="A3588" s="390" t="str">
        <f t="shared" ref="A3588:G3588" si="10885">A3587</f>
        <v>PES</v>
      </c>
      <c r="B3588" s="391" t="str">
        <f t="shared" si="10885"/>
        <v>particle</v>
      </c>
      <c r="C3588" s="391">
        <f t="shared" si="10885"/>
        <v>6</v>
      </c>
      <c r="D3588" s="391" t="str">
        <f t="shared" si="10885"/>
        <v>1-10</v>
      </c>
      <c r="E3588" s="391">
        <f t="shared" si="10885"/>
        <v>10</v>
      </c>
      <c r="F3588" s="391" t="str">
        <f t="shared" si="10885"/>
        <v>soil</v>
      </c>
      <c r="G3588" s="392" t="str">
        <f t="shared" si="10885"/>
        <v>DE: PES particle 1-10 mm (emission to soil)</v>
      </c>
      <c r="H3588" s="465">
        <v>0</v>
      </c>
      <c r="I3588" s="394" t="s">
        <v>1163</v>
      </c>
      <c r="J3588" s="632"/>
      <c r="K3588" s="395">
        <v>13.04</v>
      </c>
      <c r="L3588" s="537"/>
      <c r="M3588" s="509">
        <f t="shared" si="10695"/>
        <v>95.858895705521476</v>
      </c>
      <c r="N3588" s="646"/>
      <c r="O3588" s="626"/>
      <c r="P3588" s="629"/>
      <c r="Q3588" s="629"/>
    </row>
    <row r="3589" spans="1:17" ht="15.75" hidden="1" thickBot="1">
      <c r="A3589" s="390" t="str">
        <f>A3586</f>
        <v>PES</v>
      </c>
      <c r="B3589" s="391" t="str">
        <f>B3586</f>
        <v>particle</v>
      </c>
      <c r="C3589" s="391">
        <f t="shared" ref="C3589" si="10886">C3588</f>
        <v>6</v>
      </c>
      <c r="D3589" s="391" t="str">
        <f>D3586</f>
        <v>1-10</v>
      </c>
      <c r="E3589" s="391">
        <f>E3586</f>
        <v>10</v>
      </c>
      <c r="F3589" s="391" t="str">
        <f>F3586</f>
        <v>soil</v>
      </c>
      <c r="G3589" s="396" t="str">
        <f t="shared" ref="G3589" si="10887">G3588</f>
        <v>DE: PES particle 1-10 mm (emission to soil)</v>
      </c>
      <c r="H3589" s="465">
        <v>0</v>
      </c>
      <c r="I3589" s="397" t="s">
        <v>1034</v>
      </c>
      <c r="J3589" s="633"/>
      <c r="K3589" s="398" t="s">
        <v>596</v>
      </c>
      <c r="L3589" s="538"/>
      <c r="M3589" s="509">
        <f t="shared" si="10695"/>
        <v>0</v>
      </c>
      <c r="N3589" s="647"/>
      <c r="O3589" s="627"/>
      <c r="P3589" s="629"/>
      <c r="Q3589" s="629"/>
    </row>
    <row r="3590" spans="1:17" ht="15.75" hidden="1" thickBot="1">
      <c r="A3590" s="390" t="str">
        <f t="shared" ref="A3590:B3590" si="10888">A3587</f>
        <v>PES</v>
      </c>
      <c r="B3590" s="391" t="str">
        <f t="shared" si="10888"/>
        <v>particle</v>
      </c>
      <c r="C3590" s="391">
        <f t="shared" ref="C3590" si="10889">C3589</f>
        <v>6</v>
      </c>
      <c r="D3590" s="399" t="str">
        <f t="shared" ref="D3590:E3590" si="10890">D3587</f>
        <v>1-10</v>
      </c>
      <c r="E3590" s="391">
        <f t="shared" si="10890"/>
        <v>10</v>
      </c>
      <c r="F3590" s="400" t="s">
        <v>1147</v>
      </c>
      <c r="G3590" s="386" t="str">
        <f>CONCATENATE("DE: ",A3590," ",B3590," ",D3590," mm (emission to ",F3590,")")</f>
        <v>DE: PES particle 1-10 mm (emission to fresh water)</v>
      </c>
      <c r="H3590" s="466">
        <v>0</v>
      </c>
      <c r="I3590" s="388" t="s">
        <v>1153</v>
      </c>
      <c r="J3590" s="634">
        <v>0.22800000000000001</v>
      </c>
      <c r="K3590" s="389">
        <v>13.04</v>
      </c>
      <c r="L3590" s="536"/>
      <c r="M3590" s="509">
        <f t="shared" ref="M3590:M3653" si="10891">IFERROR(IF(K3590="--",0,IF(E3590*1000/K3590*(1-0.5)^(C3590/2)&gt;1000,1000,E3590*1000/K3590*(1-0.5)^(C3590/2))),1000)</f>
        <v>95.858895705521476</v>
      </c>
      <c r="N3590" s="645">
        <f t="shared" si="10741"/>
        <v>95.858895705521476</v>
      </c>
      <c r="O3590" s="625"/>
      <c r="P3590" s="628">
        <f t="shared" si="10820"/>
        <v>95.858895705521476</v>
      </c>
      <c r="Q3590" s="628">
        <f t="shared" ref="Q3590:Q3650" si="10892">IFERROR(IF(H3590*M3590+H3591*M3591+H3592*M3592+H3593*M3593+H3594*M3594&gt;500,500,H3590*M3590+H3591*M3591+H3592*M3592+H3593*M3593+H3594*M3594),"N.A.")</f>
        <v>95.858895705521476</v>
      </c>
    </row>
    <row r="3591" spans="1:17" ht="15.75" hidden="1" thickBot="1">
      <c r="A3591" s="390" t="str">
        <f t="shared" ref="A3591:B3591" si="10893">A3588</f>
        <v>PES</v>
      </c>
      <c r="B3591" s="391" t="str">
        <f t="shared" si="10893"/>
        <v>particle</v>
      </c>
      <c r="C3591" s="391">
        <f t="shared" ref="C3591" si="10894">C3590</f>
        <v>6</v>
      </c>
      <c r="D3591" s="391" t="str">
        <f t="shared" ref="D3591:E3591" si="10895">D3588</f>
        <v>1-10</v>
      </c>
      <c r="E3591" s="391">
        <f t="shared" si="10895"/>
        <v>10</v>
      </c>
      <c r="F3591" s="391" t="str">
        <f t="shared" ref="F3591:G3591" si="10896">F3590</f>
        <v>fresh water</v>
      </c>
      <c r="G3591" s="401" t="str">
        <f t="shared" si="10896"/>
        <v>DE: PES particle 1-10 mm (emission to fresh water)</v>
      </c>
      <c r="H3591" s="465">
        <v>1</v>
      </c>
      <c r="I3591" s="394" t="s">
        <v>1097</v>
      </c>
      <c r="J3591" s="635"/>
      <c r="K3591" s="389">
        <v>13.04</v>
      </c>
      <c r="L3591" s="536"/>
      <c r="M3591" s="509">
        <f t="shared" si="10891"/>
        <v>95.858895705521476</v>
      </c>
      <c r="N3591" s="646"/>
      <c r="O3591" s="626"/>
      <c r="P3591" s="629"/>
      <c r="Q3591" s="629"/>
    </row>
    <row r="3592" spans="1:17" ht="15.75" hidden="1" thickBot="1">
      <c r="A3592" s="390" t="str">
        <f t="shared" ref="A3592:B3592" si="10897">A3589</f>
        <v>PES</v>
      </c>
      <c r="B3592" s="391" t="str">
        <f t="shared" si="10897"/>
        <v>particle</v>
      </c>
      <c r="C3592" s="391">
        <f t="shared" ref="C3592" si="10898">C3591</f>
        <v>6</v>
      </c>
      <c r="D3592" s="391" t="str">
        <f t="shared" ref="D3592:E3592" si="10899">D3589</f>
        <v>1-10</v>
      </c>
      <c r="E3592" s="391">
        <f t="shared" si="10899"/>
        <v>10</v>
      </c>
      <c r="F3592" s="391" t="str">
        <f t="shared" ref="F3592:G3592" si="10900">F3591</f>
        <v>fresh water</v>
      </c>
      <c r="G3592" s="401" t="str">
        <f t="shared" si="10900"/>
        <v>DE: PES particle 1-10 mm (emission to fresh water)</v>
      </c>
      <c r="H3592" s="465">
        <v>0</v>
      </c>
      <c r="I3592" s="394" t="s">
        <v>1162</v>
      </c>
      <c r="J3592" s="635"/>
      <c r="K3592" s="389">
        <v>13.04</v>
      </c>
      <c r="L3592" s="536"/>
      <c r="M3592" s="509">
        <f t="shared" si="10891"/>
        <v>95.858895705521476</v>
      </c>
      <c r="N3592" s="646"/>
      <c r="O3592" s="626"/>
      <c r="P3592" s="629"/>
      <c r="Q3592" s="629"/>
    </row>
    <row r="3593" spans="1:17" ht="15.75" hidden="1" thickBot="1">
      <c r="A3593" s="390" t="str">
        <f t="shared" ref="A3593:B3593" si="10901">A3590</f>
        <v>PES</v>
      </c>
      <c r="B3593" s="391" t="str">
        <f t="shared" si="10901"/>
        <v>particle</v>
      </c>
      <c r="C3593" s="391">
        <f t="shared" ref="C3593" si="10902">C3592</f>
        <v>6</v>
      </c>
      <c r="D3593" s="391" t="str">
        <f t="shared" ref="D3593:E3593" si="10903">D3590</f>
        <v>1-10</v>
      </c>
      <c r="E3593" s="391">
        <f t="shared" si="10903"/>
        <v>10</v>
      </c>
      <c r="F3593" s="391" t="str">
        <f t="shared" ref="F3593:G3593" si="10904">F3592</f>
        <v>fresh water</v>
      </c>
      <c r="G3593" s="401" t="str">
        <f t="shared" si="10904"/>
        <v>DE: PES particle 1-10 mm (emission to fresh water)</v>
      </c>
      <c r="H3593" s="465">
        <v>0</v>
      </c>
      <c r="I3593" s="394" t="s">
        <v>1163</v>
      </c>
      <c r="J3593" s="635"/>
      <c r="K3593" s="389">
        <v>13.04</v>
      </c>
      <c r="L3593" s="536"/>
      <c r="M3593" s="509">
        <f t="shared" si="10891"/>
        <v>95.858895705521476</v>
      </c>
      <c r="N3593" s="646"/>
      <c r="O3593" s="626"/>
      <c r="P3593" s="629"/>
      <c r="Q3593" s="629"/>
    </row>
    <row r="3594" spans="1:17" ht="15.75" hidden="1" thickBot="1">
      <c r="A3594" s="390" t="str">
        <f t="shared" ref="A3594:B3594" si="10905">A3591</f>
        <v>PES</v>
      </c>
      <c r="B3594" s="391" t="str">
        <f t="shared" si="10905"/>
        <v>particle</v>
      </c>
      <c r="C3594" s="391">
        <f t="shared" ref="C3594" si="10906">C3593</f>
        <v>6</v>
      </c>
      <c r="D3594" s="391" t="str">
        <f t="shared" ref="D3594:E3594" si="10907">D3591</f>
        <v>1-10</v>
      </c>
      <c r="E3594" s="391">
        <f t="shared" si="10907"/>
        <v>10</v>
      </c>
      <c r="F3594" s="402" t="str">
        <f>F3591</f>
        <v>fresh water</v>
      </c>
      <c r="G3594" s="401" t="str">
        <f t="shared" ref="G3594" si="10908">G3593</f>
        <v>DE: PES particle 1-10 mm (emission to fresh water)</v>
      </c>
      <c r="H3594" s="465">
        <v>0</v>
      </c>
      <c r="I3594" s="397" t="s">
        <v>1034</v>
      </c>
      <c r="J3594" s="654"/>
      <c r="K3594" s="398" t="s">
        <v>596</v>
      </c>
      <c r="L3594" s="538"/>
      <c r="M3594" s="509">
        <f t="shared" si="10891"/>
        <v>0</v>
      </c>
      <c r="N3594" s="647"/>
      <c r="O3594" s="627"/>
      <c r="P3594" s="629"/>
      <c r="Q3594" s="629"/>
    </row>
    <row r="3595" spans="1:17" ht="15.75" hidden="1" thickBot="1">
      <c r="A3595" s="390" t="str">
        <f t="shared" ref="A3595:B3595" si="10909">A3592</f>
        <v>PES</v>
      </c>
      <c r="B3595" s="391" t="str">
        <f t="shared" si="10909"/>
        <v>particle</v>
      </c>
      <c r="C3595" s="391">
        <f t="shared" ref="C3595" si="10910">C3594</f>
        <v>6</v>
      </c>
      <c r="D3595" s="391" t="str">
        <f t="shared" ref="D3595:E3595" si="10911">D3592</f>
        <v>1-10</v>
      </c>
      <c r="E3595" s="391">
        <f t="shared" si="10911"/>
        <v>10</v>
      </c>
      <c r="F3595" s="385" t="s">
        <v>1097</v>
      </c>
      <c r="G3595" s="422" t="str">
        <f>CONCATENATE("DE: ",A3595," ",B3595," ",D3595," mm (emission to ",F3595,")")</f>
        <v>DE: PES particle 1-10 mm (emission to marine water)</v>
      </c>
      <c r="H3595" s="467">
        <v>0</v>
      </c>
      <c r="I3595" s="388" t="s">
        <v>1153</v>
      </c>
      <c r="J3595" s="634">
        <v>0.22800000000000001</v>
      </c>
      <c r="K3595" s="389">
        <v>13.04</v>
      </c>
      <c r="L3595" s="536"/>
      <c r="M3595" s="509">
        <f t="shared" si="10891"/>
        <v>95.858895705521476</v>
      </c>
      <c r="N3595" s="645">
        <f t="shared" si="10741"/>
        <v>95.858895705521476</v>
      </c>
      <c r="O3595" s="625"/>
      <c r="P3595" s="628">
        <f t="shared" si="10820"/>
        <v>95.858895705521476</v>
      </c>
      <c r="Q3595" s="628">
        <f t="shared" si="10892"/>
        <v>95.858895705521476</v>
      </c>
    </row>
    <row r="3596" spans="1:17" ht="15.75" hidden="1" thickBot="1">
      <c r="A3596" s="390" t="str">
        <f t="shared" ref="A3596:B3596" si="10912">A3593</f>
        <v>PES</v>
      </c>
      <c r="B3596" s="391" t="str">
        <f t="shared" si="10912"/>
        <v>particle</v>
      </c>
      <c r="C3596" s="391">
        <f t="shared" ref="C3596" si="10913">C3595</f>
        <v>6</v>
      </c>
      <c r="D3596" s="391" t="str">
        <f t="shared" ref="D3596:E3596" si="10914">D3593</f>
        <v>1-10</v>
      </c>
      <c r="E3596" s="391">
        <f t="shared" si="10914"/>
        <v>10</v>
      </c>
      <c r="F3596" s="391" t="str">
        <f t="shared" ref="F3596:G3596" si="10915">F3595</f>
        <v>marine water</v>
      </c>
      <c r="G3596" s="401" t="str">
        <f t="shared" si="10915"/>
        <v>DE: PES particle 1-10 mm (emission to marine water)</v>
      </c>
      <c r="H3596" s="465">
        <v>1</v>
      </c>
      <c r="I3596" s="394" t="s">
        <v>1097</v>
      </c>
      <c r="J3596" s="635"/>
      <c r="K3596" s="389">
        <v>13.04</v>
      </c>
      <c r="L3596" s="536"/>
      <c r="M3596" s="509">
        <f t="shared" si="10891"/>
        <v>95.858895705521476</v>
      </c>
      <c r="N3596" s="646"/>
      <c r="O3596" s="626"/>
      <c r="P3596" s="629"/>
      <c r="Q3596" s="629"/>
    </row>
    <row r="3597" spans="1:17" ht="15.75" hidden="1" thickBot="1">
      <c r="A3597" s="390" t="str">
        <f t="shared" ref="A3597:B3597" si="10916">A3594</f>
        <v>PES</v>
      </c>
      <c r="B3597" s="391" t="str">
        <f t="shared" si="10916"/>
        <v>particle</v>
      </c>
      <c r="C3597" s="391">
        <f t="shared" ref="C3597" si="10917">C3596</f>
        <v>6</v>
      </c>
      <c r="D3597" s="391" t="str">
        <f t="shared" ref="D3597:E3597" si="10918">D3594</f>
        <v>1-10</v>
      </c>
      <c r="E3597" s="391">
        <f t="shared" si="10918"/>
        <v>10</v>
      </c>
      <c r="F3597" s="391" t="str">
        <f t="shared" ref="F3597:G3597" si="10919">F3596</f>
        <v>marine water</v>
      </c>
      <c r="G3597" s="401" t="str">
        <f t="shared" si="10919"/>
        <v>DE: PES particle 1-10 mm (emission to marine water)</v>
      </c>
      <c r="H3597" s="465">
        <v>0</v>
      </c>
      <c r="I3597" s="394" t="s">
        <v>1162</v>
      </c>
      <c r="J3597" s="635"/>
      <c r="K3597" s="389">
        <v>13.04</v>
      </c>
      <c r="L3597" s="536"/>
      <c r="M3597" s="509">
        <f t="shared" si="10891"/>
        <v>95.858895705521476</v>
      </c>
      <c r="N3597" s="646"/>
      <c r="O3597" s="626"/>
      <c r="P3597" s="629"/>
      <c r="Q3597" s="629"/>
    </row>
    <row r="3598" spans="1:17" ht="15.75" hidden="1" thickBot="1">
      <c r="A3598" s="390" t="str">
        <f t="shared" ref="A3598:B3598" si="10920">A3595</f>
        <v>PES</v>
      </c>
      <c r="B3598" s="391" t="str">
        <f t="shared" si="10920"/>
        <v>particle</v>
      </c>
      <c r="C3598" s="391">
        <f t="shared" ref="C3598" si="10921">C3597</f>
        <v>6</v>
      </c>
      <c r="D3598" s="391" t="str">
        <f t="shared" ref="D3598:E3598" si="10922">D3595</f>
        <v>1-10</v>
      </c>
      <c r="E3598" s="391">
        <f t="shared" si="10922"/>
        <v>10</v>
      </c>
      <c r="F3598" s="391" t="str">
        <f t="shared" ref="F3598:G3598" si="10923">F3597</f>
        <v>marine water</v>
      </c>
      <c r="G3598" s="401" t="str">
        <f t="shared" si="10923"/>
        <v>DE: PES particle 1-10 mm (emission to marine water)</v>
      </c>
      <c r="H3598" s="465">
        <v>0</v>
      </c>
      <c r="I3598" s="394" t="s">
        <v>1163</v>
      </c>
      <c r="J3598" s="635"/>
      <c r="K3598" s="389">
        <v>13.04</v>
      </c>
      <c r="L3598" s="536"/>
      <c r="M3598" s="509">
        <f t="shared" si="10891"/>
        <v>95.858895705521476</v>
      </c>
      <c r="N3598" s="646"/>
      <c r="O3598" s="626"/>
      <c r="P3598" s="629"/>
      <c r="Q3598" s="629"/>
    </row>
    <row r="3599" spans="1:17" ht="15.75" hidden="1" thickBot="1">
      <c r="A3599" s="390" t="str">
        <f t="shared" ref="A3599:B3599" si="10924">A3596</f>
        <v>PES</v>
      </c>
      <c r="B3599" s="391" t="str">
        <f t="shared" si="10924"/>
        <v>particle</v>
      </c>
      <c r="C3599" s="391">
        <f t="shared" ref="C3599" si="10925">C3598</f>
        <v>6</v>
      </c>
      <c r="D3599" s="391" t="str">
        <f t="shared" ref="D3599:E3599" si="10926">D3596</f>
        <v>1-10</v>
      </c>
      <c r="E3599" s="391">
        <f t="shared" si="10926"/>
        <v>10</v>
      </c>
      <c r="F3599" s="391" t="str">
        <f t="shared" ref="F3599:G3599" si="10927">F3598</f>
        <v>marine water</v>
      </c>
      <c r="G3599" s="401" t="str">
        <f t="shared" si="10927"/>
        <v>DE: PES particle 1-10 mm (emission to marine water)</v>
      </c>
      <c r="H3599" s="465">
        <v>0</v>
      </c>
      <c r="I3599" s="397" t="s">
        <v>1034</v>
      </c>
      <c r="J3599" s="654"/>
      <c r="K3599" s="398" t="s">
        <v>596</v>
      </c>
      <c r="L3599" s="538"/>
      <c r="M3599" s="509">
        <f t="shared" si="10891"/>
        <v>0</v>
      </c>
      <c r="N3599" s="647"/>
      <c r="O3599" s="627"/>
      <c r="P3599" s="629"/>
      <c r="Q3599" s="629"/>
    </row>
    <row r="3600" spans="1:17" ht="15.75" hidden="1" thickBot="1">
      <c r="A3600" s="390" t="str">
        <f t="shared" ref="A3600:B3600" si="10928">A3597</f>
        <v>PES</v>
      </c>
      <c r="B3600" s="391" t="str">
        <f t="shared" si="10928"/>
        <v>particle</v>
      </c>
      <c r="C3600" s="391">
        <f t="shared" ref="C3600" si="10929">C3599</f>
        <v>6</v>
      </c>
      <c r="D3600" s="391" t="str">
        <f t="shared" ref="D3600:E3600" si="10930">D3597</f>
        <v>1-10</v>
      </c>
      <c r="E3600" s="391">
        <f t="shared" si="10930"/>
        <v>10</v>
      </c>
      <c r="F3600" s="400" t="s">
        <v>1057</v>
      </c>
      <c r="G3600" s="422" t="str">
        <f>CONCATENATE("DE: ",A3600," ",B3600," ",D3600," mm (emission to ",F3600,")")</f>
        <v>DE: PES particle 1-10 mm (emission to air)</v>
      </c>
      <c r="H3600" s="467">
        <v>0.94799999999999995</v>
      </c>
      <c r="I3600" s="388" t="s">
        <v>1153</v>
      </c>
      <c r="J3600" s="634">
        <v>0.22800000000000001</v>
      </c>
      <c r="K3600" s="389">
        <v>13.04</v>
      </c>
      <c r="L3600" s="536"/>
      <c r="M3600" s="509">
        <f t="shared" si="10891"/>
        <v>95.858895705521476</v>
      </c>
      <c r="N3600" s="645">
        <f t="shared" si="10741"/>
        <v>95.858895705521476</v>
      </c>
      <c r="O3600" s="625"/>
      <c r="P3600" s="628">
        <f t="shared" si="10820"/>
        <v>95.858895705521476</v>
      </c>
      <c r="Q3600" s="628">
        <f t="shared" si="10892"/>
        <v>95.858895705521476</v>
      </c>
    </row>
    <row r="3601" spans="1:17" ht="15.75" hidden="1" thickBot="1">
      <c r="A3601" s="390" t="str">
        <f t="shared" ref="A3601:B3601" si="10931">A3598</f>
        <v>PES</v>
      </c>
      <c r="B3601" s="391" t="str">
        <f t="shared" si="10931"/>
        <v>particle</v>
      </c>
      <c r="C3601" s="391">
        <f t="shared" ref="C3601" si="10932">C3600</f>
        <v>6</v>
      </c>
      <c r="D3601" s="391" t="str">
        <f t="shared" ref="D3601:E3601" si="10933">D3598</f>
        <v>1-10</v>
      </c>
      <c r="E3601" s="391">
        <f t="shared" si="10933"/>
        <v>10</v>
      </c>
      <c r="F3601" s="391" t="str">
        <f t="shared" ref="F3601:G3601" si="10934">F3600</f>
        <v>air</v>
      </c>
      <c r="G3601" s="401" t="str">
        <f t="shared" si="10934"/>
        <v>DE: PES particle 1-10 mm (emission to air)</v>
      </c>
      <c r="H3601" s="465">
        <v>5.1999999999999998E-2</v>
      </c>
      <c r="I3601" s="394" t="s">
        <v>1097</v>
      </c>
      <c r="J3601" s="635"/>
      <c r="K3601" s="389">
        <v>13.04</v>
      </c>
      <c r="L3601" s="536"/>
      <c r="M3601" s="509">
        <f t="shared" si="10891"/>
        <v>95.858895705521476</v>
      </c>
      <c r="N3601" s="646"/>
      <c r="O3601" s="626"/>
      <c r="P3601" s="629"/>
      <c r="Q3601" s="629"/>
    </row>
    <row r="3602" spans="1:17" ht="15.75" hidden="1" thickBot="1">
      <c r="A3602" s="390" t="str">
        <f t="shared" ref="A3602:B3602" si="10935">A3599</f>
        <v>PES</v>
      </c>
      <c r="B3602" s="391" t="str">
        <f t="shared" si="10935"/>
        <v>particle</v>
      </c>
      <c r="C3602" s="391">
        <f t="shared" ref="C3602" si="10936">C3601</f>
        <v>6</v>
      </c>
      <c r="D3602" s="391" t="str">
        <f t="shared" ref="D3602:E3602" si="10937">D3599</f>
        <v>1-10</v>
      </c>
      <c r="E3602" s="391">
        <f t="shared" si="10937"/>
        <v>10</v>
      </c>
      <c r="F3602" s="391" t="str">
        <f t="shared" ref="F3602:G3602" si="10938">F3601</f>
        <v>air</v>
      </c>
      <c r="G3602" s="401" t="str">
        <f t="shared" si="10938"/>
        <v>DE: PES particle 1-10 mm (emission to air)</v>
      </c>
      <c r="H3602" s="465">
        <v>0</v>
      </c>
      <c r="I3602" s="394" t="s">
        <v>1162</v>
      </c>
      <c r="J3602" s="635"/>
      <c r="K3602" s="389">
        <v>13.04</v>
      </c>
      <c r="L3602" s="536"/>
      <c r="M3602" s="509">
        <f t="shared" si="10891"/>
        <v>95.858895705521476</v>
      </c>
      <c r="N3602" s="646"/>
      <c r="O3602" s="626"/>
      <c r="P3602" s="629"/>
      <c r="Q3602" s="629"/>
    </row>
    <row r="3603" spans="1:17" ht="15.75" hidden="1" thickBot="1">
      <c r="A3603" s="390" t="str">
        <f t="shared" ref="A3603:B3603" si="10939">A3600</f>
        <v>PES</v>
      </c>
      <c r="B3603" s="391" t="str">
        <f t="shared" si="10939"/>
        <v>particle</v>
      </c>
      <c r="C3603" s="391">
        <f t="shared" ref="C3603" si="10940">C3602</f>
        <v>6</v>
      </c>
      <c r="D3603" s="391" t="str">
        <f t="shared" ref="D3603:E3603" si="10941">D3600</f>
        <v>1-10</v>
      </c>
      <c r="E3603" s="391">
        <f t="shared" si="10941"/>
        <v>10</v>
      </c>
      <c r="F3603" s="391" t="str">
        <f t="shared" ref="F3603:G3603" si="10942">F3602</f>
        <v>air</v>
      </c>
      <c r="G3603" s="401" t="str">
        <f t="shared" si="10942"/>
        <v>DE: PES particle 1-10 mm (emission to air)</v>
      </c>
      <c r="H3603" s="465">
        <v>0</v>
      </c>
      <c r="I3603" s="394" t="s">
        <v>1163</v>
      </c>
      <c r="J3603" s="635"/>
      <c r="K3603" s="389">
        <v>13.04</v>
      </c>
      <c r="L3603" s="536"/>
      <c r="M3603" s="509">
        <f t="shared" si="10891"/>
        <v>95.858895705521476</v>
      </c>
      <c r="N3603" s="646"/>
      <c r="O3603" s="626"/>
      <c r="P3603" s="629"/>
      <c r="Q3603" s="629"/>
    </row>
    <row r="3604" spans="1:17" ht="15.75" hidden="1" thickBot="1">
      <c r="A3604" s="452" t="str">
        <f t="shared" ref="A3604:B3604" si="10943">A3599</f>
        <v>PES</v>
      </c>
      <c r="B3604" s="453" t="str">
        <f t="shared" si="10943"/>
        <v>particle</v>
      </c>
      <c r="C3604" s="453">
        <f t="shared" ref="C3604" si="10944">C3603</f>
        <v>6</v>
      </c>
      <c r="D3604" s="453" t="str">
        <f t="shared" ref="D3604:E3604" si="10945">D3599</f>
        <v>1-10</v>
      </c>
      <c r="E3604" s="453">
        <f t="shared" si="10945"/>
        <v>10</v>
      </c>
      <c r="F3604" s="453" t="str">
        <f t="shared" ref="F3604:G3604" si="10946">F3603</f>
        <v>air</v>
      </c>
      <c r="G3604" s="454" t="str">
        <f t="shared" si="10946"/>
        <v>DE: PES particle 1-10 mm (emission to air)</v>
      </c>
      <c r="H3604" s="473">
        <v>0</v>
      </c>
      <c r="I3604" s="456" t="s">
        <v>1034</v>
      </c>
      <c r="J3604" s="636"/>
      <c r="K3604" s="457" t="s">
        <v>596</v>
      </c>
      <c r="L3604" s="543"/>
      <c r="M3604" s="509">
        <f t="shared" si="10891"/>
        <v>0</v>
      </c>
      <c r="N3604" s="647"/>
      <c r="O3604" s="627"/>
      <c r="P3604" s="629"/>
      <c r="Q3604" s="629"/>
    </row>
    <row r="3605" spans="1:17" ht="16.5" hidden="1" thickTop="1" thickBot="1">
      <c r="A3605" s="442" t="s">
        <v>20</v>
      </c>
      <c r="B3605" s="443" t="s">
        <v>996</v>
      </c>
      <c r="C3605" s="444">
        <f>IF(OR(B3605="Folie", B3605="Strips", B3605="Film",B3605="Flakes",B3605="Coupon"), 2,IF(OR(B3605="Fibers",B3605="Pellets"),4,IF(OR(B3605="Particles",B3605="Shreds",B3605="Powder",B3605="Fragments",B3605="Granules"),6,"")))</f>
        <v>2</v>
      </c>
      <c r="D3605" s="444" t="s">
        <v>1018</v>
      </c>
      <c r="E3605" s="445">
        <v>0.1</v>
      </c>
      <c r="F3605" s="446" t="s">
        <v>1019</v>
      </c>
      <c r="G3605" s="447" t="str">
        <f>CONCATENATE("DE: ",A3605," ",B3605," ",D3605," mm (emission to ",F3605,")")</f>
        <v>DE: PHA film 0,01-0,1 mm (emission to soil)</v>
      </c>
      <c r="H3605" s="464">
        <v>0.97</v>
      </c>
      <c r="I3605" s="448" t="s">
        <v>1019</v>
      </c>
      <c r="J3605" s="632">
        <v>0.22800000000000001</v>
      </c>
      <c r="K3605" s="449">
        <v>1564.29</v>
      </c>
      <c r="L3605" s="541"/>
      <c r="M3605" s="509">
        <f t="shared" si="10891"/>
        <v>3.1963382748723061E-2</v>
      </c>
      <c r="N3605" s="645">
        <f t="shared" ref="N3605:N3665" si="10947">IFERROR(H3605*M3605+H3606*M3606+H3607*M3607+H3608*M3608+H3609*M3609,"N.A.")</f>
        <v>0.15231954975941206</v>
      </c>
      <c r="O3605" s="625"/>
      <c r="P3605" s="628">
        <f t="shared" si="10820"/>
        <v>0.15231954975941206</v>
      </c>
      <c r="Q3605" s="628">
        <f t="shared" si="10892"/>
        <v>0.15231954975941206</v>
      </c>
    </row>
    <row r="3606" spans="1:17" ht="15.75" hidden="1" thickBot="1">
      <c r="A3606" s="390" t="str">
        <f>A3605</f>
        <v>PHA</v>
      </c>
      <c r="B3606" s="391" t="str">
        <f>B3605</f>
        <v>film</v>
      </c>
      <c r="C3606" s="391">
        <f t="shared" ref="C3606:G3606" si="10948">C3605</f>
        <v>2</v>
      </c>
      <c r="D3606" s="391" t="str">
        <f t="shared" si="10948"/>
        <v>0,01-0,1</v>
      </c>
      <c r="E3606" s="391">
        <f t="shared" si="10948"/>
        <v>0.1</v>
      </c>
      <c r="F3606" s="391" t="str">
        <f t="shared" si="10948"/>
        <v>soil</v>
      </c>
      <c r="G3606" s="392" t="str">
        <f t="shared" si="10948"/>
        <v>DE: PHA film 0,01-0,1 mm (emission to soil)</v>
      </c>
      <c r="H3606" s="465">
        <v>0</v>
      </c>
      <c r="I3606" s="394" t="s">
        <v>1097</v>
      </c>
      <c r="J3606" s="632"/>
      <c r="K3606" s="395">
        <v>21.270396270396269</v>
      </c>
      <c r="L3606" s="537"/>
      <c r="M3606" s="509">
        <f t="shared" si="10891"/>
        <v>2.3506849315068497</v>
      </c>
      <c r="N3606" s="646"/>
      <c r="O3606" s="626"/>
      <c r="P3606" s="629"/>
      <c r="Q3606" s="629"/>
    </row>
    <row r="3607" spans="1:17" ht="15.75" hidden="1" thickBot="1">
      <c r="A3607" s="390" t="str">
        <f t="shared" ref="A3607:G3607" si="10949">A3606</f>
        <v>PHA</v>
      </c>
      <c r="B3607" s="391" t="str">
        <f t="shared" si="10949"/>
        <v>film</v>
      </c>
      <c r="C3607" s="391">
        <f t="shared" si="10949"/>
        <v>2</v>
      </c>
      <c r="D3607" s="391" t="str">
        <f t="shared" si="10949"/>
        <v>0,01-0,1</v>
      </c>
      <c r="E3607" s="391">
        <f t="shared" si="10949"/>
        <v>0.1</v>
      </c>
      <c r="F3607" s="391" t="str">
        <f t="shared" si="10949"/>
        <v>soil</v>
      </c>
      <c r="G3607" s="392" t="str">
        <f t="shared" si="10949"/>
        <v>DE: PHA film 0,01-0,1 mm (emission to soil)</v>
      </c>
      <c r="H3607" s="465">
        <v>2.7E-2</v>
      </c>
      <c r="I3607" s="394" t="s">
        <v>1162</v>
      </c>
      <c r="J3607" s="632"/>
      <c r="K3607" s="395">
        <v>12.364498644986449</v>
      </c>
      <c r="L3607" s="537"/>
      <c r="M3607" s="509">
        <f t="shared" si="10891"/>
        <v>4.043835616438356</v>
      </c>
      <c r="N3607" s="646"/>
      <c r="O3607" s="626"/>
      <c r="P3607" s="629"/>
      <c r="Q3607" s="629"/>
    </row>
    <row r="3608" spans="1:17" ht="15.75" hidden="1" thickBot="1">
      <c r="A3608" s="390" t="str">
        <f t="shared" ref="A3608:G3608" si="10950">A3607</f>
        <v>PHA</v>
      </c>
      <c r="B3608" s="391" t="str">
        <f t="shared" si="10950"/>
        <v>film</v>
      </c>
      <c r="C3608" s="391">
        <f t="shared" si="10950"/>
        <v>2</v>
      </c>
      <c r="D3608" s="391" t="str">
        <f t="shared" si="10950"/>
        <v>0,01-0,1</v>
      </c>
      <c r="E3608" s="391">
        <f t="shared" si="10950"/>
        <v>0.1</v>
      </c>
      <c r="F3608" s="391" t="str">
        <f t="shared" si="10950"/>
        <v>soil</v>
      </c>
      <c r="G3608" s="392" t="str">
        <f t="shared" si="10950"/>
        <v>DE: PHA film 0,01-0,1 mm (emission to soil)</v>
      </c>
      <c r="H3608" s="465">
        <v>3.0000000000000001E-3</v>
      </c>
      <c r="I3608" s="394" t="s">
        <v>1146</v>
      </c>
      <c r="J3608" s="632"/>
      <c r="K3608" s="395">
        <v>12.364498644986449</v>
      </c>
      <c r="L3608" s="537"/>
      <c r="M3608" s="509">
        <f t="shared" si="10891"/>
        <v>4.043835616438356</v>
      </c>
      <c r="N3608" s="646"/>
      <c r="O3608" s="626"/>
      <c r="P3608" s="629"/>
      <c r="Q3608" s="629"/>
    </row>
    <row r="3609" spans="1:17" ht="15.75" hidden="1" thickBot="1">
      <c r="A3609" s="390" t="str">
        <f>A3606</f>
        <v>PHA</v>
      </c>
      <c r="B3609" s="391" t="str">
        <f>B3606</f>
        <v>film</v>
      </c>
      <c r="C3609" s="391">
        <f t="shared" ref="C3609" si="10951">C3608</f>
        <v>2</v>
      </c>
      <c r="D3609" s="391" t="str">
        <f>D3606</f>
        <v>0,01-0,1</v>
      </c>
      <c r="E3609" s="391">
        <f>E3606</f>
        <v>0.1</v>
      </c>
      <c r="F3609" s="391" t="str">
        <f>F3606</f>
        <v>soil</v>
      </c>
      <c r="G3609" s="396" t="str">
        <f t="shared" ref="G3609" si="10952">G3608</f>
        <v>DE: PHA film 0,01-0,1 mm (emission to soil)</v>
      </c>
      <c r="H3609" s="465">
        <v>0</v>
      </c>
      <c r="I3609" s="397" t="s">
        <v>1034</v>
      </c>
      <c r="J3609" s="633"/>
      <c r="K3609" s="398" t="s">
        <v>596</v>
      </c>
      <c r="L3609" s="538"/>
      <c r="M3609" s="509">
        <f t="shared" si="10891"/>
        <v>0</v>
      </c>
      <c r="N3609" s="647"/>
      <c r="O3609" s="627"/>
      <c r="P3609" s="629"/>
      <c r="Q3609" s="629"/>
    </row>
    <row r="3610" spans="1:17" ht="15.75" hidden="1" thickBot="1">
      <c r="A3610" s="390" t="str">
        <f t="shared" ref="A3610:B3610" si="10953">A3607</f>
        <v>PHA</v>
      </c>
      <c r="B3610" s="391" t="str">
        <f t="shared" si="10953"/>
        <v>film</v>
      </c>
      <c r="C3610" s="391">
        <f t="shared" ref="C3610" si="10954">C3609</f>
        <v>2</v>
      </c>
      <c r="D3610" s="399" t="str">
        <f t="shared" ref="D3610:E3610" si="10955">D3607</f>
        <v>0,01-0,1</v>
      </c>
      <c r="E3610" s="391">
        <f t="shared" si="10955"/>
        <v>0.1</v>
      </c>
      <c r="F3610" s="400" t="s">
        <v>1147</v>
      </c>
      <c r="G3610" s="386" t="str">
        <f>CONCATENATE("DE: ",A3610," ",B3610," ",D3610," mm (emission to ",F3610,")")</f>
        <v>DE: PHA film 0,01-0,1 mm (emission to fresh water)</v>
      </c>
      <c r="H3610" s="466">
        <v>0</v>
      </c>
      <c r="I3610" s="388" t="s">
        <v>1019</v>
      </c>
      <c r="J3610" s="634">
        <v>0.22800000000000001</v>
      </c>
      <c r="K3610" s="389">
        <v>1564.29</v>
      </c>
      <c r="L3610" s="536"/>
      <c r="M3610" s="509">
        <f t="shared" si="10891"/>
        <v>3.1963382748723061E-2</v>
      </c>
      <c r="N3610" s="645">
        <f t="shared" si="10947"/>
        <v>4.043835616438356</v>
      </c>
      <c r="O3610" s="625"/>
      <c r="P3610" s="628">
        <f t="shared" si="10820"/>
        <v>4.043835616438356</v>
      </c>
      <c r="Q3610" s="628">
        <f t="shared" si="10892"/>
        <v>4.043835616438356</v>
      </c>
    </row>
    <row r="3611" spans="1:17" ht="15.75" hidden="1" thickBot="1">
      <c r="A3611" s="390" t="str">
        <f t="shared" ref="A3611:B3611" si="10956">A3608</f>
        <v>PHA</v>
      </c>
      <c r="B3611" s="391" t="str">
        <f t="shared" si="10956"/>
        <v>film</v>
      </c>
      <c r="C3611" s="391">
        <f t="shared" ref="C3611" si="10957">C3610</f>
        <v>2</v>
      </c>
      <c r="D3611" s="391" t="str">
        <f t="shared" ref="D3611:E3611" si="10958">D3608</f>
        <v>0,01-0,1</v>
      </c>
      <c r="E3611" s="391">
        <f t="shared" si="10958"/>
        <v>0.1</v>
      </c>
      <c r="F3611" s="391" t="str">
        <f t="shared" ref="F3611:G3611" si="10959">F3610</f>
        <v>fresh water</v>
      </c>
      <c r="G3611" s="401" t="str">
        <f t="shared" si="10959"/>
        <v>DE: PHA film 0,01-0,1 mm (emission to fresh water)</v>
      </c>
      <c r="H3611" s="465">
        <v>0</v>
      </c>
      <c r="I3611" s="394" t="s">
        <v>1097</v>
      </c>
      <c r="J3611" s="635"/>
      <c r="K3611" s="389">
        <v>21.270396270396269</v>
      </c>
      <c r="L3611" s="536"/>
      <c r="M3611" s="509">
        <f t="shared" si="10891"/>
        <v>2.3506849315068497</v>
      </c>
      <c r="N3611" s="646"/>
      <c r="O3611" s="626"/>
      <c r="P3611" s="629"/>
      <c r="Q3611" s="629"/>
    </row>
    <row r="3612" spans="1:17" ht="15.75" hidden="1" thickBot="1">
      <c r="A3612" s="390" t="str">
        <f t="shared" ref="A3612:B3612" si="10960">A3609</f>
        <v>PHA</v>
      </c>
      <c r="B3612" s="391" t="str">
        <f t="shared" si="10960"/>
        <v>film</v>
      </c>
      <c r="C3612" s="391">
        <f t="shared" ref="C3612" si="10961">C3611</f>
        <v>2</v>
      </c>
      <c r="D3612" s="391" t="str">
        <f t="shared" ref="D3612:E3612" si="10962">D3609</f>
        <v>0,01-0,1</v>
      </c>
      <c r="E3612" s="391">
        <f t="shared" si="10962"/>
        <v>0.1</v>
      </c>
      <c r="F3612" s="391" t="str">
        <f t="shared" ref="F3612:G3612" si="10963">F3611</f>
        <v>fresh water</v>
      </c>
      <c r="G3612" s="401" t="str">
        <f t="shared" si="10963"/>
        <v>DE: PHA film 0,01-0,1 mm (emission to fresh water)</v>
      </c>
      <c r="H3612" s="465">
        <v>0.89</v>
      </c>
      <c r="I3612" s="394" t="s">
        <v>1162</v>
      </c>
      <c r="J3612" s="635"/>
      <c r="K3612" s="389">
        <v>12.364498644986449</v>
      </c>
      <c r="L3612" s="536"/>
      <c r="M3612" s="509">
        <f t="shared" si="10891"/>
        <v>4.043835616438356</v>
      </c>
      <c r="N3612" s="646"/>
      <c r="O3612" s="626"/>
      <c r="P3612" s="629"/>
      <c r="Q3612" s="629"/>
    </row>
    <row r="3613" spans="1:17" ht="15.75" hidden="1" thickBot="1">
      <c r="A3613" s="390" t="str">
        <f t="shared" ref="A3613:B3613" si="10964">A3610</f>
        <v>PHA</v>
      </c>
      <c r="B3613" s="391" t="str">
        <f t="shared" si="10964"/>
        <v>film</v>
      </c>
      <c r="C3613" s="391">
        <f t="shared" ref="C3613" si="10965">C3612</f>
        <v>2</v>
      </c>
      <c r="D3613" s="391" t="str">
        <f t="shared" ref="D3613:E3613" si="10966">D3610</f>
        <v>0,01-0,1</v>
      </c>
      <c r="E3613" s="391">
        <f t="shared" si="10966"/>
        <v>0.1</v>
      </c>
      <c r="F3613" s="391" t="str">
        <f t="shared" ref="F3613:G3613" si="10967">F3612</f>
        <v>fresh water</v>
      </c>
      <c r="G3613" s="401" t="str">
        <f t="shared" si="10967"/>
        <v>DE: PHA film 0,01-0,1 mm (emission to fresh water)</v>
      </c>
      <c r="H3613" s="465">
        <v>0.11</v>
      </c>
      <c r="I3613" s="394" t="s">
        <v>1146</v>
      </c>
      <c r="J3613" s="635"/>
      <c r="K3613" s="389">
        <v>12.364498644986449</v>
      </c>
      <c r="L3613" s="536"/>
      <c r="M3613" s="509">
        <f t="shared" si="10891"/>
        <v>4.043835616438356</v>
      </c>
      <c r="N3613" s="646"/>
      <c r="O3613" s="626"/>
      <c r="P3613" s="629"/>
      <c r="Q3613" s="629"/>
    </row>
    <row r="3614" spans="1:17" ht="15.75" hidden="1" thickBot="1">
      <c r="A3614" s="390" t="str">
        <f t="shared" ref="A3614:B3614" si="10968">A3611</f>
        <v>PHA</v>
      </c>
      <c r="B3614" s="391" t="str">
        <f t="shared" si="10968"/>
        <v>film</v>
      </c>
      <c r="C3614" s="391">
        <f t="shared" ref="C3614" si="10969">C3613</f>
        <v>2</v>
      </c>
      <c r="D3614" s="391" t="str">
        <f t="shared" ref="D3614:E3614" si="10970">D3611</f>
        <v>0,01-0,1</v>
      </c>
      <c r="E3614" s="391">
        <f t="shared" si="10970"/>
        <v>0.1</v>
      </c>
      <c r="F3614" s="402" t="str">
        <f>F3611</f>
        <v>fresh water</v>
      </c>
      <c r="G3614" s="401" t="str">
        <f t="shared" ref="G3614" si="10971">G3613</f>
        <v>DE: PHA film 0,01-0,1 mm (emission to fresh water)</v>
      </c>
      <c r="H3614" s="465">
        <v>0</v>
      </c>
      <c r="I3614" s="397" t="s">
        <v>1034</v>
      </c>
      <c r="J3614" s="654"/>
      <c r="K3614" s="398" t="s">
        <v>596</v>
      </c>
      <c r="L3614" s="538"/>
      <c r="M3614" s="509">
        <f t="shared" si="10891"/>
        <v>0</v>
      </c>
      <c r="N3614" s="647"/>
      <c r="O3614" s="627"/>
      <c r="P3614" s="629"/>
      <c r="Q3614" s="629"/>
    </row>
    <row r="3615" spans="1:17" ht="15.75" hidden="1" thickBot="1">
      <c r="A3615" s="390" t="str">
        <f t="shared" ref="A3615:B3615" si="10972">A3612</f>
        <v>PHA</v>
      </c>
      <c r="B3615" s="391" t="str">
        <f t="shared" si="10972"/>
        <v>film</v>
      </c>
      <c r="C3615" s="391">
        <f t="shared" ref="C3615" si="10973">C3614</f>
        <v>2</v>
      </c>
      <c r="D3615" s="391" t="str">
        <f t="shared" ref="D3615:E3615" si="10974">D3612</f>
        <v>0,01-0,1</v>
      </c>
      <c r="E3615" s="391">
        <f t="shared" si="10974"/>
        <v>0.1</v>
      </c>
      <c r="F3615" s="385" t="s">
        <v>1097</v>
      </c>
      <c r="G3615" s="422" t="str">
        <f>CONCATENATE("DE: ",A3615," ",B3615," ",D3615," mm (emission to ",F3615,")")</f>
        <v>DE: PHA film 0,01-0,1 mm (emission to marine water)</v>
      </c>
      <c r="H3615" s="467">
        <v>0</v>
      </c>
      <c r="I3615" s="388" t="s">
        <v>1019</v>
      </c>
      <c r="J3615" s="634">
        <v>0.22800000000000001</v>
      </c>
      <c r="K3615" s="389">
        <v>1564.29</v>
      </c>
      <c r="L3615" s="536"/>
      <c r="M3615" s="509">
        <f t="shared" si="10891"/>
        <v>3.1963382748723061E-2</v>
      </c>
      <c r="N3615" s="645">
        <f t="shared" si="10947"/>
        <v>4.043835616438356</v>
      </c>
      <c r="O3615" s="625"/>
      <c r="P3615" s="628">
        <f t="shared" si="10820"/>
        <v>4.043835616438356</v>
      </c>
      <c r="Q3615" s="628">
        <f t="shared" si="10892"/>
        <v>4.043835616438356</v>
      </c>
    </row>
    <row r="3616" spans="1:17" ht="15.75" hidden="1" thickBot="1">
      <c r="A3616" s="390" t="str">
        <f t="shared" ref="A3616:B3616" si="10975">A3613</f>
        <v>PHA</v>
      </c>
      <c r="B3616" s="391" t="str">
        <f t="shared" si="10975"/>
        <v>film</v>
      </c>
      <c r="C3616" s="391">
        <f t="shared" ref="C3616" si="10976">C3615</f>
        <v>2</v>
      </c>
      <c r="D3616" s="391" t="str">
        <f t="shared" ref="D3616:E3616" si="10977">D3613</f>
        <v>0,01-0,1</v>
      </c>
      <c r="E3616" s="391">
        <f t="shared" si="10977"/>
        <v>0.1</v>
      </c>
      <c r="F3616" s="391" t="str">
        <f t="shared" ref="F3616:G3616" si="10978">F3615</f>
        <v>marine water</v>
      </c>
      <c r="G3616" s="401" t="str">
        <f t="shared" si="10978"/>
        <v>DE: PHA film 0,01-0,1 mm (emission to marine water)</v>
      </c>
      <c r="H3616" s="465">
        <v>0</v>
      </c>
      <c r="I3616" s="394" t="s">
        <v>1097</v>
      </c>
      <c r="J3616" s="635"/>
      <c r="K3616" s="389">
        <v>21.270396270396269</v>
      </c>
      <c r="L3616" s="536"/>
      <c r="M3616" s="509">
        <f t="shared" si="10891"/>
        <v>2.3506849315068497</v>
      </c>
      <c r="N3616" s="646"/>
      <c r="O3616" s="626"/>
      <c r="P3616" s="629"/>
      <c r="Q3616" s="629"/>
    </row>
    <row r="3617" spans="1:17" ht="15.75" hidden="1" thickBot="1">
      <c r="A3617" s="390" t="str">
        <f t="shared" ref="A3617:B3617" si="10979">A3614</f>
        <v>PHA</v>
      </c>
      <c r="B3617" s="391" t="str">
        <f t="shared" si="10979"/>
        <v>film</v>
      </c>
      <c r="C3617" s="391">
        <f t="shared" ref="C3617" si="10980">C3616</f>
        <v>2</v>
      </c>
      <c r="D3617" s="391" t="str">
        <f t="shared" ref="D3617:E3617" si="10981">D3614</f>
        <v>0,01-0,1</v>
      </c>
      <c r="E3617" s="391">
        <f t="shared" si="10981"/>
        <v>0.1</v>
      </c>
      <c r="F3617" s="391" t="str">
        <f t="shared" ref="F3617:G3617" si="10982">F3616</f>
        <v>marine water</v>
      </c>
      <c r="G3617" s="401" t="str">
        <f t="shared" si="10982"/>
        <v>DE: PHA film 0,01-0,1 mm (emission to marine water)</v>
      </c>
      <c r="H3617" s="465">
        <v>0</v>
      </c>
      <c r="I3617" s="394" t="s">
        <v>1162</v>
      </c>
      <c r="J3617" s="635"/>
      <c r="K3617" s="389">
        <v>12.364498644986449</v>
      </c>
      <c r="L3617" s="536"/>
      <c r="M3617" s="509">
        <f t="shared" si="10891"/>
        <v>4.043835616438356</v>
      </c>
      <c r="N3617" s="646"/>
      <c r="O3617" s="626"/>
      <c r="P3617" s="629"/>
      <c r="Q3617" s="629"/>
    </row>
    <row r="3618" spans="1:17" ht="15.75" hidden="1" thickBot="1">
      <c r="A3618" s="390" t="str">
        <f t="shared" ref="A3618:B3618" si="10983">A3615</f>
        <v>PHA</v>
      </c>
      <c r="B3618" s="391" t="str">
        <f t="shared" si="10983"/>
        <v>film</v>
      </c>
      <c r="C3618" s="391">
        <f t="shared" ref="C3618" si="10984">C3617</f>
        <v>2</v>
      </c>
      <c r="D3618" s="391" t="str">
        <f t="shared" ref="D3618:E3618" si="10985">D3615</f>
        <v>0,01-0,1</v>
      </c>
      <c r="E3618" s="391">
        <f t="shared" si="10985"/>
        <v>0.1</v>
      </c>
      <c r="F3618" s="391" t="str">
        <f t="shared" ref="F3618:G3618" si="10986">F3617</f>
        <v>marine water</v>
      </c>
      <c r="G3618" s="401" t="str">
        <f t="shared" si="10986"/>
        <v>DE: PHA film 0,01-0,1 mm (emission to marine water)</v>
      </c>
      <c r="H3618" s="465">
        <v>1</v>
      </c>
      <c r="I3618" s="394" t="s">
        <v>1146</v>
      </c>
      <c r="J3618" s="635"/>
      <c r="K3618" s="389">
        <v>12.364498644986449</v>
      </c>
      <c r="L3618" s="536"/>
      <c r="M3618" s="509">
        <f t="shared" si="10891"/>
        <v>4.043835616438356</v>
      </c>
      <c r="N3618" s="646"/>
      <c r="O3618" s="626"/>
      <c r="P3618" s="629"/>
      <c r="Q3618" s="629"/>
    </row>
    <row r="3619" spans="1:17" ht="15.75" hidden="1" thickBot="1">
      <c r="A3619" s="390" t="str">
        <f t="shared" ref="A3619:B3619" si="10987">A3616</f>
        <v>PHA</v>
      </c>
      <c r="B3619" s="391" t="str">
        <f t="shared" si="10987"/>
        <v>film</v>
      </c>
      <c r="C3619" s="391">
        <f t="shared" ref="C3619" si="10988">C3618</f>
        <v>2</v>
      </c>
      <c r="D3619" s="391" t="str">
        <f t="shared" ref="D3619:E3619" si="10989">D3616</f>
        <v>0,01-0,1</v>
      </c>
      <c r="E3619" s="391">
        <f t="shared" si="10989"/>
        <v>0.1</v>
      </c>
      <c r="F3619" s="391" t="str">
        <f t="shared" ref="F3619:G3619" si="10990">F3618</f>
        <v>marine water</v>
      </c>
      <c r="G3619" s="401" t="str">
        <f t="shared" si="10990"/>
        <v>DE: PHA film 0,01-0,1 mm (emission to marine water)</v>
      </c>
      <c r="H3619" s="465">
        <v>0</v>
      </c>
      <c r="I3619" s="397" t="s">
        <v>1034</v>
      </c>
      <c r="J3619" s="654"/>
      <c r="K3619" s="398" t="s">
        <v>596</v>
      </c>
      <c r="L3619" s="538"/>
      <c r="M3619" s="509">
        <f t="shared" si="10891"/>
        <v>0</v>
      </c>
      <c r="N3619" s="647"/>
      <c r="O3619" s="627"/>
      <c r="P3619" s="629"/>
      <c r="Q3619" s="629"/>
    </row>
    <row r="3620" spans="1:17" ht="15.75" hidden="1" thickBot="1">
      <c r="A3620" s="390" t="str">
        <f t="shared" ref="A3620:B3620" si="10991">A3617</f>
        <v>PHA</v>
      </c>
      <c r="B3620" s="391" t="str">
        <f t="shared" si="10991"/>
        <v>film</v>
      </c>
      <c r="C3620" s="391">
        <f t="shared" ref="C3620" si="10992">C3619</f>
        <v>2</v>
      </c>
      <c r="D3620" s="391" t="str">
        <f t="shared" ref="D3620:E3620" si="10993">D3617</f>
        <v>0,01-0,1</v>
      </c>
      <c r="E3620" s="391">
        <f t="shared" si="10993"/>
        <v>0.1</v>
      </c>
      <c r="F3620" s="400" t="s">
        <v>1057</v>
      </c>
      <c r="G3620" s="422" t="str">
        <f>CONCATENATE("DE: ",A3620," ",B3620," ",D3620," mm (emission to ",F3620,")")</f>
        <v>DE: PHA film 0,01-0,1 mm (emission to air)</v>
      </c>
      <c r="H3620" s="467">
        <v>0.94799999999999995</v>
      </c>
      <c r="I3620" s="388" t="s">
        <v>1019</v>
      </c>
      <c r="J3620" s="634">
        <v>0.22800000000000001</v>
      </c>
      <c r="K3620" s="389">
        <v>1564.29</v>
      </c>
      <c r="L3620" s="536"/>
      <c r="M3620" s="509">
        <f t="shared" si="10891"/>
        <v>3.1963382748723061E-2</v>
      </c>
      <c r="N3620" s="645">
        <f t="shared" si="10947"/>
        <v>0.24058073890058396</v>
      </c>
      <c r="O3620" s="625"/>
      <c r="P3620" s="628">
        <f t="shared" si="10820"/>
        <v>0.24058073890058396</v>
      </c>
      <c r="Q3620" s="628">
        <f t="shared" si="10892"/>
        <v>0.24058073890058396</v>
      </c>
    </row>
    <row r="3621" spans="1:17" ht="15.75" hidden="1" thickBot="1">
      <c r="A3621" s="390" t="str">
        <f t="shared" ref="A3621:B3621" si="10994">A3618</f>
        <v>PHA</v>
      </c>
      <c r="B3621" s="391" t="str">
        <f t="shared" si="10994"/>
        <v>film</v>
      </c>
      <c r="C3621" s="391">
        <f t="shared" ref="C3621" si="10995">C3620</f>
        <v>2</v>
      </c>
      <c r="D3621" s="391" t="str">
        <f t="shared" ref="D3621:E3621" si="10996">D3618</f>
        <v>0,01-0,1</v>
      </c>
      <c r="E3621" s="391">
        <f t="shared" si="10996"/>
        <v>0.1</v>
      </c>
      <c r="F3621" s="391" t="str">
        <f t="shared" ref="F3621:G3621" si="10997">F3620</f>
        <v>air</v>
      </c>
      <c r="G3621" s="401" t="str">
        <f t="shared" si="10997"/>
        <v>DE: PHA film 0,01-0,1 mm (emission to air)</v>
      </c>
      <c r="H3621" s="465">
        <v>0</v>
      </c>
      <c r="I3621" s="394" t="s">
        <v>1097</v>
      </c>
      <c r="J3621" s="635"/>
      <c r="K3621" s="389">
        <v>21.270396270396269</v>
      </c>
      <c r="L3621" s="536"/>
      <c r="M3621" s="509">
        <f t="shared" si="10891"/>
        <v>2.3506849315068497</v>
      </c>
      <c r="N3621" s="646"/>
      <c r="O3621" s="626"/>
      <c r="P3621" s="629"/>
      <c r="Q3621" s="629"/>
    </row>
    <row r="3622" spans="1:17" ht="15.75" hidden="1" thickBot="1">
      <c r="A3622" s="390" t="str">
        <f t="shared" ref="A3622:B3622" si="10998">A3619</f>
        <v>PHA</v>
      </c>
      <c r="B3622" s="391" t="str">
        <f t="shared" si="10998"/>
        <v>film</v>
      </c>
      <c r="C3622" s="391">
        <f t="shared" ref="C3622" si="10999">C3621</f>
        <v>2</v>
      </c>
      <c r="D3622" s="391" t="str">
        <f t="shared" ref="D3622:E3622" si="11000">D3619</f>
        <v>0,01-0,1</v>
      </c>
      <c r="E3622" s="391">
        <f t="shared" si="11000"/>
        <v>0.1</v>
      </c>
      <c r="F3622" s="391" t="str">
        <f t="shared" ref="F3622:G3622" si="11001">F3621</f>
        <v>air</v>
      </c>
      <c r="G3622" s="401" t="str">
        <f t="shared" si="11001"/>
        <v>DE: PHA film 0,01-0,1 mm (emission to air)</v>
      </c>
      <c r="H3622" s="465">
        <v>4.7E-2</v>
      </c>
      <c r="I3622" s="394" t="s">
        <v>1162</v>
      </c>
      <c r="J3622" s="635"/>
      <c r="K3622" s="389">
        <v>12.364498644986449</v>
      </c>
      <c r="L3622" s="536"/>
      <c r="M3622" s="509">
        <f t="shared" si="10891"/>
        <v>4.043835616438356</v>
      </c>
      <c r="N3622" s="646"/>
      <c r="O3622" s="626"/>
      <c r="P3622" s="629"/>
      <c r="Q3622" s="629"/>
    </row>
    <row r="3623" spans="1:17" ht="15.75" hidden="1" thickBot="1">
      <c r="A3623" s="390" t="str">
        <f t="shared" ref="A3623:B3623" si="11002">A3620</f>
        <v>PHA</v>
      </c>
      <c r="B3623" s="391" t="str">
        <f t="shared" si="11002"/>
        <v>film</v>
      </c>
      <c r="C3623" s="391">
        <f t="shared" ref="C3623" si="11003">C3622</f>
        <v>2</v>
      </c>
      <c r="D3623" s="391" t="str">
        <f t="shared" ref="D3623:E3623" si="11004">D3620</f>
        <v>0,01-0,1</v>
      </c>
      <c r="E3623" s="391">
        <f t="shared" si="11004"/>
        <v>0.1</v>
      </c>
      <c r="F3623" s="391" t="str">
        <f t="shared" ref="F3623:G3623" si="11005">F3622</f>
        <v>air</v>
      </c>
      <c r="G3623" s="401" t="str">
        <f t="shared" si="11005"/>
        <v>DE: PHA film 0,01-0,1 mm (emission to air)</v>
      </c>
      <c r="H3623" s="465">
        <v>5.0000000000000001E-3</v>
      </c>
      <c r="I3623" s="394" t="s">
        <v>1146</v>
      </c>
      <c r="J3623" s="635"/>
      <c r="K3623" s="389">
        <v>12.364498644986449</v>
      </c>
      <c r="L3623" s="536"/>
      <c r="M3623" s="509">
        <f t="shared" si="10891"/>
        <v>4.043835616438356</v>
      </c>
      <c r="N3623" s="646"/>
      <c r="O3623" s="626"/>
      <c r="P3623" s="629"/>
      <c r="Q3623" s="629"/>
    </row>
    <row r="3624" spans="1:17" ht="15.75" hidden="1" thickBot="1">
      <c r="A3624" s="390" t="str">
        <f t="shared" ref="A3624:B3624" si="11006">A3619</f>
        <v>PHA</v>
      </c>
      <c r="B3624" s="391" t="str">
        <f t="shared" si="11006"/>
        <v>film</v>
      </c>
      <c r="C3624" s="391">
        <f t="shared" ref="C3624" si="11007">C3623</f>
        <v>2</v>
      </c>
      <c r="D3624" s="391" t="str">
        <f t="shared" ref="D3624:E3624" si="11008">D3619</f>
        <v>0,01-0,1</v>
      </c>
      <c r="E3624" s="391">
        <f t="shared" si="11008"/>
        <v>0.1</v>
      </c>
      <c r="F3624" s="391" t="str">
        <f t="shared" ref="F3624:G3624" si="11009">F3623</f>
        <v>air</v>
      </c>
      <c r="G3624" s="401" t="str">
        <f t="shared" si="11009"/>
        <v>DE: PHA film 0,01-0,1 mm (emission to air)</v>
      </c>
      <c r="H3624" s="471">
        <v>0</v>
      </c>
      <c r="I3624" s="422" t="s">
        <v>1034</v>
      </c>
      <c r="J3624" s="636"/>
      <c r="K3624" s="451" t="s">
        <v>596</v>
      </c>
      <c r="L3624" s="542"/>
      <c r="M3624" s="509">
        <f t="shared" si="10891"/>
        <v>0</v>
      </c>
      <c r="N3624" s="647"/>
      <c r="O3624" s="627"/>
      <c r="P3624" s="629"/>
      <c r="Q3624" s="629"/>
    </row>
    <row r="3625" spans="1:17" ht="15.75" hidden="1" thickBot="1">
      <c r="A3625" s="405" t="s">
        <v>20</v>
      </c>
      <c r="B3625" s="406" t="s">
        <v>996</v>
      </c>
      <c r="C3625" s="407">
        <f>IF(OR(B3625="Folie", B3625="Strips", B3625="Film",B3625="Flakes",B3625="Coupon"), 2,IF(OR(B3625="Fibers",B3625="Pellets"),4,IF(OR(B3625="Particles",B3625="Shreds",B3625="Powder",B3625="Fragments",B3625="Granules"),6,"")))</f>
        <v>2</v>
      </c>
      <c r="D3625" s="423" t="s">
        <v>1028</v>
      </c>
      <c r="E3625" s="408">
        <v>1</v>
      </c>
      <c r="F3625" s="424" t="s">
        <v>1019</v>
      </c>
      <c r="G3625" s="425" t="str">
        <f>CONCATENATE("DE: ",A3625," ",B3625," ",D3625," mm (emission to ",F3625,")")</f>
        <v>DE: PHA film 0,1-1 mm (emission to soil)</v>
      </c>
      <c r="H3625" s="474">
        <v>0.97</v>
      </c>
      <c r="I3625" s="427" t="s">
        <v>1019</v>
      </c>
      <c r="J3625" s="632">
        <v>0.22800000000000001</v>
      </c>
      <c r="K3625" s="428">
        <v>1564.29</v>
      </c>
      <c r="L3625" s="539"/>
      <c r="M3625" s="509">
        <f t="shared" si="10891"/>
        <v>0.31963382748723063</v>
      </c>
      <c r="N3625" s="645">
        <f t="shared" si="10947"/>
        <v>1.5231954975941207</v>
      </c>
      <c r="O3625" s="625"/>
      <c r="P3625" s="628">
        <f t="shared" si="10820"/>
        <v>1.5231954975941207</v>
      </c>
      <c r="Q3625" s="628">
        <f t="shared" si="10892"/>
        <v>1.5231954975941207</v>
      </c>
    </row>
    <row r="3626" spans="1:17" ht="15.75" hidden="1" thickBot="1">
      <c r="A3626" s="390" t="str">
        <f>A3625</f>
        <v>PHA</v>
      </c>
      <c r="B3626" s="391" t="str">
        <f>B3625</f>
        <v>film</v>
      </c>
      <c r="C3626" s="391">
        <f t="shared" ref="C3626:G3626" si="11010">C3625</f>
        <v>2</v>
      </c>
      <c r="D3626" s="391" t="str">
        <f t="shared" si="11010"/>
        <v>0,1-1</v>
      </c>
      <c r="E3626" s="391">
        <f t="shared" si="11010"/>
        <v>1</v>
      </c>
      <c r="F3626" s="391" t="str">
        <f t="shared" si="11010"/>
        <v>soil</v>
      </c>
      <c r="G3626" s="392" t="str">
        <f t="shared" si="11010"/>
        <v>DE: PHA film 0,1-1 mm (emission to soil)</v>
      </c>
      <c r="H3626" s="465">
        <v>0</v>
      </c>
      <c r="I3626" s="394" t="s">
        <v>1097</v>
      </c>
      <c r="J3626" s="632"/>
      <c r="K3626" s="395">
        <v>21.270396270396269</v>
      </c>
      <c r="L3626" s="537"/>
      <c r="M3626" s="509">
        <f t="shared" si="10891"/>
        <v>23.506849315068497</v>
      </c>
      <c r="N3626" s="646"/>
      <c r="O3626" s="626"/>
      <c r="P3626" s="629"/>
      <c r="Q3626" s="629"/>
    </row>
    <row r="3627" spans="1:17" ht="15.75" hidden="1" thickBot="1">
      <c r="A3627" s="390" t="str">
        <f t="shared" ref="A3627:G3627" si="11011">A3626</f>
        <v>PHA</v>
      </c>
      <c r="B3627" s="391" t="str">
        <f t="shared" si="11011"/>
        <v>film</v>
      </c>
      <c r="C3627" s="391">
        <f t="shared" si="11011"/>
        <v>2</v>
      </c>
      <c r="D3627" s="391" t="str">
        <f t="shared" si="11011"/>
        <v>0,1-1</v>
      </c>
      <c r="E3627" s="391">
        <f t="shared" si="11011"/>
        <v>1</v>
      </c>
      <c r="F3627" s="391" t="str">
        <f t="shared" si="11011"/>
        <v>soil</v>
      </c>
      <c r="G3627" s="392" t="str">
        <f t="shared" si="11011"/>
        <v>DE: PHA film 0,1-1 mm (emission to soil)</v>
      </c>
      <c r="H3627" s="465">
        <v>2.7E-2</v>
      </c>
      <c r="I3627" s="394" t="s">
        <v>1162</v>
      </c>
      <c r="J3627" s="632"/>
      <c r="K3627" s="395">
        <v>12.364498644986449</v>
      </c>
      <c r="L3627" s="537"/>
      <c r="M3627" s="509">
        <f t="shared" si="10891"/>
        <v>40.438356164383563</v>
      </c>
      <c r="N3627" s="646"/>
      <c r="O3627" s="626"/>
      <c r="P3627" s="629"/>
      <c r="Q3627" s="629"/>
    </row>
    <row r="3628" spans="1:17" ht="15.75" hidden="1" thickBot="1">
      <c r="A3628" s="390" t="str">
        <f t="shared" ref="A3628:G3628" si="11012">A3627</f>
        <v>PHA</v>
      </c>
      <c r="B3628" s="391" t="str">
        <f t="shared" si="11012"/>
        <v>film</v>
      </c>
      <c r="C3628" s="391">
        <f t="shared" si="11012"/>
        <v>2</v>
      </c>
      <c r="D3628" s="391" t="str">
        <f t="shared" si="11012"/>
        <v>0,1-1</v>
      </c>
      <c r="E3628" s="391">
        <f t="shared" si="11012"/>
        <v>1</v>
      </c>
      <c r="F3628" s="391" t="str">
        <f t="shared" si="11012"/>
        <v>soil</v>
      </c>
      <c r="G3628" s="392" t="str">
        <f t="shared" si="11012"/>
        <v>DE: PHA film 0,1-1 mm (emission to soil)</v>
      </c>
      <c r="H3628" s="465">
        <v>3.0000000000000001E-3</v>
      </c>
      <c r="I3628" s="394" t="s">
        <v>1146</v>
      </c>
      <c r="J3628" s="632"/>
      <c r="K3628" s="395">
        <v>12.364498644986449</v>
      </c>
      <c r="L3628" s="537"/>
      <c r="M3628" s="509">
        <f t="shared" si="10891"/>
        <v>40.438356164383563</v>
      </c>
      <c r="N3628" s="646"/>
      <c r="O3628" s="626"/>
      <c r="P3628" s="629"/>
      <c r="Q3628" s="629"/>
    </row>
    <row r="3629" spans="1:17" ht="15.75" hidden="1" thickBot="1">
      <c r="A3629" s="390" t="str">
        <f>A3626</f>
        <v>PHA</v>
      </c>
      <c r="B3629" s="391" t="str">
        <f>B3626</f>
        <v>film</v>
      </c>
      <c r="C3629" s="391">
        <f t="shared" ref="C3629" si="11013">C3628</f>
        <v>2</v>
      </c>
      <c r="D3629" s="391" t="str">
        <f>D3626</f>
        <v>0,1-1</v>
      </c>
      <c r="E3629" s="391">
        <f>E3626</f>
        <v>1</v>
      </c>
      <c r="F3629" s="391" t="str">
        <f>F3626</f>
        <v>soil</v>
      </c>
      <c r="G3629" s="396" t="str">
        <f t="shared" ref="G3629" si="11014">G3628</f>
        <v>DE: PHA film 0,1-1 mm (emission to soil)</v>
      </c>
      <c r="H3629" s="465">
        <v>0</v>
      </c>
      <c r="I3629" s="397" t="s">
        <v>1034</v>
      </c>
      <c r="J3629" s="633"/>
      <c r="K3629" s="398" t="s">
        <v>596</v>
      </c>
      <c r="L3629" s="538"/>
      <c r="M3629" s="509">
        <f t="shared" si="10891"/>
        <v>0</v>
      </c>
      <c r="N3629" s="647"/>
      <c r="O3629" s="627"/>
      <c r="P3629" s="629"/>
      <c r="Q3629" s="629"/>
    </row>
    <row r="3630" spans="1:17" ht="15.75" hidden="1" thickBot="1">
      <c r="A3630" s="390" t="str">
        <f t="shared" ref="A3630:B3630" si="11015">A3627</f>
        <v>PHA</v>
      </c>
      <c r="B3630" s="391" t="str">
        <f t="shared" si="11015"/>
        <v>film</v>
      </c>
      <c r="C3630" s="391">
        <f t="shared" ref="C3630" si="11016">C3629</f>
        <v>2</v>
      </c>
      <c r="D3630" s="399" t="str">
        <f t="shared" ref="D3630:E3630" si="11017">D3627</f>
        <v>0,1-1</v>
      </c>
      <c r="E3630" s="391">
        <f t="shared" si="11017"/>
        <v>1</v>
      </c>
      <c r="F3630" s="400" t="s">
        <v>1147</v>
      </c>
      <c r="G3630" s="386" t="str">
        <f>CONCATENATE("DE: ",A3630," ",B3630," ",D3630," mm (emission to ",F3630,")")</f>
        <v>DE: PHA film 0,1-1 mm (emission to fresh water)</v>
      </c>
      <c r="H3630" s="466">
        <v>0</v>
      </c>
      <c r="I3630" s="388" t="s">
        <v>1019</v>
      </c>
      <c r="J3630" s="634">
        <v>0.22800000000000001</v>
      </c>
      <c r="K3630" s="389">
        <v>1564.29</v>
      </c>
      <c r="L3630" s="536"/>
      <c r="M3630" s="509">
        <f t="shared" si="10891"/>
        <v>0.31963382748723063</v>
      </c>
      <c r="N3630" s="645">
        <f t="shared" si="10947"/>
        <v>40.438356164383563</v>
      </c>
      <c r="O3630" s="625"/>
      <c r="P3630" s="628">
        <f t="shared" ref="P3630:P3690" si="11018">IFERROR(IF(H3630*M3630+H3631*M3631+H3632*M3632+H3633*M3633+H3634*M3634&gt;100,100,H3630*M3630+H3631*M3631+H3632*M3632+H3633*M3633+H3634*M3634),"N.A.")</f>
        <v>40.438356164383563</v>
      </c>
      <c r="Q3630" s="628">
        <f t="shared" si="10892"/>
        <v>40.438356164383563</v>
      </c>
    </row>
    <row r="3631" spans="1:17" ht="15.75" hidden="1" thickBot="1">
      <c r="A3631" s="390" t="str">
        <f t="shared" ref="A3631:B3631" si="11019">A3628</f>
        <v>PHA</v>
      </c>
      <c r="B3631" s="391" t="str">
        <f t="shared" si="11019"/>
        <v>film</v>
      </c>
      <c r="C3631" s="391">
        <f t="shared" ref="C3631" si="11020">C3630</f>
        <v>2</v>
      </c>
      <c r="D3631" s="391" t="str">
        <f t="shared" ref="D3631:E3631" si="11021">D3628</f>
        <v>0,1-1</v>
      </c>
      <c r="E3631" s="391">
        <f t="shared" si="11021"/>
        <v>1</v>
      </c>
      <c r="F3631" s="391" t="str">
        <f t="shared" ref="F3631:G3631" si="11022">F3630</f>
        <v>fresh water</v>
      </c>
      <c r="G3631" s="401" t="str">
        <f t="shared" si="11022"/>
        <v>DE: PHA film 0,1-1 mm (emission to fresh water)</v>
      </c>
      <c r="H3631" s="465">
        <v>0</v>
      </c>
      <c r="I3631" s="394" t="s">
        <v>1097</v>
      </c>
      <c r="J3631" s="635"/>
      <c r="K3631" s="389">
        <v>21.270396270396269</v>
      </c>
      <c r="L3631" s="536"/>
      <c r="M3631" s="509">
        <f t="shared" si="10891"/>
        <v>23.506849315068497</v>
      </c>
      <c r="N3631" s="646"/>
      <c r="O3631" s="626"/>
      <c r="P3631" s="629"/>
      <c r="Q3631" s="629"/>
    </row>
    <row r="3632" spans="1:17" ht="15.75" hidden="1" thickBot="1">
      <c r="A3632" s="390" t="str">
        <f t="shared" ref="A3632:B3632" si="11023">A3629</f>
        <v>PHA</v>
      </c>
      <c r="B3632" s="391" t="str">
        <f t="shared" si="11023"/>
        <v>film</v>
      </c>
      <c r="C3632" s="391">
        <f t="shared" ref="C3632" si="11024">C3631</f>
        <v>2</v>
      </c>
      <c r="D3632" s="391" t="str">
        <f t="shared" ref="D3632:E3632" si="11025">D3629</f>
        <v>0,1-1</v>
      </c>
      <c r="E3632" s="391">
        <f t="shared" si="11025"/>
        <v>1</v>
      </c>
      <c r="F3632" s="391" t="str">
        <f t="shared" ref="F3632:G3632" si="11026">F3631</f>
        <v>fresh water</v>
      </c>
      <c r="G3632" s="401" t="str">
        <f t="shared" si="11026"/>
        <v>DE: PHA film 0,1-1 mm (emission to fresh water)</v>
      </c>
      <c r="H3632" s="465">
        <v>0.89</v>
      </c>
      <c r="I3632" s="394" t="s">
        <v>1162</v>
      </c>
      <c r="J3632" s="635"/>
      <c r="K3632" s="389">
        <v>12.364498644986449</v>
      </c>
      <c r="L3632" s="536"/>
      <c r="M3632" s="509">
        <f t="shared" si="10891"/>
        <v>40.438356164383563</v>
      </c>
      <c r="N3632" s="646"/>
      <c r="O3632" s="626"/>
      <c r="P3632" s="629"/>
      <c r="Q3632" s="629"/>
    </row>
    <row r="3633" spans="1:17" ht="15.75" hidden="1" thickBot="1">
      <c r="A3633" s="390" t="str">
        <f t="shared" ref="A3633:B3633" si="11027">A3630</f>
        <v>PHA</v>
      </c>
      <c r="B3633" s="391" t="str">
        <f t="shared" si="11027"/>
        <v>film</v>
      </c>
      <c r="C3633" s="391">
        <f t="shared" ref="C3633" si="11028">C3632</f>
        <v>2</v>
      </c>
      <c r="D3633" s="391" t="str">
        <f t="shared" ref="D3633:E3633" si="11029">D3630</f>
        <v>0,1-1</v>
      </c>
      <c r="E3633" s="391">
        <f t="shared" si="11029"/>
        <v>1</v>
      </c>
      <c r="F3633" s="391" t="str">
        <f t="shared" ref="F3633:G3633" si="11030">F3632</f>
        <v>fresh water</v>
      </c>
      <c r="G3633" s="401" t="str">
        <f t="shared" si="11030"/>
        <v>DE: PHA film 0,1-1 mm (emission to fresh water)</v>
      </c>
      <c r="H3633" s="465">
        <v>0.11</v>
      </c>
      <c r="I3633" s="394" t="s">
        <v>1146</v>
      </c>
      <c r="J3633" s="635"/>
      <c r="K3633" s="389">
        <v>12.364498644986449</v>
      </c>
      <c r="L3633" s="536"/>
      <c r="M3633" s="509">
        <f t="shared" si="10891"/>
        <v>40.438356164383563</v>
      </c>
      <c r="N3633" s="646"/>
      <c r="O3633" s="626"/>
      <c r="P3633" s="629"/>
      <c r="Q3633" s="629"/>
    </row>
    <row r="3634" spans="1:17" ht="15.75" hidden="1" thickBot="1">
      <c r="A3634" s="390" t="str">
        <f t="shared" ref="A3634:B3634" si="11031">A3631</f>
        <v>PHA</v>
      </c>
      <c r="B3634" s="391" t="str">
        <f t="shared" si="11031"/>
        <v>film</v>
      </c>
      <c r="C3634" s="391">
        <f t="shared" ref="C3634" si="11032">C3633</f>
        <v>2</v>
      </c>
      <c r="D3634" s="391" t="str">
        <f t="shared" ref="D3634:E3634" si="11033">D3631</f>
        <v>0,1-1</v>
      </c>
      <c r="E3634" s="391">
        <f t="shared" si="11033"/>
        <v>1</v>
      </c>
      <c r="F3634" s="402" t="str">
        <f>F3631</f>
        <v>fresh water</v>
      </c>
      <c r="G3634" s="401" t="str">
        <f t="shared" ref="G3634" si="11034">G3633</f>
        <v>DE: PHA film 0,1-1 mm (emission to fresh water)</v>
      </c>
      <c r="H3634" s="465">
        <v>0</v>
      </c>
      <c r="I3634" s="397" t="s">
        <v>1034</v>
      </c>
      <c r="J3634" s="654"/>
      <c r="K3634" s="398" t="s">
        <v>596</v>
      </c>
      <c r="L3634" s="538"/>
      <c r="M3634" s="509">
        <f t="shared" si="10891"/>
        <v>0</v>
      </c>
      <c r="N3634" s="647"/>
      <c r="O3634" s="627"/>
      <c r="P3634" s="629"/>
      <c r="Q3634" s="629"/>
    </row>
    <row r="3635" spans="1:17" ht="15.75" hidden="1" thickBot="1">
      <c r="A3635" s="390" t="str">
        <f t="shared" ref="A3635:B3635" si="11035">A3632</f>
        <v>PHA</v>
      </c>
      <c r="B3635" s="391" t="str">
        <f t="shared" si="11035"/>
        <v>film</v>
      </c>
      <c r="C3635" s="391">
        <f t="shared" ref="C3635" si="11036">C3634</f>
        <v>2</v>
      </c>
      <c r="D3635" s="391" t="str">
        <f t="shared" ref="D3635:E3635" si="11037">D3632</f>
        <v>0,1-1</v>
      </c>
      <c r="E3635" s="391">
        <f t="shared" si="11037"/>
        <v>1</v>
      </c>
      <c r="F3635" s="385" t="s">
        <v>1097</v>
      </c>
      <c r="G3635" s="422" t="str">
        <f>CONCATENATE("DE: ",A3635," ",B3635," ",D3635," mm (emission to ",F3635,")")</f>
        <v>DE: PHA film 0,1-1 mm (emission to marine water)</v>
      </c>
      <c r="H3635" s="467">
        <v>0</v>
      </c>
      <c r="I3635" s="388" t="s">
        <v>1019</v>
      </c>
      <c r="J3635" s="634">
        <v>0.22800000000000001</v>
      </c>
      <c r="K3635" s="389">
        <v>1564.29</v>
      </c>
      <c r="L3635" s="536"/>
      <c r="M3635" s="509">
        <f t="shared" si="10891"/>
        <v>0.31963382748723063</v>
      </c>
      <c r="N3635" s="645">
        <f t="shared" si="10947"/>
        <v>40.438356164383563</v>
      </c>
      <c r="O3635" s="625"/>
      <c r="P3635" s="628">
        <f t="shared" si="11018"/>
        <v>40.438356164383563</v>
      </c>
      <c r="Q3635" s="628">
        <f t="shared" si="10892"/>
        <v>40.438356164383563</v>
      </c>
    </row>
    <row r="3636" spans="1:17" ht="15.75" hidden="1" thickBot="1">
      <c r="A3636" s="390" t="str">
        <f t="shared" ref="A3636:B3636" si="11038">A3633</f>
        <v>PHA</v>
      </c>
      <c r="B3636" s="391" t="str">
        <f t="shared" si="11038"/>
        <v>film</v>
      </c>
      <c r="C3636" s="391">
        <f t="shared" ref="C3636" si="11039">C3635</f>
        <v>2</v>
      </c>
      <c r="D3636" s="391" t="str">
        <f t="shared" ref="D3636:E3636" si="11040">D3633</f>
        <v>0,1-1</v>
      </c>
      <c r="E3636" s="391">
        <f t="shared" si="11040"/>
        <v>1</v>
      </c>
      <c r="F3636" s="391" t="str">
        <f t="shared" ref="F3636:G3636" si="11041">F3635</f>
        <v>marine water</v>
      </c>
      <c r="G3636" s="401" t="str">
        <f t="shared" si="11041"/>
        <v>DE: PHA film 0,1-1 mm (emission to marine water)</v>
      </c>
      <c r="H3636" s="465">
        <v>0</v>
      </c>
      <c r="I3636" s="394" t="s">
        <v>1097</v>
      </c>
      <c r="J3636" s="635"/>
      <c r="K3636" s="389">
        <v>21.270396270396269</v>
      </c>
      <c r="L3636" s="536"/>
      <c r="M3636" s="509">
        <f t="shared" si="10891"/>
        <v>23.506849315068497</v>
      </c>
      <c r="N3636" s="646"/>
      <c r="O3636" s="626"/>
      <c r="P3636" s="629"/>
      <c r="Q3636" s="629"/>
    </row>
    <row r="3637" spans="1:17" ht="15.75" hidden="1" thickBot="1">
      <c r="A3637" s="390" t="str">
        <f t="shared" ref="A3637:B3637" si="11042">A3634</f>
        <v>PHA</v>
      </c>
      <c r="B3637" s="391" t="str">
        <f t="shared" si="11042"/>
        <v>film</v>
      </c>
      <c r="C3637" s="391">
        <f t="shared" ref="C3637" si="11043">C3636</f>
        <v>2</v>
      </c>
      <c r="D3637" s="391" t="str">
        <f t="shared" ref="D3637:E3637" si="11044">D3634</f>
        <v>0,1-1</v>
      </c>
      <c r="E3637" s="391">
        <f t="shared" si="11044"/>
        <v>1</v>
      </c>
      <c r="F3637" s="391" t="str">
        <f t="shared" ref="F3637:G3637" si="11045">F3636</f>
        <v>marine water</v>
      </c>
      <c r="G3637" s="401" t="str">
        <f t="shared" si="11045"/>
        <v>DE: PHA film 0,1-1 mm (emission to marine water)</v>
      </c>
      <c r="H3637" s="465">
        <v>0</v>
      </c>
      <c r="I3637" s="394" t="s">
        <v>1162</v>
      </c>
      <c r="J3637" s="635"/>
      <c r="K3637" s="389">
        <v>12.364498644986449</v>
      </c>
      <c r="L3637" s="536"/>
      <c r="M3637" s="509">
        <f t="shared" si="10891"/>
        <v>40.438356164383563</v>
      </c>
      <c r="N3637" s="646"/>
      <c r="O3637" s="626"/>
      <c r="P3637" s="629"/>
      <c r="Q3637" s="629"/>
    </row>
    <row r="3638" spans="1:17" ht="15.75" hidden="1" thickBot="1">
      <c r="A3638" s="390" t="str">
        <f t="shared" ref="A3638:B3638" si="11046">A3635</f>
        <v>PHA</v>
      </c>
      <c r="B3638" s="391" t="str">
        <f t="shared" si="11046"/>
        <v>film</v>
      </c>
      <c r="C3638" s="391">
        <f t="shared" ref="C3638" si="11047">C3637</f>
        <v>2</v>
      </c>
      <c r="D3638" s="391" t="str">
        <f t="shared" ref="D3638:E3638" si="11048">D3635</f>
        <v>0,1-1</v>
      </c>
      <c r="E3638" s="391">
        <f t="shared" si="11048"/>
        <v>1</v>
      </c>
      <c r="F3638" s="391" t="str">
        <f t="shared" ref="F3638:G3638" si="11049">F3637</f>
        <v>marine water</v>
      </c>
      <c r="G3638" s="401" t="str">
        <f t="shared" si="11049"/>
        <v>DE: PHA film 0,1-1 mm (emission to marine water)</v>
      </c>
      <c r="H3638" s="465">
        <v>1</v>
      </c>
      <c r="I3638" s="394" t="s">
        <v>1146</v>
      </c>
      <c r="J3638" s="635"/>
      <c r="K3638" s="389">
        <v>12.364498644986449</v>
      </c>
      <c r="L3638" s="536"/>
      <c r="M3638" s="509">
        <f t="shared" si="10891"/>
        <v>40.438356164383563</v>
      </c>
      <c r="N3638" s="646"/>
      <c r="O3638" s="626"/>
      <c r="P3638" s="629"/>
      <c r="Q3638" s="629"/>
    </row>
    <row r="3639" spans="1:17" ht="15.75" hidden="1" thickBot="1">
      <c r="A3639" s="390" t="str">
        <f t="shared" ref="A3639:B3639" si="11050">A3636</f>
        <v>PHA</v>
      </c>
      <c r="B3639" s="391" t="str">
        <f t="shared" si="11050"/>
        <v>film</v>
      </c>
      <c r="C3639" s="391">
        <f t="shared" ref="C3639" si="11051">C3638</f>
        <v>2</v>
      </c>
      <c r="D3639" s="391" t="str">
        <f t="shared" ref="D3639:E3639" si="11052">D3636</f>
        <v>0,1-1</v>
      </c>
      <c r="E3639" s="391">
        <f t="shared" si="11052"/>
        <v>1</v>
      </c>
      <c r="F3639" s="391" t="str">
        <f t="shared" ref="F3639:G3639" si="11053">F3638</f>
        <v>marine water</v>
      </c>
      <c r="G3639" s="401" t="str">
        <f t="shared" si="11053"/>
        <v>DE: PHA film 0,1-1 mm (emission to marine water)</v>
      </c>
      <c r="H3639" s="465">
        <v>0</v>
      </c>
      <c r="I3639" s="397" t="s">
        <v>1034</v>
      </c>
      <c r="J3639" s="654"/>
      <c r="K3639" s="398" t="s">
        <v>596</v>
      </c>
      <c r="L3639" s="538"/>
      <c r="M3639" s="509">
        <f t="shared" si="10891"/>
        <v>0</v>
      </c>
      <c r="N3639" s="647"/>
      <c r="O3639" s="627"/>
      <c r="P3639" s="629"/>
      <c r="Q3639" s="629"/>
    </row>
    <row r="3640" spans="1:17" ht="15.75" hidden="1" thickBot="1">
      <c r="A3640" s="390" t="str">
        <f t="shared" ref="A3640:B3640" si="11054">A3637</f>
        <v>PHA</v>
      </c>
      <c r="B3640" s="391" t="str">
        <f t="shared" si="11054"/>
        <v>film</v>
      </c>
      <c r="C3640" s="391">
        <f t="shared" ref="C3640" si="11055">C3639</f>
        <v>2</v>
      </c>
      <c r="D3640" s="391" t="str">
        <f t="shared" ref="D3640:E3640" si="11056">D3637</f>
        <v>0,1-1</v>
      </c>
      <c r="E3640" s="391">
        <f t="shared" si="11056"/>
        <v>1</v>
      </c>
      <c r="F3640" s="400" t="s">
        <v>1057</v>
      </c>
      <c r="G3640" s="422" t="str">
        <f>CONCATENATE("DE: ",A3640," ",B3640," ",D3640," mm (emission to ",F3640,")")</f>
        <v>DE: PHA film 0,1-1 mm (emission to air)</v>
      </c>
      <c r="H3640" s="467">
        <v>0.94799999999999995</v>
      </c>
      <c r="I3640" s="388" t="s">
        <v>1019</v>
      </c>
      <c r="J3640" s="634">
        <v>0.22800000000000001</v>
      </c>
      <c r="K3640" s="389">
        <v>1564.29</v>
      </c>
      <c r="L3640" s="536"/>
      <c r="M3640" s="509">
        <f t="shared" si="10891"/>
        <v>0.31963382748723063</v>
      </c>
      <c r="N3640" s="645">
        <f t="shared" si="10947"/>
        <v>2.4058073890058398</v>
      </c>
      <c r="O3640" s="625"/>
      <c r="P3640" s="628">
        <f t="shared" si="11018"/>
        <v>2.4058073890058398</v>
      </c>
      <c r="Q3640" s="628">
        <f t="shared" si="10892"/>
        <v>2.4058073890058398</v>
      </c>
    </row>
    <row r="3641" spans="1:17" ht="15.75" hidden="1" thickBot="1">
      <c r="A3641" s="390" t="str">
        <f t="shared" ref="A3641:B3641" si="11057">A3638</f>
        <v>PHA</v>
      </c>
      <c r="B3641" s="391" t="str">
        <f t="shared" si="11057"/>
        <v>film</v>
      </c>
      <c r="C3641" s="391">
        <f t="shared" ref="C3641" si="11058">C3640</f>
        <v>2</v>
      </c>
      <c r="D3641" s="391" t="str">
        <f t="shared" ref="D3641:E3641" si="11059">D3638</f>
        <v>0,1-1</v>
      </c>
      <c r="E3641" s="391">
        <f t="shared" si="11059"/>
        <v>1</v>
      </c>
      <c r="F3641" s="391" t="str">
        <f t="shared" ref="F3641:G3641" si="11060">F3640</f>
        <v>air</v>
      </c>
      <c r="G3641" s="401" t="str">
        <f t="shared" si="11060"/>
        <v>DE: PHA film 0,1-1 mm (emission to air)</v>
      </c>
      <c r="H3641" s="465">
        <v>0</v>
      </c>
      <c r="I3641" s="394" t="s">
        <v>1097</v>
      </c>
      <c r="J3641" s="635"/>
      <c r="K3641" s="389">
        <v>21.270396270396269</v>
      </c>
      <c r="L3641" s="536"/>
      <c r="M3641" s="509">
        <f t="shared" si="10891"/>
        <v>23.506849315068497</v>
      </c>
      <c r="N3641" s="646"/>
      <c r="O3641" s="626"/>
      <c r="P3641" s="629"/>
      <c r="Q3641" s="629"/>
    </row>
    <row r="3642" spans="1:17" ht="15.75" hidden="1" thickBot="1">
      <c r="A3642" s="390" t="str">
        <f t="shared" ref="A3642:B3642" si="11061">A3639</f>
        <v>PHA</v>
      </c>
      <c r="B3642" s="391" t="str">
        <f t="shared" si="11061"/>
        <v>film</v>
      </c>
      <c r="C3642" s="391">
        <f t="shared" ref="C3642" si="11062">C3641</f>
        <v>2</v>
      </c>
      <c r="D3642" s="391" t="str">
        <f t="shared" ref="D3642:E3642" si="11063">D3639</f>
        <v>0,1-1</v>
      </c>
      <c r="E3642" s="391">
        <f t="shared" si="11063"/>
        <v>1</v>
      </c>
      <c r="F3642" s="391" t="str">
        <f t="shared" ref="F3642:G3642" si="11064">F3641</f>
        <v>air</v>
      </c>
      <c r="G3642" s="401" t="str">
        <f t="shared" si="11064"/>
        <v>DE: PHA film 0,1-1 mm (emission to air)</v>
      </c>
      <c r="H3642" s="465">
        <v>4.7E-2</v>
      </c>
      <c r="I3642" s="394" t="s">
        <v>1162</v>
      </c>
      <c r="J3642" s="635"/>
      <c r="K3642" s="389">
        <v>12.364498644986449</v>
      </c>
      <c r="L3642" s="536"/>
      <c r="M3642" s="509">
        <f t="shared" si="10891"/>
        <v>40.438356164383563</v>
      </c>
      <c r="N3642" s="646"/>
      <c r="O3642" s="626"/>
      <c r="P3642" s="629"/>
      <c r="Q3642" s="629"/>
    </row>
    <row r="3643" spans="1:17" ht="15.75" hidden="1" thickBot="1">
      <c r="A3643" s="390" t="str">
        <f t="shared" ref="A3643:B3643" si="11065">A3640</f>
        <v>PHA</v>
      </c>
      <c r="B3643" s="391" t="str">
        <f t="shared" si="11065"/>
        <v>film</v>
      </c>
      <c r="C3643" s="391">
        <f t="shared" ref="C3643" si="11066">C3642</f>
        <v>2</v>
      </c>
      <c r="D3643" s="391" t="str">
        <f t="shared" ref="D3643:E3643" si="11067">D3640</f>
        <v>0,1-1</v>
      </c>
      <c r="E3643" s="391">
        <f t="shared" si="11067"/>
        <v>1</v>
      </c>
      <c r="F3643" s="391" t="str">
        <f t="shared" ref="F3643:G3643" si="11068">F3642</f>
        <v>air</v>
      </c>
      <c r="G3643" s="401" t="str">
        <f t="shared" si="11068"/>
        <v>DE: PHA film 0,1-1 mm (emission to air)</v>
      </c>
      <c r="H3643" s="465">
        <v>5.0000000000000001E-3</v>
      </c>
      <c r="I3643" s="394" t="s">
        <v>1146</v>
      </c>
      <c r="J3643" s="635"/>
      <c r="K3643" s="389">
        <v>12.364498644986449</v>
      </c>
      <c r="L3643" s="536"/>
      <c r="M3643" s="509">
        <f t="shared" si="10891"/>
        <v>40.438356164383563</v>
      </c>
      <c r="N3643" s="646"/>
      <c r="O3643" s="626"/>
      <c r="P3643" s="629"/>
      <c r="Q3643" s="629"/>
    </row>
    <row r="3644" spans="1:17" ht="15.75" hidden="1" thickBot="1">
      <c r="A3644" s="452" t="str">
        <f t="shared" ref="A3644:B3644" si="11069">A3639</f>
        <v>PHA</v>
      </c>
      <c r="B3644" s="453" t="str">
        <f t="shared" si="11069"/>
        <v>film</v>
      </c>
      <c r="C3644" s="453">
        <f t="shared" ref="C3644" si="11070">C3643</f>
        <v>2</v>
      </c>
      <c r="D3644" s="453" t="str">
        <f t="shared" ref="D3644:E3644" si="11071">D3639</f>
        <v>0,1-1</v>
      </c>
      <c r="E3644" s="453">
        <f t="shared" si="11071"/>
        <v>1</v>
      </c>
      <c r="F3644" s="453" t="str">
        <f t="shared" ref="F3644:G3644" si="11072">F3643</f>
        <v>air</v>
      </c>
      <c r="G3644" s="454" t="str">
        <f t="shared" si="11072"/>
        <v>DE: PHA film 0,1-1 mm (emission to air)</v>
      </c>
      <c r="H3644" s="473">
        <v>0</v>
      </c>
      <c r="I3644" s="456" t="s">
        <v>1034</v>
      </c>
      <c r="J3644" s="636"/>
      <c r="K3644" s="457" t="s">
        <v>596</v>
      </c>
      <c r="L3644" s="543"/>
      <c r="M3644" s="509">
        <f t="shared" si="10891"/>
        <v>0</v>
      </c>
      <c r="N3644" s="647"/>
      <c r="O3644" s="627"/>
      <c r="P3644" s="629"/>
      <c r="Q3644" s="629"/>
    </row>
    <row r="3645" spans="1:17" ht="15.75" hidden="1" thickBot="1">
      <c r="A3645" s="381" t="s">
        <v>20</v>
      </c>
      <c r="B3645" s="382" t="s">
        <v>996</v>
      </c>
      <c r="C3645" s="383">
        <f>IF(OR(B3645="Folie", B3645="Strips", B3645="Film",B3645="Flakes",B3645="Coupon"), 2,IF(OR(B3645="Fibers",B3645="Pellets"),4,IF(OR(B3645="Particles",B3645="Shreds",B3645="Powder",B3645="Fragments",B3645="Granules"),6,"")))</f>
        <v>2</v>
      </c>
      <c r="D3645" s="475" t="s">
        <v>1026</v>
      </c>
      <c r="E3645" s="384">
        <v>10</v>
      </c>
      <c r="F3645" s="385" t="s">
        <v>1019</v>
      </c>
      <c r="G3645" s="386" t="str">
        <f>CONCATENATE("DE: ",A3645," ",B3645," ",D3645," mm (emission to ",F3645,")")</f>
        <v>DE: PHA film 1-10 mm (emission to soil)</v>
      </c>
      <c r="H3645" s="466">
        <v>0.97</v>
      </c>
      <c r="I3645" s="388" t="s">
        <v>1019</v>
      </c>
      <c r="J3645" s="632">
        <v>0.22800000000000001</v>
      </c>
      <c r="K3645" s="389">
        <v>1564.29</v>
      </c>
      <c r="L3645" s="536"/>
      <c r="M3645" s="509">
        <f t="shared" si="10891"/>
        <v>3.1963382748723062</v>
      </c>
      <c r="N3645" s="645">
        <f t="shared" si="10947"/>
        <v>15.231954975941207</v>
      </c>
      <c r="O3645" s="625"/>
      <c r="P3645" s="628">
        <f t="shared" si="11018"/>
        <v>15.231954975941207</v>
      </c>
      <c r="Q3645" s="628">
        <f t="shared" si="10892"/>
        <v>15.231954975941207</v>
      </c>
    </row>
    <row r="3646" spans="1:17" ht="15.75" hidden="1" thickBot="1">
      <c r="A3646" s="390" t="str">
        <f>A3645</f>
        <v>PHA</v>
      </c>
      <c r="B3646" s="391" t="str">
        <f>B3645</f>
        <v>film</v>
      </c>
      <c r="C3646" s="391">
        <f t="shared" ref="C3646:G3646" si="11073">C3645</f>
        <v>2</v>
      </c>
      <c r="D3646" s="391" t="str">
        <f t="shared" si="11073"/>
        <v>1-10</v>
      </c>
      <c r="E3646" s="391">
        <f t="shared" si="11073"/>
        <v>10</v>
      </c>
      <c r="F3646" s="391" t="str">
        <f t="shared" si="11073"/>
        <v>soil</v>
      </c>
      <c r="G3646" s="392" t="str">
        <f t="shared" si="11073"/>
        <v>DE: PHA film 1-10 mm (emission to soil)</v>
      </c>
      <c r="H3646" s="465">
        <v>0</v>
      </c>
      <c r="I3646" s="394" t="s">
        <v>1097</v>
      </c>
      <c r="J3646" s="632"/>
      <c r="K3646" s="395">
        <v>21.270396270396269</v>
      </c>
      <c r="L3646" s="537"/>
      <c r="M3646" s="509">
        <f t="shared" si="10891"/>
        <v>235.06849315068496</v>
      </c>
      <c r="N3646" s="646"/>
      <c r="O3646" s="626"/>
      <c r="P3646" s="629"/>
      <c r="Q3646" s="629"/>
    </row>
    <row r="3647" spans="1:17" ht="15.75" hidden="1" thickBot="1">
      <c r="A3647" s="390" t="str">
        <f t="shared" ref="A3647:G3647" si="11074">A3646</f>
        <v>PHA</v>
      </c>
      <c r="B3647" s="391" t="str">
        <f t="shared" si="11074"/>
        <v>film</v>
      </c>
      <c r="C3647" s="391">
        <f t="shared" si="11074"/>
        <v>2</v>
      </c>
      <c r="D3647" s="391" t="str">
        <f t="shared" si="11074"/>
        <v>1-10</v>
      </c>
      <c r="E3647" s="391">
        <f t="shared" si="11074"/>
        <v>10</v>
      </c>
      <c r="F3647" s="391" t="str">
        <f t="shared" si="11074"/>
        <v>soil</v>
      </c>
      <c r="G3647" s="392" t="str">
        <f t="shared" si="11074"/>
        <v>DE: PHA film 1-10 mm (emission to soil)</v>
      </c>
      <c r="H3647" s="465">
        <v>2.7E-2</v>
      </c>
      <c r="I3647" s="394" t="s">
        <v>1162</v>
      </c>
      <c r="J3647" s="632"/>
      <c r="K3647" s="395">
        <v>12.364498644986449</v>
      </c>
      <c r="L3647" s="537"/>
      <c r="M3647" s="509">
        <f t="shared" si="10891"/>
        <v>404.38356164383561</v>
      </c>
      <c r="N3647" s="646"/>
      <c r="O3647" s="626"/>
      <c r="P3647" s="629"/>
      <c r="Q3647" s="629"/>
    </row>
    <row r="3648" spans="1:17" ht="15.75" hidden="1" thickBot="1">
      <c r="A3648" s="390" t="str">
        <f t="shared" ref="A3648:G3648" si="11075">A3647</f>
        <v>PHA</v>
      </c>
      <c r="B3648" s="391" t="str">
        <f t="shared" si="11075"/>
        <v>film</v>
      </c>
      <c r="C3648" s="391">
        <f t="shared" si="11075"/>
        <v>2</v>
      </c>
      <c r="D3648" s="391" t="str">
        <f t="shared" si="11075"/>
        <v>1-10</v>
      </c>
      <c r="E3648" s="391">
        <f t="shared" si="11075"/>
        <v>10</v>
      </c>
      <c r="F3648" s="391" t="str">
        <f t="shared" si="11075"/>
        <v>soil</v>
      </c>
      <c r="G3648" s="392" t="str">
        <f t="shared" si="11075"/>
        <v>DE: PHA film 1-10 mm (emission to soil)</v>
      </c>
      <c r="H3648" s="465">
        <v>3.0000000000000001E-3</v>
      </c>
      <c r="I3648" s="394" t="s">
        <v>1146</v>
      </c>
      <c r="J3648" s="632"/>
      <c r="K3648" s="395">
        <v>12.364498644986449</v>
      </c>
      <c r="L3648" s="537"/>
      <c r="M3648" s="509">
        <f t="shared" si="10891"/>
        <v>404.38356164383561</v>
      </c>
      <c r="N3648" s="646"/>
      <c r="O3648" s="626"/>
      <c r="P3648" s="629"/>
      <c r="Q3648" s="629"/>
    </row>
    <row r="3649" spans="1:17" ht="15.75" hidden="1" thickBot="1">
      <c r="A3649" s="390" t="str">
        <f>A3646</f>
        <v>PHA</v>
      </c>
      <c r="B3649" s="391" t="str">
        <f>B3646</f>
        <v>film</v>
      </c>
      <c r="C3649" s="391">
        <f t="shared" ref="C3649" si="11076">C3648</f>
        <v>2</v>
      </c>
      <c r="D3649" s="391" t="str">
        <f>D3646</f>
        <v>1-10</v>
      </c>
      <c r="E3649" s="391">
        <f>E3646</f>
        <v>10</v>
      </c>
      <c r="F3649" s="391" t="str">
        <f>F3646</f>
        <v>soil</v>
      </c>
      <c r="G3649" s="396" t="str">
        <f t="shared" ref="G3649" si="11077">G3648</f>
        <v>DE: PHA film 1-10 mm (emission to soil)</v>
      </c>
      <c r="H3649" s="465">
        <v>0</v>
      </c>
      <c r="I3649" s="397" t="s">
        <v>1034</v>
      </c>
      <c r="J3649" s="633"/>
      <c r="K3649" s="398" t="s">
        <v>596</v>
      </c>
      <c r="L3649" s="538"/>
      <c r="M3649" s="509">
        <f t="shared" si="10891"/>
        <v>0</v>
      </c>
      <c r="N3649" s="647"/>
      <c r="O3649" s="627"/>
      <c r="P3649" s="629"/>
      <c r="Q3649" s="629"/>
    </row>
    <row r="3650" spans="1:17" ht="15.75" hidden="1" thickBot="1">
      <c r="A3650" s="390" t="str">
        <f t="shared" ref="A3650:B3650" si="11078">A3647</f>
        <v>PHA</v>
      </c>
      <c r="B3650" s="391" t="str">
        <f t="shared" si="11078"/>
        <v>film</v>
      </c>
      <c r="C3650" s="391">
        <f t="shared" ref="C3650" si="11079">C3649</f>
        <v>2</v>
      </c>
      <c r="D3650" s="399" t="str">
        <f t="shared" ref="D3650:E3650" si="11080">D3647</f>
        <v>1-10</v>
      </c>
      <c r="E3650" s="391">
        <f t="shared" si="11080"/>
        <v>10</v>
      </c>
      <c r="F3650" s="400" t="s">
        <v>1147</v>
      </c>
      <c r="G3650" s="386" t="str">
        <f>CONCATENATE("DE: ",A3650," ",B3650," ",D3650," mm (emission to ",F3650,")")</f>
        <v>DE: PHA film 1-10 mm (emission to fresh water)</v>
      </c>
      <c r="H3650" s="466">
        <v>0</v>
      </c>
      <c r="I3650" s="388" t="s">
        <v>1019</v>
      </c>
      <c r="J3650" s="634">
        <v>0.22800000000000001</v>
      </c>
      <c r="K3650" s="389">
        <v>1564.29</v>
      </c>
      <c r="L3650" s="536"/>
      <c r="M3650" s="509">
        <f t="shared" si="10891"/>
        <v>3.1963382748723062</v>
      </c>
      <c r="N3650" s="645">
        <f t="shared" si="10947"/>
        <v>404.38356164383561</v>
      </c>
      <c r="O3650" s="625"/>
      <c r="P3650" s="628">
        <f t="shared" si="11018"/>
        <v>100</v>
      </c>
      <c r="Q3650" s="628">
        <f t="shared" si="10892"/>
        <v>404.38356164383561</v>
      </c>
    </row>
    <row r="3651" spans="1:17" ht="15.75" hidden="1" thickBot="1">
      <c r="A3651" s="390" t="str">
        <f t="shared" ref="A3651:B3651" si="11081">A3648</f>
        <v>PHA</v>
      </c>
      <c r="B3651" s="391" t="str">
        <f t="shared" si="11081"/>
        <v>film</v>
      </c>
      <c r="C3651" s="391">
        <f t="shared" ref="C3651" si="11082">C3650</f>
        <v>2</v>
      </c>
      <c r="D3651" s="391" t="str">
        <f t="shared" ref="D3651:E3651" si="11083">D3648</f>
        <v>1-10</v>
      </c>
      <c r="E3651" s="391">
        <f t="shared" si="11083"/>
        <v>10</v>
      </c>
      <c r="F3651" s="391" t="str">
        <f t="shared" ref="F3651:G3651" si="11084">F3650</f>
        <v>fresh water</v>
      </c>
      <c r="G3651" s="401" t="str">
        <f t="shared" si="11084"/>
        <v>DE: PHA film 1-10 mm (emission to fresh water)</v>
      </c>
      <c r="H3651" s="465">
        <v>0</v>
      </c>
      <c r="I3651" s="394" t="s">
        <v>1097</v>
      </c>
      <c r="J3651" s="635"/>
      <c r="K3651" s="389">
        <v>21.270396270396269</v>
      </c>
      <c r="L3651" s="536"/>
      <c r="M3651" s="509">
        <f t="shared" si="10891"/>
        <v>235.06849315068496</v>
      </c>
      <c r="N3651" s="646"/>
      <c r="O3651" s="626"/>
      <c r="P3651" s="629"/>
      <c r="Q3651" s="629"/>
    </row>
    <row r="3652" spans="1:17" ht="15.75" hidden="1" thickBot="1">
      <c r="A3652" s="390" t="str">
        <f t="shared" ref="A3652:B3652" si="11085">A3649</f>
        <v>PHA</v>
      </c>
      <c r="B3652" s="391" t="str">
        <f t="shared" si="11085"/>
        <v>film</v>
      </c>
      <c r="C3652" s="391">
        <f t="shared" ref="C3652" si="11086">C3651</f>
        <v>2</v>
      </c>
      <c r="D3652" s="391" t="str">
        <f t="shared" ref="D3652:E3652" si="11087">D3649</f>
        <v>1-10</v>
      </c>
      <c r="E3652" s="391">
        <f t="shared" si="11087"/>
        <v>10</v>
      </c>
      <c r="F3652" s="391" t="str">
        <f t="shared" ref="F3652:G3652" si="11088">F3651</f>
        <v>fresh water</v>
      </c>
      <c r="G3652" s="401" t="str">
        <f t="shared" si="11088"/>
        <v>DE: PHA film 1-10 mm (emission to fresh water)</v>
      </c>
      <c r="H3652" s="465">
        <v>0.89</v>
      </c>
      <c r="I3652" s="394" t="s">
        <v>1162</v>
      </c>
      <c r="J3652" s="635"/>
      <c r="K3652" s="389">
        <v>12.364498644986449</v>
      </c>
      <c r="L3652" s="536"/>
      <c r="M3652" s="509">
        <f t="shared" si="10891"/>
        <v>404.38356164383561</v>
      </c>
      <c r="N3652" s="646"/>
      <c r="O3652" s="626"/>
      <c r="P3652" s="629"/>
      <c r="Q3652" s="629"/>
    </row>
    <row r="3653" spans="1:17" ht="15.75" hidden="1" thickBot="1">
      <c r="A3653" s="390" t="str">
        <f t="shared" ref="A3653:B3653" si="11089">A3650</f>
        <v>PHA</v>
      </c>
      <c r="B3653" s="391" t="str">
        <f t="shared" si="11089"/>
        <v>film</v>
      </c>
      <c r="C3653" s="391">
        <f t="shared" ref="C3653" si="11090">C3652</f>
        <v>2</v>
      </c>
      <c r="D3653" s="391" t="str">
        <f t="shared" ref="D3653:E3653" si="11091">D3650</f>
        <v>1-10</v>
      </c>
      <c r="E3653" s="391">
        <f t="shared" si="11091"/>
        <v>10</v>
      </c>
      <c r="F3653" s="391" t="str">
        <f t="shared" ref="F3653:G3653" si="11092">F3652</f>
        <v>fresh water</v>
      </c>
      <c r="G3653" s="401" t="str">
        <f t="shared" si="11092"/>
        <v>DE: PHA film 1-10 mm (emission to fresh water)</v>
      </c>
      <c r="H3653" s="465">
        <v>0.11</v>
      </c>
      <c r="I3653" s="394" t="s">
        <v>1146</v>
      </c>
      <c r="J3653" s="635"/>
      <c r="K3653" s="389">
        <v>12.364498644986449</v>
      </c>
      <c r="L3653" s="536"/>
      <c r="M3653" s="509">
        <f t="shared" si="10891"/>
        <v>404.38356164383561</v>
      </c>
      <c r="N3653" s="646"/>
      <c r="O3653" s="626"/>
      <c r="P3653" s="629"/>
      <c r="Q3653" s="629"/>
    </row>
    <row r="3654" spans="1:17" ht="15.75" hidden="1" thickBot="1">
      <c r="A3654" s="390" t="str">
        <f t="shared" ref="A3654:B3654" si="11093">A3651</f>
        <v>PHA</v>
      </c>
      <c r="B3654" s="391" t="str">
        <f t="shared" si="11093"/>
        <v>film</v>
      </c>
      <c r="C3654" s="391">
        <f t="shared" ref="C3654" si="11094">C3653</f>
        <v>2</v>
      </c>
      <c r="D3654" s="391" t="str">
        <f t="shared" ref="D3654:E3654" si="11095">D3651</f>
        <v>1-10</v>
      </c>
      <c r="E3654" s="391">
        <f t="shared" si="11095"/>
        <v>10</v>
      </c>
      <c r="F3654" s="402" t="str">
        <f>F3651</f>
        <v>fresh water</v>
      </c>
      <c r="G3654" s="401" t="str">
        <f t="shared" ref="G3654" si="11096">G3653</f>
        <v>DE: PHA film 1-10 mm (emission to fresh water)</v>
      </c>
      <c r="H3654" s="465">
        <v>0</v>
      </c>
      <c r="I3654" s="397" t="s">
        <v>1034</v>
      </c>
      <c r="J3654" s="654"/>
      <c r="K3654" s="398" t="s">
        <v>596</v>
      </c>
      <c r="L3654" s="538"/>
      <c r="M3654" s="509">
        <f t="shared" ref="M3654:M3717" si="11097">IFERROR(IF(K3654="--",0,IF(E3654*1000/K3654*(1-0.5)^(C3654/2)&gt;1000,1000,E3654*1000/K3654*(1-0.5)^(C3654/2))),1000)</f>
        <v>0</v>
      </c>
      <c r="N3654" s="647"/>
      <c r="O3654" s="627"/>
      <c r="P3654" s="629"/>
      <c r="Q3654" s="629"/>
    </row>
    <row r="3655" spans="1:17" ht="15.75" hidden="1" thickBot="1">
      <c r="A3655" s="390" t="str">
        <f t="shared" ref="A3655:B3655" si="11098">A3652</f>
        <v>PHA</v>
      </c>
      <c r="B3655" s="391" t="str">
        <f t="shared" si="11098"/>
        <v>film</v>
      </c>
      <c r="C3655" s="391">
        <f t="shared" ref="C3655" si="11099">C3654</f>
        <v>2</v>
      </c>
      <c r="D3655" s="391" t="str">
        <f t="shared" ref="D3655:E3655" si="11100">D3652</f>
        <v>1-10</v>
      </c>
      <c r="E3655" s="391">
        <f t="shared" si="11100"/>
        <v>10</v>
      </c>
      <c r="F3655" s="385" t="s">
        <v>1097</v>
      </c>
      <c r="G3655" s="422" t="str">
        <f>CONCATENATE("DE: ",A3655," ",B3655," ",D3655," mm (emission to ",F3655,")")</f>
        <v>DE: PHA film 1-10 mm (emission to marine water)</v>
      </c>
      <c r="H3655" s="467">
        <v>0</v>
      </c>
      <c r="I3655" s="388" t="s">
        <v>1019</v>
      </c>
      <c r="J3655" s="634">
        <v>0.22800000000000001</v>
      </c>
      <c r="K3655" s="389">
        <v>1564.29</v>
      </c>
      <c r="L3655" s="536"/>
      <c r="M3655" s="509">
        <f t="shared" si="11097"/>
        <v>3.1963382748723062</v>
      </c>
      <c r="N3655" s="645">
        <f t="shared" si="10947"/>
        <v>404.38356164383561</v>
      </c>
      <c r="O3655" s="625"/>
      <c r="P3655" s="628">
        <f t="shared" si="11018"/>
        <v>100</v>
      </c>
      <c r="Q3655" s="628">
        <f t="shared" ref="Q3655:Q3715" si="11101">IFERROR(IF(H3655*M3655+H3656*M3656+H3657*M3657+H3658*M3658+H3659*M3659&gt;500,500,H3655*M3655+H3656*M3656+H3657*M3657+H3658*M3658+H3659*M3659),"N.A.")</f>
        <v>404.38356164383561</v>
      </c>
    </row>
    <row r="3656" spans="1:17" ht="15.75" hidden="1" thickBot="1">
      <c r="A3656" s="390" t="str">
        <f t="shared" ref="A3656:B3656" si="11102">A3653</f>
        <v>PHA</v>
      </c>
      <c r="B3656" s="391" t="str">
        <f t="shared" si="11102"/>
        <v>film</v>
      </c>
      <c r="C3656" s="391">
        <f t="shared" ref="C3656" si="11103">C3655</f>
        <v>2</v>
      </c>
      <c r="D3656" s="391" t="str">
        <f t="shared" ref="D3656:E3656" si="11104">D3653</f>
        <v>1-10</v>
      </c>
      <c r="E3656" s="391">
        <f t="shared" si="11104"/>
        <v>10</v>
      </c>
      <c r="F3656" s="391" t="str">
        <f t="shared" ref="F3656:G3656" si="11105">F3655</f>
        <v>marine water</v>
      </c>
      <c r="G3656" s="401" t="str">
        <f t="shared" si="11105"/>
        <v>DE: PHA film 1-10 mm (emission to marine water)</v>
      </c>
      <c r="H3656" s="465">
        <v>0</v>
      </c>
      <c r="I3656" s="394" t="s">
        <v>1097</v>
      </c>
      <c r="J3656" s="635"/>
      <c r="K3656" s="389">
        <v>21.270396270396269</v>
      </c>
      <c r="L3656" s="536"/>
      <c r="M3656" s="509">
        <f t="shared" si="11097"/>
        <v>235.06849315068496</v>
      </c>
      <c r="N3656" s="646"/>
      <c r="O3656" s="626"/>
      <c r="P3656" s="629"/>
      <c r="Q3656" s="629"/>
    </row>
    <row r="3657" spans="1:17" ht="15.75" hidden="1" thickBot="1">
      <c r="A3657" s="390" t="str">
        <f t="shared" ref="A3657:B3657" si="11106">A3654</f>
        <v>PHA</v>
      </c>
      <c r="B3657" s="391" t="str">
        <f t="shared" si="11106"/>
        <v>film</v>
      </c>
      <c r="C3657" s="391">
        <f t="shared" ref="C3657" si="11107">C3656</f>
        <v>2</v>
      </c>
      <c r="D3657" s="391" t="str">
        <f t="shared" ref="D3657:E3657" si="11108">D3654</f>
        <v>1-10</v>
      </c>
      <c r="E3657" s="391">
        <f t="shared" si="11108"/>
        <v>10</v>
      </c>
      <c r="F3657" s="391" t="str">
        <f t="shared" ref="F3657:G3657" si="11109">F3656</f>
        <v>marine water</v>
      </c>
      <c r="G3657" s="401" t="str">
        <f t="shared" si="11109"/>
        <v>DE: PHA film 1-10 mm (emission to marine water)</v>
      </c>
      <c r="H3657" s="465">
        <v>0</v>
      </c>
      <c r="I3657" s="394" t="s">
        <v>1162</v>
      </c>
      <c r="J3657" s="635"/>
      <c r="K3657" s="389">
        <v>12.364498644986449</v>
      </c>
      <c r="L3657" s="536"/>
      <c r="M3657" s="509">
        <f t="shared" si="11097"/>
        <v>404.38356164383561</v>
      </c>
      <c r="N3657" s="646"/>
      <c r="O3657" s="626"/>
      <c r="P3657" s="629"/>
      <c r="Q3657" s="629"/>
    </row>
    <row r="3658" spans="1:17" ht="15.75" hidden="1" thickBot="1">
      <c r="A3658" s="390" t="str">
        <f t="shared" ref="A3658:B3658" si="11110">A3655</f>
        <v>PHA</v>
      </c>
      <c r="B3658" s="391" t="str">
        <f t="shared" si="11110"/>
        <v>film</v>
      </c>
      <c r="C3658" s="391">
        <f t="shared" ref="C3658" si="11111">C3657</f>
        <v>2</v>
      </c>
      <c r="D3658" s="391" t="str">
        <f t="shared" ref="D3658:E3658" si="11112">D3655</f>
        <v>1-10</v>
      </c>
      <c r="E3658" s="391">
        <f t="shared" si="11112"/>
        <v>10</v>
      </c>
      <c r="F3658" s="391" t="str">
        <f t="shared" ref="F3658:G3658" si="11113">F3657</f>
        <v>marine water</v>
      </c>
      <c r="G3658" s="401" t="str">
        <f t="shared" si="11113"/>
        <v>DE: PHA film 1-10 mm (emission to marine water)</v>
      </c>
      <c r="H3658" s="465">
        <v>1</v>
      </c>
      <c r="I3658" s="394" t="s">
        <v>1146</v>
      </c>
      <c r="J3658" s="635"/>
      <c r="K3658" s="389">
        <v>12.364498644986449</v>
      </c>
      <c r="L3658" s="536"/>
      <c r="M3658" s="509">
        <f t="shared" si="11097"/>
        <v>404.38356164383561</v>
      </c>
      <c r="N3658" s="646"/>
      <c r="O3658" s="626"/>
      <c r="P3658" s="629"/>
      <c r="Q3658" s="629"/>
    </row>
    <row r="3659" spans="1:17" ht="15.75" hidden="1" thickBot="1">
      <c r="A3659" s="390" t="str">
        <f t="shared" ref="A3659:B3659" si="11114">A3656</f>
        <v>PHA</v>
      </c>
      <c r="B3659" s="391" t="str">
        <f t="shared" si="11114"/>
        <v>film</v>
      </c>
      <c r="C3659" s="391">
        <f t="shared" ref="C3659" si="11115">C3658</f>
        <v>2</v>
      </c>
      <c r="D3659" s="391" t="str">
        <f t="shared" ref="D3659:E3659" si="11116">D3656</f>
        <v>1-10</v>
      </c>
      <c r="E3659" s="391">
        <f t="shared" si="11116"/>
        <v>10</v>
      </c>
      <c r="F3659" s="391" t="str">
        <f t="shared" ref="F3659:G3659" si="11117">F3658</f>
        <v>marine water</v>
      </c>
      <c r="G3659" s="401" t="str">
        <f t="shared" si="11117"/>
        <v>DE: PHA film 1-10 mm (emission to marine water)</v>
      </c>
      <c r="H3659" s="465">
        <v>0</v>
      </c>
      <c r="I3659" s="397" t="s">
        <v>1034</v>
      </c>
      <c r="J3659" s="654"/>
      <c r="K3659" s="398" t="s">
        <v>596</v>
      </c>
      <c r="L3659" s="538"/>
      <c r="M3659" s="509">
        <f t="shared" si="11097"/>
        <v>0</v>
      </c>
      <c r="N3659" s="647"/>
      <c r="O3659" s="627"/>
      <c r="P3659" s="629"/>
      <c r="Q3659" s="629"/>
    </row>
    <row r="3660" spans="1:17" ht="15.75" hidden="1" thickBot="1">
      <c r="A3660" s="390" t="str">
        <f t="shared" ref="A3660:B3660" si="11118">A3657</f>
        <v>PHA</v>
      </c>
      <c r="B3660" s="391" t="str">
        <f t="shared" si="11118"/>
        <v>film</v>
      </c>
      <c r="C3660" s="391">
        <f t="shared" ref="C3660" si="11119">C3659</f>
        <v>2</v>
      </c>
      <c r="D3660" s="391" t="str">
        <f t="shared" ref="D3660:E3660" si="11120">D3657</f>
        <v>1-10</v>
      </c>
      <c r="E3660" s="391">
        <f t="shared" si="11120"/>
        <v>10</v>
      </c>
      <c r="F3660" s="400" t="s">
        <v>1057</v>
      </c>
      <c r="G3660" s="422" t="str">
        <f>CONCATENATE("DE: ",A3660," ",B3660," ",D3660," mm (emission to ",F3660,")")</f>
        <v>DE: PHA film 1-10 mm (emission to air)</v>
      </c>
      <c r="H3660" s="467">
        <v>0.94799999999999995</v>
      </c>
      <c r="I3660" s="388" t="s">
        <v>1019</v>
      </c>
      <c r="J3660" s="634">
        <v>0.22800000000000001</v>
      </c>
      <c r="K3660" s="389">
        <v>1564.29</v>
      </c>
      <c r="L3660" s="536"/>
      <c r="M3660" s="509">
        <f t="shared" si="11097"/>
        <v>3.1963382748723062</v>
      </c>
      <c r="N3660" s="645">
        <f t="shared" si="10947"/>
        <v>24.058073890058395</v>
      </c>
      <c r="O3660" s="625"/>
      <c r="P3660" s="628">
        <f t="shared" si="11018"/>
        <v>24.058073890058395</v>
      </c>
      <c r="Q3660" s="628">
        <f t="shared" si="11101"/>
        <v>24.058073890058395</v>
      </c>
    </row>
    <row r="3661" spans="1:17" ht="15.75" hidden="1" thickBot="1">
      <c r="A3661" s="390" t="str">
        <f t="shared" ref="A3661:B3661" si="11121">A3658</f>
        <v>PHA</v>
      </c>
      <c r="B3661" s="391" t="str">
        <f t="shared" si="11121"/>
        <v>film</v>
      </c>
      <c r="C3661" s="391">
        <f t="shared" ref="C3661" si="11122">C3660</f>
        <v>2</v>
      </c>
      <c r="D3661" s="391" t="str">
        <f t="shared" ref="D3661:E3661" si="11123">D3658</f>
        <v>1-10</v>
      </c>
      <c r="E3661" s="391">
        <f t="shared" si="11123"/>
        <v>10</v>
      </c>
      <c r="F3661" s="391" t="str">
        <f t="shared" ref="F3661:G3661" si="11124">F3660</f>
        <v>air</v>
      </c>
      <c r="G3661" s="401" t="str">
        <f t="shared" si="11124"/>
        <v>DE: PHA film 1-10 mm (emission to air)</v>
      </c>
      <c r="H3661" s="465">
        <v>0</v>
      </c>
      <c r="I3661" s="394" t="s">
        <v>1097</v>
      </c>
      <c r="J3661" s="635"/>
      <c r="K3661" s="389">
        <v>21.270396270396269</v>
      </c>
      <c r="L3661" s="536"/>
      <c r="M3661" s="509">
        <f t="shared" si="11097"/>
        <v>235.06849315068496</v>
      </c>
      <c r="N3661" s="646"/>
      <c r="O3661" s="626"/>
      <c r="P3661" s="629"/>
      <c r="Q3661" s="629"/>
    </row>
    <row r="3662" spans="1:17" ht="15.75" hidden="1" thickBot="1">
      <c r="A3662" s="390" t="str">
        <f t="shared" ref="A3662:B3662" si="11125">A3659</f>
        <v>PHA</v>
      </c>
      <c r="B3662" s="391" t="str">
        <f t="shared" si="11125"/>
        <v>film</v>
      </c>
      <c r="C3662" s="391">
        <f t="shared" ref="C3662" si="11126">C3661</f>
        <v>2</v>
      </c>
      <c r="D3662" s="391" t="str">
        <f t="shared" ref="D3662:E3662" si="11127">D3659</f>
        <v>1-10</v>
      </c>
      <c r="E3662" s="391">
        <f t="shared" si="11127"/>
        <v>10</v>
      </c>
      <c r="F3662" s="391" t="str">
        <f t="shared" ref="F3662:G3662" si="11128">F3661</f>
        <v>air</v>
      </c>
      <c r="G3662" s="401" t="str">
        <f t="shared" si="11128"/>
        <v>DE: PHA film 1-10 mm (emission to air)</v>
      </c>
      <c r="H3662" s="465">
        <v>4.7E-2</v>
      </c>
      <c r="I3662" s="394" t="s">
        <v>1162</v>
      </c>
      <c r="J3662" s="635"/>
      <c r="K3662" s="389">
        <v>12.364498644986449</v>
      </c>
      <c r="L3662" s="536"/>
      <c r="M3662" s="509">
        <f t="shared" si="11097"/>
        <v>404.38356164383561</v>
      </c>
      <c r="N3662" s="646"/>
      <c r="O3662" s="626"/>
      <c r="P3662" s="629"/>
      <c r="Q3662" s="629"/>
    </row>
    <row r="3663" spans="1:17" ht="15.75" hidden="1" thickBot="1">
      <c r="A3663" s="390" t="str">
        <f t="shared" ref="A3663:B3663" si="11129">A3660</f>
        <v>PHA</v>
      </c>
      <c r="B3663" s="391" t="str">
        <f t="shared" si="11129"/>
        <v>film</v>
      </c>
      <c r="C3663" s="391">
        <f t="shared" ref="C3663" si="11130">C3662</f>
        <v>2</v>
      </c>
      <c r="D3663" s="391" t="str">
        <f t="shared" ref="D3663:E3663" si="11131">D3660</f>
        <v>1-10</v>
      </c>
      <c r="E3663" s="391">
        <f t="shared" si="11131"/>
        <v>10</v>
      </c>
      <c r="F3663" s="391" t="str">
        <f t="shared" ref="F3663:G3663" si="11132">F3662</f>
        <v>air</v>
      </c>
      <c r="G3663" s="401" t="str">
        <f t="shared" si="11132"/>
        <v>DE: PHA film 1-10 mm (emission to air)</v>
      </c>
      <c r="H3663" s="465">
        <v>5.0000000000000001E-3</v>
      </c>
      <c r="I3663" s="394" t="s">
        <v>1146</v>
      </c>
      <c r="J3663" s="635"/>
      <c r="K3663" s="389">
        <v>12.364498644986449</v>
      </c>
      <c r="L3663" s="536"/>
      <c r="M3663" s="509">
        <f t="shared" si="11097"/>
        <v>404.38356164383561</v>
      </c>
      <c r="N3663" s="646"/>
      <c r="O3663" s="626"/>
      <c r="P3663" s="629"/>
      <c r="Q3663" s="629"/>
    </row>
    <row r="3664" spans="1:17" ht="15.75" hidden="1" thickBot="1">
      <c r="A3664" s="390" t="str">
        <f t="shared" ref="A3664:B3664" si="11133">A3659</f>
        <v>PHA</v>
      </c>
      <c r="B3664" s="391" t="str">
        <f t="shared" si="11133"/>
        <v>film</v>
      </c>
      <c r="C3664" s="391">
        <f t="shared" ref="C3664" si="11134">C3663</f>
        <v>2</v>
      </c>
      <c r="D3664" s="391" t="str">
        <f t="shared" ref="D3664:E3664" si="11135">D3659</f>
        <v>1-10</v>
      </c>
      <c r="E3664" s="391">
        <f t="shared" si="11135"/>
        <v>10</v>
      </c>
      <c r="F3664" s="391" t="str">
        <f t="shared" ref="F3664:G3664" si="11136">F3663</f>
        <v>air</v>
      </c>
      <c r="G3664" s="401" t="str">
        <f t="shared" si="11136"/>
        <v>DE: PHA film 1-10 mm (emission to air)</v>
      </c>
      <c r="H3664" s="471">
        <v>0</v>
      </c>
      <c r="I3664" s="422" t="s">
        <v>1034</v>
      </c>
      <c r="J3664" s="636"/>
      <c r="K3664" s="451" t="s">
        <v>596</v>
      </c>
      <c r="L3664" s="542"/>
      <c r="M3664" s="509">
        <f t="shared" si="11097"/>
        <v>0</v>
      </c>
      <c r="N3664" s="647"/>
      <c r="O3664" s="627"/>
      <c r="P3664" s="629"/>
      <c r="Q3664" s="629"/>
    </row>
    <row r="3665" spans="1:17" ht="15.75" hidden="1" thickBot="1">
      <c r="A3665" s="405" t="s">
        <v>20</v>
      </c>
      <c r="B3665" s="406" t="s">
        <v>1151</v>
      </c>
      <c r="C3665" s="407">
        <v>4</v>
      </c>
      <c r="D3665" s="423" t="s">
        <v>1018</v>
      </c>
      <c r="E3665" s="408">
        <v>0.1</v>
      </c>
      <c r="F3665" s="424" t="s">
        <v>1019</v>
      </c>
      <c r="G3665" s="425" t="str">
        <f>CONCATENATE("DE: ",A3665," ",B3665," ",D3665," mm (emission to ",F3665,")")</f>
        <v>DE: PHA fiber 0,01-0,1 mm (emission to soil)</v>
      </c>
      <c r="H3665" s="474">
        <v>0.97</v>
      </c>
      <c r="I3665" s="427" t="s">
        <v>1019</v>
      </c>
      <c r="J3665" s="632">
        <v>0.22800000000000001</v>
      </c>
      <c r="K3665" s="428">
        <v>1564.29</v>
      </c>
      <c r="L3665" s="539"/>
      <c r="M3665" s="509">
        <f t="shared" si="11097"/>
        <v>1.5981691374361531E-2</v>
      </c>
      <c r="N3665" s="645">
        <f t="shared" si="10947"/>
        <v>7.615977487970603E-2</v>
      </c>
      <c r="O3665" s="625"/>
      <c r="P3665" s="628">
        <f t="shared" si="11018"/>
        <v>7.615977487970603E-2</v>
      </c>
      <c r="Q3665" s="628">
        <f t="shared" si="11101"/>
        <v>7.615977487970603E-2</v>
      </c>
    </row>
    <row r="3666" spans="1:17" ht="15.75" hidden="1" thickBot="1">
      <c r="A3666" s="390" t="str">
        <f>A3665</f>
        <v>PHA</v>
      </c>
      <c r="B3666" s="391" t="str">
        <f>B3665</f>
        <v>fiber</v>
      </c>
      <c r="C3666" s="391">
        <f t="shared" ref="C3666:G3666" si="11137">C3665</f>
        <v>4</v>
      </c>
      <c r="D3666" s="391" t="str">
        <f t="shared" si="11137"/>
        <v>0,01-0,1</v>
      </c>
      <c r="E3666" s="391">
        <f t="shared" si="11137"/>
        <v>0.1</v>
      </c>
      <c r="F3666" s="391" t="str">
        <f t="shared" si="11137"/>
        <v>soil</v>
      </c>
      <c r="G3666" s="392" t="str">
        <f t="shared" si="11137"/>
        <v>DE: PHA fiber 0,01-0,1 mm (emission to soil)</v>
      </c>
      <c r="H3666" s="465">
        <v>0</v>
      </c>
      <c r="I3666" s="394" t="s">
        <v>1097</v>
      </c>
      <c r="J3666" s="632"/>
      <c r="K3666" s="395">
        <v>21.270396270396269</v>
      </c>
      <c r="L3666" s="537"/>
      <c r="M3666" s="509">
        <f t="shared" si="11097"/>
        <v>1.1753424657534248</v>
      </c>
      <c r="N3666" s="646"/>
      <c r="O3666" s="626"/>
      <c r="P3666" s="629"/>
      <c r="Q3666" s="629"/>
    </row>
    <row r="3667" spans="1:17" ht="15.75" hidden="1" thickBot="1">
      <c r="A3667" s="390" t="str">
        <f t="shared" ref="A3667:G3667" si="11138">A3666</f>
        <v>PHA</v>
      </c>
      <c r="B3667" s="391" t="str">
        <f t="shared" si="11138"/>
        <v>fiber</v>
      </c>
      <c r="C3667" s="391">
        <f t="shared" si="11138"/>
        <v>4</v>
      </c>
      <c r="D3667" s="391" t="str">
        <f t="shared" si="11138"/>
        <v>0,01-0,1</v>
      </c>
      <c r="E3667" s="391">
        <f t="shared" si="11138"/>
        <v>0.1</v>
      </c>
      <c r="F3667" s="391" t="str">
        <f t="shared" si="11138"/>
        <v>soil</v>
      </c>
      <c r="G3667" s="392" t="str">
        <f t="shared" si="11138"/>
        <v>DE: PHA fiber 0,01-0,1 mm (emission to soil)</v>
      </c>
      <c r="H3667" s="465">
        <v>2.7E-2</v>
      </c>
      <c r="I3667" s="394" t="s">
        <v>1162</v>
      </c>
      <c r="J3667" s="632"/>
      <c r="K3667" s="395">
        <v>12.364498644986449</v>
      </c>
      <c r="L3667" s="537"/>
      <c r="M3667" s="509">
        <f t="shared" si="11097"/>
        <v>2.021917808219178</v>
      </c>
      <c r="N3667" s="646"/>
      <c r="O3667" s="626"/>
      <c r="P3667" s="629"/>
      <c r="Q3667" s="629"/>
    </row>
    <row r="3668" spans="1:17" ht="15.75" hidden="1" thickBot="1">
      <c r="A3668" s="390" t="str">
        <f t="shared" ref="A3668:G3668" si="11139">A3667</f>
        <v>PHA</v>
      </c>
      <c r="B3668" s="391" t="str">
        <f t="shared" si="11139"/>
        <v>fiber</v>
      </c>
      <c r="C3668" s="391">
        <f t="shared" si="11139"/>
        <v>4</v>
      </c>
      <c r="D3668" s="391" t="str">
        <f t="shared" si="11139"/>
        <v>0,01-0,1</v>
      </c>
      <c r="E3668" s="391">
        <f t="shared" si="11139"/>
        <v>0.1</v>
      </c>
      <c r="F3668" s="391" t="str">
        <f t="shared" si="11139"/>
        <v>soil</v>
      </c>
      <c r="G3668" s="392" t="str">
        <f t="shared" si="11139"/>
        <v>DE: PHA fiber 0,01-0,1 mm (emission to soil)</v>
      </c>
      <c r="H3668" s="465">
        <v>3.0000000000000001E-3</v>
      </c>
      <c r="I3668" s="394" t="s">
        <v>1146</v>
      </c>
      <c r="J3668" s="632"/>
      <c r="K3668" s="395">
        <v>12.364498644986449</v>
      </c>
      <c r="L3668" s="537"/>
      <c r="M3668" s="509">
        <f t="shared" si="11097"/>
        <v>2.021917808219178</v>
      </c>
      <c r="N3668" s="646"/>
      <c r="O3668" s="626"/>
      <c r="P3668" s="629"/>
      <c r="Q3668" s="629"/>
    </row>
    <row r="3669" spans="1:17" ht="15.75" hidden="1" thickBot="1">
      <c r="A3669" s="390" t="str">
        <f>A3666</f>
        <v>PHA</v>
      </c>
      <c r="B3669" s="391" t="str">
        <f>B3666</f>
        <v>fiber</v>
      </c>
      <c r="C3669" s="391">
        <f t="shared" ref="C3669" si="11140">C3668</f>
        <v>4</v>
      </c>
      <c r="D3669" s="391" t="str">
        <f>D3666</f>
        <v>0,01-0,1</v>
      </c>
      <c r="E3669" s="391">
        <f>E3666</f>
        <v>0.1</v>
      </c>
      <c r="F3669" s="391" t="str">
        <f>F3666</f>
        <v>soil</v>
      </c>
      <c r="G3669" s="396" t="str">
        <f t="shared" ref="G3669" si="11141">G3668</f>
        <v>DE: PHA fiber 0,01-0,1 mm (emission to soil)</v>
      </c>
      <c r="H3669" s="465">
        <v>0</v>
      </c>
      <c r="I3669" s="397" t="s">
        <v>1034</v>
      </c>
      <c r="J3669" s="633"/>
      <c r="K3669" s="398" t="s">
        <v>596</v>
      </c>
      <c r="L3669" s="538"/>
      <c r="M3669" s="509">
        <f t="shared" si="11097"/>
        <v>0</v>
      </c>
      <c r="N3669" s="647"/>
      <c r="O3669" s="627"/>
      <c r="P3669" s="629"/>
      <c r="Q3669" s="629"/>
    </row>
    <row r="3670" spans="1:17" ht="15.75" hidden="1" thickBot="1">
      <c r="A3670" s="390" t="str">
        <f t="shared" ref="A3670:B3670" si="11142">A3667</f>
        <v>PHA</v>
      </c>
      <c r="B3670" s="391" t="str">
        <f t="shared" si="11142"/>
        <v>fiber</v>
      </c>
      <c r="C3670" s="391">
        <f t="shared" ref="C3670" si="11143">C3669</f>
        <v>4</v>
      </c>
      <c r="D3670" s="399" t="str">
        <f t="shared" ref="D3670:E3670" si="11144">D3667</f>
        <v>0,01-0,1</v>
      </c>
      <c r="E3670" s="391">
        <f t="shared" si="11144"/>
        <v>0.1</v>
      </c>
      <c r="F3670" s="400" t="s">
        <v>1147</v>
      </c>
      <c r="G3670" s="386" t="str">
        <f>CONCATENATE("DE: ",A3670," ",B3670," ",D3670," mm (emission to ",F3670,")")</f>
        <v>DE: PHA fiber 0,01-0,1 mm (emission to fresh water)</v>
      </c>
      <c r="H3670" s="466">
        <v>0</v>
      </c>
      <c r="I3670" s="388" t="s">
        <v>1019</v>
      </c>
      <c r="J3670" s="634">
        <v>0.22800000000000001</v>
      </c>
      <c r="K3670" s="389">
        <v>1564.29</v>
      </c>
      <c r="L3670" s="536"/>
      <c r="M3670" s="509">
        <f t="shared" si="11097"/>
        <v>1.5981691374361531E-2</v>
      </c>
      <c r="N3670" s="645">
        <f t="shared" ref="N3670:N3730" si="11145">IFERROR(H3670*M3670+H3671*M3671+H3672*M3672+H3673*M3673+H3674*M3674,"N.A.")</f>
        <v>2.021917808219178</v>
      </c>
      <c r="O3670" s="625"/>
      <c r="P3670" s="628">
        <f t="shared" si="11018"/>
        <v>2.021917808219178</v>
      </c>
      <c r="Q3670" s="628">
        <f t="shared" si="11101"/>
        <v>2.021917808219178</v>
      </c>
    </row>
    <row r="3671" spans="1:17" ht="15.75" hidden="1" thickBot="1">
      <c r="A3671" s="390" t="str">
        <f t="shared" ref="A3671:B3671" si="11146">A3668</f>
        <v>PHA</v>
      </c>
      <c r="B3671" s="391" t="str">
        <f t="shared" si="11146"/>
        <v>fiber</v>
      </c>
      <c r="C3671" s="391">
        <f t="shared" ref="C3671" si="11147">C3670</f>
        <v>4</v>
      </c>
      <c r="D3671" s="391" t="str">
        <f t="shared" ref="D3671:E3671" si="11148">D3668</f>
        <v>0,01-0,1</v>
      </c>
      <c r="E3671" s="391">
        <f t="shared" si="11148"/>
        <v>0.1</v>
      </c>
      <c r="F3671" s="391" t="str">
        <f t="shared" ref="F3671:G3671" si="11149">F3670</f>
        <v>fresh water</v>
      </c>
      <c r="G3671" s="401" t="str">
        <f t="shared" si="11149"/>
        <v>DE: PHA fiber 0,01-0,1 mm (emission to fresh water)</v>
      </c>
      <c r="H3671" s="465">
        <v>0</v>
      </c>
      <c r="I3671" s="394" t="s">
        <v>1097</v>
      </c>
      <c r="J3671" s="635"/>
      <c r="K3671" s="389">
        <v>21.270396270396269</v>
      </c>
      <c r="L3671" s="536"/>
      <c r="M3671" s="509">
        <f t="shared" si="11097"/>
        <v>1.1753424657534248</v>
      </c>
      <c r="N3671" s="646"/>
      <c r="O3671" s="626"/>
      <c r="P3671" s="629"/>
      <c r="Q3671" s="629"/>
    </row>
    <row r="3672" spans="1:17" ht="15.75" hidden="1" thickBot="1">
      <c r="A3672" s="390" t="str">
        <f t="shared" ref="A3672:B3672" si="11150">A3669</f>
        <v>PHA</v>
      </c>
      <c r="B3672" s="391" t="str">
        <f t="shared" si="11150"/>
        <v>fiber</v>
      </c>
      <c r="C3672" s="391">
        <f t="shared" ref="C3672" si="11151">C3671</f>
        <v>4</v>
      </c>
      <c r="D3672" s="391" t="str">
        <f t="shared" ref="D3672:E3672" si="11152">D3669</f>
        <v>0,01-0,1</v>
      </c>
      <c r="E3672" s="391">
        <f t="shared" si="11152"/>
        <v>0.1</v>
      </c>
      <c r="F3672" s="391" t="str">
        <f t="shared" ref="F3672:G3672" si="11153">F3671</f>
        <v>fresh water</v>
      </c>
      <c r="G3672" s="401" t="str">
        <f t="shared" si="11153"/>
        <v>DE: PHA fiber 0,01-0,1 mm (emission to fresh water)</v>
      </c>
      <c r="H3672" s="465">
        <v>0.89</v>
      </c>
      <c r="I3672" s="394" t="s">
        <v>1162</v>
      </c>
      <c r="J3672" s="635"/>
      <c r="K3672" s="389">
        <v>12.364498644986449</v>
      </c>
      <c r="L3672" s="536"/>
      <c r="M3672" s="509">
        <f t="shared" si="11097"/>
        <v>2.021917808219178</v>
      </c>
      <c r="N3672" s="646"/>
      <c r="O3672" s="626"/>
      <c r="P3672" s="629"/>
      <c r="Q3672" s="629"/>
    </row>
    <row r="3673" spans="1:17" ht="15.75" hidden="1" thickBot="1">
      <c r="A3673" s="390" t="str">
        <f t="shared" ref="A3673:B3673" si="11154">A3670</f>
        <v>PHA</v>
      </c>
      <c r="B3673" s="391" t="str">
        <f t="shared" si="11154"/>
        <v>fiber</v>
      </c>
      <c r="C3673" s="391">
        <f t="shared" ref="C3673" si="11155">C3672</f>
        <v>4</v>
      </c>
      <c r="D3673" s="391" t="str">
        <f t="shared" ref="D3673:E3673" si="11156">D3670</f>
        <v>0,01-0,1</v>
      </c>
      <c r="E3673" s="391">
        <f t="shared" si="11156"/>
        <v>0.1</v>
      </c>
      <c r="F3673" s="391" t="str">
        <f t="shared" ref="F3673:G3673" si="11157">F3672</f>
        <v>fresh water</v>
      </c>
      <c r="G3673" s="401" t="str">
        <f t="shared" si="11157"/>
        <v>DE: PHA fiber 0,01-0,1 mm (emission to fresh water)</v>
      </c>
      <c r="H3673" s="465">
        <v>0.11</v>
      </c>
      <c r="I3673" s="394" t="s">
        <v>1146</v>
      </c>
      <c r="J3673" s="635"/>
      <c r="K3673" s="389">
        <v>12.364498644986449</v>
      </c>
      <c r="L3673" s="536"/>
      <c r="M3673" s="509">
        <f t="shared" si="11097"/>
        <v>2.021917808219178</v>
      </c>
      <c r="N3673" s="646"/>
      <c r="O3673" s="626"/>
      <c r="P3673" s="629"/>
      <c r="Q3673" s="629"/>
    </row>
    <row r="3674" spans="1:17" ht="15.75" hidden="1" thickBot="1">
      <c r="A3674" s="390" t="str">
        <f t="shared" ref="A3674:B3674" si="11158">A3671</f>
        <v>PHA</v>
      </c>
      <c r="B3674" s="391" t="str">
        <f t="shared" si="11158"/>
        <v>fiber</v>
      </c>
      <c r="C3674" s="391">
        <f t="shared" ref="C3674" si="11159">C3673</f>
        <v>4</v>
      </c>
      <c r="D3674" s="391" t="str">
        <f t="shared" ref="D3674:E3674" si="11160">D3671</f>
        <v>0,01-0,1</v>
      </c>
      <c r="E3674" s="391">
        <f t="shared" si="11160"/>
        <v>0.1</v>
      </c>
      <c r="F3674" s="402" t="str">
        <f>F3671</f>
        <v>fresh water</v>
      </c>
      <c r="G3674" s="401" t="str">
        <f t="shared" ref="G3674" si="11161">G3673</f>
        <v>DE: PHA fiber 0,01-0,1 mm (emission to fresh water)</v>
      </c>
      <c r="H3674" s="465">
        <v>0</v>
      </c>
      <c r="I3674" s="397" t="s">
        <v>1034</v>
      </c>
      <c r="J3674" s="654"/>
      <c r="K3674" s="398" t="s">
        <v>596</v>
      </c>
      <c r="L3674" s="538"/>
      <c r="M3674" s="509">
        <f t="shared" si="11097"/>
        <v>0</v>
      </c>
      <c r="N3674" s="647"/>
      <c r="O3674" s="627"/>
      <c r="P3674" s="629"/>
      <c r="Q3674" s="629"/>
    </row>
    <row r="3675" spans="1:17" ht="15.75" hidden="1" thickBot="1">
      <c r="A3675" s="390" t="str">
        <f t="shared" ref="A3675:B3675" si="11162">A3672</f>
        <v>PHA</v>
      </c>
      <c r="B3675" s="391" t="str">
        <f t="shared" si="11162"/>
        <v>fiber</v>
      </c>
      <c r="C3675" s="391">
        <f t="shared" ref="C3675" si="11163">C3674</f>
        <v>4</v>
      </c>
      <c r="D3675" s="391" t="str">
        <f t="shared" ref="D3675:E3675" si="11164">D3672</f>
        <v>0,01-0,1</v>
      </c>
      <c r="E3675" s="391">
        <f t="shared" si="11164"/>
        <v>0.1</v>
      </c>
      <c r="F3675" s="385" t="s">
        <v>1097</v>
      </c>
      <c r="G3675" s="422" t="str">
        <f>CONCATENATE("DE: ",A3675," ",B3675," ",D3675," mm (emission to ",F3675,")")</f>
        <v>DE: PHA fiber 0,01-0,1 mm (emission to marine water)</v>
      </c>
      <c r="H3675" s="467">
        <v>0</v>
      </c>
      <c r="I3675" s="388" t="s">
        <v>1019</v>
      </c>
      <c r="J3675" s="634">
        <v>0.22800000000000001</v>
      </c>
      <c r="K3675" s="389">
        <v>1564.29</v>
      </c>
      <c r="L3675" s="536"/>
      <c r="M3675" s="509">
        <f t="shared" si="11097"/>
        <v>1.5981691374361531E-2</v>
      </c>
      <c r="N3675" s="645">
        <f t="shared" si="11145"/>
        <v>2.021917808219178</v>
      </c>
      <c r="O3675" s="625"/>
      <c r="P3675" s="628">
        <f t="shared" si="11018"/>
        <v>2.021917808219178</v>
      </c>
      <c r="Q3675" s="628">
        <f t="shared" si="11101"/>
        <v>2.021917808219178</v>
      </c>
    </row>
    <row r="3676" spans="1:17" ht="15.75" hidden="1" thickBot="1">
      <c r="A3676" s="390" t="str">
        <f t="shared" ref="A3676:B3676" si="11165">A3673</f>
        <v>PHA</v>
      </c>
      <c r="B3676" s="391" t="str">
        <f t="shared" si="11165"/>
        <v>fiber</v>
      </c>
      <c r="C3676" s="391">
        <f t="shared" ref="C3676" si="11166">C3675</f>
        <v>4</v>
      </c>
      <c r="D3676" s="391" t="str">
        <f t="shared" ref="D3676:E3676" si="11167">D3673</f>
        <v>0,01-0,1</v>
      </c>
      <c r="E3676" s="391">
        <f t="shared" si="11167"/>
        <v>0.1</v>
      </c>
      <c r="F3676" s="391" t="str">
        <f t="shared" ref="F3676:G3676" si="11168">F3675</f>
        <v>marine water</v>
      </c>
      <c r="G3676" s="401" t="str">
        <f t="shared" si="11168"/>
        <v>DE: PHA fiber 0,01-0,1 mm (emission to marine water)</v>
      </c>
      <c r="H3676" s="465">
        <v>0</v>
      </c>
      <c r="I3676" s="394" t="s">
        <v>1097</v>
      </c>
      <c r="J3676" s="635"/>
      <c r="K3676" s="389">
        <v>21.270396270396269</v>
      </c>
      <c r="L3676" s="536"/>
      <c r="M3676" s="509">
        <f t="shared" si="11097"/>
        <v>1.1753424657534248</v>
      </c>
      <c r="N3676" s="646"/>
      <c r="O3676" s="626"/>
      <c r="P3676" s="629"/>
      <c r="Q3676" s="629"/>
    </row>
    <row r="3677" spans="1:17" ht="15.75" hidden="1" thickBot="1">
      <c r="A3677" s="390" t="str">
        <f t="shared" ref="A3677:B3677" si="11169">A3674</f>
        <v>PHA</v>
      </c>
      <c r="B3677" s="391" t="str">
        <f t="shared" si="11169"/>
        <v>fiber</v>
      </c>
      <c r="C3677" s="391">
        <f t="shared" ref="C3677" si="11170">C3676</f>
        <v>4</v>
      </c>
      <c r="D3677" s="391" t="str">
        <f t="shared" ref="D3677:E3677" si="11171">D3674</f>
        <v>0,01-0,1</v>
      </c>
      <c r="E3677" s="391">
        <f t="shared" si="11171"/>
        <v>0.1</v>
      </c>
      <c r="F3677" s="391" t="str">
        <f t="shared" ref="F3677:G3677" si="11172">F3676</f>
        <v>marine water</v>
      </c>
      <c r="G3677" s="401" t="str">
        <f t="shared" si="11172"/>
        <v>DE: PHA fiber 0,01-0,1 mm (emission to marine water)</v>
      </c>
      <c r="H3677" s="465">
        <v>0</v>
      </c>
      <c r="I3677" s="394" t="s">
        <v>1162</v>
      </c>
      <c r="J3677" s="635"/>
      <c r="K3677" s="389">
        <v>12.364498644986449</v>
      </c>
      <c r="L3677" s="536"/>
      <c r="M3677" s="509">
        <f t="shared" si="11097"/>
        <v>2.021917808219178</v>
      </c>
      <c r="N3677" s="646"/>
      <c r="O3677" s="626"/>
      <c r="P3677" s="629"/>
      <c r="Q3677" s="629"/>
    </row>
    <row r="3678" spans="1:17" ht="15.75" hidden="1" thickBot="1">
      <c r="A3678" s="390" t="str">
        <f t="shared" ref="A3678:B3678" si="11173">A3675</f>
        <v>PHA</v>
      </c>
      <c r="B3678" s="391" t="str">
        <f t="shared" si="11173"/>
        <v>fiber</v>
      </c>
      <c r="C3678" s="391">
        <f t="shared" ref="C3678" si="11174">C3677</f>
        <v>4</v>
      </c>
      <c r="D3678" s="391" t="str">
        <f t="shared" ref="D3678:E3678" si="11175">D3675</f>
        <v>0,01-0,1</v>
      </c>
      <c r="E3678" s="391">
        <f t="shared" si="11175"/>
        <v>0.1</v>
      </c>
      <c r="F3678" s="391" t="str">
        <f t="shared" ref="F3678:G3678" si="11176">F3677</f>
        <v>marine water</v>
      </c>
      <c r="G3678" s="401" t="str">
        <f t="shared" si="11176"/>
        <v>DE: PHA fiber 0,01-0,1 mm (emission to marine water)</v>
      </c>
      <c r="H3678" s="465">
        <v>1</v>
      </c>
      <c r="I3678" s="394" t="s">
        <v>1146</v>
      </c>
      <c r="J3678" s="635"/>
      <c r="K3678" s="389">
        <v>12.364498644986449</v>
      </c>
      <c r="L3678" s="536"/>
      <c r="M3678" s="509">
        <f t="shared" si="11097"/>
        <v>2.021917808219178</v>
      </c>
      <c r="N3678" s="646"/>
      <c r="O3678" s="626"/>
      <c r="P3678" s="629"/>
      <c r="Q3678" s="629"/>
    </row>
    <row r="3679" spans="1:17" ht="15.75" hidden="1" thickBot="1">
      <c r="A3679" s="390" t="str">
        <f t="shared" ref="A3679:B3679" si="11177">A3676</f>
        <v>PHA</v>
      </c>
      <c r="B3679" s="391" t="str">
        <f t="shared" si="11177"/>
        <v>fiber</v>
      </c>
      <c r="C3679" s="391">
        <f t="shared" ref="C3679" si="11178">C3678</f>
        <v>4</v>
      </c>
      <c r="D3679" s="391" t="str">
        <f t="shared" ref="D3679:E3679" si="11179">D3676</f>
        <v>0,01-0,1</v>
      </c>
      <c r="E3679" s="391">
        <f t="shared" si="11179"/>
        <v>0.1</v>
      </c>
      <c r="F3679" s="391" t="str">
        <f t="shared" ref="F3679:G3679" si="11180">F3678</f>
        <v>marine water</v>
      </c>
      <c r="G3679" s="401" t="str">
        <f t="shared" si="11180"/>
        <v>DE: PHA fiber 0,01-0,1 mm (emission to marine water)</v>
      </c>
      <c r="H3679" s="465">
        <v>0</v>
      </c>
      <c r="I3679" s="397" t="s">
        <v>1034</v>
      </c>
      <c r="J3679" s="654"/>
      <c r="K3679" s="398" t="s">
        <v>596</v>
      </c>
      <c r="L3679" s="538"/>
      <c r="M3679" s="509">
        <f t="shared" si="11097"/>
        <v>0</v>
      </c>
      <c r="N3679" s="647"/>
      <c r="O3679" s="627"/>
      <c r="P3679" s="629"/>
      <c r="Q3679" s="629"/>
    </row>
    <row r="3680" spans="1:17" ht="15.75" hidden="1" thickBot="1">
      <c r="A3680" s="390" t="str">
        <f t="shared" ref="A3680:B3680" si="11181">A3677</f>
        <v>PHA</v>
      </c>
      <c r="B3680" s="391" t="str">
        <f t="shared" si="11181"/>
        <v>fiber</v>
      </c>
      <c r="C3680" s="391">
        <f t="shared" ref="C3680" si="11182">C3679</f>
        <v>4</v>
      </c>
      <c r="D3680" s="391" t="str">
        <f t="shared" ref="D3680:E3680" si="11183">D3677</f>
        <v>0,01-0,1</v>
      </c>
      <c r="E3680" s="391">
        <f t="shared" si="11183"/>
        <v>0.1</v>
      </c>
      <c r="F3680" s="400" t="s">
        <v>1057</v>
      </c>
      <c r="G3680" s="422" t="str">
        <f>CONCATENATE("DE: ",A3680," ",B3680," ",D3680," mm (emission to ",F3680,")")</f>
        <v>DE: PHA fiber 0,01-0,1 mm (emission to air)</v>
      </c>
      <c r="H3680" s="467">
        <v>0.94799999999999995</v>
      </c>
      <c r="I3680" s="388" t="s">
        <v>1019</v>
      </c>
      <c r="J3680" s="634">
        <v>0.22800000000000001</v>
      </c>
      <c r="K3680" s="389">
        <v>1564.29</v>
      </c>
      <c r="L3680" s="536"/>
      <c r="M3680" s="509">
        <f t="shared" si="11097"/>
        <v>1.5981691374361531E-2</v>
      </c>
      <c r="N3680" s="645">
        <f t="shared" si="11145"/>
        <v>0.12029036945029198</v>
      </c>
      <c r="O3680" s="625"/>
      <c r="P3680" s="628">
        <f t="shared" si="11018"/>
        <v>0.12029036945029198</v>
      </c>
      <c r="Q3680" s="628">
        <f t="shared" si="11101"/>
        <v>0.12029036945029198</v>
      </c>
    </row>
    <row r="3681" spans="1:17" ht="15.75" hidden="1" thickBot="1">
      <c r="A3681" s="390" t="str">
        <f t="shared" ref="A3681:B3681" si="11184">A3678</f>
        <v>PHA</v>
      </c>
      <c r="B3681" s="391" t="str">
        <f t="shared" si="11184"/>
        <v>fiber</v>
      </c>
      <c r="C3681" s="391">
        <f t="shared" ref="C3681" si="11185">C3680</f>
        <v>4</v>
      </c>
      <c r="D3681" s="391" t="str">
        <f t="shared" ref="D3681:E3681" si="11186">D3678</f>
        <v>0,01-0,1</v>
      </c>
      <c r="E3681" s="391">
        <f t="shared" si="11186"/>
        <v>0.1</v>
      </c>
      <c r="F3681" s="391" t="str">
        <f t="shared" ref="F3681:G3681" si="11187">F3680</f>
        <v>air</v>
      </c>
      <c r="G3681" s="401" t="str">
        <f t="shared" si="11187"/>
        <v>DE: PHA fiber 0,01-0,1 mm (emission to air)</v>
      </c>
      <c r="H3681" s="465">
        <v>0</v>
      </c>
      <c r="I3681" s="394" t="s">
        <v>1097</v>
      </c>
      <c r="J3681" s="635"/>
      <c r="K3681" s="389">
        <v>21.270396270396269</v>
      </c>
      <c r="L3681" s="536"/>
      <c r="M3681" s="509">
        <f t="shared" si="11097"/>
        <v>1.1753424657534248</v>
      </c>
      <c r="N3681" s="646"/>
      <c r="O3681" s="626"/>
      <c r="P3681" s="629"/>
      <c r="Q3681" s="629"/>
    </row>
    <row r="3682" spans="1:17" ht="15.75" hidden="1" thickBot="1">
      <c r="A3682" s="390" t="str">
        <f t="shared" ref="A3682:B3682" si="11188">A3679</f>
        <v>PHA</v>
      </c>
      <c r="B3682" s="391" t="str">
        <f t="shared" si="11188"/>
        <v>fiber</v>
      </c>
      <c r="C3682" s="391">
        <f t="shared" ref="C3682" si="11189">C3681</f>
        <v>4</v>
      </c>
      <c r="D3682" s="391" t="str">
        <f t="shared" ref="D3682:E3682" si="11190">D3679</f>
        <v>0,01-0,1</v>
      </c>
      <c r="E3682" s="391">
        <f t="shared" si="11190"/>
        <v>0.1</v>
      </c>
      <c r="F3682" s="391" t="str">
        <f t="shared" ref="F3682:G3682" si="11191">F3681</f>
        <v>air</v>
      </c>
      <c r="G3682" s="401" t="str">
        <f t="shared" si="11191"/>
        <v>DE: PHA fiber 0,01-0,1 mm (emission to air)</v>
      </c>
      <c r="H3682" s="465">
        <v>4.7E-2</v>
      </c>
      <c r="I3682" s="394" t="s">
        <v>1162</v>
      </c>
      <c r="J3682" s="635"/>
      <c r="K3682" s="389">
        <v>12.364498644986449</v>
      </c>
      <c r="L3682" s="536"/>
      <c r="M3682" s="509">
        <f t="shared" si="11097"/>
        <v>2.021917808219178</v>
      </c>
      <c r="N3682" s="646"/>
      <c r="O3682" s="626"/>
      <c r="P3682" s="629"/>
      <c r="Q3682" s="629"/>
    </row>
    <row r="3683" spans="1:17" ht="15.75" hidden="1" thickBot="1">
      <c r="A3683" s="390" t="str">
        <f t="shared" ref="A3683:B3683" si="11192">A3680</f>
        <v>PHA</v>
      </c>
      <c r="B3683" s="391" t="str">
        <f t="shared" si="11192"/>
        <v>fiber</v>
      </c>
      <c r="C3683" s="391">
        <f t="shared" ref="C3683" si="11193">C3682</f>
        <v>4</v>
      </c>
      <c r="D3683" s="391" t="str">
        <f t="shared" ref="D3683:E3683" si="11194">D3680</f>
        <v>0,01-0,1</v>
      </c>
      <c r="E3683" s="391">
        <f t="shared" si="11194"/>
        <v>0.1</v>
      </c>
      <c r="F3683" s="391" t="str">
        <f t="shared" ref="F3683:G3683" si="11195">F3682</f>
        <v>air</v>
      </c>
      <c r="G3683" s="401" t="str">
        <f t="shared" si="11195"/>
        <v>DE: PHA fiber 0,01-0,1 mm (emission to air)</v>
      </c>
      <c r="H3683" s="465">
        <v>5.0000000000000001E-3</v>
      </c>
      <c r="I3683" s="394" t="s">
        <v>1146</v>
      </c>
      <c r="J3683" s="635"/>
      <c r="K3683" s="389">
        <v>12.364498644986449</v>
      </c>
      <c r="L3683" s="536"/>
      <c r="M3683" s="509">
        <f t="shared" si="11097"/>
        <v>2.021917808219178</v>
      </c>
      <c r="N3683" s="646"/>
      <c r="O3683" s="626"/>
      <c r="P3683" s="629"/>
      <c r="Q3683" s="629"/>
    </row>
    <row r="3684" spans="1:17" ht="15.75" hidden="1" thickBot="1">
      <c r="A3684" s="452" t="str">
        <f t="shared" ref="A3684:B3684" si="11196">A3679</f>
        <v>PHA</v>
      </c>
      <c r="B3684" s="453" t="str">
        <f t="shared" si="11196"/>
        <v>fiber</v>
      </c>
      <c r="C3684" s="453">
        <f t="shared" ref="C3684" si="11197">C3683</f>
        <v>4</v>
      </c>
      <c r="D3684" s="453" t="str">
        <f t="shared" ref="D3684:E3684" si="11198">D3679</f>
        <v>0,01-0,1</v>
      </c>
      <c r="E3684" s="453">
        <f t="shared" si="11198"/>
        <v>0.1</v>
      </c>
      <c r="F3684" s="453" t="str">
        <f t="shared" ref="F3684:G3684" si="11199">F3683</f>
        <v>air</v>
      </c>
      <c r="G3684" s="454" t="str">
        <f t="shared" si="11199"/>
        <v>DE: PHA fiber 0,01-0,1 mm (emission to air)</v>
      </c>
      <c r="H3684" s="473">
        <v>0</v>
      </c>
      <c r="I3684" s="456" t="s">
        <v>1034</v>
      </c>
      <c r="J3684" s="636"/>
      <c r="K3684" s="457" t="s">
        <v>596</v>
      </c>
      <c r="L3684" s="543"/>
      <c r="M3684" s="509">
        <f t="shared" si="11097"/>
        <v>0</v>
      </c>
      <c r="N3684" s="647"/>
      <c r="O3684" s="627"/>
      <c r="P3684" s="629"/>
      <c r="Q3684" s="629"/>
    </row>
    <row r="3685" spans="1:17" ht="15.75" hidden="1" thickBot="1">
      <c r="A3685" s="381" t="s">
        <v>20</v>
      </c>
      <c r="B3685" s="382" t="s">
        <v>1151</v>
      </c>
      <c r="C3685" s="383">
        <v>4</v>
      </c>
      <c r="D3685" s="475" t="s">
        <v>1028</v>
      </c>
      <c r="E3685" s="384">
        <v>1</v>
      </c>
      <c r="F3685" s="385" t="s">
        <v>1019</v>
      </c>
      <c r="G3685" s="386" t="str">
        <f>CONCATENATE("DE: ",A3685," ",B3685," ",D3685," mm (emission to ",F3685,")")</f>
        <v>DE: PHA fiber 0,1-1 mm (emission to soil)</v>
      </c>
      <c r="H3685" s="466">
        <v>0.97</v>
      </c>
      <c r="I3685" s="388" t="s">
        <v>1019</v>
      </c>
      <c r="J3685" s="632">
        <v>0.22800000000000001</v>
      </c>
      <c r="K3685" s="389">
        <v>1564.29</v>
      </c>
      <c r="L3685" s="536"/>
      <c r="M3685" s="509">
        <f t="shared" si="11097"/>
        <v>0.15981691374361531</v>
      </c>
      <c r="N3685" s="645">
        <f t="shared" si="11145"/>
        <v>0.76159774879706033</v>
      </c>
      <c r="O3685" s="625"/>
      <c r="P3685" s="628">
        <f t="shared" si="11018"/>
        <v>0.76159774879706033</v>
      </c>
      <c r="Q3685" s="628">
        <f t="shared" si="11101"/>
        <v>0.76159774879706033</v>
      </c>
    </row>
    <row r="3686" spans="1:17" ht="15.75" hidden="1" thickBot="1">
      <c r="A3686" s="390" t="str">
        <f>A3685</f>
        <v>PHA</v>
      </c>
      <c r="B3686" s="391" t="str">
        <f>B3685</f>
        <v>fiber</v>
      </c>
      <c r="C3686" s="391">
        <f t="shared" ref="C3686:G3686" si="11200">C3685</f>
        <v>4</v>
      </c>
      <c r="D3686" s="391" t="str">
        <f t="shared" si="11200"/>
        <v>0,1-1</v>
      </c>
      <c r="E3686" s="391">
        <f t="shared" si="11200"/>
        <v>1</v>
      </c>
      <c r="F3686" s="391" t="str">
        <f t="shared" si="11200"/>
        <v>soil</v>
      </c>
      <c r="G3686" s="392" t="str">
        <f t="shared" si="11200"/>
        <v>DE: PHA fiber 0,1-1 mm (emission to soil)</v>
      </c>
      <c r="H3686" s="465">
        <v>0</v>
      </c>
      <c r="I3686" s="394" t="s">
        <v>1097</v>
      </c>
      <c r="J3686" s="632"/>
      <c r="K3686" s="395">
        <v>21.270396270396269</v>
      </c>
      <c r="L3686" s="537"/>
      <c r="M3686" s="509">
        <f t="shared" si="11097"/>
        <v>11.753424657534248</v>
      </c>
      <c r="N3686" s="646"/>
      <c r="O3686" s="626"/>
      <c r="P3686" s="629"/>
      <c r="Q3686" s="629"/>
    </row>
    <row r="3687" spans="1:17" ht="15.75" hidden="1" thickBot="1">
      <c r="A3687" s="390" t="str">
        <f t="shared" ref="A3687:G3687" si="11201">A3686</f>
        <v>PHA</v>
      </c>
      <c r="B3687" s="391" t="str">
        <f t="shared" si="11201"/>
        <v>fiber</v>
      </c>
      <c r="C3687" s="391">
        <f t="shared" si="11201"/>
        <v>4</v>
      </c>
      <c r="D3687" s="391" t="str">
        <f t="shared" si="11201"/>
        <v>0,1-1</v>
      </c>
      <c r="E3687" s="391">
        <f t="shared" si="11201"/>
        <v>1</v>
      </c>
      <c r="F3687" s="391" t="str">
        <f t="shared" si="11201"/>
        <v>soil</v>
      </c>
      <c r="G3687" s="392" t="str">
        <f t="shared" si="11201"/>
        <v>DE: PHA fiber 0,1-1 mm (emission to soil)</v>
      </c>
      <c r="H3687" s="465">
        <v>2.7E-2</v>
      </c>
      <c r="I3687" s="394" t="s">
        <v>1162</v>
      </c>
      <c r="J3687" s="632"/>
      <c r="K3687" s="395">
        <v>12.364498644986449</v>
      </c>
      <c r="L3687" s="537"/>
      <c r="M3687" s="509">
        <f t="shared" si="11097"/>
        <v>20.219178082191782</v>
      </c>
      <c r="N3687" s="646"/>
      <c r="O3687" s="626"/>
      <c r="P3687" s="629"/>
      <c r="Q3687" s="629"/>
    </row>
    <row r="3688" spans="1:17" ht="15.75" hidden="1" thickBot="1">
      <c r="A3688" s="390" t="str">
        <f t="shared" ref="A3688:G3688" si="11202">A3687</f>
        <v>PHA</v>
      </c>
      <c r="B3688" s="391" t="str">
        <f t="shared" si="11202"/>
        <v>fiber</v>
      </c>
      <c r="C3688" s="391">
        <f t="shared" si="11202"/>
        <v>4</v>
      </c>
      <c r="D3688" s="391" t="str">
        <f t="shared" si="11202"/>
        <v>0,1-1</v>
      </c>
      <c r="E3688" s="391">
        <f t="shared" si="11202"/>
        <v>1</v>
      </c>
      <c r="F3688" s="391" t="str">
        <f t="shared" si="11202"/>
        <v>soil</v>
      </c>
      <c r="G3688" s="392" t="str">
        <f t="shared" si="11202"/>
        <v>DE: PHA fiber 0,1-1 mm (emission to soil)</v>
      </c>
      <c r="H3688" s="465">
        <v>3.0000000000000001E-3</v>
      </c>
      <c r="I3688" s="394" t="s">
        <v>1146</v>
      </c>
      <c r="J3688" s="632"/>
      <c r="K3688" s="395">
        <v>12.364498644986449</v>
      </c>
      <c r="L3688" s="537"/>
      <c r="M3688" s="509">
        <f t="shared" si="11097"/>
        <v>20.219178082191782</v>
      </c>
      <c r="N3688" s="646"/>
      <c r="O3688" s="626"/>
      <c r="P3688" s="629"/>
      <c r="Q3688" s="629"/>
    </row>
    <row r="3689" spans="1:17" ht="15.75" hidden="1" thickBot="1">
      <c r="A3689" s="390" t="str">
        <f>A3686</f>
        <v>PHA</v>
      </c>
      <c r="B3689" s="391" t="str">
        <f>B3686</f>
        <v>fiber</v>
      </c>
      <c r="C3689" s="391">
        <f t="shared" ref="C3689" si="11203">C3688</f>
        <v>4</v>
      </c>
      <c r="D3689" s="391" t="str">
        <f>D3686</f>
        <v>0,1-1</v>
      </c>
      <c r="E3689" s="391">
        <f>E3686</f>
        <v>1</v>
      </c>
      <c r="F3689" s="391" t="str">
        <f>F3686</f>
        <v>soil</v>
      </c>
      <c r="G3689" s="396" t="str">
        <f t="shared" ref="G3689" si="11204">G3688</f>
        <v>DE: PHA fiber 0,1-1 mm (emission to soil)</v>
      </c>
      <c r="H3689" s="465">
        <v>0</v>
      </c>
      <c r="I3689" s="397" t="s">
        <v>1034</v>
      </c>
      <c r="J3689" s="633"/>
      <c r="K3689" s="398" t="s">
        <v>596</v>
      </c>
      <c r="L3689" s="538"/>
      <c r="M3689" s="509">
        <f t="shared" si="11097"/>
        <v>0</v>
      </c>
      <c r="N3689" s="647"/>
      <c r="O3689" s="627"/>
      <c r="P3689" s="629"/>
      <c r="Q3689" s="629"/>
    </row>
    <row r="3690" spans="1:17" ht="15.75" hidden="1" thickBot="1">
      <c r="A3690" s="390" t="str">
        <f t="shared" ref="A3690:B3690" si="11205">A3687</f>
        <v>PHA</v>
      </c>
      <c r="B3690" s="391" t="str">
        <f t="shared" si="11205"/>
        <v>fiber</v>
      </c>
      <c r="C3690" s="391">
        <f t="shared" ref="C3690" si="11206">C3689</f>
        <v>4</v>
      </c>
      <c r="D3690" s="399" t="str">
        <f t="shared" ref="D3690:E3690" si="11207">D3687</f>
        <v>0,1-1</v>
      </c>
      <c r="E3690" s="391">
        <f t="shared" si="11207"/>
        <v>1</v>
      </c>
      <c r="F3690" s="400" t="s">
        <v>1147</v>
      </c>
      <c r="G3690" s="386" t="str">
        <f>CONCATENATE("DE: ",A3690," ",B3690," ",D3690," mm (emission to ",F3690,")")</f>
        <v>DE: PHA fiber 0,1-1 mm (emission to fresh water)</v>
      </c>
      <c r="H3690" s="466">
        <v>0</v>
      </c>
      <c r="I3690" s="388" t="s">
        <v>1019</v>
      </c>
      <c r="J3690" s="634">
        <v>0.22800000000000001</v>
      </c>
      <c r="K3690" s="389">
        <v>1564.29</v>
      </c>
      <c r="L3690" s="536"/>
      <c r="M3690" s="509">
        <f t="shared" si="11097"/>
        <v>0.15981691374361531</v>
      </c>
      <c r="N3690" s="645">
        <f t="shared" si="11145"/>
        <v>20.219178082191782</v>
      </c>
      <c r="O3690" s="625"/>
      <c r="P3690" s="628">
        <f t="shared" si="11018"/>
        <v>20.219178082191782</v>
      </c>
      <c r="Q3690" s="628">
        <f t="shared" si="11101"/>
        <v>20.219178082191782</v>
      </c>
    </row>
    <row r="3691" spans="1:17" ht="15.75" hidden="1" thickBot="1">
      <c r="A3691" s="390" t="str">
        <f t="shared" ref="A3691:B3691" si="11208">A3688</f>
        <v>PHA</v>
      </c>
      <c r="B3691" s="391" t="str">
        <f t="shared" si="11208"/>
        <v>fiber</v>
      </c>
      <c r="C3691" s="391">
        <f t="shared" ref="C3691" si="11209">C3690</f>
        <v>4</v>
      </c>
      <c r="D3691" s="391" t="str">
        <f t="shared" ref="D3691:E3691" si="11210">D3688</f>
        <v>0,1-1</v>
      </c>
      <c r="E3691" s="391">
        <f t="shared" si="11210"/>
        <v>1</v>
      </c>
      <c r="F3691" s="391" t="str">
        <f t="shared" ref="F3691:G3691" si="11211">F3690</f>
        <v>fresh water</v>
      </c>
      <c r="G3691" s="401" t="str">
        <f t="shared" si="11211"/>
        <v>DE: PHA fiber 0,1-1 mm (emission to fresh water)</v>
      </c>
      <c r="H3691" s="465">
        <v>0</v>
      </c>
      <c r="I3691" s="394" t="s">
        <v>1097</v>
      </c>
      <c r="J3691" s="635"/>
      <c r="K3691" s="389">
        <v>21.270396270396269</v>
      </c>
      <c r="L3691" s="536"/>
      <c r="M3691" s="509">
        <f t="shared" si="11097"/>
        <v>11.753424657534248</v>
      </c>
      <c r="N3691" s="646"/>
      <c r="O3691" s="626"/>
      <c r="P3691" s="629"/>
      <c r="Q3691" s="629"/>
    </row>
    <row r="3692" spans="1:17" ht="15.75" hidden="1" thickBot="1">
      <c r="A3692" s="390" t="str">
        <f t="shared" ref="A3692:B3692" si="11212">A3689</f>
        <v>PHA</v>
      </c>
      <c r="B3692" s="391" t="str">
        <f t="shared" si="11212"/>
        <v>fiber</v>
      </c>
      <c r="C3692" s="391">
        <f t="shared" ref="C3692" si="11213">C3691</f>
        <v>4</v>
      </c>
      <c r="D3692" s="391" t="str">
        <f t="shared" ref="D3692:E3692" si="11214">D3689</f>
        <v>0,1-1</v>
      </c>
      <c r="E3692" s="391">
        <f t="shared" si="11214"/>
        <v>1</v>
      </c>
      <c r="F3692" s="391" t="str">
        <f t="shared" ref="F3692:G3692" si="11215">F3691</f>
        <v>fresh water</v>
      </c>
      <c r="G3692" s="401" t="str">
        <f t="shared" si="11215"/>
        <v>DE: PHA fiber 0,1-1 mm (emission to fresh water)</v>
      </c>
      <c r="H3692" s="465">
        <v>0.89</v>
      </c>
      <c r="I3692" s="394" t="s">
        <v>1162</v>
      </c>
      <c r="J3692" s="635"/>
      <c r="K3692" s="389">
        <v>12.364498644986449</v>
      </c>
      <c r="L3692" s="536"/>
      <c r="M3692" s="509">
        <f t="shared" si="11097"/>
        <v>20.219178082191782</v>
      </c>
      <c r="N3692" s="646"/>
      <c r="O3692" s="626"/>
      <c r="P3692" s="629"/>
      <c r="Q3692" s="629"/>
    </row>
    <row r="3693" spans="1:17" ht="15.75" hidden="1" thickBot="1">
      <c r="A3693" s="390" t="str">
        <f t="shared" ref="A3693:B3693" si="11216">A3690</f>
        <v>PHA</v>
      </c>
      <c r="B3693" s="391" t="str">
        <f t="shared" si="11216"/>
        <v>fiber</v>
      </c>
      <c r="C3693" s="391">
        <f t="shared" ref="C3693" si="11217">C3692</f>
        <v>4</v>
      </c>
      <c r="D3693" s="391" t="str">
        <f t="shared" ref="D3693:E3693" si="11218">D3690</f>
        <v>0,1-1</v>
      </c>
      <c r="E3693" s="391">
        <f t="shared" si="11218"/>
        <v>1</v>
      </c>
      <c r="F3693" s="391" t="str">
        <f t="shared" ref="F3693:G3693" si="11219">F3692</f>
        <v>fresh water</v>
      </c>
      <c r="G3693" s="401" t="str">
        <f t="shared" si="11219"/>
        <v>DE: PHA fiber 0,1-1 mm (emission to fresh water)</v>
      </c>
      <c r="H3693" s="465">
        <v>0.11</v>
      </c>
      <c r="I3693" s="394" t="s">
        <v>1146</v>
      </c>
      <c r="J3693" s="635"/>
      <c r="K3693" s="389">
        <v>12.364498644986449</v>
      </c>
      <c r="L3693" s="536"/>
      <c r="M3693" s="509">
        <f t="shared" si="11097"/>
        <v>20.219178082191782</v>
      </c>
      <c r="N3693" s="646"/>
      <c r="O3693" s="626"/>
      <c r="P3693" s="629"/>
      <c r="Q3693" s="629"/>
    </row>
    <row r="3694" spans="1:17" ht="15.75" hidden="1" thickBot="1">
      <c r="A3694" s="390" t="str">
        <f t="shared" ref="A3694:B3694" si="11220">A3691</f>
        <v>PHA</v>
      </c>
      <c r="B3694" s="391" t="str">
        <f t="shared" si="11220"/>
        <v>fiber</v>
      </c>
      <c r="C3694" s="391">
        <f t="shared" ref="C3694" si="11221">C3693</f>
        <v>4</v>
      </c>
      <c r="D3694" s="391" t="str">
        <f t="shared" ref="D3694:E3694" si="11222">D3691</f>
        <v>0,1-1</v>
      </c>
      <c r="E3694" s="391">
        <f t="shared" si="11222"/>
        <v>1</v>
      </c>
      <c r="F3694" s="402" t="str">
        <f>F3691</f>
        <v>fresh water</v>
      </c>
      <c r="G3694" s="401" t="str">
        <f t="shared" ref="G3694" si="11223">G3693</f>
        <v>DE: PHA fiber 0,1-1 mm (emission to fresh water)</v>
      </c>
      <c r="H3694" s="465">
        <v>0</v>
      </c>
      <c r="I3694" s="397" t="s">
        <v>1034</v>
      </c>
      <c r="J3694" s="654"/>
      <c r="K3694" s="398" t="s">
        <v>596</v>
      </c>
      <c r="L3694" s="538"/>
      <c r="M3694" s="509">
        <f t="shared" si="11097"/>
        <v>0</v>
      </c>
      <c r="N3694" s="647"/>
      <c r="O3694" s="627"/>
      <c r="P3694" s="629"/>
      <c r="Q3694" s="629"/>
    </row>
    <row r="3695" spans="1:17" ht="15.75" hidden="1" thickBot="1">
      <c r="A3695" s="390" t="str">
        <f t="shared" ref="A3695:B3695" si="11224">A3692</f>
        <v>PHA</v>
      </c>
      <c r="B3695" s="391" t="str">
        <f t="shared" si="11224"/>
        <v>fiber</v>
      </c>
      <c r="C3695" s="391">
        <f t="shared" ref="C3695" si="11225">C3694</f>
        <v>4</v>
      </c>
      <c r="D3695" s="391" t="str">
        <f t="shared" ref="D3695:E3695" si="11226">D3692</f>
        <v>0,1-1</v>
      </c>
      <c r="E3695" s="391">
        <f t="shared" si="11226"/>
        <v>1</v>
      </c>
      <c r="F3695" s="385" t="s">
        <v>1097</v>
      </c>
      <c r="G3695" s="422" t="str">
        <f>CONCATENATE("DE: ",A3695," ",B3695," ",D3695," mm (emission to ",F3695,")")</f>
        <v>DE: PHA fiber 0,1-1 mm (emission to marine water)</v>
      </c>
      <c r="H3695" s="467">
        <v>0</v>
      </c>
      <c r="I3695" s="388" t="s">
        <v>1019</v>
      </c>
      <c r="J3695" s="634">
        <v>0.22800000000000001</v>
      </c>
      <c r="K3695" s="389">
        <v>1564.29</v>
      </c>
      <c r="L3695" s="536"/>
      <c r="M3695" s="509">
        <f t="shared" si="11097"/>
        <v>0.15981691374361531</v>
      </c>
      <c r="N3695" s="645">
        <f t="shared" si="11145"/>
        <v>20.219178082191782</v>
      </c>
      <c r="O3695" s="625"/>
      <c r="P3695" s="628">
        <f t="shared" ref="P3695:P3755" si="11227">IFERROR(IF(H3695*M3695+H3696*M3696+H3697*M3697+H3698*M3698+H3699*M3699&gt;100,100,H3695*M3695+H3696*M3696+H3697*M3697+H3698*M3698+H3699*M3699),"N.A.")</f>
        <v>20.219178082191782</v>
      </c>
      <c r="Q3695" s="628">
        <f t="shared" si="11101"/>
        <v>20.219178082191782</v>
      </c>
    </row>
    <row r="3696" spans="1:17" ht="15.75" hidden="1" thickBot="1">
      <c r="A3696" s="390" t="str">
        <f t="shared" ref="A3696:B3696" si="11228">A3693</f>
        <v>PHA</v>
      </c>
      <c r="B3696" s="391" t="str">
        <f t="shared" si="11228"/>
        <v>fiber</v>
      </c>
      <c r="C3696" s="391">
        <f t="shared" ref="C3696" si="11229">C3695</f>
        <v>4</v>
      </c>
      <c r="D3696" s="391" t="str">
        <f t="shared" ref="D3696:E3696" si="11230">D3693</f>
        <v>0,1-1</v>
      </c>
      <c r="E3696" s="391">
        <f t="shared" si="11230"/>
        <v>1</v>
      </c>
      <c r="F3696" s="391" t="str">
        <f t="shared" ref="F3696:G3696" si="11231">F3695</f>
        <v>marine water</v>
      </c>
      <c r="G3696" s="401" t="str">
        <f t="shared" si="11231"/>
        <v>DE: PHA fiber 0,1-1 mm (emission to marine water)</v>
      </c>
      <c r="H3696" s="465">
        <v>0</v>
      </c>
      <c r="I3696" s="394" t="s">
        <v>1097</v>
      </c>
      <c r="J3696" s="635"/>
      <c r="K3696" s="389">
        <v>21.270396270396269</v>
      </c>
      <c r="L3696" s="536"/>
      <c r="M3696" s="509">
        <f t="shared" si="11097"/>
        <v>11.753424657534248</v>
      </c>
      <c r="N3696" s="646"/>
      <c r="O3696" s="626"/>
      <c r="P3696" s="629"/>
      <c r="Q3696" s="629"/>
    </row>
    <row r="3697" spans="1:17" ht="15.75" hidden="1" thickBot="1">
      <c r="A3697" s="390" t="str">
        <f t="shared" ref="A3697:B3697" si="11232">A3694</f>
        <v>PHA</v>
      </c>
      <c r="B3697" s="391" t="str">
        <f t="shared" si="11232"/>
        <v>fiber</v>
      </c>
      <c r="C3697" s="391">
        <f t="shared" ref="C3697" si="11233">C3696</f>
        <v>4</v>
      </c>
      <c r="D3697" s="391" t="str">
        <f t="shared" ref="D3697:E3697" si="11234">D3694</f>
        <v>0,1-1</v>
      </c>
      <c r="E3697" s="391">
        <f t="shared" si="11234"/>
        <v>1</v>
      </c>
      <c r="F3697" s="391" t="str">
        <f t="shared" ref="F3697:G3697" si="11235">F3696</f>
        <v>marine water</v>
      </c>
      <c r="G3697" s="401" t="str">
        <f t="shared" si="11235"/>
        <v>DE: PHA fiber 0,1-1 mm (emission to marine water)</v>
      </c>
      <c r="H3697" s="465">
        <v>0</v>
      </c>
      <c r="I3697" s="394" t="s">
        <v>1162</v>
      </c>
      <c r="J3697" s="635"/>
      <c r="K3697" s="389">
        <v>12.364498644986449</v>
      </c>
      <c r="L3697" s="536"/>
      <c r="M3697" s="509">
        <f t="shared" si="11097"/>
        <v>20.219178082191782</v>
      </c>
      <c r="N3697" s="646"/>
      <c r="O3697" s="626"/>
      <c r="P3697" s="629"/>
      <c r="Q3697" s="629"/>
    </row>
    <row r="3698" spans="1:17" ht="15.75" hidden="1" thickBot="1">
      <c r="A3698" s="390" t="str">
        <f t="shared" ref="A3698:B3698" si="11236">A3695</f>
        <v>PHA</v>
      </c>
      <c r="B3698" s="391" t="str">
        <f t="shared" si="11236"/>
        <v>fiber</v>
      </c>
      <c r="C3698" s="391">
        <f t="shared" ref="C3698" si="11237">C3697</f>
        <v>4</v>
      </c>
      <c r="D3698" s="391" t="str">
        <f t="shared" ref="D3698:E3698" si="11238">D3695</f>
        <v>0,1-1</v>
      </c>
      <c r="E3698" s="391">
        <f t="shared" si="11238"/>
        <v>1</v>
      </c>
      <c r="F3698" s="391" t="str">
        <f t="shared" ref="F3698:G3698" si="11239">F3697</f>
        <v>marine water</v>
      </c>
      <c r="G3698" s="401" t="str">
        <f t="shared" si="11239"/>
        <v>DE: PHA fiber 0,1-1 mm (emission to marine water)</v>
      </c>
      <c r="H3698" s="465">
        <v>1</v>
      </c>
      <c r="I3698" s="394" t="s">
        <v>1146</v>
      </c>
      <c r="J3698" s="635"/>
      <c r="K3698" s="389">
        <v>12.364498644986449</v>
      </c>
      <c r="L3698" s="536"/>
      <c r="M3698" s="509">
        <f t="shared" si="11097"/>
        <v>20.219178082191782</v>
      </c>
      <c r="N3698" s="646"/>
      <c r="O3698" s="626"/>
      <c r="P3698" s="629"/>
      <c r="Q3698" s="629"/>
    </row>
    <row r="3699" spans="1:17" ht="15.75" hidden="1" thickBot="1">
      <c r="A3699" s="390" t="str">
        <f t="shared" ref="A3699:B3699" si="11240">A3696</f>
        <v>PHA</v>
      </c>
      <c r="B3699" s="391" t="str">
        <f t="shared" si="11240"/>
        <v>fiber</v>
      </c>
      <c r="C3699" s="391">
        <f t="shared" ref="C3699" si="11241">C3698</f>
        <v>4</v>
      </c>
      <c r="D3699" s="391" t="str">
        <f t="shared" ref="D3699:E3699" si="11242">D3696</f>
        <v>0,1-1</v>
      </c>
      <c r="E3699" s="391">
        <f t="shared" si="11242"/>
        <v>1</v>
      </c>
      <c r="F3699" s="391" t="str">
        <f t="shared" ref="F3699:G3699" si="11243">F3698</f>
        <v>marine water</v>
      </c>
      <c r="G3699" s="401" t="str">
        <f t="shared" si="11243"/>
        <v>DE: PHA fiber 0,1-1 mm (emission to marine water)</v>
      </c>
      <c r="H3699" s="465">
        <v>0</v>
      </c>
      <c r="I3699" s="397" t="s">
        <v>1034</v>
      </c>
      <c r="J3699" s="654"/>
      <c r="K3699" s="398" t="s">
        <v>596</v>
      </c>
      <c r="L3699" s="538"/>
      <c r="M3699" s="509">
        <f t="shared" si="11097"/>
        <v>0</v>
      </c>
      <c r="N3699" s="647"/>
      <c r="O3699" s="627"/>
      <c r="P3699" s="629"/>
      <c r="Q3699" s="629"/>
    </row>
    <row r="3700" spans="1:17" ht="15.75" hidden="1" thickBot="1">
      <c r="A3700" s="390" t="str">
        <f t="shared" ref="A3700:B3700" si="11244">A3697</f>
        <v>PHA</v>
      </c>
      <c r="B3700" s="391" t="str">
        <f t="shared" si="11244"/>
        <v>fiber</v>
      </c>
      <c r="C3700" s="391">
        <f t="shared" ref="C3700" si="11245">C3699</f>
        <v>4</v>
      </c>
      <c r="D3700" s="391" t="str">
        <f t="shared" ref="D3700:E3700" si="11246">D3697</f>
        <v>0,1-1</v>
      </c>
      <c r="E3700" s="391">
        <f t="shared" si="11246"/>
        <v>1</v>
      </c>
      <c r="F3700" s="400" t="s">
        <v>1057</v>
      </c>
      <c r="G3700" s="422" t="str">
        <f>CONCATENATE("DE: ",A3700," ",B3700," ",D3700," mm (emission to ",F3700,")")</f>
        <v>DE: PHA fiber 0,1-1 mm (emission to air)</v>
      </c>
      <c r="H3700" s="467">
        <v>0.94799999999999995</v>
      </c>
      <c r="I3700" s="388" t="s">
        <v>1019</v>
      </c>
      <c r="J3700" s="634">
        <v>0.22800000000000001</v>
      </c>
      <c r="K3700" s="389">
        <v>1564.29</v>
      </c>
      <c r="L3700" s="536"/>
      <c r="M3700" s="509">
        <f t="shared" si="11097"/>
        <v>0.15981691374361531</v>
      </c>
      <c r="N3700" s="645">
        <f t="shared" si="11145"/>
        <v>1.2029036945029199</v>
      </c>
      <c r="O3700" s="625"/>
      <c r="P3700" s="628">
        <f t="shared" si="11227"/>
        <v>1.2029036945029199</v>
      </c>
      <c r="Q3700" s="628">
        <f t="shared" si="11101"/>
        <v>1.2029036945029199</v>
      </c>
    </row>
    <row r="3701" spans="1:17" ht="15.75" hidden="1" thickBot="1">
      <c r="A3701" s="390" t="str">
        <f t="shared" ref="A3701:B3701" si="11247">A3698</f>
        <v>PHA</v>
      </c>
      <c r="B3701" s="391" t="str">
        <f t="shared" si="11247"/>
        <v>fiber</v>
      </c>
      <c r="C3701" s="391">
        <f t="shared" ref="C3701" si="11248">C3700</f>
        <v>4</v>
      </c>
      <c r="D3701" s="391" t="str">
        <f t="shared" ref="D3701:E3701" si="11249">D3698</f>
        <v>0,1-1</v>
      </c>
      <c r="E3701" s="391">
        <f t="shared" si="11249"/>
        <v>1</v>
      </c>
      <c r="F3701" s="391" t="str">
        <f t="shared" ref="F3701:G3701" si="11250">F3700</f>
        <v>air</v>
      </c>
      <c r="G3701" s="401" t="str">
        <f t="shared" si="11250"/>
        <v>DE: PHA fiber 0,1-1 mm (emission to air)</v>
      </c>
      <c r="H3701" s="465">
        <v>0</v>
      </c>
      <c r="I3701" s="394" t="s">
        <v>1097</v>
      </c>
      <c r="J3701" s="635"/>
      <c r="K3701" s="389">
        <v>21.270396270396269</v>
      </c>
      <c r="L3701" s="536"/>
      <c r="M3701" s="509">
        <f t="shared" si="11097"/>
        <v>11.753424657534248</v>
      </c>
      <c r="N3701" s="646"/>
      <c r="O3701" s="626"/>
      <c r="P3701" s="629"/>
      <c r="Q3701" s="629"/>
    </row>
    <row r="3702" spans="1:17" ht="15.75" hidden="1" thickBot="1">
      <c r="A3702" s="390" t="str">
        <f t="shared" ref="A3702:B3702" si="11251">A3699</f>
        <v>PHA</v>
      </c>
      <c r="B3702" s="391" t="str">
        <f t="shared" si="11251"/>
        <v>fiber</v>
      </c>
      <c r="C3702" s="391">
        <f t="shared" ref="C3702" si="11252">C3701</f>
        <v>4</v>
      </c>
      <c r="D3702" s="391" t="str">
        <f t="shared" ref="D3702:E3702" si="11253">D3699</f>
        <v>0,1-1</v>
      </c>
      <c r="E3702" s="391">
        <f t="shared" si="11253"/>
        <v>1</v>
      </c>
      <c r="F3702" s="391" t="str">
        <f t="shared" ref="F3702:G3702" si="11254">F3701</f>
        <v>air</v>
      </c>
      <c r="G3702" s="401" t="str">
        <f t="shared" si="11254"/>
        <v>DE: PHA fiber 0,1-1 mm (emission to air)</v>
      </c>
      <c r="H3702" s="465">
        <v>4.7E-2</v>
      </c>
      <c r="I3702" s="394" t="s">
        <v>1162</v>
      </c>
      <c r="J3702" s="635"/>
      <c r="K3702" s="389">
        <v>12.364498644986449</v>
      </c>
      <c r="L3702" s="536"/>
      <c r="M3702" s="509">
        <f t="shared" si="11097"/>
        <v>20.219178082191782</v>
      </c>
      <c r="N3702" s="646"/>
      <c r="O3702" s="626"/>
      <c r="P3702" s="629"/>
      <c r="Q3702" s="629"/>
    </row>
    <row r="3703" spans="1:17" ht="15.75" hidden="1" thickBot="1">
      <c r="A3703" s="390" t="str">
        <f t="shared" ref="A3703:B3703" si="11255">A3700</f>
        <v>PHA</v>
      </c>
      <c r="B3703" s="391" t="str">
        <f t="shared" si="11255"/>
        <v>fiber</v>
      </c>
      <c r="C3703" s="391">
        <f t="shared" ref="C3703" si="11256">C3702</f>
        <v>4</v>
      </c>
      <c r="D3703" s="391" t="str">
        <f t="shared" ref="D3703:E3703" si="11257">D3700</f>
        <v>0,1-1</v>
      </c>
      <c r="E3703" s="391">
        <f t="shared" si="11257"/>
        <v>1</v>
      </c>
      <c r="F3703" s="391" t="str">
        <f t="shared" ref="F3703:G3703" si="11258">F3702</f>
        <v>air</v>
      </c>
      <c r="G3703" s="401" t="str">
        <f t="shared" si="11258"/>
        <v>DE: PHA fiber 0,1-1 mm (emission to air)</v>
      </c>
      <c r="H3703" s="465">
        <v>5.0000000000000001E-3</v>
      </c>
      <c r="I3703" s="394" t="s">
        <v>1146</v>
      </c>
      <c r="J3703" s="635"/>
      <c r="K3703" s="389">
        <v>12.364498644986449</v>
      </c>
      <c r="L3703" s="536"/>
      <c r="M3703" s="509">
        <f t="shared" si="11097"/>
        <v>20.219178082191782</v>
      </c>
      <c r="N3703" s="646"/>
      <c r="O3703" s="626"/>
      <c r="P3703" s="629"/>
      <c r="Q3703" s="629"/>
    </row>
    <row r="3704" spans="1:17" ht="15.75" hidden="1" thickBot="1">
      <c r="A3704" s="390" t="str">
        <f t="shared" ref="A3704:B3704" si="11259">A3699</f>
        <v>PHA</v>
      </c>
      <c r="B3704" s="391" t="str">
        <f t="shared" si="11259"/>
        <v>fiber</v>
      </c>
      <c r="C3704" s="391">
        <f t="shared" ref="C3704" si="11260">C3703</f>
        <v>4</v>
      </c>
      <c r="D3704" s="391" t="str">
        <f t="shared" ref="D3704:E3704" si="11261">D3699</f>
        <v>0,1-1</v>
      </c>
      <c r="E3704" s="391">
        <f t="shared" si="11261"/>
        <v>1</v>
      </c>
      <c r="F3704" s="391" t="str">
        <f t="shared" ref="F3704:G3704" si="11262">F3703</f>
        <v>air</v>
      </c>
      <c r="G3704" s="401" t="str">
        <f t="shared" si="11262"/>
        <v>DE: PHA fiber 0,1-1 mm (emission to air)</v>
      </c>
      <c r="H3704" s="471">
        <v>0</v>
      </c>
      <c r="I3704" s="422" t="s">
        <v>1034</v>
      </c>
      <c r="J3704" s="636"/>
      <c r="K3704" s="451" t="s">
        <v>596</v>
      </c>
      <c r="L3704" s="542"/>
      <c r="M3704" s="509">
        <f t="shared" si="11097"/>
        <v>0</v>
      </c>
      <c r="N3704" s="647"/>
      <c r="O3704" s="627"/>
      <c r="P3704" s="629"/>
      <c r="Q3704" s="629"/>
    </row>
    <row r="3705" spans="1:17" ht="15.75" hidden="1" thickBot="1">
      <c r="A3705" s="405" t="s">
        <v>20</v>
      </c>
      <c r="B3705" s="406" t="s">
        <v>1151</v>
      </c>
      <c r="C3705" s="407">
        <v>4</v>
      </c>
      <c r="D3705" s="423" t="s">
        <v>1026</v>
      </c>
      <c r="E3705" s="408">
        <v>10</v>
      </c>
      <c r="F3705" s="424" t="s">
        <v>1019</v>
      </c>
      <c r="G3705" s="425" t="str">
        <f>CONCATENATE("DE: ",A3705," ",B3705," ",D3705," mm (emission to ",F3705,")")</f>
        <v>DE: PHA fiber 1-10 mm (emission to soil)</v>
      </c>
      <c r="H3705" s="474">
        <v>0.97</v>
      </c>
      <c r="I3705" s="427" t="s">
        <v>1019</v>
      </c>
      <c r="J3705" s="632">
        <v>0.22800000000000001</v>
      </c>
      <c r="K3705" s="428">
        <v>1564.29</v>
      </c>
      <c r="L3705" s="539"/>
      <c r="M3705" s="509">
        <f t="shared" si="11097"/>
        <v>1.5981691374361531</v>
      </c>
      <c r="N3705" s="645">
        <f t="shared" si="11145"/>
        <v>7.6159774879706035</v>
      </c>
      <c r="O3705" s="625"/>
      <c r="P3705" s="628">
        <f t="shared" si="11227"/>
        <v>7.6159774879706035</v>
      </c>
      <c r="Q3705" s="628">
        <f t="shared" si="11101"/>
        <v>7.6159774879706035</v>
      </c>
    </row>
    <row r="3706" spans="1:17" ht="15.75" hidden="1" thickBot="1">
      <c r="A3706" s="390" t="str">
        <f>A3705</f>
        <v>PHA</v>
      </c>
      <c r="B3706" s="391" t="str">
        <f>B3705</f>
        <v>fiber</v>
      </c>
      <c r="C3706" s="391">
        <f t="shared" ref="C3706:G3706" si="11263">C3705</f>
        <v>4</v>
      </c>
      <c r="D3706" s="391" t="str">
        <f t="shared" si="11263"/>
        <v>1-10</v>
      </c>
      <c r="E3706" s="391">
        <f t="shared" si="11263"/>
        <v>10</v>
      </c>
      <c r="F3706" s="391" t="str">
        <f t="shared" si="11263"/>
        <v>soil</v>
      </c>
      <c r="G3706" s="392" t="str">
        <f t="shared" si="11263"/>
        <v>DE: PHA fiber 1-10 mm (emission to soil)</v>
      </c>
      <c r="H3706" s="465">
        <v>0</v>
      </c>
      <c r="I3706" s="394" t="s">
        <v>1097</v>
      </c>
      <c r="J3706" s="632"/>
      <c r="K3706" s="395">
        <v>21.270396270396269</v>
      </c>
      <c r="L3706" s="537"/>
      <c r="M3706" s="509">
        <f t="shared" si="11097"/>
        <v>117.53424657534248</v>
      </c>
      <c r="N3706" s="646"/>
      <c r="O3706" s="626"/>
      <c r="P3706" s="629"/>
      <c r="Q3706" s="629"/>
    </row>
    <row r="3707" spans="1:17" ht="15.75" hidden="1" thickBot="1">
      <c r="A3707" s="390" t="str">
        <f t="shared" ref="A3707:G3707" si="11264">A3706</f>
        <v>PHA</v>
      </c>
      <c r="B3707" s="391" t="str">
        <f t="shared" si="11264"/>
        <v>fiber</v>
      </c>
      <c r="C3707" s="391">
        <f t="shared" si="11264"/>
        <v>4</v>
      </c>
      <c r="D3707" s="391" t="str">
        <f t="shared" si="11264"/>
        <v>1-10</v>
      </c>
      <c r="E3707" s="391">
        <f t="shared" si="11264"/>
        <v>10</v>
      </c>
      <c r="F3707" s="391" t="str">
        <f t="shared" si="11264"/>
        <v>soil</v>
      </c>
      <c r="G3707" s="392" t="str">
        <f t="shared" si="11264"/>
        <v>DE: PHA fiber 1-10 mm (emission to soil)</v>
      </c>
      <c r="H3707" s="465">
        <v>2.7E-2</v>
      </c>
      <c r="I3707" s="394" t="s">
        <v>1162</v>
      </c>
      <c r="J3707" s="632"/>
      <c r="K3707" s="395">
        <v>12.364498644986449</v>
      </c>
      <c r="L3707" s="537"/>
      <c r="M3707" s="509">
        <f t="shared" si="11097"/>
        <v>202.1917808219178</v>
      </c>
      <c r="N3707" s="646"/>
      <c r="O3707" s="626"/>
      <c r="P3707" s="629"/>
      <c r="Q3707" s="629"/>
    </row>
    <row r="3708" spans="1:17" ht="15.75" hidden="1" thickBot="1">
      <c r="A3708" s="390" t="str">
        <f t="shared" ref="A3708:G3708" si="11265">A3707</f>
        <v>PHA</v>
      </c>
      <c r="B3708" s="391" t="str">
        <f t="shared" si="11265"/>
        <v>fiber</v>
      </c>
      <c r="C3708" s="391">
        <f t="shared" si="11265"/>
        <v>4</v>
      </c>
      <c r="D3708" s="391" t="str">
        <f t="shared" si="11265"/>
        <v>1-10</v>
      </c>
      <c r="E3708" s="391">
        <f t="shared" si="11265"/>
        <v>10</v>
      </c>
      <c r="F3708" s="391" t="str">
        <f t="shared" si="11265"/>
        <v>soil</v>
      </c>
      <c r="G3708" s="392" t="str">
        <f t="shared" si="11265"/>
        <v>DE: PHA fiber 1-10 mm (emission to soil)</v>
      </c>
      <c r="H3708" s="465">
        <v>3.0000000000000001E-3</v>
      </c>
      <c r="I3708" s="394" t="s">
        <v>1146</v>
      </c>
      <c r="J3708" s="632"/>
      <c r="K3708" s="395">
        <v>12.364498644986449</v>
      </c>
      <c r="L3708" s="537"/>
      <c r="M3708" s="509">
        <f t="shared" si="11097"/>
        <v>202.1917808219178</v>
      </c>
      <c r="N3708" s="646"/>
      <c r="O3708" s="626"/>
      <c r="P3708" s="629"/>
      <c r="Q3708" s="629"/>
    </row>
    <row r="3709" spans="1:17" ht="15.75" hidden="1" thickBot="1">
      <c r="A3709" s="390" t="str">
        <f>A3706</f>
        <v>PHA</v>
      </c>
      <c r="B3709" s="391" t="str">
        <f>B3706</f>
        <v>fiber</v>
      </c>
      <c r="C3709" s="391">
        <f t="shared" ref="C3709" si="11266">C3708</f>
        <v>4</v>
      </c>
      <c r="D3709" s="391" t="str">
        <f>D3706</f>
        <v>1-10</v>
      </c>
      <c r="E3709" s="391">
        <f>E3706</f>
        <v>10</v>
      </c>
      <c r="F3709" s="391" t="str">
        <f>F3706</f>
        <v>soil</v>
      </c>
      <c r="G3709" s="396" t="str">
        <f t="shared" ref="G3709" si="11267">G3708</f>
        <v>DE: PHA fiber 1-10 mm (emission to soil)</v>
      </c>
      <c r="H3709" s="465">
        <v>0</v>
      </c>
      <c r="I3709" s="397" t="s">
        <v>1034</v>
      </c>
      <c r="J3709" s="633"/>
      <c r="K3709" s="398" t="s">
        <v>596</v>
      </c>
      <c r="L3709" s="538"/>
      <c r="M3709" s="509">
        <f t="shared" si="11097"/>
        <v>0</v>
      </c>
      <c r="N3709" s="647"/>
      <c r="O3709" s="627"/>
      <c r="P3709" s="629"/>
      <c r="Q3709" s="629"/>
    </row>
    <row r="3710" spans="1:17" ht="15.75" hidden="1" thickBot="1">
      <c r="A3710" s="390" t="str">
        <f t="shared" ref="A3710:B3710" si="11268">A3707</f>
        <v>PHA</v>
      </c>
      <c r="B3710" s="391" t="str">
        <f t="shared" si="11268"/>
        <v>fiber</v>
      </c>
      <c r="C3710" s="391">
        <f t="shared" ref="C3710" si="11269">C3709</f>
        <v>4</v>
      </c>
      <c r="D3710" s="399" t="str">
        <f t="shared" ref="D3710:E3710" si="11270">D3707</f>
        <v>1-10</v>
      </c>
      <c r="E3710" s="391">
        <f t="shared" si="11270"/>
        <v>10</v>
      </c>
      <c r="F3710" s="400" t="s">
        <v>1147</v>
      </c>
      <c r="G3710" s="386" t="str">
        <f>CONCATENATE("DE: ",A3710," ",B3710," ",D3710," mm (emission to ",F3710,")")</f>
        <v>DE: PHA fiber 1-10 mm (emission to fresh water)</v>
      </c>
      <c r="H3710" s="466">
        <v>0</v>
      </c>
      <c r="I3710" s="388" t="s">
        <v>1019</v>
      </c>
      <c r="J3710" s="634">
        <v>0.22800000000000001</v>
      </c>
      <c r="K3710" s="389">
        <v>1564.29</v>
      </c>
      <c r="L3710" s="536"/>
      <c r="M3710" s="509">
        <f t="shared" si="11097"/>
        <v>1.5981691374361531</v>
      </c>
      <c r="N3710" s="645">
        <f t="shared" si="11145"/>
        <v>202.1917808219178</v>
      </c>
      <c r="O3710" s="625"/>
      <c r="P3710" s="628">
        <f t="shared" si="11227"/>
        <v>100</v>
      </c>
      <c r="Q3710" s="628">
        <f t="shared" si="11101"/>
        <v>202.1917808219178</v>
      </c>
    </row>
    <row r="3711" spans="1:17" ht="15.75" hidden="1" thickBot="1">
      <c r="A3711" s="390" t="str">
        <f t="shared" ref="A3711:B3711" si="11271">A3708</f>
        <v>PHA</v>
      </c>
      <c r="B3711" s="391" t="str">
        <f t="shared" si="11271"/>
        <v>fiber</v>
      </c>
      <c r="C3711" s="391">
        <f t="shared" ref="C3711" si="11272">C3710</f>
        <v>4</v>
      </c>
      <c r="D3711" s="391" t="str">
        <f t="shared" ref="D3711:E3711" si="11273">D3708</f>
        <v>1-10</v>
      </c>
      <c r="E3711" s="391">
        <f t="shared" si="11273"/>
        <v>10</v>
      </c>
      <c r="F3711" s="391" t="str">
        <f t="shared" ref="F3711:G3711" si="11274">F3710</f>
        <v>fresh water</v>
      </c>
      <c r="G3711" s="401" t="str">
        <f t="shared" si="11274"/>
        <v>DE: PHA fiber 1-10 mm (emission to fresh water)</v>
      </c>
      <c r="H3711" s="465">
        <v>0</v>
      </c>
      <c r="I3711" s="394" t="s">
        <v>1097</v>
      </c>
      <c r="J3711" s="635"/>
      <c r="K3711" s="389">
        <v>21.270396270396269</v>
      </c>
      <c r="L3711" s="536"/>
      <c r="M3711" s="509">
        <f t="shared" si="11097"/>
        <v>117.53424657534248</v>
      </c>
      <c r="N3711" s="646"/>
      <c r="O3711" s="626"/>
      <c r="P3711" s="629"/>
      <c r="Q3711" s="629"/>
    </row>
    <row r="3712" spans="1:17" ht="15.75" hidden="1" thickBot="1">
      <c r="A3712" s="390" t="str">
        <f t="shared" ref="A3712:B3712" si="11275">A3709</f>
        <v>PHA</v>
      </c>
      <c r="B3712" s="391" t="str">
        <f t="shared" si="11275"/>
        <v>fiber</v>
      </c>
      <c r="C3712" s="391">
        <f t="shared" ref="C3712" si="11276">C3711</f>
        <v>4</v>
      </c>
      <c r="D3712" s="391" t="str">
        <f t="shared" ref="D3712:E3712" si="11277">D3709</f>
        <v>1-10</v>
      </c>
      <c r="E3712" s="391">
        <f t="shared" si="11277"/>
        <v>10</v>
      </c>
      <c r="F3712" s="391" t="str">
        <f t="shared" ref="F3712:G3712" si="11278">F3711</f>
        <v>fresh water</v>
      </c>
      <c r="G3712" s="401" t="str">
        <f t="shared" si="11278"/>
        <v>DE: PHA fiber 1-10 mm (emission to fresh water)</v>
      </c>
      <c r="H3712" s="465">
        <v>0.89</v>
      </c>
      <c r="I3712" s="394" t="s">
        <v>1162</v>
      </c>
      <c r="J3712" s="635"/>
      <c r="K3712" s="389">
        <v>12.364498644986449</v>
      </c>
      <c r="L3712" s="536"/>
      <c r="M3712" s="509">
        <f t="shared" si="11097"/>
        <v>202.1917808219178</v>
      </c>
      <c r="N3712" s="646"/>
      <c r="O3712" s="626"/>
      <c r="P3712" s="629"/>
      <c r="Q3712" s="629"/>
    </row>
    <row r="3713" spans="1:17" ht="15.75" hidden="1" thickBot="1">
      <c r="A3713" s="390" t="str">
        <f t="shared" ref="A3713:B3713" si="11279">A3710</f>
        <v>PHA</v>
      </c>
      <c r="B3713" s="391" t="str">
        <f t="shared" si="11279"/>
        <v>fiber</v>
      </c>
      <c r="C3713" s="391">
        <f t="shared" ref="C3713" si="11280">C3712</f>
        <v>4</v>
      </c>
      <c r="D3713" s="391" t="str">
        <f t="shared" ref="D3713:E3713" si="11281">D3710</f>
        <v>1-10</v>
      </c>
      <c r="E3713" s="391">
        <f t="shared" si="11281"/>
        <v>10</v>
      </c>
      <c r="F3713" s="391" t="str">
        <f t="shared" ref="F3713:G3713" si="11282">F3712</f>
        <v>fresh water</v>
      </c>
      <c r="G3713" s="401" t="str">
        <f t="shared" si="11282"/>
        <v>DE: PHA fiber 1-10 mm (emission to fresh water)</v>
      </c>
      <c r="H3713" s="465">
        <v>0.11</v>
      </c>
      <c r="I3713" s="394" t="s">
        <v>1146</v>
      </c>
      <c r="J3713" s="635"/>
      <c r="K3713" s="389">
        <v>12.364498644986449</v>
      </c>
      <c r="L3713" s="536"/>
      <c r="M3713" s="509">
        <f t="shared" si="11097"/>
        <v>202.1917808219178</v>
      </c>
      <c r="N3713" s="646"/>
      <c r="O3713" s="626"/>
      <c r="P3713" s="629"/>
      <c r="Q3713" s="629"/>
    </row>
    <row r="3714" spans="1:17" ht="15.75" hidden="1" thickBot="1">
      <c r="A3714" s="390" t="str">
        <f t="shared" ref="A3714:B3714" si="11283">A3711</f>
        <v>PHA</v>
      </c>
      <c r="B3714" s="391" t="str">
        <f t="shared" si="11283"/>
        <v>fiber</v>
      </c>
      <c r="C3714" s="391">
        <f t="shared" ref="C3714" si="11284">C3713</f>
        <v>4</v>
      </c>
      <c r="D3714" s="391" t="str">
        <f t="shared" ref="D3714:E3714" si="11285">D3711</f>
        <v>1-10</v>
      </c>
      <c r="E3714" s="391">
        <f t="shared" si="11285"/>
        <v>10</v>
      </c>
      <c r="F3714" s="402" t="str">
        <f>F3711</f>
        <v>fresh water</v>
      </c>
      <c r="G3714" s="401" t="str">
        <f t="shared" ref="G3714" si="11286">G3713</f>
        <v>DE: PHA fiber 1-10 mm (emission to fresh water)</v>
      </c>
      <c r="H3714" s="465">
        <v>0</v>
      </c>
      <c r="I3714" s="397" t="s">
        <v>1034</v>
      </c>
      <c r="J3714" s="654"/>
      <c r="K3714" s="398" t="s">
        <v>596</v>
      </c>
      <c r="L3714" s="538"/>
      <c r="M3714" s="509">
        <f t="shared" si="11097"/>
        <v>0</v>
      </c>
      <c r="N3714" s="647"/>
      <c r="O3714" s="627"/>
      <c r="P3714" s="629"/>
      <c r="Q3714" s="629"/>
    </row>
    <row r="3715" spans="1:17" ht="15.75" hidden="1" thickBot="1">
      <c r="A3715" s="390" t="str">
        <f t="shared" ref="A3715:B3715" si="11287">A3712</f>
        <v>PHA</v>
      </c>
      <c r="B3715" s="391" t="str">
        <f t="shared" si="11287"/>
        <v>fiber</v>
      </c>
      <c r="C3715" s="391">
        <f t="shared" ref="C3715" si="11288">C3714</f>
        <v>4</v>
      </c>
      <c r="D3715" s="391" t="str">
        <f t="shared" ref="D3715:E3715" si="11289">D3712</f>
        <v>1-10</v>
      </c>
      <c r="E3715" s="391">
        <f t="shared" si="11289"/>
        <v>10</v>
      </c>
      <c r="F3715" s="385" t="s">
        <v>1097</v>
      </c>
      <c r="G3715" s="422" t="str">
        <f>CONCATENATE("DE: ",A3715," ",B3715," ",D3715," mm (emission to ",F3715,")")</f>
        <v>DE: PHA fiber 1-10 mm (emission to marine water)</v>
      </c>
      <c r="H3715" s="467">
        <v>0</v>
      </c>
      <c r="I3715" s="388" t="s">
        <v>1019</v>
      </c>
      <c r="J3715" s="634">
        <v>0.22800000000000001</v>
      </c>
      <c r="K3715" s="389">
        <v>1564.29</v>
      </c>
      <c r="L3715" s="536"/>
      <c r="M3715" s="509">
        <f t="shared" si="11097"/>
        <v>1.5981691374361531</v>
      </c>
      <c r="N3715" s="645">
        <f t="shared" si="11145"/>
        <v>202.1917808219178</v>
      </c>
      <c r="O3715" s="625"/>
      <c r="P3715" s="628">
        <f t="shared" si="11227"/>
        <v>100</v>
      </c>
      <c r="Q3715" s="628">
        <f t="shared" si="11101"/>
        <v>202.1917808219178</v>
      </c>
    </row>
    <row r="3716" spans="1:17" ht="15.75" hidden="1" thickBot="1">
      <c r="A3716" s="390" t="str">
        <f t="shared" ref="A3716:B3716" si="11290">A3713</f>
        <v>PHA</v>
      </c>
      <c r="B3716" s="391" t="str">
        <f t="shared" si="11290"/>
        <v>fiber</v>
      </c>
      <c r="C3716" s="391">
        <f t="shared" ref="C3716" si="11291">C3715</f>
        <v>4</v>
      </c>
      <c r="D3716" s="391" t="str">
        <f t="shared" ref="D3716:E3716" si="11292">D3713</f>
        <v>1-10</v>
      </c>
      <c r="E3716" s="391">
        <f t="shared" si="11292"/>
        <v>10</v>
      </c>
      <c r="F3716" s="391" t="str">
        <f t="shared" ref="F3716:G3716" si="11293">F3715</f>
        <v>marine water</v>
      </c>
      <c r="G3716" s="401" t="str">
        <f t="shared" si="11293"/>
        <v>DE: PHA fiber 1-10 mm (emission to marine water)</v>
      </c>
      <c r="H3716" s="465">
        <v>0</v>
      </c>
      <c r="I3716" s="394" t="s">
        <v>1097</v>
      </c>
      <c r="J3716" s="635"/>
      <c r="K3716" s="389">
        <v>21.270396270396269</v>
      </c>
      <c r="L3716" s="536"/>
      <c r="M3716" s="509">
        <f t="shared" si="11097"/>
        <v>117.53424657534248</v>
      </c>
      <c r="N3716" s="646"/>
      <c r="O3716" s="626"/>
      <c r="P3716" s="629"/>
      <c r="Q3716" s="629"/>
    </row>
    <row r="3717" spans="1:17" ht="15.75" hidden="1" thickBot="1">
      <c r="A3717" s="390" t="str">
        <f t="shared" ref="A3717:B3717" si="11294">A3714</f>
        <v>PHA</v>
      </c>
      <c r="B3717" s="391" t="str">
        <f t="shared" si="11294"/>
        <v>fiber</v>
      </c>
      <c r="C3717" s="391">
        <f t="shared" ref="C3717" si="11295">C3716</f>
        <v>4</v>
      </c>
      <c r="D3717" s="391" t="str">
        <f t="shared" ref="D3717:E3717" si="11296">D3714</f>
        <v>1-10</v>
      </c>
      <c r="E3717" s="391">
        <f t="shared" si="11296"/>
        <v>10</v>
      </c>
      <c r="F3717" s="391" t="str">
        <f t="shared" ref="F3717:G3717" si="11297">F3716</f>
        <v>marine water</v>
      </c>
      <c r="G3717" s="401" t="str">
        <f t="shared" si="11297"/>
        <v>DE: PHA fiber 1-10 mm (emission to marine water)</v>
      </c>
      <c r="H3717" s="465">
        <v>0</v>
      </c>
      <c r="I3717" s="394" t="s">
        <v>1162</v>
      </c>
      <c r="J3717" s="635"/>
      <c r="K3717" s="389">
        <v>12.364498644986449</v>
      </c>
      <c r="L3717" s="536"/>
      <c r="M3717" s="509">
        <f t="shared" si="11097"/>
        <v>202.1917808219178</v>
      </c>
      <c r="N3717" s="646"/>
      <c r="O3717" s="626"/>
      <c r="P3717" s="629"/>
      <c r="Q3717" s="629"/>
    </row>
    <row r="3718" spans="1:17" ht="15.75" hidden="1" thickBot="1">
      <c r="A3718" s="390" t="str">
        <f t="shared" ref="A3718:B3718" si="11298">A3715</f>
        <v>PHA</v>
      </c>
      <c r="B3718" s="391" t="str">
        <f t="shared" si="11298"/>
        <v>fiber</v>
      </c>
      <c r="C3718" s="391">
        <f t="shared" ref="C3718" si="11299">C3717</f>
        <v>4</v>
      </c>
      <c r="D3718" s="391" t="str">
        <f t="shared" ref="D3718:E3718" si="11300">D3715</f>
        <v>1-10</v>
      </c>
      <c r="E3718" s="391">
        <f t="shared" si="11300"/>
        <v>10</v>
      </c>
      <c r="F3718" s="391" t="str">
        <f t="shared" ref="F3718:G3718" si="11301">F3717</f>
        <v>marine water</v>
      </c>
      <c r="G3718" s="401" t="str">
        <f t="shared" si="11301"/>
        <v>DE: PHA fiber 1-10 mm (emission to marine water)</v>
      </c>
      <c r="H3718" s="465">
        <v>1</v>
      </c>
      <c r="I3718" s="394" t="s">
        <v>1146</v>
      </c>
      <c r="J3718" s="635"/>
      <c r="K3718" s="389">
        <v>12.364498644986449</v>
      </c>
      <c r="L3718" s="536"/>
      <c r="M3718" s="509">
        <f t="shared" ref="M3718:M3781" si="11302">IFERROR(IF(K3718="--",0,IF(E3718*1000/K3718*(1-0.5)^(C3718/2)&gt;1000,1000,E3718*1000/K3718*(1-0.5)^(C3718/2))),1000)</f>
        <v>202.1917808219178</v>
      </c>
      <c r="N3718" s="646"/>
      <c r="O3718" s="626"/>
      <c r="P3718" s="629"/>
      <c r="Q3718" s="629"/>
    </row>
    <row r="3719" spans="1:17" ht="15.75" hidden="1" thickBot="1">
      <c r="A3719" s="390" t="str">
        <f t="shared" ref="A3719:B3719" si="11303">A3716</f>
        <v>PHA</v>
      </c>
      <c r="B3719" s="391" t="str">
        <f t="shared" si="11303"/>
        <v>fiber</v>
      </c>
      <c r="C3719" s="391">
        <f t="shared" ref="C3719" si="11304">C3718</f>
        <v>4</v>
      </c>
      <c r="D3719" s="391" t="str">
        <f t="shared" ref="D3719:E3719" si="11305">D3716</f>
        <v>1-10</v>
      </c>
      <c r="E3719" s="391">
        <f t="shared" si="11305"/>
        <v>10</v>
      </c>
      <c r="F3719" s="391" t="str">
        <f t="shared" ref="F3719:G3719" si="11306">F3718</f>
        <v>marine water</v>
      </c>
      <c r="G3719" s="401" t="str">
        <f t="shared" si="11306"/>
        <v>DE: PHA fiber 1-10 mm (emission to marine water)</v>
      </c>
      <c r="H3719" s="465">
        <v>0</v>
      </c>
      <c r="I3719" s="397" t="s">
        <v>1034</v>
      </c>
      <c r="J3719" s="654"/>
      <c r="K3719" s="398" t="s">
        <v>596</v>
      </c>
      <c r="L3719" s="538"/>
      <c r="M3719" s="509">
        <f t="shared" si="11302"/>
        <v>0</v>
      </c>
      <c r="N3719" s="647"/>
      <c r="O3719" s="627"/>
      <c r="P3719" s="629"/>
      <c r="Q3719" s="629"/>
    </row>
    <row r="3720" spans="1:17" ht="15.75" hidden="1" thickBot="1">
      <c r="A3720" s="390" t="str">
        <f t="shared" ref="A3720:B3720" si="11307">A3717</f>
        <v>PHA</v>
      </c>
      <c r="B3720" s="391" t="str">
        <f t="shared" si="11307"/>
        <v>fiber</v>
      </c>
      <c r="C3720" s="391">
        <f t="shared" ref="C3720" si="11308">C3719</f>
        <v>4</v>
      </c>
      <c r="D3720" s="391" t="str">
        <f t="shared" ref="D3720:E3720" si="11309">D3717</f>
        <v>1-10</v>
      </c>
      <c r="E3720" s="391">
        <f t="shared" si="11309"/>
        <v>10</v>
      </c>
      <c r="F3720" s="400" t="s">
        <v>1057</v>
      </c>
      <c r="G3720" s="422" t="str">
        <f>CONCATENATE("DE: ",A3720," ",B3720," ",D3720," mm (emission to ",F3720,")")</f>
        <v>DE: PHA fiber 1-10 mm (emission to air)</v>
      </c>
      <c r="H3720" s="467">
        <v>0.94799999999999995</v>
      </c>
      <c r="I3720" s="388" t="s">
        <v>1019</v>
      </c>
      <c r="J3720" s="634">
        <v>0.22800000000000001</v>
      </c>
      <c r="K3720" s="389">
        <v>1564.29</v>
      </c>
      <c r="L3720" s="536"/>
      <c r="M3720" s="509">
        <f t="shared" si="11302"/>
        <v>1.5981691374361531</v>
      </c>
      <c r="N3720" s="645">
        <f t="shared" si="11145"/>
        <v>12.029036945029198</v>
      </c>
      <c r="O3720" s="625"/>
      <c r="P3720" s="628">
        <f t="shared" si="11227"/>
        <v>12.029036945029198</v>
      </c>
      <c r="Q3720" s="628">
        <f t="shared" ref="Q3720:Q3780" si="11310">IFERROR(IF(H3720*M3720+H3721*M3721+H3722*M3722+H3723*M3723+H3724*M3724&gt;500,500,H3720*M3720+H3721*M3721+H3722*M3722+H3723*M3723+H3724*M3724),"N.A.")</f>
        <v>12.029036945029198</v>
      </c>
    </row>
    <row r="3721" spans="1:17" ht="15.75" hidden="1" thickBot="1">
      <c r="A3721" s="390" t="str">
        <f t="shared" ref="A3721:B3721" si="11311">A3718</f>
        <v>PHA</v>
      </c>
      <c r="B3721" s="391" t="str">
        <f t="shared" si="11311"/>
        <v>fiber</v>
      </c>
      <c r="C3721" s="391">
        <f t="shared" ref="C3721" si="11312">C3720</f>
        <v>4</v>
      </c>
      <c r="D3721" s="391" t="str">
        <f t="shared" ref="D3721:E3721" si="11313">D3718</f>
        <v>1-10</v>
      </c>
      <c r="E3721" s="391">
        <f t="shared" si="11313"/>
        <v>10</v>
      </c>
      <c r="F3721" s="391" t="str">
        <f t="shared" ref="F3721:G3721" si="11314">F3720</f>
        <v>air</v>
      </c>
      <c r="G3721" s="401" t="str">
        <f t="shared" si="11314"/>
        <v>DE: PHA fiber 1-10 mm (emission to air)</v>
      </c>
      <c r="H3721" s="465">
        <v>0</v>
      </c>
      <c r="I3721" s="394" t="s">
        <v>1097</v>
      </c>
      <c r="J3721" s="635"/>
      <c r="K3721" s="389">
        <v>21.270396270396269</v>
      </c>
      <c r="L3721" s="536"/>
      <c r="M3721" s="509">
        <f t="shared" si="11302"/>
        <v>117.53424657534248</v>
      </c>
      <c r="N3721" s="646"/>
      <c r="O3721" s="626"/>
      <c r="P3721" s="629"/>
      <c r="Q3721" s="629"/>
    </row>
    <row r="3722" spans="1:17" ht="15.75" hidden="1" thickBot="1">
      <c r="A3722" s="390" t="str">
        <f t="shared" ref="A3722:B3722" si="11315">A3719</f>
        <v>PHA</v>
      </c>
      <c r="B3722" s="391" t="str">
        <f t="shared" si="11315"/>
        <v>fiber</v>
      </c>
      <c r="C3722" s="391">
        <f t="shared" ref="C3722" si="11316">C3721</f>
        <v>4</v>
      </c>
      <c r="D3722" s="391" t="str">
        <f t="shared" ref="D3722:E3722" si="11317">D3719</f>
        <v>1-10</v>
      </c>
      <c r="E3722" s="391">
        <f t="shared" si="11317"/>
        <v>10</v>
      </c>
      <c r="F3722" s="391" t="str">
        <f t="shared" ref="F3722:G3722" si="11318">F3721</f>
        <v>air</v>
      </c>
      <c r="G3722" s="401" t="str">
        <f t="shared" si="11318"/>
        <v>DE: PHA fiber 1-10 mm (emission to air)</v>
      </c>
      <c r="H3722" s="465">
        <v>4.7E-2</v>
      </c>
      <c r="I3722" s="394" t="s">
        <v>1162</v>
      </c>
      <c r="J3722" s="635"/>
      <c r="K3722" s="389">
        <v>12.364498644986449</v>
      </c>
      <c r="L3722" s="536"/>
      <c r="M3722" s="509">
        <f t="shared" si="11302"/>
        <v>202.1917808219178</v>
      </c>
      <c r="N3722" s="646"/>
      <c r="O3722" s="626"/>
      <c r="P3722" s="629"/>
      <c r="Q3722" s="629"/>
    </row>
    <row r="3723" spans="1:17" ht="15.75" hidden="1" thickBot="1">
      <c r="A3723" s="390" t="str">
        <f t="shared" ref="A3723:B3723" si="11319">A3720</f>
        <v>PHA</v>
      </c>
      <c r="B3723" s="391" t="str">
        <f t="shared" si="11319"/>
        <v>fiber</v>
      </c>
      <c r="C3723" s="391">
        <f t="shared" ref="C3723" si="11320">C3722</f>
        <v>4</v>
      </c>
      <c r="D3723" s="391" t="str">
        <f t="shared" ref="D3723:E3723" si="11321">D3720</f>
        <v>1-10</v>
      </c>
      <c r="E3723" s="391">
        <f t="shared" si="11321"/>
        <v>10</v>
      </c>
      <c r="F3723" s="391" t="str">
        <f t="shared" ref="F3723:G3723" si="11322">F3722</f>
        <v>air</v>
      </c>
      <c r="G3723" s="401" t="str">
        <f t="shared" si="11322"/>
        <v>DE: PHA fiber 1-10 mm (emission to air)</v>
      </c>
      <c r="H3723" s="465">
        <v>5.0000000000000001E-3</v>
      </c>
      <c r="I3723" s="394" t="s">
        <v>1146</v>
      </c>
      <c r="J3723" s="635"/>
      <c r="K3723" s="389">
        <v>12.364498644986449</v>
      </c>
      <c r="L3723" s="536"/>
      <c r="M3723" s="509">
        <f t="shared" si="11302"/>
        <v>202.1917808219178</v>
      </c>
      <c r="N3723" s="646"/>
      <c r="O3723" s="626"/>
      <c r="P3723" s="629"/>
      <c r="Q3723" s="629"/>
    </row>
    <row r="3724" spans="1:17" ht="15.75" hidden="1" thickBot="1">
      <c r="A3724" s="452" t="str">
        <f t="shared" ref="A3724:B3724" si="11323">A3719</f>
        <v>PHA</v>
      </c>
      <c r="B3724" s="453" t="str">
        <f t="shared" si="11323"/>
        <v>fiber</v>
      </c>
      <c r="C3724" s="453">
        <f t="shared" ref="C3724" si="11324">C3723</f>
        <v>4</v>
      </c>
      <c r="D3724" s="453" t="str">
        <f t="shared" ref="D3724:E3724" si="11325">D3719</f>
        <v>1-10</v>
      </c>
      <c r="E3724" s="453">
        <f t="shared" si="11325"/>
        <v>10</v>
      </c>
      <c r="F3724" s="453" t="str">
        <f t="shared" ref="F3724:G3724" si="11326">F3723</f>
        <v>air</v>
      </c>
      <c r="G3724" s="454" t="str">
        <f t="shared" si="11326"/>
        <v>DE: PHA fiber 1-10 mm (emission to air)</v>
      </c>
      <c r="H3724" s="473">
        <v>0</v>
      </c>
      <c r="I3724" s="479" t="s">
        <v>1034</v>
      </c>
      <c r="J3724" s="636"/>
      <c r="K3724" s="457" t="s">
        <v>596</v>
      </c>
      <c r="L3724" s="543"/>
      <c r="M3724" s="509">
        <f t="shared" si="11302"/>
        <v>0</v>
      </c>
      <c r="N3724" s="647"/>
      <c r="O3724" s="627"/>
      <c r="P3724" s="629"/>
      <c r="Q3724" s="629"/>
    </row>
    <row r="3725" spans="1:17" ht="15.75" hidden="1" thickBot="1">
      <c r="A3725" s="381" t="s">
        <v>20</v>
      </c>
      <c r="B3725" s="382" t="s">
        <v>1152</v>
      </c>
      <c r="C3725" s="383">
        <v>6</v>
      </c>
      <c r="D3725" s="475" t="s">
        <v>1018</v>
      </c>
      <c r="E3725" s="384">
        <v>0.1</v>
      </c>
      <c r="F3725" s="385" t="s">
        <v>1019</v>
      </c>
      <c r="G3725" s="386" t="str">
        <f>CONCATENATE("DE: ",A3725," ",B3725," ",D3725," mm (emission to ",F3725,")")</f>
        <v>DE: PHA particle 0,01-0,1 mm (emission to soil)</v>
      </c>
      <c r="H3725" s="466">
        <v>0.97</v>
      </c>
      <c r="I3725" s="388" t="s">
        <v>1019</v>
      </c>
      <c r="J3725" s="632">
        <v>0.22800000000000001</v>
      </c>
      <c r="K3725" s="389">
        <v>1564.29</v>
      </c>
      <c r="L3725" s="536"/>
      <c r="M3725" s="509">
        <f t="shared" si="11302"/>
        <v>7.9908456871807653E-3</v>
      </c>
      <c r="N3725" s="645">
        <f t="shared" si="11145"/>
        <v>3.8079887439853015E-2</v>
      </c>
      <c r="O3725" s="625"/>
      <c r="P3725" s="628">
        <f t="shared" si="11227"/>
        <v>3.8079887439853015E-2</v>
      </c>
      <c r="Q3725" s="628">
        <f t="shared" si="11310"/>
        <v>3.8079887439853015E-2</v>
      </c>
    </row>
    <row r="3726" spans="1:17" ht="15.75" hidden="1" thickBot="1">
      <c r="A3726" s="390" t="str">
        <f>A3725</f>
        <v>PHA</v>
      </c>
      <c r="B3726" s="391" t="str">
        <f>B3725</f>
        <v>particle</v>
      </c>
      <c r="C3726" s="391">
        <f t="shared" ref="C3726:G3726" si="11327">C3725</f>
        <v>6</v>
      </c>
      <c r="D3726" s="391" t="str">
        <f t="shared" si="11327"/>
        <v>0,01-0,1</v>
      </c>
      <c r="E3726" s="391">
        <f t="shared" si="11327"/>
        <v>0.1</v>
      </c>
      <c r="F3726" s="391" t="str">
        <f t="shared" si="11327"/>
        <v>soil</v>
      </c>
      <c r="G3726" s="392" t="str">
        <f t="shared" si="11327"/>
        <v>DE: PHA particle 0,01-0,1 mm (emission to soil)</v>
      </c>
      <c r="H3726" s="465">
        <v>0</v>
      </c>
      <c r="I3726" s="394" t="s">
        <v>1097</v>
      </c>
      <c r="J3726" s="632"/>
      <c r="K3726" s="395">
        <v>21.270396270396269</v>
      </c>
      <c r="L3726" s="537"/>
      <c r="M3726" s="509">
        <f t="shared" si="11302"/>
        <v>0.58767123287671241</v>
      </c>
      <c r="N3726" s="646"/>
      <c r="O3726" s="626"/>
      <c r="P3726" s="629"/>
      <c r="Q3726" s="629"/>
    </row>
    <row r="3727" spans="1:17" ht="15.75" hidden="1" thickBot="1">
      <c r="A3727" s="390" t="str">
        <f t="shared" ref="A3727:G3727" si="11328">A3726</f>
        <v>PHA</v>
      </c>
      <c r="B3727" s="391" t="str">
        <f t="shared" si="11328"/>
        <v>particle</v>
      </c>
      <c r="C3727" s="391">
        <f t="shared" si="11328"/>
        <v>6</v>
      </c>
      <c r="D3727" s="391" t="str">
        <f t="shared" si="11328"/>
        <v>0,01-0,1</v>
      </c>
      <c r="E3727" s="391">
        <f t="shared" si="11328"/>
        <v>0.1</v>
      </c>
      <c r="F3727" s="391" t="str">
        <f t="shared" si="11328"/>
        <v>soil</v>
      </c>
      <c r="G3727" s="392" t="str">
        <f t="shared" si="11328"/>
        <v>DE: PHA particle 0,01-0,1 mm (emission to soil)</v>
      </c>
      <c r="H3727" s="465">
        <v>2.7E-2</v>
      </c>
      <c r="I3727" s="394" t="s">
        <v>1162</v>
      </c>
      <c r="J3727" s="632"/>
      <c r="K3727" s="395">
        <v>12.364498644986449</v>
      </c>
      <c r="L3727" s="537"/>
      <c r="M3727" s="509">
        <f t="shared" si="11302"/>
        <v>1.010958904109589</v>
      </c>
      <c r="N3727" s="646"/>
      <c r="O3727" s="626"/>
      <c r="P3727" s="629"/>
      <c r="Q3727" s="629"/>
    </row>
    <row r="3728" spans="1:17" ht="15.75" hidden="1" thickBot="1">
      <c r="A3728" s="390" t="str">
        <f t="shared" ref="A3728:G3728" si="11329">A3727</f>
        <v>PHA</v>
      </c>
      <c r="B3728" s="391" t="str">
        <f t="shared" si="11329"/>
        <v>particle</v>
      </c>
      <c r="C3728" s="391">
        <f t="shared" si="11329"/>
        <v>6</v>
      </c>
      <c r="D3728" s="391" t="str">
        <f t="shared" si="11329"/>
        <v>0,01-0,1</v>
      </c>
      <c r="E3728" s="391">
        <f t="shared" si="11329"/>
        <v>0.1</v>
      </c>
      <c r="F3728" s="391" t="str">
        <f t="shared" si="11329"/>
        <v>soil</v>
      </c>
      <c r="G3728" s="392" t="str">
        <f t="shared" si="11329"/>
        <v>DE: PHA particle 0,01-0,1 mm (emission to soil)</v>
      </c>
      <c r="H3728" s="465">
        <v>3.0000000000000001E-3</v>
      </c>
      <c r="I3728" s="394" t="s">
        <v>1146</v>
      </c>
      <c r="J3728" s="632"/>
      <c r="K3728" s="395">
        <v>12.364498644986449</v>
      </c>
      <c r="L3728" s="537"/>
      <c r="M3728" s="509">
        <f t="shared" si="11302"/>
        <v>1.010958904109589</v>
      </c>
      <c r="N3728" s="646"/>
      <c r="O3728" s="626"/>
      <c r="P3728" s="629"/>
      <c r="Q3728" s="629"/>
    </row>
    <row r="3729" spans="1:17" ht="15.75" hidden="1" thickBot="1">
      <c r="A3729" s="390" t="str">
        <f>A3726</f>
        <v>PHA</v>
      </c>
      <c r="B3729" s="391" t="str">
        <f>B3726</f>
        <v>particle</v>
      </c>
      <c r="C3729" s="391">
        <f t="shared" ref="C3729" si="11330">C3728</f>
        <v>6</v>
      </c>
      <c r="D3729" s="391" t="str">
        <f>D3726</f>
        <v>0,01-0,1</v>
      </c>
      <c r="E3729" s="391">
        <f>E3726</f>
        <v>0.1</v>
      </c>
      <c r="F3729" s="391" t="str">
        <f>F3726</f>
        <v>soil</v>
      </c>
      <c r="G3729" s="396" t="str">
        <f t="shared" ref="G3729" si="11331">G3728</f>
        <v>DE: PHA particle 0,01-0,1 mm (emission to soil)</v>
      </c>
      <c r="H3729" s="465">
        <v>0</v>
      </c>
      <c r="I3729" s="397" t="s">
        <v>1034</v>
      </c>
      <c r="J3729" s="633"/>
      <c r="K3729" s="398" t="s">
        <v>596</v>
      </c>
      <c r="L3729" s="538"/>
      <c r="M3729" s="509">
        <f t="shared" si="11302"/>
        <v>0</v>
      </c>
      <c r="N3729" s="647"/>
      <c r="O3729" s="627"/>
      <c r="P3729" s="629"/>
      <c r="Q3729" s="629"/>
    </row>
    <row r="3730" spans="1:17" ht="15.75" hidden="1" thickBot="1">
      <c r="A3730" s="390" t="str">
        <f t="shared" ref="A3730:B3730" si="11332">A3727</f>
        <v>PHA</v>
      </c>
      <c r="B3730" s="391" t="str">
        <f t="shared" si="11332"/>
        <v>particle</v>
      </c>
      <c r="C3730" s="391">
        <f t="shared" ref="C3730" si="11333">C3729</f>
        <v>6</v>
      </c>
      <c r="D3730" s="399" t="str">
        <f t="shared" ref="D3730:E3730" si="11334">D3727</f>
        <v>0,01-0,1</v>
      </c>
      <c r="E3730" s="391">
        <f t="shared" si="11334"/>
        <v>0.1</v>
      </c>
      <c r="F3730" s="400" t="s">
        <v>1147</v>
      </c>
      <c r="G3730" s="386" t="str">
        <f>CONCATENATE("DE: ",A3730," ",B3730," ",D3730," mm (emission to ",F3730,")")</f>
        <v>DE: PHA particle 0,01-0,1 mm (emission to fresh water)</v>
      </c>
      <c r="H3730" s="466">
        <v>0</v>
      </c>
      <c r="I3730" s="388" t="s">
        <v>1019</v>
      </c>
      <c r="J3730" s="634">
        <v>0.22800000000000001</v>
      </c>
      <c r="K3730" s="389">
        <v>1564.29</v>
      </c>
      <c r="L3730" s="536"/>
      <c r="M3730" s="509">
        <f t="shared" si="11302"/>
        <v>7.9908456871807653E-3</v>
      </c>
      <c r="N3730" s="645">
        <f t="shared" si="11145"/>
        <v>1.010958904109589</v>
      </c>
      <c r="O3730" s="625"/>
      <c r="P3730" s="628">
        <f t="shared" si="11227"/>
        <v>1.010958904109589</v>
      </c>
      <c r="Q3730" s="628">
        <f t="shared" si="11310"/>
        <v>1.010958904109589</v>
      </c>
    </row>
    <row r="3731" spans="1:17" ht="15.75" hidden="1" thickBot="1">
      <c r="A3731" s="390" t="str">
        <f t="shared" ref="A3731:B3731" si="11335">A3728</f>
        <v>PHA</v>
      </c>
      <c r="B3731" s="391" t="str">
        <f t="shared" si="11335"/>
        <v>particle</v>
      </c>
      <c r="C3731" s="391">
        <f t="shared" ref="C3731" si="11336">C3730</f>
        <v>6</v>
      </c>
      <c r="D3731" s="391" t="str">
        <f t="shared" ref="D3731:E3731" si="11337">D3728</f>
        <v>0,01-0,1</v>
      </c>
      <c r="E3731" s="391">
        <f t="shared" si="11337"/>
        <v>0.1</v>
      </c>
      <c r="F3731" s="391" t="str">
        <f t="shared" ref="F3731:G3731" si="11338">F3730</f>
        <v>fresh water</v>
      </c>
      <c r="G3731" s="401" t="str">
        <f t="shared" si="11338"/>
        <v>DE: PHA particle 0,01-0,1 mm (emission to fresh water)</v>
      </c>
      <c r="H3731" s="465">
        <v>0</v>
      </c>
      <c r="I3731" s="394" t="s">
        <v>1097</v>
      </c>
      <c r="J3731" s="635"/>
      <c r="K3731" s="389">
        <v>21.270396270396269</v>
      </c>
      <c r="L3731" s="536"/>
      <c r="M3731" s="509">
        <f t="shared" si="11302"/>
        <v>0.58767123287671241</v>
      </c>
      <c r="N3731" s="646"/>
      <c r="O3731" s="626"/>
      <c r="P3731" s="629"/>
      <c r="Q3731" s="629"/>
    </row>
    <row r="3732" spans="1:17" ht="15.75" hidden="1" thickBot="1">
      <c r="A3732" s="390" t="str">
        <f t="shared" ref="A3732:B3732" si="11339">A3729</f>
        <v>PHA</v>
      </c>
      <c r="B3732" s="391" t="str">
        <f t="shared" si="11339"/>
        <v>particle</v>
      </c>
      <c r="C3732" s="391">
        <f t="shared" ref="C3732" si="11340">C3731</f>
        <v>6</v>
      </c>
      <c r="D3732" s="391" t="str">
        <f t="shared" ref="D3732:E3732" si="11341">D3729</f>
        <v>0,01-0,1</v>
      </c>
      <c r="E3732" s="391">
        <f t="shared" si="11341"/>
        <v>0.1</v>
      </c>
      <c r="F3732" s="391" t="str">
        <f t="shared" ref="F3732:G3732" si="11342">F3731</f>
        <v>fresh water</v>
      </c>
      <c r="G3732" s="401" t="str">
        <f t="shared" si="11342"/>
        <v>DE: PHA particle 0,01-0,1 mm (emission to fresh water)</v>
      </c>
      <c r="H3732" s="465">
        <v>0.89</v>
      </c>
      <c r="I3732" s="394" t="s">
        <v>1162</v>
      </c>
      <c r="J3732" s="635"/>
      <c r="K3732" s="389">
        <v>12.364498644986449</v>
      </c>
      <c r="L3732" s="536"/>
      <c r="M3732" s="509">
        <f t="shared" si="11302"/>
        <v>1.010958904109589</v>
      </c>
      <c r="N3732" s="646"/>
      <c r="O3732" s="626"/>
      <c r="P3732" s="629"/>
      <c r="Q3732" s="629"/>
    </row>
    <row r="3733" spans="1:17" ht="15.75" hidden="1" thickBot="1">
      <c r="A3733" s="390" t="str">
        <f t="shared" ref="A3733:B3733" si="11343">A3730</f>
        <v>PHA</v>
      </c>
      <c r="B3733" s="391" t="str">
        <f t="shared" si="11343"/>
        <v>particle</v>
      </c>
      <c r="C3733" s="391">
        <f t="shared" ref="C3733" si="11344">C3732</f>
        <v>6</v>
      </c>
      <c r="D3733" s="391" t="str">
        <f t="shared" ref="D3733:E3733" si="11345">D3730</f>
        <v>0,01-0,1</v>
      </c>
      <c r="E3733" s="391">
        <f t="shared" si="11345"/>
        <v>0.1</v>
      </c>
      <c r="F3733" s="391" t="str">
        <f t="shared" ref="F3733:G3733" si="11346">F3732</f>
        <v>fresh water</v>
      </c>
      <c r="G3733" s="401" t="str">
        <f t="shared" si="11346"/>
        <v>DE: PHA particle 0,01-0,1 mm (emission to fresh water)</v>
      </c>
      <c r="H3733" s="465">
        <v>0.11</v>
      </c>
      <c r="I3733" s="394" t="s">
        <v>1146</v>
      </c>
      <c r="J3733" s="635"/>
      <c r="K3733" s="389">
        <v>12.364498644986449</v>
      </c>
      <c r="L3733" s="536"/>
      <c r="M3733" s="509">
        <f t="shared" si="11302"/>
        <v>1.010958904109589</v>
      </c>
      <c r="N3733" s="646"/>
      <c r="O3733" s="626"/>
      <c r="P3733" s="629"/>
      <c r="Q3733" s="629"/>
    </row>
    <row r="3734" spans="1:17" ht="15.75" hidden="1" thickBot="1">
      <c r="A3734" s="390" t="str">
        <f t="shared" ref="A3734:B3734" si="11347">A3731</f>
        <v>PHA</v>
      </c>
      <c r="B3734" s="391" t="str">
        <f t="shared" si="11347"/>
        <v>particle</v>
      </c>
      <c r="C3734" s="391">
        <f t="shared" ref="C3734" si="11348">C3733</f>
        <v>6</v>
      </c>
      <c r="D3734" s="391" t="str">
        <f t="shared" ref="D3734:E3734" si="11349">D3731</f>
        <v>0,01-0,1</v>
      </c>
      <c r="E3734" s="391">
        <f t="shared" si="11349"/>
        <v>0.1</v>
      </c>
      <c r="F3734" s="402" t="str">
        <f>F3731</f>
        <v>fresh water</v>
      </c>
      <c r="G3734" s="401" t="str">
        <f t="shared" ref="G3734" si="11350">G3733</f>
        <v>DE: PHA particle 0,01-0,1 mm (emission to fresh water)</v>
      </c>
      <c r="H3734" s="465">
        <v>0</v>
      </c>
      <c r="I3734" s="397" t="s">
        <v>1034</v>
      </c>
      <c r="J3734" s="654"/>
      <c r="K3734" s="398" t="s">
        <v>596</v>
      </c>
      <c r="L3734" s="538"/>
      <c r="M3734" s="509">
        <f t="shared" si="11302"/>
        <v>0</v>
      </c>
      <c r="N3734" s="647"/>
      <c r="O3734" s="627"/>
      <c r="P3734" s="629"/>
      <c r="Q3734" s="629"/>
    </row>
    <row r="3735" spans="1:17" ht="15.75" hidden="1" thickBot="1">
      <c r="A3735" s="390" t="str">
        <f t="shared" ref="A3735:B3735" si="11351">A3732</f>
        <v>PHA</v>
      </c>
      <c r="B3735" s="391" t="str">
        <f t="shared" si="11351"/>
        <v>particle</v>
      </c>
      <c r="C3735" s="391">
        <f t="shared" ref="C3735" si="11352">C3734</f>
        <v>6</v>
      </c>
      <c r="D3735" s="391" t="str">
        <f t="shared" ref="D3735:E3735" si="11353">D3732</f>
        <v>0,01-0,1</v>
      </c>
      <c r="E3735" s="391">
        <f t="shared" si="11353"/>
        <v>0.1</v>
      </c>
      <c r="F3735" s="385" t="s">
        <v>1097</v>
      </c>
      <c r="G3735" s="422" t="str">
        <f>CONCATENATE("DE: ",A3735," ",B3735," ",D3735," mm (emission to ",F3735,")")</f>
        <v>DE: PHA particle 0,01-0,1 mm (emission to marine water)</v>
      </c>
      <c r="H3735" s="467">
        <v>0</v>
      </c>
      <c r="I3735" s="388" t="s">
        <v>1019</v>
      </c>
      <c r="J3735" s="634">
        <v>0.22800000000000001</v>
      </c>
      <c r="K3735" s="389">
        <v>1564.29</v>
      </c>
      <c r="L3735" s="536"/>
      <c r="M3735" s="509">
        <f t="shared" si="11302"/>
        <v>7.9908456871807653E-3</v>
      </c>
      <c r="N3735" s="645">
        <f t="shared" ref="N3735:N3795" si="11354">IFERROR(H3735*M3735+H3736*M3736+H3737*M3737+H3738*M3738+H3739*M3739,"N.A.")</f>
        <v>1.010958904109589</v>
      </c>
      <c r="O3735" s="625"/>
      <c r="P3735" s="628">
        <f t="shared" si="11227"/>
        <v>1.010958904109589</v>
      </c>
      <c r="Q3735" s="628">
        <f t="shared" si="11310"/>
        <v>1.010958904109589</v>
      </c>
    </row>
    <row r="3736" spans="1:17" ht="15.75" hidden="1" thickBot="1">
      <c r="A3736" s="390" t="str">
        <f t="shared" ref="A3736:B3736" si="11355">A3733</f>
        <v>PHA</v>
      </c>
      <c r="B3736" s="391" t="str">
        <f t="shared" si="11355"/>
        <v>particle</v>
      </c>
      <c r="C3736" s="391">
        <f t="shared" ref="C3736" si="11356">C3735</f>
        <v>6</v>
      </c>
      <c r="D3736" s="391" t="str">
        <f t="shared" ref="D3736:E3736" si="11357">D3733</f>
        <v>0,01-0,1</v>
      </c>
      <c r="E3736" s="391">
        <f t="shared" si="11357"/>
        <v>0.1</v>
      </c>
      <c r="F3736" s="391" t="str">
        <f t="shared" ref="F3736:G3736" si="11358">F3735</f>
        <v>marine water</v>
      </c>
      <c r="G3736" s="401" t="str">
        <f t="shared" si="11358"/>
        <v>DE: PHA particle 0,01-0,1 mm (emission to marine water)</v>
      </c>
      <c r="H3736" s="465">
        <v>0</v>
      </c>
      <c r="I3736" s="394" t="s">
        <v>1097</v>
      </c>
      <c r="J3736" s="635"/>
      <c r="K3736" s="389">
        <v>21.270396270396269</v>
      </c>
      <c r="L3736" s="536"/>
      <c r="M3736" s="509">
        <f t="shared" si="11302"/>
        <v>0.58767123287671241</v>
      </c>
      <c r="N3736" s="646"/>
      <c r="O3736" s="626"/>
      <c r="P3736" s="629"/>
      <c r="Q3736" s="629"/>
    </row>
    <row r="3737" spans="1:17" ht="15.75" hidden="1" thickBot="1">
      <c r="A3737" s="390" t="str">
        <f t="shared" ref="A3737:B3737" si="11359">A3734</f>
        <v>PHA</v>
      </c>
      <c r="B3737" s="391" t="str">
        <f t="shared" si="11359"/>
        <v>particle</v>
      </c>
      <c r="C3737" s="391">
        <f t="shared" ref="C3737" si="11360">C3736</f>
        <v>6</v>
      </c>
      <c r="D3737" s="391" t="str">
        <f t="shared" ref="D3737:E3737" si="11361">D3734</f>
        <v>0,01-0,1</v>
      </c>
      <c r="E3737" s="391">
        <f t="shared" si="11361"/>
        <v>0.1</v>
      </c>
      <c r="F3737" s="391" t="str">
        <f t="shared" ref="F3737:G3737" si="11362">F3736</f>
        <v>marine water</v>
      </c>
      <c r="G3737" s="401" t="str">
        <f t="shared" si="11362"/>
        <v>DE: PHA particle 0,01-0,1 mm (emission to marine water)</v>
      </c>
      <c r="H3737" s="465">
        <v>0</v>
      </c>
      <c r="I3737" s="394" t="s">
        <v>1162</v>
      </c>
      <c r="J3737" s="635"/>
      <c r="K3737" s="389">
        <v>12.364498644986449</v>
      </c>
      <c r="L3737" s="536"/>
      <c r="M3737" s="509">
        <f t="shared" si="11302"/>
        <v>1.010958904109589</v>
      </c>
      <c r="N3737" s="646"/>
      <c r="O3737" s="626"/>
      <c r="P3737" s="629"/>
      <c r="Q3737" s="629"/>
    </row>
    <row r="3738" spans="1:17" ht="15.75" hidden="1" thickBot="1">
      <c r="A3738" s="390" t="str">
        <f t="shared" ref="A3738:B3738" si="11363">A3735</f>
        <v>PHA</v>
      </c>
      <c r="B3738" s="391" t="str">
        <f t="shared" si="11363"/>
        <v>particle</v>
      </c>
      <c r="C3738" s="391">
        <f t="shared" ref="C3738" si="11364">C3737</f>
        <v>6</v>
      </c>
      <c r="D3738" s="391" t="str">
        <f t="shared" ref="D3738:E3738" si="11365">D3735</f>
        <v>0,01-0,1</v>
      </c>
      <c r="E3738" s="391">
        <f t="shared" si="11365"/>
        <v>0.1</v>
      </c>
      <c r="F3738" s="391" t="str">
        <f t="shared" ref="F3738:G3738" si="11366">F3737</f>
        <v>marine water</v>
      </c>
      <c r="G3738" s="401" t="str">
        <f t="shared" si="11366"/>
        <v>DE: PHA particle 0,01-0,1 mm (emission to marine water)</v>
      </c>
      <c r="H3738" s="465">
        <v>1</v>
      </c>
      <c r="I3738" s="394" t="s">
        <v>1146</v>
      </c>
      <c r="J3738" s="635"/>
      <c r="K3738" s="389">
        <v>12.364498644986449</v>
      </c>
      <c r="L3738" s="536"/>
      <c r="M3738" s="509">
        <f t="shared" si="11302"/>
        <v>1.010958904109589</v>
      </c>
      <c r="N3738" s="646"/>
      <c r="O3738" s="626"/>
      <c r="P3738" s="629"/>
      <c r="Q3738" s="629"/>
    </row>
    <row r="3739" spans="1:17" ht="15.75" hidden="1" thickBot="1">
      <c r="A3739" s="390" t="str">
        <f t="shared" ref="A3739:B3739" si="11367">A3736</f>
        <v>PHA</v>
      </c>
      <c r="B3739" s="391" t="str">
        <f t="shared" si="11367"/>
        <v>particle</v>
      </c>
      <c r="C3739" s="391">
        <f t="shared" ref="C3739" si="11368">C3738</f>
        <v>6</v>
      </c>
      <c r="D3739" s="391" t="str">
        <f t="shared" ref="D3739:E3739" si="11369">D3736</f>
        <v>0,01-0,1</v>
      </c>
      <c r="E3739" s="391">
        <f t="shared" si="11369"/>
        <v>0.1</v>
      </c>
      <c r="F3739" s="391" t="str">
        <f t="shared" ref="F3739:G3739" si="11370">F3738</f>
        <v>marine water</v>
      </c>
      <c r="G3739" s="401" t="str">
        <f t="shared" si="11370"/>
        <v>DE: PHA particle 0,01-0,1 mm (emission to marine water)</v>
      </c>
      <c r="H3739" s="465">
        <v>0</v>
      </c>
      <c r="I3739" s="397" t="s">
        <v>1034</v>
      </c>
      <c r="J3739" s="654"/>
      <c r="K3739" s="398" t="s">
        <v>596</v>
      </c>
      <c r="L3739" s="538"/>
      <c r="M3739" s="509">
        <f t="shared" si="11302"/>
        <v>0</v>
      </c>
      <c r="N3739" s="647"/>
      <c r="O3739" s="627"/>
      <c r="P3739" s="629"/>
      <c r="Q3739" s="629"/>
    </row>
    <row r="3740" spans="1:17" ht="15.75" hidden="1" thickBot="1">
      <c r="A3740" s="390" t="str">
        <f t="shared" ref="A3740:B3740" si="11371">A3737</f>
        <v>PHA</v>
      </c>
      <c r="B3740" s="391" t="str">
        <f t="shared" si="11371"/>
        <v>particle</v>
      </c>
      <c r="C3740" s="391">
        <f t="shared" ref="C3740" si="11372">C3739</f>
        <v>6</v>
      </c>
      <c r="D3740" s="391" t="str">
        <f t="shared" ref="D3740:E3740" si="11373">D3737</f>
        <v>0,01-0,1</v>
      </c>
      <c r="E3740" s="391">
        <f t="shared" si="11373"/>
        <v>0.1</v>
      </c>
      <c r="F3740" s="400" t="s">
        <v>1057</v>
      </c>
      <c r="G3740" s="422" t="str">
        <f>CONCATENATE("DE: ",A3740," ",B3740," ",D3740," mm (emission to ",F3740,")")</f>
        <v>DE: PHA particle 0,01-0,1 mm (emission to air)</v>
      </c>
      <c r="H3740" s="467">
        <v>0.94799999999999995</v>
      </c>
      <c r="I3740" s="388" t="s">
        <v>1019</v>
      </c>
      <c r="J3740" s="634">
        <v>0.22800000000000001</v>
      </c>
      <c r="K3740" s="389">
        <v>1564.29</v>
      </c>
      <c r="L3740" s="536"/>
      <c r="M3740" s="509">
        <f t="shared" si="11302"/>
        <v>7.9908456871807653E-3</v>
      </c>
      <c r="N3740" s="645">
        <f t="shared" si="11354"/>
        <v>6.0145184725145989E-2</v>
      </c>
      <c r="O3740" s="625"/>
      <c r="P3740" s="628">
        <f t="shared" si="11227"/>
        <v>6.0145184725145989E-2</v>
      </c>
      <c r="Q3740" s="628">
        <f t="shared" si="11310"/>
        <v>6.0145184725145989E-2</v>
      </c>
    </row>
    <row r="3741" spans="1:17" ht="15.75" hidden="1" thickBot="1">
      <c r="A3741" s="390" t="str">
        <f t="shared" ref="A3741:B3741" si="11374">A3738</f>
        <v>PHA</v>
      </c>
      <c r="B3741" s="391" t="str">
        <f t="shared" si="11374"/>
        <v>particle</v>
      </c>
      <c r="C3741" s="391">
        <f t="shared" ref="C3741" si="11375">C3740</f>
        <v>6</v>
      </c>
      <c r="D3741" s="391" t="str">
        <f t="shared" ref="D3741:E3741" si="11376">D3738</f>
        <v>0,01-0,1</v>
      </c>
      <c r="E3741" s="391">
        <f t="shared" si="11376"/>
        <v>0.1</v>
      </c>
      <c r="F3741" s="391" t="str">
        <f t="shared" ref="F3741:G3741" si="11377">F3740</f>
        <v>air</v>
      </c>
      <c r="G3741" s="401" t="str">
        <f t="shared" si="11377"/>
        <v>DE: PHA particle 0,01-0,1 mm (emission to air)</v>
      </c>
      <c r="H3741" s="465">
        <v>0</v>
      </c>
      <c r="I3741" s="394" t="s">
        <v>1097</v>
      </c>
      <c r="J3741" s="635"/>
      <c r="K3741" s="389">
        <v>21.270396270396269</v>
      </c>
      <c r="L3741" s="536"/>
      <c r="M3741" s="509">
        <f t="shared" si="11302"/>
        <v>0.58767123287671241</v>
      </c>
      <c r="N3741" s="646"/>
      <c r="O3741" s="626"/>
      <c r="P3741" s="629"/>
      <c r="Q3741" s="629"/>
    </row>
    <row r="3742" spans="1:17" ht="15.75" hidden="1" thickBot="1">
      <c r="A3742" s="390" t="str">
        <f t="shared" ref="A3742:B3742" si="11378">A3739</f>
        <v>PHA</v>
      </c>
      <c r="B3742" s="391" t="str">
        <f t="shared" si="11378"/>
        <v>particle</v>
      </c>
      <c r="C3742" s="391">
        <f t="shared" ref="C3742" si="11379">C3741</f>
        <v>6</v>
      </c>
      <c r="D3742" s="391" t="str">
        <f t="shared" ref="D3742:E3742" si="11380">D3739</f>
        <v>0,01-0,1</v>
      </c>
      <c r="E3742" s="391">
        <f t="shared" si="11380"/>
        <v>0.1</v>
      </c>
      <c r="F3742" s="391" t="str">
        <f t="shared" ref="F3742:G3742" si="11381">F3741</f>
        <v>air</v>
      </c>
      <c r="G3742" s="401" t="str">
        <f t="shared" si="11381"/>
        <v>DE: PHA particle 0,01-0,1 mm (emission to air)</v>
      </c>
      <c r="H3742" s="465">
        <v>4.7E-2</v>
      </c>
      <c r="I3742" s="394" t="s">
        <v>1162</v>
      </c>
      <c r="J3742" s="635"/>
      <c r="K3742" s="389">
        <v>12.364498644986449</v>
      </c>
      <c r="L3742" s="536"/>
      <c r="M3742" s="509">
        <f t="shared" si="11302"/>
        <v>1.010958904109589</v>
      </c>
      <c r="N3742" s="646"/>
      <c r="O3742" s="626"/>
      <c r="P3742" s="629"/>
      <c r="Q3742" s="629"/>
    </row>
    <row r="3743" spans="1:17" ht="15.75" hidden="1" thickBot="1">
      <c r="A3743" s="390" t="str">
        <f t="shared" ref="A3743:B3743" si="11382">A3740</f>
        <v>PHA</v>
      </c>
      <c r="B3743" s="391" t="str">
        <f t="shared" si="11382"/>
        <v>particle</v>
      </c>
      <c r="C3743" s="391">
        <f t="shared" ref="C3743" si="11383">C3742</f>
        <v>6</v>
      </c>
      <c r="D3743" s="391" t="str">
        <f t="shared" ref="D3743:E3743" si="11384">D3740</f>
        <v>0,01-0,1</v>
      </c>
      <c r="E3743" s="391">
        <f t="shared" si="11384"/>
        <v>0.1</v>
      </c>
      <c r="F3743" s="391" t="str">
        <f t="shared" ref="F3743:G3743" si="11385">F3742</f>
        <v>air</v>
      </c>
      <c r="G3743" s="401" t="str">
        <f t="shared" si="11385"/>
        <v>DE: PHA particle 0,01-0,1 mm (emission to air)</v>
      </c>
      <c r="H3743" s="465">
        <v>5.0000000000000001E-3</v>
      </c>
      <c r="I3743" s="394" t="s">
        <v>1146</v>
      </c>
      <c r="J3743" s="635"/>
      <c r="K3743" s="389">
        <v>12.364498644986449</v>
      </c>
      <c r="L3743" s="536"/>
      <c r="M3743" s="509">
        <f t="shared" si="11302"/>
        <v>1.010958904109589</v>
      </c>
      <c r="N3743" s="646"/>
      <c r="O3743" s="626"/>
      <c r="P3743" s="629"/>
      <c r="Q3743" s="629"/>
    </row>
    <row r="3744" spans="1:17" ht="15.75" hidden="1" thickBot="1">
      <c r="A3744" s="390" t="str">
        <f t="shared" ref="A3744:B3744" si="11386">A3739</f>
        <v>PHA</v>
      </c>
      <c r="B3744" s="391" t="str">
        <f t="shared" si="11386"/>
        <v>particle</v>
      </c>
      <c r="C3744" s="391">
        <f t="shared" ref="C3744" si="11387">C3743</f>
        <v>6</v>
      </c>
      <c r="D3744" s="391" t="str">
        <f t="shared" ref="D3744:E3744" si="11388">D3739</f>
        <v>0,01-0,1</v>
      </c>
      <c r="E3744" s="391">
        <f t="shared" si="11388"/>
        <v>0.1</v>
      </c>
      <c r="F3744" s="391" t="str">
        <f t="shared" ref="F3744:G3744" si="11389">F3743</f>
        <v>air</v>
      </c>
      <c r="G3744" s="401" t="str">
        <f t="shared" si="11389"/>
        <v>DE: PHA particle 0,01-0,1 mm (emission to air)</v>
      </c>
      <c r="H3744" s="471">
        <v>0</v>
      </c>
      <c r="I3744" s="422" t="s">
        <v>1034</v>
      </c>
      <c r="J3744" s="636"/>
      <c r="K3744" s="451" t="s">
        <v>596</v>
      </c>
      <c r="L3744" s="542"/>
      <c r="M3744" s="509">
        <f t="shared" si="11302"/>
        <v>0</v>
      </c>
      <c r="N3744" s="647"/>
      <c r="O3744" s="627"/>
      <c r="P3744" s="629"/>
      <c r="Q3744" s="629"/>
    </row>
    <row r="3745" spans="1:17" ht="15.75" hidden="1" thickBot="1">
      <c r="A3745" s="405" t="s">
        <v>20</v>
      </c>
      <c r="B3745" s="406" t="s">
        <v>1152</v>
      </c>
      <c r="C3745" s="407">
        <v>6</v>
      </c>
      <c r="D3745" s="423" t="s">
        <v>1028</v>
      </c>
      <c r="E3745" s="408">
        <v>1</v>
      </c>
      <c r="F3745" s="424" t="s">
        <v>1019</v>
      </c>
      <c r="G3745" s="425" t="str">
        <f>CONCATENATE("DE: ",A3745," ",B3745," ",D3745," mm (emission to ",F3745,")")</f>
        <v>DE: PHA particle 0,1-1 mm (emission to soil)</v>
      </c>
      <c r="H3745" s="474">
        <v>0.97</v>
      </c>
      <c r="I3745" s="427" t="s">
        <v>1019</v>
      </c>
      <c r="J3745" s="632">
        <v>0.22800000000000001</v>
      </c>
      <c r="K3745" s="428">
        <v>1564.29</v>
      </c>
      <c r="L3745" s="539"/>
      <c r="M3745" s="509">
        <f t="shared" si="11302"/>
        <v>7.9908456871807657E-2</v>
      </c>
      <c r="N3745" s="645">
        <f t="shared" si="11354"/>
        <v>0.38079887439853016</v>
      </c>
      <c r="O3745" s="625"/>
      <c r="P3745" s="628">
        <f t="shared" si="11227"/>
        <v>0.38079887439853016</v>
      </c>
      <c r="Q3745" s="628">
        <f t="shared" si="11310"/>
        <v>0.38079887439853016</v>
      </c>
    </row>
    <row r="3746" spans="1:17" ht="15.75" hidden="1" thickBot="1">
      <c r="A3746" s="390" t="str">
        <f>A3745</f>
        <v>PHA</v>
      </c>
      <c r="B3746" s="391" t="str">
        <f>B3745</f>
        <v>particle</v>
      </c>
      <c r="C3746" s="391">
        <f t="shared" ref="C3746:G3746" si="11390">C3745</f>
        <v>6</v>
      </c>
      <c r="D3746" s="391" t="str">
        <f t="shared" si="11390"/>
        <v>0,1-1</v>
      </c>
      <c r="E3746" s="391">
        <f t="shared" si="11390"/>
        <v>1</v>
      </c>
      <c r="F3746" s="391" t="str">
        <f t="shared" si="11390"/>
        <v>soil</v>
      </c>
      <c r="G3746" s="392" t="str">
        <f t="shared" si="11390"/>
        <v>DE: PHA particle 0,1-1 mm (emission to soil)</v>
      </c>
      <c r="H3746" s="465">
        <v>0</v>
      </c>
      <c r="I3746" s="394" t="s">
        <v>1097</v>
      </c>
      <c r="J3746" s="632"/>
      <c r="K3746" s="395">
        <v>21.270396270396269</v>
      </c>
      <c r="L3746" s="537"/>
      <c r="M3746" s="509">
        <f t="shared" si="11302"/>
        <v>5.8767123287671241</v>
      </c>
      <c r="N3746" s="646"/>
      <c r="O3746" s="626"/>
      <c r="P3746" s="629"/>
      <c r="Q3746" s="629"/>
    </row>
    <row r="3747" spans="1:17" ht="15.75" hidden="1" thickBot="1">
      <c r="A3747" s="390" t="str">
        <f t="shared" ref="A3747:G3747" si="11391">A3746</f>
        <v>PHA</v>
      </c>
      <c r="B3747" s="391" t="str">
        <f t="shared" si="11391"/>
        <v>particle</v>
      </c>
      <c r="C3747" s="391">
        <f t="shared" si="11391"/>
        <v>6</v>
      </c>
      <c r="D3747" s="391" t="str">
        <f t="shared" si="11391"/>
        <v>0,1-1</v>
      </c>
      <c r="E3747" s="391">
        <f t="shared" si="11391"/>
        <v>1</v>
      </c>
      <c r="F3747" s="391" t="str">
        <f t="shared" si="11391"/>
        <v>soil</v>
      </c>
      <c r="G3747" s="392" t="str">
        <f t="shared" si="11391"/>
        <v>DE: PHA particle 0,1-1 mm (emission to soil)</v>
      </c>
      <c r="H3747" s="465">
        <v>2.7E-2</v>
      </c>
      <c r="I3747" s="394" t="s">
        <v>1162</v>
      </c>
      <c r="J3747" s="632"/>
      <c r="K3747" s="395">
        <v>12.364498644986449</v>
      </c>
      <c r="L3747" s="537"/>
      <c r="M3747" s="509">
        <f t="shared" si="11302"/>
        <v>10.109589041095891</v>
      </c>
      <c r="N3747" s="646"/>
      <c r="O3747" s="626"/>
      <c r="P3747" s="629"/>
      <c r="Q3747" s="629"/>
    </row>
    <row r="3748" spans="1:17" ht="15.75" hidden="1" thickBot="1">
      <c r="A3748" s="390" t="str">
        <f t="shared" ref="A3748:G3748" si="11392">A3747</f>
        <v>PHA</v>
      </c>
      <c r="B3748" s="391" t="str">
        <f t="shared" si="11392"/>
        <v>particle</v>
      </c>
      <c r="C3748" s="391">
        <f t="shared" si="11392"/>
        <v>6</v>
      </c>
      <c r="D3748" s="391" t="str">
        <f t="shared" si="11392"/>
        <v>0,1-1</v>
      </c>
      <c r="E3748" s="391">
        <f t="shared" si="11392"/>
        <v>1</v>
      </c>
      <c r="F3748" s="391" t="str">
        <f t="shared" si="11392"/>
        <v>soil</v>
      </c>
      <c r="G3748" s="392" t="str">
        <f t="shared" si="11392"/>
        <v>DE: PHA particle 0,1-1 mm (emission to soil)</v>
      </c>
      <c r="H3748" s="465">
        <v>3.0000000000000001E-3</v>
      </c>
      <c r="I3748" s="394" t="s">
        <v>1146</v>
      </c>
      <c r="J3748" s="632"/>
      <c r="K3748" s="395">
        <v>12.364498644986449</v>
      </c>
      <c r="L3748" s="537"/>
      <c r="M3748" s="509">
        <f t="shared" si="11302"/>
        <v>10.109589041095891</v>
      </c>
      <c r="N3748" s="646"/>
      <c r="O3748" s="626"/>
      <c r="P3748" s="629"/>
      <c r="Q3748" s="629"/>
    </row>
    <row r="3749" spans="1:17" ht="15.75" hidden="1" thickBot="1">
      <c r="A3749" s="390" t="str">
        <f>A3746</f>
        <v>PHA</v>
      </c>
      <c r="B3749" s="391" t="str">
        <f>B3746</f>
        <v>particle</v>
      </c>
      <c r="C3749" s="391">
        <f t="shared" ref="C3749" si="11393">C3748</f>
        <v>6</v>
      </c>
      <c r="D3749" s="391" t="str">
        <f>D3746</f>
        <v>0,1-1</v>
      </c>
      <c r="E3749" s="391">
        <f>E3746</f>
        <v>1</v>
      </c>
      <c r="F3749" s="391" t="str">
        <f>F3746</f>
        <v>soil</v>
      </c>
      <c r="G3749" s="396" t="str">
        <f t="shared" ref="G3749" si="11394">G3748</f>
        <v>DE: PHA particle 0,1-1 mm (emission to soil)</v>
      </c>
      <c r="H3749" s="465">
        <v>0</v>
      </c>
      <c r="I3749" s="397" t="s">
        <v>1034</v>
      </c>
      <c r="J3749" s="633"/>
      <c r="K3749" s="398" t="s">
        <v>596</v>
      </c>
      <c r="L3749" s="538"/>
      <c r="M3749" s="509">
        <f t="shared" si="11302"/>
        <v>0</v>
      </c>
      <c r="N3749" s="647"/>
      <c r="O3749" s="627"/>
      <c r="P3749" s="629"/>
      <c r="Q3749" s="629"/>
    </row>
    <row r="3750" spans="1:17" ht="15.75" hidden="1" thickBot="1">
      <c r="A3750" s="390" t="str">
        <f t="shared" ref="A3750:B3750" si="11395">A3747</f>
        <v>PHA</v>
      </c>
      <c r="B3750" s="391" t="str">
        <f t="shared" si="11395"/>
        <v>particle</v>
      </c>
      <c r="C3750" s="391">
        <f t="shared" ref="C3750" si="11396">C3749</f>
        <v>6</v>
      </c>
      <c r="D3750" s="399" t="str">
        <f t="shared" ref="D3750:E3750" si="11397">D3747</f>
        <v>0,1-1</v>
      </c>
      <c r="E3750" s="391">
        <f t="shared" si="11397"/>
        <v>1</v>
      </c>
      <c r="F3750" s="400" t="s">
        <v>1147</v>
      </c>
      <c r="G3750" s="386" t="str">
        <f>CONCATENATE("DE: ",A3750," ",B3750," ",D3750," mm (emission to ",F3750,")")</f>
        <v>DE: PHA particle 0,1-1 mm (emission to fresh water)</v>
      </c>
      <c r="H3750" s="466">
        <v>0</v>
      </c>
      <c r="I3750" s="388" t="s">
        <v>1019</v>
      </c>
      <c r="J3750" s="634">
        <v>0.22800000000000001</v>
      </c>
      <c r="K3750" s="389">
        <v>1564.29</v>
      </c>
      <c r="L3750" s="536"/>
      <c r="M3750" s="509">
        <f t="shared" si="11302"/>
        <v>7.9908456871807657E-2</v>
      </c>
      <c r="N3750" s="645">
        <f t="shared" si="11354"/>
        <v>10.109589041095891</v>
      </c>
      <c r="O3750" s="625"/>
      <c r="P3750" s="628">
        <f t="shared" si="11227"/>
        <v>10.109589041095891</v>
      </c>
      <c r="Q3750" s="628">
        <f t="shared" si="11310"/>
        <v>10.109589041095891</v>
      </c>
    </row>
    <row r="3751" spans="1:17" ht="15.75" hidden="1" thickBot="1">
      <c r="A3751" s="390" t="str">
        <f t="shared" ref="A3751:B3751" si="11398">A3748</f>
        <v>PHA</v>
      </c>
      <c r="B3751" s="391" t="str">
        <f t="shared" si="11398"/>
        <v>particle</v>
      </c>
      <c r="C3751" s="391">
        <f t="shared" ref="C3751" si="11399">C3750</f>
        <v>6</v>
      </c>
      <c r="D3751" s="391" t="str">
        <f t="shared" ref="D3751:E3751" si="11400">D3748</f>
        <v>0,1-1</v>
      </c>
      <c r="E3751" s="391">
        <f t="shared" si="11400"/>
        <v>1</v>
      </c>
      <c r="F3751" s="391" t="str">
        <f t="shared" ref="F3751:G3751" si="11401">F3750</f>
        <v>fresh water</v>
      </c>
      <c r="G3751" s="401" t="str">
        <f t="shared" si="11401"/>
        <v>DE: PHA particle 0,1-1 mm (emission to fresh water)</v>
      </c>
      <c r="H3751" s="465">
        <v>0</v>
      </c>
      <c r="I3751" s="394" t="s">
        <v>1097</v>
      </c>
      <c r="J3751" s="635"/>
      <c r="K3751" s="389">
        <v>21.270396270396269</v>
      </c>
      <c r="L3751" s="536"/>
      <c r="M3751" s="509">
        <f t="shared" si="11302"/>
        <v>5.8767123287671241</v>
      </c>
      <c r="N3751" s="646"/>
      <c r="O3751" s="626"/>
      <c r="P3751" s="629"/>
      <c r="Q3751" s="629"/>
    </row>
    <row r="3752" spans="1:17" ht="15.75" hidden="1" thickBot="1">
      <c r="A3752" s="390" t="str">
        <f t="shared" ref="A3752:B3752" si="11402">A3749</f>
        <v>PHA</v>
      </c>
      <c r="B3752" s="391" t="str">
        <f t="shared" si="11402"/>
        <v>particle</v>
      </c>
      <c r="C3752" s="391">
        <f t="shared" ref="C3752" si="11403">C3751</f>
        <v>6</v>
      </c>
      <c r="D3752" s="391" t="str">
        <f t="shared" ref="D3752:E3752" si="11404">D3749</f>
        <v>0,1-1</v>
      </c>
      <c r="E3752" s="391">
        <f t="shared" si="11404"/>
        <v>1</v>
      </c>
      <c r="F3752" s="391" t="str">
        <f t="shared" ref="F3752:G3752" si="11405">F3751</f>
        <v>fresh water</v>
      </c>
      <c r="G3752" s="401" t="str">
        <f t="shared" si="11405"/>
        <v>DE: PHA particle 0,1-1 mm (emission to fresh water)</v>
      </c>
      <c r="H3752" s="465">
        <v>0.89</v>
      </c>
      <c r="I3752" s="394" t="s">
        <v>1162</v>
      </c>
      <c r="J3752" s="635"/>
      <c r="K3752" s="389">
        <v>12.364498644986449</v>
      </c>
      <c r="L3752" s="536"/>
      <c r="M3752" s="509">
        <f t="shared" si="11302"/>
        <v>10.109589041095891</v>
      </c>
      <c r="N3752" s="646"/>
      <c r="O3752" s="626"/>
      <c r="P3752" s="629"/>
      <c r="Q3752" s="629"/>
    </row>
    <row r="3753" spans="1:17" ht="15.75" hidden="1" thickBot="1">
      <c r="A3753" s="390" t="str">
        <f t="shared" ref="A3753:B3753" si="11406">A3750</f>
        <v>PHA</v>
      </c>
      <c r="B3753" s="391" t="str">
        <f t="shared" si="11406"/>
        <v>particle</v>
      </c>
      <c r="C3753" s="391">
        <f t="shared" ref="C3753" si="11407">C3752</f>
        <v>6</v>
      </c>
      <c r="D3753" s="391" t="str">
        <f t="shared" ref="D3753:E3753" si="11408">D3750</f>
        <v>0,1-1</v>
      </c>
      <c r="E3753" s="391">
        <f t="shared" si="11408"/>
        <v>1</v>
      </c>
      <c r="F3753" s="391" t="str">
        <f t="shared" ref="F3753:G3753" si="11409">F3752</f>
        <v>fresh water</v>
      </c>
      <c r="G3753" s="401" t="str">
        <f t="shared" si="11409"/>
        <v>DE: PHA particle 0,1-1 mm (emission to fresh water)</v>
      </c>
      <c r="H3753" s="465">
        <v>0.11</v>
      </c>
      <c r="I3753" s="394" t="s">
        <v>1146</v>
      </c>
      <c r="J3753" s="635"/>
      <c r="K3753" s="389">
        <v>12.364498644986449</v>
      </c>
      <c r="L3753" s="536"/>
      <c r="M3753" s="509">
        <f t="shared" si="11302"/>
        <v>10.109589041095891</v>
      </c>
      <c r="N3753" s="646"/>
      <c r="O3753" s="626"/>
      <c r="P3753" s="629"/>
      <c r="Q3753" s="629"/>
    </row>
    <row r="3754" spans="1:17" ht="15.75" hidden="1" thickBot="1">
      <c r="A3754" s="390" t="str">
        <f t="shared" ref="A3754:B3754" si="11410">A3751</f>
        <v>PHA</v>
      </c>
      <c r="B3754" s="391" t="str">
        <f t="shared" si="11410"/>
        <v>particle</v>
      </c>
      <c r="C3754" s="391">
        <f t="shared" ref="C3754" si="11411">C3753</f>
        <v>6</v>
      </c>
      <c r="D3754" s="391" t="str">
        <f t="shared" ref="D3754:E3754" si="11412">D3751</f>
        <v>0,1-1</v>
      </c>
      <c r="E3754" s="391">
        <f t="shared" si="11412"/>
        <v>1</v>
      </c>
      <c r="F3754" s="402" t="str">
        <f>F3751</f>
        <v>fresh water</v>
      </c>
      <c r="G3754" s="401" t="str">
        <f t="shared" ref="G3754" si="11413">G3753</f>
        <v>DE: PHA particle 0,1-1 mm (emission to fresh water)</v>
      </c>
      <c r="H3754" s="465">
        <v>0</v>
      </c>
      <c r="I3754" s="397" t="s">
        <v>1034</v>
      </c>
      <c r="J3754" s="654"/>
      <c r="K3754" s="398" t="s">
        <v>596</v>
      </c>
      <c r="L3754" s="538"/>
      <c r="M3754" s="509">
        <f t="shared" si="11302"/>
        <v>0</v>
      </c>
      <c r="N3754" s="647"/>
      <c r="O3754" s="627"/>
      <c r="P3754" s="629"/>
      <c r="Q3754" s="629"/>
    </row>
    <row r="3755" spans="1:17" ht="15.75" hidden="1" thickBot="1">
      <c r="A3755" s="390" t="str">
        <f t="shared" ref="A3755:B3755" si="11414">A3752</f>
        <v>PHA</v>
      </c>
      <c r="B3755" s="391" t="str">
        <f t="shared" si="11414"/>
        <v>particle</v>
      </c>
      <c r="C3755" s="391">
        <f t="shared" ref="C3755" si="11415">C3754</f>
        <v>6</v>
      </c>
      <c r="D3755" s="391" t="str">
        <f t="shared" ref="D3755:E3755" si="11416">D3752</f>
        <v>0,1-1</v>
      </c>
      <c r="E3755" s="391">
        <f t="shared" si="11416"/>
        <v>1</v>
      </c>
      <c r="F3755" s="385" t="s">
        <v>1097</v>
      </c>
      <c r="G3755" s="422" t="str">
        <f>CONCATENATE("DE: ",A3755," ",B3755," ",D3755," mm (emission to ",F3755,")")</f>
        <v>DE: PHA particle 0,1-1 mm (emission to marine water)</v>
      </c>
      <c r="H3755" s="467">
        <v>0</v>
      </c>
      <c r="I3755" s="388" t="s">
        <v>1019</v>
      </c>
      <c r="J3755" s="634">
        <v>0.22800000000000001</v>
      </c>
      <c r="K3755" s="389">
        <v>1564.29</v>
      </c>
      <c r="L3755" s="536"/>
      <c r="M3755" s="509">
        <f t="shared" si="11302"/>
        <v>7.9908456871807657E-2</v>
      </c>
      <c r="N3755" s="645">
        <f t="shared" si="11354"/>
        <v>10.109589041095891</v>
      </c>
      <c r="O3755" s="625"/>
      <c r="P3755" s="628">
        <f t="shared" si="11227"/>
        <v>10.109589041095891</v>
      </c>
      <c r="Q3755" s="628">
        <f t="shared" si="11310"/>
        <v>10.109589041095891</v>
      </c>
    </row>
    <row r="3756" spans="1:17" ht="15.75" hidden="1" thickBot="1">
      <c r="A3756" s="390" t="str">
        <f t="shared" ref="A3756:B3756" si="11417">A3753</f>
        <v>PHA</v>
      </c>
      <c r="B3756" s="391" t="str">
        <f t="shared" si="11417"/>
        <v>particle</v>
      </c>
      <c r="C3756" s="391">
        <f t="shared" ref="C3756" si="11418">C3755</f>
        <v>6</v>
      </c>
      <c r="D3756" s="391" t="str">
        <f t="shared" ref="D3756:E3756" si="11419">D3753</f>
        <v>0,1-1</v>
      </c>
      <c r="E3756" s="391">
        <f t="shared" si="11419"/>
        <v>1</v>
      </c>
      <c r="F3756" s="391" t="str">
        <f t="shared" ref="F3756:G3756" si="11420">F3755</f>
        <v>marine water</v>
      </c>
      <c r="G3756" s="401" t="str">
        <f t="shared" si="11420"/>
        <v>DE: PHA particle 0,1-1 mm (emission to marine water)</v>
      </c>
      <c r="H3756" s="465">
        <v>0</v>
      </c>
      <c r="I3756" s="394" t="s">
        <v>1097</v>
      </c>
      <c r="J3756" s="635"/>
      <c r="K3756" s="389">
        <v>21.270396270396269</v>
      </c>
      <c r="L3756" s="536"/>
      <c r="M3756" s="509">
        <f t="shared" si="11302"/>
        <v>5.8767123287671241</v>
      </c>
      <c r="N3756" s="646"/>
      <c r="O3756" s="626"/>
      <c r="P3756" s="629"/>
      <c r="Q3756" s="629"/>
    </row>
    <row r="3757" spans="1:17" ht="15.75" hidden="1" thickBot="1">
      <c r="A3757" s="390" t="str">
        <f t="shared" ref="A3757:B3757" si="11421">A3754</f>
        <v>PHA</v>
      </c>
      <c r="B3757" s="391" t="str">
        <f t="shared" si="11421"/>
        <v>particle</v>
      </c>
      <c r="C3757" s="391">
        <f t="shared" ref="C3757" si="11422">C3756</f>
        <v>6</v>
      </c>
      <c r="D3757" s="391" t="str">
        <f t="shared" ref="D3757:E3757" si="11423">D3754</f>
        <v>0,1-1</v>
      </c>
      <c r="E3757" s="391">
        <f t="shared" si="11423"/>
        <v>1</v>
      </c>
      <c r="F3757" s="391" t="str">
        <f t="shared" ref="F3757:G3757" si="11424">F3756</f>
        <v>marine water</v>
      </c>
      <c r="G3757" s="401" t="str">
        <f t="shared" si="11424"/>
        <v>DE: PHA particle 0,1-1 mm (emission to marine water)</v>
      </c>
      <c r="H3757" s="465">
        <v>0</v>
      </c>
      <c r="I3757" s="394" t="s">
        <v>1162</v>
      </c>
      <c r="J3757" s="635"/>
      <c r="K3757" s="389">
        <v>12.364498644986449</v>
      </c>
      <c r="L3757" s="536"/>
      <c r="M3757" s="509">
        <f t="shared" si="11302"/>
        <v>10.109589041095891</v>
      </c>
      <c r="N3757" s="646"/>
      <c r="O3757" s="626"/>
      <c r="P3757" s="629"/>
      <c r="Q3757" s="629"/>
    </row>
    <row r="3758" spans="1:17" ht="15.75" hidden="1" thickBot="1">
      <c r="A3758" s="390" t="str">
        <f t="shared" ref="A3758:B3758" si="11425">A3755</f>
        <v>PHA</v>
      </c>
      <c r="B3758" s="391" t="str">
        <f t="shared" si="11425"/>
        <v>particle</v>
      </c>
      <c r="C3758" s="391">
        <f t="shared" ref="C3758" si="11426">C3757</f>
        <v>6</v>
      </c>
      <c r="D3758" s="391" t="str">
        <f t="shared" ref="D3758:E3758" si="11427">D3755</f>
        <v>0,1-1</v>
      </c>
      <c r="E3758" s="391">
        <f t="shared" si="11427"/>
        <v>1</v>
      </c>
      <c r="F3758" s="391" t="str">
        <f t="shared" ref="F3758:G3758" si="11428">F3757</f>
        <v>marine water</v>
      </c>
      <c r="G3758" s="401" t="str">
        <f t="shared" si="11428"/>
        <v>DE: PHA particle 0,1-1 mm (emission to marine water)</v>
      </c>
      <c r="H3758" s="465">
        <v>1</v>
      </c>
      <c r="I3758" s="394" t="s">
        <v>1146</v>
      </c>
      <c r="J3758" s="635"/>
      <c r="K3758" s="389">
        <v>12.364498644986449</v>
      </c>
      <c r="L3758" s="536"/>
      <c r="M3758" s="509">
        <f t="shared" si="11302"/>
        <v>10.109589041095891</v>
      </c>
      <c r="N3758" s="646"/>
      <c r="O3758" s="626"/>
      <c r="P3758" s="629"/>
      <c r="Q3758" s="629"/>
    </row>
    <row r="3759" spans="1:17" ht="15.75" hidden="1" thickBot="1">
      <c r="A3759" s="390" t="str">
        <f t="shared" ref="A3759:B3759" si="11429">A3756</f>
        <v>PHA</v>
      </c>
      <c r="B3759" s="391" t="str">
        <f t="shared" si="11429"/>
        <v>particle</v>
      </c>
      <c r="C3759" s="391">
        <f t="shared" ref="C3759" si="11430">C3758</f>
        <v>6</v>
      </c>
      <c r="D3759" s="391" t="str">
        <f t="shared" ref="D3759:E3759" si="11431">D3756</f>
        <v>0,1-1</v>
      </c>
      <c r="E3759" s="391">
        <f t="shared" si="11431"/>
        <v>1</v>
      </c>
      <c r="F3759" s="391" t="str">
        <f t="shared" ref="F3759:G3759" si="11432">F3758</f>
        <v>marine water</v>
      </c>
      <c r="G3759" s="401" t="str">
        <f t="shared" si="11432"/>
        <v>DE: PHA particle 0,1-1 mm (emission to marine water)</v>
      </c>
      <c r="H3759" s="465">
        <v>0</v>
      </c>
      <c r="I3759" s="397" t="s">
        <v>1034</v>
      </c>
      <c r="J3759" s="654"/>
      <c r="K3759" s="398" t="s">
        <v>596</v>
      </c>
      <c r="L3759" s="538"/>
      <c r="M3759" s="509">
        <f t="shared" si="11302"/>
        <v>0</v>
      </c>
      <c r="N3759" s="647"/>
      <c r="O3759" s="627"/>
      <c r="P3759" s="629"/>
      <c r="Q3759" s="629"/>
    </row>
    <row r="3760" spans="1:17" ht="15.75" hidden="1" thickBot="1">
      <c r="A3760" s="390" t="str">
        <f t="shared" ref="A3760:B3760" si="11433">A3757</f>
        <v>PHA</v>
      </c>
      <c r="B3760" s="391" t="str">
        <f t="shared" si="11433"/>
        <v>particle</v>
      </c>
      <c r="C3760" s="391">
        <f t="shared" ref="C3760" si="11434">C3759</f>
        <v>6</v>
      </c>
      <c r="D3760" s="391" t="str">
        <f t="shared" ref="D3760:E3760" si="11435">D3757</f>
        <v>0,1-1</v>
      </c>
      <c r="E3760" s="391">
        <f t="shared" si="11435"/>
        <v>1</v>
      </c>
      <c r="F3760" s="400" t="s">
        <v>1057</v>
      </c>
      <c r="G3760" s="422" t="str">
        <f>CONCATENATE("DE: ",A3760," ",B3760," ",D3760," mm (emission to ",F3760,")")</f>
        <v>DE: PHA particle 0,1-1 mm (emission to air)</v>
      </c>
      <c r="H3760" s="467">
        <v>0.94799999999999995</v>
      </c>
      <c r="I3760" s="388" t="s">
        <v>1019</v>
      </c>
      <c r="J3760" s="634">
        <v>0.22800000000000001</v>
      </c>
      <c r="K3760" s="389">
        <v>1564.29</v>
      </c>
      <c r="L3760" s="536"/>
      <c r="M3760" s="509">
        <f t="shared" si="11302"/>
        <v>7.9908456871807657E-2</v>
      </c>
      <c r="N3760" s="645">
        <f t="shared" si="11354"/>
        <v>0.60145184725145995</v>
      </c>
      <c r="O3760" s="625"/>
      <c r="P3760" s="628">
        <f t="shared" ref="P3760:P3820" si="11436">IFERROR(IF(H3760*M3760+H3761*M3761+H3762*M3762+H3763*M3763+H3764*M3764&gt;100,100,H3760*M3760+H3761*M3761+H3762*M3762+H3763*M3763+H3764*M3764),"N.A.")</f>
        <v>0.60145184725145995</v>
      </c>
      <c r="Q3760" s="628">
        <f t="shared" si="11310"/>
        <v>0.60145184725145995</v>
      </c>
    </row>
    <row r="3761" spans="1:17" ht="15.75" hidden="1" thickBot="1">
      <c r="A3761" s="390" t="str">
        <f t="shared" ref="A3761:B3761" si="11437">A3758</f>
        <v>PHA</v>
      </c>
      <c r="B3761" s="391" t="str">
        <f t="shared" si="11437"/>
        <v>particle</v>
      </c>
      <c r="C3761" s="391">
        <f t="shared" ref="C3761" si="11438">C3760</f>
        <v>6</v>
      </c>
      <c r="D3761" s="391" t="str">
        <f t="shared" ref="D3761:E3761" si="11439">D3758</f>
        <v>0,1-1</v>
      </c>
      <c r="E3761" s="391">
        <f t="shared" si="11439"/>
        <v>1</v>
      </c>
      <c r="F3761" s="391" t="str">
        <f t="shared" ref="F3761:G3761" si="11440">F3760</f>
        <v>air</v>
      </c>
      <c r="G3761" s="401" t="str">
        <f t="shared" si="11440"/>
        <v>DE: PHA particle 0,1-1 mm (emission to air)</v>
      </c>
      <c r="H3761" s="465">
        <v>0</v>
      </c>
      <c r="I3761" s="394" t="s">
        <v>1097</v>
      </c>
      <c r="J3761" s="635"/>
      <c r="K3761" s="389">
        <v>21.270396270396269</v>
      </c>
      <c r="L3761" s="536"/>
      <c r="M3761" s="509">
        <f t="shared" si="11302"/>
        <v>5.8767123287671241</v>
      </c>
      <c r="N3761" s="646"/>
      <c r="O3761" s="626"/>
      <c r="P3761" s="629"/>
      <c r="Q3761" s="629"/>
    </row>
    <row r="3762" spans="1:17" ht="15.75" hidden="1" thickBot="1">
      <c r="A3762" s="390" t="str">
        <f t="shared" ref="A3762:B3762" si="11441">A3759</f>
        <v>PHA</v>
      </c>
      <c r="B3762" s="391" t="str">
        <f t="shared" si="11441"/>
        <v>particle</v>
      </c>
      <c r="C3762" s="391">
        <f t="shared" ref="C3762" si="11442">C3761</f>
        <v>6</v>
      </c>
      <c r="D3762" s="391" t="str">
        <f t="shared" ref="D3762:E3762" si="11443">D3759</f>
        <v>0,1-1</v>
      </c>
      <c r="E3762" s="391">
        <f t="shared" si="11443"/>
        <v>1</v>
      </c>
      <c r="F3762" s="391" t="str">
        <f t="shared" ref="F3762:G3762" si="11444">F3761</f>
        <v>air</v>
      </c>
      <c r="G3762" s="401" t="str">
        <f t="shared" si="11444"/>
        <v>DE: PHA particle 0,1-1 mm (emission to air)</v>
      </c>
      <c r="H3762" s="465">
        <v>4.7E-2</v>
      </c>
      <c r="I3762" s="394" t="s">
        <v>1162</v>
      </c>
      <c r="J3762" s="635"/>
      <c r="K3762" s="389">
        <v>12.364498644986449</v>
      </c>
      <c r="L3762" s="536"/>
      <c r="M3762" s="509">
        <f t="shared" si="11302"/>
        <v>10.109589041095891</v>
      </c>
      <c r="N3762" s="646"/>
      <c r="O3762" s="626"/>
      <c r="P3762" s="629"/>
      <c r="Q3762" s="629"/>
    </row>
    <row r="3763" spans="1:17" ht="15.75" hidden="1" thickBot="1">
      <c r="A3763" s="390" t="str">
        <f t="shared" ref="A3763:B3763" si="11445">A3760</f>
        <v>PHA</v>
      </c>
      <c r="B3763" s="391" t="str">
        <f t="shared" si="11445"/>
        <v>particle</v>
      </c>
      <c r="C3763" s="391">
        <f t="shared" ref="C3763" si="11446">C3762</f>
        <v>6</v>
      </c>
      <c r="D3763" s="391" t="str">
        <f t="shared" ref="D3763:E3763" si="11447">D3760</f>
        <v>0,1-1</v>
      </c>
      <c r="E3763" s="391">
        <f t="shared" si="11447"/>
        <v>1</v>
      </c>
      <c r="F3763" s="391" t="str">
        <f t="shared" ref="F3763:G3763" si="11448">F3762</f>
        <v>air</v>
      </c>
      <c r="G3763" s="401" t="str">
        <f t="shared" si="11448"/>
        <v>DE: PHA particle 0,1-1 mm (emission to air)</v>
      </c>
      <c r="H3763" s="465">
        <v>5.0000000000000001E-3</v>
      </c>
      <c r="I3763" s="394" t="s">
        <v>1146</v>
      </c>
      <c r="J3763" s="635"/>
      <c r="K3763" s="389">
        <v>12.364498644986449</v>
      </c>
      <c r="L3763" s="536"/>
      <c r="M3763" s="509">
        <f t="shared" si="11302"/>
        <v>10.109589041095891</v>
      </c>
      <c r="N3763" s="646"/>
      <c r="O3763" s="626"/>
      <c r="P3763" s="629"/>
      <c r="Q3763" s="629"/>
    </row>
    <row r="3764" spans="1:17" ht="15.75" hidden="1" thickBot="1">
      <c r="A3764" s="452" t="str">
        <f t="shared" ref="A3764:B3764" si="11449">A3759</f>
        <v>PHA</v>
      </c>
      <c r="B3764" s="453" t="str">
        <f t="shared" si="11449"/>
        <v>particle</v>
      </c>
      <c r="C3764" s="453">
        <f t="shared" ref="C3764" si="11450">C3763</f>
        <v>6</v>
      </c>
      <c r="D3764" s="453" t="str">
        <f t="shared" ref="D3764:E3764" si="11451">D3759</f>
        <v>0,1-1</v>
      </c>
      <c r="E3764" s="453">
        <f t="shared" si="11451"/>
        <v>1</v>
      </c>
      <c r="F3764" s="453" t="str">
        <f t="shared" ref="F3764:G3764" si="11452">F3763</f>
        <v>air</v>
      </c>
      <c r="G3764" s="454" t="str">
        <f t="shared" si="11452"/>
        <v>DE: PHA particle 0,1-1 mm (emission to air)</v>
      </c>
      <c r="H3764" s="473">
        <v>0</v>
      </c>
      <c r="I3764" s="456" t="s">
        <v>1034</v>
      </c>
      <c r="J3764" s="636"/>
      <c r="K3764" s="457" t="s">
        <v>596</v>
      </c>
      <c r="L3764" s="543"/>
      <c r="M3764" s="509">
        <f t="shared" si="11302"/>
        <v>0</v>
      </c>
      <c r="N3764" s="647"/>
      <c r="O3764" s="627"/>
      <c r="P3764" s="629"/>
      <c r="Q3764" s="629"/>
    </row>
    <row r="3765" spans="1:17" ht="15.75" hidden="1" thickBot="1">
      <c r="A3765" s="405" t="s">
        <v>20</v>
      </c>
      <c r="B3765" s="406" t="s">
        <v>1152</v>
      </c>
      <c r="C3765" s="407">
        <v>6</v>
      </c>
      <c r="D3765" s="423" t="s">
        <v>1026</v>
      </c>
      <c r="E3765" s="408">
        <v>10</v>
      </c>
      <c r="F3765" s="424" t="s">
        <v>1019</v>
      </c>
      <c r="G3765" s="425" t="str">
        <f>CONCATENATE("DE: ",A3765," ",B3765," ",D3765," mm (emission to ",F3765,")")</f>
        <v>DE: PHA particle 1-10 mm (emission to soil)</v>
      </c>
      <c r="H3765" s="474">
        <v>0.97</v>
      </c>
      <c r="I3765" s="427" t="s">
        <v>1019</v>
      </c>
      <c r="J3765" s="632">
        <v>0.22800000000000001</v>
      </c>
      <c r="K3765" s="428">
        <v>1564.29</v>
      </c>
      <c r="L3765" s="539"/>
      <c r="M3765" s="509">
        <f t="shared" si="11302"/>
        <v>0.79908456871807654</v>
      </c>
      <c r="N3765" s="645">
        <f t="shared" si="11354"/>
        <v>3.8079887439853017</v>
      </c>
      <c r="O3765" s="625"/>
      <c r="P3765" s="628">
        <f t="shared" si="11436"/>
        <v>3.8079887439853017</v>
      </c>
      <c r="Q3765" s="628">
        <f t="shared" si="11310"/>
        <v>3.8079887439853017</v>
      </c>
    </row>
    <row r="3766" spans="1:17" ht="15.75" hidden="1" thickBot="1">
      <c r="A3766" s="390" t="str">
        <f>A3765</f>
        <v>PHA</v>
      </c>
      <c r="B3766" s="391" t="str">
        <f>B3765</f>
        <v>particle</v>
      </c>
      <c r="C3766" s="391">
        <f t="shared" ref="C3766:G3766" si="11453">C3765</f>
        <v>6</v>
      </c>
      <c r="D3766" s="391" t="str">
        <f t="shared" si="11453"/>
        <v>1-10</v>
      </c>
      <c r="E3766" s="391">
        <f t="shared" si="11453"/>
        <v>10</v>
      </c>
      <c r="F3766" s="391" t="str">
        <f t="shared" si="11453"/>
        <v>soil</v>
      </c>
      <c r="G3766" s="392" t="str">
        <f t="shared" si="11453"/>
        <v>DE: PHA particle 1-10 mm (emission to soil)</v>
      </c>
      <c r="H3766" s="465">
        <v>0</v>
      </c>
      <c r="I3766" s="394" t="s">
        <v>1097</v>
      </c>
      <c r="J3766" s="632"/>
      <c r="K3766" s="395">
        <v>21.270396270396269</v>
      </c>
      <c r="L3766" s="537"/>
      <c r="M3766" s="509">
        <f t="shared" si="11302"/>
        <v>58.767123287671239</v>
      </c>
      <c r="N3766" s="646"/>
      <c r="O3766" s="626"/>
      <c r="P3766" s="629"/>
      <c r="Q3766" s="629"/>
    </row>
    <row r="3767" spans="1:17" ht="15.75" hidden="1" thickBot="1">
      <c r="A3767" s="390" t="str">
        <f t="shared" ref="A3767:G3767" si="11454">A3766</f>
        <v>PHA</v>
      </c>
      <c r="B3767" s="391" t="str">
        <f t="shared" si="11454"/>
        <v>particle</v>
      </c>
      <c r="C3767" s="391">
        <f t="shared" si="11454"/>
        <v>6</v>
      </c>
      <c r="D3767" s="391" t="str">
        <f t="shared" si="11454"/>
        <v>1-10</v>
      </c>
      <c r="E3767" s="391">
        <f t="shared" si="11454"/>
        <v>10</v>
      </c>
      <c r="F3767" s="391" t="str">
        <f t="shared" si="11454"/>
        <v>soil</v>
      </c>
      <c r="G3767" s="392" t="str">
        <f t="shared" si="11454"/>
        <v>DE: PHA particle 1-10 mm (emission to soil)</v>
      </c>
      <c r="H3767" s="465">
        <v>2.7E-2</v>
      </c>
      <c r="I3767" s="394" t="s">
        <v>1162</v>
      </c>
      <c r="J3767" s="632"/>
      <c r="K3767" s="395">
        <v>12.364498644986449</v>
      </c>
      <c r="L3767" s="537"/>
      <c r="M3767" s="509">
        <f t="shared" si="11302"/>
        <v>101.0958904109589</v>
      </c>
      <c r="N3767" s="646"/>
      <c r="O3767" s="626"/>
      <c r="P3767" s="629"/>
      <c r="Q3767" s="629"/>
    </row>
    <row r="3768" spans="1:17" ht="15.75" hidden="1" thickBot="1">
      <c r="A3768" s="390" t="str">
        <f t="shared" ref="A3768:G3768" si="11455">A3767</f>
        <v>PHA</v>
      </c>
      <c r="B3768" s="391" t="str">
        <f t="shared" si="11455"/>
        <v>particle</v>
      </c>
      <c r="C3768" s="391">
        <f t="shared" si="11455"/>
        <v>6</v>
      </c>
      <c r="D3768" s="391" t="str">
        <f t="shared" si="11455"/>
        <v>1-10</v>
      </c>
      <c r="E3768" s="391">
        <f t="shared" si="11455"/>
        <v>10</v>
      </c>
      <c r="F3768" s="391" t="str">
        <f t="shared" si="11455"/>
        <v>soil</v>
      </c>
      <c r="G3768" s="392" t="str">
        <f t="shared" si="11455"/>
        <v>DE: PHA particle 1-10 mm (emission to soil)</v>
      </c>
      <c r="H3768" s="465">
        <v>3.0000000000000001E-3</v>
      </c>
      <c r="I3768" s="394" t="s">
        <v>1146</v>
      </c>
      <c r="J3768" s="632"/>
      <c r="K3768" s="395">
        <v>12.364498644986449</v>
      </c>
      <c r="L3768" s="537"/>
      <c r="M3768" s="509">
        <f t="shared" si="11302"/>
        <v>101.0958904109589</v>
      </c>
      <c r="N3768" s="646"/>
      <c r="O3768" s="626"/>
      <c r="P3768" s="629"/>
      <c r="Q3768" s="629"/>
    </row>
    <row r="3769" spans="1:17" ht="15.75" hidden="1" thickBot="1">
      <c r="A3769" s="390" t="str">
        <f>A3766</f>
        <v>PHA</v>
      </c>
      <c r="B3769" s="391" t="str">
        <f>B3766</f>
        <v>particle</v>
      </c>
      <c r="C3769" s="391">
        <f t="shared" ref="C3769" si="11456">C3768</f>
        <v>6</v>
      </c>
      <c r="D3769" s="391" t="str">
        <f>D3766</f>
        <v>1-10</v>
      </c>
      <c r="E3769" s="391">
        <f>E3766</f>
        <v>10</v>
      </c>
      <c r="F3769" s="391" t="str">
        <f>F3766</f>
        <v>soil</v>
      </c>
      <c r="G3769" s="396" t="str">
        <f t="shared" ref="G3769" si="11457">G3768</f>
        <v>DE: PHA particle 1-10 mm (emission to soil)</v>
      </c>
      <c r="H3769" s="465">
        <v>0</v>
      </c>
      <c r="I3769" s="397" t="s">
        <v>1034</v>
      </c>
      <c r="J3769" s="633"/>
      <c r="K3769" s="398" t="s">
        <v>596</v>
      </c>
      <c r="L3769" s="538"/>
      <c r="M3769" s="509">
        <f t="shared" si="11302"/>
        <v>0</v>
      </c>
      <c r="N3769" s="647"/>
      <c r="O3769" s="627"/>
      <c r="P3769" s="629"/>
      <c r="Q3769" s="629"/>
    </row>
    <row r="3770" spans="1:17" ht="15.75" hidden="1" thickBot="1">
      <c r="A3770" s="390" t="str">
        <f t="shared" ref="A3770:B3770" si="11458">A3767</f>
        <v>PHA</v>
      </c>
      <c r="B3770" s="391" t="str">
        <f t="shared" si="11458"/>
        <v>particle</v>
      </c>
      <c r="C3770" s="391">
        <f t="shared" ref="C3770" si="11459">C3769</f>
        <v>6</v>
      </c>
      <c r="D3770" s="399" t="str">
        <f t="shared" ref="D3770:E3770" si="11460">D3767</f>
        <v>1-10</v>
      </c>
      <c r="E3770" s="391">
        <f t="shared" si="11460"/>
        <v>10</v>
      </c>
      <c r="F3770" s="400" t="s">
        <v>1147</v>
      </c>
      <c r="G3770" s="386" t="str">
        <f>CONCATENATE("DE: ",A3770," ",B3770," ",D3770," mm (emission to ",F3770,")")</f>
        <v>DE: PHA particle 1-10 mm (emission to fresh water)</v>
      </c>
      <c r="H3770" s="466">
        <v>0</v>
      </c>
      <c r="I3770" s="388" t="s">
        <v>1019</v>
      </c>
      <c r="J3770" s="634">
        <v>0.22800000000000001</v>
      </c>
      <c r="K3770" s="389">
        <v>1564.29</v>
      </c>
      <c r="L3770" s="536"/>
      <c r="M3770" s="509">
        <f t="shared" si="11302"/>
        <v>0.79908456871807654</v>
      </c>
      <c r="N3770" s="645">
        <f t="shared" si="11354"/>
        <v>101.0958904109589</v>
      </c>
      <c r="O3770" s="625"/>
      <c r="P3770" s="628">
        <f t="shared" si="11436"/>
        <v>100</v>
      </c>
      <c r="Q3770" s="628">
        <f t="shared" si="11310"/>
        <v>101.0958904109589</v>
      </c>
    </row>
    <row r="3771" spans="1:17" ht="15.75" hidden="1" thickBot="1">
      <c r="A3771" s="390" t="str">
        <f t="shared" ref="A3771:B3771" si="11461">A3768</f>
        <v>PHA</v>
      </c>
      <c r="B3771" s="391" t="str">
        <f t="shared" si="11461"/>
        <v>particle</v>
      </c>
      <c r="C3771" s="391">
        <f t="shared" ref="C3771" si="11462">C3770</f>
        <v>6</v>
      </c>
      <c r="D3771" s="391" t="str">
        <f t="shared" ref="D3771:E3771" si="11463">D3768</f>
        <v>1-10</v>
      </c>
      <c r="E3771" s="391">
        <f t="shared" si="11463"/>
        <v>10</v>
      </c>
      <c r="F3771" s="391" t="str">
        <f t="shared" ref="F3771:G3771" si="11464">F3770</f>
        <v>fresh water</v>
      </c>
      <c r="G3771" s="401" t="str">
        <f t="shared" si="11464"/>
        <v>DE: PHA particle 1-10 mm (emission to fresh water)</v>
      </c>
      <c r="H3771" s="465">
        <v>0</v>
      </c>
      <c r="I3771" s="394" t="s">
        <v>1097</v>
      </c>
      <c r="J3771" s="635"/>
      <c r="K3771" s="389">
        <v>21.270396270396269</v>
      </c>
      <c r="L3771" s="536"/>
      <c r="M3771" s="509">
        <f t="shared" si="11302"/>
        <v>58.767123287671239</v>
      </c>
      <c r="N3771" s="646"/>
      <c r="O3771" s="626"/>
      <c r="P3771" s="629"/>
      <c r="Q3771" s="629"/>
    </row>
    <row r="3772" spans="1:17" ht="15.75" hidden="1" thickBot="1">
      <c r="A3772" s="390" t="str">
        <f t="shared" ref="A3772:B3772" si="11465">A3769</f>
        <v>PHA</v>
      </c>
      <c r="B3772" s="391" t="str">
        <f t="shared" si="11465"/>
        <v>particle</v>
      </c>
      <c r="C3772" s="391">
        <f t="shared" ref="C3772" si="11466">C3771</f>
        <v>6</v>
      </c>
      <c r="D3772" s="391" t="str">
        <f t="shared" ref="D3772:E3772" si="11467">D3769</f>
        <v>1-10</v>
      </c>
      <c r="E3772" s="391">
        <f t="shared" si="11467"/>
        <v>10</v>
      </c>
      <c r="F3772" s="391" t="str">
        <f t="shared" ref="F3772:G3772" si="11468">F3771</f>
        <v>fresh water</v>
      </c>
      <c r="G3772" s="401" t="str">
        <f t="shared" si="11468"/>
        <v>DE: PHA particle 1-10 mm (emission to fresh water)</v>
      </c>
      <c r="H3772" s="465">
        <v>0.89</v>
      </c>
      <c r="I3772" s="394" t="s">
        <v>1162</v>
      </c>
      <c r="J3772" s="635"/>
      <c r="K3772" s="389">
        <v>12.364498644986449</v>
      </c>
      <c r="L3772" s="536"/>
      <c r="M3772" s="509">
        <f t="shared" si="11302"/>
        <v>101.0958904109589</v>
      </c>
      <c r="N3772" s="646"/>
      <c r="O3772" s="626"/>
      <c r="P3772" s="629"/>
      <c r="Q3772" s="629"/>
    </row>
    <row r="3773" spans="1:17" ht="15.75" hidden="1" thickBot="1">
      <c r="A3773" s="390" t="str">
        <f t="shared" ref="A3773:B3773" si="11469">A3770</f>
        <v>PHA</v>
      </c>
      <c r="B3773" s="391" t="str">
        <f t="shared" si="11469"/>
        <v>particle</v>
      </c>
      <c r="C3773" s="391">
        <f t="shared" ref="C3773" si="11470">C3772</f>
        <v>6</v>
      </c>
      <c r="D3773" s="391" t="str">
        <f t="shared" ref="D3773:E3773" si="11471">D3770</f>
        <v>1-10</v>
      </c>
      <c r="E3773" s="391">
        <f t="shared" si="11471"/>
        <v>10</v>
      </c>
      <c r="F3773" s="391" t="str">
        <f t="shared" ref="F3773:G3773" si="11472">F3772</f>
        <v>fresh water</v>
      </c>
      <c r="G3773" s="401" t="str">
        <f t="shared" si="11472"/>
        <v>DE: PHA particle 1-10 mm (emission to fresh water)</v>
      </c>
      <c r="H3773" s="465">
        <v>0.11</v>
      </c>
      <c r="I3773" s="394" t="s">
        <v>1146</v>
      </c>
      <c r="J3773" s="635"/>
      <c r="K3773" s="389">
        <v>12.364498644986449</v>
      </c>
      <c r="L3773" s="536"/>
      <c r="M3773" s="509">
        <f t="shared" si="11302"/>
        <v>101.0958904109589</v>
      </c>
      <c r="N3773" s="646"/>
      <c r="O3773" s="626"/>
      <c r="P3773" s="629"/>
      <c r="Q3773" s="629"/>
    </row>
    <row r="3774" spans="1:17" ht="15.75" hidden="1" thickBot="1">
      <c r="A3774" s="390" t="str">
        <f t="shared" ref="A3774:B3774" si="11473">A3771</f>
        <v>PHA</v>
      </c>
      <c r="B3774" s="391" t="str">
        <f t="shared" si="11473"/>
        <v>particle</v>
      </c>
      <c r="C3774" s="391">
        <f t="shared" ref="C3774" si="11474">C3773</f>
        <v>6</v>
      </c>
      <c r="D3774" s="391" t="str">
        <f t="shared" ref="D3774:E3774" si="11475">D3771</f>
        <v>1-10</v>
      </c>
      <c r="E3774" s="391">
        <f t="shared" si="11475"/>
        <v>10</v>
      </c>
      <c r="F3774" s="402" t="str">
        <f>F3771</f>
        <v>fresh water</v>
      </c>
      <c r="G3774" s="401" t="str">
        <f t="shared" ref="G3774" si="11476">G3773</f>
        <v>DE: PHA particle 1-10 mm (emission to fresh water)</v>
      </c>
      <c r="H3774" s="465">
        <v>0</v>
      </c>
      <c r="I3774" s="397" t="s">
        <v>1034</v>
      </c>
      <c r="J3774" s="654"/>
      <c r="K3774" s="398" t="s">
        <v>596</v>
      </c>
      <c r="L3774" s="538"/>
      <c r="M3774" s="509">
        <f t="shared" si="11302"/>
        <v>0</v>
      </c>
      <c r="N3774" s="647"/>
      <c r="O3774" s="627"/>
      <c r="P3774" s="629"/>
      <c r="Q3774" s="629"/>
    </row>
    <row r="3775" spans="1:17" ht="15.75" hidden="1" thickBot="1">
      <c r="A3775" s="390" t="str">
        <f t="shared" ref="A3775:B3775" si="11477">A3772</f>
        <v>PHA</v>
      </c>
      <c r="B3775" s="391" t="str">
        <f t="shared" si="11477"/>
        <v>particle</v>
      </c>
      <c r="C3775" s="391">
        <f t="shared" ref="C3775" si="11478">C3774</f>
        <v>6</v>
      </c>
      <c r="D3775" s="391" t="str">
        <f t="shared" ref="D3775:E3775" si="11479">D3772</f>
        <v>1-10</v>
      </c>
      <c r="E3775" s="391">
        <f t="shared" si="11479"/>
        <v>10</v>
      </c>
      <c r="F3775" s="385" t="s">
        <v>1097</v>
      </c>
      <c r="G3775" s="422" t="str">
        <f>CONCATENATE("DE: ",A3775," ",B3775," ",D3775," mm (emission to ",F3775,")")</f>
        <v>DE: PHA particle 1-10 mm (emission to marine water)</v>
      </c>
      <c r="H3775" s="467">
        <v>0</v>
      </c>
      <c r="I3775" s="388" t="s">
        <v>1019</v>
      </c>
      <c r="J3775" s="634">
        <v>0.22800000000000001</v>
      </c>
      <c r="K3775" s="389">
        <v>1564.29</v>
      </c>
      <c r="L3775" s="536"/>
      <c r="M3775" s="509">
        <f t="shared" si="11302"/>
        <v>0.79908456871807654</v>
      </c>
      <c r="N3775" s="645">
        <f t="shared" si="11354"/>
        <v>101.0958904109589</v>
      </c>
      <c r="O3775" s="625"/>
      <c r="P3775" s="628">
        <f t="shared" si="11436"/>
        <v>100</v>
      </c>
      <c r="Q3775" s="628">
        <f t="shared" si="11310"/>
        <v>101.0958904109589</v>
      </c>
    </row>
    <row r="3776" spans="1:17" ht="15.75" hidden="1" thickBot="1">
      <c r="A3776" s="390" t="str">
        <f t="shared" ref="A3776:B3776" si="11480">A3773</f>
        <v>PHA</v>
      </c>
      <c r="B3776" s="391" t="str">
        <f t="shared" si="11480"/>
        <v>particle</v>
      </c>
      <c r="C3776" s="391">
        <f t="shared" ref="C3776" si="11481">C3775</f>
        <v>6</v>
      </c>
      <c r="D3776" s="391" t="str">
        <f t="shared" ref="D3776:E3776" si="11482">D3773</f>
        <v>1-10</v>
      </c>
      <c r="E3776" s="391">
        <f t="shared" si="11482"/>
        <v>10</v>
      </c>
      <c r="F3776" s="391" t="str">
        <f t="shared" ref="F3776:G3776" si="11483">F3775</f>
        <v>marine water</v>
      </c>
      <c r="G3776" s="401" t="str">
        <f t="shared" si="11483"/>
        <v>DE: PHA particle 1-10 mm (emission to marine water)</v>
      </c>
      <c r="H3776" s="465">
        <v>0</v>
      </c>
      <c r="I3776" s="394" t="s">
        <v>1097</v>
      </c>
      <c r="J3776" s="635"/>
      <c r="K3776" s="389">
        <v>21.270396270396269</v>
      </c>
      <c r="L3776" s="536"/>
      <c r="M3776" s="509">
        <f t="shared" si="11302"/>
        <v>58.767123287671239</v>
      </c>
      <c r="N3776" s="646"/>
      <c r="O3776" s="626"/>
      <c r="P3776" s="629"/>
      <c r="Q3776" s="629"/>
    </row>
    <row r="3777" spans="1:17" ht="15.75" hidden="1" thickBot="1">
      <c r="A3777" s="390" t="str">
        <f t="shared" ref="A3777:B3777" si="11484">A3774</f>
        <v>PHA</v>
      </c>
      <c r="B3777" s="391" t="str">
        <f t="shared" si="11484"/>
        <v>particle</v>
      </c>
      <c r="C3777" s="391">
        <f t="shared" ref="C3777" si="11485">C3776</f>
        <v>6</v>
      </c>
      <c r="D3777" s="391" t="str">
        <f t="shared" ref="D3777:E3777" si="11486">D3774</f>
        <v>1-10</v>
      </c>
      <c r="E3777" s="391">
        <f t="shared" si="11486"/>
        <v>10</v>
      </c>
      <c r="F3777" s="391" t="str">
        <f t="shared" ref="F3777:G3777" si="11487">F3776</f>
        <v>marine water</v>
      </c>
      <c r="G3777" s="401" t="str">
        <f t="shared" si="11487"/>
        <v>DE: PHA particle 1-10 mm (emission to marine water)</v>
      </c>
      <c r="H3777" s="465">
        <v>0</v>
      </c>
      <c r="I3777" s="394" t="s">
        <v>1162</v>
      </c>
      <c r="J3777" s="635"/>
      <c r="K3777" s="389">
        <v>12.364498644986449</v>
      </c>
      <c r="L3777" s="536"/>
      <c r="M3777" s="509">
        <f t="shared" si="11302"/>
        <v>101.0958904109589</v>
      </c>
      <c r="N3777" s="646"/>
      <c r="O3777" s="626"/>
      <c r="P3777" s="629"/>
      <c r="Q3777" s="629"/>
    </row>
    <row r="3778" spans="1:17" ht="15.75" hidden="1" thickBot="1">
      <c r="A3778" s="390" t="str">
        <f t="shared" ref="A3778:B3778" si="11488">A3775</f>
        <v>PHA</v>
      </c>
      <c r="B3778" s="391" t="str">
        <f t="shared" si="11488"/>
        <v>particle</v>
      </c>
      <c r="C3778" s="391">
        <f t="shared" ref="C3778" si="11489">C3777</f>
        <v>6</v>
      </c>
      <c r="D3778" s="391" t="str">
        <f t="shared" ref="D3778:E3778" si="11490">D3775</f>
        <v>1-10</v>
      </c>
      <c r="E3778" s="391">
        <f t="shared" si="11490"/>
        <v>10</v>
      </c>
      <c r="F3778" s="391" t="str">
        <f t="shared" ref="F3778:G3778" si="11491">F3777</f>
        <v>marine water</v>
      </c>
      <c r="G3778" s="401" t="str">
        <f t="shared" si="11491"/>
        <v>DE: PHA particle 1-10 mm (emission to marine water)</v>
      </c>
      <c r="H3778" s="465">
        <v>1</v>
      </c>
      <c r="I3778" s="394" t="s">
        <v>1146</v>
      </c>
      <c r="J3778" s="635"/>
      <c r="K3778" s="389">
        <v>12.364498644986449</v>
      </c>
      <c r="L3778" s="536"/>
      <c r="M3778" s="509">
        <f t="shared" si="11302"/>
        <v>101.0958904109589</v>
      </c>
      <c r="N3778" s="646"/>
      <c r="O3778" s="626"/>
      <c r="P3778" s="629"/>
      <c r="Q3778" s="629"/>
    </row>
    <row r="3779" spans="1:17" ht="15.75" hidden="1" thickBot="1">
      <c r="A3779" s="390" t="str">
        <f t="shared" ref="A3779:B3779" si="11492">A3776</f>
        <v>PHA</v>
      </c>
      <c r="B3779" s="391" t="str">
        <f t="shared" si="11492"/>
        <v>particle</v>
      </c>
      <c r="C3779" s="391">
        <f t="shared" ref="C3779" si="11493">C3778</f>
        <v>6</v>
      </c>
      <c r="D3779" s="391" t="str">
        <f t="shared" ref="D3779:E3779" si="11494">D3776</f>
        <v>1-10</v>
      </c>
      <c r="E3779" s="391">
        <f t="shared" si="11494"/>
        <v>10</v>
      </c>
      <c r="F3779" s="391" t="str">
        <f t="shared" ref="F3779:G3779" si="11495">F3778</f>
        <v>marine water</v>
      </c>
      <c r="G3779" s="401" t="str">
        <f t="shared" si="11495"/>
        <v>DE: PHA particle 1-10 mm (emission to marine water)</v>
      </c>
      <c r="H3779" s="465">
        <v>0</v>
      </c>
      <c r="I3779" s="397" t="s">
        <v>1034</v>
      </c>
      <c r="J3779" s="654"/>
      <c r="K3779" s="398" t="s">
        <v>596</v>
      </c>
      <c r="L3779" s="538"/>
      <c r="M3779" s="509">
        <f t="shared" si="11302"/>
        <v>0</v>
      </c>
      <c r="N3779" s="647"/>
      <c r="O3779" s="627"/>
      <c r="P3779" s="629"/>
      <c r="Q3779" s="629"/>
    </row>
    <row r="3780" spans="1:17" ht="15.75" hidden="1" thickBot="1">
      <c r="A3780" s="390" t="str">
        <f t="shared" ref="A3780:B3780" si="11496">A3777</f>
        <v>PHA</v>
      </c>
      <c r="B3780" s="391" t="str">
        <f t="shared" si="11496"/>
        <v>particle</v>
      </c>
      <c r="C3780" s="391">
        <f t="shared" ref="C3780" si="11497">C3779</f>
        <v>6</v>
      </c>
      <c r="D3780" s="391" t="str">
        <f t="shared" ref="D3780:E3780" si="11498">D3777</f>
        <v>1-10</v>
      </c>
      <c r="E3780" s="391">
        <f t="shared" si="11498"/>
        <v>10</v>
      </c>
      <c r="F3780" s="400" t="s">
        <v>1057</v>
      </c>
      <c r="G3780" s="422" t="str">
        <f>CONCATENATE("DE: ",A3780," ",B3780," ",D3780," mm (emission to ",F3780,")")</f>
        <v>DE: PHA particle 1-10 mm (emission to air)</v>
      </c>
      <c r="H3780" s="467">
        <v>0.94799999999999995</v>
      </c>
      <c r="I3780" s="388" t="s">
        <v>1019</v>
      </c>
      <c r="J3780" s="634">
        <v>0.22800000000000001</v>
      </c>
      <c r="K3780" s="389">
        <v>1564.29</v>
      </c>
      <c r="L3780" s="536"/>
      <c r="M3780" s="509">
        <f t="shared" si="11302"/>
        <v>0.79908456871807654</v>
      </c>
      <c r="N3780" s="645">
        <f t="shared" si="11354"/>
        <v>6.0145184725145988</v>
      </c>
      <c r="O3780" s="625"/>
      <c r="P3780" s="628">
        <f t="shared" si="11436"/>
        <v>6.0145184725145988</v>
      </c>
      <c r="Q3780" s="628">
        <f t="shared" si="11310"/>
        <v>6.0145184725145988</v>
      </c>
    </row>
    <row r="3781" spans="1:17" ht="15.75" hidden="1" thickBot="1">
      <c r="A3781" s="390" t="str">
        <f t="shared" ref="A3781:B3781" si="11499">A3778</f>
        <v>PHA</v>
      </c>
      <c r="B3781" s="391" t="str">
        <f t="shared" si="11499"/>
        <v>particle</v>
      </c>
      <c r="C3781" s="391">
        <f t="shared" ref="C3781" si="11500">C3780</f>
        <v>6</v>
      </c>
      <c r="D3781" s="391" t="str">
        <f t="shared" ref="D3781:E3781" si="11501">D3778</f>
        <v>1-10</v>
      </c>
      <c r="E3781" s="391">
        <f t="shared" si="11501"/>
        <v>10</v>
      </c>
      <c r="F3781" s="391" t="str">
        <f t="shared" ref="F3781:G3781" si="11502">F3780</f>
        <v>air</v>
      </c>
      <c r="G3781" s="401" t="str">
        <f t="shared" si="11502"/>
        <v>DE: PHA particle 1-10 mm (emission to air)</v>
      </c>
      <c r="H3781" s="465">
        <v>0</v>
      </c>
      <c r="I3781" s="394" t="s">
        <v>1097</v>
      </c>
      <c r="J3781" s="635"/>
      <c r="K3781" s="389">
        <v>21.270396270396269</v>
      </c>
      <c r="L3781" s="536"/>
      <c r="M3781" s="509">
        <f t="shared" si="11302"/>
        <v>58.767123287671239</v>
      </c>
      <c r="N3781" s="646"/>
      <c r="O3781" s="626"/>
      <c r="P3781" s="629"/>
      <c r="Q3781" s="629"/>
    </row>
    <row r="3782" spans="1:17" ht="15.75" hidden="1" thickBot="1">
      <c r="A3782" s="390" t="str">
        <f t="shared" ref="A3782:B3782" si="11503">A3779</f>
        <v>PHA</v>
      </c>
      <c r="B3782" s="391" t="str">
        <f t="shared" si="11503"/>
        <v>particle</v>
      </c>
      <c r="C3782" s="391">
        <f t="shared" ref="C3782" si="11504">C3781</f>
        <v>6</v>
      </c>
      <c r="D3782" s="391" t="str">
        <f t="shared" ref="D3782:E3782" si="11505">D3779</f>
        <v>1-10</v>
      </c>
      <c r="E3782" s="391">
        <f t="shared" si="11505"/>
        <v>10</v>
      </c>
      <c r="F3782" s="391" t="str">
        <f t="shared" ref="F3782:G3782" si="11506">F3781</f>
        <v>air</v>
      </c>
      <c r="G3782" s="401" t="str">
        <f t="shared" si="11506"/>
        <v>DE: PHA particle 1-10 mm (emission to air)</v>
      </c>
      <c r="H3782" s="465">
        <v>4.7E-2</v>
      </c>
      <c r="I3782" s="394" t="s">
        <v>1162</v>
      </c>
      <c r="J3782" s="635"/>
      <c r="K3782" s="389">
        <v>12.364498644986449</v>
      </c>
      <c r="L3782" s="536"/>
      <c r="M3782" s="509">
        <f t="shared" ref="M3782:M3845" si="11507">IFERROR(IF(K3782="--",0,IF(E3782*1000/K3782*(1-0.5)^(C3782/2)&gt;1000,1000,E3782*1000/K3782*(1-0.5)^(C3782/2))),1000)</f>
        <v>101.0958904109589</v>
      </c>
      <c r="N3782" s="646"/>
      <c r="O3782" s="626"/>
      <c r="P3782" s="629"/>
      <c r="Q3782" s="629"/>
    </row>
    <row r="3783" spans="1:17" ht="15.75" hidden="1" thickBot="1">
      <c r="A3783" s="390" t="str">
        <f t="shared" ref="A3783:B3783" si="11508">A3780</f>
        <v>PHA</v>
      </c>
      <c r="B3783" s="391" t="str">
        <f t="shared" si="11508"/>
        <v>particle</v>
      </c>
      <c r="C3783" s="391">
        <f t="shared" ref="C3783" si="11509">C3782</f>
        <v>6</v>
      </c>
      <c r="D3783" s="391" t="str">
        <f t="shared" ref="D3783:E3783" si="11510">D3780</f>
        <v>1-10</v>
      </c>
      <c r="E3783" s="391">
        <f t="shared" si="11510"/>
        <v>10</v>
      </c>
      <c r="F3783" s="391" t="str">
        <f t="shared" ref="F3783:G3783" si="11511">F3782</f>
        <v>air</v>
      </c>
      <c r="G3783" s="401" t="str">
        <f t="shared" si="11511"/>
        <v>DE: PHA particle 1-10 mm (emission to air)</v>
      </c>
      <c r="H3783" s="465">
        <v>5.0000000000000001E-3</v>
      </c>
      <c r="I3783" s="394" t="s">
        <v>1146</v>
      </c>
      <c r="J3783" s="635"/>
      <c r="K3783" s="389">
        <v>12.364498644986449</v>
      </c>
      <c r="L3783" s="536"/>
      <c r="M3783" s="509">
        <f t="shared" si="11507"/>
        <v>101.0958904109589</v>
      </c>
      <c r="N3783" s="646"/>
      <c r="O3783" s="626"/>
      <c r="P3783" s="629"/>
      <c r="Q3783" s="629"/>
    </row>
    <row r="3784" spans="1:17" ht="15.75" hidden="1" thickBot="1">
      <c r="A3784" s="452" t="str">
        <f t="shared" ref="A3784:B3784" si="11512">A3779</f>
        <v>PHA</v>
      </c>
      <c r="B3784" s="453" t="str">
        <f t="shared" si="11512"/>
        <v>particle</v>
      </c>
      <c r="C3784" s="453">
        <f t="shared" ref="C3784" si="11513">C3783</f>
        <v>6</v>
      </c>
      <c r="D3784" s="453" t="str">
        <f t="shared" ref="D3784:E3784" si="11514">D3779</f>
        <v>1-10</v>
      </c>
      <c r="E3784" s="453">
        <f t="shared" si="11514"/>
        <v>10</v>
      </c>
      <c r="F3784" s="453" t="str">
        <f t="shared" ref="F3784:G3784" si="11515">F3783</f>
        <v>air</v>
      </c>
      <c r="G3784" s="454" t="str">
        <f t="shared" si="11515"/>
        <v>DE: PHA particle 1-10 mm (emission to air)</v>
      </c>
      <c r="H3784" s="473">
        <v>0</v>
      </c>
      <c r="I3784" s="456" t="s">
        <v>1034</v>
      </c>
      <c r="J3784" s="636"/>
      <c r="K3784" s="457" t="s">
        <v>596</v>
      </c>
      <c r="L3784" s="543"/>
      <c r="M3784" s="509">
        <f t="shared" si="11507"/>
        <v>0</v>
      </c>
      <c r="N3784" s="647"/>
      <c r="O3784" s="627"/>
      <c r="P3784" s="629"/>
      <c r="Q3784" s="629"/>
    </row>
    <row r="3785" spans="1:17" ht="15.75" thickTop="1">
      <c r="A3785" s="442" t="s">
        <v>1092</v>
      </c>
      <c r="B3785" s="443" t="s">
        <v>996</v>
      </c>
      <c r="C3785" s="444">
        <f>IF(OR(B3785="Folie", B3785="Strips", B3785="Film",B3785="Flakes",B3785="Coupon"), 2,IF(OR(B3785="Fibers",B3785="Pellets"),4,IF(OR(B3785="Particles",B3785="Shreds",B3785="Powder",B3785="Fragments",B3785="Granules"),6,"")))</f>
        <v>2</v>
      </c>
      <c r="D3785" s="444" t="s">
        <v>1018</v>
      </c>
      <c r="E3785" s="445">
        <v>0.1</v>
      </c>
      <c r="F3785" s="446" t="s">
        <v>1019</v>
      </c>
      <c r="G3785" s="459" t="str">
        <f>CONCATENATE("DE: ",A3785," ",B3785," ",D3785," mm (emission to ",F3785,")")</f>
        <v>DE: PLA(-blend) film 0,01-0,1 mm (emission to soil)</v>
      </c>
      <c r="H3785" s="470">
        <v>0.97</v>
      </c>
      <c r="I3785" s="461" t="s">
        <v>1019</v>
      </c>
      <c r="J3785" s="632">
        <v>0.22800000000000001</v>
      </c>
      <c r="K3785" s="462">
        <v>78.694724300850595</v>
      </c>
      <c r="L3785" s="541"/>
      <c r="M3785" s="509">
        <f t="shared" si="11507"/>
        <v>0.63536660740877082</v>
      </c>
      <c r="N3785" s="645">
        <f t="shared" si="11354"/>
        <v>30.616305609186508</v>
      </c>
      <c r="O3785" s="625"/>
      <c r="P3785" s="628">
        <f t="shared" si="11436"/>
        <v>30.616305609186508</v>
      </c>
      <c r="Q3785" s="628">
        <f t="shared" ref="Q3785" si="11516">IFERROR(IF(H3785*M3785+H3786*M3786+H3787*M3787+H3788*M3788+H3789*M3789&gt;500,500,H3785*M3785+H3786*M3786+H3787*M3787+H3788*M3788+H3789*M3789),"N.A.")</f>
        <v>30.616305609186508</v>
      </c>
    </row>
    <row r="3786" spans="1:17">
      <c r="A3786" s="381" t="str">
        <f>A3785</f>
        <v>PLA(-blend)</v>
      </c>
      <c r="B3786" s="391" t="str">
        <f>B3785</f>
        <v>film</v>
      </c>
      <c r="C3786" s="391">
        <f t="shared" ref="C3786:G3786" si="11517">C3785</f>
        <v>2</v>
      </c>
      <c r="D3786" s="391" t="str">
        <f t="shared" si="11517"/>
        <v>0,01-0,1</v>
      </c>
      <c r="E3786" s="391">
        <f t="shared" si="11517"/>
        <v>0.1</v>
      </c>
      <c r="F3786" s="391" t="str">
        <f t="shared" si="11517"/>
        <v>soil</v>
      </c>
      <c r="G3786" s="415" t="str">
        <f t="shared" si="11517"/>
        <v>DE: PLA(-blend) film 0,01-0,1 mm (emission to soil)</v>
      </c>
      <c r="H3786" s="469">
        <v>0</v>
      </c>
      <c r="I3786" s="417" t="s">
        <v>1174</v>
      </c>
      <c r="J3786" s="632"/>
      <c r="K3786" s="418">
        <v>0</v>
      </c>
      <c r="L3786" s="537"/>
      <c r="M3786" s="509">
        <f t="shared" si="11507"/>
        <v>1000</v>
      </c>
      <c r="N3786" s="646"/>
      <c r="O3786" s="626"/>
      <c r="P3786" s="629"/>
      <c r="Q3786" s="629"/>
    </row>
    <row r="3787" spans="1:17">
      <c r="A3787" s="381" t="str">
        <f t="shared" ref="A3787:G3787" si="11518">A3786</f>
        <v>PLA(-blend)</v>
      </c>
      <c r="B3787" s="391" t="str">
        <f t="shared" si="11518"/>
        <v>film</v>
      </c>
      <c r="C3787" s="391">
        <f t="shared" si="11518"/>
        <v>2</v>
      </c>
      <c r="D3787" s="391" t="str">
        <f t="shared" si="11518"/>
        <v>0,01-0,1</v>
      </c>
      <c r="E3787" s="391">
        <f t="shared" si="11518"/>
        <v>0.1</v>
      </c>
      <c r="F3787" s="391" t="str">
        <f t="shared" si="11518"/>
        <v>soil</v>
      </c>
      <c r="G3787" s="415" t="str">
        <f t="shared" si="11518"/>
        <v>DE: PLA(-blend) film 0,01-0,1 mm (emission to soil)</v>
      </c>
      <c r="H3787" s="469">
        <v>2.7E-2</v>
      </c>
      <c r="I3787" s="417" t="s">
        <v>1143</v>
      </c>
      <c r="J3787" s="632"/>
      <c r="K3787" s="556">
        <v>1.1262857142862617E-3</v>
      </c>
      <c r="L3787" s="537"/>
      <c r="M3787" s="509">
        <f t="shared" si="11507"/>
        <v>1000</v>
      </c>
      <c r="N3787" s="646"/>
      <c r="O3787" s="626"/>
      <c r="P3787" s="629"/>
      <c r="Q3787" s="629"/>
    </row>
    <row r="3788" spans="1:17">
      <c r="A3788" s="381" t="str">
        <f t="shared" ref="A3788:G3788" si="11519">A3787</f>
        <v>PLA(-blend)</v>
      </c>
      <c r="B3788" s="391" t="str">
        <f t="shared" si="11519"/>
        <v>film</v>
      </c>
      <c r="C3788" s="391">
        <f t="shared" si="11519"/>
        <v>2</v>
      </c>
      <c r="D3788" s="391" t="str">
        <f t="shared" si="11519"/>
        <v>0,01-0,1</v>
      </c>
      <c r="E3788" s="391">
        <f t="shared" si="11519"/>
        <v>0.1</v>
      </c>
      <c r="F3788" s="391" t="str">
        <f t="shared" si="11519"/>
        <v>soil</v>
      </c>
      <c r="G3788" s="415" t="str">
        <f t="shared" si="11519"/>
        <v>DE: PLA(-blend) film 0,01-0,1 mm (emission to soil)</v>
      </c>
      <c r="H3788" s="469">
        <v>3.0000000000000001E-3</v>
      </c>
      <c r="I3788" s="417" t="s">
        <v>1163</v>
      </c>
      <c r="J3788" s="632"/>
      <c r="K3788" s="418">
        <v>1.1262857142862617E-3</v>
      </c>
      <c r="L3788" s="537"/>
      <c r="M3788" s="509">
        <f t="shared" si="11507"/>
        <v>1000</v>
      </c>
      <c r="N3788" s="646"/>
      <c r="O3788" s="626"/>
      <c r="P3788" s="629"/>
      <c r="Q3788" s="629"/>
    </row>
    <row r="3789" spans="1:17">
      <c r="A3789" s="381" t="str">
        <f>A3786</f>
        <v>PLA(-blend)</v>
      </c>
      <c r="B3789" s="391" t="str">
        <f>B3786</f>
        <v>film</v>
      </c>
      <c r="C3789" s="391">
        <f t="shared" ref="C3789" si="11520">C3788</f>
        <v>2</v>
      </c>
      <c r="D3789" s="391" t="str">
        <f>D3786</f>
        <v>0,01-0,1</v>
      </c>
      <c r="E3789" s="391">
        <f>E3786</f>
        <v>0.1</v>
      </c>
      <c r="F3789" s="391" t="str">
        <f>F3786</f>
        <v>soil</v>
      </c>
      <c r="G3789" s="419" t="str">
        <f t="shared" ref="G3789" si="11521">G3788</f>
        <v>DE: PLA(-blend) film 0,01-0,1 mm (emission to soil)</v>
      </c>
      <c r="H3789" s="469">
        <v>0</v>
      </c>
      <c r="I3789" s="420" t="s">
        <v>1034</v>
      </c>
      <c r="J3789" s="633"/>
      <c r="K3789" s="421" t="s">
        <v>596</v>
      </c>
      <c r="L3789" s="538"/>
      <c r="M3789" s="509">
        <f t="shared" si="11507"/>
        <v>0</v>
      </c>
      <c r="N3789" s="647"/>
      <c r="O3789" s="627"/>
      <c r="P3789" s="629"/>
      <c r="Q3789" s="629"/>
    </row>
    <row r="3790" spans="1:17">
      <c r="A3790" s="381" t="str">
        <f t="shared" ref="A3790:B3790" si="11522">A3787</f>
        <v>PLA(-blend)</v>
      </c>
      <c r="B3790" s="391" t="str">
        <f t="shared" si="11522"/>
        <v>film</v>
      </c>
      <c r="C3790" s="391">
        <f t="shared" ref="C3790" si="11523">C3789</f>
        <v>2</v>
      </c>
      <c r="D3790" s="399" t="str">
        <f t="shared" ref="D3790:E3790" si="11524">D3787</f>
        <v>0,01-0,1</v>
      </c>
      <c r="E3790" s="391">
        <f t="shared" si="11524"/>
        <v>0.1</v>
      </c>
      <c r="F3790" s="400" t="s">
        <v>1147</v>
      </c>
      <c r="G3790" s="386" t="str">
        <f>CONCATENATE("DE: ",A3790," ",B3790," ",D3790," mm (emission to ",F3790,")")</f>
        <v>DE: PLA(-blend) film 0,01-0,1 mm (emission to fresh water)</v>
      </c>
      <c r="H3790" s="466">
        <v>0</v>
      </c>
      <c r="I3790" s="388" t="s">
        <v>1019</v>
      </c>
      <c r="J3790" s="634">
        <v>0.22800000000000001</v>
      </c>
      <c r="K3790" s="389">
        <v>78.694724300850595</v>
      </c>
      <c r="L3790" s="536"/>
      <c r="M3790" s="509">
        <f t="shared" si="11507"/>
        <v>0.63536660740877082</v>
      </c>
      <c r="N3790" s="645">
        <f t="shared" si="11354"/>
        <v>1000</v>
      </c>
      <c r="O3790" s="625"/>
      <c r="P3790" s="628">
        <f t="shared" si="11436"/>
        <v>100</v>
      </c>
      <c r="Q3790" s="628">
        <f t="shared" ref="Q3790:Q3850" si="11525">IFERROR(IF(H3790*M3790+H3791*M3791+H3792*M3792+H3793*M3793+H3794*M3794&gt;500,500,H3790*M3790+H3791*M3791+H3792*M3792+H3793*M3793+H3794*M3794),"N.A.")</f>
        <v>500</v>
      </c>
    </row>
    <row r="3791" spans="1:17">
      <c r="A3791" s="381" t="str">
        <f t="shared" ref="A3791:B3791" si="11526">A3788</f>
        <v>PLA(-blend)</v>
      </c>
      <c r="B3791" s="391" t="str">
        <f t="shared" si="11526"/>
        <v>film</v>
      </c>
      <c r="C3791" s="391">
        <f t="shared" ref="C3791" si="11527">C3790</f>
        <v>2</v>
      </c>
      <c r="D3791" s="391" t="str">
        <f t="shared" ref="D3791:E3791" si="11528">D3788</f>
        <v>0,01-0,1</v>
      </c>
      <c r="E3791" s="391">
        <f t="shared" si="11528"/>
        <v>0.1</v>
      </c>
      <c r="F3791" s="391" t="str">
        <f t="shared" ref="F3791:G3791" si="11529">F3790</f>
        <v>fresh water</v>
      </c>
      <c r="G3791" s="401" t="str">
        <f t="shared" si="11529"/>
        <v>DE: PLA(-blend) film 0,01-0,1 mm (emission to fresh water)</v>
      </c>
      <c r="H3791" s="465">
        <v>0</v>
      </c>
      <c r="I3791" s="394" t="s">
        <v>1174</v>
      </c>
      <c r="J3791" s="635"/>
      <c r="K3791" s="389">
        <v>0</v>
      </c>
      <c r="L3791" s="536"/>
      <c r="M3791" s="509">
        <f t="shared" si="11507"/>
        <v>1000</v>
      </c>
      <c r="N3791" s="646"/>
      <c r="O3791" s="626"/>
      <c r="P3791" s="629"/>
      <c r="Q3791" s="629"/>
    </row>
    <row r="3792" spans="1:17">
      <c r="A3792" s="381" t="str">
        <f t="shared" ref="A3792:B3792" si="11530">A3789</f>
        <v>PLA(-blend)</v>
      </c>
      <c r="B3792" s="391" t="str">
        <f t="shared" si="11530"/>
        <v>film</v>
      </c>
      <c r="C3792" s="391">
        <f t="shared" ref="C3792" si="11531">C3791</f>
        <v>2</v>
      </c>
      <c r="D3792" s="391" t="str">
        <f t="shared" ref="D3792:E3792" si="11532">D3789</f>
        <v>0,01-0,1</v>
      </c>
      <c r="E3792" s="391">
        <f t="shared" si="11532"/>
        <v>0.1</v>
      </c>
      <c r="F3792" s="391" t="str">
        <f t="shared" ref="F3792:G3792" si="11533">F3791</f>
        <v>fresh water</v>
      </c>
      <c r="G3792" s="401" t="str">
        <f t="shared" si="11533"/>
        <v>DE: PLA(-blend) film 0,01-0,1 mm (emission to fresh water)</v>
      </c>
      <c r="H3792" s="465">
        <v>0.89</v>
      </c>
      <c r="I3792" s="394" t="s">
        <v>1143</v>
      </c>
      <c r="J3792" s="635"/>
      <c r="K3792" s="389">
        <v>1.1262857142862617E-3</v>
      </c>
      <c r="L3792" s="536"/>
      <c r="M3792" s="509">
        <f t="shared" si="11507"/>
        <v>1000</v>
      </c>
      <c r="N3792" s="646"/>
      <c r="O3792" s="626"/>
      <c r="P3792" s="629"/>
      <c r="Q3792" s="629"/>
    </row>
    <row r="3793" spans="1:17">
      <c r="A3793" s="381" t="str">
        <f t="shared" ref="A3793:B3793" si="11534">A3790</f>
        <v>PLA(-blend)</v>
      </c>
      <c r="B3793" s="391" t="str">
        <f t="shared" si="11534"/>
        <v>film</v>
      </c>
      <c r="C3793" s="391">
        <f t="shared" ref="C3793" si="11535">C3792</f>
        <v>2</v>
      </c>
      <c r="D3793" s="391" t="str">
        <f t="shared" ref="D3793:E3793" si="11536">D3790</f>
        <v>0,01-0,1</v>
      </c>
      <c r="E3793" s="391">
        <f t="shared" si="11536"/>
        <v>0.1</v>
      </c>
      <c r="F3793" s="391" t="str">
        <f t="shared" ref="F3793:G3793" si="11537">F3792</f>
        <v>fresh water</v>
      </c>
      <c r="G3793" s="401" t="str">
        <f t="shared" si="11537"/>
        <v>DE: PLA(-blend) film 0,01-0,1 mm (emission to fresh water)</v>
      </c>
      <c r="H3793" s="465">
        <v>0.11</v>
      </c>
      <c r="I3793" s="394" t="s">
        <v>1163</v>
      </c>
      <c r="J3793" s="635"/>
      <c r="K3793" s="389">
        <v>1.1262857142862617E-3</v>
      </c>
      <c r="L3793" s="536"/>
      <c r="M3793" s="509">
        <f t="shared" si="11507"/>
        <v>1000</v>
      </c>
      <c r="N3793" s="646"/>
      <c r="O3793" s="626"/>
      <c r="P3793" s="629"/>
      <c r="Q3793" s="629"/>
    </row>
    <row r="3794" spans="1:17">
      <c r="A3794" s="381" t="str">
        <f t="shared" ref="A3794:B3794" si="11538">A3791</f>
        <v>PLA(-blend)</v>
      </c>
      <c r="B3794" s="391" t="str">
        <f t="shared" si="11538"/>
        <v>film</v>
      </c>
      <c r="C3794" s="391">
        <f t="shared" ref="C3794" si="11539">C3793</f>
        <v>2</v>
      </c>
      <c r="D3794" s="391" t="str">
        <f t="shared" ref="D3794:E3794" si="11540">D3791</f>
        <v>0,01-0,1</v>
      </c>
      <c r="E3794" s="391">
        <f t="shared" si="11540"/>
        <v>0.1</v>
      </c>
      <c r="F3794" s="402" t="str">
        <f>F3791</f>
        <v>fresh water</v>
      </c>
      <c r="G3794" s="401" t="str">
        <f t="shared" ref="G3794" si="11541">G3793</f>
        <v>DE: PLA(-blend) film 0,01-0,1 mm (emission to fresh water)</v>
      </c>
      <c r="H3794" s="465">
        <v>0</v>
      </c>
      <c r="I3794" s="397" t="s">
        <v>1034</v>
      </c>
      <c r="J3794" s="654"/>
      <c r="K3794" s="398" t="s">
        <v>596</v>
      </c>
      <c r="L3794" s="538"/>
      <c r="M3794" s="509">
        <f t="shared" si="11507"/>
        <v>0</v>
      </c>
      <c r="N3794" s="647"/>
      <c r="O3794" s="627"/>
      <c r="P3794" s="629"/>
      <c r="Q3794" s="629"/>
    </row>
    <row r="3795" spans="1:17">
      <c r="A3795" s="381" t="str">
        <f t="shared" ref="A3795:B3795" si="11542">A3792</f>
        <v>PLA(-blend)</v>
      </c>
      <c r="B3795" s="391" t="str">
        <f t="shared" si="11542"/>
        <v>film</v>
      </c>
      <c r="C3795" s="391">
        <f t="shared" ref="C3795" si="11543">C3794</f>
        <v>2</v>
      </c>
      <c r="D3795" s="391" t="str">
        <f t="shared" ref="D3795:E3795" si="11544">D3792</f>
        <v>0,01-0,1</v>
      </c>
      <c r="E3795" s="391">
        <f t="shared" si="11544"/>
        <v>0.1</v>
      </c>
      <c r="F3795" s="385" t="s">
        <v>1097</v>
      </c>
      <c r="G3795" s="422" t="str">
        <f>CONCATENATE("DE: ",A3795," ",B3795," ",D3795," mm (emission to ",F3795,")")</f>
        <v>DE: PLA(-blend) film 0,01-0,1 mm (emission to marine water)</v>
      </c>
      <c r="H3795" s="467">
        <v>0</v>
      </c>
      <c r="I3795" s="388" t="s">
        <v>1019</v>
      </c>
      <c r="J3795" s="634">
        <v>0.22800000000000001</v>
      </c>
      <c r="K3795" s="389">
        <v>78.694724300850595</v>
      </c>
      <c r="L3795" s="536"/>
      <c r="M3795" s="509">
        <f t="shared" si="11507"/>
        <v>0.63536660740877082</v>
      </c>
      <c r="N3795" s="645">
        <f t="shared" si="11354"/>
        <v>1000</v>
      </c>
      <c r="O3795" s="625"/>
      <c r="P3795" s="628">
        <f t="shared" si="11436"/>
        <v>100</v>
      </c>
      <c r="Q3795" s="628">
        <f t="shared" si="11525"/>
        <v>500</v>
      </c>
    </row>
    <row r="3796" spans="1:17">
      <c r="A3796" s="381" t="str">
        <f t="shared" ref="A3796:B3796" si="11545">A3793</f>
        <v>PLA(-blend)</v>
      </c>
      <c r="B3796" s="391" t="str">
        <f t="shared" si="11545"/>
        <v>film</v>
      </c>
      <c r="C3796" s="391">
        <f t="shared" ref="C3796" si="11546">C3795</f>
        <v>2</v>
      </c>
      <c r="D3796" s="391" t="str">
        <f t="shared" ref="D3796:E3796" si="11547">D3793</f>
        <v>0,01-0,1</v>
      </c>
      <c r="E3796" s="391">
        <f t="shared" si="11547"/>
        <v>0.1</v>
      </c>
      <c r="F3796" s="391" t="str">
        <f t="shared" ref="F3796:G3796" si="11548">F3795</f>
        <v>marine water</v>
      </c>
      <c r="G3796" s="401" t="str">
        <f t="shared" si="11548"/>
        <v>DE: PLA(-blend) film 0,01-0,1 mm (emission to marine water)</v>
      </c>
      <c r="H3796" s="465">
        <v>0</v>
      </c>
      <c r="I3796" s="394" t="s">
        <v>1174</v>
      </c>
      <c r="J3796" s="635"/>
      <c r="K3796" s="389">
        <v>0</v>
      </c>
      <c r="L3796" s="536"/>
      <c r="M3796" s="509">
        <f t="shared" si="11507"/>
        <v>1000</v>
      </c>
      <c r="N3796" s="646"/>
      <c r="O3796" s="626"/>
      <c r="P3796" s="629"/>
      <c r="Q3796" s="629"/>
    </row>
    <row r="3797" spans="1:17">
      <c r="A3797" s="381" t="str">
        <f t="shared" ref="A3797:B3797" si="11549">A3794</f>
        <v>PLA(-blend)</v>
      </c>
      <c r="B3797" s="391" t="str">
        <f t="shared" si="11549"/>
        <v>film</v>
      </c>
      <c r="C3797" s="391">
        <f t="shared" ref="C3797" si="11550">C3796</f>
        <v>2</v>
      </c>
      <c r="D3797" s="391" t="str">
        <f t="shared" ref="D3797:E3797" si="11551">D3794</f>
        <v>0,01-0,1</v>
      </c>
      <c r="E3797" s="391">
        <f t="shared" si="11551"/>
        <v>0.1</v>
      </c>
      <c r="F3797" s="391" t="str">
        <f t="shared" ref="F3797:G3797" si="11552">F3796</f>
        <v>marine water</v>
      </c>
      <c r="G3797" s="401" t="str">
        <f t="shared" si="11552"/>
        <v>DE: PLA(-blend) film 0,01-0,1 mm (emission to marine water)</v>
      </c>
      <c r="H3797" s="465">
        <v>0</v>
      </c>
      <c r="I3797" s="394" t="s">
        <v>1143</v>
      </c>
      <c r="J3797" s="635"/>
      <c r="K3797" s="389">
        <v>1.1262857142862617E-3</v>
      </c>
      <c r="L3797" s="536"/>
      <c r="M3797" s="509">
        <f t="shared" si="11507"/>
        <v>1000</v>
      </c>
      <c r="N3797" s="646"/>
      <c r="O3797" s="626"/>
      <c r="P3797" s="629"/>
      <c r="Q3797" s="629"/>
    </row>
    <row r="3798" spans="1:17">
      <c r="A3798" s="381" t="str">
        <f t="shared" ref="A3798:B3798" si="11553">A3795</f>
        <v>PLA(-blend)</v>
      </c>
      <c r="B3798" s="391" t="str">
        <f t="shared" si="11553"/>
        <v>film</v>
      </c>
      <c r="C3798" s="391">
        <f t="shared" ref="C3798" si="11554">C3797</f>
        <v>2</v>
      </c>
      <c r="D3798" s="391" t="str">
        <f t="shared" ref="D3798:E3798" si="11555">D3795</f>
        <v>0,01-0,1</v>
      </c>
      <c r="E3798" s="391">
        <f t="shared" si="11555"/>
        <v>0.1</v>
      </c>
      <c r="F3798" s="391" t="str">
        <f t="shared" ref="F3798:G3798" si="11556">F3797</f>
        <v>marine water</v>
      </c>
      <c r="G3798" s="401" t="str">
        <f t="shared" si="11556"/>
        <v>DE: PLA(-blend) film 0,01-0,1 mm (emission to marine water)</v>
      </c>
      <c r="H3798" s="465">
        <v>1</v>
      </c>
      <c r="I3798" s="394" t="s">
        <v>1163</v>
      </c>
      <c r="J3798" s="635"/>
      <c r="K3798" s="389">
        <v>1.1262857142862617E-3</v>
      </c>
      <c r="L3798" s="536"/>
      <c r="M3798" s="509">
        <f t="shared" si="11507"/>
        <v>1000</v>
      </c>
      <c r="N3798" s="646"/>
      <c r="O3798" s="626"/>
      <c r="P3798" s="629"/>
      <c r="Q3798" s="629"/>
    </row>
    <row r="3799" spans="1:17">
      <c r="A3799" s="381" t="str">
        <f t="shared" ref="A3799:B3799" si="11557">A3796</f>
        <v>PLA(-blend)</v>
      </c>
      <c r="B3799" s="391" t="str">
        <f t="shared" si="11557"/>
        <v>film</v>
      </c>
      <c r="C3799" s="391">
        <f t="shared" ref="C3799" si="11558">C3798</f>
        <v>2</v>
      </c>
      <c r="D3799" s="391" t="str">
        <f t="shared" ref="D3799:E3799" si="11559">D3796</f>
        <v>0,01-0,1</v>
      </c>
      <c r="E3799" s="391">
        <f t="shared" si="11559"/>
        <v>0.1</v>
      </c>
      <c r="F3799" s="391" t="str">
        <f t="shared" ref="F3799:G3799" si="11560">F3798</f>
        <v>marine water</v>
      </c>
      <c r="G3799" s="401" t="str">
        <f t="shared" si="11560"/>
        <v>DE: PLA(-blend) film 0,01-0,1 mm (emission to marine water)</v>
      </c>
      <c r="H3799" s="465">
        <v>0</v>
      </c>
      <c r="I3799" s="397" t="s">
        <v>1034</v>
      </c>
      <c r="J3799" s="654"/>
      <c r="K3799" s="398" t="s">
        <v>596</v>
      </c>
      <c r="L3799" s="538"/>
      <c r="M3799" s="509">
        <f t="shared" si="11507"/>
        <v>0</v>
      </c>
      <c r="N3799" s="647"/>
      <c r="O3799" s="627"/>
      <c r="P3799" s="629"/>
      <c r="Q3799" s="629"/>
    </row>
    <row r="3800" spans="1:17">
      <c r="A3800" s="381" t="str">
        <f t="shared" ref="A3800:B3800" si="11561">A3797</f>
        <v>PLA(-blend)</v>
      </c>
      <c r="B3800" s="391" t="str">
        <f t="shared" si="11561"/>
        <v>film</v>
      </c>
      <c r="C3800" s="391">
        <f t="shared" ref="C3800" si="11562">C3799</f>
        <v>2</v>
      </c>
      <c r="D3800" s="391" t="str">
        <f t="shared" ref="D3800:E3800" si="11563">D3797</f>
        <v>0,01-0,1</v>
      </c>
      <c r="E3800" s="391">
        <f t="shared" si="11563"/>
        <v>0.1</v>
      </c>
      <c r="F3800" s="400" t="s">
        <v>1057</v>
      </c>
      <c r="G3800" s="422" t="str">
        <f>CONCATENATE("DE: ",A3800," ",B3800," ",D3800," mm (emission to ",F3800,")")</f>
        <v>DE: PLA(-blend) film 0,01-0,1 mm (emission to air)</v>
      </c>
      <c r="H3800" s="467">
        <v>0.94799999999999995</v>
      </c>
      <c r="I3800" s="388" t="s">
        <v>1019</v>
      </c>
      <c r="J3800" s="634">
        <v>0.22800000000000001</v>
      </c>
      <c r="K3800" s="389">
        <v>78.694724300850595</v>
      </c>
      <c r="L3800" s="536"/>
      <c r="M3800" s="509">
        <f t="shared" si="11507"/>
        <v>0.63536660740877082</v>
      </c>
      <c r="N3800" s="645">
        <f t="shared" ref="N3800:N3860" si="11564">IFERROR(H3800*M3800+H3801*M3801+H3802*M3802+H3803*M3803+H3804*M3804,"N.A.")</f>
        <v>52.602327543823513</v>
      </c>
      <c r="O3800" s="625"/>
      <c r="P3800" s="628">
        <f t="shared" si="11436"/>
        <v>52.602327543823513</v>
      </c>
      <c r="Q3800" s="628">
        <f t="shared" si="11525"/>
        <v>52.602327543823513</v>
      </c>
    </row>
    <row r="3801" spans="1:17">
      <c r="A3801" s="381" t="str">
        <f t="shared" ref="A3801:B3801" si="11565">A3798</f>
        <v>PLA(-blend)</v>
      </c>
      <c r="B3801" s="391" t="str">
        <f t="shared" si="11565"/>
        <v>film</v>
      </c>
      <c r="C3801" s="391">
        <f t="shared" ref="C3801" si="11566">C3800</f>
        <v>2</v>
      </c>
      <c r="D3801" s="391" t="str">
        <f t="shared" ref="D3801:E3801" si="11567">D3798</f>
        <v>0,01-0,1</v>
      </c>
      <c r="E3801" s="391">
        <f t="shared" si="11567"/>
        <v>0.1</v>
      </c>
      <c r="F3801" s="391" t="str">
        <f t="shared" ref="F3801:G3801" si="11568">F3800</f>
        <v>air</v>
      </c>
      <c r="G3801" s="401" t="str">
        <f t="shared" si="11568"/>
        <v>DE: PLA(-blend) film 0,01-0,1 mm (emission to air)</v>
      </c>
      <c r="H3801" s="465">
        <v>0</v>
      </c>
      <c r="I3801" s="394" t="s">
        <v>1174</v>
      </c>
      <c r="J3801" s="635"/>
      <c r="K3801" s="389">
        <v>0</v>
      </c>
      <c r="L3801" s="536"/>
      <c r="M3801" s="509">
        <f t="shared" si="11507"/>
        <v>1000</v>
      </c>
      <c r="N3801" s="646"/>
      <c r="O3801" s="626"/>
      <c r="P3801" s="629"/>
      <c r="Q3801" s="629"/>
    </row>
    <row r="3802" spans="1:17">
      <c r="A3802" s="381" t="str">
        <f t="shared" ref="A3802:B3802" si="11569">A3799</f>
        <v>PLA(-blend)</v>
      </c>
      <c r="B3802" s="391" t="str">
        <f t="shared" si="11569"/>
        <v>film</v>
      </c>
      <c r="C3802" s="391">
        <f t="shared" ref="C3802" si="11570">C3801</f>
        <v>2</v>
      </c>
      <c r="D3802" s="391" t="str">
        <f t="shared" ref="D3802:E3802" si="11571">D3799</f>
        <v>0,01-0,1</v>
      </c>
      <c r="E3802" s="391">
        <f t="shared" si="11571"/>
        <v>0.1</v>
      </c>
      <c r="F3802" s="391" t="str">
        <f t="shared" ref="F3802:G3802" si="11572">F3801</f>
        <v>air</v>
      </c>
      <c r="G3802" s="401" t="str">
        <f t="shared" si="11572"/>
        <v>DE: PLA(-blend) film 0,01-0,1 mm (emission to air)</v>
      </c>
      <c r="H3802" s="465">
        <v>4.7E-2</v>
      </c>
      <c r="I3802" s="394" t="s">
        <v>1143</v>
      </c>
      <c r="J3802" s="635"/>
      <c r="K3802" s="389">
        <v>1.1262857142862617E-3</v>
      </c>
      <c r="L3802" s="536"/>
      <c r="M3802" s="509">
        <f t="shared" si="11507"/>
        <v>1000</v>
      </c>
      <c r="N3802" s="646"/>
      <c r="O3802" s="626"/>
      <c r="P3802" s="629"/>
      <c r="Q3802" s="629"/>
    </row>
    <row r="3803" spans="1:17">
      <c r="A3803" s="381" t="str">
        <f t="shared" ref="A3803:B3803" si="11573">A3800</f>
        <v>PLA(-blend)</v>
      </c>
      <c r="B3803" s="391" t="str">
        <f t="shared" si="11573"/>
        <v>film</v>
      </c>
      <c r="C3803" s="391">
        <f t="shared" ref="C3803" si="11574">C3802</f>
        <v>2</v>
      </c>
      <c r="D3803" s="391" t="str">
        <f t="shared" ref="D3803:E3803" si="11575">D3800</f>
        <v>0,01-0,1</v>
      </c>
      <c r="E3803" s="391">
        <f t="shared" si="11575"/>
        <v>0.1</v>
      </c>
      <c r="F3803" s="391" t="str">
        <f t="shared" ref="F3803:G3803" si="11576">F3802</f>
        <v>air</v>
      </c>
      <c r="G3803" s="401" t="str">
        <f t="shared" si="11576"/>
        <v>DE: PLA(-blend) film 0,01-0,1 mm (emission to air)</v>
      </c>
      <c r="H3803" s="465">
        <v>5.0000000000000001E-3</v>
      </c>
      <c r="I3803" s="394" t="s">
        <v>1163</v>
      </c>
      <c r="J3803" s="635"/>
      <c r="K3803" s="389">
        <v>1.1262857142862617E-3</v>
      </c>
      <c r="L3803" s="536"/>
      <c r="M3803" s="509">
        <f t="shared" si="11507"/>
        <v>1000</v>
      </c>
      <c r="N3803" s="646"/>
      <c r="O3803" s="626"/>
      <c r="P3803" s="629"/>
      <c r="Q3803" s="629"/>
    </row>
    <row r="3804" spans="1:17" ht="15.75" thickBot="1">
      <c r="A3804" s="381" t="str">
        <f t="shared" ref="A3804:B3804" si="11577">A3799</f>
        <v>PLA(-blend)</v>
      </c>
      <c r="B3804" s="391" t="str">
        <f t="shared" si="11577"/>
        <v>film</v>
      </c>
      <c r="C3804" s="391">
        <f t="shared" ref="C3804" si="11578">C3803</f>
        <v>2</v>
      </c>
      <c r="D3804" s="391" t="str">
        <f t="shared" ref="D3804:E3804" si="11579">D3799</f>
        <v>0,01-0,1</v>
      </c>
      <c r="E3804" s="391">
        <f t="shared" si="11579"/>
        <v>0.1</v>
      </c>
      <c r="F3804" s="391" t="str">
        <f t="shared" ref="F3804:G3804" si="11580">F3803</f>
        <v>air</v>
      </c>
      <c r="G3804" s="401" t="str">
        <f t="shared" si="11580"/>
        <v>DE: PLA(-blend) film 0,01-0,1 mm (emission to air)</v>
      </c>
      <c r="H3804" s="471">
        <v>0</v>
      </c>
      <c r="I3804" s="422" t="s">
        <v>1034</v>
      </c>
      <c r="J3804" s="636"/>
      <c r="K3804" s="451" t="s">
        <v>596</v>
      </c>
      <c r="L3804" s="542"/>
      <c r="M3804" s="509">
        <f t="shared" si="11507"/>
        <v>0</v>
      </c>
      <c r="N3804" s="647"/>
      <c r="O3804" s="627"/>
      <c r="P3804" s="629"/>
      <c r="Q3804" s="629"/>
    </row>
    <row r="3805" spans="1:17">
      <c r="A3805" s="381" t="str">
        <f t="shared" ref="A3805" si="11581">A3802</f>
        <v>PLA(-blend)</v>
      </c>
      <c r="B3805" s="406" t="s">
        <v>996</v>
      </c>
      <c r="C3805" s="407">
        <f>IF(OR(B3805="Folie", B3805="Strips", B3805="Film",B3805="Flakes",B3805="Coupon"), 2,IF(OR(B3805="Fibers",B3805="Pellets"),4,IF(OR(B3805="Particles",B3805="Shreds",B3805="Powder",B3805="Fragments",B3805="Granules"),6,"")))</f>
        <v>2</v>
      </c>
      <c r="D3805" s="423" t="s">
        <v>1028</v>
      </c>
      <c r="E3805" s="408">
        <v>1</v>
      </c>
      <c r="F3805" s="424" t="s">
        <v>1019</v>
      </c>
      <c r="G3805" s="425" t="str">
        <f>CONCATENATE("DE: ",A3805," ",B3805," ",D3805," mm (emission to ",F3805,")")</f>
        <v>DE: PLA(-blend) film 0,1-1 mm (emission to soil)</v>
      </c>
      <c r="H3805" s="474">
        <v>0.97</v>
      </c>
      <c r="I3805" s="427" t="s">
        <v>1019</v>
      </c>
      <c r="J3805" s="632">
        <v>0.22800000000000001</v>
      </c>
      <c r="K3805" s="428">
        <v>78.694724300850595</v>
      </c>
      <c r="L3805" s="539"/>
      <c r="M3805" s="509">
        <f t="shared" si="11507"/>
        <v>6.3536660740877089</v>
      </c>
      <c r="N3805" s="645">
        <f t="shared" si="11564"/>
        <v>36.16305609186508</v>
      </c>
      <c r="O3805" s="625"/>
      <c r="P3805" s="628">
        <f t="shared" si="11436"/>
        <v>36.16305609186508</v>
      </c>
      <c r="Q3805" s="628">
        <f t="shared" si="11525"/>
        <v>36.16305609186508</v>
      </c>
    </row>
    <row r="3806" spans="1:17">
      <c r="A3806" s="381" t="str">
        <f>A3805</f>
        <v>PLA(-blend)</v>
      </c>
      <c r="B3806" s="391" t="str">
        <f>B3805</f>
        <v>film</v>
      </c>
      <c r="C3806" s="391">
        <f t="shared" ref="C3806:G3806" si="11582">C3805</f>
        <v>2</v>
      </c>
      <c r="D3806" s="391" t="str">
        <f t="shared" si="11582"/>
        <v>0,1-1</v>
      </c>
      <c r="E3806" s="391">
        <f t="shared" si="11582"/>
        <v>1</v>
      </c>
      <c r="F3806" s="391" t="str">
        <f t="shared" si="11582"/>
        <v>soil</v>
      </c>
      <c r="G3806" s="392" t="str">
        <f t="shared" si="11582"/>
        <v>DE: PLA(-blend) film 0,1-1 mm (emission to soil)</v>
      </c>
      <c r="H3806" s="465">
        <v>0</v>
      </c>
      <c r="I3806" s="394" t="s">
        <v>1174</v>
      </c>
      <c r="J3806" s="632"/>
      <c r="K3806" s="395">
        <v>0</v>
      </c>
      <c r="L3806" s="537"/>
      <c r="M3806" s="509">
        <f t="shared" si="11507"/>
        <v>1000</v>
      </c>
      <c r="N3806" s="646"/>
      <c r="O3806" s="626"/>
      <c r="P3806" s="629"/>
      <c r="Q3806" s="629"/>
    </row>
    <row r="3807" spans="1:17">
      <c r="A3807" s="381" t="str">
        <f t="shared" ref="A3807:G3807" si="11583">A3806</f>
        <v>PLA(-blend)</v>
      </c>
      <c r="B3807" s="391" t="str">
        <f t="shared" si="11583"/>
        <v>film</v>
      </c>
      <c r="C3807" s="391">
        <f t="shared" si="11583"/>
        <v>2</v>
      </c>
      <c r="D3807" s="391" t="str">
        <f t="shared" si="11583"/>
        <v>0,1-1</v>
      </c>
      <c r="E3807" s="391">
        <f t="shared" si="11583"/>
        <v>1</v>
      </c>
      <c r="F3807" s="391" t="str">
        <f t="shared" si="11583"/>
        <v>soil</v>
      </c>
      <c r="G3807" s="392" t="str">
        <f t="shared" si="11583"/>
        <v>DE: PLA(-blend) film 0,1-1 mm (emission to soil)</v>
      </c>
      <c r="H3807" s="465">
        <v>2.7E-2</v>
      </c>
      <c r="I3807" s="394" t="s">
        <v>1143</v>
      </c>
      <c r="J3807" s="632"/>
      <c r="K3807" s="395">
        <v>1.1262857142862617E-3</v>
      </c>
      <c r="L3807" s="537"/>
      <c r="M3807" s="509">
        <f t="shared" si="11507"/>
        <v>1000</v>
      </c>
      <c r="N3807" s="646"/>
      <c r="O3807" s="626"/>
      <c r="P3807" s="629"/>
      <c r="Q3807" s="629"/>
    </row>
    <row r="3808" spans="1:17">
      <c r="A3808" s="381" t="str">
        <f t="shared" ref="A3808:G3808" si="11584">A3807</f>
        <v>PLA(-blend)</v>
      </c>
      <c r="B3808" s="391" t="str">
        <f t="shared" si="11584"/>
        <v>film</v>
      </c>
      <c r="C3808" s="391">
        <f t="shared" si="11584"/>
        <v>2</v>
      </c>
      <c r="D3808" s="391" t="str">
        <f t="shared" si="11584"/>
        <v>0,1-1</v>
      </c>
      <c r="E3808" s="391">
        <f t="shared" si="11584"/>
        <v>1</v>
      </c>
      <c r="F3808" s="391" t="str">
        <f t="shared" si="11584"/>
        <v>soil</v>
      </c>
      <c r="G3808" s="392" t="str">
        <f t="shared" si="11584"/>
        <v>DE: PLA(-blend) film 0,1-1 mm (emission to soil)</v>
      </c>
      <c r="H3808" s="465">
        <v>3.0000000000000001E-3</v>
      </c>
      <c r="I3808" s="394" t="s">
        <v>1163</v>
      </c>
      <c r="J3808" s="632"/>
      <c r="K3808" s="395">
        <v>1.1262857142862617E-3</v>
      </c>
      <c r="L3808" s="537"/>
      <c r="M3808" s="509">
        <f t="shared" si="11507"/>
        <v>1000</v>
      </c>
      <c r="N3808" s="646"/>
      <c r="O3808" s="626"/>
      <c r="P3808" s="629"/>
      <c r="Q3808" s="629"/>
    </row>
    <row r="3809" spans="1:17">
      <c r="A3809" s="381" t="str">
        <f>A3806</f>
        <v>PLA(-blend)</v>
      </c>
      <c r="B3809" s="391" t="str">
        <f>B3806</f>
        <v>film</v>
      </c>
      <c r="C3809" s="391">
        <f t="shared" ref="C3809" si="11585">C3808</f>
        <v>2</v>
      </c>
      <c r="D3809" s="391" t="str">
        <f>D3806</f>
        <v>0,1-1</v>
      </c>
      <c r="E3809" s="391">
        <f>E3806</f>
        <v>1</v>
      </c>
      <c r="F3809" s="391" t="str">
        <f>F3806</f>
        <v>soil</v>
      </c>
      <c r="G3809" s="396" t="str">
        <f t="shared" ref="G3809" si="11586">G3808</f>
        <v>DE: PLA(-blend) film 0,1-1 mm (emission to soil)</v>
      </c>
      <c r="H3809" s="465">
        <v>0</v>
      </c>
      <c r="I3809" s="397" t="s">
        <v>1034</v>
      </c>
      <c r="J3809" s="633"/>
      <c r="K3809" s="398" t="s">
        <v>596</v>
      </c>
      <c r="L3809" s="538"/>
      <c r="M3809" s="509">
        <f t="shared" si="11507"/>
        <v>0</v>
      </c>
      <c r="N3809" s="647"/>
      <c r="O3809" s="627"/>
      <c r="P3809" s="629"/>
      <c r="Q3809" s="629"/>
    </row>
    <row r="3810" spans="1:17">
      <c r="A3810" s="381" t="str">
        <f t="shared" ref="A3810:B3810" si="11587">A3807</f>
        <v>PLA(-blend)</v>
      </c>
      <c r="B3810" s="391" t="str">
        <f t="shared" si="11587"/>
        <v>film</v>
      </c>
      <c r="C3810" s="391">
        <f t="shared" ref="C3810" si="11588">C3809</f>
        <v>2</v>
      </c>
      <c r="D3810" s="399" t="str">
        <f t="shared" ref="D3810:E3810" si="11589">D3807</f>
        <v>0,1-1</v>
      </c>
      <c r="E3810" s="391">
        <f t="shared" si="11589"/>
        <v>1</v>
      </c>
      <c r="F3810" s="400" t="s">
        <v>1147</v>
      </c>
      <c r="G3810" s="386" t="str">
        <f>CONCATENATE("DE: ",A3810," ",B3810," ",D3810," mm (emission to ",F3810,")")</f>
        <v>DE: PLA(-blend) film 0,1-1 mm (emission to fresh water)</v>
      </c>
      <c r="H3810" s="466">
        <v>0</v>
      </c>
      <c r="I3810" s="388" t="s">
        <v>1019</v>
      </c>
      <c r="J3810" s="634">
        <v>0.22800000000000001</v>
      </c>
      <c r="K3810" s="389">
        <v>78.694724300850595</v>
      </c>
      <c r="L3810" s="536"/>
      <c r="M3810" s="509">
        <f t="shared" si="11507"/>
        <v>6.3536660740877089</v>
      </c>
      <c r="N3810" s="645">
        <f t="shared" si="11564"/>
        <v>1000</v>
      </c>
      <c r="O3810" s="625"/>
      <c r="P3810" s="628">
        <f t="shared" si="11436"/>
        <v>100</v>
      </c>
      <c r="Q3810" s="628">
        <f t="shared" si="11525"/>
        <v>500</v>
      </c>
    </row>
    <row r="3811" spans="1:17">
      <c r="A3811" s="381" t="str">
        <f t="shared" ref="A3811:B3811" si="11590">A3808</f>
        <v>PLA(-blend)</v>
      </c>
      <c r="B3811" s="391" t="str">
        <f t="shared" si="11590"/>
        <v>film</v>
      </c>
      <c r="C3811" s="391">
        <f t="shared" ref="C3811" si="11591">C3810</f>
        <v>2</v>
      </c>
      <c r="D3811" s="391" t="str">
        <f t="shared" ref="D3811:E3811" si="11592">D3808</f>
        <v>0,1-1</v>
      </c>
      <c r="E3811" s="391">
        <f t="shared" si="11592"/>
        <v>1</v>
      </c>
      <c r="F3811" s="391" t="str">
        <f t="shared" ref="F3811:G3811" si="11593">F3810</f>
        <v>fresh water</v>
      </c>
      <c r="G3811" s="401" t="str">
        <f t="shared" si="11593"/>
        <v>DE: PLA(-blend) film 0,1-1 mm (emission to fresh water)</v>
      </c>
      <c r="H3811" s="465">
        <v>0</v>
      </c>
      <c r="I3811" s="394" t="s">
        <v>1174</v>
      </c>
      <c r="J3811" s="635"/>
      <c r="K3811" s="389">
        <v>0</v>
      </c>
      <c r="L3811" s="536"/>
      <c r="M3811" s="509">
        <f t="shared" si="11507"/>
        <v>1000</v>
      </c>
      <c r="N3811" s="646"/>
      <c r="O3811" s="626"/>
      <c r="P3811" s="629"/>
      <c r="Q3811" s="629"/>
    </row>
    <row r="3812" spans="1:17">
      <c r="A3812" s="381" t="str">
        <f t="shared" ref="A3812:B3812" si="11594">A3809</f>
        <v>PLA(-blend)</v>
      </c>
      <c r="B3812" s="391" t="str">
        <f t="shared" si="11594"/>
        <v>film</v>
      </c>
      <c r="C3812" s="391">
        <f t="shared" ref="C3812" si="11595">C3811</f>
        <v>2</v>
      </c>
      <c r="D3812" s="391" t="str">
        <f t="shared" ref="D3812:E3812" si="11596">D3809</f>
        <v>0,1-1</v>
      </c>
      <c r="E3812" s="391">
        <f t="shared" si="11596"/>
        <v>1</v>
      </c>
      <c r="F3812" s="391" t="str">
        <f t="shared" ref="F3812:G3812" si="11597">F3811</f>
        <v>fresh water</v>
      </c>
      <c r="G3812" s="401" t="str">
        <f t="shared" si="11597"/>
        <v>DE: PLA(-blend) film 0,1-1 mm (emission to fresh water)</v>
      </c>
      <c r="H3812" s="465">
        <v>0.89</v>
      </c>
      <c r="I3812" s="394" t="s">
        <v>1143</v>
      </c>
      <c r="J3812" s="635"/>
      <c r="K3812" s="389">
        <v>1.1262857142862617E-3</v>
      </c>
      <c r="L3812" s="536"/>
      <c r="M3812" s="509">
        <f t="shared" si="11507"/>
        <v>1000</v>
      </c>
      <c r="N3812" s="646"/>
      <c r="O3812" s="626"/>
      <c r="P3812" s="629"/>
      <c r="Q3812" s="629"/>
    </row>
    <row r="3813" spans="1:17">
      <c r="A3813" s="381" t="str">
        <f t="shared" ref="A3813:B3813" si="11598">A3810</f>
        <v>PLA(-blend)</v>
      </c>
      <c r="B3813" s="391" t="str">
        <f t="shared" si="11598"/>
        <v>film</v>
      </c>
      <c r="C3813" s="391">
        <f t="shared" ref="C3813" si="11599">C3812</f>
        <v>2</v>
      </c>
      <c r="D3813" s="391" t="str">
        <f t="shared" ref="D3813:E3813" si="11600">D3810</f>
        <v>0,1-1</v>
      </c>
      <c r="E3813" s="391">
        <f t="shared" si="11600"/>
        <v>1</v>
      </c>
      <c r="F3813" s="391" t="str">
        <f t="shared" ref="F3813:G3813" si="11601">F3812</f>
        <v>fresh water</v>
      </c>
      <c r="G3813" s="401" t="str">
        <f t="shared" si="11601"/>
        <v>DE: PLA(-blend) film 0,1-1 mm (emission to fresh water)</v>
      </c>
      <c r="H3813" s="465">
        <v>0.11</v>
      </c>
      <c r="I3813" s="394" t="s">
        <v>1163</v>
      </c>
      <c r="J3813" s="635"/>
      <c r="K3813" s="389">
        <v>1.1262857142862617E-3</v>
      </c>
      <c r="L3813" s="536"/>
      <c r="M3813" s="509">
        <f t="shared" si="11507"/>
        <v>1000</v>
      </c>
      <c r="N3813" s="646"/>
      <c r="O3813" s="626"/>
      <c r="P3813" s="629"/>
      <c r="Q3813" s="629"/>
    </row>
    <row r="3814" spans="1:17">
      <c r="A3814" s="381" t="str">
        <f t="shared" ref="A3814:B3814" si="11602">A3811</f>
        <v>PLA(-blend)</v>
      </c>
      <c r="B3814" s="391" t="str">
        <f t="shared" si="11602"/>
        <v>film</v>
      </c>
      <c r="C3814" s="391">
        <f t="shared" ref="C3814" si="11603">C3813</f>
        <v>2</v>
      </c>
      <c r="D3814" s="391" t="str">
        <f t="shared" ref="D3814:E3814" si="11604">D3811</f>
        <v>0,1-1</v>
      </c>
      <c r="E3814" s="391">
        <f t="shared" si="11604"/>
        <v>1</v>
      </c>
      <c r="F3814" s="402" t="str">
        <f>F3811</f>
        <v>fresh water</v>
      </c>
      <c r="G3814" s="401" t="str">
        <f t="shared" ref="G3814" si="11605">G3813</f>
        <v>DE: PLA(-blend) film 0,1-1 mm (emission to fresh water)</v>
      </c>
      <c r="H3814" s="465">
        <v>0</v>
      </c>
      <c r="I3814" s="397" t="s">
        <v>1034</v>
      </c>
      <c r="J3814" s="654"/>
      <c r="K3814" s="398" t="s">
        <v>596</v>
      </c>
      <c r="L3814" s="538"/>
      <c r="M3814" s="509">
        <f t="shared" si="11507"/>
        <v>0</v>
      </c>
      <c r="N3814" s="647"/>
      <c r="O3814" s="627"/>
      <c r="P3814" s="629"/>
      <c r="Q3814" s="629"/>
    </row>
    <row r="3815" spans="1:17">
      <c r="A3815" s="381" t="str">
        <f t="shared" ref="A3815:B3815" si="11606">A3812</f>
        <v>PLA(-blend)</v>
      </c>
      <c r="B3815" s="391" t="str">
        <f t="shared" si="11606"/>
        <v>film</v>
      </c>
      <c r="C3815" s="391">
        <f t="shared" ref="C3815" si="11607">C3814</f>
        <v>2</v>
      </c>
      <c r="D3815" s="391" t="str">
        <f t="shared" ref="D3815:E3815" si="11608">D3812</f>
        <v>0,1-1</v>
      </c>
      <c r="E3815" s="391">
        <f t="shared" si="11608"/>
        <v>1</v>
      </c>
      <c r="F3815" s="385" t="s">
        <v>1097</v>
      </c>
      <c r="G3815" s="422" t="str">
        <f>CONCATENATE("DE: ",A3815," ",B3815," ",D3815," mm (emission to ",F3815,")")</f>
        <v>DE: PLA(-blend) film 0,1-1 mm (emission to marine water)</v>
      </c>
      <c r="H3815" s="467">
        <v>0</v>
      </c>
      <c r="I3815" s="388" t="s">
        <v>1019</v>
      </c>
      <c r="J3815" s="634">
        <v>0.22800000000000001</v>
      </c>
      <c r="K3815" s="389">
        <v>78.694724300850595</v>
      </c>
      <c r="L3815" s="536"/>
      <c r="M3815" s="509">
        <f t="shared" si="11507"/>
        <v>6.3536660740877089</v>
      </c>
      <c r="N3815" s="645">
        <f t="shared" si="11564"/>
        <v>1000</v>
      </c>
      <c r="O3815" s="625"/>
      <c r="P3815" s="628">
        <f t="shared" si="11436"/>
        <v>100</v>
      </c>
      <c r="Q3815" s="628">
        <f t="shared" si="11525"/>
        <v>500</v>
      </c>
    </row>
    <row r="3816" spans="1:17">
      <c r="A3816" s="381" t="str">
        <f t="shared" ref="A3816:B3816" si="11609">A3813</f>
        <v>PLA(-blend)</v>
      </c>
      <c r="B3816" s="391" t="str">
        <f t="shared" si="11609"/>
        <v>film</v>
      </c>
      <c r="C3816" s="391">
        <f t="shared" ref="C3816" si="11610">C3815</f>
        <v>2</v>
      </c>
      <c r="D3816" s="391" t="str">
        <f t="shared" ref="D3816:E3816" si="11611">D3813</f>
        <v>0,1-1</v>
      </c>
      <c r="E3816" s="391">
        <f t="shared" si="11611"/>
        <v>1</v>
      </c>
      <c r="F3816" s="391" t="str">
        <f t="shared" ref="F3816:G3816" si="11612">F3815</f>
        <v>marine water</v>
      </c>
      <c r="G3816" s="401" t="str">
        <f t="shared" si="11612"/>
        <v>DE: PLA(-blend) film 0,1-1 mm (emission to marine water)</v>
      </c>
      <c r="H3816" s="465">
        <v>0</v>
      </c>
      <c r="I3816" s="394" t="s">
        <v>1174</v>
      </c>
      <c r="J3816" s="635"/>
      <c r="K3816" s="389">
        <v>0</v>
      </c>
      <c r="L3816" s="536"/>
      <c r="M3816" s="509">
        <f t="shared" si="11507"/>
        <v>1000</v>
      </c>
      <c r="N3816" s="646"/>
      <c r="O3816" s="626"/>
      <c r="P3816" s="629"/>
      <c r="Q3816" s="629"/>
    </row>
    <row r="3817" spans="1:17">
      <c r="A3817" s="381" t="str">
        <f t="shared" ref="A3817:B3817" si="11613">A3814</f>
        <v>PLA(-blend)</v>
      </c>
      <c r="B3817" s="391" t="str">
        <f t="shared" si="11613"/>
        <v>film</v>
      </c>
      <c r="C3817" s="391">
        <f t="shared" ref="C3817" si="11614">C3816</f>
        <v>2</v>
      </c>
      <c r="D3817" s="391" t="str">
        <f t="shared" ref="D3817:E3817" si="11615">D3814</f>
        <v>0,1-1</v>
      </c>
      <c r="E3817" s="391">
        <f t="shared" si="11615"/>
        <v>1</v>
      </c>
      <c r="F3817" s="391" t="str">
        <f t="shared" ref="F3817:G3817" si="11616">F3816</f>
        <v>marine water</v>
      </c>
      <c r="G3817" s="401" t="str">
        <f t="shared" si="11616"/>
        <v>DE: PLA(-blend) film 0,1-1 mm (emission to marine water)</v>
      </c>
      <c r="H3817" s="465">
        <v>0</v>
      </c>
      <c r="I3817" s="394" t="s">
        <v>1143</v>
      </c>
      <c r="J3817" s="635"/>
      <c r="K3817" s="389">
        <v>1.1262857142862617E-3</v>
      </c>
      <c r="L3817" s="536"/>
      <c r="M3817" s="509">
        <f t="shared" si="11507"/>
        <v>1000</v>
      </c>
      <c r="N3817" s="646"/>
      <c r="O3817" s="626"/>
      <c r="P3817" s="629"/>
      <c r="Q3817" s="629"/>
    </row>
    <row r="3818" spans="1:17">
      <c r="A3818" s="381" t="str">
        <f t="shared" ref="A3818:B3818" si="11617">A3815</f>
        <v>PLA(-blend)</v>
      </c>
      <c r="B3818" s="391" t="str">
        <f t="shared" si="11617"/>
        <v>film</v>
      </c>
      <c r="C3818" s="391">
        <f t="shared" ref="C3818" si="11618">C3817</f>
        <v>2</v>
      </c>
      <c r="D3818" s="391" t="str">
        <f t="shared" ref="D3818:E3818" si="11619">D3815</f>
        <v>0,1-1</v>
      </c>
      <c r="E3818" s="391">
        <f t="shared" si="11619"/>
        <v>1</v>
      </c>
      <c r="F3818" s="391" t="str">
        <f t="shared" ref="F3818:G3818" si="11620">F3817</f>
        <v>marine water</v>
      </c>
      <c r="G3818" s="401" t="str">
        <f t="shared" si="11620"/>
        <v>DE: PLA(-blend) film 0,1-1 mm (emission to marine water)</v>
      </c>
      <c r="H3818" s="465">
        <v>1</v>
      </c>
      <c r="I3818" s="394" t="s">
        <v>1163</v>
      </c>
      <c r="J3818" s="635"/>
      <c r="K3818" s="389">
        <v>1.1262857142862617E-3</v>
      </c>
      <c r="L3818" s="536"/>
      <c r="M3818" s="509">
        <f t="shared" si="11507"/>
        <v>1000</v>
      </c>
      <c r="N3818" s="646"/>
      <c r="O3818" s="626"/>
      <c r="P3818" s="629"/>
      <c r="Q3818" s="629"/>
    </row>
    <row r="3819" spans="1:17">
      <c r="A3819" s="381" t="str">
        <f t="shared" ref="A3819:B3819" si="11621">A3816</f>
        <v>PLA(-blend)</v>
      </c>
      <c r="B3819" s="391" t="str">
        <f t="shared" si="11621"/>
        <v>film</v>
      </c>
      <c r="C3819" s="391">
        <f t="shared" ref="C3819" si="11622">C3818</f>
        <v>2</v>
      </c>
      <c r="D3819" s="391" t="str">
        <f t="shared" ref="D3819:E3819" si="11623">D3816</f>
        <v>0,1-1</v>
      </c>
      <c r="E3819" s="391">
        <f t="shared" si="11623"/>
        <v>1</v>
      </c>
      <c r="F3819" s="391" t="str">
        <f t="shared" ref="F3819:G3819" si="11624">F3818</f>
        <v>marine water</v>
      </c>
      <c r="G3819" s="401" t="str">
        <f t="shared" si="11624"/>
        <v>DE: PLA(-blend) film 0,1-1 mm (emission to marine water)</v>
      </c>
      <c r="H3819" s="465">
        <v>0</v>
      </c>
      <c r="I3819" s="397" t="s">
        <v>1034</v>
      </c>
      <c r="J3819" s="654"/>
      <c r="K3819" s="398" t="s">
        <v>596</v>
      </c>
      <c r="L3819" s="538"/>
      <c r="M3819" s="509">
        <f t="shared" si="11507"/>
        <v>0</v>
      </c>
      <c r="N3819" s="647"/>
      <c r="O3819" s="627"/>
      <c r="P3819" s="629"/>
      <c r="Q3819" s="629"/>
    </row>
    <row r="3820" spans="1:17">
      <c r="A3820" s="381" t="str">
        <f t="shared" ref="A3820:B3820" si="11625">A3817</f>
        <v>PLA(-blend)</v>
      </c>
      <c r="B3820" s="391" t="str">
        <f t="shared" si="11625"/>
        <v>film</v>
      </c>
      <c r="C3820" s="391">
        <f t="shared" ref="C3820" si="11626">C3819</f>
        <v>2</v>
      </c>
      <c r="D3820" s="391" t="str">
        <f t="shared" ref="D3820:E3820" si="11627">D3817</f>
        <v>0,1-1</v>
      </c>
      <c r="E3820" s="391">
        <f t="shared" si="11627"/>
        <v>1</v>
      </c>
      <c r="F3820" s="400" t="s">
        <v>1057</v>
      </c>
      <c r="G3820" s="422" t="str">
        <f>CONCATENATE("DE: ",A3820," ",B3820," ",D3820," mm (emission to ",F3820,")")</f>
        <v>DE: PLA(-blend) film 0,1-1 mm (emission to air)</v>
      </c>
      <c r="H3820" s="467">
        <v>0.94799999999999995</v>
      </c>
      <c r="I3820" s="388" t="s">
        <v>1019</v>
      </c>
      <c r="J3820" s="634">
        <v>0.22800000000000001</v>
      </c>
      <c r="K3820" s="389">
        <v>78.694724300850595</v>
      </c>
      <c r="L3820" s="536"/>
      <c r="M3820" s="509">
        <f t="shared" si="11507"/>
        <v>6.3536660740877089</v>
      </c>
      <c r="N3820" s="645">
        <f t="shared" si="11564"/>
        <v>58.023275438235146</v>
      </c>
      <c r="O3820" s="625"/>
      <c r="P3820" s="628">
        <f t="shared" si="11436"/>
        <v>58.023275438235146</v>
      </c>
      <c r="Q3820" s="628">
        <f t="shared" si="11525"/>
        <v>58.023275438235146</v>
      </c>
    </row>
    <row r="3821" spans="1:17">
      <c r="A3821" s="381" t="str">
        <f t="shared" ref="A3821:B3821" si="11628">A3818</f>
        <v>PLA(-blend)</v>
      </c>
      <c r="B3821" s="391" t="str">
        <f t="shared" si="11628"/>
        <v>film</v>
      </c>
      <c r="C3821" s="391">
        <f t="shared" ref="C3821" si="11629">C3820</f>
        <v>2</v>
      </c>
      <c r="D3821" s="391" t="str">
        <f t="shared" ref="D3821:E3821" si="11630">D3818</f>
        <v>0,1-1</v>
      </c>
      <c r="E3821" s="391">
        <f t="shared" si="11630"/>
        <v>1</v>
      </c>
      <c r="F3821" s="391" t="str">
        <f t="shared" ref="F3821:G3821" si="11631">F3820</f>
        <v>air</v>
      </c>
      <c r="G3821" s="401" t="str">
        <f t="shared" si="11631"/>
        <v>DE: PLA(-blend) film 0,1-1 mm (emission to air)</v>
      </c>
      <c r="H3821" s="465">
        <v>0</v>
      </c>
      <c r="I3821" s="394" t="s">
        <v>1174</v>
      </c>
      <c r="J3821" s="635"/>
      <c r="K3821" s="389">
        <v>0</v>
      </c>
      <c r="L3821" s="536"/>
      <c r="M3821" s="509">
        <f t="shared" si="11507"/>
        <v>1000</v>
      </c>
      <c r="N3821" s="646"/>
      <c r="O3821" s="626"/>
      <c r="P3821" s="629"/>
      <c r="Q3821" s="629"/>
    </row>
    <row r="3822" spans="1:17">
      <c r="A3822" s="381" t="str">
        <f t="shared" ref="A3822:B3822" si="11632">A3819</f>
        <v>PLA(-blend)</v>
      </c>
      <c r="B3822" s="391" t="str">
        <f t="shared" si="11632"/>
        <v>film</v>
      </c>
      <c r="C3822" s="391">
        <f t="shared" ref="C3822" si="11633">C3821</f>
        <v>2</v>
      </c>
      <c r="D3822" s="391" t="str">
        <f t="shared" ref="D3822:E3822" si="11634">D3819</f>
        <v>0,1-1</v>
      </c>
      <c r="E3822" s="391">
        <f t="shared" si="11634"/>
        <v>1</v>
      </c>
      <c r="F3822" s="391" t="str">
        <f t="shared" ref="F3822:G3822" si="11635">F3821</f>
        <v>air</v>
      </c>
      <c r="G3822" s="401" t="str">
        <f t="shared" si="11635"/>
        <v>DE: PLA(-blend) film 0,1-1 mm (emission to air)</v>
      </c>
      <c r="H3822" s="465">
        <v>4.7E-2</v>
      </c>
      <c r="I3822" s="394" t="s">
        <v>1143</v>
      </c>
      <c r="J3822" s="635"/>
      <c r="K3822" s="389">
        <v>1.1262857142862617E-3</v>
      </c>
      <c r="L3822" s="536"/>
      <c r="M3822" s="509">
        <f t="shared" si="11507"/>
        <v>1000</v>
      </c>
      <c r="N3822" s="646"/>
      <c r="O3822" s="626"/>
      <c r="P3822" s="629"/>
      <c r="Q3822" s="629"/>
    </row>
    <row r="3823" spans="1:17">
      <c r="A3823" s="381" t="str">
        <f t="shared" ref="A3823:B3823" si="11636">A3820</f>
        <v>PLA(-blend)</v>
      </c>
      <c r="B3823" s="391" t="str">
        <f t="shared" si="11636"/>
        <v>film</v>
      </c>
      <c r="C3823" s="391">
        <f t="shared" ref="C3823" si="11637">C3822</f>
        <v>2</v>
      </c>
      <c r="D3823" s="391" t="str">
        <f t="shared" ref="D3823:E3823" si="11638">D3820</f>
        <v>0,1-1</v>
      </c>
      <c r="E3823" s="391">
        <f t="shared" si="11638"/>
        <v>1</v>
      </c>
      <c r="F3823" s="391" t="str">
        <f t="shared" ref="F3823:G3823" si="11639">F3822</f>
        <v>air</v>
      </c>
      <c r="G3823" s="401" t="str">
        <f t="shared" si="11639"/>
        <v>DE: PLA(-blend) film 0,1-1 mm (emission to air)</v>
      </c>
      <c r="H3823" s="465">
        <v>5.0000000000000001E-3</v>
      </c>
      <c r="I3823" s="394" t="s">
        <v>1163</v>
      </c>
      <c r="J3823" s="635"/>
      <c r="K3823" s="389">
        <v>1.1262857142862617E-3</v>
      </c>
      <c r="L3823" s="536"/>
      <c r="M3823" s="509">
        <f t="shared" si="11507"/>
        <v>1000</v>
      </c>
      <c r="N3823" s="646"/>
      <c r="O3823" s="626"/>
      <c r="P3823" s="629"/>
      <c r="Q3823" s="629"/>
    </row>
    <row r="3824" spans="1:17" ht="15.75" thickBot="1">
      <c r="A3824" s="586" t="str">
        <f t="shared" ref="A3824:B3824" si="11640">A3819</f>
        <v>PLA(-blend)</v>
      </c>
      <c r="B3824" s="453" t="str">
        <f t="shared" si="11640"/>
        <v>film</v>
      </c>
      <c r="C3824" s="453">
        <f t="shared" ref="C3824" si="11641">C3823</f>
        <v>2</v>
      </c>
      <c r="D3824" s="453" t="str">
        <f t="shared" ref="D3824:E3824" si="11642">D3819</f>
        <v>0,1-1</v>
      </c>
      <c r="E3824" s="453">
        <f t="shared" si="11642"/>
        <v>1</v>
      </c>
      <c r="F3824" s="453" t="str">
        <f t="shared" ref="F3824:G3824" si="11643">F3823</f>
        <v>air</v>
      </c>
      <c r="G3824" s="454" t="str">
        <f t="shared" si="11643"/>
        <v>DE: PLA(-blend) film 0,1-1 mm (emission to air)</v>
      </c>
      <c r="H3824" s="473">
        <v>0</v>
      </c>
      <c r="I3824" s="456" t="s">
        <v>1034</v>
      </c>
      <c r="J3824" s="636"/>
      <c r="K3824" s="457" t="s">
        <v>596</v>
      </c>
      <c r="L3824" s="543"/>
      <c r="M3824" s="509">
        <f t="shared" si="11507"/>
        <v>0</v>
      </c>
      <c r="N3824" s="647"/>
      <c r="O3824" s="627"/>
      <c r="P3824" s="629"/>
      <c r="Q3824" s="629"/>
    </row>
    <row r="3825" spans="1:17">
      <c r="A3825" s="381" t="str">
        <f t="shared" ref="A3825" si="11644">A3822</f>
        <v>PLA(-blend)</v>
      </c>
      <c r="B3825" s="382" t="s">
        <v>996</v>
      </c>
      <c r="C3825" s="383">
        <f>IF(OR(B3825="Folie", B3825="Strips", B3825="Film",B3825="Flakes",B3825="Coupon"), 2,IF(OR(B3825="Fibers",B3825="Pellets"),4,IF(OR(B3825="Particles",B3825="Shreds",B3825="Powder",B3825="Fragments",B3825="Granules"),6,"")))</f>
        <v>2</v>
      </c>
      <c r="D3825" s="475" t="s">
        <v>1026</v>
      </c>
      <c r="E3825" s="384">
        <v>10</v>
      </c>
      <c r="F3825" s="385" t="s">
        <v>1019</v>
      </c>
      <c r="G3825" s="386" t="str">
        <f>CONCATENATE("DE: ",A3825," ",B3825," ",D3825," mm (emission to ",F3825,")")</f>
        <v>DE: PLA(-blend) film 1-10 mm (emission to soil)</v>
      </c>
      <c r="H3825" s="466">
        <v>0.97</v>
      </c>
      <c r="I3825" s="388" t="s">
        <v>1019</v>
      </c>
      <c r="J3825" s="632">
        <v>0.22800000000000001</v>
      </c>
      <c r="K3825" s="389">
        <v>78.694724300850595</v>
      </c>
      <c r="L3825" s="536"/>
      <c r="M3825" s="509">
        <f t="shared" si="11507"/>
        <v>63.536660740877089</v>
      </c>
      <c r="N3825" s="645">
        <f t="shared" si="11564"/>
        <v>91.630560918650772</v>
      </c>
      <c r="O3825" s="625"/>
      <c r="P3825" s="628">
        <f t="shared" ref="P3825:P3885" si="11645">IFERROR(IF(H3825*M3825+H3826*M3826+H3827*M3827+H3828*M3828+H3829*M3829&gt;100,100,H3825*M3825+H3826*M3826+H3827*M3827+H3828*M3828+H3829*M3829),"N.A.")</f>
        <v>91.630560918650772</v>
      </c>
      <c r="Q3825" s="628">
        <f t="shared" si="11525"/>
        <v>91.630560918650772</v>
      </c>
    </row>
    <row r="3826" spans="1:17">
      <c r="A3826" s="381" t="str">
        <f>A3825</f>
        <v>PLA(-blend)</v>
      </c>
      <c r="B3826" s="391" t="str">
        <f>B3825</f>
        <v>film</v>
      </c>
      <c r="C3826" s="391">
        <f t="shared" ref="C3826:G3826" si="11646">C3825</f>
        <v>2</v>
      </c>
      <c r="D3826" s="391" t="str">
        <f t="shared" si="11646"/>
        <v>1-10</v>
      </c>
      <c r="E3826" s="391">
        <f t="shared" si="11646"/>
        <v>10</v>
      </c>
      <c r="F3826" s="391" t="str">
        <f t="shared" si="11646"/>
        <v>soil</v>
      </c>
      <c r="G3826" s="392" t="str">
        <f t="shared" si="11646"/>
        <v>DE: PLA(-blend) film 1-10 mm (emission to soil)</v>
      </c>
      <c r="H3826" s="465">
        <v>0</v>
      </c>
      <c r="I3826" s="394" t="s">
        <v>1174</v>
      </c>
      <c r="J3826" s="632"/>
      <c r="K3826" s="395">
        <v>0</v>
      </c>
      <c r="L3826" s="537"/>
      <c r="M3826" s="509">
        <f t="shared" si="11507"/>
        <v>1000</v>
      </c>
      <c r="N3826" s="646"/>
      <c r="O3826" s="626"/>
      <c r="P3826" s="629"/>
      <c r="Q3826" s="629"/>
    </row>
    <row r="3827" spans="1:17">
      <c r="A3827" s="381" t="str">
        <f t="shared" ref="A3827:G3827" si="11647">A3826</f>
        <v>PLA(-blend)</v>
      </c>
      <c r="B3827" s="391" t="str">
        <f t="shared" si="11647"/>
        <v>film</v>
      </c>
      <c r="C3827" s="391">
        <f t="shared" si="11647"/>
        <v>2</v>
      </c>
      <c r="D3827" s="391" t="str">
        <f t="shared" si="11647"/>
        <v>1-10</v>
      </c>
      <c r="E3827" s="391">
        <f t="shared" si="11647"/>
        <v>10</v>
      </c>
      <c r="F3827" s="391" t="str">
        <f t="shared" si="11647"/>
        <v>soil</v>
      </c>
      <c r="G3827" s="392" t="str">
        <f t="shared" si="11647"/>
        <v>DE: PLA(-blend) film 1-10 mm (emission to soil)</v>
      </c>
      <c r="H3827" s="465">
        <v>2.7E-2</v>
      </c>
      <c r="I3827" s="394" t="s">
        <v>1143</v>
      </c>
      <c r="J3827" s="632"/>
      <c r="K3827" s="395">
        <v>1.1262857142862617E-3</v>
      </c>
      <c r="L3827" s="537"/>
      <c r="M3827" s="509">
        <f t="shared" si="11507"/>
        <v>1000</v>
      </c>
      <c r="N3827" s="646"/>
      <c r="O3827" s="626"/>
      <c r="P3827" s="629"/>
      <c r="Q3827" s="629"/>
    </row>
    <row r="3828" spans="1:17">
      <c r="A3828" s="381" t="str">
        <f t="shared" ref="A3828:G3828" si="11648">A3827</f>
        <v>PLA(-blend)</v>
      </c>
      <c r="B3828" s="391" t="str">
        <f t="shared" si="11648"/>
        <v>film</v>
      </c>
      <c r="C3828" s="391">
        <f t="shared" si="11648"/>
        <v>2</v>
      </c>
      <c r="D3828" s="391" t="str">
        <f t="shared" si="11648"/>
        <v>1-10</v>
      </c>
      <c r="E3828" s="391">
        <f t="shared" si="11648"/>
        <v>10</v>
      </c>
      <c r="F3828" s="391" t="str">
        <f t="shared" si="11648"/>
        <v>soil</v>
      </c>
      <c r="G3828" s="392" t="str">
        <f t="shared" si="11648"/>
        <v>DE: PLA(-blend) film 1-10 mm (emission to soil)</v>
      </c>
      <c r="H3828" s="465">
        <v>3.0000000000000001E-3</v>
      </c>
      <c r="I3828" s="394" t="s">
        <v>1163</v>
      </c>
      <c r="J3828" s="632"/>
      <c r="K3828" s="395">
        <v>1.1262857142862617E-3</v>
      </c>
      <c r="L3828" s="537"/>
      <c r="M3828" s="509">
        <f t="shared" si="11507"/>
        <v>1000</v>
      </c>
      <c r="N3828" s="646"/>
      <c r="O3828" s="626"/>
      <c r="P3828" s="629"/>
      <c r="Q3828" s="629"/>
    </row>
    <row r="3829" spans="1:17">
      <c r="A3829" s="381" t="str">
        <f>A3826</f>
        <v>PLA(-blend)</v>
      </c>
      <c r="B3829" s="391" t="str">
        <f>B3826</f>
        <v>film</v>
      </c>
      <c r="C3829" s="391">
        <f t="shared" ref="C3829" si="11649">C3828</f>
        <v>2</v>
      </c>
      <c r="D3829" s="391" t="str">
        <f>D3826</f>
        <v>1-10</v>
      </c>
      <c r="E3829" s="391">
        <f>E3826</f>
        <v>10</v>
      </c>
      <c r="F3829" s="391" t="str">
        <f>F3826</f>
        <v>soil</v>
      </c>
      <c r="G3829" s="396" t="str">
        <f t="shared" ref="G3829" si="11650">G3828</f>
        <v>DE: PLA(-blend) film 1-10 mm (emission to soil)</v>
      </c>
      <c r="H3829" s="465">
        <v>0</v>
      </c>
      <c r="I3829" s="397" t="s">
        <v>1034</v>
      </c>
      <c r="J3829" s="633"/>
      <c r="K3829" s="398" t="s">
        <v>596</v>
      </c>
      <c r="L3829" s="538"/>
      <c r="M3829" s="509">
        <f t="shared" si="11507"/>
        <v>0</v>
      </c>
      <c r="N3829" s="647"/>
      <c r="O3829" s="627"/>
      <c r="P3829" s="629"/>
      <c r="Q3829" s="629"/>
    </row>
    <row r="3830" spans="1:17">
      <c r="A3830" s="381" t="str">
        <f t="shared" ref="A3830:B3830" si="11651">A3827</f>
        <v>PLA(-blend)</v>
      </c>
      <c r="B3830" s="391" t="str">
        <f t="shared" si="11651"/>
        <v>film</v>
      </c>
      <c r="C3830" s="391">
        <f t="shared" ref="C3830" si="11652">C3829</f>
        <v>2</v>
      </c>
      <c r="D3830" s="399" t="str">
        <f t="shared" ref="D3830:E3830" si="11653">D3827</f>
        <v>1-10</v>
      </c>
      <c r="E3830" s="391">
        <f t="shared" si="11653"/>
        <v>10</v>
      </c>
      <c r="F3830" s="400" t="s">
        <v>1147</v>
      </c>
      <c r="G3830" s="386" t="str">
        <f>CONCATENATE("DE: ",A3830," ",B3830," ",D3830," mm (emission to ",F3830,")")</f>
        <v>DE: PLA(-blend) film 1-10 mm (emission to fresh water)</v>
      </c>
      <c r="H3830" s="466">
        <v>0</v>
      </c>
      <c r="I3830" s="388" t="s">
        <v>1019</v>
      </c>
      <c r="J3830" s="634">
        <v>0.22800000000000001</v>
      </c>
      <c r="K3830" s="389">
        <v>78.694724300850595</v>
      </c>
      <c r="L3830" s="536"/>
      <c r="M3830" s="509">
        <f t="shared" si="11507"/>
        <v>63.536660740877089</v>
      </c>
      <c r="N3830" s="645">
        <f t="shared" si="11564"/>
        <v>1000</v>
      </c>
      <c r="O3830" s="625"/>
      <c r="P3830" s="628">
        <f t="shared" si="11645"/>
        <v>100</v>
      </c>
      <c r="Q3830" s="628">
        <f t="shared" si="11525"/>
        <v>500</v>
      </c>
    </row>
    <row r="3831" spans="1:17">
      <c r="A3831" s="381" t="str">
        <f t="shared" ref="A3831:B3831" si="11654">A3828</f>
        <v>PLA(-blend)</v>
      </c>
      <c r="B3831" s="391" t="str">
        <f t="shared" si="11654"/>
        <v>film</v>
      </c>
      <c r="C3831" s="391">
        <f t="shared" ref="C3831" si="11655">C3830</f>
        <v>2</v>
      </c>
      <c r="D3831" s="391" t="str">
        <f t="shared" ref="D3831:E3831" si="11656">D3828</f>
        <v>1-10</v>
      </c>
      <c r="E3831" s="391">
        <f t="shared" si="11656"/>
        <v>10</v>
      </c>
      <c r="F3831" s="391" t="str">
        <f t="shared" ref="F3831:G3831" si="11657">F3830</f>
        <v>fresh water</v>
      </c>
      <c r="G3831" s="401" t="str">
        <f t="shared" si="11657"/>
        <v>DE: PLA(-blend) film 1-10 mm (emission to fresh water)</v>
      </c>
      <c r="H3831" s="465">
        <v>0</v>
      </c>
      <c r="I3831" s="394" t="s">
        <v>1174</v>
      </c>
      <c r="J3831" s="635"/>
      <c r="K3831" s="389">
        <v>0</v>
      </c>
      <c r="L3831" s="536"/>
      <c r="M3831" s="509">
        <f t="shared" si="11507"/>
        <v>1000</v>
      </c>
      <c r="N3831" s="646"/>
      <c r="O3831" s="626"/>
      <c r="P3831" s="629"/>
      <c r="Q3831" s="629"/>
    </row>
    <row r="3832" spans="1:17">
      <c r="A3832" s="381" t="str">
        <f t="shared" ref="A3832:B3832" si="11658">A3829</f>
        <v>PLA(-blend)</v>
      </c>
      <c r="B3832" s="391" t="str">
        <f t="shared" si="11658"/>
        <v>film</v>
      </c>
      <c r="C3832" s="391">
        <f t="shared" ref="C3832" si="11659">C3831</f>
        <v>2</v>
      </c>
      <c r="D3832" s="391" t="str">
        <f t="shared" ref="D3832:E3832" si="11660">D3829</f>
        <v>1-10</v>
      </c>
      <c r="E3832" s="391">
        <f t="shared" si="11660"/>
        <v>10</v>
      </c>
      <c r="F3832" s="391" t="str">
        <f t="shared" ref="F3832:G3832" si="11661">F3831</f>
        <v>fresh water</v>
      </c>
      <c r="G3832" s="401" t="str">
        <f t="shared" si="11661"/>
        <v>DE: PLA(-blend) film 1-10 mm (emission to fresh water)</v>
      </c>
      <c r="H3832" s="465">
        <v>0.89</v>
      </c>
      <c r="I3832" s="394" t="s">
        <v>1143</v>
      </c>
      <c r="J3832" s="635"/>
      <c r="K3832" s="389">
        <v>1.1262857142862617E-3</v>
      </c>
      <c r="L3832" s="536"/>
      <c r="M3832" s="509">
        <f t="shared" si="11507"/>
        <v>1000</v>
      </c>
      <c r="N3832" s="646"/>
      <c r="O3832" s="626"/>
      <c r="P3832" s="629"/>
      <c r="Q3832" s="629"/>
    </row>
    <row r="3833" spans="1:17">
      <c r="A3833" s="381" t="str">
        <f t="shared" ref="A3833:B3833" si="11662">A3830</f>
        <v>PLA(-blend)</v>
      </c>
      <c r="B3833" s="391" t="str">
        <f t="shared" si="11662"/>
        <v>film</v>
      </c>
      <c r="C3833" s="391">
        <f t="shared" ref="C3833" si="11663">C3832</f>
        <v>2</v>
      </c>
      <c r="D3833" s="391" t="str">
        <f t="shared" ref="D3833:E3833" si="11664">D3830</f>
        <v>1-10</v>
      </c>
      <c r="E3833" s="391">
        <f t="shared" si="11664"/>
        <v>10</v>
      </c>
      <c r="F3833" s="391" t="str">
        <f t="shared" ref="F3833:G3833" si="11665">F3832</f>
        <v>fresh water</v>
      </c>
      <c r="G3833" s="401" t="str">
        <f t="shared" si="11665"/>
        <v>DE: PLA(-blend) film 1-10 mm (emission to fresh water)</v>
      </c>
      <c r="H3833" s="465">
        <v>0.11</v>
      </c>
      <c r="I3833" s="394" t="s">
        <v>1163</v>
      </c>
      <c r="J3833" s="635"/>
      <c r="K3833" s="389">
        <v>1.1262857142862617E-3</v>
      </c>
      <c r="L3833" s="536"/>
      <c r="M3833" s="509">
        <f t="shared" si="11507"/>
        <v>1000</v>
      </c>
      <c r="N3833" s="646"/>
      <c r="O3833" s="626"/>
      <c r="P3833" s="629"/>
      <c r="Q3833" s="629"/>
    </row>
    <row r="3834" spans="1:17">
      <c r="A3834" s="381" t="str">
        <f t="shared" ref="A3834:B3834" si="11666">A3831</f>
        <v>PLA(-blend)</v>
      </c>
      <c r="B3834" s="391" t="str">
        <f t="shared" si="11666"/>
        <v>film</v>
      </c>
      <c r="C3834" s="391">
        <f t="shared" ref="C3834" si="11667">C3833</f>
        <v>2</v>
      </c>
      <c r="D3834" s="391" t="str">
        <f t="shared" ref="D3834:E3834" si="11668">D3831</f>
        <v>1-10</v>
      </c>
      <c r="E3834" s="391">
        <f t="shared" si="11668"/>
        <v>10</v>
      </c>
      <c r="F3834" s="402" t="str">
        <f>F3831</f>
        <v>fresh water</v>
      </c>
      <c r="G3834" s="401" t="str">
        <f t="shared" ref="G3834" si="11669">G3833</f>
        <v>DE: PLA(-blend) film 1-10 mm (emission to fresh water)</v>
      </c>
      <c r="H3834" s="465">
        <v>0</v>
      </c>
      <c r="I3834" s="397" t="s">
        <v>1034</v>
      </c>
      <c r="J3834" s="654"/>
      <c r="K3834" s="398" t="s">
        <v>596</v>
      </c>
      <c r="L3834" s="538"/>
      <c r="M3834" s="509">
        <f t="shared" si="11507"/>
        <v>0</v>
      </c>
      <c r="N3834" s="647"/>
      <c r="O3834" s="627"/>
      <c r="P3834" s="629"/>
      <c r="Q3834" s="629"/>
    </row>
    <row r="3835" spans="1:17">
      <c r="A3835" s="381" t="str">
        <f t="shared" ref="A3835:B3835" si="11670">A3832</f>
        <v>PLA(-blend)</v>
      </c>
      <c r="B3835" s="391" t="str">
        <f t="shared" si="11670"/>
        <v>film</v>
      </c>
      <c r="C3835" s="391">
        <f t="shared" ref="C3835" si="11671">C3834</f>
        <v>2</v>
      </c>
      <c r="D3835" s="391" t="str">
        <f t="shared" ref="D3835:E3835" si="11672">D3832</f>
        <v>1-10</v>
      </c>
      <c r="E3835" s="391">
        <f t="shared" si="11672"/>
        <v>10</v>
      </c>
      <c r="F3835" s="385" t="s">
        <v>1097</v>
      </c>
      <c r="G3835" s="422" t="str">
        <f>CONCATENATE("DE: ",A3835," ",B3835," ",D3835," mm (emission to ",F3835,")")</f>
        <v>DE: PLA(-blend) film 1-10 mm (emission to marine water)</v>
      </c>
      <c r="H3835" s="467">
        <v>0</v>
      </c>
      <c r="I3835" s="388" t="s">
        <v>1019</v>
      </c>
      <c r="J3835" s="634">
        <v>0.22800000000000001</v>
      </c>
      <c r="K3835" s="389">
        <v>78.694724300850595</v>
      </c>
      <c r="L3835" s="536"/>
      <c r="M3835" s="509">
        <f t="shared" si="11507"/>
        <v>63.536660740877089</v>
      </c>
      <c r="N3835" s="645">
        <f t="shared" si="11564"/>
        <v>1000</v>
      </c>
      <c r="O3835" s="625"/>
      <c r="P3835" s="628">
        <f t="shared" si="11645"/>
        <v>100</v>
      </c>
      <c r="Q3835" s="628">
        <f t="shared" si="11525"/>
        <v>500</v>
      </c>
    </row>
    <row r="3836" spans="1:17">
      <c r="A3836" s="381" t="str">
        <f t="shared" ref="A3836:B3836" si="11673">A3833</f>
        <v>PLA(-blend)</v>
      </c>
      <c r="B3836" s="391" t="str">
        <f t="shared" si="11673"/>
        <v>film</v>
      </c>
      <c r="C3836" s="391">
        <f t="shared" ref="C3836" si="11674">C3835</f>
        <v>2</v>
      </c>
      <c r="D3836" s="391" t="str">
        <f t="shared" ref="D3836:E3836" si="11675">D3833</f>
        <v>1-10</v>
      </c>
      <c r="E3836" s="391">
        <f t="shared" si="11675"/>
        <v>10</v>
      </c>
      <c r="F3836" s="391" t="str">
        <f t="shared" ref="F3836:G3836" si="11676">F3835</f>
        <v>marine water</v>
      </c>
      <c r="G3836" s="401" t="str">
        <f t="shared" si="11676"/>
        <v>DE: PLA(-blend) film 1-10 mm (emission to marine water)</v>
      </c>
      <c r="H3836" s="465">
        <v>0</v>
      </c>
      <c r="I3836" s="394" t="s">
        <v>1174</v>
      </c>
      <c r="J3836" s="635"/>
      <c r="K3836" s="389">
        <v>0</v>
      </c>
      <c r="L3836" s="536"/>
      <c r="M3836" s="509">
        <f t="shared" si="11507"/>
        <v>1000</v>
      </c>
      <c r="N3836" s="646"/>
      <c r="O3836" s="626"/>
      <c r="P3836" s="629"/>
      <c r="Q3836" s="629"/>
    </row>
    <row r="3837" spans="1:17">
      <c r="A3837" s="381" t="str">
        <f t="shared" ref="A3837:B3837" si="11677">A3834</f>
        <v>PLA(-blend)</v>
      </c>
      <c r="B3837" s="391" t="str">
        <f t="shared" si="11677"/>
        <v>film</v>
      </c>
      <c r="C3837" s="391">
        <f t="shared" ref="C3837" si="11678">C3836</f>
        <v>2</v>
      </c>
      <c r="D3837" s="391" t="str">
        <f t="shared" ref="D3837:E3837" si="11679">D3834</f>
        <v>1-10</v>
      </c>
      <c r="E3837" s="391">
        <f t="shared" si="11679"/>
        <v>10</v>
      </c>
      <c r="F3837" s="391" t="str">
        <f t="shared" ref="F3837:G3837" si="11680">F3836</f>
        <v>marine water</v>
      </c>
      <c r="G3837" s="401" t="str">
        <f t="shared" si="11680"/>
        <v>DE: PLA(-blend) film 1-10 mm (emission to marine water)</v>
      </c>
      <c r="H3837" s="465">
        <v>0</v>
      </c>
      <c r="I3837" s="394" t="s">
        <v>1143</v>
      </c>
      <c r="J3837" s="635"/>
      <c r="K3837" s="389">
        <v>1.1262857142862617E-3</v>
      </c>
      <c r="L3837" s="536"/>
      <c r="M3837" s="509">
        <f t="shared" si="11507"/>
        <v>1000</v>
      </c>
      <c r="N3837" s="646"/>
      <c r="O3837" s="626"/>
      <c r="P3837" s="629"/>
      <c r="Q3837" s="629"/>
    </row>
    <row r="3838" spans="1:17">
      <c r="A3838" s="381" t="str">
        <f t="shared" ref="A3838:B3838" si="11681">A3835</f>
        <v>PLA(-blend)</v>
      </c>
      <c r="B3838" s="391" t="str">
        <f t="shared" si="11681"/>
        <v>film</v>
      </c>
      <c r="C3838" s="391">
        <f t="shared" ref="C3838" si="11682">C3837</f>
        <v>2</v>
      </c>
      <c r="D3838" s="391" t="str">
        <f t="shared" ref="D3838:E3838" si="11683">D3835</f>
        <v>1-10</v>
      </c>
      <c r="E3838" s="391">
        <f t="shared" si="11683"/>
        <v>10</v>
      </c>
      <c r="F3838" s="391" t="str">
        <f t="shared" ref="F3838:G3838" si="11684">F3837</f>
        <v>marine water</v>
      </c>
      <c r="G3838" s="401" t="str">
        <f t="shared" si="11684"/>
        <v>DE: PLA(-blend) film 1-10 mm (emission to marine water)</v>
      </c>
      <c r="H3838" s="465">
        <v>1</v>
      </c>
      <c r="I3838" s="394" t="s">
        <v>1163</v>
      </c>
      <c r="J3838" s="635"/>
      <c r="K3838" s="389">
        <v>1.1262857142862617E-3</v>
      </c>
      <c r="L3838" s="536"/>
      <c r="M3838" s="509">
        <f t="shared" si="11507"/>
        <v>1000</v>
      </c>
      <c r="N3838" s="646"/>
      <c r="O3838" s="626"/>
      <c r="P3838" s="629"/>
      <c r="Q3838" s="629"/>
    </row>
    <row r="3839" spans="1:17">
      <c r="A3839" s="381" t="str">
        <f t="shared" ref="A3839:B3839" si="11685">A3836</f>
        <v>PLA(-blend)</v>
      </c>
      <c r="B3839" s="391" t="str">
        <f t="shared" si="11685"/>
        <v>film</v>
      </c>
      <c r="C3839" s="391">
        <f t="shared" ref="C3839" si="11686">C3838</f>
        <v>2</v>
      </c>
      <c r="D3839" s="391" t="str">
        <f t="shared" ref="D3839:E3839" si="11687">D3836</f>
        <v>1-10</v>
      </c>
      <c r="E3839" s="391">
        <f t="shared" si="11687"/>
        <v>10</v>
      </c>
      <c r="F3839" s="391" t="str">
        <f t="shared" ref="F3839:G3839" si="11688">F3838</f>
        <v>marine water</v>
      </c>
      <c r="G3839" s="401" t="str">
        <f t="shared" si="11688"/>
        <v>DE: PLA(-blend) film 1-10 mm (emission to marine water)</v>
      </c>
      <c r="H3839" s="465">
        <v>0</v>
      </c>
      <c r="I3839" s="397" t="s">
        <v>1034</v>
      </c>
      <c r="J3839" s="654"/>
      <c r="K3839" s="398" t="s">
        <v>596</v>
      </c>
      <c r="L3839" s="538"/>
      <c r="M3839" s="509">
        <f t="shared" si="11507"/>
        <v>0</v>
      </c>
      <c r="N3839" s="647"/>
      <c r="O3839" s="627"/>
      <c r="P3839" s="629"/>
      <c r="Q3839" s="629"/>
    </row>
    <row r="3840" spans="1:17">
      <c r="A3840" s="381" t="str">
        <f t="shared" ref="A3840:B3840" si="11689">A3837</f>
        <v>PLA(-blend)</v>
      </c>
      <c r="B3840" s="391" t="str">
        <f t="shared" si="11689"/>
        <v>film</v>
      </c>
      <c r="C3840" s="391">
        <f t="shared" ref="C3840" si="11690">C3839</f>
        <v>2</v>
      </c>
      <c r="D3840" s="391" t="str">
        <f t="shared" ref="D3840:E3840" si="11691">D3837</f>
        <v>1-10</v>
      </c>
      <c r="E3840" s="391">
        <f t="shared" si="11691"/>
        <v>10</v>
      </c>
      <c r="F3840" s="400" t="s">
        <v>1057</v>
      </c>
      <c r="G3840" s="422" t="str">
        <f>CONCATENATE("DE: ",A3840," ",B3840," ",D3840," mm (emission to ",F3840,")")</f>
        <v>DE: PLA(-blend) film 1-10 mm (emission to air)</v>
      </c>
      <c r="H3840" s="467">
        <v>0.94799999999999995</v>
      </c>
      <c r="I3840" s="388" t="s">
        <v>1019</v>
      </c>
      <c r="J3840" s="634">
        <v>0.22800000000000001</v>
      </c>
      <c r="K3840" s="389">
        <v>78.694724300850595</v>
      </c>
      <c r="L3840" s="536"/>
      <c r="M3840" s="509">
        <f t="shared" si="11507"/>
        <v>63.536660740877089</v>
      </c>
      <c r="N3840" s="645">
        <f t="shared" si="11564"/>
        <v>112.23275438235149</v>
      </c>
      <c r="O3840" s="625"/>
      <c r="P3840" s="628">
        <f t="shared" si="11645"/>
        <v>100</v>
      </c>
      <c r="Q3840" s="628">
        <f t="shared" si="11525"/>
        <v>112.23275438235149</v>
      </c>
    </row>
    <row r="3841" spans="1:17">
      <c r="A3841" s="381" t="str">
        <f t="shared" ref="A3841:B3841" si="11692">A3838</f>
        <v>PLA(-blend)</v>
      </c>
      <c r="B3841" s="391" t="str">
        <f t="shared" si="11692"/>
        <v>film</v>
      </c>
      <c r="C3841" s="391">
        <f t="shared" ref="C3841" si="11693">C3840</f>
        <v>2</v>
      </c>
      <c r="D3841" s="391" t="str">
        <f t="shared" ref="D3841:E3841" si="11694">D3838</f>
        <v>1-10</v>
      </c>
      <c r="E3841" s="391">
        <f t="shared" si="11694"/>
        <v>10</v>
      </c>
      <c r="F3841" s="391" t="str">
        <f t="shared" ref="F3841:G3841" si="11695">F3840</f>
        <v>air</v>
      </c>
      <c r="G3841" s="401" t="str">
        <f t="shared" si="11695"/>
        <v>DE: PLA(-blend) film 1-10 mm (emission to air)</v>
      </c>
      <c r="H3841" s="465">
        <v>0</v>
      </c>
      <c r="I3841" s="394" t="s">
        <v>1174</v>
      </c>
      <c r="J3841" s="635"/>
      <c r="K3841" s="389">
        <v>0</v>
      </c>
      <c r="L3841" s="536"/>
      <c r="M3841" s="509">
        <f t="shared" si="11507"/>
        <v>1000</v>
      </c>
      <c r="N3841" s="646"/>
      <c r="O3841" s="626"/>
      <c r="P3841" s="629"/>
      <c r="Q3841" s="629"/>
    </row>
    <row r="3842" spans="1:17">
      <c r="A3842" s="381" t="str">
        <f t="shared" ref="A3842:B3842" si="11696">A3839</f>
        <v>PLA(-blend)</v>
      </c>
      <c r="B3842" s="391" t="str">
        <f t="shared" si="11696"/>
        <v>film</v>
      </c>
      <c r="C3842" s="391">
        <f t="shared" ref="C3842" si="11697">C3841</f>
        <v>2</v>
      </c>
      <c r="D3842" s="391" t="str">
        <f t="shared" ref="D3842:E3842" si="11698">D3839</f>
        <v>1-10</v>
      </c>
      <c r="E3842" s="391">
        <f t="shared" si="11698"/>
        <v>10</v>
      </c>
      <c r="F3842" s="391" t="str">
        <f t="shared" ref="F3842:G3842" si="11699">F3841</f>
        <v>air</v>
      </c>
      <c r="G3842" s="401" t="str">
        <f t="shared" si="11699"/>
        <v>DE: PLA(-blend) film 1-10 mm (emission to air)</v>
      </c>
      <c r="H3842" s="465">
        <v>4.7E-2</v>
      </c>
      <c r="I3842" s="394" t="s">
        <v>1143</v>
      </c>
      <c r="J3842" s="635"/>
      <c r="K3842" s="389">
        <v>1.1262857142862617E-3</v>
      </c>
      <c r="L3842" s="536"/>
      <c r="M3842" s="509">
        <f t="shared" si="11507"/>
        <v>1000</v>
      </c>
      <c r="N3842" s="646"/>
      <c r="O3842" s="626"/>
      <c r="P3842" s="629"/>
      <c r="Q3842" s="629"/>
    </row>
    <row r="3843" spans="1:17">
      <c r="A3843" s="381" t="str">
        <f t="shared" ref="A3843:B3843" si="11700">A3840</f>
        <v>PLA(-blend)</v>
      </c>
      <c r="B3843" s="391" t="str">
        <f t="shared" si="11700"/>
        <v>film</v>
      </c>
      <c r="C3843" s="391">
        <f t="shared" ref="C3843" si="11701">C3842</f>
        <v>2</v>
      </c>
      <c r="D3843" s="391" t="str">
        <f t="shared" ref="D3843:E3843" si="11702">D3840</f>
        <v>1-10</v>
      </c>
      <c r="E3843" s="391">
        <f t="shared" si="11702"/>
        <v>10</v>
      </c>
      <c r="F3843" s="391" t="str">
        <f t="shared" ref="F3843:G3843" si="11703">F3842</f>
        <v>air</v>
      </c>
      <c r="G3843" s="401" t="str">
        <f t="shared" si="11703"/>
        <v>DE: PLA(-blend) film 1-10 mm (emission to air)</v>
      </c>
      <c r="H3843" s="465">
        <v>5.0000000000000001E-3</v>
      </c>
      <c r="I3843" s="394" t="s">
        <v>1163</v>
      </c>
      <c r="J3843" s="635"/>
      <c r="K3843" s="389">
        <v>1.1262857142862617E-3</v>
      </c>
      <c r="L3843" s="536"/>
      <c r="M3843" s="509">
        <f t="shared" si="11507"/>
        <v>1000</v>
      </c>
      <c r="N3843" s="646"/>
      <c r="O3843" s="626"/>
      <c r="P3843" s="629"/>
      <c r="Q3843" s="629"/>
    </row>
    <row r="3844" spans="1:17" ht="15.75" thickBot="1">
      <c r="A3844" s="381" t="str">
        <f t="shared" ref="A3844:B3844" si="11704">A3839</f>
        <v>PLA(-blend)</v>
      </c>
      <c r="B3844" s="391" t="str">
        <f t="shared" si="11704"/>
        <v>film</v>
      </c>
      <c r="C3844" s="391">
        <f t="shared" ref="C3844" si="11705">C3843</f>
        <v>2</v>
      </c>
      <c r="D3844" s="391" t="str">
        <f t="shared" ref="D3844:E3844" si="11706">D3839</f>
        <v>1-10</v>
      </c>
      <c r="E3844" s="391">
        <f t="shared" si="11706"/>
        <v>10</v>
      </c>
      <c r="F3844" s="391" t="str">
        <f t="shared" ref="F3844:G3844" si="11707">F3843</f>
        <v>air</v>
      </c>
      <c r="G3844" s="401" t="str">
        <f t="shared" si="11707"/>
        <v>DE: PLA(-blend) film 1-10 mm (emission to air)</v>
      </c>
      <c r="H3844" s="471">
        <v>0</v>
      </c>
      <c r="I3844" s="422" t="s">
        <v>1034</v>
      </c>
      <c r="J3844" s="636"/>
      <c r="K3844" s="451" t="s">
        <v>596</v>
      </c>
      <c r="L3844" s="542"/>
      <c r="M3844" s="509">
        <f t="shared" si="11507"/>
        <v>0</v>
      </c>
      <c r="N3844" s="647"/>
      <c r="O3844" s="627"/>
      <c r="P3844" s="629"/>
      <c r="Q3844" s="629"/>
    </row>
    <row r="3845" spans="1:17">
      <c r="A3845" s="381" t="str">
        <f t="shared" ref="A3845" si="11708">A3842</f>
        <v>PLA(-blend)</v>
      </c>
      <c r="B3845" s="406" t="s">
        <v>1151</v>
      </c>
      <c r="C3845" s="407">
        <v>4</v>
      </c>
      <c r="D3845" s="423" t="s">
        <v>1018</v>
      </c>
      <c r="E3845" s="408">
        <v>0.1</v>
      </c>
      <c r="F3845" s="424" t="s">
        <v>1019</v>
      </c>
      <c r="G3845" s="425" t="str">
        <f>CONCATENATE("DE: ",A3845," ",B3845," ",D3845," mm (emission to ",F3845,")")</f>
        <v>DE: PLA(-blend) fiber 0,01-0,1 mm (emission to soil)</v>
      </c>
      <c r="H3845" s="474">
        <v>0.97</v>
      </c>
      <c r="I3845" s="427" t="s">
        <v>1019</v>
      </c>
      <c r="J3845" s="632">
        <v>0.22800000000000001</v>
      </c>
      <c r="K3845" s="428">
        <v>78.694724300850595</v>
      </c>
      <c r="L3845" s="539"/>
      <c r="M3845" s="509">
        <f t="shared" si="11507"/>
        <v>0.31768330370438541</v>
      </c>
      <c r="N3845" s="645">
        <f t="shared" si="11564"/>
        <v>30.308152804593252</v>
      </c>
      <c r="O3845" s="625"/>
      <c r="P3845" s="628">
        <f t="shared" si="11645"/>
        <v>30.308152804593252</v>
      </c>
      <c r="Q3845" s="628">
        <f t="shared" si="11525"/>
        <v>30.308152804593252</v>
      </c>
    </row>
    <row r="3846" spans="1:17">
      <c r="A3846" s="381" t="str">
        <f>A3845</f>
        <v>PLA(-blend)</v>
      </c>
      <c r="B3846" s="391" t="str">
        <f>B3845</f>
        <v>fiber</v>
      </c>
      <c r="C3846" s="391">
        <f t="shared" ref="C3846:G3846" si="11709">C3845</f>
        <v>4</v>
      </c>
      <c r="D3846" s="391" t="str">
        <f t="shared" si="11709"/>
        <v>0,01-0,1</v>
      </c>
      <c r="E3846" s="391">
        <f t="shared" si="11709"/>
        <v>0.1</v>
      </c>
      <c r="F3846" s="391" t="str">
        <f t="shared" si="11709"/>
        <v>soil</v>
      </c>
      <c r="G3846" s="392" t="str">
        <f t="shared" si="11709"/>
        <v>DE: PLA(-blend) fiber 0,01-0,1 mm (emission to soil)</v>
      </c>
      <c r="H3846" s="465">
        <v>0</v>
      </c>
      <c r="I3846" s="394" t="s">
        <v>1174</v>
      </c>
      <c r="J3846" s="632"/>
      <c r="K3846" s="395">
        <v>0</v>
      </c>
      <c r="L3846" s="537"/>
      <c r="M3846" s="509">
        <f t="shared" ref="M3846:M3909" si="11710">IFERROR(IF(K3846="--",0,IF(E3846*1000/K3846*(1-0.5)^(C3846/2)&gt;1000,1000,E3846*1000/K3846*(1-0.5)^(C3846/2))),1000)</f>
        <v>1000</v>
      </c>
      <c r="N3846" s="646"/>
      <c r="O3846" s="626"/>
      <c r="P3846" s="629"/>
      <c r="Q3846" s="629"/>
    </row>
    <row r="3847" spans="1:17">
      <c r="A3847" s="381" t="str">
        <f t="shared" ref="A3847:G3847" si="11711">A3846</f>
        <v>PLA(-blend)</v>
      </c>
      <c r="B3847" s="391" t="str">
        <f t="shared" si="11711"/>
        <v>fiber</v>
      </c>
      <c r="C3847" s="391">
        <f t="shared" si="11711"/>
        <v>4</v>
      </c>
      <c r="D3847" s="391" t="str">
        <f t="shared" si="11711"/>
        <v>0,01-0,1</v>
      </c>
      <c r="E3847" s="391">
        <f t="shared" si="11711"/>
        <v>0.1</v>
      </c>
      <c r="F3847" s="391" t="str">
        <f t="shared" si="11711"/>
        <v>soil</v>
      </c>
      <c r="G3847" s="392" t="str">
        <f t="shared" si="11711"/>
        <v>DE: PLA(-blend) fiber 0,01-0,1 mm (emission to soil)</v>
      </c>
      <c r="H3847" s="465">
        <v>2.7E-2</v>
      </c>
      <c r="I3847" s="394" t="s">
        <v>1143</v>
      </c>
      <c r="J3847" s="632"/>
      <c r="K3847" s="395">
        <v>1.1262857142862617E-3</v>
      </c>
      <c r="L3847" s="537"/>
      <c r="M3847" s="509">
        <f t="shared" si="11710"/>
        <v>1000</v>
      </c>
      <c r="N3847" s="646"/>
      <c r="O3847" s="626"/>
      <c r="P3847" s="629"/>
      <c r="Q3847" s="629"/>
    </row>
    <row r="3848" spans="1:17">
      <c r="A3848" s="381" t="str">
        <f t="shared" ref="A3848:G3848" si="11712">A3847</f>
        <v>PLA(-blend)</v>
      </c>
      <c r="B3848" s="391" t="str">
        <f t="shared" si="11712"/>
        <v>fiber</v>
      </c>
      <c r="C3848" s="391">
        <f t="shared" si="11712"/>
        <v>4</v>
      </c>
      <c r="D3848" s="391" t="str">
        <f t="shared" si="11712"/>
        <v>0,01-0,1</v>
      </c>
      <c r="E3848" s="391">
        <f t="shared" si="11712"/>
        <v>0.1</v>
      </c>
      <c r="F3848" s="391" t="str">
        <f t="shared" si="11712"/>
        <v>soil</v>
      </c>
      <c r="G3848" s="392" t="str">
        <f t="shared" si="11712"/>
        <v>DE: PLA(-blend) fiber 0,01-0,1 mm (emission to soil)</v>
      </c>
      <c r="H3848" s="465">
        <v>3.0000000000000001E-3</v>
      </c>
      <c r="I3848" s="394" t="s">
        <v>1163</v>
      </c>
      <c r="J3848" s="632"/>
      <c r="K3848" s="395">
        <v>1.1262857142862617E-3</v>
      </c>
      <c r="L3848" s="537"/>
      <c r="M3848" s="509">
        <f t="shared" si="11710"/>
        <v>1000</v>
      </c>
      <c r="N3848" s="646"/>
      <c r="O3848" s="626"/>
      <c r="P3848" s="629"/>
      <c r="Q3848" s="629"/>
    </row>
    <row r="3849" spans="1:17">
      <c r="A3849" s="381" t="str">
        <f>A3846</f>
        <v>PLA(-blend)</v>
      </c>
      <c r="B3849" s="391" t="str">
        <f>B3846</f>
        <v>fiber</v>
      </c>
      <c r="C3849" s="391">
        <f t="shared" ref="C3849" si="11713">C3848</f>
        <v>4</v>
      </c>
      <c r="D3849" s="391" t="str">
        <f>D3846</f>
        <v>0,01-0,1</v>
      </c>
      <c r="E3849" s="391">
        <f>E3846</f>
        <v>0.1</v>
      </c>
      <c r="F3849" s="391" t="str">
        <f>F3846</f>
        <v>soil</v>
      </c>
      <c r="G3849" s="396" t="str">
        <f t="shared" ref="G3849" si="11714">G3848</f>
        <v>DE: PLA(-blend) fiber 0,01-0,1 mm (emission to soil)</v>
      </c>
      <c r="H3849" s="465">
        <v>0</v>
      </c>
      <c r="I3849" s="397" t="s">
        <v>1034</v>
      </c>
      <c r="J3849" s="633"/>
      <c r="K3849" s="398" t="s">
        <v>596</v>
      </c>
      <c r="L3849" s="538"/>
      <c r="M3849" s="509">
        <f t="shared" si="11710"/>
        <v>0</v>
      </c>
      <c r="N3849" s="647"/>
      <c r="O3849" s="627"/>
      <c r="P3849" s="629"/>
      <c r="Q3849" s="629"/>
    </row>
    <row r="3850" spans="1:17">
      <c r="A3850" s="381" t="str">
        <f t="shared" ref="A3850:B3850" si="11715">A3847</f>
        <v>PLA(-blend)</v>
      </c>
      <c r="B3850" s="391" t="str">
        <f t="shared" si="11715"/>
        <v>fiber</v>
      </c>
      <c r="C3850" s="391">
        <f t="shared" ref="C3850" si="11716">C3849</f>
        <v>4</v>
      </c>
      <c r="D3850" s="399" t="str">
        <f t="shared" ref="D3850:E3850" si="11717">D3847</f>
        <v>0,01-0,1</v>
      </c>
      <c r="E3850" s="391">
        <f t="shared" si="11717"/>
        <v>0.1</v>
      </c>
      <c r="F3850" s="400" t="s">
        <v>1147</v>
      </c>
      <c r="G3850" s="386" t="str">
        <f>CONCATENATE("DE: ",A3850," ",B3850," ",D3850," mm (emission to ",F3850,")")</f>
        <v>DE: PLA(-blend) fiber 0,01-0,1 mm (emission to fresh water)</v>
      </c>
      <c r="H3850" s="466">
        <v>0</v>
      </c>
      <c r="I3850" s="388" t="s">
        <v>1019</v>
      </c>
      <c r="J3850" s="634">
        <v>0.22800000000000001</v>
      </c>
      <c r="K3850" s="389">
        <v>78.694724300850595</v>
      </c>
      <c r="L3850" s="536"/>
      <c r="M3850" s="509">
        <f t="shared" si="11710"/>
        <v>0.31768330370438541</v>
      </c>
      <c r="N3850" s="645">
        <f t="shared" si="11564"/>
        <v>1000</v>
      </c>
      <c r="O3850" s="625"/>
      <c r="P3850" s="628">
        <f t="shared" si="11645"/>
        <v>100</v>
      </c>
      <c r="Q3850" s="628">
        <f t="shared" si="11525"/>
        <v>500</v>
      </c>
    </row>
    <row r="3851" spans="1:17">
      <c r="A3851" s="381" t="str">
        <f t="shared" ref="A3851:B3851" si="11718">A3848</f>
        <v>PLA(-blend)</v>
      </c>
      <c r="B3851" s="391" t="str">
        <f t="shared" si="11718"/>
        <v>fiber</v>
      </c>
      <c r="C3851" s="391">
        <f t="shared" ref="C3851" si="11719">C3850</f>
        <v>4</v>
      </c>
      <c r="D3851" s="391" t="str">
        <f t="shared" ref="D3851:E3851" si="11720">D3848</f>
        <v>0,01-0,1</v>
      </c>
      <c r="E3851" s="391">
        <f t="shared" si="11720"/>
        <v>0.1</v>
      </c>
      <c r="F3851" s="391" t="str">
        <f t="shared" ref="F3851:G3851" si="11721">F3850</f>
        <v>fresh water</v>
      </c>
      <c r="G3851" s="401" t="str">
        <f t="shared" si="11721"/>
        <v>DE: PLA(-blend) fiber 0,01-0,1 mm (emission to fresh water)</v>
      </c>
      <c r="H3851" s="465">
        <v>0</v>
      </c>
      <c r="I3851" s="394" t="s">
        <v>1174</v>
      </c>
      <c r="J3851" s="635"/>
      <c r="K3851" s="389">
        <v>0</v>
      </c>
      <c r="L3851" s="536"/>
      <c r="M3851" s="509">
        <f t="shared" si="11710"/>
        <v>1000</v>
      </c>
      <c r="N3851" s="646"/>
      <c r="O3851" s="626"/>
      <c r="P3851" s="629"/>
      <c r="Q3851" s="629"/>
    </row>
    <row r="3852" spans="1:17">
      <c r="A3852" s="381" t="str">
        <f t="shared" ref="A3852:B3852" si="11722">A3849</f>
        <v>PLA(-blend)</v>
      </c>
      <c r="B3852" s="391" t="str">
        <f t="shared" si="11722"/>
        <v>fiber</v>
      </c>
      <c r="C3852" s="391">
        <f t="shared" ref="C3852" si="11723">C3851</f>
        <v>4</v>
      </c>
      <c r="D3852" s="391" t="str">
        <f t="shared" ref="D3852:E3852" si="11724">D3849</f>
        <v>0,01-0,1</v>
      </c>
      <c r="E3852" s="391">
        <f t="shared" si="11724"/>
        <v>0.1</v>
      </c>
      <c r="F3852" s="391" t="str">
        <f t="shared" ref="F3852:G3852" si="11725">F3851</f>
        <v>fresh water</v>
      </c>
      <c r="G3852" s="401" t="str">
        <f t="shared" si="11725"/>
        <v>DE: PLA(-blend) fiber 0,01-0,1 mm (emission to fresh water)</v>
      </c>
      <c r="H3852" s="465">
        <v>0.89</v>
      </c>
      <c r="I3852" s="394" t="s">
        <v>1143</v>
      </c>
      <c r="J3852" s="635"/>
      <c r="K3852" s="389">
        <v>1.1262857142862617E-3</v>
      </c>
      <c r="L3852" s="536"/>
      <c r="M3852" s="509">
        <f t="shared" si="11710"/>
        <v>1000</v>
      </c>
      <c r="N3852" s="646"/>
      <c r="O3852" s="626"/>
      <c r="P3852" s="629"/>
      <c r="Q3852" s="629"/>
    </row>
    <row r="3853" spans="1:17">
      <c r="A3853" s="381" t="str">
        <f t="shared" ref="A3853:B3853" si="11726">A3850</f>
        <v>PLA(-blend)</v>
      </c>
      <c r="B3853" s="391" t="str">
        <f t="shared" si="11726"/>
        <v>fiber</v>
      </c>
      <c r="C3853" s="391">
        <f t="shared" ref="C3853" si="11727">C3852</f>
        <v>4</v>
      </c>
      <c r="D3853" s="391" t="str">
        <f t="shared" ref="D3853:E3853" si="11728">D3850</f>
        <v>0,01-0,1</v>
      </c>
      <c r="E3853" s="391">
        <f t="shared" si="11728"/>
        <v>0.1</v>
      </c>
      <c r="F3853" s="391" t="str">
        <f t="shared" ref="F3853:G3853" si="11729">F3852</f>
        <v>fresh water</v>
      </c>
      <c r="G3853" s="401" t="str">
        <f t="shared" si="11729"/>
        <v>DE: PLA(-blend) fiber 0,01-0,1 mm (emission to fresh water)</v>
      </c>
      <c r="H3853" s="465">
        <v>0.11</v>
      </c>
      <c r="I3853" s="394" t="s">
        <v>1163</v>
      </c>
      <c r="J3853" s="635"/>
      <c r="K3853" s="389">
        <v>1.1262857142862617E-3</v>
      </c>
      <c r="L3853" s="536"/>
      <c r="M3853" s="509">
        <f t="shared" si="11710"/>
        <v>1000</v>
      </c>
      <c r="N3853" s="646"/>
      <c r="O3853" s="626"/>
      <c r="P3853" s="629"/>
      <c r="Q3853" s="629"/>
    </row>
    <row r="3854" spans="1:17">
      <c r="A3854" s="381" t="str">
        <f t="shared" ref="A3854:B3854" si="11730">A3851</f>
        <v>PLA(-blend)</v>
      </c>
      <c r="B3854" s="391" t="str">
        <f t="shared" si="11730"/>
        <v>fiber</v>
      </c>
      <c r="C3854" s="391">
        <f t="shared" ref="C3854" si="11731">C3853</f>
        <v>4</v>
      </c>
      <c r="D3854" s="391" t="str">
        <f t="shared" ref="D3854:E3854" si="11732">D3851</f>
        <v>0,01-0,1</v>
      </c>
      <c r="E3854" s="391">
        <f t="shared" si="11732"/>
        <v>0.1</v>
      </c>
      <c r="F3854" s="402" t="str">
        <f>F3851</f>
        <v>fresh water</v>
      </c>
      <c r="G3854" s="401" t="str">
        <f t="shared" ref="G3854" si="11733">G3853</f>
        <v>DE: PLA(-blend) fiber 0,01-0,1 mm (emission to fresh water)</v>
      </c>
      <c r="H3854" s="465">
        <v>0</v>
      </c>
      <c r="I3854" s="397" t="s">
        <v>1034</v>
      </c>
      <c r="J3854" s="654"/>
      <c r="K3854" s="398" t="s">
        <v>596</v>
      </c>
      <c r="L3854" s="538"/>
      <c r="M3854" s="509">
        <f t="shared" si="11710"/>
        <v>0</v>
      </c>
      <c r="N3854" s="647"/>
      <c r="O3854" s="627"/>
      <c r="P3854" s="629"/>
      <c r="Q3854" s="629"/>
    </row>
    <row r="3855" spans="1:17">
      <c r="A3855" s="381" t="str">
        <f t="shared" ref="A3855:B3855" si="11734">A3852</f>
        <v>PLA(-blend)</v>
      </c>
      <c r="B3855" s="391" t="str">
        <f t="shared" si="11734"/>
        <v>fiber</v>
      </c>
      <c r="C3855" s="391">
        <f t="shared" ref="C3855" si="11735">C3854</f>
        <v>4</v>
      </c>
      <c r="D3855" s="391" t="str">
        <f t="shared" ref="D3855:E3855" si="11736">D3852</f>
        <v>0,01-0,1</v>
      </c>
      <c r="E3855" s="391">
        <f t="shared" si="11736"/>
        <v>0.1</v>
      </c>
      <c r="F3855" s="385" t="s">
        <v>1097</v>
      </c>
      <c r="G3855" s="422" t="str">
        <f>CONCATENATE("DE: ",A3855," ",B3855," ",D3855," mm (emission to ",F3855,")")</f>
        <v>DE: PLA(-blend) fiber 0,01-0,1 mm (emission to marine water)</v>
      </c>
      <c r="H3855" s="467">
        <v>0</v>
      </c>
      <c r="I3855" s="388" t="s">
        <v>1019</v>
      </c>
      <c r="J3855" s="634">
        <v>0.22800000000000001</v>
      </c>
      <c r="K3855" s="389">
        <v>78.694724300850595</v>
      </c>
      <c r="L3855" s="536"/>
      <c r="M3855" s="509">
        <f t="shared" si="11710"/>
        <v>0.31768330370438541</v>
      </c>
      <c r="N3855" s="645">
        <f t="shared" si="11564"/>
        <v>1000</v>
      </c>
      <c r="O3855" s="625"/>
      <c r="P3855" s="628">
        <f t="shared" si="11645"/>
        <v>100</v>
      </c>
      <c r="Q3855" s="628">
        <f t="shared" ref="Q3855:Q3915" si="11737">IFERROR(IF(H3855*M3855+H3856*M3856+H3857*M3857+H3858*M3858+H3859*M3859&gt;500,500,H3855*M3855+H3856*M3856+H3857*M3857+H3858*M3858+H3859*M3859),"N.A.")</f>
        <v>500</v>
      </c>
    </row>
    <row r="3856" spans="1:17">
      <c r="A3856" s="381" t="str">
        <f t="shared" ref="A3856:B3856" si="11738">A3853</f>
        <v>PLA(-blend)</v>
      </c>
      <c r="B3856" s="391" t="str">
        <f t="shared" si="11738"/>
        <v>fiber</v>
      </c>
      <c r="C3856" s="391">
        <f t="shared" ref="C3856" si="11739">C3855</f>
        <v>4</v>
      </c>
      <c r="D3856" s="391" t="str">
        <f t="shared" ref="D3856:E3856" si="11740">D3853</f>
        <v>0,01-0,1</v>
      </c>
      <c r="E3856" s="391">
        <f t="shared" si="11740"/>
        <v>0.1</v>
      </c>
      <c r="F3856" s="391" t="str">
        <f t="shared" ref="F3856:G3856" si="11741">F3855</f>
        <v>marine water</v>
      </c>
      <c r="G3856" s="401" t="str">
        <f t="shared" si="11741"/>
        <v>DE: PLA(-blend) fiber 0,01-0,1 mm (emission to marine water)</v>
      </c>
      <c r="H3856" s="465">
        <v>0</v>
      </c>
      <c r="I3856" s="394" t="s">
        <v>1174</v>
      </c>
      <c r="J3856" s="635"/>
      <c r="K3856" s="389">
        <v>0</v>
      </c>
      <c r="L3856" s="536"/>
      <c r="M3856" s="509">
        <f t="shared" si="11710"/>
        <v>1000</v>
      </c>
      <c r="N3856" s="646"/>
      <c r="O3856" s="626"/>
      <c r="P3856" s="629"/>
      <c r="Q3856" s="629"/>
    </row>
    <row r="3857" spans="1:17">
      <c r="A3857" s="381" t="str">
        <f t="shared" ref="A3857:B3857" si="11742">A3854</f>
        <v>PLA(-blend)</v>
      </c>
      <c r="B3857" s="391" t="str">
        <f t="shared" si="11742"/>
        <v>fiber</v>
      </c>
      <c r="C3857" s="391">
        <f t="shared" ref="C3857" si="11743">C3856</f>
        <v>4</v>
      </c>
      <c r="D3857" s="391" t="str">
        <f t="shared" ref="D3857:E3857" si="11744">D3854</f>
        <v>0,01-0,1</v>
      </c>
      <c r="E3857" s="391">
        <f t="shared" si="11744"/>
        <v>0.1</v>
      </c>
      <c r="F3857" s="391" t="str">
        <f t="shared" ref="F3857:G3857" si="11745">F3856</f>
        <v>marine water</v>
      </c>
      <c r="G3857" s="401" t="str">
        <f t="shared" si="11745"/>
        <v>DE: PLA(-blend) fiber 0,01-0,1 mm (emission to marine water)</v>
      </c>
      <c r="H3857" s="465">
        <v>0</v>
      </c>
      <c r="I3857" s="394" t="s">
        <v>1143</v>
      </c>
      <c r="J3857" s="635"/>
      <c r="K3857" s="389">
        <v>1.1262857142862617E-3</v>
      </c>
      <c r="L3857" s="536"/>
      <c r="M3857" s="509">
        <f t="shared" si="11710"/>
        <v>1000</v>
      </c>
      <c r="N3857" s="646"/>
      <c r="O3857" s="626"/>
      <c r="P3857" s="629"/>
      <c r="Q3857" s="629"/>
    </row>
    <row r="3858" spans="1:17">
      <c r="A3858" s="381" t="str">
        <f t="shared" ref="A3858:B3858" si="11746">A3855</f>
        <v>PLA(-blend)</v>
      </c>
      <c r="B3858" s="391" t="str">
        <f t="shared" si="11746"/>
        <v>fiber</v>
      </c>
      <c r="C3858" s="391">
        <f t="shared" ref="C3858" si="11747">C3857</f>
        <v>4</v>
      </c>
      <c r="D3858" s="391" t="str">
        <f t="shared" ref="D3858:E3858" si="11748">D3855</f>
        <v>0,01-0,1</v>
      </c>
      <c r="E3858" s="391">
        <f t="shared" si="11748"/>
        <v>0.1</v>
      </c>
      <c r="F3858" s="391" t="str">
        <f t="shared" ref="F3858:G3858" si="11749">F3857</f>
        <v>marine water</v>
      </c>
      <c r="G3858" s="401" t="str">
        <f t="shared" si="11749"/>
        <v>DE: PLA(-blend) fiber 0,01-0,1 mm (emission to marine water)</v>
      </c>
      <c r="H3858" s="465">
        <v>1</v>
      </c>
      <c r="I3858" s="394" t="s">
        <v>1163</v>
      </c>
      <c r="J3858" s="635"/>
      <c r="K3858" s="389">
        <v>1.1262857142862617E-3</v>
      </c>
      <c r="L3858" s="536"/>
      <c r="M3858" s="509">
        <f t="shared" si="11710"/>
        <v>1000</v>
      </c>
      <c r="N3858" s="646"/>
      <c r="O3858" s="626"/>
      <c r="P3858" s="629"/>
      <c r="Q3858" s="629"/>
    </row>
    <row r="3859" spans="1:17">
      <c r="A3859" s="381" t="str">
        <f t="shared" ref="A3859:B3859" si="11750">A3856</f>
        <v>PLA(-blend)</v>
      </c>
      <c r="B3859" s="391" t="str">
        <f t="shared" si="11750"/>
        <v>fiber</v>
      </c>
      <c r="C3859" s="391">
        <f t="shared" ref="C3859" si="11751">C3858</f>
        <v>4</v>
      </c>
      <c r="D3859" s="391" t="str">
        <f t="shared" ref="D3859:E3859" si="11752">D3856</f>
        <v>0,01-0,1</v>
      </c>
      <c r="E3859" s="391">
        <f t="shared" si="11752"/>
        <v>0.1</v>
      </c>
      <c r="F3859" s="391" t="str">
        <f t="shared" ref="F3859:G3859" si="11753">F3858</f>
        <v>marine water</v>
      </c>
      <c r="G3859" s="401" t="str">
        <f t="shared" si="11753"/>
        <v>DE: PLA(-blend) fiber 0,01-0,1 mm (emission to marine water)</v>
      </c>
      <c r="H3859" s="465">
        <v>0</v>
      </c>
      <c r="I3859" s="397" t="s">
        <v>1034</v>
      </c>
      <c r="J3859" s="654"/>
      <c r="K3859" s="398" t="s">
        <v>596</v>
      </c>
      <c r="L3859" s="538"/>
      <c r="M3859" s="509">
        <f t="shared" si="11710"/>
        <v>0</v>
      </c>
      <c r="N3859" s="647"/>
      <c r="O3859" s="627"/>
      <c r="P3859" s="629"/>
      <c r="Q3859" s="629"/>
    </row>
    <row r="3860" spans="1:17">
      <c r="A3860" s="381" t="str">
        <f t="shared" ref="A3860:B3860" si="11754">A3857</f>
        <v>PLA(-blend)</v>
      </c>
      <c r="B3860" s="391" t="str">
        <f t="shared" si="11754"/>
        <v>fiber</v>
      </c>
      <c r="C3860" s="391">
        <f t="shared" ref="C3860" si="11755">C3859</f>
        <v>4</v>
      </c>
      <c r="D3860" s="391" t="str">
        <f t="shared" ref="D3860:E3860" si="11756">D3857</f>
        <v>0,01-0,1</v>
      </c>
      <c r="E3860" s="391">
        <f t="shared" si="11756"/>
        <v>0.1</v>
      </c>
      <c r="F3860" s="400" t="s">
        <v>1057</v>
      </c>
      <c r="G3860" s="422" t="str">
        <f>CONCATENATE("DE: ",A3860," ",B3860," ",D3860," mm (emission to ",F3860,")")</f>
        <v>DE: PLA(-blend) fiber 0,01-0,1 mm (emission to air)</v>
      </c>
      <c r="H3860" s="467">
        <v>0.94799999999999995</v>
      </c>
      <c r="I3860" s="388" t="s">
        <v>1019</v>
      </c>
      <c r="J3860" s="634">
        <v>0.22800000000000001</v>
      </c>
      <c r="K3860" s="389">
        <v>78.694724300850595</v>
      </c>
      <c r="L3860" s="536"/>
      <c r="M3860" s="509">
        <f t="shared" si="11710"/>
        <v>0.31768330370438541</v>
      </c>
      <c r="N3860" s="645">
        <f t="shared" si="11564"/>
        <v>52.30116377191176</v>
      </c>
      <c r="O3860" s="625"/>
      <c r="P3860" s="628">
        <f t="shared" si="11645"/>
        <v>52.30116377191176</v>
      </c>
      <c r="Q3860" s="628">
        <f t="shared" si="11737"/>
        <v>52.30116377191176</v>
      </c>
    </row>
    <row r="3861" spans="1:17">
      <c r="A3861" s="381" t="str">
        <f t="shared" ref="A3861:B3861" si="11757">A3858</f>
        <v>PLA(-blend)</v>
      </c>
      <c r="B3861" s="391" t="str">
        <f t="shared" si="11757"/>
        <v>fiber</v>
      </c>
      <c r="C3861" s="391">
        <f t="shared" ref="C3861" si="11758">C3860</f>
        <v>4</v>
      </c>
      <c r="D3861" s="391" t="str">
        <f t="shared" ref="D3861:E3861" si="11759">D3858</f>
        <v>0,01-0,1</v>
      </c>
      <c r="E3861" s="391">
        <f t="shared" si="11759"/>
        <v>0.1</v>
      </c>
      <c r="F3861" s="391" t="str">
        <f t="shared" ref="F3861:G3861" si="11760">F3860</f>
        <v>air</v>
      </c>
      <c r="G3861" s="401" t="str">
        <f t="shared" si="11760"/>
        <v>DE: PLA(-blend) fiber 0,01-0,1 mm (emission to air)</v>
      </c>
      <c r="H3861" s="465">
        <v>0</v>
      </c>
      <c r="I3861" s="394" t="s">
        <v>1174</v>
      </c>
      <c r="J3861" s="635"/>
      <c r="K3861" s="389">
        <v>0</v>
      </c>
      <c r="L3861" s="536"/>
      <c r="M3861" s="509">
        <f t="shared" si="11710"/>
        <v>1000</v>
      </c>
      <c r="N3861" s="646"/>
      <c r="O3861" s="626"/>
      <c r="P3861" s="629"/>
      <c r="Q3861" s="629"/>
    </row>
    <row r="3862" spans="1:17">
      <c r="A3862" s="381" t="str">
        <f t="shared" ref="A3862:B3862" si="11761">A3859</f>
        <v>PLA(-blend)</v>
      </c>
      <c r="B3862" s="391" t="str">
        <f t="shared" si="11761"/>
        <v>fiber</v>
      </c>
      <c r="C3862" s="391">
        <f t="shared" ref="C3862" si="11762">C3861</f>
        <v>4</v>
      </c>
      <c r="D3862" s="391" t="str">
        <f t="shared" ref="D3862:E3862" si="11763">D3859</f>
        <v>0,01-0,1</v>
      </c>
      <c r="E3862" s="391">
        <f t="shared" si="11763"/>
        <v>0.1</v>
      </c>
      <c r="F3862" s="391" t="str">
        <f t="shared" ref="F3862:G3862" si="11764">F3861</f>
        <v>air</v>
      </c>
      <c r="G3862" s="401" t="str">
        <f t="shared" si="11764"/>
        <v>DE: PLA(-blend) fiber 0,01-0,1 mm (emission to air)</v>
      </c>
      <c r="H3862" s="465">
        <v>4.7E-2</v>
      </c>
      <c r="I3862" s="394" t="s">
        <v>1143</v>
      </c>
      <c r="J3862" s="635"/>
      <c r="K3862" s="389">
        <v>1.1262857142862617E-3</v>
      </c>
      <c r="L3862" s="536"/>
      <c r="M3862" s="509">
        <f t="shared" si="11710"/>
        <v>1000</v>
      </c>
      <c r="N3862" s="646"/>
      <c r="O3862" s="626"/>
      <c r="P3862" s="629"/>
      <c r="Q3862" s="629"/>
    </row>
    <row r="3863" spans="1:17">
      <c r="A3863" s="381" t="str">
        <f t="shared" ref="A3863:B3863" si="11765">A3860</f>
        <v>PLA(-blend)</v>
      </c>
      <c r="B3863" s="391" t="str">
        <f t="shared" si="11765"/>
        <v>fiber</v>
      </c>
      <c r="C3863" s="391">
        <f t="shared" ref="C3863" si="11766">C3862</f>
        <v>4</v>
      </c>
      <c r="D3863" s="391" t="str">
        <f t="shared" ref="D3863:E3863" si="11767">D3860</f>
        <v>0,01-0,1</v>
      </c>
      <c r="E3863" s="391">
        <f t="shared" si="11767"/>
        <v>0.1</v>
      </c>
      <c r="F3863" s="391" t="str">
        <f t="shared" ref="F3863:G3863" si="11768">F3862</f>
        <v>air</v>
      </c>
      <c r="G3863" s="401" t="str">
        <f t="shared" si="11768"/>
        <v>DE: PLA(-blend) fiber 0,01-0,1 mm (emission to air)</v>
      </c>
      <c r="H3863" s="465">
        <v>5.0000000000000001E-3</v>
      </c>
      <c r="I3863" s="394" t="s">
        <v>1163</v>
      </c>
      <c r="J3863" s="635"/>
      <c r="K3863" s="389">
        <v>1.1262857142862617E-3</v>
      </c>
      <c r="L3863" s="536"/>
      <c r="M3863" s="509">
        <f t="shared" si="11710"/>
        <v>1000</v>
      </c>
      <c r="N3863" s="646"/>
      <c r="O3863" s="626"/>
      <c r="P3863" s="629"/>
      <c r="Q3863" s="629"/>
    </row>
    <row r="3864" spans="1:17" ht="15.75" thickBot="1">
      <c r="A3864" s="586" t="str">
        <f t="shared" ref="A3864:B3864" si="11769">A3859</f>
        <v>PLA(-blend)</v>
      </c>
      <c r="B3864" s="453" t="str">
        <f t="shared" si="11769"/>
        <v>fiber</v>
      </c>
      <c r="C3864" s="453">
        <f t="shared" ref="C3864" si="11770">C3863</f>
        <v>4</v>
      </c>
      <c r="D3864" s="453" t="str">
        <f t="shared" ref="D3864:E3864" si="11771">D3859</f>
        <v>0,01-0,1</v>
      </c>
      <c r="E3864" s="453">
        <f t="shared" si="11771"/>
        <v>0.1</v>
      </c>
      <c r="F3864" s="453" t="str">
        <f t="shared" ref="F3864:G3864" si="11772">F3863</f>
        <v>air</v>
      </c>
      <c r="G3864" s="454" t="str">
        <f t="shared" si="11772"/>
        <v>DE: PLA(-blend) fiber 0,01-0,1 mm (emission to air)</v>
      </c>
      <c r="H3864" s="473">
        <v>0</v>
      </c>
      <c r="I3864" s="456" t="s">
        <v>1034</v>
      </c>
      <c r="J3864" s="636"/>
      <c r="K3864" s="457" t="s">
        <v>596</v>
      </c>
      <c r="L3864" s="543"/>
      <c r="M3864" s="509">
        <f t="shared" si="11710"/>
        <v>0</v>
      </c>
      <c r="N3864" s="647"/>
      <c r="O3864" s="627"/>
      <c r="P3864" s="629"/>
      <c r="Q3864" s="629"/>
    </row>
    <row r="3865" spans="1:17">
      <c r="A3865" s="381" t="str">
        <f t="shared" ref="A3865" si="11773">A3862</f>
        <v>PLA(-blend)</v>
      </c>
      <c r="B3865" s="382" t="s">
        <v>1151</v>
      </c>
      <c r="C3865" s="383">
        <v>4</v>
      </c>
      <c r="D3865" s="475" t="s">
        <v>1028</v>
      </c>
      <c r="E3865" s="384">
        <v>1</v>
      </c>
      <c r="F3865" s="385" t="s">
        <v>1019</v>
      </c>
      <c r="G3865" s="386" t="str">
        <f>CONCATENATE("DE: ",A3865," ",B3865," ",D3865," mm (emission to ",F3865,")")</f>
        <v>DE: PLA(-blend) fiber 0,1-1 mm (emission to soil)</v>
      </c>
      <c r="H3865" s="466">
        <v>0.97</v>
      </c>
      <c r="I3865" s="388" t="s">
        <v>1019</v>
      </c>
      <c r="J3865" s="632">
        <v>0.22800000000000001</v>
      </c>
      <c r="K3865" s="389">
        <v>78.694724300850595</v>
      </c>
      <c r="L3865" s="536"/>
      <c r="M3865" s="509">
        <f t="shared" si="11710"/>
        <v>3.1768330370438544</v>
      </c>
      <c r="N3865" s="645">
        <f t="shared" ref="N3865:N3925" si="11774">IFERROR(H3865*M3865+H3866*M3866+H3867*M3867+H3868*M3868+H3869*M3869,"N.A.")</f>
        <v>33.081528045932544</v>
      </c>
      <c r="O3865" s="625"/>
      <c r="P3865" s="628">
        <f t="shared" si="11645"/>
        <v>33.081528045932544</v>
      </c>
      <c r="Q3865" s="628">
        <f t="shared" si="11737"/>
        <v>33.081528045932544</v>
      </c>
    </row>
    <row r="3866" spans="1:17">
      <c r="A3866" s="381" t="str">
        <f>A3865</f>
        <v>PLA(-blend)</v>
      </c>
      <c r="B3866" s="391" t="str">
        <f>B3865</f>
        <v>fiber</v>
      </c>
      <c r="C3866" s="391">
        <f t="shared" ref="C3866:G3866" si="11775">C3865</f>
        <v>4</v>
      </c>
      <c r="D3866" s="391" t="str">
        <f t="shared" si="11775"/>
        <v>0,1-1</v>
      </c>
      <c r="E3866" s="391">
        <f t="shared" si="11775"/>
        <v>1</v>
      </c>
      <c r="F3866" s="391" t="str">
        <f t="shared" si="11775"/>
        <v>soil</v>
      </c>
      <c r="G3866" s="392" t="str">
        <f t="shared" si="11775"/>
        <v>DE: PLA(-blend) fiber 0,1-1 mm (emission to soil)</v>
      </c>
      <c r="H3866" s="465">
        <v>0</v>
      </c>
      <c r="I3866" s="394" t="s">
        <v>1174</v>
      </c>
      <c r="J3866" s="632"/>
      <c r="K3866" s="395">
        <v>0</v>
      </c>
      <c r="L3866" s="537"/>
      <c r="M3866" s="509">
        <f t="shared" si="11710"/>
        <v>1000</v>
      </c>
      <c r="N3866" s="646"/>
      <c r="O3866" s="626"/>
      <c r="P3866" s="629"/>
      <c r="Q3866" s="629"/>
    </row>
    <row r="3867" spans="1:17">
      <c r="A3867" s="381" t="str">
        <f t="shared" ref="A3867:G3867" si="11776">A3866</f>
        <v>PLA(-blend)</v>
      </c>
      <c r="B3867" s="391" t="str">
        <f t="shared" si="11776"/>
        <v>fiber</v>
      </c>
      <c r="C3867" s="391">
        <f t="shared" si="11776"/>
        <v>4</v>
      </c>
      <c r="D3867" s="391" t="str">
        <f t="shared" si="11776"/>
        <v>0,1-1</v>
      </c>
      <c r="E3867" s="391">
        <f t="shared" si="11776"/>
        <v>1</v>
      </c>
      <c r="F3867" s="391" t="str">
        <f t="shared" si="11776"/>
        <v>soil</v>
      </c>
      <c r="G3867" s="392" t="str">
        <f t="shared" si="11776"/>
        <v>DE: PLA(-blend) fiber 0,1-1 mm (emission to soil)</v>
      </c>
      <c r="H3867" s="465">
        <v>2.7E-2</v>
      </c>
      <c r="I3867" s="394" t="s">
        <v>1143</v>
      </c>
      <c r="J3867" s="632"/>
      <c r="K3867" s="395">
        <v>1.1262857142862617E-3</v>
      </c>
      <c r="L3867" s="537"/>
      <c r="M3867" s="509">
        <f t="shared" si="11710"/>
        <v>1000</v>
      </c>
      <c r="N3867" s="646"/>
      <c r="O3867" s="626"/>
      <c r="P3867" s="629"/>
      <c r="Q3867" s="629"/>
    </row>
    <row r="3868" spans="1:17">
      <c r="A3868" s="381" t="str">
        <f t="shared" ref="A3868:G3868" si="11777">A3867</f>
        <v>PLA(-blend)</v>
      </c>
      <c r="B3868" s="391" t="str">
        <f t="shared" si="11777"/>
        <v>fiber</v>
      </c>
      <c r="C3868" s="391">
        <f t="shared" si="11777"/>
        <v>4</v>
      </c>
      <c r="D3868" s="391" t="str">
        <f t="shared" si="11777"/>
        <v>0,1-1</v>
      </c>
      <c r="E3868" s="391">
        <f t="shared" si="11777"/>
        <v>1</v>
      </c>
      <c r="F3868" s="391" t="str">
        <f t="shared" si="11777"/>
        <v>soil</v>
      </c>
      <c r="G3868" s="392" t="str">
        <f t="shared" si="11777"/>
        <v>DE: PLA(-blend) fiber 0,1-1 mm (emission to soil)</v>
      </c>
      <c r="H3868" s="465">
        <v>3.0000000000000001E-3</v>
      </c>
      <c r="I3868" s="394" t="s">
        <v>1163</v>
      </c>
      <c r="J3868" s="632"/>
      <c r="K3868" s="395">
        <v>1.1262857142862617E-3</v>
      </c>
      <c r="L3868" s="537"/>
      <c r="M3868" s="509">
        <f t="shared" si="11710"/>
        <v>1000</v>
      </c>
      <c r="N3868" s="646"/>
      <c r="O3868" s="626"/>
      <c r="P3868" s="629"/>
      <c r="Q3868" s="629"/>
    </row>
    <row r="3869" spans="1:17">
      <c r="A3869" s="381" t="str">
        <f>A3866</f>
        <v>PLA(-blend)</v>
      </c>
      <c r="B3869" s="391" t="str">
        <f>B3866</f>
        <v>fiber</v>
      </c>
      <c r="C3869" s="391">
        <f t="shared" ref="C3869" si="11778">C3868</f>
        <v>4</v>
      </c>
      <c r="D3869" s="391" t="str">
        <f>D3866</f>
        <v>0,1-1</v>
      </c>
      <c r="E3869" s="391">
        <f>E3866</f>
        <v>1</v>
      </c>
      <c r="F3869" s="391" t="str">
        <f>F3866</f>
        <v>soil</v>
      </c>
      <c r="G3869" s="396" t="str">
        <f t="shared" ref="G3869" si="11779">G3868</f>
        <v>DE: PLA(-blend) fiber 0,1-1 mm (emission to soil)</v>
      </c>
      <c r="H3869" s="465">
        <v>0</v>
      </c>
      <c r="I3869" s="397" t="s">
        <v>1034</v>
      </c>
      <c r="J3869" s="633"/>
      <c r="K3869" s="398" t="s">
        <v>596</v>
      </c>
      <c r="L3869" s="538"/>
      <c r="M3869" s="509">
        <f t="shared" si="11710"/>
        <v>0</v>
      </c>
      <c r="N3869" s="647"/>
      <c r="O3869" s="627"/>
      <c r="P3869" s="629"/>
      <c r="Q3869" s="629"/>
    </row>
    <row r="3870" spans="1:17">
      <c r="A3870" s="381" t="str">
        <f t="shared" ref="A3870:B3870" si="11780">A3867</f>
        <v>PLA(-blend)</v>
      </c>
      <c r="B3870" s="391" t="str">
        <f t="shared" si="11780"/>
        <v>fiber</v>
      </c>
      <c r="C3870" s="391">
        <f t="shared" ref="C3870" si="11781">C3869</f>
        <v>4</v>
      </c>
      <c r="D3870" s="399" t="str">
        <f t="shared" ref="D3870:E3870" si="11782">D3867</f>
        <v>0,1-1</v>
      </c>
      <c r="E3870" s="391">
        <f t="shared" si="11782"/>
        <v>1</v>
      </c>
      <c r="F3870" s="400" t="s">
        <v>1147</v>
      </c>
      <c r="G3870" s="386" t="str">
        <f>CONCATENATE("DE: ",A3870," ",B3870," ",D3870," mm (emission to ",F3870,")")</f>
        <v>DE: PLA(-blend) fiber 0,1-1 mm (emission to fresh water)</v>
      </c>
      <c r="H3870" s="466">
        <v>0</v>
      </c>
      <c r="I3870" s="388" t="s">
        <v>1019</v>
      </c>
      <c r="J3870" s="634">
        <v>0.22800000000000001</v>
      </c>
      <c r="K3870" s="389">
        <v>78.694724300850595</v>
      </c>
      <c r="L3870" s="536"/>
      <c r="M3870" s="509">
        <f t="shared" si="11710"/>
        <v>3.1768330370438544</v>
      </c>
      <c r="N3870" s="645">
        <f t="shared" si="11774"/>
        <v>1000</v>
      </c>
      <c r="O3870" s="625"/>
      <c r="P3870" s="628">
        <f t="shared" si="11645"/>
        <v>100</v>
      </c>
      <c r="Q3870" s="628">
        <f t="shared" si="11737"/>
        <v>500</v>
      </c>
    </row>
    <row r="3871" spans="1:17">
      <c r="A3871" s="381" t="str">
        <f t="shared" ref="A3871:B3871" si="11783">A3868</f>
        <v>PLA(-blend)</v>
      </c>
      <c r="B3871" s="391" t="str">
        <f t="shared" si="11783"/>
        <v>fiber</v>
      </c>
      <c r="C3871" s="391">
        <f t="shared" ref="C3871" si="11784">C3870</f>
        <v>4</v>
      </c>
      <c r="D3871" s="391" t="str">
        <f t="shared" ref="D3871:E3871" si="11785">D3868</f>
        <v>0,1-1</v>
      </c>
      <c r="E3871" s="391">
        <f t="shared" si="11785"/>
        <v>1</v>
      </c>
      <c r="F3871" s="391" t="str">
        <f t="shared" ref="F3871:G3871" si="11786">F3870</f>
        <v>fresh water</v>
      </c>
      <c r="G3871" s="401" t="str">
        <f t="shared" si="11786"/>
        <v>DE: PLA(-blend) fiber 0,1-1 mm (emission to fresh water)</v>
      </c>
      <c r="H3871" s="465">
        <v>0</v>
      </c>
      <c r="I3871" s="394" t="s">
        <v>1174</v>
      </c>
      <c r="J3871" s="635"/>
      <c r="K3871" s="389">
        <v>0</v>
      </c>
      <c r="L3871" s="536"/>
      <c r="M3871" s="509">
        <f t="shared" si="11710"/>
        <v>1000</v>
      </c>
      <c r="N3871" s="646"/>
      <c r="O3871" s="626"/>
      <c r="P3871" s="629"/>
      <c r="Q3871" s="629"/>
    </row>
    <row r="3872" spans="1:17">
      <c r="A3872" s="381" t="str">
        <f t="shared" ref="A3872:B3872" si="11787">A3869</f>
        <v>PLA(-blend)</v>
      </c>
      <c r="B3872" s="391" t="str">
        <f t="shared" si="11787"/>
        <v>fiber</v>
      </c>
      <c r="C3872" s="391">
        <f t="shared" ref="C3872" si="11788">C3871</f>
        <v>4</v>
      </c>
      <c r="D3872" s="391" t="str">
        <f t="shared" ref="D3872:E3872" si="11789">D3869</f>
        <v>0,1-1</v>
      </c>
      <c r="E3872" s="391">
        <f t="shared" si="11789"/>
        <v>1</v>
      </c>
      <c r="F3872" s="391" t="str">
        <f t="shared" ref="F3872:G3872" si="11790">F3871</f>
        <v>fresh water</v>
      </c>
      <c r="G3872" s="401" t="str">
        <f t="shared" si="11790"/>
        <v>DE: PLA(-blend) fiber 0,1-1 mm (emission to fresh water)</v>
      </c>
      <c r="H3872" s="465">
        <v>0.89</v>
      </c>
      <c r="I3872" s="394" t="s">
        <v>1143</v>
      </c>
      <c r="J3872" s="635"/>
      <c r="K3872" s="389">
        <v>1.1262857142862617E-3</v>
      </c>
      <c r="L3872" s="536"/>
      <c r="M3872" s="509">
        <f t="shared" si="11710"/>
        <v>1000</v>
      </c>
      <c r="N3872" s="646"/>
      <c r="O3872" s="626"/>
      <c r="P3872" s="629"/>
      <c r="Q3872" s="629"/>
    </row>
    <row r="3873" spans="1:17">
      <c r="A3873" s="381" t="str">
        <f t="shared" ref="A3873:B3873" si="11791">A3870</f>
        <v>PLA(-blend)</v>
      </c>
      <c r="B3873" s="391" t="str">
        <f t="shared" si="11791"/>
        <v>fiber</v>
      </c>
      <c r="C3873" s="391">
        <f t="shared" ref="C3873" si="11792">C3872</f>
        <v>4</v>
      </c>
      <c r="D3873" s="391" t="str">
        <f t="shared" ref="D3873:E3873" si="11793">D3870</f>
        <v>0,1-1</v>
      </c>
      <c r="E3873" s="391">
        <f t="shared" si="11793"/>
        <v>1</v>
      </c>
      <c r="F3873" s="391" t="str">
        <f t="shared" ref="F3873:G3873" si="11794">F3872</f>
        <v>fresh water</v>
      </c>
      <c r="G3873" s="401" t="str">
        <f t="shared" si="11794"/>
        <v>DE: PLA(-blend) fiber 0,1-1 mm (emission to fresh water)</v>
      </c>
      <c r="H3873" s="465">
        <v>0.11</v>
      </c>
      <c r="I3873" s="394" t="s">
        <v>1163</v>
      </c>
      <c r="J3873" s="635"/>
      <c r="K3873" s="389">
        <v>1.1262857142862617E-3</v>
      </c>
      <c r="L3873" s="536"/>
      <c r="M3873" s="509">
        <f t="shared" si="11710"/>
        <v>1000</v>
      </c>
      <c r="N3873" s="646"/>
      <c r="O3873" s="626"/>
      <c r="P3873" s="629"/>
      <c r="Q3873" s="629"/>
    </row>
    <row r="3874" spans="1:17">
      <c r="A3874" s="381" t="str">
        <f t="shared" ref="A3874:B3874" si="11795">A3871</f>
        <v>PLA(-blend)</v>
      </c>
      <c r="B3874" s="391" t="str">
        <f t="shared" si="11795"/>
        <v>fiber</v>
      </c>
      <c r="C3874" s="391">
        <f t="shared" ref="C3874" si="11796">C3873</f>
        <v>4</v>
      </c>
      <c r="D3874" s="391" t="str">
        <f t="shared" ref="D3874:E3874" si="11797">D3871</f>
        <v>0,1-1</v>
      </c>
      <c r="E3874" s="391">
        <f t="shared" si="11797"/>
        <v>1</v>
      </c>
      <c r="F3874" s="402" t="str">
        <f>F3871</f>
        <v>fresh water</v>
      </c>
      <c r="G3874" s="401" t="str">
        <f t="shared" ref="G3874" si="11798">G3873</f>
        <v>DE: PLA(-blend) fiber 0,1-1 mm (emission to fresh water)</v>
      </c>
      <c r="H3874" s="465">
        <v>0</v>
      </c>
      <c r="I3874" s="397" t="s">
        <v>1034</v>
      </c>
      <c r="J3874" s="654"/>
      <c r="K3874" s="398" t="s">
        <v>596</v>
      </c>
      <c r="L3874" s="538"/>
      <c r="M3874" s="509">
        <f t="shared" si="11710"/>
        <v>0</v>
      </c>
      <c r="N3874" s="647"/>
      <c r="O3874" s="627"/>
      <c r="P3874" s="629"/>
      <c r="Q3874" s="629"/>
    </row>
    <row r="3875" spans="1:17">
      <c r="A3875" s="381" t="str">
        <f t="shared" ref="A3875:B3875" si="11799">A3872</f>
        <v>PLA(-blend)</v>
      </c>
      <c r="B3875" s="391" t="str">
        <f t="shared" si="11799"/>
        <v>fiber</v>
      </c>
      <c r="C3875" s="391">
        <f t="shared" ref="C3875" si="11800">C3874</f>
        <v>4</v>
      </c>
      <c r="D3875" s="391" t="str">
        <f t="shared" ref="D3875:E3875" si="11801">D3872</f>
        <v>0,1-1</v>
      </c>
      <c r="E3875" s="391">
        <f t="shared" si="11801"/>
        <v>1</v>
      </c>
      <c r="F3875" s="385" t="s">
        <v>1097</v>
      </c>
      <c r="G3875" s="422" t="str">
        <f>CONCATENATE("DE: ",A3875," ",B3875," ",D3875," mm (emission to ",F3875,")")</f>
        <v>DE: PLA(-blend) fiber 0,1-1 mm (emission to marine water)</v>
      </c>
      <c r="H3875" s="467">
        <v>0</v>
      </c>
      <c r="I3875" s="388" t="s">
        <v>1019</v>
      </c>
      <c r="J3875" s="634">
        <v>0.22800000000000001</v>
      </c>
      <c r="K3875" s="389">
        <v>78.694724300850595</v>
      </c>
      <c r="L3875" s="536"/>
      <c r="M3875" s="509">
        <f t="shared" si="11710"/>
        <v>3.1768330370438544</v>
      </c>
      <c r="N3875" s="645">
        <f t="shared" si="11774"/>
        <v>1000</v>
      </c>
      <c r="O3875" s="625"/>
      <c r="P3875" s="628">
        <f t="shared" si="11645"/>
        <v>100</v>
      </c>
      <c r="Q3875" s="628">
        <f t="shared" si="11737"/>
        <v>500</v>
      </c>
    </row>
    <row r="3876" spans="1:17">
      <c r="A3876" s="381" t="str">
        <f t="shared" ref="A3876:B3876" si="11802">A3873</f>
        <v>PLA(-blend)</v>
      </c>
      <c r="B3876" s="391" t="str">
        <f t="shared" si="11802"/>
        <v>fiber</v>
      </c>
      <c r="C3876" s="391">
        <f t="shared" ref="C3876" si="11803">C3875</f>
        <v>4</v>
      </c>
      <c r="D3876" s="391" t="str">
        <f t="shared" ref="D3876:E3876" si="11804">D3873</f>
        <v>0,1-1</v>
      </c>
      <c r="E3876" s="391">
        <f t="shared" si="11804"/>
        <v>1</v>
      </c>
      <c r="F3876" s="391" t="str">
        <f t="shared" ref="F3876:G3876" si="11805">F3875</f>
        <v>marine water</v>
      </c>
      <c r="G3876" s="401" t="str">
        <f t="shared" si="11805"/>
        <v>DE: PLA(-blend) fiber 0,1-1 mm (emission to marine water)</v>
      </c>
      <c r="H3876" s="465">
        <v>0</v>
      </c>
      <c r="I3876" s="394" t="s">
        <v>1174</v>
      </c>
      <c r="J3876" s="635"/>
      <c r="K3876" s="389">
        <v>0</v>
      </c>
      <c r="L3876" s="536"/>
      <c r="M3876" s="509">
        <f t="shared" si="11710"/>
        <v>1000</v>
      </c>
      <c r="N3876" s="646"/>
      <c r="O3876" s="626"/>
      <c r="P3876" s="629"/>
      <c r="Q3876" s="629"/>
    </row>
    <row r="3877" spans="1:17">
      <c r="A3877" s="381" t="str">
        <f t="shared" ref="A3877:B3877" si="11806">A3874</f>
        <v>PLA(-blend)</v>
      </c>
      <c r="B3877" s="391" t="str">
        <f t="shared" si="11806"/>
        <v>fiber</v>
      </c>
      <c r="C3877" s="391">
        <f t="shared" ref="C3877" si="11807">C3876</f>
        <v>4</v>
      </c>
      <c r="D3877" s="391" t="str">
        <f t="shared" ref="D3877:E3877" si="11808">D3874</f>
        <v>0,1-1</v>
      </c>
      <c r="E3877" s="391">
        <f t="shared" si="11808"/>
        <v>1</v>
      </c>
      <c r="F3877" s="391" t="str">
        <f t="shared" ref="F3877:G3877" si="11809">F3876</f>
        <v>marine water</v>
      </c>
      <c r="G3877" s="401" t="str">
        <f t="shared" si="11809"/>
        <v>DE: PLA(-blend) fiber 0,1-1 mm (emission to marine water)</v>
      </c>
      <c r="H3877" s="465">
        <v>0</v>
      </c>
      <c r="I3877" s="394" t="s">
        <v>1143</v>
      </c>
      <c r="J3877" s="635"/>
      <c r="K3877" s="389">
        <v>1.1262857142862617E-3</v>
      </c>
      <c r="L3877" s="536"/>
      <c r="M3877" s="509">
        <f t="shared" si="11710"/>
        <v>1000</v>
      </c>
      <c r="N3877" s="646"/>
      <c r="O3877" s="626"/>
      <c r="P3877" s="629"/>
      <c r="Q3877" s="629"/>
    </row>
    <row r="3878" spans="1:17">
      <c r="A3878" s="381" t="str">
        <f t="shared" ref="A3878:B3878" si="11810">A3875</f>
        <v>PLA(-blend)</v>
      </c>
      <c r="B3878" s="391" t="str">
        <f t="shared" si="11810"/>
        <v>fiber</v>
      </c>
      <c r="C3878" s="391">
        <f t="shared" ref="C3878" si="11811">C3877</f>
        <v>4</v>
      </c>
      <c r="D3878" s="391" t="str">
        <f t="shared" ref="D3878:E3878" si="11812">D3875</f>
        <v>0,1-1</v>
      </c>
      <c r="E3878" s="391">
        <f t="shared" si="11812"/>
        <v>1</v>
      </c>
      <c r="F3878" s="391" t="str">
        <f t="shared" ref="F3878:G3878" si="11813">F3877</f>
        <v>marine water</v>
      </c>
      <c r="G3878" s="401" t="str">
        <f t="shared" si="11813"/>
        <v>DE: PLA(-blend) fiber 0,1-1 mm (emission to marine water)</v>
      </c>
      <c r="H3878" s="465">
        <v>1</v>
      </c>
      <c r="I3878" s="394" t="s">
        <v>1163</v>
      </c>
      <c r="J3878" s="635"/>
      <c r="K3878" s="389">
        <v>1.1262857142862617E-3</v>
      </c>
      <c r="L3878" s="536"/>
      <c r="M3878" s="509">
        <f t="shared" si="11710"/>
        <v>1000</v>
      </c>
      <c r="N3878" s="646"/>
      <c r="O3878" s="626"/>
      <c r="P3878" s="629"/>
      <c r="Q3878" s="629"/>
    </row>
    <row r="3879" spans="1:17">
      <c r="A3879" s="381" t="str">
        <f t="shared" ref="A3879:B3879" si="11814">A3876</f>
        <v>PLA(-blend)</v>
      </c>
      <c r="B3879" s="391" t="str">
        <f t="shared" si="11814"/>
        <v>fiber</v>
      </c>
      <c r="C3879" s="391">
        <f t="shared" ref="C3879" si="11815">C3878</f>
        <v>4</v>
      </c>
      <c r="D3879" s="391" t="str">
        <f t="shared" ref="D3879:E3879" si="11816">D3876</f>
        <v>0,1-1</v>
      </c>
      <c r="E3879" s="391">
        <f t="shared" si="11816"/>
        <v>1</v>
      </c>
      <c r="F3879" s="391" t="str">
        <f t="shared" ref="F3879:G3879" si="11817">F3878</f>
        <v>marine water</v>
      </c>
      <c r="G3879" s="401" t="str">
        <f t="shared" si="11817"/>
        <v>DE: PLA(-blend) fiber 0,1-1 mm (emission to marine water)</v>
      </c>
      <c r="H3879" s="465">
        <v>0</v>
      </c>
      <c r="I3879" s="397" t="s">
        <v>1034</v>
      </c>
      <c r="J3879" s="654"/>
      <c r="K3879" s="398" t="s">
        <v>596</v>
      </c>
      <c r="L3879" s="538"/>
      <c r="M3879" s="509">
        <f t="shared" si="11710"/>
        <v>0</v>
      </c>
      <c r="N3879" s="647"/>
      <c r="O3879" s="627"/>
      <c r="P3879" s="629"/>
      <c r="Q3879" s="629"/>
    </row>
    <row r="3880" spans="1:17">
      <c r="A3880" s="381" t="str">
        <f t="shared" ref="A3880:B3880" si="11818">A3877</f>
        <v>PLA(-blend)</v>
      </c>
      <c r="B3880" s="391" t="str">
        <f t="shared" si="11818"/>
        <v>fiber</v>
      </c>
      <c r="C3880" s="391">
        <f t="shared" ref="C3880" si="11819">C3879</f>
        <v>4</v>
      </c>
      <c r="D3880" s="391" t="str">
        <f t="shared" ref="D3880:E3880" si="11820">D3877</f>
        <v>0,1-1</v>
      </c>
      <c r="E3880" s="391">
        <f t="shared" si="11820"/>
        <v>1</v>
      </c>
      <c r="F3880" s="400" t="s">
        <v>1057</v>
      </c>
      <c r="G3880" s="422" t="str">
        <f>CONCATENATE("DE: ",A3880," ",B3880," ",D3880," mm (emission to ",F3880,")")</f>
        <v>DE: PLA(-blend) fiber 0,1-1 mm (emission to air)</v>
      </c>
      <c r="H3880" s="467">
        <v>0.94799999999999995</v>
      </c>
      <c r="I3880" s="388" t="s">
        <v>1019</v>
      </c>
      <c r="J3880" s="634">
        <v>0.22800000000000001</v>
      </c>
      <c r="K3880" s="389">
        <v>78.694724300850595</v>
      </c>
      <c r="L3880" s="536"/>
      <c r="M3880" s="509">
        <f t="shared" si="11710"/>
        <v>3.1768330370438544</v>
      </c>
      <c r="N3880" s="645">
        <f t="shared" si="11774"/>
        <v>55.011637719117573</v>
      </c>
      <c r="O3880" s="625"/>
      <c r="P3880" s="628">
        <f t="shared" si="11645"/>
        <v>55.011637719117573</v>
      </c>
      <c r="Q3880" s="628">
        <f t="shared" si="11737"/>
        <v>55.011637719117573</v>
      </c>
    </row>
    <row r="3881" spans="1:17">
      <c r="A3881" s="381" t="str">
        <f t="shared" ref="A3881:B3881" si="11821">A3878</f>
        <v>PLA(-blend)</v>
      </c>
      <c r="B3881" s="391" t="str">
        <f t="shared" si="11821"/>
        <v>fiber</v>
      </c>
      <c r="C3881" s="391">
        <f t="shared" ref="C3881" si="11822">C3880</f>
        <v>4</v>
      </c>
      <c r="D3881" s="391" t="str">
        <f t="shared" ref="D3881:E3881" si="11823">D3878</f>
        <v>0,1-1</v>
      </c>
      <c r="E3881" s="391">
        <f t="shared" si="11823"/>
        <v>1</v>
      </c>
      <c r="F3881" s="391" t="str">
        <f t="shared" ref="F3881:G3881" si="11824">F3880</f>
        <v>air</v>
      </c>
      <c r="G3881" s="401" t="str">
        <f t="shared" si="11824"/>
        <v>DE: PLA(-blend) fiber 0,1-1 mm (emission to air)</v>
      </c>
      <c r="H3881" s="465">
        <v>0</v>
      </c>
      <c r="I3881" s="394" t="s">
        <v>1174</v>
      </c>
      <c r="J3881" s="635"/>
      <c r="K3881" s="389">
        <v>0</v>
      </c>
      <c r="L3881" s="536"/>
      <c r="M3881" s="509">
        <f t="shared" si="11710"/>
        <v>1000</v>
      </c>
      <c r="N3881" s="646"/>
      <c r="O3881" s="626"/>
      <c r="P3881" s="629"/>
      <c r="Q3881" s="629"/>
    </row>
    <row r="3882" spans="1:17">
      <c r="A3882" s="381" t="str">
        <f t="shared" ref="A3882:B3882" si="11825">A3879</f>
        <v>PLA(-blend)</v>
      </c>
      <c r="B3882" s="391" t="str">
        <f t="shared" si="11825"/>
        <v>fiber</v>
      </c>
      <c r="C3882" s="391">
        <f t="shared" ref="C3882" si="11826">C3881</f>
        <v>4</v>
      </c>
      <c r="D3882" s="391" t="str">
        <f t="shared" ref="D3882:E3882" si="11827">D3879</f>
        <v>0,1-1</v>
      </c>
      <c r="E3882" s="391">
        <f t="shared" si="11827"/>
        <v>1</v>
      </c>
      <c r="F3882" s="391" t="str">
        <f t="shared" ref="F3882:G3882" si="11828">F3881</f>
        <v>air</v>
      </c>
      <c r="G3882" s="401" t="str">
        <f t="shared" si="11828"/>
        <v>DE: PLA(-blend) fiber 0,1-1 mm (emission to air)</v>
      </c>
      <c r="H3882" s="465">
        <v>4.7E-2</v>
      </c>
      <c r="I3882" s="394" t="s">
        <v>1143</v>
      </c>
      <c r="J3882" s="635"/>
      <c r="K3882" s="389">
        <v>1.1262857142862617E-3</v>
      </c>
      <c r="L3882" s="536"/>
      <c r="M3882" s="509">
        <f t="shared" si="11710"/>
        <v>1000</v>
      </c>
      <c r="N3882" s="646"/>
      <c r="O3882" s="626"/>
      <c r="P3882" s="629"/>
      <c r="Q3882" s="629"/>
    </row>
    <row r="3883" spans="1:17">
      <c r="A3883" s="381" t="str">
        <f t="shared" ref="A3883:B3883" si="11829">A3880</f>
        <v>PLA(-blend)</v>
      </c>
      <c r="B3883" s="391" t="str">
        <f t="shared" si="11829"/>
        <v>fiber</v>
      </c>
      <c r="C3883" s="391">
        <f t="shared" ref="C3883" si="11830">C3882</f>
        <v>4</v>
      </c>
      <c r="D3883" s="391" t="str">
        <f t="shared" ref="D3883:E3883" si="11831">D3880</f>
        <v>0,1-1</v>
      </c>
      <c r="E3883" s="391">
        <f t="shared" si="11831"/>
        <v>1</v>
      </c>
      <c r="F3883" s="391" t="str">
        <f t="shared" ref="F3883:G3883" si="11832">F3882</f>
        <v>air</v>
      </c>
      <c r="G3883" s="401" t="str">
        <f t="shared" si="11832"/>
        <v>DE: PLA(-blend) fiber 0,1-1 mm (emission to air)</v>
      </c>
      <c r="H3883" s="465">
        <v>5.0000000000000001E-3</v>
      </c>
      <c r="I3883" s="394" t="s">
        <v>1163</v>
      </c>
      <c r="J3883" s="635"/>
      <c r="K3883" s="389">
        <v>1.1262857142862617E-3</v>
      </c>
      <c r="L3883" s="536"/>
      <c r="M3883" s="509">
        <f t="shared" si="11710"/>
        <v>1000</v>
      </c>
      <c r="N3883" s="646"/>
      <c r="O3883" s="626"/>
      <c r="P3883" s="629"/>
      <c r="Q3883" s="629"/>
    </row>
    <row r="3884" spans="1:17" ht="15.75" thickBot="1">
      <c r="A3884" s="381" t="str">
        <f t="shared" ref="A3884:B3884" si="11833">A3879</f>
        <v>PLA(-blend)</v>
      </c>
      <c r="B3884" s="391" t="str">
        <f t="shared" si="11833"/>
        <v>fiber</v>
      </c>
      <c r="C3884" s="391">
        <f t="shared" ref="C3884" si="11834">C3883</f>
        <v>4</v>
      </c>
      <c r="D3884" s="391" t="str">
        <f t="shared" ref="D3884:E3884" si="11835">D3879</f>
        <v>0,1-1</v>
      </c>
      <c r="E3884" s="391">
        <f t="shared" si="11835"/>
        <v>1</v>
      </c>
      <c r="F3884" s="391" t="str">
        <f t="shared" ref="F3884:G3884" si="11836">F3883</f>
        <v>air</v>
      </c>
      <c r="G3884" s="401" t="str">
        <f t="shared" si="11836"/>
        <v>DE: PLA(-blend) fiber 0,1-1 mm (emission to air)</v>
      </c>
      <c r="H3884" s="471">
        <v>0</v>
      </c>
      <c r="I3884" s="422" t="s">
        <v>1034</v>
      </c>
      <c r="J3884" s="636"/>
      <c r="K3884" s="451" t="s">
        <v>596</v>
      </c>
      <c r="L3884" s="542"/>
      <c r="M3884" s="509">
        <f t="shared" si="11710"/>
        <v>0</v>
      </c>
      <c r="N3884" s="647"/>
      <c r="O3884" s="627"/>
      <c r="P3884" s="629"/>
      <c r="Q3884" s="629"/>
    </row>
    <row r="3885" spans="1:17">
      <c r="A3885" s="381" t="str">
        <f t="shared" ref="A3885" si="11837">A3882</f>
        <v>PLA(-blend)</v>
      </c>
      <c r="B3885" s="406" t="s">
        <v>1151</v>
      </c>
      <c r="C3885" s="407">
        <v>4</v>
      </c>
      <c r="D3885" s="423" t="s">
        <v>1026</v>
      </c>
      <c r="E3885" s="408">
        <v>10</v>
      </c>
      <c r="F3885" s="424" t="s">
        <v>1019</v>
      </c>
      <c r="G3885" s="425" t="str">
        <f>CONCATENATE("DE: ",A3885," ",B3885," ",D3885," mm (emission to ",F3885,")")</f>
        <v>DE: PLA(-blend) fiber 1-10 mm (emission to soil)</v>
      </c>
      <c r="H3885" s="474">
        <v>0.97</v>
      </c>
      <c r="I3885" s="427" t="s">
        <v>1019</v>
      </c>
      <c r="J3885" s="632">
        <v>0.22800000000000001</v>
      </c>
      <c r="K3885" s="428">
        <v>78.694724300850595</v>
      </c>
      <c r="L3885" s="539"/>
      <c r="M3885" s="509">
        <f t="shared" si="11710"/>
        <v>31.768330370438544</v>
      </c>
      <c r="N3885" s="645">
        <f t="shared" si="11774"/>
        <v>60.815280459325386</v>
      </c>
      <c r="O3885" s="625"/>
      <c r="P3885" s="628">
        <f t="shared" si="11645"/>
        <v>60.815280459325386</v>
      </c>
      <c r="Q3885" s="628">
        <f t="shared" si="11737"/>
        <v>60.815280459325386</v>
      </c>
    </row>
    <row r="3886" spans="1:17">
      <c r="A3886" s="381" t="str">
        <f>A3885</f>
        <v>PLA(-blend)</v>
      </c>
      <c r="B3886" s="391" t="str">
        <f>B3885</f>
        <v>fiber</v>
      </c>
      <c r="C3886" s="391">
        <f t="shared" ref="C3886:G3886" si="11838">C3885</f>
        <v>4</v>
      </c>
      <c r="D3886" s="391" t="str">
        <f t="shared" si="11838"/>
        <v>1-10</v>
      </c>
      <c r="E3886" s="391">
        <f t="shared" si="11838"/>
        <v>10</v>
      </c>
      <c r="F3886" s="391" t="str">
        <f t="shared" si="11838"/>
        <v>soil</v>
      </c>
      <c r="G3886" s="392" t="str">
        <f t="shared" si="11838"/>
        <v>DE: PLA(-blend) fiber 1-10 mm (emission to soil)</v>
      </c>
      <c r="H3886" s="465">
        <v>0</v>
      </c>
      <c r="I3886" s="394" t="s">
        <v>1174</v>
      </c>
      <c r="J3886" s="632"/>
      <c r="K3886" s="395">
        <v>0</v>
      </c>
      <c r="L3886" s="537"/>
      <c r="M3886" s="509">
        <f t="shared" si="11710"/>
        <v>1000</v>
      </c>
      <c r="N3886" s="646"/>
      <c r="O3886" s="626"/>
      <c r="P3886" s="629"/>
      <c r="Q3886" s="629"/>
    </row>
    <row r="3887" spans="1:17">
      <c r="A3887" s="381" t="str">
        <f t="shared" ref="A3887:G3887" si="11839">A3886</f>
        <v>PLA(-blend)</v>
      </c>
      <c r="B3887" s="391" t="str">
        <f t="shared" si="11839"/>
        <v>fiber</v>
      </c>
      <c r="C3887" s="391">
        <f t="shared" si="11839"/>
        <v>4</v>
      </c>
      <c r="D3887" s="391" t="str">
        <f t="shared" si="11839"/>
        <v>1-10</v>
      </c>
      <c r="E3887" s="391">
        <f t="shared" si="11839"/>
        <v>10</v>
      </c>
      <c r="F3887" s="391" t="str">
        <f t="shared" si="11839"/>
        <v>soil</v>
      </c>
      <c r="G3887" s="392" t="str">
        <f t="shared" si="11839"/>
        <v>DE: PLA(-blend) fiber 1-10 mm (emission to soil)</v>
      </c>
      <c r="H3887" s="465">
        <v>2.7E-2</v>
      </c>
      <c r="I3887" s="394" t="s">
        <v>1143</v>
      </c>
      <c r="J3887" s="632"/>
      <c r="K3887" s="395">
        <v>1.1262857142862617E-3</v>
      </c>
      <c r="L3887" s="537"/>
      <c r="M3887" s="509">
        <f t="shared" si="11710"/>
        <v>1000</v>
      </c>
      <c r="N3887" s="646"/>
      <c r="O3887" s="626"/>
      <c r="P3887" s="629"/>
      <c r="Q3887" s="629"/>
    </row>
    <row r="3888" spans="1:17">
      <c r="A3888" s="381" t="str">
        <f t="shared" ref="A3888:G3888" si="11840">A3887</f>
        <v>PLA(-blend)</v>
      </c>
      <c r="B3888" s="391" t="str">
        <f t="shared" si="11840"/>
        <v>fiber</v>
      </c>
      <c r="C3888" s="391">
        <f t="shared" si="11840"/>
        <v>4</v>
      </c>
      <c r="D3888" s="391" t="str">
        <f t="shared" si="11840"/>
        <v>1-10</v>
      </c>
      <c r="E3888" s="391">
        <f t="shared" si="11840"/>
        <v>10</v>
      </c>
      <c r="F3888" s="391" t="str">
        <f t="shared" si="11840"/>
        <v>soil</v>
      </c>
      <c r="G3888" s="392" t="str">
        <f t="shared" si="11840"/>
        <v>DE: PLA(-blend) fiber 1-10 mm (emission to soil)</v>
      </c>
      <c r="H3888" s="465">
        <v>3.0000000000000001E-3</v>
      </c>
      <c r="I3888" s="394" t="s">
        <v>1163</v>
      </c>
      <c r="J3888" s="632"/>
      <c r="K3888" s="395">
        <v>1.1262857142862617E-3</v>
      </c>
      <c r="L3888" s="537"/>
      <c r="M3888" s="509">
        <f t="shared" si="11710"/>
        <v>1000</v>
      </c>
      <c r="N3888" s="646"/>
      <c r="O3888" s="626"/>
      <c r="P3888" s="629"/>
      <c r="Q3888" s="629"/>
    </row>
    <row r="3889" spans="1:17">
      <c r="A3889" s="381" t="str">
        <f>A3886</f>
        <v>PLA(-blend)</v>
      </c>
      <c r="B3889" s="391" t="str">
        <f>B3886</f>
        <v>fiber</v>
      </c>
      <c r="C3889" s="391">
        <f t="shared" ref="C3889" si="11841">C3888</f>
        <v>4</v>
      </c>
      <c r="D3889" s="391" t="str">
        <f>D3886</f>
        <v>1-10</v>
      </c>
      <c r="E3889" s="391">
        <f>E3886</f>
        <v>10</v>
      </c>
      <c r="F3889" s="391" t="str">
        <f>F3886</f>
        <v>soil</v>
      </c>
      <c r="G3889" s="396" t="str">
        <f t="shared" ref="G3889" si="11842">G3888</f>
        <v>DE: PLA(-blend) fiber 1-10 mm (emission to soil)</v>
      </c>
      <c r="H3889" s="465">
        <v>0</v>
      </c>
      <c r="I3889" s="397" t="s">
        <v>1034</v>
      </c>
      <c r="J3889" s="633"/>
      <c r="K3889" s="398" t="s">
        <v>596</v>
      </c>
      <c r="L3889" s="538"/>
      <c r="M3889" s="509">
        <f t="shared" si="11710"/>
        <v>0</v>
      </c>
      <c r="N3889" s="647"/>
      <c r="O3889" s="627"/>
      <c r="P3889" s="629"/>
      <c r="Q3889" s="629"/>
    </row>
    <row r="3890" spans="1:17">
      <c r="A3890" s="381" t="str">
        <f t="shared" ref="A3890:B3890" si="11843">A3887</f>
        <v>PLA(-blend)</v>
      </c>
      <c r="B3890" s="391" t="str">
        <f t="shared" si="11843"/>
        <v>fiber</v>
      </c>
      <c r="C3890" s="391">
        <f t="shared" ref="C3890" si="11844">C3889</f>
        <v>4</v>
      </c>
      <c r="D3890" s="399" t="str">
        <f t="shared" ref="D3890:E3890" si="11845">D3887</f>
        <v>1-10</v>
      </c>
      <c r="E3890" s="391">
        <f t="shared" si="11845"/>
        <v>10</v>
      </c>
      <c r="F3890" s="400" t="s">
        <v>1147</v>
      </c>
      <c r="G3890" s="386" t="str">
        <f>CONCATENATE("DE: ",A3890," ",B3890," ",D3890," mm (emission to ",F3890,")")</f>
        <v>DE: PLA(-blend) fiber 1-10 mm (emission to fresh water)</v>
      </c>
      <c r="H3890" s="466">
        <v>0</v>
      </c>
      <c r="I3890" s="388" t="s">
        <v>1019</v>
      </c>
      <c r="J3890" s="634">
        <v>0.22800000000000001</v>
      </c>
      <c r="K3890" s="389">
        <v>78.694724300850595</v>
      </c>
      <c r="L3890" s="536"/>
      <c r="M3890" s="509">
        <f t="shared" si="11710"/>
        <v>31.768330370438544</v>
      </c>
      <c r="N3890" s="645">
        <f t="shared" si="11774"/>
        <v>1000</v>
      </c>
      <c r="O3890" s="625"/>
      <c r="P3890" s="628">
        <f t="shared" ref="P3890:P3950" si="11846">IFERROR(IF(H3890*M3890+H3891*M3891+H3892*M3892+H3893*M3893+H3894*M3894&gt;100,100,H3890*M3890+H3891*M3891+H3892*M3892+H3893*M3893+H3894*M3894),"N.A.")</f>
        <v>100</v>
      </c>
      <c r="Q3890" s="628">
        <f t="shared" si="11737"/>
        <v>500</v>
      </c>
    </row>
    <row r="3891" spans="1:17">
      <c r="A3891" s="381" t="str">
        <f t="shared" ref="A3891:B3891" si="11847">A3888</f>
        <v>PLA(-blend)</v>
      </c>
      <c r="B3891" s="391" t="str">
        <f t="shared" si="11847"/>
        <v>fiber</v>
      </c>
      <c r="C3891" s="391">
        <f t="shared" ref="C3891" si="11848">C3890</f>
        <v>4</v>
      </c>
      <c r="D3891" s="391" t="str">
        <f t="shared" ref="D3891:E3891" si="11849">D3888</f>
        <v>1-10</v>
      </c>
      <c r="E3891" s="391">
        <f t="shared" si="11849"/>
        <v>10</v>
      </c>
      <c r="F3891" s="391" t="str">
        <f t="shared" ref="F3891:G3891" si="11850">F3890</f>
        <v>fresh water</v>
      </c>
      <c r="G3891" s="401" t="str">
        <f t="shared" si="11850"/>
        <v>DE: PLA(-blend) fiber 1-10 mm (emission to fresh water)</v>
      </c>
      <c r="H3891" s="465">
        <v>0</v>
      </c>
      <c r="I3891" s="394" t="s">
        <v>1174</v>
      </c>
      <c r="J3891" s="635"/>
      <c r="K3891" s="389">
        <v>0</v>
      </c>
      <c r="L3891" s="536"/>
      <c r="M3891" s="509">
        <f t="shared" si="11710"/>
        <v>1000</v>
      </c>
      <c r="N3891" s="646"/>
      <c r="O3891" s="626"/>
      <c r="P3891" s="629"/>
      <c r="Q3891" s="629"/>
    </row>
    <row r="3892" spans="1:17">
      <c r="A3892" s="381" t="str">
        <f t="shared" ref="A3892:B3892" si="11851">A3889</f>
        <v>PLA(-blend)</v>
      </c>
      <c r="B3892" s="391" t="str">
        <f t="shared" si="11851"/>
        <v>fiber</v>
      </c>
      <c r="C3892" s="391">
        <f t="shared" ref="C3892" si="11852">C3891</f>
        <v>4</v>
      </c>
      <c r="D3892" s="391" t="str">
        <f t="shared" ref="D3892:E3892" si="11853">D3889</f>
        <v>1-10</v>
      </c>
      <c r="E3892" s="391">
        <f t="shared" si="11853"/>
        <v>10</v>
      </c>
      <c r="F3892" s="391" t="str">
        <f t="shared" ref="F3892:G3892" si="11854">F3891</f>
        <v>fresh water</v>
      </c>
      <c r="G3892" s="401" t="str">
        <f t="shared" si="11854"/>
        <v>DE: PLA(-blend) fiber 1-10 mm (emission to fresh water)</v>
      </c>
      <c r="H3892" s="465">
        <v>0.89</v>
      </c>
      <c r="I3892" s="394" t="s">
        <v>1143</v>
      </c>
      <c r="J3892" s="635"/>
      <c r="K3892" s="389">
        <v>1.1262857142862617E-3</v>
      </c>
      <c r="L3892" s="536"/>
      <c r="M3892" s="509">
        <f t="shared" si="11710"/>
        <v>1000</v>
      </c>
      <c r="N3892" s="646"/>
      <c r="O3892" s="626"/>
      <c r="P3892" s="629"/>
      <c r="Q3892" s="629"/>
    </row>
    <row r="3893" spans="1:17">
      <c r="A3893" s="381" t="str">
        <f t="shared" ref="A3893:B3893" si="11855">A3890</f>
        <v>PLA(-blend)</v>
      </c>
      <c r="B3893" s="391" t="str">
        <f t="shared" si="11855"/>
        <v>fiber</v>
      </c>
      <c r="C3893" s="391">
        <f t="shared" ref="C3893" si="11856">C3892</f>
        <v>4</v>
      </c>
      <c r="D3893" s="391" t="str">
        <f t="shared" ref="D3893:E3893" si="11857">D3890</f>
        <v>1-10</v>
      </c>
      <c r="E3893" s="391">
        <f t="shared" si="11857"/>
        <v>10</v>
      </c>
      <c r="F3893" s="391" t="str">
        <f t="shared" ref="F3893:G3893" si="11858">F3892</f>
        <v>fresh water</v>
      </c>
      <c r="G3893" s="401" t="str">
        <f t="shared" si="11858"/>
        <v>DE: PLA(-blend) fiber 1-10 mm (emission to fresh water)</v>
      </c>
      <c r="H3893" s="465">
        <v>0.11</v>
      </c>
      <c r="I3893" s="394" t="s">
        <v>1163</v>
      </c>
      <c r="J3893" s="635"/>
      <c r="K3893" s="389">
        <v>1.1262857142862617E-3</v>
      </c>
      <c r="L3893" s="536"/>
      <c r="M3893" s="509">
        <f t="shared" si="11710"/>
        <v>1000</v>
      </c>
      <c r="N3893" s="646"/>
      <c r="O3893" s="626"/>
      <c r="P3893" s="629"/>
      <c r="Q3893" s="629"/>
    </row>
    <row r="3894" spans="1:17">
      <c r="A3894" s="381" t="str">
        <f t="shared" ref="A3894:B3894" si="11859">A3891</f>
        <v>PLA(-blend)</v>
      </c>
      <c r="B3894" s="391" t="str">
        <f t="shared" si="11859"/>
        <v>fiber</v>
      </c>
      <c r="C3894" s="391">
        <f t="shared" ref="C3894" si="11860">C3893</f>
        <v>4</v>
      </c>
      <c r="D3894" s="391" t="str">
        <f t="shared" ref="D3894:E3894" si="11861">D3891</f>
        <v>1-10</v>
      </c>
      <c r="E3894" s="391">
        <f t="shared" si="11861"/>
        <v>10</v>
      </c>
      <c r="F3894" s="402" t="str">
        <f>F3891</f>
        <v>fresh water</v>
      </c>
      <c r="G3894" s="401" t="str">
        <f t="shared" ref="G3894" si="11862">G3893</f>
        <v>DE: PLA(-blend) fiber 1-10 mm (emission to fresh water)</v>
      </c>
      <c r="H3894" s="465">
        <v>0</v>
      </c>
      <c r="I3894" s="397" t="s">
        <v>1034</v>
      </c>
      <c r="J3894" s="654"/>
      <c r="K3894" s="398" t="s">
        <v>596</v>
      </c>
      <c r="L3894" s="538"/>
      <c r="M3894" s="509">
        <f t="shared" si="11710"/>
        <v>0</v>
      </c>
      <c r="N3894" s="647"/>
      <c r="O3894" s="627"/>
      <c r="P3894" s="629"/>
      <c r="Q3894" s="629"/>
    </row>
    <row r="3895" spans="1:17">
      <c r="A3895" s="381" t="str">
        <f t="shared" ref="A3895:B3895" si="11863">A3892</f>
        <v>PLA(-blend)</v>
      </c>
      <c r="B3895" s="391" t="str">
        <f t="shared" si="11863"/>
        <v>fiber</v>
      </c>
      <c r="C3895" s="391">
        <f t="shared" ref="C3895" si="11864">C3894</f>
        <v>4</v>
      </c>
      <c r="D3895" s="391" t="str">
        <f t="shared" ref="D3895:E3895" si="11865">D3892</f>
        <v>1-10</v>
      </c>
      <c r="E3895" s="391">
        <f t="shared" si="11865"/>
        <v>10</v>
      </c>
      <c r="F3895" s="385" t="s">
        <v>1097</v>
      </c>
      <c r="G3895" s="422" t="str">
        <f>CONCATENATE("DE: ",A3895," ",B3895," ",D3895," mm (emission to ",F3895,")")</f>
        <v>DE: PLA(-blend) fiber 1-10 mm (emission to marine water)</v>
      </c>
      <c r="H3895" s="467">
        <v>0</v>
      </c>
      <c r="I3895" s="388" t="s">
        <v>1019</v>
      </c>
      <c r="J3895" s="634">
        <v>0.22800000000000001</v>
      </c>
      <c r="K3895" s="389">
        <v>78.694724300850595</v>
      </c>
      <c r="L3895" s="536"/>
      <c r="M3895" s="509">
        <f t="shared" si="11710"/>
        <v>31.768330370438544</v>
      </c>
      <c r="N3895" s="645">
        <f t="shared" si="11774"/>
        <v>1000</v>
      </c>
      <c r="O3895" s="625"/>
      <c r="P3895" s="628">
        <f t="shared" si="11846"/>
        <v>100</v>
      </c>
      <c r="Q3895" s="628">
        <f t="shared" si="11737"/>
        <v>500</v>
      </c>
    </row>
    <row r="3896" spans="1:17">
      <c r="A3896" s="381" t="str">
        <f t="shared" ref="A3896:B3896" si="11866">A3893</f>
        <v>PLA(-blend)</v>
      </c>
      <c r="B3896" s="391" t="str">
        <f t="shared" si="11866"/>
        <v>fiber</v>
      </c>
      <c r="C3896" s="391">
        <f t="shared" ref="C3896" si="11867">C3895</f>
        <v>4</v>
      </c>
      <c r="D3896" s="391" t="str">
        <f t="shared" ref="D3896:E3896" si="11868">D3893</f>
        <v>1-10</v>
      </c>
      <c r="E3896" s="391">
        <f t="shared" si="11868"/>
        <v>10</v>
      </c>
      <c r="F3896" s="391" t="str">
        <f t="shared" ref="F3896:G3896" si="11869">F3895</f>
        <v>marine water</v>
      </c>
      <c r="G3896" s="401" t="str">
        <f t="shared" si="11869"/>
        <v>DE: PLA(-blend) fiber 1-10 mm (emission to marine water)</v>
      </c>
      <c r="H3896" s="465">
        <v>0</v>
      </c>
      <c r="I3896" s="394" t="s">
        <v>1174</v>
      </c>
      <c r="J3896" s="635"/>
      <c r="K3896" s="389">
        <v>0</v>
      </c>
      <c r="L3896" s="536"/>
      <c r="M3896" s="509">
        <f t="shared" si="11710"/>
        <v>1000</v>
      </c>
      <c r="N3896" s="646"/>
      <c r="O3896" s="626"/>
      <c r="P3896" s="629"/>
      <c r="Q3896" s="629"/>
    </row>
    <row r="3897" spans="1:17">
      <c r="A3897" s="381" t="str">
        <f t="shared" ref="A3897:B3897" si="11870">A3894</f>
        <v>PLA(-blend)</v>
      </c>
      <c r="B3897" s="391" t="str">
        <f t="shared" si="11870"/>
        <v>fiber</v>
      </c>
      <c r="C3897" s="391">
        <f t="shared" ref="C3897" si="11871">C3896</f>
        <v>4</v>
      </c>
      <c r="D3897" s="391" t="str">
        <f t="shared" ref="D3897:E3897" si="11872">D3894</f>
        <v>1-10</v>
      </c>
      <c r="E3897" s="391">
        <f t="shared" si="11872"/>
        <v>10</v>
      </c>
      <c r="F3897" s="391" t="str">
        <f t="shared" ref="F3897:G3897" si="11873">F3896</f>
        <v>marine water</v>
      </c>
      <c r="G3897" s="401" t="str">
        <f t="shared" si="11873"/>
        <v>DE: PLA(-blend) fiber 1-10 mm (emission to marine water)</v>
      </c>
      <c r="H3897" s="465">
        <v>0</v>
      </c>
      <c r="I3897" s="394" t="s">
        <v>1143</v>
      </c>
      <c r="J3897" s="635"/>
      <c r="K3897" s="389">
        <v>1.1262857142862617E-3</v>
      </c>
      <c r="L3897" s="536"/>
      <c r="M3897" s="509">
        <f t="shared" si="11710"/>
        <v>1000</v>
      </c>
      <c r="N3897" s="646"/>
      <c r="O3897" s="626"/>
      <c r="P3897" s="629"/>
      <c r="Q3897" s="629"/>
    </row>
    <row r="3898" spans="1:17">
      <c r="A3898" s="381" t="str">
        <f t="shared" ref="A3898:B3898" si="11874">A3895</f>
        <v>PLA(-blend)</v>
      </c>
      <c r="B3898" s="391" t="str">
        <f t="shared" si="11874"/>
        <v>fiber</v>
      </c>
      <c r="C3898" s="391">
        <f t="shared" ref="C3898" si="11875">C3897</f>
        <v>4</v>
      </c>
      <c r="D3898" s="391" t="str">
        <f t="shared" ref="D3898:E3898" si="11876">D3895</f>
        <v>1-10</v>
      </c>
      <c r="E3898" s="391">
        <f t="shared" si="11876"/>
        <v>10</v>
      </c>
      <c r="F3898" s="391" t="str">
        <f t="shared" ref="F3898:G3898" si="11877">F3897</f>
        <v>marine water</v>
      </c>
      <c r="G3898" s="401" t="str">
        <f t="shared" si="11877"/>
        <v>DE: PLA(-blend) fiber 1-10 mm (emission to marine water)</v>
      </c>
      <c r="H3898" s="465">
        <v>1</v>
      </c>
      <c r="I3898" s="394" t="s">
        <v>1163</v>
      </c>
      <c r="J3898" s="635"/>
      <c r="K3898" s="389">
        <v>1.1262857142862617E-3</v>
      </c>
      <c r="L3898" s="536"/>
      <c r="M3898" s="509">
        <f t="shared" si="11710"/>
        <v>1000</v>
      </c>
      <c r="N3898" s="646"/>
      <c r="O3898" s="626"/>
      <c r="P3898" s="629"/>
      <c r="Q3898" s="629"/>
    </row>
    <row r="3899" spans="1:17">
      <c r="A3899" s="381" t="str">
        <f t="shared" ref="A3899:B3899" si="11878">A3896</f>
        <v>PLA(-blend)</v>
      </c>
      <c r="B3899" s="391" t="str">
        <f t="shared" si="11878"/>
        <v>fiber</v>
      </c>
      <c r="C3899" s="391">
        <f t="shared" ref="C3899" si="11879">C3898</f>
        <v>4</v>
      </c>
      <c r="D3899" s="391" t="str">
        <f t="shared" ref="D3899:E3899" si="11880">D3896</f>
        <v>1-10</v>
      </c>
      <c r="E3899" s="391">
        <f t="shared" si="11880"/>
        <v>10</v>
      </c>
      <c r="F3899" s="391" t="str">
        <f t="shared" ref="F3899:G3899" si="11881">F3898</f>
        <v>marine water</v>
      </c>
      <c r="G3899" s="401" t="str">
        <f t="shared" si="11881"/>
        <v>DE: PLA(-blend) fiber 1-10 mm (emission to marine water)</v>
      </c>
      <c r="H3899" s="465">
        <v>0</v>
      </c>
      <c r="I3899" s="397" t="s">
        <v>1034</v>
      </c>
      <c r="J3899" s="654"/>
      <c r="K3899" s="398" t="s">
        <v>596</v>
      </c>
      <c r="L3899" s="538"/>
      <c r="M3899" s="509">
        <f t="shared" si="11710"/>
        <v>0</v>
      </c>
      <c r="N3899" s="647"/>
      <c r="O3899" s="627"/>
      <c r="P3899" s="629"/>
      <c r="Q3899" s="629"/>
    </row>
    <row r="3900" spans="1:17">
      <c r="A3900" s="381" t="str">
        <f t="shared" ref="A3900:B3900" si="11882">A3897</f>
        <v>PLA(-blend)</v>
      </c>
      <c r="B3900" s="391" t="str">
        <f t="shared" si="11882"/>
        <v>fiber</v>
      </c>
      <c r="C3900" s="391">
        <f t="shared" ref="C3900" si="11883">C3899</f>
        <v>4</v>
      </c>
      <c r="D3900" s="391" t="str">
        <f t="shared" ref="D3900:E3900" si="11884">D3897</f>
        <v>1-10</v>
      </c>
      <c r="E3900" s="391">
        <f t="shared" si="11884"/>
        <v>10</v>
      </c>
      <c r="F3900" s="400" t="s">
        <v>1057</v>
      </c>
      <c r="G3900" s="422" t="str">
        <f>CONCATENATE("DE: ",A3900," ",B3900," ",D3900," mm (emission to ",F3900,")")</f>
        <v>DE: PLA(-blend) fiber 1-10 mm (emission to air)</v>
      </c>
      <c r="H3900" s="467">
        <v>0.94799999999999995</v>
      </c>
      <c r="I3900" s="388" t="s">
        <v>1019</v>
      </c>
      <c r="J3900" s="634">
        <v>0.22800000000000001</v>
      </c>
      <c r="K3900" s="389">
        <v>78.694724300850595</v>
      </c>
      <c r="L3900" s="536"/>
      <c r="M3900" s="509">
        <f t="shared" si="11710"/>
        <v>31.768330370438544</v>
      </c>
      <c r="N3900" s="645">
        <f t="shared" si="11774"/>
        <v>82.116377191175744</v>
      </c>
      <c r="O3900" s="625"/>
      <c r="P3900" s="628">
        <f t="shared" si="11846"/>
        <v>82.116377191175744</v>
      </c>
      <c r="Q3900" s="628">
        <f t="shared" si="11737"/>
        <v>82.116377191175744</v>
      </c>
    </row>
    <row r="3901" spans="1:17">
      <c r="A3901" s="381" t="str">
        <f t="shared" ref="A3901:B3901" si="11885">A3898</f>
        <v>PLA(-blend)</v>
      </c>
      <c r="B3901" s="391" t="str">
        <f t="shared" si="11885"/>
        <v>fiber</v>
      </c>
      <c r="C3901" s="391">
        <f t="shared" ref="C3901" si="11886">C3900</f>
        <v>4</v>
      </c>
      <c r="D3901" s="391" t="str">
        <f t="shared" ref="D3901:E3901" si="11887">D3898</f>
        <v>1-10</v>
      </c>
      <c r="E3901" s="391">
        <f t="shared" si="11887"/>
        <v>10</v>
      </c>
      <c r="F3901" s="391" t="str">
        <f t="shared" ref="F3901:G3901" si="11888">F3900</f>
        <v>air</v>
      </c>
      <c r="G3901" s="401" t="str">
        <f t="shared" si="11888"/>
        <v>DE: PLA(-blend) fiber 1-10 mm (emission to air)</v>
      </c>
      <c r="H3901" s="465">
        <v>0</v>
      </c>
      <c r="I3901" s="394" t="s">
        <v>1174</v>
      </c>
      <c r="J3901" s="635"/>
      <c r="K3901" s="389">
        <v>0</v>
      </c>
      <c r="L3901" s="536"/>
      <c r="M3901" s="509">
        <f t="shared" si="11710"/>
        <v>1000</v>
      </c>
      <c r="N3901" s="646"/>
      <c r="O3901" s="626"/>
      <c r="P3901" s="629"/>
      <c r="Q3901" s="629"/>
    </row>
    <row r="3902" spans="1:17">
      <c r="A3902" s="381" t="str">
        <f t="shared" ref="A3902:B3902" si="11889">A3899</f>
        <v>PLA(-blend)</v>
      </c>
      <c r="B3902" s="391" t="str">
        <f t="shared" si="11889"/>
        <v>fiber</v>
      </c>
      <c r="C3902" s="391">
        <f t="shared" ref="C3902" si="11890">C3901</f>
        <v>4</v>
      </c>
      <c r="D3902" s="391" t="str">
        <f t="shared" ref="D3902:E3902" si="11891">D3899</f>
        <v>1-10</v>
      </c>
      <c r="E3902" s="391">
        <f t="shared" si="11891"/>
        <v>10</v>
      </c>
      <c r="F3902" s="391" t="str">
        <f t="shared" ref="F3902:G3902" si="11892">F3901</f>
        <v>air</v>
      </c>
      <c r="G3902" s="401" t="str">
        <f t="shared" si="11892"/>
        <v>DE: PLA(-blend) fiber 1-10 mm (emission to air)</v>
      </c>
      <c r="H3902" s="465">
        <v>4.7E-2</v>
      </c>
      <c r="I3902" s="394" t="s">
        <v>1143</v>
      </c>
      <c r="J3902" s="635"/>
      <c r="K3902" s="389">
        <v>1.1262857142862617E-3</v>
      </c>
      <c r="L3902" s="536"/>
      <c r="M3902" s="509">
        <f t="shared" si="11710"/>
        <v>1000</v>
      </c>
      <c r="N3902" s="646"/>
      <c r="O3902" s="626"/>
      <c r="P3902" s="629"/>
      <c r="Q3902" s="629"/>
    </row>
    <row r="3903" spans="1:17">
      <c r="A3903" s="381" t="str">
        <f t="shared" ref="A3903:B3903" si="11893">A3900</f>
        <v>PLA(-blend)</v>
      </c>
      <c r="B3903" s="391" t="str">
        <f t="shared" si="11893"/>
        <v>fiber</v>
      </c>
      <c r="C3903" s="391">
        <f t="shared" ref="C3903" si="11894">C3902</f>
        <v>4</v>
      </c>
      <c r="D3903" s="391" t="str">
        <f t="shared" ref="D3903:E3903" si="11895">D3900</f>
        <v>1-10</v>
      </c>
      <c r="E3903" s="391">
        <f t="shared" si="11895"/>
        <v>10</v>
      </c>
      <c r="F3903" s="391" t="str">
        <f t="shared" ref="F3903:G3903" si="11896">F3902</f>
        <v>air</v>
      </c>
      <c r="G3903" s="401" t="str">
        <f t="shared" si="11896"/>
        <v>DE: PLA(-blend) fiber 1-10 mm (emission to air)</v>
      </c>
      <c r="H3903" s="465">
        <v>5.0000000000000001E-3</v>
      </c>
      <c r="I3903" s="394" t="s">
        <v>1163</v>
      </c>
      <c r="J3903" s="635"/>
      <c r="K3903" s="389">
        <v>1.1262857142862617E-3</v>
      </c>
      <c r="L3903" s="536"/>
      <c r="M3903" s="509">
        <f t="shared" si="11710"/>
        <v>1000</v>
      </c>
      <c r="N3903" s="646"/>
      <c r="O3903" s="626"/>
      <c r="P3903" s="629"/>
      <c r="Q3903" s="629"/>
    </row>
    <row r="3904" spans="1:17" ht="15.75" thickBot="1">
      <c r="A3904" s="586" t="str">
        <f t="shared" ref="A3904:B3904" si="11897">A3899</f>
        <v>PLA(-blend)</v>
      </c>
      <c r="B3904" s="453" t="str">
        <f t="shared" si="11897"/>
        <v>fiber</v>
      </c>
      <c r="C3904" s="453">
        <f t="shared" ref="C3904" si="11898">C3903</f>
        <v>4</v>
      </c>
      <c r="D3904" s="453" t="str">
        <f t="shared" ref="D3904:E3904" si="11899">D3899</f>
        <v>1-10</v>
      </c>
      <c r="E3904" s="453">
        <f t="shared" si="11899"/>
        <v>10</v>
      </c>
      <c r="F3904" s="453" t="str">
        <f t="shared" ref="F3904:G3904" si="11900">F3903</f>
        <v>air</v>
      </c>
      <c r="G3904" s="454" t="str">
        <f t="shared" si="11900"/>
        <v>DE: PLA(-blend) fiber 1-10 mm (emission to air)</v>
      </c>
      <c r="H3904" s="473">
        <v>0</v>
      </c>
      <c r="I3904" s="479" t="s">
        <v>1034</v>
      </c>
      <c r="J3904" s="636"/>
      <c r="K3904" s="457" t="s">
        <v>596</v>
      </c>
      <c r="L3904" s="543"/>
      <c r="M3904" s="509">
        <f t="shared" si="11710"/>
        <v>0</v>
      </c>
      <c r="N3904" s="647"/>
      <c r="O3904" s="627"/>
      <c r="P3904" s="629"/>
      <c r="Q3904" s="629"/>
    </row>
    <row r="3905" spans="1:17" ht="15.75" hidden="1" thickBot="1">
      <c r="A3905" s="381" t="s">
        <v>1092</v>
      </c>
      <c r="B3905" s="382" t="s">
        <v>1152</v>
      </c>
      <c r="C3905" s="383">
        <v>6</v>
      </c>
      <c r="D3905" s="475" t="s">
        <v>1018</v>
      </c>
      <c r="E3905" s="384">
        <v>0.1</v>
      </c>
      <c r="F3905" s="385" t="s">
        <v>1019</v>
      </c>
      <c r="G3905" s="386" t="str">
        <f>CONCATENATE("DE: ",A3905," ",B3905," ",D3905," mm (emission to ",F3905,")")</f>
        <v>DE: PLA(-blend) particle 0,01-0,1 mm (emission to soil)</v>
      </c>
      <c r="H3905" s="466">
        <v>0.97</v>
      </c>
      <c r="I3905" s="388" t="s">
        <v>1019</v>
      </c>
      <c r="J3905" s="632">
        <v>0.22800000000000001</v>
      </c>
      <c r="K3905" s="389">
        <v>78.694724300850595</v>
      </c>
      <c r="L3905" s="536"/>
      <c r="M3905" s="509">
        <f t="shared" si="11710"/>
        <v>0.15884165185219271</v>
      </c>
      <c r="N3905" s="645">
        <f t="shared" si="11774"/>
        <v>30.154076402296628</v>
      </c>
      <c r="O3905" s="625"/>
      <c r="P3905" s="628">
        <f t="shared" si="11846"/>
        <v>30.154076402296628</v>
      </c>
      <c r="Q3905" s="628">
        <f t="shared" si="11737"/>
        <v>30.154076402296628</v>
      </c>
    </row>
    <row r="3906" spans="1:17" ht="15.75" hidden="1" thickBot="1">
      <c r="A3906" s="390" t="str">
        <f>A3905</f>
        <v>PLA(-blend)</v>
      </c>
      <c r="B3906" s="391" t="str">
        <f>B3905</f>
        <v>particle</v>
      </c>
      <c r="C3906" s="391">
        <f t="shared" ref="C3906:G3906" si="11901">C3905</f>
        <v>6</v>
      </c>
      <c r="D3906" s="391" t="str">
        <f t="shared" si="11901"/>
        <v>0,01-0,1</v>
      </c>
      <c r="E3906" s="391">
        <f t="shared" si="11901"/>
        <v>0.1</v>
      </c>
      <c r="F3906" s="391" t="str">
        <f t="shared" si="11901"/>
        <v>soil</v>
      </c>
      <c r="G3906" s="392" t="str">
        <f t="shared" si="11901"/>
        <v>DE: PLA(-blend) particle 0,01-0,1 mm (emission to soil)</v>
      </c>
      <c r="H3906" s="465">
        <v>0</v>
      </c>
      <c r="I3906" s="394" t="s">
        <v>1174</v>
      </c>
      <c r="J3906" s="632"/>
      <c r="K3906" s="395">
        <v>0</v>
      </c>
      <c r="L3906" s="537"/>
      <c r="M3906" s="509">
        <f t="shared" si="11710"/>
        <v>1000</v>
      </c>
      <c r="N3906" s="646"/>
      <c r="O3906" s="626"/>
      <c r="P3906" s="629"/>
      <c r="Q3906" s="629"/>
    </row>
    <row r="3907" spans="1:17" ht="15.75" hidden="1" thickBot="1">
      <c r="A3907" s="390" t="str">
        <f t="shared" ref="A3907:G3907" si="11902">A3906</f>
        <v>PLA(-blend)</v>
      </c>
      <c r="B3907" s="391" t="str">
        <f t="shared" si="11902"/>
        <v>particle</v>
      </c>
      <c r="C3907" s="391">
        <f t="shared" si="11902"/>
        <v>6</v>
      </c>
      <c r="D3907" s="391" t="str">
        <f t="shared" si="11902"/>
        <v>0,01-0,1</v>
      </c>
      <c r="E3907" s="391">
        <f t="shared" si="11902"/>
        <v>0.1</v>
      </c>
      <c r="F3907" s="391" t="str">
        <f t="shared" si="11902"/>
        <v>soil</v>
      </c>
      <c r="G3907" s="392" t="str">
        <f t="shared" si="11902"/>
        <v>DE: PLA(-blend) particle 0,01-0,1 mm (emission to soil)</v>
      </c>
      <c r="H3907" s="465">
        <v>2.7E-2</v>
      </c>
      <c r="I3907" s="394" t="s">
        <v>1143</v>
      </c>
      <c r="J3907" s="632"/>
      <c r="K3907" s="395">
        <v>1.1262857142862617E-3</v>
      </c>
      <c r="L3907" s="537"/>
      <c r="M3907" s="509">
        <f t="shared" si="11710"/>
        <v>1000</v>
      </c>
      <c r="N3907" s="646"/>
      <c r="O3907" s="626"/>
      <c r="P3907" s="629"/>
      <c r="Q3907" s="629"/>
    </row>
    <row r="3908" spans="1:17" ht="15.75" hidden="1" thickBot="1">
      <c r="A3908" s="390" t="str">
        <f t="shared" ref="A3908:G3908" si="11903">A3907</f>
        <v>PLA(-blend)</v>
      </c>
      <c r="B3908" s="391" t="str">
        <f t="shared" si="11903"/>
        <v>particle</v>
      </c>
      <c r="C3908" s="391">
        <f t="shared" si="11903"/>
        <v>6</v>
      </c>
      <c r="D3908" s="391" t="str">
        <f t="shared" si="11903"/>
        <v>0,01-0,1</v>
      </c>
      <c r="E3908" s="391">
        <f t="shared" si="11903"/>
        <v>0.1</v>
      </c>
      <c r="F3908" s="391" t="str">
        <f t="shared" si="11903"/>
        <v>soil</v>
      </c>
      <c r="G3908" s="392" t="str">
        <f t="shared" si="11903"/>
        <v>DE: PLA(-blend) particle 0,01-0,1 mm (emission to soil)</v>
      </c>
      <c r="H3908" s="465">
        <v>3.0000000000000001E-3</v>
      </c>
      <c r="I3908" s="394" t="s">
        <v>1163</v>
      </c>
      <c r="J3908" s="632"/>
      <c r="K3908" s="395">
        <v>1.1262857142862617E-3</v>
      </c>
      <c r="L3908" s="537"/>
      <c r="M3908" s="509">
        <f t="shared" si="11710"/>
        <v>1000</v>
      </c>
      <c r="N3908" s="646"/>
      <c r="O3908" s="626"/>
      <c r="P3908" s="629"/>
      <c r="Q3908" s="629"/>
    </row>
    <row r="3909" spans="1:17" ht="15.75" hidden="1" thickBot="1">
      <c r="A3909" s="390" t="str">
        <f>A3906</f>
        <v>PLA(-blend)</v>
      </c>
      <c r="B3909" s="391" t="str">
        <f>B3906</f>
        <v>particle</v>
      </c>
      <c r="C3909" s="391">
        <f t="shared" ref="C3909" si="11904">C3908</f>
        <v>6</v>
      </c>
      <c r="D3909" s="391" t="str">
        <f>D3906</f>
        <v>0,01-0,1</v>
      </c>
      <c r="E3909" s="391">
        <f>E3906</f>
        <v>0.1</v>
      </c>
      <c r="F3909" s="391" t="str">
        <f>F3906</f>
        <v>soil</v>
      </c>
      <c r="G3909" s="396" t="str">
        <f t="shared" ref="G3909" si="11905">G3908</f>
        <v>DE: PLA(-blend) particle 0,01-0,1 mm (emission to soil)</v>
      </c>
      <c r="H3909" s="465">
        <v>0</v>
      </c>
      <c r="I3909" s="397" t="s">
        <v>1034</v>
      </c>
      <c r="J3909" s="633"/>
      <c r="K3909" s="398" t="s">
        <v>596</v>
      </c>
      <c r="L3909" s="538"/>
      <c r="M3909" s="509">
        <f t="shared" si="11710"/>
        <v>0</v>
      </c>
      <c r="N3909" s="647"/>
      <c r="O3909" s="627"/>
      <c r="P3909" s="629"/>
      <c r="Q3909" s="629"/>
    </row>
    <row r="3910" spans="1:17" ht="15.75" hidden="1" thickBot="1">
      <c r="A3910" s="390" t="str">
        <f t="shared" ref="A3910:B3910" si="11906">A3907</f>
        <v>PLA(-blend)</v>
      </c>
      <c r="B3910" s="391" t="str">
        <f t="shared" si="11906"/>
        <v>particle</v>
      </c>
      <c r="C3910" s="391">
        <f t="shared" ref="C3910" si="11907">C3909</f>
        <v>6</v>
      </c>
      <c r="D3910" s="399" t="str">
        <f t="shared" ref="D3910:E3910" si="11908">D3907</f>
        <v>0,01-0,1</v>
      </c>
      <c r="E3910" s="391">
        <f t="shared" si="11908"/>
        <v>0.1</v>
      </c>
      <c r="F3910" s="400" t="s">
        <v>1147</v>
      </c>
      <c r="G3910" s="386" t="str">
        <f>CONCATENATE("DE: ",A3910," ",B3910," ",D3910," mm (emission to ",F3910,")")</f>
        <v>DE: PLA(-blend) particle 0,01-0,1 mm (emission to fresh water)</v>
      </c>
      <c r="H3910" s="466">
        <v>0</v>
      </c>
      <c r="I3910" s="388" t="s">
        <v>1019</v>
      </c>
      <c r="J3910" s="634">
        <v>0.22800000000000001</v>
      </c>
      <c r="K3910" s="389">
        <v>78.694724300850595</v>
      </c>
      <c r="L3910" s="536"/>
      <c r="M3910" s="509">
        <f t="shared" ref="M3910:M3973" si="11909">IFERROR(IF(K3910="--",0,IF(E3910*1000/K3910*(1-0.5)^(C3910/2)&gt;1000,1000,E3910*1000/K3910*(1-0.5)^(C3910/2))),1000)</f>
        <v>0.15884165185219271</v>
      </c>
      <c r="N3910" s="645">
        <f t="shared" si="11774"/>
        <v>1000</v>
      </c>
      <c r="O3910" s="625"/>
      <c r="P3910" s="628">
        <f t="shared" si="11846"/>
        <v>100</v>
      </c>
      <c r="Q3910" s="628">
        <f t="shared" si="11737"/>
        <v>500</v>
      </c>
    </row>
    <row r="3911" spans="1:17" ht="15.75" hidden="1" thickBot="1">
      <c r="A3911" s="390" t="str">
        <f t="shared" ref="A3911:B3911" si="11910">A3908</f>
        <v>PLA(-blend)</v>
      </c>
      <c r="B3911" s="391" t="str">
        <f t="shared" si="11910"/>
        <v>particle</v>
      </c>
      <c r="C3911" s="391">
        <f t="shared" ref="C3911" si="11911">C3910</f>
        <v>6</v>
      </c>
      <c r="D3911" s="391" t="str">
        <f t="shared" ref="D3911:E3911" si="11912">D3908</f>
        <v>0,01-0,1</v>
      </c>
      <c r="E3911" s="391">
        <f t="shared" si="11912"/>
        <v>0.1</v>
      </c>
      <c r="F3911" s="391" t="str">
        <f t="shared" ref="F3911:G3911" si="11913">F3910</f>
        <v>fresh water</v>
      </c>
      <c r="G3911" s="401" t="str">
        <f t="shared" si="11913"/>
        <v>DE: PLA(-blend) particle 0,01-0,1 mm (emission to fresh water)</v>
      </c>
      <c r="H3911" s="465">
        <v>0</v>
      </c>
      <c r="I3911" s="394" t="s">
        <v>1174</v>
      </c>
      <c r="J3911" s="635"/>
      <c r="K3911" s="389">
        <v>0</v>
      </c>
      <c r="L3911" s="536"/>
      <c r="M3911" s="509">
        <f t="shared" si="11909"/>
        <v>1000</v>
      </c>
      <c r="N3911" s="646"/>
      <c r="O3911" s="626"/>
      <c r="P3911" s="629"/>
      <c r="Q3911" s="629"/>
    </row>
    <row r="3912" spans="1:17" ht="15.75" hidden="1" thickBot="1">
      <c r="A3912" s="390" t="str">
        <f t="shared" ref="A3912:B3912" si="11914">A3909</f>
        <v>PLA(-blend)</v>
      </c>
      <c r="B3912" s="391" t="str">
        <f t="shared" si="11914"/>
        <v>particle</v>
      </c>
      <c r="C3912" s="391">
        <f t="shared" ref="C3912" si="11915">C3911</f>
        <v>6</v>
      </c>
      <c r="D3912" s="391" t="str">
        <f t="shared" ref="D3912:E3912" si="11916">D3909</f>
        <v>0,01-0,1</v>
      </c>
      <c r="E3912" s="391">
        <f t="shared" si="11916"/>
        <v>0.1</v>
      </c>
      <c r="F3912" s="391" t="str">
        <f t="shared" ref="F3912:G3912" si="11917">F3911</f>
        <v>fresh water</v>
      </c>
      <c r="G3912" s="401" t="str">
        <f t="shared" si="11917"/>
        <v>DE: PLA(-blend) particle 0,01-0,1 mm (emission to fresh water)</v>
      </c>
      <c r="H3912" s="465">
        <v>0.89</v>
      </c>
      <c r="I3912" s="394" t="s">
        <v>1143</v>
      </c>
      <c r="J3912" s="635"/>
      <c r="K3912" s="389">
        <v>1.1262857142862617E-3</v>
      </c>
      <c r="L3912" s="536"/>
      <c r="M3912" s="509">
        <f t="shared" si="11909"/>
        <v>1000</v>
      </c>
      <c r="N3912" s="646"/>
      <c r="O3912" s="626"/>
      <c r="P3912" s="629"/>
      <c r="Q3912" s="629"/>
    </row>
    <row r="3913" spans="1:17" ht="15.75" hidden="1" thickBot="1">
      <c r="A3913" s="390" t="str">
        <f t="shared" ref="A3913:B3913" si="11918">A3910</f>
        <v>PLA(-blend)</v>
      </c>
      <c r="B3913" s="391" t="str">
        <f t="shared" si="11918"/>
        <v>particle</v>
      </c>
      <c r="C3913" s="391">
        <f t="shared" ref="C3913" si="11919">C3912</f>
        <v>6</v>
      </c>
      <c r="D3913" s="391" t="str">
        <f t="shared" ref="D3913:E3913" si="11920">D3910</f>
        <v>0,01-0,1</v>
      </c>
      <c r="E3913" s="391">
        <f t="shared" si="11920"/>
        <v>0.1</v>
      </c>
      <c r="F3913" s="391" t="str">
        <f t="shared" ref="F3913:G3913" si="11921">F3912</f>
        <v>fresh water</v>
      </c>
      <c r="G3913" s="401" t="str">
        <f t="shared" si="11921"/>
        <v>DE: PLA(-blend) particle 0,01-0,1 mm (emission to fresh water)</v>
      </c>
      <c r="H3913" s="465">
        <v>0.11</v>
      </c>
      <c r="I3913" s="394" t="s">
        <v>1163</v>
      </c>
      <c r="J3913" s="635"/>
      <c r="K3913" s="389">
        <v>1.1262857142862617E-3</v>
      </c>
      <c r="L3913" s="536"/>
      <c r="M3913" s="509">
        <f t="shared" si="11909"/>
        <v>1000</v>
      </c>
      <c r="N3913" s="646"/>
      <c r="O3913" s="626"/>
      <c r="P3913" s="629"/>
      <c r="Q3913" s="629"/>
    </row>
    <row r="3914" spans="1:17" ht="15.75" hidden="1" thickBot="1">
      <c r="A3914" s="390" t="str">
        <f t="shared" ref="A3914:B3914" si="11922">A3911</f>
        <v>PLA(-blend)</v>
      </c>
      <c r="B3914" s="391" t="str">
        <f t="shared" si="11922"/>
        <v>particle</v>
      </c>
      <c r="C3914" s="391">
        <f t="shared" ref="C3914" si="11923">C3913</f>
        <v>6</v>
      </c>
      <c r="D3914" s="391" t="str">
        <f t="shared" ref="D3914:E3914" si="11924">D3911</f>
        <v>0,01-0,1</v>
      </c>
      <c r="E3914" s="391">
        <f t="shared" si="11924"/>
        <v>0.1</v>
      </c>
      <c r="F3914" s="402" t="str">
        <f>F3911</f>
        <v>fresh water</v>
      </c>
      <c r="G3914" s="401" t="str">
        <f t="shared" ref="G3914" si="11925">G3913</f>
        <v>DE: PLA(-blend) particle 0,01-0,1 mm (emission to fresh water)</v>
      </c>
      <c r="H3914" s="465">
        <v>0</v>
      </c>
      <c r="I3914" s="397" t="s">
        <v>1034</v>
      </c>
      <c r="J3914" s="654"/>
      <c r="K3914" s="398" t="s">
        <v>596</v>
      </c>
      <c r="L3914" s="538"/>
      <c r="M3914" s="509">
        <f t="shared" si="11909"/>
        <v>0</v>
      </c>
      <c r="N3914" s="647"/>
      <c r="O3914" s="627"/>
      <c r="P3914" s="629"/>
      <c r="Q3914" s="629"/>
    </row>
    <row r="3915" spans="1:17" ht="15.75" hidden="1" thickBot="1">
      <c r="A3915" s="390" t="str">
        <f t="shared" ref="A3915:B3915" si="11926">A3912</f>
        <v>PLA(-blend)</v>
      </c>
      <c r="B3915" s="391" t="str">
        <f t="shared" si="11926"/>
        <v>particle</v>
      </c>
      <c r="C3915" s="391">
        <f t="shared" ref="C3915" si="11927">C3914</f>
        <v>6</v>
      </c>
      <c r="D3915" s="391" t="str">
        <f t="shared" ref="D3915:E3915" si="11928">D3912</f>
        <v>0,01-0,1</v>
      </c>
      <c r="E3915" s="391">
        <f t="shared" si="11928"/>
        <v>0.1</v>
      </c>
      <c r="F3915" s="385" t="s">
        <v>1097</v>
      </c>
      <c r="G3915" s="422" t="str">
        <f>CONCATENATE("DE: ",A3915," ",B3915," ",D3915," mm (emission to ",F3915,")")</f>
        <v>DE: PLA(-blend) particle 0,01-0,1 mm (emission to marine water)</v>
      </c>
      <c r="H3915" s="467">
        <v>0</v>
      </c>
      <c r="I3915" s="388" t="s">
        <v>1019</v>
      </c>
      <c r="J3915" s="634">
        <v>0.22800000000000001</v>
      </c>
      <c r="K3915" s="389">
        <v>78.694724300850595</v>
      </c>
      <c r="L3915" s="536"/>
      <c r="M3915" s="509">
        <f t="shared" si="11909"/>
        <v>0.15884165185219271</v>
      </c>
      <c r="N3915" s="645">
        <f t="shared" si="11774"/>
        <v>1000</v>
      </c>
      <c r="O3915" s="625"/>
      <c r="P3915" s="628">
        <f t="shared" si="11846"/>
        <v>100</v>
      </c>
      <c r="Q3915" s="628">
        <f t="shared" si="11737"/>
        <v>500</v>
      </c>
    </row>
    <row r="3916" spans="1:17" ht="15.75" hidden="1" thickBot="1">
      <c r="A3916" s="390" t="str">
        <f t="shared" ref="A3916:B3916" si="11929">A3913</f>
        <v>PLA(-blend)</v>
      </c>
      <c r="B3916" s="391" t="str">
        <f t="shared" si="11929"/>
        <v>particle</v>
      </c>
      <c r="C3916" s="391">
        <f t="shared" ref="C3916" si="11930">C3915</f>
        <v>6</v>
      </c>
      <c r="D3916" s="391" t="str">
        <f t="shared" ref="D3916:E3916" si="11931">D3913</f>
        <v>0,01-0,1</v>
      </c>
      <c r="E3916" s="391">
        <f t="shared" si="11931"/>
        <v>0.1</v>
      </c>
      <c r="F3916" s="391" t="str">
        <f t="shared" ref="F3916:G3916" si="11932">F3915</f>
        <v>marine water</v>
      </c>
      <c r="G3916" s="401" t="str">
        <f t="shared" si="11932"/>
        <v>DE: PLA(-blend) particle 0,01-0,1 mm (emission to marine water)</v>
      </c>
      <c r="H3916" s="465">
        <v>0</v>
      </c>
      <c r="I3916" s="394" t="s">
        <v>1174</v>
      </c>
      <c r="J3916" s="635"/>
      <c r="K3916" s="389">
        <v>0</v>
      </c>
      <c r="L3916" s="536"/>
      <c r="M3916" s="509">
        <f t="shared" si="11909"/>
        <v>1000</v>
      </c>
      <c r="N3916" s="646"/>
      <c r="O3916" s="626"/>
      <c r="P3916" s="629"/>
      <c r="Q3916" s="629"/>
    </row>
    <row r="3917" spans="1:17" ht="15.75" hidden="1" thickBot="1">
      <c r="A3917" s="390" t="str">
        <f t="shared" ref="A3917:B3917" si="11933">A3914</f>
        <v>PLA(-blend)</v>
      </c>
      <c r="B3917" s="391" t="str">
        <f t="shared" si="11933"/>
        <v>particle</v>
      </c>
      <c r="C3917" s="391">
        <f t="shared" ref="C3917" si="11934">C3916</f>
        <v>6</v>
      </c>
      <c r="D3917" s="391" t="str">
        <f t="shared" ref="D3917:E3917" si="11935">D3914</f>
        <v>0,01-0,1</v>
      </c>
      <c r="E3917" s="391">
        <f t="shared" si="11935"/>
        <v>0.1</v>
      </c>
      <c r="F3917" s="391" t="str">
        <f t="shared" ref="F3917:G3917" si="11936">F3916</f>
        <v>marine water</v>
      </c>
      <c r="G3917" s="401" t="str">
        <f t="shared" si="11936"/>
        <v>DE: PLA(-blend) particle 0,01-0,1 mm (emission to marine water)</v>
      </c>
      <c r="H3917" s="465">
        <v>0</v>
      </c>
      <c r="I3917" s="394" t="s">
        <v>1143</v>
      </c>
      <c r="J3917" s="635"/>
      <c r="K3917" s="389">
        <v>1.1262857142862617E-3</v>
      </c>
      <c r="L3917" s="536"/>
      <c r="M3917" s="509">
        <f t="shared" si="11909"/>
        <v>1000</v>
      </c>
      <c r="N3917" s="646"/>
      <c r="O3917" s="626"/>
      <c r="P3917" s="629"/>
      <c r="Q3917" s="629"/>
    </row>
    <row r="3918" spans="1:17" ht="15.75" hidden="1" thickBot="1">
      <c r="A3918" s="390" t="str">
        <f t="shared" ref="A3918:B3918" si="11937">A3915</f>
        <v>PLA(-blend)</v>
      </c>
      <c r="B3918" s="391" t="str">
        <f t="shared" si="11937"/>
        <v>particle</v>
      </c>
      <c r="C3918" s="391">
        <f t="shared" ref="C3918" si="11938">C3917</f>
        <v>6</v>
      </c>
      <c r="D3918" s="391" t="str">
        <f t="shared" ref="D3918:E3918" si="11939">D3915</f>
        <v>0,01-0,1</v>
      </c>
      <c r="E3918" s="391">
        <f t="shared" si="11939"/>
        <v>0.1</v>
      </c>
      <c r="F3918" s="391" t="str">
        <f t="shared" ref="F3918:G3918" si="11940">F3917</f>
        <v>marine water</v>
      </c>
      <c r="G3918" s="401" t="str">
        <f t="shared" si="11940"/>
        <v>DE: PLA(-blend) particle 0,01-0,1 mm (emission to marine water)</v>
      </c>
      <c r="H3918" s="465">
        <v>1</v>
      </c>
      <c r="I3918" s="394" t="s">
        <v>1163</v>
      </c>
      <c r="J3918" s="635"/>
      <c r="K3918" s="389">
        <v>1.1262857142862617E-3</v>
      </c>
      <c r="L3918" s="536"/>
      <c r="M3918" s="509">
        <f t="shared" si="11909"/>
        <v>1000</v>
      </c>
      <c r="N3918" s="646"/>
      <c r="O3918" s="626"/>
      <c r="P3918" s="629"/>
      <c r="Q3918" s="629"/>
    </row>
    <row r="3919" spans="1:17" ht="15.75" hidden="1" thickBot="1">
      <c r="A3919" s="390" t="str">
        <f t="shared" ref="A3919:B3919" si="11941">A3916</f>
        <v>PLA(-blend)</v>
      </c>
      <c r="B3919" s="391" t="str">
        <f t="shared" si="11941"/>
        <v>particle</v>
      </c>
      <c r="C3919" s="391">
        <f t="shared" ref="C3919" si="11942">C3918</f>
        <v>6</v>
      </c>
      <c r="D3919" s="391" t="str">
        <f t="shared" ref="D3919:E3919" si="11943">D3916</f>
        <v>0,01-0,1</v>
      </c>
      <c r="E3919" s="391">
        <f t="shared" si="11943"/>
        <v>0.1</v>
      </c>
      <c r="F3919" s="391" t="str">
        <f t="shared" ref="F3919:G3919" si="11944">F3918</f>
        <v>marine water</v>
      </c>
      <c r="G3919" s="401" t="str">
        <f t="shared" si="11944"/>
        <v>DE: PLA(-blend) particle 0,01-0,1 mm (emission to marine water)</v>
      </c>
      <c r="H3919" s="465">
        <v>0</v>
      </c>
      <c r="I3919" s="397" t="s">
        <v>1034</v>
      </c>
      <c r="J3919" s="654"/>
      <c r="K3919" s="398" t="s">
        <v>596</v>
      </c>
      <c r="L3919" s="538"/>
      <c r="M3919" s="509">
        <f t="shared" si="11909"/>
        <v>0</v>
      </c>
      <c r="N3919" s="647"/>
      <c r="O3919" s="627"/>
      <c r="P3919" s="629"/>
      <c r="Q3919" s="629"/>
    </row>
    <row r="3920" spans="1:17" ht="15.75" hidden="1" thickBot="1">
      <c r="A3920" s="390" t="str">
        <f t="shared" ref="A3920:B3920" si="11945">A3917</f>
        <v>PLA(-blend)</v>
      </c>
      <c r="B3920" s="391" t="str">
        <f t="shared" si="11945"/>
        <v>particle</v>
      </c>
      <c r="C3920" s="391">
        <f t="shared" ref="C3920" si="11946">C3919</f>
        <v>6</v>
      </c>
      <c r="D3920" s="391" t="str">
        <f t="shared" ref="D3920:E3920" si="11947">D3917</f>
        <v>0,01-0,1</v>
      </c>
      <c r="E3920" s="391">
        <f t="shared" si="11947"/>
        <v>0.1</v>
      </c>
      <c r="F3920" s="400" t="s">
        <v>1057</v>
      </c>
      <c r="G3920" s="422" t="str">
        <f>CONCATENATE("DE: ",A3920," ",B3920," ",D3920," mm (emission to ",F3920,")")</f>
        <v>DE: PLA(-blend) particle 0,01-0,1 mm (emission to air)</v>
      </c>
      <c r="H3920" s="467">
        <v>0.94799999999999995</v>
      </c>
      <c r="I3920" s="388" t="s">
        <v>1019</v>
      </c>
      <c r="J3920" s="634">
        <v>0.22800000000000001</v>
      </c>
      <c r="K3920" s="389">
        <v>78.694724300850595</v>
      </c>
      <c r="L3920" s="536"/>
      <c r="M3920" s="509">
        <f t="shared" si="11909"/>
        <v>0.15884165185219271</v>
      </c>
      <c r="N3920" s="645">
        <f t="shared" si="11774"/>
        <v>52.15058188595588</v>
      </c>
      <c r="O3920" s="625"/>
      <c r="P3920" s="628">
        <f t="shared" si="11846"/>
        <v>52.15058188595588</v>
      </c>
      <c r="Q3920" s="628">
        <f t="shared" ref="Q3920:Q3980" si="11948">IFERROR(IF(H3920*M3920+H3921*M3921+H3922*M3922+H3923*M3923+H3924*M3924&gt;500,500,H3920*M3920+H3921*M3921+H3922*M3922+H3923*M3923+H3924*M3924),"N.A.")</f>
        <v>52.15058188595588</v>
      </c>
    </row>
    <row r="3921" spans="1:17" ht="15.75" hidden="1" thickBot="1">
      <c r="A3921" s="390" t="str">
        <f t="shared" ref="A3921:B3921" si="11949">A3918</f>
        <v>PLA(-blend)</v>
      </c>
      <c r="B3921" s="391" t="str">
        <f t="shared" si="11949"/>
        <v>particle</v>
      </c>
      <c r="C3921" s="391">
        <f t="shared" ref="C3921" si="11950">C3920</f>
        <v>6</v>
      </c>
      <c r="D3921" s="391" t="str">
        <f t="shared" ref="D3921:E3921" si="11951">D3918</f>
        <v>0,01-0,1</v>
      </c>
      <c r="E3921" s="391">
        <f t="shared" si="11951"/>
        <v>0.1</v>
      </c>
      <c r="F3921" s="391" t="str">
        <f t="shared" ref="F3921:G3921" si="11952">F3920</f>
        <v>air</v>
      </c>
      <c r="G3921" s="401" t="str">
        <f t="shared" si="11952"/>
        <v>DE: PLA(-blend) particle 0,01-0,1 mm (emission to air)</v>
      </c>
      <c r="H3921" s="465">
        <v>0</v>
      </c>
      <c r="I3921" s="394" t="s">
        <v>1174</v>
      </c>
      <c r="J3921" s="635"/>
      <c r="K3921" s="389">
        <v>0</v>
      </c>
      <c r="L3921" s="536"/>
      <c r="M3921" s="509">
        <f t="shared" si="11909"/>
        <v>1000</v>
      </c>
      <c r="N3921" s="646"/>
      <c r="O3921" s="626"/>
      <c r="P3921" s="629"/>
      <c r="Q3921" s="629"/>
    </row>
    <row r="3922" spans="1:17" ht="15.75" hidden="1" thickBot="1">
      <c r="A3922" s="390" t="str">
        <f t="shared" ref="A3922:B3922" si="11953">A3919</f>
        <v>PLA(-blend)</v>
      </c>
      <c r="B3922" s="391" t="str">
        <f t="shared" si="11953"/>
        <v>particle</v>
      </c>
      <c r="C3922" s="391">
        <f t="shared" ref="C3922" si="11954">C3921</f>
        <v>6</v>
      </c>
      <c r="D3922" s="391" t="str">
        <f t="shared" ref="D3922:E3922" si="11955">D3919</f>
        <v>0,01-0,1</v>
      </c>
      <c r="E3922" s="391">
        <f t="shared" si="11955"/>
        <v>0.1</v>
      </c>
      <c r="F3922" s="391" t="str">
        <f t="shared" ref="F3922:G3922" si="11956">F3921</f>
        <v>air</v>
      </c>
      <c r="G3922" s="401" t="str">
        <f t="shared" si="11956"/>
        <v>DE: PLA(-blend) particle 0,01-0,1 mm (emission to air)</v>
      </c>
      <c r="H3922" s="465">
        <v>4.7E-2</v>
      </c>
      <c r="I3922" s="394" t="s">
        <v>1143</v>
      </c>
      <c r="J3922" s="635"/>
      <c r="K3922" s="389">
        <v>1.1262857142862617E-3</v>
      </c>
      <c r="L3922" s="536"/>
      <c r="M3922" s="509">
        <f t="shared" si="11909"/>
        <v>1000</v>
      </c>
      <c r="N3922" s="646"/>
      <c r="O3922" s="626"/>
      <c r="P3922" s="629"/>
      <c r="Q3922" s="629"/>
    </row>
    <row r="3923" spans="1:17" ht="15.75" hidden="1" thickBot="1">
      <c r="A3923" s="390" t="str">
        <f t="shared" ref="A3923:B3923" si="11957">A3920</f>
        <v>PLA(-blend)</v>
      </c>
      <c r="B3923" s="391" t="str">
        <f t="shared" si="11957"/>
        <v>particle</v>
      </c>
      <c r="C3923" s="391">
        <f t="shared" ref="C3923" si="11958">C3922</f>
        <v>6</v>
      </c>
      <c r="D3923" s="391" t="str">
        <f t="shared" ref="D3923:E3923" si="11959">D3920</f>
        <v>0,01-0,1</v>
      </c>
      <c r="E3923" s="391">
        <f t="shared" si="11959"/>
        <v>0.1</v>
      </c>
      <c r="F3923" s="391" t="str">
        <f t="shared" ref="F3923:G3923" si="11960">F3922</f>
        <v>air</v>
      </c>
      <c r="G3923" s="401" t="str">
        <f t="shared" si="11960"/>
        <v>DE: PLA(-blend) particle 0,01-0,1 mm (emission to air)</v>
      </c>
      <c r="H3923" s="465">
        <v>5.0000000000000001E-3</v>
      </c>
      <c r="I3923" s="394" t="s">
        <v>1163</v>
      </c>
      <c r="J3923" s="635"/>
      <c r="K3923" s="389">
        <v>1.1262857142862617E-3</v>
      </c>
      <c r="L3923" s="536"/>
      <c r="M3923" s="509">
        <f t="shared" si="11909"/>
        <v>1000</v>
      </c>
      <c r="N3923" s="646"/>
      <c r="O3923" s="626"/>
      <c r="P3923" s="629"/>
      <c r="Q3923" s="629"/>
    </row>
    <row r="3924" spans="1:17" ht="15.75" hidden="1" thickBot="1">
      <c r="A3924" s="390" t="str">
        <f t="shared" ref="A3924:B3924" si="11961">A3919</f>
        <v>PLA(-blend)</v>
      </c>
      <c r="B3924" s="391" t="str">
        <f t="shared" si="11961"/>
        <v>particle</v>
      </c>
      <c r="C3924" s="391">
        <f t="shared" ref="C3924" si="11962">C3923</f>
        <v>6</v>
      </c>
      <c r="D3924" s="391" t="str">
        <f t="shared" ref="D3924:E3924" si="11963">D3919</f>
        <v>0,01-0,1</v>
      </c>
      <c r="E3924" s="391">
        <f t="shared" si="11963"/>
        <v>0.1</v>
      </c>
      <c r="F3924" s="391" t="str">
        <f t="shared" ref="F3924:G3924" si="11964">F3923</f>
        <v>air</v>
      </c>
      <c r="G3924" s="401" t="str">
        <f t="shared" si="11964"/>
        <v>DE: PLA(-blend) particle 0,01-0,1 mm (emission to air)</v>
      </c>
      <c r="H3924" s="471">
        <v>0</v>
      </c>
      <c r="I3924" s="422" t="s">
        <v>1034</v>
      </c>
      <c r="J3924" s="636"/>
      <c r="K3924" s="451" t="s">
        <v>596</v>
      </c>
      <c r="L3924" s="542"/>
      <c r="M3924" s="509">
        <f t="shared" si="11909"/>
        <v>0</v>
      </c>
      <c r="N3924" s="647"/>
      <c r="O3924" s="627"/>
      <c r="P3924" s="629"/>
      <c r="Q3924" s="629"/>
    </row>
    <row r="3925" spans="1:17">
      <c r="A3925" s="381" t="str">
        <f t="shared" ref="A3925" si="11965">A3922</f>
        <v>PLA(-blend)</v>
      </c>
      <c r="B3925" s="406" t="s">
        <v>1152</v>
      </c>
      <c r="C3925" s="407">
        <v>6</v>
      </c>
      <c r="D3925" s="423" t="s">
        <v>1028</v>
      </c>
      <c r="E3925" s="408">
        <v>1</v>
      </c>
      <c r="F3925" s="424" t="s">
        <v>1019</v>
      </c>
      <c r="G3925" s="425" t="str">
        <f>CONCATENATE("DE: ",A3925," ",B3925," ",D3925," mm (emission to ",F3925,")")</f>
        <v>DE: PLA(-blend) particle 0,1-1 mm (emission to soil)</v>
      </c>
      <c r="H3925" s="474">
        <v>0.97</v>
      </c>
      <c r="I3925" s="427" t="s">
        <v>1019</v>
      </c>
      <c r="J3925" s="632">
        <v>0.22800000000000001</v>
      </c>
      <c r="K3925" s="428">
        <v>78.694724300850595</v>
      </c>
      <c r="L3925" s="539"/>
      <c r="M3925" s="509">
        <f t="shared" si="11909"/>
        <v>1.5884165185219272</v>
      </c>
      <c r="N3925" s="645">
        <f t="shared" si="11774"/>
        <v>31.540764022966268</v>
      </c>
      <c r="O3925" s="625"/>
      <c r="P3925" s="628">
        <f t="shared" si="11846"/>
        <v>31.540764022966268</v>
      </c>
      <c r="Q3925" s="628">
        <f t="shared" si="11948"/>
        <v>31.540764022966268</v>
      </c>
    </row>
    <row r="3926" spans="1:17">
      <c r="A3926" s="381" t="str">
        <f>A3925</f>
        <v>PLA(-blend)</v>
      </c>
      <c r="B3926" s="391" t="str">
        <f>B3925</f>
        <v>particle</v>
      </c>
      <c r="C3926" s="391">
        <f t="shared" ref="C3926:G3926" si="11966">C3925</f>
        <v>6</v>
      </c>
      <c r="D3926" s="391" t="str">
        <f t="shared" si="11966"/>
        <v>0,1-1</v>
      </c>
      <c r="E3926" s="391">
        <f t="shared" si="11966"/>
        <v>1</v>
      </c>
      <c r="F3926" s="391" t="str">
        <f t="shared" si="11966"/>
        <v>soil</v>
      </c>
      <c r="G3926" s="392" t="str">
        <f t="shared" si="11966"/>
        <v>DE: PLA(-blend) particle 0,1-1 mm (emission to soil)</v>
      </c>
      <c r="H3926" s="465">
        <v>0</v>
      </c>
      <c r="I3926" s="394" t="s">
        <v>1174</v>
      </c>
      <c r="J3926" s="632"/>
      <c r="K3926" s="395">
        <v>0</v>
      </c>
      <c r="L3926" s="537"/>
      <c r="M3926" s="509">
        <f t="shared" si="11909"/>
        <v>1000</v>
      </c>
      <c r="N3926" s="646"/>
      <c r="O3926" s="626"/>
      <c r="P3926" s="629"/>
      <c r="Q3926" s="629"/>
    </row>
    <row r="3927" spans="1:17">
      <c r="A3927" s="381" t="str">
        <f t="shared" ref="A3927:G3927" si="11967">A3926</f>
        <v>PLA(-blend)</v>
      </c>
      <c r="B3927" s="391" t="str">
        <f t="shared" si="11967"/>
        <v>particle</v>
      </c>
      <c r="C3927" s="391">
        <f t="shared" si="11967"/>
        <v>6</v>
      </c>
      <c r="D3927" s="391" t="str">
        <f t="shared" si="11967"/>
        <v>0,1-1</v>
      </c>
      <c r="E3927" s="391">
        <f t="shared" si="11967"/>
        <v>1</v>
      </c>
      <c r="F3927" s="391" t="str">
        <f t="shared" si="11967"/>
        <v>soil</v>
      </c>
      <c r="G3927" s="392" t="str">
        <f t="shared" si="11967"/>
        <v>DE: PLA(-blend) particle 0,1-1 mm (emission to soil)</v>
      </c>
      <c r="H3927" s="465">
        <v>2.7E-2</v>
      </c>
      <c r="I3927" s="394" t="s">
        <v>1143</v>
      </c>
      <c r="J3927" s="632"/>
      <c r="K3927" s="395">
        <v>1.1262857142862617E-3</v>
      </c>
      <c r="L3927" s="537"/>
      <c r="M3927" s="509">
        <f t="shared" si="11909"/>
        <v>1000</v>
      </c>
      <c r="N3927" s="646"/>
      <c r="O3927" s="626"/>
      <c r="P3927" s="629"/>
      <c r="Q3927" s="629"/>
    </row>
    <row r="3928" spans="1:17">
      <c r="A3928" s="381" t="str">
        <f t="shared" ref="A3928:G3928" si="11968">A3927</f>
        <v>PLA(-blend)</v>
      </c>
      <c r="B3928" s="391" t="str">
        <f t="shared" si="11968"/>
        <v>particle</v>
      </c>
      <c r="C3928" s="391">
        <f t="shared" si="11968"/>
        <v>6</v>
      </c>
      <c r="D3928" s="391" t="str">
        <f t="shared" si="11968"/>
        <v>0,1-1</v>
      </c>
      <c r="E3928" s="391">
        <f t="shared" si="11968"/>
        <v>1</v>
      </c>
      <c r="F3928" s="391" t="str">
        <f t="shared" si="11968"/>
        <v>soil</v>
      </c>
      <c r="G3928" s="392" t="str">
        <f t="shared" si="11968"/>
        <v>DE: PLA(-blend) particle 0,1-1 mm (emission to soil)</v>
      </c>
      <c r="H3928" s="465">
        <v>3.0000000000000001E-3</v>
      </c>
      <c r="I3928" s="394" t="s">
        <v>1163</v>
      </c>
      <c r="J3928" s="632"/>
      <c r="K3928" s="395">
        <v>1.1262857142862617E-3</v>
      </c>
      <c r="L3928" s="537"/>
      <c r="M3928" s="509">
        <f t="shared" si="11909"/>
        <v>1000</v>
      </c>
      <c r="N3928" s="646"/>
      <c r="O3928" s="626"/>
      <c r="P3928" s="629"/>
      <c r="Q3928" s="629"/>
    </row>
    <row r="3929" spans="1:17">
      <c r="A3929" s="381" t="str">
        <f>A3926</f>
        <v>PLA(-blend)</v>
      </c>
      <c r="B3929" s="391" t="str">
        <f>B3926</f>
        <v>particle</v>
      </c>
      <c r="C3929" s="391">
        <f t="shared" ref="C3929" si="11969">C3928</f>
        <v>6</v>
      </c>
      <c r="D3929" s="391" t="str">
        <f>D3926</f>
        <v>0,1-1</v>
      </c>
      <c r="E3929" s="391">
        <f>E3926</f>
        <v>1</v>
      </c>
      <c r="F3929" s="391" t="str">
        <f>F3926</f>
        <v>soil</v>
      </c>
      <c r="G3929" s="396" t="str">
        <f t="shared" ref="G3929" si="11970">G3928</f>
        <v>DE: PLA(-blend) particle 0,1-1 mm (emission to soil)</v>
      </c>
      <c r="H3929" s="465">
        <v>0</v>
      </c>
      <c r="I3929" s="397" t="s">
        <v>1034</v>
      </c>
      <c r="J3929" s="633"/>
      <c r="K3929" s="398" t="s">
        <v>596</v>
      </c>
      <c r="L3929" s="538"/>
      <c r="M3929" s="509">
        <f t="shared" si="11909"/>
        <v>0</v>
      </c>
      <c r="N3929" s="647"/>
      <c r="O3929" s="627"/>
      <c r="P3929" s="629"/>
      <c r="Q3929" s="629"/>
    </row>
    <row r="3930" spans="1:17">
      <c r="A3930" s="381" t="str">
        <f t="shared" ref="A3930:B3930" si="11971">A3927</f>
        <v>PLA(-blend)</v>
      </c>
      <c r="B3930" s="391" t="str">
        <f t="shared" si="11971"/>
        <v>particle</v>
      </c>
      <c r="C3930" s="391">
        <f t="shared" ref="C3930" si="11972">C3929</f>
        <v>6</v>
      </c>
      <c r="D3930" s="399" t="str">
        <f t="shared" ref="D3930:E3930" si="11973">D3927</f>
        <v>0,1-1</v>
      </c>
      <c r="E3930" s="391">
        <f t="shared" si="11973"/>
        <v>1</v>
      </c>
      <c r="F3930" s="400" t="s">
        <v>1147</v>
      </c>
      <c r="G3930" s="386" t="str">
        <f>CONCATENATE("DE: ",A3930," ",B3930," ",D3930," mm (emission to ",F3930,")")</f>
        <v>DE: PLA(-blend) particle 0,1-1 mm (emission to fresh water)</v>
      </c>
      <c r="H3930" s="466">
        <v>0</v>
      </c>
      <c r="I3930" s="388" t="s">
        <v>1019</v>
      </c>
      <c r="J3930" s="634">
        <v>0.22800000000000001</v>
      </c>
      <c r="K3930" s="389">
        <v>78.694724300850595</v>
      </c>
      <c r="L3930" s="536"/>
      <c r="M3930" s="509">
        <f t="shared" si="11909"/>
        <v>1.5884165185219272</v>
      </c>
      <c r="N3930" s="645">
        <f t="shared" ref="N3930:N3990" si="11974">IFERROR(H3930*M3930+H3931*M3931+H3932*M3932+H3933*M3933+H3934*M3934,"N.A.")</f>
        <v>1000</v>
      </c>
      <c r="O3930" s="625"/>
      <c r="P3930" s="628">
        <f t="shared" si="11846"/>
        <v>100</v>
      </c>
      <c r="Q3930" s="628">
        <f t="shared" si="11948"/>
        <v>500</v>
      </c>
    </row>
    <row r="3931" spans="1:17">
      <c r="A3931" s="381" t="str">
        <f t="shared" ref="A3931:B3931" si="11975">A3928</f>
        <v>PLA(-blend)</v>
      </c>
      <c r="B3931" s="391" t="str">
        <f t="shared" si="11975"/>
        <v>particle</v>
      </c>
      <c r="C3931" s="391">
        <f t="shared" ref="C3931" si="11976">C3930</f>
        <v>6</v>
      </c>
      <c r="D3931" s="391" t="str">
        <f t="shared" ref="D3931:E3931" si="11977">D3928</f>
        <v>0,1-1</v>
      </c>
      <c r="E3931" s="391">
        <f t="shared" si="11977"/>
        <v>1</v>
      </c>
      <c r="F3931" s="391" t="str">
        <f t="shared" ref="F3931:G3931" si="11978">F3930</f>
        <v>fresh water</v>
      </c>
      <c r="G3931" s="401" t="str">
        <f t="shared" si="11978"/>
        <v>DE: PLA(-blend) particle 0,1-1 mm (emission to fresh water)</v>
      </c>
      <c r="H3931" s="465">
        <v>0</v>
      </c>
      <c r="I3931" s="394" t="s">
        <v>1174</v>
      </c>
      <c r="J3931" s="635"/>
      <c r="K3931" s="389">
        <v>0</v>
      </c>
      <c r="L3931" s="536"/>
      <c r="M3931" s="509">
        <f t="shared" si="11909"/>
        <v>1000</v>
      </c>
      <c r="N3931" s="646"/>
      <c r="O3931" s="626"/>
      <c r="P3931" s="629"/>
      <c r="Q3931" s="629"/>
    </row>
    <row r="3932" spans="1:17">
      <c r="A3932" s="381" t="str">
        <f t="shared" ref="A3932:B3932" si="11979">A3929</f>
        <v>PLA(-blend)</v>
      </c>
      <c r="B3932" s="391" t="str">
        <f t="shared" si="11979"/>
        <v>particle</v>
      </c>
      <c r="C3932" s="391">
        <f t="shared" ref="C3932" si="11980">C3931</f>
        <v>6</v>
      </c>
      <c r="D3932" s="391" t="str">
        <f t="shared" ref="D3932:E3932" si="11981">D3929</f>
        <v>0,1-1</v>
      </c>
      <c r="E3932" s="391">
        <f t="shared" si="11981"/>
        <v>1</v>
      </c>
      <c r="F3932" s="391" t="str">
        <f t="shared" ref="F3932:G3932" si="11982">F3931</f>
        <v>fresh water</v>
      </c>
      <c r="G3932" s="401" t="str">
        <f t="shared" si="11982"/>
        <v>DE: PLA(-blend) particle 0,1-1 mm (emission to fresh water)</v>
      </c>
      <c r="H3932" s="465">
        <v>0.89</v>
      </c>
      <c r="I3932" s="394" t="s">
        <v>1143</v>
      </c>
      <c r="J3932" s="635"/>
      <c r="K3932" s="389">
        <v>1.1262857142862617E-3</v>
      </c>
      <c r="L3932" s="536"/>
      <c r="M3932" s="509">
        <f t="shared" si="11909"/>
        <v>1000</v>
      </c>
      <c r="N3932" s="646"/>
      <c r="O3932" s="626"/>
      <c r="P3932" s="629"/>
      <c r="Q3932" s="629"/>
    </row>
    <row r="3933" spans="1:17">
      <c r="A3933" s="381" t="str">
        <f t="shared" ref="A3933:B3933" si="11983">A3930</f>
        <v>PLA(-blend)</v>
      </c>
      <c r="B3933" s="391" t="str">
        <f t="shared" si="11983"/>
        <v>particle</v>
      </c>
      <c r="C3933" s="391">
        <f t="shared" ref="C3933" si="11984">C3932</f>
        <v>6</v>
      </c>
      <c r="D3933" s="391" t="str">
        <f t="shared" ref="D3933:E3933" si="11985">D3930</f>
        <v>0,1-1</v>
      </c>
      <c r="E3933" s="391">
        <f t="shared" si="11985"/>
        <v>1</v>
      </c>
      <c r="F3933" s="391" t="str">
        <f t="shared" ref="F3933:G3933" si="11986">F3932</f>
        <v>fresh water</v>
      </c>
      <c r="G3933" s="401" t="str">
        <f t="shared" si="11986"/>
        <v>DE: PLA(-blend) particle 0,1-1 mm (emission to fresh water)</v>
      </c>
      <c r="H3933" s="465">
        <v>0.11</v>
      </c>
      <c r="I3933" s="394" t="s">
        <v>1163</v>
      </c>
      <c r="J3933" s="635"/>
      <c r="K3933" s="389">
        <v>1.1262857142862617E-3</v>
      </c>
      <c r="L3933" s="536"/>
      <c r="M3933" s="509">
        <f t="shared" si="11909"/>
        <v>1000</v>
      </c>
      <c r="N3933" s="646"/>
      <c r="O3933" s="626"/>
      <c r="P3933" s="629"/>
      <c r="Q3933" s="629"/>
    </row>
    <row r="3934" spans="1:17">
      <c r="A3934" s="381" t="str">
        <f t="shared" ref="A3934:B3934" si="11987">A3931</f>
        <v>PLA(-blend)</v>
      </c>
      <c r="B3934" s="391" t="str">
        <f t="shared" si="11987"/>
        <v>particle</v>
      </c>
      <c r="C3934" s="391">
        <f t="shared" ref="C3934" si="11988">C3933</f>
        <v>6</v>
      </c>
      <c r="D3934" s="391" t="str">
        <f t="shared" ref="D3934:E3934" si="11989">D3931</f>
        <v>0,1-1</v>
      </c>
      <c r="E3934" s="391">
        <f t="shared" si="11989"/>
        <v>1</v>
      </c>
      <c r="F3934" s="402" t="str">
        <f>F3931</f>
        <v>fresh water</v>
      </c>
      <c r="G3934" s="401" t="str">
        <f t="shared" ref="G3934" si="11990">G3933</f>
        <v>DE: PLA(-blend) particle 0,1-1 mm (emission to fresh water)</v>
      </c>
      <c r="H3934" s="465">
        <v>0</v>
      </c>
      <c r="I3934" s="397" t="s">
        <v>1034</v>
      </c>
      <c r="J3934" s="654"/>
      <c r="K3934" s="398" t="s">
        <v>596</v>
      </c>
      <c r="L3934" s="538"/>
      <c r="M3934" s="509">
        <f t="shared" si="11909"/>
        <v>0</v>
      </c>
      <c r="N3934" s="647"/>
      <c r="O3934" s="627"/>
      <c r="P3934" s="629"/>
      <c r="Q3934" s="629"/>
    </row>
    <row r="3935" spans="1:17">
      <c r="A3935" s="381" t="str">
        <f t="shared" ref="A3935:B3935" si="11991">A3932</f>
        <v>PLA(-blend)</v>
      </c>
      <c r="B3935" s="391" t="str">
        <f t="shared" si="11991"/>
        <v>particle</v>
      </c>
      <c r="C3935" s="391">
        <f t="shared" ref="C3935" si="11992">C3934</f>
        <v>6</v>
      </c>
      <c r="D3935" s="391" t="str">
        <f t="shared" ref="D3935:E3935" si="11993">D3932</f>
        <v>0,1-1</v>
      </c>
      <c r="E3935" s="391">
        <f t="shared" si="11993"/>
        <v>1</v>
      </c>
      <c r="F3935" s="385" t="s">
        <v>1097</v>
      </c>
      <c r="G3935" s="422" t="str">
        <f>CONCATENATE("DE: ",A3935," ",B3935," ",D3935," mm (emission to ",F3935,")")</f>
        <v>DE: PLA(-blend) particle 0,1-1 mm (emission to marine water)</v>
      </c>
      <c r="H3935" s="467">
        <v>0</v>
      </c>
      <c r="I3935" s="388" t="s">
        <v>1019</v>
      </c>
      <c r="J3935" s="634">
        <v>0.22800000000000001</v>
      </c>
      <c r="K3935" s="389">
        <v>78.694724300850595</v>
      </c>
      <c r="L3935" s="536"/>
      <c r="M3935" s="509">
        <f t="shared" si="11909"/>
        <v>1.5884165185219272</v>
      </c>
      <c r="N3935" s="645">
        <f t="shared" si="11974"/>
        <v>1000</v>
      </c>
      <c r="O3935" s="625"/>
      <c r="P3935" s="628">
        <f t="shared" si="11846"/>
        <v>100</v>
      </c>
      <c r="Q3935" s="628">
        <f t="shared" si="11948"/>
        <v>500</v>
      </c>
    </row>
    <row r="3936" spans="1:17">
      <c r="A3936" s="381" t="str">
        <f t="shared" ref="A3936:B3936" si="11994">A3933</f>
        <v>PLA(-blend)</v>
      </c>
      <c r="B3936" s="391" t="str">
        <f t="shared" si="11994"/>
        <v>particle</v>
      </c>
      <c r="C3936" s="391">
        <f t="shared" ref="C3936" si="11995">C3935</f>
        <v>6</v>
      </c>
      <c r="D3936" s="391" t="str">
        <f t="shared" ref="D3936:E3936" si="11996">D3933</f>
        <v>0,1-1</v>
      </c>
      <c r="E3936" s="391">
        <f t="shared" si="11996"/>
        <v>1</v>
      </c>
      <c r="F3936" s="391" t="str">
        <f t="shared" ref="F3936:G3936" si="11997">F3935</f>
        <v>marine water</v>
      </c>
      <c r="G3936" s="401" t="str">
        <f t="shared" si="11997"/>
        <v>DE: PLA(-blend) particle 0,1-1 mm (emission to marine water)</v>
      </c>
      <c r="H3936" s="465">
        <v>0</v>
      </c>
      <c r="I3936" s="394" t="s">
        <v>1174</v>
      </c>
      <c r="J3936" s="635"/>
      <c r="K3936" s="389">
        <v>0</v>
      </c>
      <c r="L3936" s="536"/>
      <c r="M3936" s="509">
        <f t="shared" si="11909"/>
        <v>1000</v>
      </c>
      <c r="N3936" s="646"/>
      <c r="O3936" s="626"/>
      <c r="P3936" s="629"/>
      <c r="Q3936" s="629"/>
    </row>
    <row r="3937" spans="1:17">
      <c r="A3937" s="381" t="str">
        <f t="shared" ref="A3937:B3937" si="11998">A3934</f>
        <v>PLA(-blend)</v>
      </c>
      <c r="B3937" s="391" t="str">
        <f t="shared" si="11998"/>
        <v>particle</v>
      </c>
      <c r="C3937" s="391">
        <f t="shared" ref="C3937" si="11999">C3936</f>
        <v>6</v>
      </c>
      <c r="D3937" s="391" t="str">
        <f t="shared" ref="D3937:E3937" si="12000">D3934</f>
        <v>0,1-1</v>
      </c>
      <c r="E3937" s="391">
        <f t="shared" si="12000"/>
        <v>1</v>
      </c>
      <c r="F3937" s="391" t="str">
        <f t="shared" ref="F3937:G3937" si="12001">F3936</f>
        <v>marine water</v>
      </c>
      <c r="G3937" s="401" t="str">
        <f t="shared" si="12001"/>
        <v>DE: PLA(-blend) particle 0,1-1 mm (emission to marine water)</v>
      </c>
      <c r="H3937" s="465">
        <v>0</v>
      </c>
      <c r="I3937" s="394" t="s">
        <v>1143</v>
      </c>
      <c r="J3937" s="635"/>
      <c r="K3937" s="389">
        <v>1.1262857142862617E-3</v>
      </c>
      <c r="L3937" s="536"/>
      <c r="M3937" s="509">
        <f t="shared" si="11909"/>
        <v>1000</v>
      </c>
      <c r="N3937" s="646"/>
      <c r="O3937" s="626"/>
      <c r="P3937" s="629"/>
      <c r="Q3937" s="629"/>
    </row>
    <row r="3938" spans="1:17">
      <c r="A3938" s="381" t="str">
        <f t="shared" ref="A3938:B3938" si="12002">A3935</f>
        <v>PLA(-blend)</v>
      </c>
      <c r="B3938" s="391" t="str">
        <f t="shared" si="12002"/>
        <v>particle</v>
      </c>
      <c r="C3938" s="391">
        <f t="shared" ref="C3938" si="12003">C3937</f>
        <v>6</v>
      </c>
      <c r="D3938" s="391" t="str">
        <f t="shared" ref="D3938:E3938" si="12004">D3935</f>
        <v>0,1-1</v>
      </c>
      <c r="E3938" s="391">
        <f t="shared" si="12004"/>
        <v>1</v>
      </c>
      <c r="F3938" s="391" t="str">
        <f t="shared" ref="F3938:G3938" si="12005">F3937</f>
        <v>marine water</v>
      </c>
      <c r="G3938" s="401" t="str">
        <f t="shared" si="12005"/>
        <v>DE: PLA(-blend) particle 0,1-1 mm (emission to marine water)</v>
      </c>
      <c r="H3938" s="465">
        <v>1</v>
      </c>
      <c r="I3938" s="394" t="s">
        <v>1163</v>
      </c>
      <c r="J3938" s="635"/>
      <c r="K3938" s="389">
        <v>1.1262857142862617E-3</v>
      </c>
      <c r="L3938" s="536"/>
      <c r="M3938" s="509">
        <f t="shared" si="11909"/>
        <v>1000</v>
      </c>
      <c r="N3938" s="646"/>
      <c r="O3938" s="626"/>
      <c r="P3938" s="629"/>
      <c r="Q3938" s="629"/>
    </row>
    <row r="3939" spans="1:17">
      <c r="A3939" s="381" t="str">
        <f t="shared" ref="A3939:B3939" si="12006">A3936</f>
        <v>PLA(-blend)</v>
      </c>
      <c r="B3939" s="391" t="str">
        <f t="shared" si="12006"/>
        <v>particle</v>
      </c>
      <c r="C3939" s="391">
        <f t="shared" ref="C3939" si="12007">C3938</f>
        <v>6</v>
      </c>
      <c r="D3939" s="391" t="str">
        <f t="shared" ref="D3939:E3939" si="12008">D3936</f>
        <v>0,1-1</v>
      </c>
      <c r="E3939" s="391">
        <f t="shared" si="12008"/>
        <v>1</v>
      </c>
      <c r="F3939" s="391" t="str">
        <f t="shared" ref="F3939:G3939" si="12009">F3938</f>
        <v>marine water</v>
      </c>
      <c r="G3939" s="401" t="str">
        <f t="shared" si="12009"/>
        <v>DE: PLA(-blend) particle 0,1-1 mm (emission to marine water)</v>
      </c>
      <c r="H3939" s="465">
        <v>0</v>
      </c>
      <c r="I3939" s="397" t="s">
        <v>1034</v>
      </c>
      <c r="J3939" s="654"/>
      <c r="K3939" s="398" t="s">
        <v>596</v>
      </c>
      <c r="L3939" s="538"/>
      <c r="M3939" s="509">
        <f t="shared" si="11909"/>
        <v>0</v>
      </c>
      <c r="N3939" s="647"/>
      <c r="O3939" s="627"/>
      <c r="P3939" s="629"/>
      <c r="Q3939" s="629"/>
    </row>
    <row r="3940" spans="1:17">
      <c r="A3940" s="381" t="str">
        <f t="shared" ref="A3940:B3940" si="12010">A3937</f>
        <v>PLA(-blend)</v>
      </c>
      <c r="B3940" s="391" t="str">
        <f t="shared" si="12010"/>
        <v>particle</v>
      </c>
      <c r="C3940" s="391">
        <f t="shared" ref="C3940" si="12011">C3939</f>
        <v>6</v>
      </c>
      <c r="D3940" s="391" t="str">
        <f t="shared" ref="D3940:E3940" si="12012">D3937</f>
        <v>0,1-1</v>
      </c>
      <c r="E3940" s="391">
        <f t="shared" si="12012"/>
        <v>1</v>
      </c>
      <c r="F3940" s="400" t="s">
        <v>1057</v>
      </c>
      <c r="G3940" s="422" t="str">
        <f>CONCATENATE("DE: ",A3940," ",B3940," ",D3940," mm (emission to ",F3940,")")</f>
        <v>DE: PLA(-blend) particle 0,1-1 mm (emission to air)</v>
      </c>
      <c r="H3940" s="467">
        <v>0.94799999999999995</v>
      </c>
      <c r="I3940" s="388" t="s">
        <v>1019</v>
      </c>
      <c r="J3940" s="634">
        <v>0.22800000000000001</v>
      </c>
      <c r="K3940" s="389">
        <v>78.694724300850595</v>
      </c>
      <c r="L3940" s="536"/>
      <c r="M3940" s="509">
        <f t="shared" si="11909"/>
        <v>1.5884165185219272</v>
      </c>
      <c r="N3940" s="645">
        <f t="shared" si="11974"/>
        <v>53.505818859558786</v>
      </c>
      <c r="O3940" s="625"/>
      <c r="P3940" s="628">
        <f t="shared" si="11846"/>
        <v>53.505818859558786</v>
      </c>
      <c r="Q3940" s="628">
        <f t="shared" si="11948"/>
        <v>53.505818859558786</v>
      </c>
    </row>
    <row r="3941" spans="1:17">
      <c r="A3941" s="381" t="str">
        <f t="shared" ref="A3941:B3941" si="12013">A3938</f>
        <v>PLA(-blend)</v>
      </c>
      <c r="B3941" s="391" t="str">
        <f t="shared" si="12013"/>
        <v>particle</v>
      </c>
      <c r="C3941" s="391">
        <f t="shared" ref="C3941" si="12014">C3940</f>
        <v>6</v>
      </c>
      <c r="D3941" s="391" t="str">
        <f t="shared" ref="D3941:E3941" si="12015">D3938</f>
        <v>0,1-1</v>
      </c>
      <c r="E3941" s="391">
        <f t="shared" si="12015"/>
        <v>1</v>
      </c>
      <c r="F3941" s="391" t="str">
        <f t="shared" ref="F3941:G3941" si="12016">F3940</f>
        <v>air</v>
      </c>
      <c r="G3941" s="401" t="str">
        <f t="shared" si="12016"/>
        <v>DE: PLA(-blend) particle 0,1-1 mm (emission to air)</v>
      </c>
      <c r="H3941" s="465">
        <v>0</v>
      </c>
      <c r="I3941" s="394" t="s">
        <v>1174</v>
      </c>
      <c r="J3941" s="635"/>
      <c r="K3941" s="389">
        <v>0</v>
      </c>
      <c r="L3941" s="536"/>
      <c r="M3941" s="509">
        <f t="shared" si="11909"/>
        <v>1000</v>
      </c>
      <c r="N3941" s="646"/>
      <c r="O3941" s="626"/>
      <c r="P3941" s="629"/>
      <c r="Q3941" s="629"/>
    </row>
    <row r="3942" spans="1:17">
      <c r="A3942" s="381" t="str">
        <f t="shared" ref="A3942:B3942" si="12017">A3939</f>
        <v>PLA(-blend)</v>
      </c>
      <c r="B3942" s="391" t="str">
        <f t="shared" si="12017"/>
        <v>particle</v>
      </c>
      <c r="C3942" s="391">
        <f t="shared" ref="C3942" si="12018">C3941</f>
        <v>6</v>
      </c>
      <c r="D3942" s="391" t="str">
        <f t="shared" ref="D3942:E3942" si="12019">D3939</f>
        <v>0,1-1</v>
      </c>
      <c r="E3942" s="391">
        <f t="shared" si="12019"/>
        <v>1</v>
      </c>
      <c r="F3942" s="391" t="str">
        <f t="shared" ref="F3942:G3942" si="12020">F3941</f>
        <v>air</v>
      </c>
      <c r="G3942" s="401" t="str">
        <f t="shared" si="12020"/>
        <v>DE: PLA(-blend) particle 0,1-1 mm (emission to air)</v>
      </c>
      <c r="H3942" s="465">
        <v>4.7E-2</v>
      </c>
      <c r="I3942" s="394" t="s">
        <v>1143</v>
      </c>
      <c r="J3942" s="635"/>
      <c r="K3942" s="389">
        <v>1.1262857142862617E-3</v>
      </c>
      <c r="L3942" s="536"/>
      <c r="M3942" s="509">
        <f t="shared" si="11909"/>
        <v>1000</v>
      </c>
      <c r="N3942" s="646"/>
      <c r="O3942" s="626"/>
      <c r="P3942" s="629"/>
      <c r="Q3942" s="629"/>
    </row>
    <row r="3943" spans="1:17">
      <c r="A3943" s="381" t="str">
        <f t="shared" ref="A3943:B3943" si="12021">A3940</f>
        <v>PLA(-blend)</v>
      </c>
      <c r="B3943" s="391" t="str">
        <f t="shared" si="12021"/>
        <v>particle</v>
      </c>
      <c r="C3943" s="391">
        <f t="shared" ref="C3943" si="12022">C3942</f>
        <v>6</v>
      </c>
      <c r="D3943" s="391" t="str">
        <f t="shared" ref="D3943:E3943" si="12023">D3940</f>
        <v>0,1-1</v>
      </c>
      <c r="E3943" s="391">
        <f t="shared" si="12023"/>
        <v>1</v>
      </c>
      <c r="F3943" s="391" t="str">
        <f t="shared" ref="F3943:G3943" si="12024">F3942</f>
        <v>air</v>
      </c>
      <c r="G3943" s="401" t="str">
        <f t="shared" si="12024"/>
        <v>DE: PLA(-blend) particle 0,1-1 mm (emission to air)</v>
      </c>
      <c r="H3943" s="465">
        <v>5.0000000000000001E-3</v>
      </c>
      <c r="I3943" s="394" t="s">
        <v>1163</v>
      </c>
      <c r="J3943" s="635"/>
      <c r="K3943" s="389">
        <v>1.1262857142862617E-3</v>
      </c>
      <c r="L3943" s="536"/>
      <c r="M3943" s="509">
        <f t="shared" si="11909"/>
        <v>1000</v>
      </c>
      <c r="N3943" s="646"/>
      <c r="O3943" s="626"/>
      <c r="P3943" s="629"/>
      <c r="Q3943" s="629"/>
    </row>
    <row r="3944" spans="1:17" ht="15.75" thickBot="1">
      <c r="A3944" s="586" t="str">
        <f t="shared" ref="A3944:B3944" si="12025">A3939</f>
        <v>PLA(-blend)</v>
      </c>
      <c r="B3944" s="453" t="str">
        <f t="shared" si="12025"/>
        <v>particle</v>
      </c>
      <c r="C3944" s="453">
        <f t="shared" ref="C3944" si="12026">C3943</f>
        <v>6</v>
      </c>
      <c r="D3944" s="453" t="str">
        <f t="shared" ref="D3944:E3944" si="12027">D3939</f>
        <v>0,1-1</v>
      </c>
      <c r="E3944" s="453">
        <f t="shared" si="12027"/>
        <v>1</v>
      </c>
      <c r="F3944" s="453" t="str">
        <f t="shared" ref="F3944:G3944" si="12028">F3943</f>
        <v>air</v>
      </c>
      <c r="G3944" s="454" t="str">
        <f t="shared" si="12028"/>
        <v>DE: PLA(-blend) particle 0,1-1 mm (emission to air)</v>
      </c>
      <c r="H3944" s="473">
        <v>0</v>
      </c>
      <c r="I3944" s="456" t="s">
        <v>1034</v>
      </c>
      <c r="J3944" s="636"/>
      <c r="K3944" s="457" t="s">
        <v>596</v>
      </c>
      <c r="L3944" s="543"/>
      <c r="M3944" s="509">
        <f t="shared" si="11909"/>
        <v>0</v>
      </c>
      <c r="N3944" s="647"/>
      <c r="O3944" s="627"/>
      <c r="P3944" s="629"/>
      <c r="Q3944" s="629"/>
    </row>
    <row r="3945" spans="1:17">
      <c r="A3945" s="381" t="str">
        <f t="shared" ref="A3945" si="12029">A3942</f>
        <v>PLA(-blend)</v>
      </c>
      <c r="B3945" s="406" t="s">
        <v>1152</v>
      </c>
      <c r="C3945" s="407">
        <v>6</v>
      </c>
      <c r="D3945" s="423" t="s">
        <v>1026</v>
      </c>
      <c r="E3945" s="408">
        <v>10</v>
      </c>
      <c r="F3945" s="424" t="s">
        <v>1019</v>
      </c>
      <c r="G3945" s="425" t="str">
        <f>CONCATENATE("DE: ",A3945," ",B3945," ",D3945," mm (emission to ",F3945,")")</f>
        <v>DE: PLA(-blend) particle 1-10 mm (emission to soil)</v>
      </c>
      <c r="H3945" s="474">
        <v>0.97</v>
      </c>
      <c r="I3945" s="427" t="s">
        <v>1019</v>
      </c>
      <c r="J3945" s="632">
        <v>0.22800000000000001</v>
      </c>
      <c r="K3945" s="428">
        <v>78.694724300850595</v>
      </c>
      <c r="L3945" s="539"/>
      <c r="M3945" s="509">
        <f t="shared" si="11909"/>
        <v>15.884165185219272</v>
      </c>
      <c r="N3945" s="645">
        <f t="shared" si="11974"/>
        <v>45.40764022966269</v>
      </c>
      <c r="O3945" s="625"/>
      <c r="P3945" s="628">
        <f t="shared" si="11846"/>
        <v>45.40764022966269</v>
      </c>
      <c r="Q3945" s="628">
        <f t="shared" si="11948"/>
        <v>45.40764022966269</v>
      </c>
    </row>
    <row r="3946" spans="1:17">
      <c r="A3946" s="381" t="str">
        <f>A3945</f>
        <v>PLA(-blend)</v>
      </c>
      <c r="B3946" s="391" t="str">
        <f>B3945</f>
        <v>particle</v>
      </c>
      <c r="C3946" s="391">
        <f t="shared" ref="C3946:G3946" si="12030">C3945</f>
        <v>6</v>
      </c>
      <c r="D3946" s="391" t="str">
        <f t="shared" si="12030"/>
        <v>1-10</v>
      </c>
      <c r="E3946" s="391">
        <f t="shared" si="12030"/>
        <v>10</v>
      </c>
      <c r="F3946" s="391" t="str">
        <f t="shared" si="12030"/>
        <v>soil</v>
      </c>
      <c r="G3946" s="392" t="str">
        <f t="shared" si="12030"/>
        <v>DE: PLA(-blend) particle 1-10 mm (emission to soil)</v>
      </c>
      <c r="H3946" s="465">
        <v>0</v>
      </c>
      <c r="I3946" s="394" t="s">
        <v>1174</v>
      </c>
      <c r="J3946" s="632"/>
      <c r="K3946" s="395">
        <v>0</v>
      </c>
      <c r="L3946" s="537"/>
      <c r="M3946" s="509">
        <f t="shared" si="11909"/>
        <v>1000</v>
      </c>
      <c r="N3946" s="646"/>
      <c r="O3946" s="626"/>
      <c r="P3946" s="629"/>
      <c r="Q3946" s="629"/>
    </row>
    <row r="3947" spans="1:17">
      <c r="A3947" s="381" t="str">
        <f t="shared" ref="A3947:G3947" si="12031">A3946</f>
        <v>PLA(-blend)</v>
      </c>
      <c r="B3947" s="391" t="str">
        <f t="shared" si="12031"/>
        <v>particle</v>
      </c>
      <c r="C3947" s="391">
        <f t="shared" si="12031"/>
        <v>6</v>
      </c>
      <c r="D3947" s="391" t="str">
        <f t="shared" si="12031"/>
        <v>1-10</v>
      </c>
      <c r="E3947" s="391">
        <f t="shared" si="12031"/>
        <v>10</v>
      </c>
      <c r="F3947" s="391" t="str">
        <f t="shared" si="12031"/>
        <v>soil</v>
      </c>
      <c r="G3947" s="392" t="str">
        <f t="shared" si="12031"/>
        <v>DE: PLA(-blend) particle 1-10 mm (emission to soil)</v>
      </c>
      <c r="H3947" s="465">
        <v>2.7E-2</v>
      </c>
      <c r="I3947" s="394" t="s">
        <v>1143</v>
      </c>
      <c r="J3947" s="632"/>
      <c r="K3947" s="395">
        <v>1.1262857142862617E-3</v>
      </c>
      <c r="L3947" s="537"/>
      <c r="M3947" s="509">
        <f t="shared" si="11909"/>
        <v>1000</v>
      </c>
      <c r="N3947" s="646"/>
      <c r="O3947" s="626"/>
      <c r="P3947" s="629"/>
      <c r="Q3947" s="629"/>
    </row>
    <row r="3948" spans="1:17">
      <c r="A3948" s="381" t="str">
        <f t="shared" ref="A3948:G3948" si="12032">A3947</f>
        <v>PLA(-blend)</v>
      </c>
      <c r="B3948" s="391" t="str">
        <f t="shared" si="12032"/>
        <v>particle</v>
      </c>
      <c r="C3948" s="391">
        <f t="shared" si="12032"/>
        <v>6</v>
      </c>
      <c r="D3948" s="391" t="str">
        <f t="shared" si="12032"/>
        <v>1-10</v>
      </c>
      <c r="E3948" s="391">
        <f t="shared" si="12032"/>
        <v>10</v>
      </c>
      <c r="F3948" s="391" t="str">
        <f t="shared" si="12032"/>
        <v>soil</v>
      </c>
      <c r="G3948" s="392" t="str">
        <f t="shared" si="12032"/>
        <v>DE: PLA(-blend) particle 1-10 mm (emission to soil)</v>
      </c>
      <c r="H3948" s="465">
        <v>3.0000000000000001E-3</v>
      </c>
      <c r="I3948" s="394" t="s">
        <v>1163</v>
      </c>
      <c r="J3948" s="632"/>
      <c r="K3948" s="395">
        <v>1.1262857142862617E-3</v>
      </c>
      <c r="L3948" s="537"/>
      <c r="M3948" s="509">
        <f t="shared" si="11909"/>
        <v>1000</v>
      </c>
      <c r="N3948" s="646"/>
      <c r="O3948" s="626"/>
      <c r="P3948" s="629"/>
      <c r="Q3948" s="629"/>
    </row>
    <row r="3949" spans="1:17">
      <c r="A3949" s="381" t="str">
        <f>A3946</f>
        <v>PLA(-blend)</v>
      </c>
      <c r="B3949" s="391" t="str">
        <f>B3946</f>
        <v>particle</v>
      </c>
      <c r="C3949" s="391">
        <f t="shared" ref="C3949" si="12033">C3948</f>
        <v>6</v>
      </c>
      <c r="D3949" s="391" t="str">
        <f>D3946</f>
        <v>1-10</v>
      </c>
      <c r="E3949" s="391">
        <f>E3946</f>
        <v>10</v>
      </c>
      <c r="F3949" s="391" t="str">
        <f>F3946</f>
        <v>soil</v>
      </c>
      <c r="G3949" s="396" t="str">
        <f t="shared" ref="G3949" si="12034">G3948</f>
        <v>DE: PLA(-blend) particle 1-10 mm (emission to soil)</v>
      </c>
      <c r="H3949" s="465">
        <v>0</v>
      </c>
      <c r="I3949" s="397" t="s">
        <v>1034</v>
      </c>
      <c r="J3949" s="633"/>
      <c r="K3949" s="398" t="s">
        <v>596</v>
      </c>
      <c r="L3949" s="538"/>
      <c r="M3949" s="509">
        <f t="shared" si="11909"/>
        <v>0</v>
      </c>
      <c r="N3949" s="647"/>
      <c r="O3949" s="627"/>
      <c r="P3949" s="629"/>
      <c r="Q3949" s="629"/>
    </row>
    <row r="3950" spans="1:17">
      <c r="A3950" s="381" t="str">
        <f t="shared" ref="A3950:B3950" si="12035">A3947</f>
        <v>PLA(-blend)</v>
      </c>
      <c r="B3950" s="391" t="str">
        <f t="shared" si="12035"/>
        <v>particle</v>
      </c>
      <c r="C3950" s="391">
        <f t="shared" ref="C3950" si="12036">C3949</f>
        <v>6</v>
      </c>
      <c r="D3950" s="399" t="str">
        <f t="shared" ref="D3950:E3950" si="12037">D3947</f>
        <v>1-10</v>
      </c>
      <c r="E3950" s="391">
        <f t="shared" si="12037"/>
        <v>10</v>
      </c>
      <c r="F3950" s="400" t="s">
        <v>1147</v>
      </c>
      <c r="G3950" s="386" t="str">
        <f>CONCATENATE("DE: ",A3950," ",B3950," ",D3950," mm (emission to ",F3950,")")</f>
        <v>DE: PLA(-blend) particle 1-10 mm (emission to fresh water)</v>
      </c>
      <c r="H3950" s="466">
        <v>0</v>
      </c>
      <c r="I3950" s="388" t="s">
        <v>1019</v>
      </c>
      <c r="J3950" s="634">
        <v>0.22800000000000001</v>
      </c>
      <c r="K3950" s="389">
        <v>78.694724300850595</v>
      </c>
      <c r="L3950" s="536"/>
      <c r="M3950" s="509">
        <f t="shared" si="11909"/>
        <v>15.884165185219272</v>
      </c>
      <c r="N3950" s="645">
        <f t="shared" si="11974"/>
        <v>1000</v>
      </c>
      <c r="O3950" s="625"/>
      <c r="P3950" s="628">
        <f t="shared" si="11846"/>
        <v>100</v>
      </c>
      <c r="Q3950" s="628">
        <f t="shared" si="11948"/>
        <v>500</v>
      </c>
    </row>
    <row r="3951" spans="1:17">
      <c r="A3951" s="381" t="str">
        <f t="shared" ref="A3951:B3951" si="12038">A3948</f>
        <v>PLA(-blend)</v>
      </c>
      <c r="B3951" s="391" t="str">
        <f t="shared" si="12038"/>
        <v>particle</v>
      </c>
      <c r="C3951" s="391">
        <f t="shared" ref="C3951" si="12039">C3950</f>
        <v>6</v>
      </c>
      <c r="D3951" s="391" t="str">
        <f t="shared" ref="D3951:E3951" si="12040">D3948</f>
        <v>1-10</v>
      </c>
      <c r="E3951" s="391">
        <f t="shared" si="12040"/>
        <v>10</v>
      </c>
      <c r="F3951" s="391" t="str">
        <f t="shared" ref="F3951:G3951" si="12041">F3950</f>
        <v>fresh water</v>
      </c>
      <c r="G3951" s="401" t="str">
        <f t="shared" si="12041"/>
        <v>DE: PLA(-blend) particle 1-10 mm (emission to fresh water)</v>
      </c>
      <c r="H3951" s="465">
        <v>0</v>
      </c>
      <c r="I3951" s="394" t="s">
        <v>1174</v>
      </c>
      <c r="J3951" s="635"/>
      <c r="K3951" s="389">
        <v>0</v>
      </c>
      <c r="L3951" s="536"/>
      <c r="M3951" s="509">
        <f t="shared" si="11909"/>
        <v>1000</v>
      </c>
      <c r="N3951" s="646"/>
      <c r="O3951" s="626"/>
      <c r="P3951" s="629"/>
      <c r="Q3951" s="629"/>
    </row>
    <row r="3952" spans="1:17">
      <c r="A3952" s="381" t="str">
        <f t="shared" ref="A3952:B3952" si="12042">A3949</f>
        <v>PLA(-blend)</v>
      </c>
      <c r="B3952" s="391" t="str">
        <f t="shared" si="12042"/>
        <v>particle</v>
      </c>
      <c r="C3952" s="391">
        <f t="shared" ref="C3952" si="12043">C3951</f>
        <v>6</v>
      </c>
      <c r="D3952" s="391" t="str">
        <f t="shared" ref="D3952:E3952" si="12044">D3949</f>
        <v>1-10</v>
      </c>
      <c r="E3952" s="391">
        <f t="shared" si="12044"/>
        <v>10</v>
      </c>
      <c r="F3952" s="391" t="str">
        <f t="shared" ref="F3952:G3952" si="12045">F3951</f>
        <v>fresh water</v>
      </c>
      <c r="G3952" s="401" t="str">
        <f t="shared" si="12045"/>
        <v>DE: PLA(-blend) particle 1-10 mm (emission to fresh water)</v>
      </c>
      <c r="H3952" s="465">
        <v>0.89</v>
      </c>
      <c r="I3952" s="394" t="s">
        <v>1143</v>
      </c>
      <c r="J3952" s="635"/>
      <c r="K3952" s="389">
        <v>1.1262857142862617E-3</v>
      </c>
      <c r="L3952" s="536"/>
      <c r="M3952" s="509">
        <f t="shared" si="11909"/>
        <v>1000</v>
      </c>
      <c r="N3952" s="646"/>
      <c r="O3952" s="626"/>
      <c r="P3952" s="629"/>
      <c r="Q3952" s="629"/>
    </row>
    <row r="3953" spans="1:17">
      <c r="A3953" s="381" t="str">
        <f t="shared" ref="A3953:B3953" si="12046">A3950</f>
        <v>PLA(-blend)</v>
      </c>
      <c r="B3953" s="391" t="str">
        <f t="shared" si="12046"/>
        <v>particle</v>
      </c>
      <c r="C3953" s="391">
        <f t="shared" ref="C3953" si="12047">C3952</f>
        <v>6</v>
      </c>
      <c r="D3953" s="391" t="str">
        <f t="shared" ref="D3953:E3953" si="12048">D3950</f>
        <v>1-10</v>
      </c>
      <c r="E3953" s="391">
        <f t="shared" si="12048"/>
        <v>10</v>
      </c>
      <c r="F3953" s="391" t="str">
        <f t="shared" ref="F3953:G3953" si="12049">F3952</f>
        <v>fresh water</v>
      </c>
      <c r="G3953" s="401" t="str">
        <f t="shared" si="12049"/>
        <v>DE: PLA(-blend) particle 1-10 mm (emission to fresh water)</v>
      </c>
      <c r="H3953" s="465">
        <v>0.11</v>
      </c>
      <c r="I3953" s="394" t="s">
        <v>1163</v>
      </c>
      <c r="J3953" s="635"/>
      <c r="K3953" s="389">
        <v>1.1262857142862617E-3</v>
      </c>
      <c r="L3953" s="536"/>
      <c r="M3953" s="509">
        <f t="shared" si="11909"/>
        <v>1000</v>
      </c>
      <c r="N3953" s="646"/>
      <c r="O3953" s="626"/>
      <c r="P3953" s="629"/>
      <c r="Q3953" s="629"/>
    </row>
    <row r="3954" spans="1:17">
      <c r="A3954" s="381" t="str">
        <f t="shared" ref="A3954:B3954" si="12050">A3951</f>
        <v>PLA(-blend)</v>
      </c>
      <c r="B3954" s="391" t="str">
        <f t="shared" si="12050"/>
        <v>particle</v>
      </c>
      <c r="C3954" s="391">
        <f t="shared" ref="C3954" si="12051">C3953</f>
        <v>6</v>
      </c>
      <c r="D3954" s="391" t="str">
        <f t="shared" ref="D3954:E3954" si="12052">D3951</f>
        <v>1-10</v>
      </c>
      <c r="E3954" s="391">
        <f t="shared" si="12052"/>
        <v>10</v>
      </c>
      <c r="F3954" s="402" t="str">
        <f>F3951</f>
        <v>fresh water</v>
      </c>
      <c r="G3954" s="401" t="str">
        <f t="shared" ref="G3954" si="12053">G3953</f>
        <v>DE: PLA(-blend) particle 1-10 mm (emission to fresh water)</v>
      </c>
      <c r="H3954" s="465">
        <v>0</v>
      </c>
      <c r="I3954" s="397" t="s">
        <v>1034</v>
      </c>
      <c r="J3954" s="654"/>
      <c r="K3954" s="398" t="s">
        <v>596</v>
      </c>
      <c r="L3954" s="538"/>
      <c r="M3954" s="509">
        <f t="shared" si="11909"/>
        <v>0</v>
      </c>
      <c r="N3954" s="647"/>
      <c r="O3954" s="627"/>
      <c r="P3954" s="629"/>
      <c r="Q3954" s="629"/>
    </row>
    <row r="3955" spans="1:17">
      <c r="A3955" s="381" t="str">
        <f t="shared" ref="A3955:B3955" si="12054">A3952</f>
        <v>PLA(-blend)</v>
      </c>
      <c r="B3955" s="391" t="str">
        <f t="shared" si="12054"/>
        <v>particle</v>
      </c>
      <c r="C3955" s="391">
        <f t="shared" ref="C3955" si="12055">C3954</f>
        <v>6</v>
      </c>
      <c r="D3955" s="391" t="str">
        <f t="shared" ref="D3955:E3955" si="12056">D3952</f>
        <v>1-10</v>
      </c>
      <c r="E3955" s="391">
        <f t="shared" si="12056"/>
        <v>10</v>
      </c>
      <c r="F3955" s="385" t="s">
        <v>1097</v>
      </c>
      <c r="G3955" s="422" t="str">
        <f>CONCATENATE("DE: ",A3955," ",B3955," ",D3955," mm (emission to ",F3955,")")</f>
        <v>DE: PLA(-blend) particle 1-10 mm (emission to marine water)</v>
      </c>
      <c r="H3955" s="467">
        <v>0</v>
      </c>
      <c r="I3955" s="388" t="s">
        <v>1019</v>
      </c>
      <c r="J3955" s="634">
        <v>0.22800000000000001</v>
      </c>
      <c r="K3955" s="389">
        <v>78.694724300850595</v>
      </c>
      <c r="L3955" s="536"/>
      <c r="M3955" s="509">
        <f t="shared" si="11909"/>
        <v>15.884165185219272</v>
      </c>
      <c r="N3955" s="645">
        <f t="shared" si="11974"/>
        <v>1000</v>
      </c>
      <c r="O3955" s="625"/>
      <c r="P3955" s="628">
        <f t="shared" ref="P3955:P3995" si="12057">IFERROR(IF(H3955*M3955+H3956*M3956+H3957*M3957+H3958*M3958+H3959*M3959&gt;100,100,H3955*M3955+H3956*M3956+H3957*M3957+H3958*M3958+H3959*M3959),"N.A.")</f>
        <v>100</v>
      </c>
      <c r="Q3955" s="628">
        <f t="shared" si="11948"/>
        <v>500</v>
      </c>
    </row>
    <row r="3956" spans="1:17">
      <c r="A3956" s="381" t="str">
        <f t="shared" ref="A3956:B3956" si="12058">A3953</f>
        <v>PLA(-blend)</v>
      </c>
      <c r="B3956" s="391" t="str">
        <f t="shared" si="12058"/>
        <v>particle</v>
      </c>
      <c r="C3956" s="391">
        <f t="shared" ref="C3956" si="12059">C3955</f>
        <v>6</v>
      </c>
      <c r="D3956" s="391" t="str">
        <f t="shared" ref="D3956:E3956" si="12060">D3953</f>
        <v>1-10</v>
      </c>
      <c r="E3956" s="391">
        <f t="shared" si="12060"/>
        <v>10</v>
      </c>
      <c r="F3956" s="391" t="str">
        <f t="shared" ref="F3956:G3956" si="12061">F3955</f>
        <v>marine water</v>
      </c>
      <c r="G3956" s="401" t="str">
        <f t="shared" si="12061"/>
        <v>DE: PLA(-blend) particle 1-10 mm (emission to marine water)</v>
      </c>
      <c r="H3956" s="465">
        <v>0</v>
      </c>
      <c r="I3956" s="394" t="s">
        <v>1174</v>
      </c>
      <c r="J3956" s="635"/>
      <c r="K3956" s="389">
        <v>0</v>
      </c>
      <c r="L3956" s="536"/>
      <c r="M3956" s="509">
        <f t="shared" si="11909"/>
        <v>1000</v>
      </c>
      <c r="N3956" s="646"/>
      <c r="O3956" s="626"/>
      <c r="P3956" s="629"/>
      <c r="Q3956" s="629"/>
    </row>
    <row r="3957" spans="1:17">
      <c r="A3957" s="381" t="str">
        <f t="shared" ref="A3957:B3957" si="12062">A3954</f>
        <v>PLA(-blend)</v>
      </c>
      <c r="B3957" s="391" t="str">
        <f t="shared" si="12062"/>
        <v>particle</v>
      </c>
      <c r="C3957" s="391">
        <f t="shared" ref="C3957" si="12063">C3956</f>
        <v>6</v>
      </c>
      <c r="D3957" s="391" t="str">
        <f t="shared" ref="D3957:E3957" si="12064">D3954</f>
        <v>1-10</v>
      </c>
      <c r="E3957" s="391">
        <f t="shared" si="12064"/>
        <v>10</v>
      </c>
      <c r="F3957" s="391" t="str">
        <f t="shared" ref="F3957:G3957" si="12065">F3956</f>
        <v>marine water</v>
      </c>
      <c r="G3957" s="401" t="str">
        <f t="shared" si="12065"/>
        <v>DE: PLA(-blend) particle 1-10 mm (emission to marine water)</v>
      </c>
      <c r="H3957" s="465">
        <v>0</v>
      </c>
      <c r="I3957" s="394" t="s">
        <v>1143</v>
      </c>
      <c r="J3957" s="635"/>
      <c r="K3957" s="389">
        <v>1.1262857142862617E-3</v>
      </c>
      <c r="L3957" s="536"/>
      <c r="M3957" s="509">
        <f t="shared" si="11909"/>
        <v>1000</v>
      </c>
      <c r="N3957" s="646"/>
      <c r="O3957" s="626"/>
      <c r="P3957" s="629"/>
      <c r="Q3957" s="629"/>
    </row>
    <row r="3958" spans="1:17">
      <c r="A3958" s="381" t="str">
        <f t="shared" ref="A3958:B3958" si="12066">A3955</f>
        <v>PLA(-blend)</v>
      </c>
      <c r="B3958" s="391" t="str">
        <f t="shared" si="12066"/>
        <v>particle</v>
      </c>
      <c r="C3958" s="391">
        <f t="shared" ref="C3958" si="12067">C3957</f>
        <v>6</v>
      </c>
      <c r="D3958" s="391" t="str">
        <f t="shared" ref="D3958:E3958" si="12068">D3955</f>
        <v>1-10</v>
      </c>
      <c r="E3958" s="391">
        <f t="shared" si="12068"/>
        <v>10</v>
      </c>
      <c r="F3958" s="391" t="str">
        <f t="shared" ref="F3958:G3958" si="12069">F3957</f>
        <v>marine water</v>
      </c>
      <c r="G3958" s="401" t="str">
        <f t="shared" si="12069"/>
        <v>DE: PLA(-blend) particle 1-10 mm (emission to marine water)</v>
      </c>
      <c r="H3958" s="465">
        <v>1</v>
      </c>
      <c r="I3958" s="394" t="s">
        <v>1163</v>
      </c>
      <c r="J3958" s="635"/>
      <c r="K3958" s="389">
        <v>1.1262857142862617E-3</v>
      </c>
      <c r="L3958" s="536"/>
      <c r="M3958" s="509">
        <f t="shared" si="11909"/>
        <v>1000</v>
      </c>
      <c r="N3958" s="646"/>
      <c r="O3958" s="626"/>
      <c r="P3958" s="629"/>
      <c r="Q3958" s="629"/>
    </row>
    <row r="3959" spans="1:17">
      <c r="A3959" s="381" t="str">
        <f t="shared" ref="A3959:B3959" si="12070">A3956</f>
        <v>PLA(-blend)</v>
      </c>
      <c r="B3959" s="391" t="str">
        <f t="shared" si="12070"/>
        <v>particle</v>
      </c>
      <c r="C3959" s="391">
        <f t="shared" ref="C3959" si="12071">C3958</f>
        <v>6</v>
      </c>
      <c r="D3959" s="391" t="str">
        <f t="shared" ref="D3959:E3959" si="12072">D3956</f>
        <v>1-10</v>
      </c>
      <c r="E3959" s="391">
        <f t="shared" si="12072"/>
        <v>10</v>
      </c>
      <c r="F3959" s="391" t="str">
        <f t="shared" ref="F3959:G3959" si="12073">F3958</f>
        <v>marine water</v>
      </c>
      <c r="G3959" s="401" t="str">
        <f t="shared" si="12073"/>
        <v>DE: PLA(-blend) particle 1-10 mm (emission to marine water)</v>
      </c>
      <c r="H3959" s="465">
        <v>0</v>
      </c>
      <c r="I3959" s="397" t="s">
        <v>1034</v>
      </c>
      <c r="J3959" s="654"/>
      <c r="K3959" s="398" t="s">
        <v>596</v>
      </c>
      <c r="L3959" s="538"/>
      <c r="M3959" s="509">
        <f t="shared" si="11909"/>
        <v>0</v>
      </c>
      <c r="N3959" s="647"/>
      <c r="O3959" s="627"/>
      <c r="P3959" s="629"/>
      <c r="Q3959" s="629"/>
    </row>
    <row r="3960" spans="1:17">
      <c r="A3960" s="381" t="str">
        <f t="shared" ref="A3960:B3960" si="12074">A3957</f>
        <v>PLA(-blend)</v>
      </c>
      <c r="B3960" s="391" t="str">
        <f t="shared" si="12074"/>
        <v>particle</v>
      </c>
      <c r="C3960" s="391">
        <f t="shared" ref="C3960" si="12075">C3959</f>
        <v>6</v>
      </c>
      <c r="D3960" s="391" t="str">
        <f t="shared" ref="D3960:E3960" si="12076">D3957</f>
        <v>1-10</v>
      </c>
      <c r="E3960" s="391">
        <f t="shared" si="12076"/>
        <v>10</v>
      </c>
      <c r="F3960" s="400" t="s">
        <v>1057</v>
      </c>
      <c r="G3960" s="422" t="str">
        <f>CONCATENATE("DE: ",A3960," ",B3960," ",D3960," mm (emission to ",F3960,")")</f>
        <v>DE: PLA(-blend) particle 1-10 mm (emission to air)</v>
      </c>
      <c r="H3960" s="467">
        <v>0.94799999999999995</v>
      </c>
      <c r="I3960" s="388" t="s">
        <v>1019</v>
      </c>
      <c r="J3960" s="634">
        <v>0.22800000000000001</v>
      </c>
      <c r="K3960" s="389">
        <v>78.694724300850595</v>
      </c>
      <c r="L3960" s="536"/>
      <c r="M3960" s="509">
        <f t="shared" si="11909"/>
        <v>15.884165185219272</v>
      </c>
      <c r="N3960" s="645">
        <f t="shared" si="11974"/>
        <v>67.058188595587865</v>
      </c>
      <c r="O3960" s="625"/>
      <c r="P3960" s="628">
        <f t="shared" si="12057"/>
        <v>67.058188595587865</v>
      </c>
      <c r="Q3960" s="628">
        <f t="shared" si="11948"/>
        <v>67.058188595587865</v>
      </c>
    </row>
    <row r="3961" spans="1:17">
      <c r="A3961" s="381" t="str">
        <f t="shared" ref="A3961:B3961" si="12077">A3958</f>
        <v>PLA(-blend)</v>
      </c>
      <c r="B3961" s="391" t="str">
        <f t="shared" si="12077"/>
        <v>particle</v>
      </c>
      <c r="C3961" s="391">
        <f t="shared" ref="C3961" si="12078">C3960</f>
        <v>6</v>
      </c>
      <c r="D3961" s="391" t="str">
        <f t="shared" ref="D3961:E3961" si="12079">D3958</f>
        <v>1-10</v>
      </c>
      <c r="E3961" s="391">
        <f t="shared" si="12079"/>
        <v>10</v>
      </c>
      <c r="F3961" s="391" t="str">
        <f t="shared" ref="F3961:G3961" si="12080">F3960</f>
        <v>air</v>
      </c>
      <c r="G3961" s="401" t="str">
        <f t="shared" si="12080"/>
        <v>DE: PLA(-blend) particle 1-10 mm (emission to air)</v>
      </c>
      <c r="H3961" s="465">
        <v>0</v>
      </c>
      <c r="I3961" s="394" t="s">
        <v>1174</v>
      </c>
      <c r="J3961" s="635"/>
      <c r="K3961" s="389">
        <v>0</v>
      </c>
      <c r="L3961" s="536"/>
      <c r="M3961" s="509">
        <f t="shared" si="11909"/>
        <v>1000</v>
      </c>
      <c r="N3961" s="646"/>
      <c r="O3961" s="626"/>
      <c r="P3961" s="629"/>
      <c r="Q3961" s="629"/>
    </row>
    <row r="3962" spans="1:17">
      <c r="A3962" s="381" t="str">
        <f t="shared" ref="A3962:B3962" si="12081">A3959</f>
        <v>PLA(-blend)</v>
      </c>
      <c r="B3962" s="391" t="str">
        <f t="shared" si="12081"/>
        <v>particle</v>
      </c>
      <c r="C3962" s="391">
        <f t="shared" ref="C3962" si="12082">C3961</f>
        <v>6</v>
      </c>
      <c r="D3962" s="391" t="str">
        <f t="shared" ref="D3962:E3962" si="12083">D3959</f>
        <v>1-10</v>
      </c>
      <c r="E3962" s="391">
        <f t="shared" si="12083"/>
        <v>10</v>
      </c>
      <c r="F3962" s="391" t="str">
        <f t="shared" ref="F3962:G3962" si="12084">F3961</f>
        <v>air</v>
      </c>
      <c r="G3962" s="401" t="str">
        <f t="shared" si="12084"/>
        <v>DE: PLA(-blend) particle 1-10 mm (emission to air)</v>
      </c>
      <c r="H3962" s="465">
        <v>4.7E-2</v>
      </c>
      <c r="I3962" s="394" t="s">
        <v>1143</v>
      </c>
      <c r="J3962" s="635"/>
      <c r="K3962" s="389">
        <v>1.1262857142862617E-3</v>
      </c>
      <c r="L3962" s="536"/>
      <c r="M3962" s="509">
        <f t="shared" si="11909"/>
        <v>1000</v>
      </c>
      <c r="N3962" s="646"/>
      <c r="O3962" s="626"/>
      <c r="P3962" s="629"/>
      <c r="Q3962" s="629"/>
    </row>
    <row r="3963" spans="1:17">
      <c r="A3963" s="381" t="str">
        <f t="shared" ref="A3963:B3963" si="12085">A3960</f>
        <v>PLA(-blend)</v>
      </c>
      <c r="B3963" s="391" t="str">
        <f t="shared" si="12085"/>
        <v>particle</v>
      </c>
      <c r="C3963" s="391">
        <f t="shared" ref="C3963" si="12086">C3962</f>
        <v>6</v>
      </c>
      <c r="D3963" s="391" t="str">
        <f t="shared" ref="D3963:E3963" si="12087">D3960</f>
        <v>1-10</v>
      </c>
      <c r="E3963" s="391">
        <f t="shared" si="12087"/>
        <v>10</v>
      </c>
      <c r="F3963" s="391" t="str">
        <f t="shared" ref="F3963:G3963" si="12088">F3962</f>
        <v>air</v>
      </c>
      <c r="G3963" s="401" t="str">
        <f t="shared" si="12088"/>
        <v>DE: PLA(-blend) particle 1-10 mm (emission to air)</v>
      </c>
      <c r="H3963" s="465">
        <v>5.0000000000000001E-3</v>
      </c>
      <c r="I3963" s="394" t="s">
        <v>1163</v>
      </c>
      <c r="J3963" s="635"/>
      <c r="K3963" s="389">
        <v>1.1262857142862617E-3</v>
      </c>
      <c r="L3963" s="536"/>
      <c r="M3963" s="509">
        <f t="shared" si="11909"/>
        <v>1000</v>
      </c>
      <c r="N3963" s="646"/>
      <c r="O3963" s="626"/>
      <c r="P3963" s="629"/>
      <c r="Q3963" s="629"/>
    </row>
    <row r="3964" spans="1:17" ht="15.75" thickBot="1">
      <c r="A3964" s="586" t="str">
        <f t="shared" ref="A3964:B3964" si="12089">A3959</f>
        <v>PLA(-blend)</v>
      </c>
      <c r="B3964" s="453" t="str">
        <f t="shared" si="12089"/>
        <v>particle</v>
      </c>
      <c r="C3964" s="453">
        <f t="shared" ref="C3964" si="12090">C3963</f>
        <v>6</v>
      </c>
      <c r="D3964" s="453" t="str">
        <f t="shared" ref="D3964:E3964" si="12091">D3959</f>
        <v>1-10</v>
      </c>
      <c r="E3964" s="453">
        <f t="shared" si="12091"/>
        <v>10</v>
      </c>
      <c r="F3964" s="453" t="str">
        <f t="shared" ref="F3964:G3964" si="12092">F3963</f>
        <v>air</v>
      </c>
      <c r="G3964" s="454" t="str">
        <f t="shared" si="12092"/>
        <v>DE: PLA(-blend) particle 1-10 mm (emission to air)</v>
      </c>
      <c r="H3964" s="473">
        <v>0</v>
      </c>
      <c r="I3964" s="456" t="s">
        <v>1034</v>
      </c>
      <c r="J3964" s="636"/>
      <c r="K3964" s="457" t="s">
        <v>596</v>
      </c>
      <c r="L3964" s="543"/>
      <c r="M3964" s="509">
        <f t="shared" si="11909"/>
        <v>0</v>
      </c>
      <c r="N3964" s="647"/>
      <c r="O3964" s="627"/>
      <c r="P3964" s="629"/>
      <c r="Q3964" s="629"/>
    </row>
    <row r="3965" spans="1:17" ht="15.75" hidden="1" thickTop="1">
      <c r="A3965" s="442" t="s">
        <v>1059</v>
      </c>
      <c r="B3965" s="443" t="s">
        <v>996</v>
      </c>
      <c r="C3965" s="444">
        <f>IF(OR(B3965="Folie", B3965="Strips", B3965="Film",B3965="Flakes",B3965="Coupon"), 2,IF(OR(B3965="Fibers",B3965="Pellets"),4,IF(OR(B3965="Particles",B3965="Shreds",B3965="Powder",B3965="Fragments",B3965="Granules"),6,"")))</f>
        <v>2</v>
      </c>
      <c r="D3965" s="444" t="s">
        <v>1018</v>
      </c>
      <c r="E3965" s="445">
        <v>0.1</v>
      </c>
      <c r="F3965" s="446" t="s">
        <v>1019</v>
      </c>
      <c r="G3965" s="447" t="str">
        <f>CONCATENATE("DE: ",A3965," ",B3965," ",D3965," mm (emission to ",F3965,")")</f>
        <v>DE: Starch-blend film 0,01-0,1 mm (emission to soil)</v>
      </c>
      <c r="H3965" s="464">
        <v>0.97</v>
      </c>
      <c r="I3965" s="448" t="s">
        <v>1019</v>
      </c>
      <c r="J3965" s="632">
        <v>0.22800000000000001</v>
      </c>
      <c r="K3965" s="449">
        <v>42.74</v>
      </c>
      <c r="L3965" s="541"/>
      <c r="M3965" s="509">
        <f t="shared" si="11909"/>
        <v>1.1698642957416938</v>
      </c>
      <c r="N3965" s="645">
        <f t="shared" si="11974"/>
        <v>1.1698642957416938</v>
      </c>
      <c r="O3965" s="625"/>
      <c r="P3965" s="628">
        <f t="shared" si="12057"/>
        <v>1.1698642957416938</v>
      </c>
      <c r="Q3965" s="628">
        <f t="shared" si="11948"/>
        <v>1.1698642957416938</v>
      </c>
    </row>
    <row r="3966" spans="1:17" hidden="1">
      <c r="A3966" s="390" t="str">
        <f>A3965</f>
        <v>Starch-blend</v>
      </c>
      <c r="B3966" s="391" t="str">
        <f>B3965</f>
        <v>film</v>
      </c>
      <c r="C3966" s="391">
        <f t="shared" ref="C3966:G3966" si="12093">C3965</f>
        <v>2</v>
      </c>
      <c r="D3966" s="391" t="str">
        <f t="shared" si="12093"/>
        <v>0,01-0,1</v>
      </c>
      <c r="E3966" s="391">
        <f t="shared" si="12093"/>
        <v>0.1</v>
      </c>
      <c r="F3966" s="391" t="str">
        <f t="shared" si="12093"/>
        <v>soil</v>
      </c>
      <c r="G3966" s="392" t="str">
        <f t="shared" si="12093"/>
        <v>DE: Starch-blend film 0,01-0,1 mm (emission to soil)</v>
      </c>
      <c r="H3966" s="465">
        <v>0</v>
      </c>
      <c r="I3966" s="394" t="s">
        <v>1097</v>
      </c>
      <c r="J3966" s="632"/>
      <c r="K3966" s="395">
        <v>101.29025539691933</v>
      </c>
      <c r="L3966" s="537"/>
      <c r="M3966" s="509">
        <f t="shared" si="11909"/>
        <v>0.49363090066332987</v>
      </c>
      <c r="N3966" s="646"/>
      <c r="O3966" s="626"/>
      <c r="P3966" s="629"/>
      <c r="Q3966" s="629"/>
    </row>
    <row r="3967" spans="1:17" hidden="1">
      <c r="A3967" s="390" t="str">
        <f t="shared" ref="A3967:G3967" si="12094">A3966</f>
        <v>Starch-blend</v>
      </c>
      <c r="B3967" s="391" t="str">
        <f t="shared" si="12094"/>
        <v>film</v>
      </c>
      <c r="C3967" s="391">
        <f t="shared" si="12094"/>
        <v>2</v>
      </c>
      <c r="D3967" s="391" t="str">
        <f t="shared" si="12094"/>
        <v>0,01-0,1</v>
      </c>
      <c r="E3967" s="391">
        <f t="shared" si="12094"/>
        <v>0.1</v>
      </c>
      <c r="F3967" s="391" t="str">
        <f t="shared" si="12094"/>
        <v>soil</v>
      </c>
      <c r="G3967" s="392" t="str">
        <f t="shared" si="12094"/>
        <v>DE: Starch-blend film 0,01-0,1 mm (emission to soil)</v>
      </c>
      <c r="H3967" s="465">
        <v>2.7E-2</v>
      </c>
      <c r="I3967" s="394" t="s">
        <v>1162</v>
      </c>
      <c r="J3967" s="632"/>
      <c r="K3967" s="395">
        <v>42.74</v>
      </c>
      <c r="L3967" s="537"/>
      <c r="M3967" s="509">
        <f t="shared" si="11909"/>
        <v>1.1698642957416938</v>
      </c>
      <c r="N3967" s="646"/>
      <c r="O3967" s="626"/>
      <c r="P3967" s="629"/>
      <c r="Q3967" s="629"/>
    </row>
    <row r="3968" spans="1:17" hidden="1">
      <c r="A3968" s="390" t="str">
        <f t="shared" ref="A3968:G3968" si="12095">A3967</f>
        <v>Starch-blend</v>
      </c>
      <c r="B3968" s="391" t="str">
        <f t="shared" si="12095"/>
        <v>film</v>
      </c>
      <c r="C3968" s="391">
        <f t="shared" si="12095"/>
        <v>2</v>
      </c>
      <c r="D3968" s="391" t="str">
        <f t="shared" si="12095"/>
        <v>0,01-0,1</v>
      </c>
      <c r="E3968" s="391">
        <f t="shared" si="12095"/>
        <v>0.1</v>
      </c>
      <c r="F3968" s="391" t="str">
        <f t="shared" si="12095"/>
        <v>soil</v>
      </c>
      <c r="G3968" s="392" t="str">
        <f t="shared" si="12095"/>
        <v>DE: Starch-blend film 0,01-0,1 mm (emission to soil)</v>
      </c>
      <c r="H3968" s="465">
        <v>3.0000000000000001E-3</v>
      </c>
      <c r="I3968" s="394" t="s">
        <v>1163</v>
      </c>
      <c r="J3968" s="632"/>
      <c r="K3968" s="395">
        <v>42.74</v>
      </c>
      <c r="L3968" s="537"/>
      <c r="M3968" s="509">
        <f t="shared" si="11909"/>
        <v>1.1698642957416938</v>
      </c>
      <c r="N3968" s="646"/>
      <c r="O3968" s="626"/>
      <c r="P3968" s="629"/>
      <c r="Q3968" s="629"/>
    </row>
    <row r="3969" spans="1:17" hidden="1">
      <c r="A3969" s="390" t="str">
        <f>A3966</f>
        <v>Starch-blend</v>
      </c>
      <c r="B3969" s="391" t="str">
        <f>B3966</f>
        <v>film</v>
      </c>
      <c r="C3969" s="391">
        <f t="shared" ref="C3969" si="12096">C3968</f>
        <v>2</v>
      </c>
      <c r="D3969" s="391" t="str">
        <f>D3966</f>
        <v>0,01-0,1</v>
      </c>
      <c r="E3969" s="391">
        <f>E3966</f>
        <v>0.1</v>
      </c>
      <c r="F3969" s="391" t="str">
        <f>F3966</f>
        <v>soil</v>
      </c>
      <c r="G3969" s="396" t="str">
        <f t="shared" ref="G3969" si="12097">G3968</f>
        <v>DE: Starch-blend film 0,01-0,1 mm (emission to soil)</v>
      </c>
      <c r="H3969" s="465">
        <v>0</v>
      </c>
      <c r="I3969" s="397" t="s">
        <v>1034</v>
      </c>
      <c r="J3969" s="633"/>
      <c r="K3969" s="398" t="s">
        <v>596</v>
      </c>
      <c r="L3969" s="538"/>
      <c r="M3969" s="509">
        <f t="shared" si="11909"/>
        <v>0</v>
      </c>
      <c r="N3969" s="647"/>
      <c r="O3969" s="627"/>
      <c r="P3969" s="629"/>
      <c r="Q3969" s="629"/>
    </row>
    <row r="3970" spans="1:17" hidden="1">
      <c r="A3970" s="390" t="str">
        <f t="shared" ref="A3970:B3970" si="12098">A3967</f>
        <v>Starch-blend</v>
      </c>
      <c r="B3970" s="391" t="str">
        <f t="shared" si="12098"/>
        <v>film</v>
      </c>
      <c r="C3970" s="391">
        <f t="shared" ref="C3970" si="12099">C3969</f>
        <v>2</v>
      </c>
      <c r="D3970" s="399" t="str">
        <f t="shared" ref="D3970:E3970" si="12100">D3967</f>
        <v>0,01-0,1</v>
      </c>
      <c r="E3970" s="391">
        <f t="shared" si="12100"/>
        <v>0.1</v>
      </c>
      <c r="F3970" s="400" t="s">
        <v>1147</v>
      </c>
      <c r="G3970" s="386" t="str">
        <f>CONCATENATE("DE: ",A3970," ",B3970," ",D3970," mm (emission to ",F3970,")")</f>
        <v>DE: Starch-blend film 0,01-0,1 mm (emission to fresh water)</v>
      </c>
      <c r="H3970" s="466">
        <v>0</v>
      </c>
      <c r="I3970" s="388" t="s">
        <v>1019</v>
      </c>
      <c r="J3970" s="634">
        <v>0.22800000000000001</v>
      </c>
      <c r="K3970" s="389">
        <v>42.74</v>
      </c>
      <c r="L3970" s="536"/>
      <c r="M3970" s="509">
        <f t="shared" si="11909"/>
        <v>1.1698642957416938</v>
      </c>
      <c r="N3970" s="645">
        <f t="shared" si="11974"/>
        <v>1.1698642957416938</v>
      </c>
      <c r="O3970" s="625"/>
      <c r="P3970" s="628">
        <f t="shared" si="12057"/>
        <v>1.1698642957416938</v>
      </c>
      <c r="Q3970" s="628">
        <f t="shared" si="11948"/>
        <v>1.1698642957416938</v>
      </c>
    </row>
    <row r="3971" spans="1:17" hidden="1">
      <c r="A3971" s="390" t="str">
        <f t="shared" ref="A3971:B3971" si="12101">A3968</f>
        <v>Starch-blend</v>
      </c>
      <c r="B3971" s="391" t="str">
        <f t="shared" si="12101"/>
        <v>film</v>
      </c>
      <c r="C3971" s="391">
        <f t="shared" ref="C3971" si="12102">C3970</f>
        <v>2</v>
      </c>
      <c r="D3971" s="391" t="str">
        <f t="shared" ref="D3971:E3971" si="12103">D3968</f>
        <v>0,01-0,1</v>
      </c>
      <c r="E3971" s="391">
        <f t="shared" si="12103"/>
        <v>0.1</v>
      </c>
      <c r="F3971" s="391" t="str">
        <f t="shared" ref="F3971:G3971" si="12104">F3970</f>
        <v>fresh water</v>
      </c>
      <c r="G3971" s="401" t="str">
        <f t="shared" si="12104"/>
        <v>DE: Starch-blend film 0,01-0,1 mm (emission to fresh water)</v>
      </c>
      <c r="H3971" s="465">
        <v>0</v>
      </c>
      <c r="I3971" s="394" t="s">
        <v>1097</v>
      </c>
      <c r="J3971" s="635"/>
      <c r="K3971" s="389">
        <v>101.29025539691933</v>
      </c>
      <c r="L3971" s="536"/>
      <c r="M3971" s="509">
        <f t="shared" si="11909"/>
        <v>0.49363090066332987</v>
      </c>
      <c r="N3971" s="646"/>
      <c r="O3971" s="626"/>
      <c r="P3971" s="629"/>
      <c r="Q3971" s="629"/>
    </row>
    <row r="3972" spans="1:17" hidden="1">
      <c r="A3972" s="390" t="str">
        <f t="shared" ref="A3972:B3972" si="12105">A3969</f>
        <v>Starch-blend</v>
      </c>
      <c r="B3972" s="391" t="str">
        <f t="shared" si="12105"/>
        <v>film</v>
      </c>
      <c r="C3972" s="391">
        <f t="shared" ref="C3972" si="12106">C3971</f>
        <v>2</v>
      </c>
      <c r="D3972" s="391" t="str">
        <f t="shared" ref="D3972:E3972" si="12107">D3969</f>
        <v>0,01-0,1</v>
      </c>
      <c r="E3972" s="391">
        <f t="shared" si="12107"/>
        <v>0.1</v>
      </c>
      <c r="F3972" s="391" t="str">
        <f t="shared" ref="F3972:G3972" si="12108">F3971</f>
        <v>fresh water</v>
      </c>
      <c r="G3972" s="401" t="str">
        <f t="shared" si="12108"/>
        <v>DE: Starch-blend film 0,01-0,1 mm (emission to fresh water)</v>
      </c>
      <c r="H3972" s="465">
        <v>0.89</v>
      </c>
      <c r="I3972" s="394" t="s">
        <v>1162</v>
      </c>
      <c r="J3972" s="635"/>
      <c r="K3972" s="389">
        <v>42.74</v>
      </c>
      <c r="L3972" s="536"/>
      <c r="M3972" s="509">
        <f t="shared" si="11909"/>
        <v>1.1698642957416938</v>
      </c>
      <c r="N3972" s="646"/>
      <c r="O3972" s="626"/>
      <c r="P3972" s="629"/>
      <c r="Q3972" s="629"/>
    </row>
    <row r="3973" spans="1:17" hidden="1">
      <c r="A3973" s="390" t="str">
        <f t="shared" ref="A3973:B3973" si="12109">A3970</f>
        <v>Starch-blend</v>
      </c>
      <c r="B3973" s="391" t="str">
        <f t="shared" si="12109"/>
        <v>film</v>
      </c>
      <c r="C3973" s="391">
        <f t="shared" ref="C3973" si="12110">C3972</f>
        <v>2</v>
      </c>
      <c r="D3973" s="391" t="str">
        <f t="shared" ref="D3973:E3973" si="12111">D3970</f>
        <v>0,01-0,1</v>
      </c>
      <c r="E3973" s="391">
        <f t="shared" si="12111"/>
        <v>0.1</v>
      </c>
      <c r="F3973" s="391" t="str">
        <f t="shared" ref="F3973:G3973" si="12112">F3972</f>
        <v>fresh water</v>
      </c>
      <c r="G3973" s="401" t="str">
        <f t="shared" si="12112"/>
        <v>DE: Starch-blend film 0,01-0,1 mm (emission to fresh water)</v>
      </c>
      <c r="H3973" s="465">
        <v>0.11</v>
      </c>
      <c r="I3973" s="394" t="s">
        <v>1163</v>
      </c>
      <c r="J3973" s="635"/>
      <c r="K3973" s="389">
        <v>42.74</v>
      </c>
      <c r="L3973" s="536"/>
      <c r="M3973" s="509">
        <f t="shared" si="11909"/>
        <v>1.1698642957416938</v>
      </c>
      <c r="N3973" s="646"/>
      <c r="O3973" s="626"/>
      <c r="P3973" s="629"/>
      <c r="Q3973" s="629"/>
    </row>
    <row r="3974" spans="1:17" hidden="1">
      <c r="A3974" s="390" t="str">
        <f t="shared" ref="A3974:B3974" si="12113">A3971</f>
        <v>Starch-blend</v>
      </c>
      <c r="B3974" s="391" t="str">
        <f t="shared" si="12113"/>
        <v>film</v>
      </c>
      <c r="C3974" s="391">
        <f t="shared" ref="C3974" si="12114">C3973</f>
        <v>2</v>
      </c>
      <c r="D3974" s="391" t="str">
        <f t="shared" ref="D3974:E3974" si="12115">D3971</f>
        <v>0,01-0,1</v>
      </c>
      <c r="E3974" s="391">
        <f t="shared" si="12115"/>
        <v>0.1</v>
      </c>
      <c r="F3974" s="402" t="str">
        <f>F3971</f>
        <v>fresh water</v>
      </c>
      <c r="G3974" s="401" t="str">
        <f t="shared" ref="G3974" si="12116">G3973</f>
        <v>DE: Starch-blend film 0,01-0,1 mm (emission to fresh water)</v>
      </c>
      <c r="H3974" s="465">
        <v>0</v>
      </c>
      <c r="I3974" s="397" t="s">
        <v>1034</v>
      </c>
      <c r="J3974" s="654"/>
      <c r="K3974" s="398" t="s">
        <v>596</v>
      </c>
      <c r="L3974" s="538"/>
      <c r="M3974" s="509">
        <f t="shared" ref="M3974:M4037" si="12117">IFERROR(IF(K3974="--",0,IF(E3974*1000/K3974*(1-0.5)^(C3974/2)&gt;1000,1000,E3974*1000/K3974*(1-0.5)^(C3974/2))),1000)</f>
        <v>0</v>
      </c>
      <c r="N3974" s="647"/>
      <c r="O3974" s="627"/>
      <c r="P3974" s="629"/>
      <c r="Q3974" s="629"/>
    </row>
    <row r="3975" spans="1:17" ht="15" hidden="1" customHeight="1">
      <c r="A3975" s="390" t="str">
        <f t="shared" ref="A3975:B3975" si="12118">A3972</f>
        <v>Starch-blend</v>
      </c>
      <c r="B3975" s="391" t="str">
        <f t="shared" si="12118"/>
        <v>film</v>
      </c>
      <c r="C3975" s="391">
        <f t="shared" ref="C3975" si="12119">C3974</f>
        <v>2</v>
      </c>
      <c r="D3975" s="391" t="str">
        <f t="shared" ref="D3975:E3975" si="12120">D3972</f>
        <v>0,01-0,1</v>
      </c>
      <c r="E3975" s="391">
        <f t="shared" si="12120"/>
        <v>0.1</v>
      </c>
      <c r="F3975" s="385" t="s">
        <v>1097</v>
      </c>
      <c r="G3975" s="422" t="str">
        <f>CONCATENATE("DE: ",A3975," ",B3975," ",D3975," mm (emission to ",F3975,")")</f>
        <v>DE: Starch-blend film 0,01-0,1 mm (emission to marine water)</v>
      </c>
      <c r="H3975" s="467">
        <v>0</v>
      </c>
      <c r="I3975" s="388" t="s">
        <v>1019</v>
      </c>
      <c r="J3975" s="634">
        <v>0.22800000000000001</v>
      </c>
      <c r="K3975" s="389">
        <v>42.74</v>
      </c>
      <c r="L3975" s="536"/>
      <c r="M3975" s="509">
        <f t="shared" si="12117"/>
        <v>1.1698642957416938</v>
      </c>
      <c r="N3975" s="645">
        <f t="shared" si="11974"/>
        <v>1.1698642957416938</v>
      </c>
      <c r="O3975" s="625"/>
      <c r="P3975" s="628">
        <f t="shared" si="12057"/>
        <v>1.1698642957416938</v>
      </c>
      <c r="Q3975" s="628">
        <f t="shared" si="11948"/>
        <v>1.1698642957416938</v>
      </c>
    </row>
    <row r="3976" spans="1:17" ht="15" hidden="1" customHeight="1">
      <c r="A3976" s="390" t="str">
        <f t="shared" ref="A3976:B3976" si="12121">A3973</f>
        <v>Starch-blend</v>
      </c>
      <c r="B3976" s="391" t="str">
        <f t="shared" si="12121"/>
        <v>film</v>
      </c>
      <c r="C3976" s="391">
        <f t="shared" ref="C3976" si="12122">C3975</f>
        <v>2</v>
      </c>
      <c r="D3976" s="391" t="str">
        <f t="shared" ref="D3976:E3976" si="12123">D3973</f>
        <v>0,01-0,1</v>
      </c>
      <c r="E3976" s="391">
        <f t="shared" si="12123"/>
        <v>0.1</v>
      </c>
      <c r="F3976" s="391" t="str">
        <f t="shared" ref="F3976:G3976" si="12124">F3975</f>
        <v>marine water</v>
      </c>
      <c r="G3976" s="401" t="str">
        <f t="shared" si="12124"/>
        <v>DE: Starch-blend film 0,01-0,1 mm (emission to marine water)</v>
      </c>
      <c r="H3976" s="465">
        <v>0</v>
      </c>
      <c r="I3976" s="394" t="s">
        <v>1097</v>
      </c>
      <c r="J3976" s="635"/>
      <c r="K3976" s="389">
        <v>101.29025539691933</v>
      </c>
      <c r="L3976" s="536"/>
      <c r="M3976" s="509">
        <f t="shared" si="12117"/>
        <v>0.49363090066332987</v>
      </c>
      <c r="N3976" s="646"/>
      <c r="O3976" s="626"/>
      <c r="P3976" s="629"/>
      <c r="Q3976" s="629"/>
    </row>
    <row r="3977" spans="1:17" ht="15" hidden="1" customHeight="1">
      <c r="A3977" s="390" t="str">
        <f t="shared" ref="A3977:B3977" si="12125">A3974</f>
        <v>Starch-blend</v>
      </c>
      <c r="B3977" s="391" t="str">
        <f t="shared" si="12125"/>
        <v>film</v>
      </c>
      <c r="C3977" s="391">
        <f t="shared" ref="C3977" si="12126">C3976</f>
        <v>2</v>
      </c>
      <c r="D3977" s="391" t="str">
        <f t="shared" ref="D3977:E3977" si="12127">D3974</f>
        <v>0,01-0,1</v>
      </c>
      <c r="E3977" s="391">
        <f t="shared" si="12127"/>
        <v>0.1</v>
      </c>
      <c r="F3977" s="391" t="str">
        <f t="shared" ref="F3977:G3977" si="12128">F3976</f>
        <v>marine water</v>
      </c>
      <c r="G3977" s="401" t="str">
        <f t="shared" si="12128"/>
        <v>DE: Starch-blend film 0,01-0,1 mm (emission to marine water)</v>
      </c>
      <c r="H3977" s="465">
        <v>0</v>
      </c>
      <c r="I3977" s="394" t="s">
        <v>1162</v>
      </c>
      <c r="J3977" s="635"/>
      <c r="K3977" s="389">
        <v>42.74</v>
      </c>
      <c r="L3977" s="536"/>
      <c r="M3977" s="509">
        <f t="shared" si="12117"/>
        <v>1.1698642957416938</v>
      </c>
      <c r="N3977" s="646"/>
      <c r="O3977" s="626"/>
      <c r="P3977" s="629"/>
      <c r="Q3977" s="629"/>
    </row>
    <row r="3978" spans="1:17" ht="15" hidden="1" customHeight="1">
      <c r="A3978" s="390" t="str">
        <f t="shared" ref="A3978:B3978" si="12129">A3975</f>
        <v>Starch-blend</v>
      </c>
      <c r="B3978" s="391" t="str">
        <f t="shared" si="12129"/>
        <v>film</v>
      </c>
      <c r="C3978" s="391">
        <f t="shared" ref="C3978" si="12130">C3977</f>
        <v>2</v>
      </c>
      <c r="D3978" s="391" t="str">
        <f t="shared" ref="D3978:E3978" si="12131">D3975</f>
        <v>0,01-0,1</v>
      </c>
      <c r="E3978" s="391">
        <f t="shared" si="12131"/>
        <v>0.1</v>
      </c>
      <c r="F3978" s="391" t="str">
        <f t="shared" ref="F3978:G3978" si="12132">F3977</f>
        <v>marine water</v>
      </c>
      <c r="G3978" s="401" t="str">
        <f t="shared" si="12132"/>
        <v>DE: Starch-blend film 0,01-0,1 mm (emission to marine water)</v>
      </c>
      <c r="H3978" s="465">
        <v>1</v>
      </c>
      <c r="I3978" s="394" t="s">
        <v>1163</v>
      </c>
      <c r="J3978" s="635"/>
      <c r="K3978" s="389">
        <v>42.74</v>
      </c>
      <c r="L3978" s="536"/>
      <c r="M3978" s="509">
        <f t="shared" si="12117"/>
        <v>1.1698642957416938</v>
      </c>
      <c r="N3978" s="646"/>
      <c r="O3978" s="626"/>
      <c r="P3978" s="629"/>
      <c r="Q3978" s="629"/>
    </row>
    <row r="3979" spans="1:17" hidden="1">
      <c r="A3979" s="390" t="str">
        <f t="shared" ref="A3979:B3979" si="12133">A3976</f>
        <v>Starch-blend</v>
      </c>
      <c r="B3979" s="391" t="str">
        <f t="shared" si="12133"/>
        <v>film</v>
      </c>
      <c r="C3979" s="391">
        <f t="shared" ref="C3979" si="12134">C3978</f>
        <v>2</v>
      </c>
      <c r="D3979" s="391" t="str">
        <f t="shared" ref="D3979:E3979" si="12135">D3976</f>
        <v>0,01-0,1</v>
      </c>
      <c r="E3979" s="391">
        <f t="shared" si="12135"/>
        <v>0.1</v>
      </c>
      <c r="F3979" s="391" t="str">
        <f t="shared" ref="F3979:G3979" si="12136">F3978</f>
        <v>marine water</v>
      </c>
      <c r="G3979" s="401" t="str">
        <f t="shared" si="12136"/>
        <v>DE: Starch-blend film 0,01-0,1 mm (emission to marine water)</v>
      </c>
      <c r="H3979" s="465">
        <v>0</v>
      </c>
      <c r="I3979" s="397" t="s">
        <v>1034</v>
      </c>
      <c r="J3979" s="654"/>
      <c r="K3979" s="398" t="s">
        <v>596</v>
      </c>
      <c r="L3979" s="538"/>
      <c r="M3979" s="509">
        <f t="shared" si="12117"/>
        <v>0</v>
      </c>
      <c r="N3979" s="647"/>
      <c r="O3979" s="627"/>
      <c r="P3979" s="629"/>
      <c r="Q3979" s="629"/>
    </row>
    <row r="3980" spans="1:17" hidden="1">
      <c r="A3980" s="390" t="str">
        <f t="shared" ref="A3980:B3980" si="12137">A3977</f>
        <v>Starch-blend</v>
      </c>
      <c r="B3980" s="391" t="str">
        <f t="shared" si="12137"/>
        <v>film</v>
      </c>
      <c r="C3980" s="391">
        <f t="shared" ref="C3980" si="12138">C3979</f>
        <v>2</v>
      </c>
      <c r="D3980" s="391" t="str">
        <f t="shared" ref="D3980:E3980" si="12139">D3977</f>
        <v>0,01-0,1</v>
      </c>
      <c r="E3980" s="391">
        <f t="shared" si="12139"/>
        <v>0.1</v>
      </c>
      <c r="F3980" s="400" t="s">
        <v>1057</v>
      </c>
      <c r="G3980" s="422" t="str">
        <f>CONCATENATE("DE: ",A3980," ",B3980," ",D3980," mm (emission to ",F3980,")")</f>
        <v>DE: Starch-blend film 0,01-0,1 mm (emission to air)</v>
      </c>
      <c r="H3980" s="467">
        <v>0.94799999999999995</v>
      </c>
      <c r="I3980" s="388" t="s">
        <v>1019</v>
      </c>
      <c r="J3980" s="634">
        <v>0.22800000000000001</v>
      </c>
      <c r="K3980" s="389">
        <v>42.74</v>
      </c>
      <c r="L3980" s="536"/>
      <c r="M3980" s="509">
        <f t="shared" si="12117"/>
        <v>1.1698642957416938</v>
      </c>
      <c r="N3980" s="645">
        <f t="shared" si="11974"/>
        <v>1.1698642957416938</v>
      </c>
      <c r="O3980" s="625"/>
      <c r="P3980" s="628">
        <f t="shared" si="12057"/>
        <v>1.1698642957416938</v>
      </c>
      <c r="Q3980" s="628">
        <f t="shared" si="11948"/>
        <v>1.1698642957416938</v>
      </c>
    </row>
    <row r="3981" spans="1:17" hidden="1">
      <c r="A3981" s="390" t="str">
        <f t="shared" ref="A3981:B3981" si="12140">A3978</f>
        <v>Starch-blend</v>
      </c>
      <c r="B3981" s="391" t="str">
        <f t="shared" si="12140"/>
        <v>film</v>
      </c>
      <c r="C3981" s="391">
        <f t="shared" ref="C3981" si="12141">C3980</f>
        <v>2</v>
      </c>
      <c r="D3981" s="391" t="str">
        <f t="shared" ref="D3981:E3981" si="12142">D3978</f>
        <v>0,01-0,1</v>
      </c>
      <c r="E3981" s="391">
        <f t="shared" si="12142"/>
        <v>0.1</v>
      </c>
      <c r="F3981" s="391" t="str">
        <f t="shared" ref="F3981:G3981" si="12143">F3980</f>
        <v>air</v>
      </c>
      <c r="G3981" s="401" t="str">
        <f t="shared" si="12143"/>
        <v>DE: Starch-blend film 0,01-0,1 mm (emission to air)</v>
      </c>
      <c r="H3981" s="465">
        <v>0</v>
      </c>
      <c r="I3981" s="394" t="s">
        <v>1097</v>
      </c>
      <c r="J3981" s="635"/>
      <c r="K3981" s="389">
        <v>101.29025539691933</v>
      </c>
      <c r="L3981" s="536"/>
      <c r="M3981" s="509">
        <f t="shared" si="12117"/>
        <v>0.49363090066332987</v>
      </c>
      <c r="N3981" s="646"/>
      <c r="O3981" s="626"/>
      <c r="P3981" s="629"/>
      <c r="Q3981" s="629"/>
    </row>
    <row r="3982" spans="1:17" hidden="1">
      <c r="A3982" s="390" t="str">
        <f t="shared" ref="A3982:B3982" si="12144">A3979</f>
        <v>Starch-blend</v>
      </c>
      <c r="B3982" s="391" t="str">
        <f t="shared" si="12144"/>
        <v>film</v>
      </c>
      <c r="C3982" s="391">
        <f t="shared" ref="C3982" si="12145">C3981</f>
        <v>2</v>
      </c>
      <c r="D3982" s="391" t="str">
        <f t="shared" ref="D3982:E3982" si="12146">D3979</f>
        <v>0,01-0,1</v>
      </c>
      <c r="E3982" s="391">
        <f t="shared" si="12146"/>
        <v>0.1</v>
      </c>
      <c r="F3982" s="391" t="str">
        <f t="shared" ref="F3982:G3982" si="12147">F3981</f>
        <v>air</v>
      </c>
      <c r="G3982" s="401" t="str">
        <f t="shared" si="12147"/>
        <v>DE: Starch-blend film 0,01-0,1 mm (emission to air)</v>
      </c>
      <c r="H3982" s="465">
        <v>4.7E-2</v>
      </c>
      <c r="I3982" s="394" t="s">
        <v>1162</v>
      </c>
      <c r="J3982" s="635"/>
      <c r="K3982" s="389">
        <v>42.74</v>
      </c>
      <c r="L3982" s="536"/>
      <c r="M3982" s="509">
        <f t="shared" si="12117"/>
        <v>1.1698642957416938</v>
      </c>
      <c r="N3982" s="646"/>
      <c r="O3982" s="626"/>
      <c r="P3982" s="629"/>
      <c r="Q3982" s="629"/>
    </row>
    <row r="3983" spans="1:17" hidden="1">
      <c r="A3983" s="390" t="str">
        <f t="shared" ref="A3983:B3983" si="12148">A3980</f>
        <v>Starch-blend</v>
      </c>
      <c r="B3983" s="391" t="str">
        <f t="shared" si="12148"/>
        <v>film</v>
      </c>
      <c r="C3983" s="391">
        <f t="shared" ref="C3983" si="12149">C3982</f>
        <v>2</v>
      </c>
      <c r="D3983" s="391" t="str">
        <f t="shared" ref="D3983:E3983" si="12150">D3980</f>
        <v>0,01-0,1</v>
      </c>
      <c r="E3983" s="391">
        <f t="shared" si="12150"/>
        <v>0.1</v>
      </c>
      <c r="F3983" s="391" t="str">
        <f t="shared" ref="F3983:G3983" si="12151">F3982</f>
        <v>air</v>
      </c>
      <c r="G3983" s="401" t="str">
        <f t="shared" si="12151"/>
        <v>DE: Starch-blend film 0,01-0,1 mm (emission to air)</v>
      </c>
      <c r="H3983" s="465">
        <v>5.0000000000000001E-3</v>
      </c>
      <c r="I3983" s="394" t="s">
        <v>1163</v>
      </c>
      <c r="J3983" s="635"/>
      <c r="K3983" s="389">
        <v>42.74</v>
      </c>
      <c r="L3983" s="536"/>
      <c r="M3983" s="509">
        <f t="shared" si="12117"/>
        <v>1.1698642957416938</v>
      </c>
      <c r="N3983" s="646"/>
      <c r="O3983" s="626"/>
      <c r="P3983" s="629"/>
      <c r="Q3983" s="629"/>
    </row>
    <row r="3984" spans="1:17" ht="15.75" hidden="1" thickBot="1">
      <c r="A3984" s="390" t="str">
        <f t="shared" ref="A3984:B3984" si="12152">A3979</f>
        <v>Starch-blend</v>
      </c>
      <c r="B3984" s="391" t="str">
        <f t="shared" si="12152"/>
        <v>film</v>
      </c>
      <c r="C3984" s="391">
        <f t="shared" ref="C3984" si="12153">C3983</f>
        <v>2</v>
      </c>
      <c r="D3984" s="391" t="str">
        <f t="shared" ref="D3984:E3984" si="12154">D3979</f>
        <v>0,01-0,1</v>
      </c>
      <c r="E3984" s="391">
        <f t="shared" si="12154"/>
        <v>0.1</v>
      </c>
      <c r="F3984" s="391" t="str">
        <f t="shared" ref="F3984:G3984" si="12155">F3983</f>
        <v>air</v>
      </c>
      <c r="G3984" s="401" t="str">
        <f t="shared" si="12155"/>
        <v>DE: Starch-blend film 0,01-0,1 mm (emission to air)</v>
      </c>
      <c r="H3984" s="471">
        <v>0</v>
      </c>
      <c r="I3984" s="422" t="s">
        <v>1034</v>
      </c>
      <c r="J3984" s="636"/>
      <c r="K3984" s="451" t="s">
        <v>596</v>
      </c>
      <c r="L3984" s="542"/>
      <c r="M3984" s="509">
        <f t="shared" si="12117"/>
        <v>0</v>
      </c>
      <c r="N3984" s="647"/>
      <c r="O3984" s="627"/>
      <c r="P3984" s="629"/>
      <c r="Q3984" s="629"/>
    </row>
    <row r="3985" spans="1:17" hidden="1">
      <c r="A3985" s="405" t="s">
        <v>1059</v>
      </c>
      <c r="B3985" s="406" t="s">
        <v>996</v>
      </c>
      <c r="C3985" s="407">
        <f>IF(OR(B3985="Folie", B3985="Strips", B3985="Film",B3985="Flakes",B3985="Coupon"), 2,IF(OR(B3985="Fibers",B3985="Pellets"),4,IF(OR(B3985="Particles",B3985="Shreds",B3985="Powder",B3985="Fragments",B3985="Granules"),6,"")))</f>
        <v>2</v>
      </c>
      <c r="D3985" s="423" t="s">
        <v>1028</v>
      </c>
      <c r="E3985" s="408">
        <v>1</v>
      </c>
      <c r="F3985" s="424" t="s">
        <v>1019</v>
      </c>
      <c r="G3985" s="425" t="str">
        <f>CONCATENATE("DE: ",A3985," ",B3985," ",D3985," mm (emission to ",F3985,")")</f>
        <v>DE: Starch-blend film 0,1-1 mm (emission to soil)</v>
      </c>
      <c r="H3985" s="474">
        <v>0.97</v>
      </c>
      <c r="I3985" s="427" t="s">
        <v>1019</v>
      </c>
      <c r="J3985" s="632">
        <v>0.22800000000000001</v>
      </c>
      <c r="K3985" s="428">
        <v>42.74</v>
      </c>
      <c r="L3985" s="539"/>
      <c r="M3985" s="509">
        <f t="shared" si="12117"/>
        <v>11.69864295741694</v>
      </c>
      <c r="N3985" s="645">
        <f t="shared" si="11974"/>
        <v>11.698642957416938</v>
      </c>
      <c r="O3985" s="625"/>
      <c r="P3985" s="628">
        <f t="shared" si="12057"/>
        <v>11.698642957416938</v>
      </c>
      <c r="Q3985" s="628">
        <f t="shared" ref="Q3985:Q4045" si="12156">IFERROR(IF(H3985*M3985+H3986*M3986+H3987*M3987+H3988*M3988+H3989*M3989&gt;500,500,H3985*M3985+H3986*M3986+H3987*M3987+H3988*M3988+H3989*M3989),"N.A.")</f>
        <v>11.698642957416938</v>
      </c>
    </row>
    <row r="3986" spans="1:17" hidden="1">
      <c r="A3986" s="390" t="str">
        <f>A3985</f>
        <v>Starch-blend</v>
      </c>
      <c r="B3986" s="391" t="str">
        <f>B3985</f>
        <v>film</v>
      </c>
      <c r="C3986" s="391">
        <f t="shared" ref="C3986:G3986" si="12157">C3985</f>
        <v>2</v>
      </c>
      <c r="D3986" s="391" t="str">
        <f t="shared" si="12157"/>
        <v>0,1-1</v>
      </c>
      <c r="E3986" s="391">
        <f t="shared" si="12157"/>
        <v>1</v>
      </c>
      <c r="F3986" s="391" t="str">
        <f t="shared" si="12157"/>
        <v>soil</v>
      </c>
      <c r="G3986" s="392" t="str">
        <f t="shared" si="12157"/>
        <v>DE: Starch-blend film 0,1-1 mm (emission to soil)</v>
      </c>
      <c r="H3986" s="465">
        <v>0</v>
      </c>
      <c r="I3986" s="394" t="s">
        <v>1097</v>
      </c>
      <c r="J3986" s="632"/>
      <c r="K3986" s="395">
        <v>101.29025539691933</v>
      </c>
      <c r="L3986" s="537"/>
      <c r="M3986" s="509">
        <f t="shared" si="12117"/>
        <v>4.9363090066332989</v>
      </c>
      <c r="N3986" s="646"/>
      <c r="O3986" s="626"/>
      <c r="P3986" s="629"/>
      <c r="Q3986" s="629"/>
    </row>
    <row r="3987" spans="1:17" hidden="1">
      <c r="A3987" s="390" t="str">
        <f t="shared" ref="A3987:G3987" si="12158">A3986</f>
        <v>Starch-blend</v>
      </c>
      <c r="B3987" s="391" t="str">
        <f t="shared" si="12158"/>
        <v>film</v>
      </c>
      <c r="C3987" s="391">
        <f t="shared" si="12158"/>
        <v>2</v>
      </c>
      <c r="D3987" s="391" t="str">
        <f t="shared" si="12158"/>
        <v>0,1-1</v>
      </c>
      <c r="E3987" s="391">
        <f t="shared" si="12158"/>
        <v>1</v>
      </c>
      <c r="F3987" s="391" t="str">
        <f t="shared" si="12158"/>
        <v>soil</v>
      </c>
      <c r="G3987" s="392" t="str">
        <f t="shared" si="12158"/>
        <v>DE: Starch-blend film 0,1-1 mm (emission to soil)</v>
      </c>
      <c r="H3987" s="465">
        <v>2.7E-2</v>
      </c>
      <c r="I3987" s="394" t="s">
        <v>1162</v>
      </c>
      <c r="J3987" s="632"/>
      <c r="K3987" s="395">
        <v>42.74</v>
      </c>
      <c r="L3987" s="537"/>
      <c r="M3987" s="509">
        <f t="shared" si="12117"/>
        <v>11.69864295741694</v>
      </c>
      <c r="N3987" s="646"/>
      <c r="O3987" s="626"/>
      <c r="P3987" s="629"/>
      <c r="Q3987" s="629"/>
    </row>
    <row r="3988" spans="1:17" hidden="1">
      <c r="A3988" s="390" t="str">
        <f t="shared" ref="A3988:G3988" si="12159">A3987</f>
        <v>Starch-blend</v>
      </c>
      <c r="B3988" s="391" t="str">
        <f t="shared" si="12159"/>
        <v>film</v>
      </c>
      <c r="C3988" s="391">
        <f t="shared" si="12159"/>
        <v>2</v>
      </c>
      <c r="D3988" s="391" t="str">
        <f t="shared" si="12159"/>
        <v>0,1-1</v>
      </c>
      <c r="E3988" s="391">
        <f t="shared" si="12159"/>
        <v>1</v>
      </c>
      <c r="F3988" s="391" t="str">
        <f t="shared" si="12159"/>
        <v>soil</v>
      </c>
      <c r="G3988" s="392" t="str">
        <f t="shared" si="12159"/>
        <v>DE: Starch-blend film 0,1-1 mm (emission to soil)</v>
      </c>
      <c r="H3988" s="465">
        <v>3.0000000000000001E-3</v>
      </c>
      <c r="I3988" s="394" t="s">
        <v>1163</v>
      </c>
      <c r="J3988" s="632"/>
      <c r="K3988" s="395">
        <v>42.74</v>
      </c>
      <c r="L3988" s="537"/>
      <c r="M3988" s="509">
        <f t="shared" si="12117"/>
        <v>11.69864295741694</v>
      </c>
      <c r="N3988" s="646"/>
      <c r="O3988" s="626"/>
      <c r="P3988" s="629"/>
      <c r="Q3988" s="629"/>
    </row>
    <row r="3989" spans="1:17" hidden="1">
      <c r="A3989" s="390" t="str">
        <f>A3986</f>
        <v>Starch-blend</v>
      </c>
      <c r="B3989" s="391" t="str">
        <f>B3986</f>
        <v>film</v>
      </c>
      <c r="C3989" s="391">
        <f t="shared" ref="C3989" si="12160">C3988</f>
        <v>2</v>
      </c>
      <c r="D3989" s="391" t="str">
        <f>D3986</f>
        <v>0,1-1</v>
      </c>
      <c r="E3989" s="391">
        <f>E3986</f>
        <v>1</v>
      </c>
      <c r="F3989" s="391" t="str">
        <f>F3986</f>
        <v>soil</v>
      </c>
      <c r="G3989" s="396" t="str">
        <f t="shared" ref="G3989" si="12161">G3988</f>
        <v>DE: Starch-blend film 0,1-1 mm (emission to soil)</v>
      </c>
      <c r="H3989" s="465">
        <v>0</v>
      </c>
      <c r="I3989" s="397" t="s">
        <v>1034</v>
      </c>
      <c r="J3989" s="633"/>
      <c r="K3989" s="398" t="s">
        <v>596</v>
      </c>
      <c r="L3989" s="538"/>
      <c r="M3989" s="509">
        <f t="shared" si="12117"/>
        <v>0</v>
      </c>
      <c r="N3989" s="647"/>
      <c r="O3989" s="627"/>
      <c r="P3989" s="629"/>
      <c r="Q3989" s="629"/>
    </row>
    <row r="3990" spans="1:17" hidden="1">
      <c r="A3990" s="390" t="str">
        <f t="shared" ref="A3990:B3990" si="12162">A3987</f>
        <v>Starch-blend</v>
      </c>
      <c r="B3990" s="391" t="str">
        <f t="shared" si="12162"/>
        <v>film</v>
      </c>
      <c r="C3990" s="391">
        <f t="shared" ref="C3990" si="12163">C3989</f>
        <v>2</v>
      </c>
      <c r="D3990" s="399" t="str">
        <f t="shared" ref="D3990:E3990" si="12164">D3987</f>
        <v>0,1-1</v>
      </c>
      <c r="E3990" s="391">
        <f t="shared" si="12164"/>
        <v>1</v>
      </c>
      <c r="F3990" s="400" t="s">
        <v>1147</v>
      </c>
      <c r="G3990" s="386" t="str">
        <f>CONCATENATE("DE: ",A3990," ",B3990," ",D3990," mm (emission to ",F3990,")")</f>
        <v>DE: Starch-blend film 0,1-1 mm (emission to fresh water)</v>
      </c>
      <c r="H3990" s="466">
        <v>0</v>
      </c>
      <c r="I3990" s="388" t="s">
        <v>1019</v>
      </c>
      <c r="J3990" s="634">
        <v>0.22800000000000001</v>
      </c>
      <c r="K3990" s="389">
        <v>42.74</v>
      </c>
      <c r="L3990" s="536"/>
      <c r="M3990" s="509">
        <f t="shared" si="12117"/>
        <v>11.69864295741694</v>
      </c>
      <c r="N3990" s="645">
        <f t="shared" si="11974"/>
        <v>11.69864295741694</v>
      </c>
      <c r="O3990" s="625"/>
      <c r="P3990" s="628">
        <f t="shared" si="12057"/>
        <v>11.69864295741694</v>
      </c>
      <c r="Q3990" s="628">
        <f t="shared" si="12156"/>
        <v>11.69864295741694</v>
      </c>
    </row>
    <row r="3991" spans="1:17" hidden="1">
      <c r="A3991" s="390" t="str">
        <f t="shared" ref="A3991:B3991" si="12165">A3988</f>
        <v>Starch-blend</v>
      </c>
      <c r="B3991" s="391" t="str">
        <f t="shared" si="12165"/>
        <v>film</v>
      </c>
      <c r="C3991" s="391">
        <f t="shared" ref="C3991" si="12166">C3990</f>
        <v>2</v>
      </c>
      <c r="D3991" s="391" t="str">
        <f t="shared" ref="D3991:E3991" si="12167">D3988</f>
        <v>0,1-1</v>
      </c>
      <c r="E3991" s="391">
        <f t="shared" si="12167"/>
        <v>1</v>
      </c>
      <c r="F3991" s="391" t="str">
        <f t="shared" ref="F3991:G3991" si="12168">F3990</f>
        <v>fresh water</v>
      </c>
      <c r="G3991" s="401" t="str">
        <f t="shared" si="12168"/>
        <v>DE: Starch-blend film 0,1-1 mm (emission to fresh water)</v>
      </c>
      <c r="H3991" s="465">
        <v>0</v>
      </c>
      <c r="I3991" s="394" t="s">
        <v>1097</v>
      </c>
      <c r="J3991" s="635"/>
      <c r="K3991" s="389">
        <v>101.29025539691933</v>
      </c>
      <c r="L3991" s="536"/>
      <c r="M3991" s="509">
        <f t="shared" si="12117"/>
        <v>4.9363090066332989</v>
      </c>
      <c r="N3991" s="646"/>
      <c r="O3991" s="626"/>
      <c r="P3991" s="629"/>
      <c r="Q3991" s="629"/>
    </row>
    <row r="3992" spans="1:17" hidden="1">
      <c r="A3992" s="390" t="str">
        <f t="shared" ref="A3992:B3992" si="12169">A3989</f>
        <v>Starch-blend</v>
      </c>
      <c r="B3992" s="391" t="str">
        <f t="shared" si="12169"/>
        <v>film</v>
      </c>
      <c r="C3992" s="391">
        <f t="shared" ref="C3992" si="12170">C3991</f>
        <v>2</v>
      </c>
      <c r="D3992" s="391" t="str">
        <f t="shared" ref="D3992:E3992" si="12171">D3989</f>
        <v>0,1-1</v>
      </c>
      <c r="E3992" s="391">
        <f t="shared" si="12171"/>
        <v>1</v>
      </c>
      <c r="F3992" s="391" t="str">
        <f t="shared" ref="F3992:G3992" si="12172">F3991</f>
        <v>fresh water</v>
      </c>
      <c r="G3992" s="401" t="str">
        <f t="shared" si="12172"/>
        <v>DE: Starch-blend film 0,1-1 mm (emission to fresh water)</v>
      </c>
      <c r="H3992" s="465">
        <v>0.89</v>
      </c>
      <c r="I3992" s="394" t="s">
        <v>1162</v>
      </c>
      <c r="J3992" s="635"/>
      <c r="K3992" s="389">
        <v>42.74</v>
      </c>
      <c r="L3992" s="536"/>
      <c r="M3992" s="509">
        <f t="shared" si="12117"/>
        <v>11.69864295741694</v>
      </c>
      <c r="N3992" s="646"/>
      <c r="O3992" s="626"/>
      <c r="P3992" s="629"/>
      <c r="Q3992" s="629"/>
    </row>
    <row r="3993" spans="1:17" hidden="1">
      <c r="A3993" s="390" t="str">
        <f t="shared" ref="A3993:B3993" si="12173">A3990</f>
        <v>Starch-blend</v>
      </c>
      <c r="B3993" s="391" t="str">
        <f t="shared" si="12173"/>
        <v>film</v>
      </c>
      <c r="C3993" s="391">
        <f t="shared" ref="C3993" si="12174">C3992</f>
        <v>2</v>
      </c>
      <c r="D3993" s="391" t="str">
        <f t="shared" ref="D3993:E3993" si="12175">D3990</f>
        <v>0,1-1</v>
      </c>
      <c r="E3993" s="391">
        <f t="shared" si="12175"/>
        <v>1</v>
      </c>
      <c r="F3993" s="391" t="str">
        <f t="shared" ref="F3993:G3993" si="12176">F3992</f>
        <v>fresh water</v>
      </c>
      <c r="G3993" s="401" t="str">
        <f t="shared" si="12176"/>
        <v>DE: Starch-blend film 0,1-1 mm (emission to fresh water)</v>
      </c>
      <c r="H3993" s="465">
        <v>0.11</v>
      </c>
      <c r="I3993" s="394" t="s">
        <v>1163</v>
      </c>
      <c r="J3993" s="635"/>
      <c r="K3993" s="389">
        <v>42.74</v>
      </c>
      <c r="L3993" s="536"/>
      <c r="M3993" s="509">
        <f t="shared" si="12117"/>
        <v>11.69864295741694</v>
      </c>
      <c r="N3993" s="646"/>
      <c r="O3993" s="626"/>
      <c r="P3993" s="629"/>
      <c r="Q3993" s="629"/>
    </row>
    <row r="3994" spans="1:17" hidden="1">
      <c r="A3994" s="390" t="str">
        <f t="shared" ref="A3994:B3994" si="12177">A3991</f>
        <v>Starch-blend</v>
      </c>
      <c r="B3994" s="391" t="str">
        <f t="shared" si="12177"/>
        <v>film</v>
      </c>
      <c r="C3994" s="391">
        <f t="shared" ref="C3994" si="12178">C3993</f>
        <v>2</v>
      </c>
      <c r="D3994" s="391" t="str">
        <f t="shared" ref="D3994:E3994" si="12179">D3991</f>
        <v>0,1-1</v>
      </c>
      <c r="E3994" s="391">
        <f t="shared" si="12179"/>
        <v>1</v>
      </c>
      <c r="F3994" s="402" t="str">
        <f>F3991</f>
        <v>fresh water</v>
      </c>
      <c r="G3994" s="401" t="str">
        <f t="shared" ref="G3994" si="12180">G3993</f>
        <v>DE: Starch-blend film 0,1-1 mm (emission to fresh water)</v>
      </c>
      <c r="H3994" s="465">
        <v>0</v>
      </c>
      <c r="I3994" s="397" t="s">
        <v>1034</v>
      </c>
      <c r="J3994" s="654"/>
      <c r="K3994" s="398" t="s">
        <v>596</v>
      </c>
      <c r="L3994" s="538"/>
      <c r="M3994" s="509">
        <f t="shared" si="12117"/>
        <v>0</v>
      </c>
      <c r="N3994" s="647"/>
      <c r="O3994" s="627"/>
      <c r="P3994" s="629"/>
      <c r="Q3994" s="629"/>
    </row>
    <row r="3995" spans="1:17" hidden="1">
      <c r="A3995" s="390" t="str">
        <f t="shared" ref="A3995:B3995" si="12181">A3992</f>
        <v>Starch-blend</v>
      </c>
      <c r="B3995" s="391" t="str">
        <f t="shared" si="12181"/>
        <v>film</v>
      </c>
      <c r="C3995" s="391">
        <f t="shared" ref="C3995" si="12182">C3994</f>
        <v>2</v>
      </c>
      <c r="D3995" s="391" t="str">
        <f t="shared" ref="D3995:E3995" si="12183">D3992</f>
        <v>0,1-1</v>
      </c>
      <c r="E3995" s="391">
        <f t="shared" si="12183"/>
        <v>1</v>
      </c>
      <c r="F3995" s="385" t="s">
        <v>1097</v>
      </c>
      <c r="G3995" s="422" t="str">
        <f>CONCATENATE("DE: ",A3995," ",B3995," ",D3995," mm (emission to ",F3995,")")</f>
        <v>DE: Starch-blend film 0,1-1 mm (emission to marine water)</v>
      </c>
      <c r="H3995" s="467">
        <v>0</v>
      </c>
      <c r="I3995" s="388" t="s">
        <v>1019</v>
      </c>
      <c r="J3995" s="634">
        <v>0.22800000000000001</v>
      </c>
      <c r="K3995" s="389">
        <v>42.74</v>
      </c>
      <c r="L3995" s="536"/>
      <c r="M3995" s="509">
        <f t="shared" si="12117"/>
        <v>11.69864295741694</v>
      </c>
      <c r="N3995" s="645">
        <f t="shared" ref="N3995:N4055" si="12184">IFERROR(H3995*M3995+H3996*M3996+H3997*M3997+H3998*M3998+H3999*M3999,"N.A.")</f>
        <v>11.69864295741694</v>
      </c>
      <c r="O3995" s="625"/>
      <c r="P3995" s="628">
        <f t="shared" si="12057"/>
        <v>11.69864295741694</v>
      </c>
      <c r="Q3995" s="628">
        <f t="shared" si="12156"/>
        <v>11.69864295741694</v>
      </c>
    </row>
    <row r="3996" spans="1:17" hidden="1">
      <c r="A3996" s="390" t="str">
        <f t="shared" ref="A3996:B3996" si="12185">A3993</f>
        <v>Starch-blend</v>
      </c>
      <c r="B3996" s="391" t="str">
        <f t="shared" si="12185"/>
        <v>film</v>
      </c>
      <c r="C3996" s="391">
        <f t="shared" ref="C3996" si="12186">C3995</f>
        <v>2</v>
      </c>
      <c r="D3996" s="391" t="str">
        <f t="shared" ref="D3996:E3996" si="12187">D3993</f>
        <v>0,1-1</v>
      </c>
      <c r="E3996" s="391">
        <f t="shared" si="12187"/>
        <v>1</v>
      </c>
      <c r="F3996" s="391" t="str">
        <f t="shared" ref="F3996:G3996" si="12188">F3995</f>
        <v>marine water</v>
      </c>
      <c r="G3996" s="401" t="str">
        <f t="shared" si="12188"/>
        <v>DE: Starch-blend film 0,1-1 mm (emission to marine water)</v>
      </c>
      <c r="H3996" s="465">
        <v>0</v>
      </c>
      <c r="I3996" s="394" t="s">
        <v>1097</v>
      </c>
      <c r="J3996" s="635"/>
      <c r="K3996" s="389">
        <v>101.29025539691933</v>
      </c>
      <c r="L3996" s="536"/>
      <c r="M3996" s="509">
        <f t="shared" si="12117"/>
        <v>4.9363090066332989</v>
      </c>
      <c r="N3996" s="646"/>
      <c r="O3996" s="626"/>
      <c r="P3996" s="629"/>
      <c r="Q3996" s="629"/>
    </row>
    <row r="3997" spans="1:17" hidden="1">
      <c r="A3997" s="390" t="str">
        <f t="shared" ref="A3997:B3997" si="12189">A3994</f>
        <v>Starch-blend</v>
      </c>
      <c r="B3997" s="391" t="str">
        <f t="shared" si="12189"/>
        <v>film</v>
      </c>
      <c r="C3997" s="391">
        <f t="shared" ref="C3997" si="12190">C3996</f>
        <v>2</v>
      </c>
      <c r="D3997" s="391" t="str">
        <f t="shared" ref="D3997:E3997" si="12191">D3994</f>
        <v>0,1-1</v>
      </c>
      <c r="E3997" s="391">
        <f t="shared" si="12191"/>
        <v>1</v>
      </c>
      <c r="F3997" s="391" t="str">
        <f t="shared" ref="F3997:G3997" si="12192">F3996</f>
        <v>marine water</v>
      </c>
      <c r="G3997" s="401" t="str">
        <f t="shared" si="12192"/>
        <v>DE: Starch-blend film 0,1-1 mm (emission to marine water)</v>
      </c>
      <c r="H3997" s="465">
        <v>0</v>
      </c>
      <c r="I3997" s="394" t="s">
        <v>1162</v>
      </c>
      <c r="J3997" s="635"/>
      <c r="K3997" s="389">
        <v>42.74</v>
      </c>
      <c r="L3997" s="536"/>
      <c r="M3997" s="509">
        <f t="shared" si="12117"/>
        <v>11.69864295741694</v>
      </c>
      <c r="N3997" s="646"/>
      <c r="O3997" s="626"/>
      <c r="P3997" s="629"/>
      <c r="Q3997" s="629"/>
    </row>
    <row r="3998" spans="1:17" hidden="1">
      <c r="A3998" s="390" t="str">
        <f t="shared" ref="A3998:B3998" si="12193">A3995</f>
        <v>Starch-blend</v>
      </c>
      <c r="B3998" s="391" t="str">
        <f t="shared" si="12193"/>
        <v>film</v>
      </c>
      <c r="C3998" s="391">
        <f t="shared" ref="C3998" si="12194">C3997</f>
        <v>2</v>
      </c>
      <c r="D3998" s="391" t="str">
        <f t="shared" ref="D3998:E3998" si="12195">D3995</f>
        <v>0,1-1</v>
      </c>
      <c r="E3998" s="391">
        <f t="shared" si="12195"/>
        <v>1</v>
      </c>
      <c r="F3998" s="391" t="str">
        <f t="shared" ref="F3998:G3998" si="12196">F3997</f>
        <v>marine water</v>
      </c>
      <c r="G3998" s="401" t="str">
        <f t="shared" si="12196"/>
        <v>DE: Starch-blend film 0,1-1 mm (emission to marine water)</v>
      </c>
      <c r="H3998" s="465">
        <v>1</v>
      </c>
      <c r="I3998" s="394" t="s">
        <v>1163</v>
      </c>
      <c r="J3998" s="635"/>
      <c r="K3998" s="389">
        <v>42.74</v>
      </c>
      <c r="L3998" s="536"/>
      <c r="M3998" s="509">
        <f t="shared" si="12117"/>
        <v>11.69864295741694</v>
      </c>
      <c r="N3998" s="646"/>
      <c r="O3998" s="626"/>
      <c r="P3998" s="629"/>
      <c r="Q3998" s="629"/>
    </row>
    <row r="3999" spans="1:17" hidden="1">
      <c r="A3999" s="390" t="str">
        <f t="shared" ref="A3999:B3999" si="12197">A3996</f>
        <v>Starch-blend</v>
      </c>
      <c r="B3999" s="391" t="str">
        <f t="shared" si="12197"/>
        <v>film</v>
      </c>
      <c r="C3999" s="391">
        <f t="shared" ref="C3999" si="12198">C3998</f>
        <v>2</v>
      </c>
      <c r="D3999" s="391" t="str">
        <f t="shared" ref="D3999:E3999" si="12199">D3996</f>
        <v>0,1-1</v>
      </c>
      <c r="E3999" s="391">
        <f t="shared" si="12199"/>
        <v>1</v>
      </c>
      <c r="F3999" s="391" t="str">
        <f t="shared" ref="F3999:G3999" si="12200">F3998</f>
        <v>marine water</v>
      </c>
      <c r="G3999" s="401" t="str">
        <f t="shared" si="12200"/>
        <v>DE: Starch-blend film 0,1-1 mm (emission to marine water)</v>
      </c>
      <c r="H3999" s="465">
        <v>0</v>
      </c>
      <c r="I3999" s="397" t="s">
        <v>1034</v>
      </c>
      <c r="J3999" s="654"/>
      <c r="K3999" s="398" t="s">
        <v>596</v>
      </c>
      <c r="L3999" s="538"/>
      <c r="M3999" s="509">
        <f t="shared" si="12117"/>
        <v>0</v>
      </c>
      <c r="N3999" s="647"/>
      <c r="O3999" s="627"/>
      <c r="P3999" s="629"/>
      <c r="Q3999" s="629"/>
    </row>
    <row r="4000" spans="1:17" hidden="1">
      <c r="A4000" s="390" t="str">
        <f t="shared" ref="A4000:B4000" si="12201">A3997</f>
        <v>Starch-blend</v>
      </c>
      <c r="B4000" s="391" t="str">
        <f t="shared" si="12201"/>
        <v>film</v>
      </c>
      <c r="C4000" s="391">
        <f t="shared" ref="C4000" si="12202">C3999</f>
        <v>2</v>
      </c>
      <c r="D4000" s="391" t="str">
        <f t="shared" ref="D4000:E4000" si="12203">D3997</f>
        <v>0,1-1</v>
      </c>
      <c r="E4000" s="391">
        <f t="shared" si="12203"/>
        <v>1</v>
      </c>
      <c r="F4000" s="400" t="s">
        <v>1057</v>
      </c>
      <c r="G4000" s="422" t="str">
        <f>CONCATENATE("DE: ",A4000," ",B4000," ",D4000," mm (emission to ",F4000,")")</f>
        <v>DE: Starch-blend film 0,1-1 mm (emission to air)</v>
      </c>
      <c r="H4000" s="467">
        <v>0.94799999999999995</v>
      </c>
      <c r="I4000" s="388" t="s">
        <v>1019</v>
      </c>
      <c r="J4000" s="634">
        <v>0.22800000000000001</v>
      </c>
      <c r="K4000" s="389">
        <v>42.74</v>
      </c>
      <c r="L4000" s="536"/>
      <c r="M4000" s="509">
        <f t="shared" si="12117"/>
        <v>11.69864295741694</v>
      </c>
      <c r="N4000" s="645">
        <f t="shared" si="12184"/>
        <v>11.69864295741694</v>
      </c>
      <c r="O4000" s="625"/>
      <c r="P4000" s="628">
        <f t="shared" ref="P4000:P4060" si="12204">IFERROR(IF(H4000*M4000+H4001*M4001+H4002*M4002+H4003*M4003+H4004*M4004&gt;100,100,H4000*M4000+H4001*M4001+H4002*M4002+H4003*M4003+H4004*M4004),"N.A.")</f>
        <v>11.69864295741694</v>
      </c>
      <c r="Q4000" s="628">
        <f t="shared" si="12156"/>
        <v>11.69864295741694</v>
      </c>
    </row>
    <row r="4001" spans="1:17" hidden="1">
      <c r="A4001" s="390" t="str">
        <f t="shared" ref="A4001:B4001" si="12205">A3998</f>
        <v>Starch-blend</v>
      </c>
      <c r="B4001" s="391" t="str">
        <f t="shared" si="12205"/>
        <v>film</v>
      </c>
      <c r="C4001" s="391">
        <f t="shared" ref="C4001" si="12206">C4000</f>
        <v>2</v>
      </c>
      <c r="D4001" s="391" t="str">
        <f t="shared" ref="D4001:E4001" si="12207">D3998</f>
        <v>0,1-1</v>
      </c>
      <c r="E4001" s="391">
        <f t="shared" si="12207"/>
        <v>1</v>
      </c>
      <c r="F4001" s="391" t="str">
        <f t="shared" ref="F4001:G4001" si="12208">F4000</f>
        <v>air</v>
      </c>
      <c r="G4001" s="401" t="str">
        <f t="shared" si="12208"/>
        <v>DE: Starch-blend film 0,1-1 mm (emission to air)</v>
      </c>
      <c r="H4001" s="465">
        <v>0</v>
      </c>
      <c r="I4001" s="394" t="s">
        <v>1097</v>
      </c>
      <c r="J4001" s="635"/>
      <c r="K4001" s="389">
        <v>101.29025539691933</v>
      </c>
      <c r="L4001" s="536"/>
      <c r="M4001" s="509">
        <f t="shared" si="12117"/>
        <v>4.9363090066332989</v>
      </c>
      <c r="N4001" s="646"/>
      <c r="O4001" s="626"/>
      <c r="P4001" s="629"/>
      <c r="Q4001" s="629"/>
    </row>
    <row r="4002" spans="1:17" hidden="1">
      <c r="A4002" s="390" t="str">
        <f t="shared" ref="A4002:B4002" si="12209">A3999</f>
        <v>Starch-blend</v>
      </c>
      <c r="B4002" s="391" t="str">
        <f t="shared" si="12209"/>
        <v>film</v>
      </c>
      <c r="C4002" s="391">
        <f t="shared" ref="C4002" si="12210">C4001</f>
        <v>2</v>
      </c>
      <c r="D4002" s="391" t="str">
        <f t="shared" ref="D4002:E4002" si="12211">D3999</f>
        <v>0,1-1</v>
      </c>
      <c r="E4002" s="391">
        <f t="shared" si="12211"/>
        <v>1</v>
      </c>
      <c r="F4002" s="391" t="str">
        <f t="shared" ref="F4002:G4002" si="12212">F4001</f>
        <v>air</v>
      </c>
      <c r="G4002" s="401" t="str">
        <f t="shared" si="12212"/>
        <v>DE: Starch-blend film 0,1-1 mm (emission to air)</v>
      </c>
      <c r="H4002" s="465">
        <v>4.7E-2</v>
      </c>
      <c r="I4002" s="394" t="s">
        <v>1162</v>
      </c>
      <c r="J4002" s="635"/>
      <c r="K4002" s="389">
        <v>42.74</v>
      </c>
      <c r="L4002" s="536"/>
      <c r="M4002" s="509">
        <f t="shared" si="12117"/>
        <v>11.69864295741694</v>
      </c>
      <c r="N4002" s="646"/>
      <c r="O4002" s="626"/>
      <c r="P4002" s="629"/>
      <c r="Q4002" s="629"/>
    </row>
    <row r="4003" spans="1:17" hidden="1">
      <c r="A4003" s="390" t="str">
        <f t="shared" ref="A4003:B4003" si="12213">A4000</f>
        <v>Starch-blend</v>
      </c>
      <c r="B4003" s="391" t="str">
        <f t="shared" si="12213"/>
        <v>film</v>
      </c>
      <c r="C4003" s="391">
        <f t="shared" ref="C4003" si="12214">C4002</f>
        <v>2</v>
      </c>
      <c r="D4003" s="391" t="str">
        <f t="shared" ref="D4003:E4003" si="12215">D4000</f>
        <v>0,1-1</v>
      </c>
      <c r="E4003" s="391">
        <f t="shared" si="12215"/>
        <v>1</v>
      </c>
      <c r="F4003" s="391" t="str">
        <f t="shared" ref="F4003:G4003" si="12216">F4002</f>
        <v>air</v>
      </c>
      <c r="G4003" s="401" t="str">
        <f t="shared" si="12216"/>
        <v>DE: Starch-blend film 0,1-1 mm (emission to air)</v>
      </c>
      <c r="H4003" s="465">
        <v>5.0000000000000001E-3</v>
      </c>
      <c r="I4003" s="394" t="s">
        <v>1163</v>
      </c>
      <c r="J4003" s="635"/>
      <c r="K4003" s="389">
        <v>42.74</v>
      </c>
      <c r="L4003" s="536"/>
      <c r="M4003" s="509">
        <f t="shared" si="12117"/>
        <v>11.69864295741694</v>
      </c>
      <c r="N4003" s="646"/>
      <c r="O4003" s="626"/>
      <c r="P4003" s="629"/>
      <c r="Q4003" s="629"/>
    </row>
    <row r="4004" spans="1:17" ht="15.75" hidden="1" thickBot="1">
      <c r="A4004" s="452" t="str">
        <f t="shared" ref="A4004:B4004" si="12217">A3999</f>
        <v>Starch-blend</v>
      </c>
      <c r="B4004" s="453" t="str">
        <f t="shared" si="12217"/>
        <v>film</v>
      </c>
      <c r="C4004" s="453">
        <f t="shared" ref="C4004" si="12218">C4003</f>
        <v>2</v>
      </c>
      <c r="D4004" s="453" t="str">
        <f t="shared" ref="D4004:E4004" si="12219">D3999</f>
        <v>0,1-1</v>
      </c>
      <c r="E4004" s="453">
        <f t="shared" si="12219"/>
        <v>1</v>
      </c>
      <c r="F4004" s="453" t="str">
        <f t="shared" ref="F4004:G4004" si="12220">F4003</f>
        <v>air</v>
      </c>
      <c r="G4004" s="454" t="str">
        <f t="shared" si="12220"/>
        <v>DE: Starch-blend film 0,1-1 mm (emission to air)</v>
      </c>
      <c r="H4004" s="473">
        <v>0</v>
      </c>
      <c r="I4004" s="456" t="s">
        <v>1034</v>
      </c>
      <c r="J4004" s="636"/>
      <c r="K4004" s="457" t="s">
        <v>596</v>
      </c>
      <c r="L4004" s="543"/>
      <c r="M4004" s="509">
        <f t="shared" si="12117"/>
        <v>0</v>
      </c>
      <c r="N4004" s="647"/>
      <c r="O4004" s="627"/>
      <c r="P4004" s="629"/>
      <c r="Q4004" s="629"/>
    </row>
    <row r="4005" spans="1:17" hidden="1">
      <c r="A4005" s="381" t="s">
        <v>1059</v>
      </c>
      <c r="B4005" s="382" t="s">
        <v>996</v>
      </c>
      <c r="C4005" s="383">
        <f>IF(OR(B4005="Folie", B4005="Strips", B4005="Film",B4005="Flakes",B4005="Coupon"), 2,IF(OR(B4005="Fibers",B4005="Pellets"),4,IF(OR(B4005="Particles",B4005="Shreds",B4005="Powder",B4005="Fragments",B4005="Granules"),6,"")))</f>
        <v>2</v>
      </c>
      <c r="D4005" s="475" t="s">
        <v>1026</v>
      </c>
      <c r="E4005" s="384">
        <v>10</v>
      </c>
      <c r="F4005" s="385" t="s">
        <v>1019</v>
      </c>
      <c r="G4005" s="386" t="str">
        <f>CONCATENATE("DE: ",A4005," ",B4005," ",D4005," mm (emission to ",F4005,")")</f>
        <v>DE: Starch-blend film 1-10 mm (emission to soil)</v>
      </c>
      <c r="H4005" s="466">
        <v>0.97</v>
      </c>
      <c r="I4005" s="388" t="s">
        <v>1019</v>
      </c>
      <c r="J4005" s="632">
        <v>0.22800000000000001</v>
      </c>
      <c r="K4005" s="389">
        <v>42.74</v>
      </c>
      <c r="L4005" s="536"/>
      <c r="M4005" s="509">
        <f t="shared" si="12117"/>
        <v>116.98642957416939</v>
      </c>
      <c r="N4005" s="645">
        <f t="shared" si="12184"/>
        <v>116.98642957416939</v>
      </c>
      <c r="O4005" s="625"/>
      <c r="P4005" s="628">
        <f t="shared" si="12204"/>
        <v>100</v>
      </c>
      <c r="Q4005" s="628">
        <f t="shared" si="12156"/>
        <v>116.98642957416939</v>
      </c>
    </row>
    <row r="4006" spans="1:17" hidden="1">
      <c r="A4006" s="390" t="str">
        <f>A4005</f>
        <v>Starch-blend</v>
      </c>
      <c r="B4006" s="391" t="str">
        <f>B4005</f>
        <v>film</v>
      </c>
      <c r="C4006" s="391">
        <f t="shared" ref="C4006:G4006" si="12221">C4005</f>
        <v>2</v>
      </c>
      <c r="D4006" s="391" t="str">
        <f t="shared" si="12221"/>
        <v>1-10</v>
      </c>
      <c r="E4006" s="391">
        <f t="shared" si="12221"/>
        <v>10</v>
      </c>
      <c r="F4006" s="391" t="str">
        <f t="shared" si="12221"/>
        <v>soil</v>
      </c>
      <c r="G4006" s="392" t="str">
        <f t="shared" si="12221"/>
        <v>DE: Starch-blend film 1-10 mm (emission to soil)</v>
      </c>
      <c r="H4006" s="465">
        <v>0</v>
      </c>
      <c r="I4006" s="394" t="s">
        <v>1097</v>
      </c>
      <c r="J4006" s="632"/>
      <c r="K4006" s="395">
        <v>101.29025539691933</v>
      </c>
      <c r="L4006" s="537"/>
      <c r="M4006" s="509">
        <f t="shared" si="12117"/>
        <v>49.363090066332987</v>
      </c>
      <c r="N4006" s="646"/>
      <c r="O4006" s="626"/>
      <c r="P4006" s="629"/>
      <c r="Q4006" s="629"/>
    </row>
    <row r="4007" spans="1:17" hidden="1">
      <c r="A4007" s="390" t="str">
        <f t="shared" ref="A4007:G4007" si="12222">A4006</f>
        <v>Starch-blend</v>
      </c>
      <c r="B4007" s="391" t="str">
        <f t="shared" si="12222"/>
        <v>film</v>
      </c>
      <c r="C4007" s="391">
        <f t="shared" si="12222"/>
        <v>2</v>
      </c>
      <c r="D4007" s="391" t="str">
        <f t="shared" si="12222"/>
        <v>1-10</v>
      </c>
      <c r="E4007" s="391">
        <f t="shared" si="12222"/>
        <v>10</v>
      </c>
      <c r="F4007" s="391" t="str">
        <f t="shared" si="12222"/>
        <v>soil</v>
      </c>
      <c r="G4007" s="392" t="str">
        <f t="shared" si="12222"/>
        <v>DE: Starch-blend film 1-10 mm (emission to soil)</v>
      </c>
      <c r="H4007" s="465">
        <v>2.7E-2</v>
      </c>
      <c r="I4007" s="394" t="s">
        <v>1162</v>
      </c>
      <c r="J4007" s="632"/>
      <c r="K4007" s="395">
        <v>42.74</v>
      </c>
      <c r="L4007" s="537"/>
      <c r="M4007" s="509">
        <f t="shared" si="12117"/>
        <v>116.98642957416939</v>
      </c>
      <c r="N4007" s="646"/>
      <c r="O4007" s="626"/>
      <c r="P4007" s="629"/>
      <c r="Q4007" s="629"/>
    </row>
    <row r="4008" spans="1:17" hidden="1">
      <c r="A4008" s="390" t="str">
        <f t="shared" ref="A4008:G4008" si="12223">A4007</f>
        <v>Starch-blend</v>
      </c>
      <c r="B4008" s="391" t="str">
        <f t="shared" si="12223"/>
        <v>film</v>
      </c>
      <c r="C4008" s="391">
        <f t="shared" si="12223"/>
        <v>2</v>
      </c>
      <c r="D4008" s="391" t="str">
        <f t="shared" si="12223"/>
        <v>1-10</v>
      </c>
      <c r="E4008" s="391">
        <f t="shared" si="12223"/>
        <v>10</v>
      </c>
      <c r="F4008" s="391" t="str">
        <f t="shared" si="12223"/>
        <v>soil</v>
      </c>
      <c r="G4008" s="392" t="str">
        <f t="shared" si="12223"/>
        <v>DE: Starch-blend film 1-10 mm (emission to soil)</v>
      </c>
      <c r="H4008" s="465">
        <v>3.0000000000000001E-3</v>
      </c>
      <c r="I4008" s="394" t="s">
        <v>1163</v>
      </c>
      <c r="J4008" s="632"/>
      <c r="K4008" s="395">
        <v>42.74</v>
      </c>
      <c r="L4008" s="537"/>
      <c r="M4008" s="509">
        <f t="shared" si="12117"/>
        <v>116.98642957416939</v>
      </c>
      <c r="N4008" s="646"/>
      <c r="O4008" s="626"/>
      <c r="P4008" s="629"/>
      <c r="Q4008" s="629"/>
    </row>
    <row r="4009" spans="1:17" hidden="1">
      <c r="A4009" s="390" t="str">
        <f>A4006</f>
        <v>Starch-blend</v>
      </c>
      <c r="B4009" s="391" t="str">
        <f>B4006</f>
        <v>film</v>
      </c>
      <c r="C4009" s="391">
        <f t="shared" ref="C4009" si="12224">C4008</f>
        <v>2</v>
      </c>
      <c r="D4009" s="391" t="str">
        <f>D4006</f>
        <v>1-10</v>
      </c>
      <c r="E4009" s="391">
        <f>E4006</f>
        <v>10</v>
      </c>
      <c r="F4009" s="391" t="str">
        <f>F4006</f>
        <v>soil</v>
      </c>
      <c r="G4009" s="396" t="str">
        <f t="shared" ref="G4009" si="12225">G4008</f>
        <v>DE: Starch-blend film 1-10 mm (emission to soil)</v>
      </c>
      <c r="H4009" s="465">
        <v>0</v>
      </c>
      <c r="I4009" s="397" t="s">
        <v>1034</v>
      </c>
      <c r="J4009" s="633"/>
      <c r="K4009" s="398" t="s">
        <v>596</v>
      </c>
      <c r="L4009" s="538"/>
      <c r="M4009" s="509">
        <f t="shared" si="12117"/>
        <v>0</v>
      </c>
      <c r="N4009" s="647"/>
      <c r="O4009" s="627"/>
      <c r="P4009" s="629"/>
      <c r="Q4009" s="629"/>
    </row>
    <row r="4010" spans="1:17" hidden="1">
      <c r="A4010" s="390" t="str">
        <f t="shared" ref="A4010:B4010" si="12226">A4007</f>
        <v>Starch-blend</v>
      </c>
      <c r="B4010" s="391" t="str">
        <f t="shared" si="12226"/>
        <v>film</v>
      </c>
      <c r="C4010" s="391">
        <f t="shared" ref="C4010" si="12227">C4009</f>
        <v>2</v>
      </c>
      <c r="D4010" s="399" t="str">
        <f t="shared" ref="D4010:E4010" si="12228">D4007</f>
        <v>1-10</v>
      </c>
      <c r="E4010" s="391">
        <f t="shared" si="12228"/>
        <v>10</v>
      </c>
      <c r="F4010" s="400" t="s">
        <v>1147</v>
      </c>
      <c r="G4010" s="386" t="str">
        <f>CONCATENATE("DE: ",A4010," ",B4010," ",D4010," mm (emission to ",F4010,")")</f>
        <v>DE: Starch-blend film 1-10 mm (emission to fresh water)</v>
      </c>
      <c r="H4010" s="466">
        <v>0</v>
      </c>
      <c r="I4010" s="388" t="s">
        <v>1019</v>
      </c>
      <c r="J4010" s="634">
        <v>0.22800000000000001</v>
      </c>
      <c r="K4010" s="389">
        <v>42.74</v>
      </c>
      <c r="L4010" s="536"/>
      <c r="M4010" s="509">
        <f t="shared" si="12117"/>
        <v>116.98642957416939</v>
      </c>
      <c r="N4010" s="645">
        <f t="shared" si="12184"/>
        <v>116.98642957416939</v>
      </c>
      <c r="O4010" s="625"/>
      <c r="P4010" s="628">
        <f t="shared" si="12204"/>
        <v>100</v>
      </c>
      <c r="Q4010" s="628">
        <f t="shared" si="12156"/>
        <v>116.98642957416939</v>
      </c>
    </row>
    <row r="4011" spans="1:17" hidden="1">
      <c r="A4011" s="390" t="str">
        <f t="shared" ref="A4011:B4011" si="12229">A4008</f>
        <v>Starch-blend</v>
      </c>
      <c r="B4011" s="391" t="str">
        <f t="shared" si="12229"/>
        <v>film</v>
      </c>
      <c r="C4011" s="391">
        <f t="shared" ref="C4011" si="12230">C4010</f>
        <v>2</v>
      </c>
      <c r="D4011" s="391" t="str">
        <f t="shared" ref="D4011:E4011" si="12231">D4008</f>
        <v>1-10</v>
      </c>
      <c r="E4011" s="391">
        <f t="shared" si="12231"/>
        <v>10</v>
      </c>
      <c r="F4011" s="391" t="str">
        <f t="shared" ref="F4011:G4011" si="12232">F4010</f>
        <v>fresh water</v>
      </c>
      <c r="G4011" s="401" t="str">
        <f t="shared" si="12232"/>
        <v>DE: Starch-blend film 1-10 mm (emission to fresh water)</v>
      </c>
      <c r="H4011" s="465">
        <v>0</v>
      </c>
      <c r="I4011" s="394" t="s">
        <v>1097</v>
      </c>
      <c r="J4011" s="635"/>
      <c r="K4011" s="389">
        <v>101.29025539691933</v>
      </c>
      <c r="L4011" s="536"/>
      <c r="M4011" s="509">
        <f t="shared" si="12117"/>
        <v>49.363090066332987</v>
      </c>
      <c r="N4011" s="646"/>
      <c r="O4011" s="626"/>
      <c r="P4011" s="629"/>
      <c r="Q4011" s="629"/>
    </row>
    <row r="4012" spans="1:17" hidden="1">
      <c r="A4012" s="390" t="str">
        <f t="shared" ref="A4012:B4012" si="12233">A4009</f>
        <v>Starch-blend</v>
      </c>
      <c r="B4012" s="391" t="str">
        <f t="shared" si="12233"/>
        <v>film</v>
      </c>
      <c r="C4012" s="391">
        <f t="shared" ref="C4012" si="12234">C4011</f>
        <v>2</v>
      </c>
      <c r="D4012" s="391" t="str">
        <f t="shared" ref="D4012:E4012" si="12235">D4009</f>
        <v>1-10</v>
      </c>
      <c r="E4012" s="391">
        <f t="shared" si="12235"/>
        <v>10</v>
      </c>
      <c r="F4012" s="391" t="str">
        <f t="shared" ref="F4012:G4012" si="12236">F4011</f>
        <v>fresh water</v>
      </c>
      <c r="G4012" s="401" t="str">
        <f t="shared" si="12236"/>
        <v>DE: Starch-blend film 1-10 mm (emission to fresh water)</v>
      </c>
      <c r="H4012" s="465">
        <v>0.89</v>
      </c>
      <c r="I4012" s="394" t="s">
        <v>1162</v>
      </c>
      <c r="J4012" s="635"/>
      <c r="K4012" s="389">
        <v>42.74</v>
      </c>
      <c r="L4012" s="536"/>
      <c r="M4012" s="509">
        <f t="shared" si="12117"/>
        <v>116.98642957416939</v>
      </c>
      <c r="N4012" s="646"/>
      <c r="O4012" s="626"/>
      <c r="P4012" s="629"/>
      <c r="Q4012" s="629"/>
    </row>
    <row r="4013" spans="1:17" hidden="1">
      <c r="A4013" s="390" t="str">
        <f t="shared" ref="A4013:B4013" si="12237">A4010</f>
        <v>Starch-blend</v>
      </c>
      <c r="B4013" s="391" t="str">
        <f t="shared" si="12237"/>
        <v>film</v>
      </c>
      <c r="C4013" s="391">
        <f t="shared" ref="C4013" si="12238">C4012</f>
        <v>2</v>
      </c>
      <c r="D4013" s="391" t="str">
        <f t="shared" ref="D4013:E4013" si="12239">D4010</f>
        <v>1-10</v>
      </c>
      <c r="E4013" s="391">
        <f t="shared" si="12239"/>
        <v>10</v>
      </c>
      <c r="F4013" s="391" t="str">
        <f t="shared" ref="F4013:G4013" si="12240">F4012</f>
        <v>fresh water</v>
      </c>
      <c r="G4013" s="401" t="str">
        <f t="shared" si="12240"/>
        <v>DE: Starch-blend film 1-10 mm (emission to fresh water)</v>
      </c>
      <c r="H4013" s="465">
        <v>0.11</v>
      </c>
      <c r="I4013" s="394" t="s">
        <v>1163</v>
      </c>
      <c r="J4013" s="635"/>
      <c r="K4013" s="389">
        <v>42.74</v>
      </c>
      <c r="L4013" s="536"/>
      <c r="M4013" s="509">
        <f t="shared" si="12117"/>
        <v>116.98642957416939</v>
      </c>
      <c r="N4013" s="646"/>
      <c r="O4013" s="626"/>
      <c r="P4013" s="629"/>
      <c r="Q4013" s="629"/>
    </row>
    <row r="4014" spans="1:17" hidden="1">
      <c r="A4014" s="390" t="str">
        <f t="shared" ref="A4014:B4014" si="12241">A4011</f>
        <v>Starch-blend</v>
      </c>
      <c r="B4014" s="391" t="str">
        <f t="shared" si="12241"/>
        <v>film</v>
      </c>
      <c r="C4014" s="391">
        <f t="shared" ref="C4014" si="12242">C4013</f>
        <v>2</v>
      </c>
      <c r="D4014" s="391" t="str">
        <f t="shared" ref="D4014:E4014" si="12243">D4011</f>
        <v>1-10</v>
      </c>
      <c r="E4014" s="391">
        <f t="shared" si="12243"/>
        <v>10</v>
      </c>
      <c r="F4014" s="402" t="str">
        <f>F4011</f>
        <v>fresh water</v>
      </c>
      <c r="G4014" s="401" t="str">
        <f t="shared" ref="G4014" si="12244">G4013</f>
        <v>DE: Starch-blend film 1-10 mm (emission to fresh water)</v>
      </c>
      <c r="H4014" s="465">
        <v>0</v>
      </c>
      <c r="I4014" s="397" t="s">
        <v>1034</v>
      </c>
      <c r="J4014" s="654"/>
      <c r="K4014" s="398" t="s">
        <v>596</v>
      </c>
      <c r="L4014" s="538"/>
      <c r="M4014" s="509">
        <f t="shared" si="12117"/>
        <v>0</v>
      </c>
      <c r="N4014" s="647"/>
      <c r="O4014" s="627"/>
      <c r="P4014" s="629"/>
      <c r="Q4014" s="629"/>
    </row>
    <row r="4015" spans="1:17" hidden="1">
      <c r="A4015" s="390" t="str">
        <f t="shared" ref="A4015:B4015" si="12245">A4012</f>
        <v>Starch-blend</v>
      </c>
      <c r="B4015" s="391" t="str">
        <f t="shared" si="12245"/>
        <v>film</v>
      </c>
      <c r="C4015" s="391">
        <f t="shared" ref="C4015" si="12246">C4014</f>
        <v>2</v>
      </c>
      <c r="D4015" s="391" t="str">
        <f t="shared" ref="D4015:E4015" si="12247">D4012</f>
        <v>1-10</v>
      </c>
      <c r="E4015" s="391">
        <f t="shared" si="12247"/>
        <v>10</v>
      </c>
      <c r="F4015" s="385" t="s">
        <v>1097</v>
      </c>
      <c r="G4015" s="422" t="str">
        <f>CONCATENATE("DE: ",A4015," ",B4015," ",D4015," mm (emission to ",F4015,")")</f>
        <v>DE: Starch-blend film 1-10 mm (emission to marine water)</v>
      </c>
      <c r="H4015" s="467">
        <v>0</v>
      </c>
      <c r="I4015" s="388" t="s">
        <v>1019</v>
      </c>
      <c r="J4015" s="634">
        <v>0.22800000000000001</v>
      </c>
      <c r="K4015" s="389">
        <v>42.74</v>
      </c>
      <c r="L4015" s="536"/>
      <c r="M4015" s="509">
        <f t="shared" si="12117"/>
        <v>116.98642957416939</v>
      </c>
      <c r="N4015" s="645">
        <f t="shared" si="12184"/>
        <v>116.98642957416939</v>
      </c>
      <c r="O4015" s="625"/>
      <c r="P4015" s="628">
        <f t="shared" si="12204"/>
        <v>100</v>
      </c>
      <c r="Q4015" s="628">
        <f t="shared" si="12156"/>
        <v>116.98642957416939</v>
      </c>
    </row>
    <row r="4016" spans="1:17" hidden="1">
      <c r="A4016" s="390" t="str">
        <f t="shared" ref="A4016:B4016" si="12248">A4013</f>
        <v>Starch-blend</v>
      </c>
      <c r="B4016" s="391" t="str">
        <f t="shared" si="12248"/>
        <v>film</v>
      </c>
      <c r="C4016" s="391">
        <f t="shared" ref="C4016" si="12249">C4015</f>
        <v>2</v>
      </c>
      <c r="D4016" s="391" t="str">
        <f t="shared" ref="D4016:E4016" si="12250">D4013</f>
        <v>1-10</v>
      </c>
      <c r="E4016" s="391">
        <f t="shared" si="12250"/>
        <v>10</v>
      </c>
      <c r="F4016" s="391" t="str">
        <f t="shared" ref="F4016:G4016" si="12251">F4015</f>
        <v>marine water</v>
      </c>
      <c r="G4016" s="401" t="str">
        <f t="shared" si="12251"/>
        <v>DE: Starch-blend film 1-10 mm (emission to marine water)</v>
      </c>
      <c r="H4016" s="465">
        <v>0</v>
      </c>
      <c r="I4016" s="394" t="s">
        <v>1097</v>
      </c>
      <c r="J4016" s="635"/>
      <c r="K4016" s="389">
        <v>101.29025539691933</v>
      </c>
      <c r="L4016" s="536"/>
      <c r="M4016" s="509">
        <f t="shared" si="12117"/>
        <v>49.363090066332987</v>
      </c>
      <c r="N4016" s="646"/>
      <c r="O4016" s="626"/>
      <c r="P4016" s="629"/>
      <c r="Q4016" s="629"/>
    </row>
    <row r="4017" spans="1:17" hidden="1">
      <c r="A4017" s="390" t="str">
        <f t="shared" ref="A4017:B4017" si="12252">A4014</f>
        <v>Starch-blend</v>
      </c>
      <c r="B4017" s="391" t="str">
        <f t="shared" si="12252"/>
        <v>film</v>
      </c>
      <c r="C4017" s="391">
        <f t="shared" ref="C4017" si="12253">C4016</f>
        <v>2</v>
      </c>
      <c r="D4017" s="391" t="str">
        <f t="shared" ref="D4017:E4017" si="12254">D4014</f>
        <v>1-10</v>
      </c>
      <c r="E4017" s="391">
        <f t="shared" si="12254"/>
        <v>10</v>
      </c>
      <c r="F4017" s="391" t="str">
        <f t="shared" ref="F4017:G4017" si="12255">F4016</f>
        <v>marine water</v>
      </c>
      <c r="G4017" s="401" t="str">
        <f t="shared" si="12255"/>
        <v>DE: Starch-blend film 1-10 mm (emission to marine water)</v>
      </c>
      <c r="H4017" s="465">
        <v>0</v>
      </c>
      <c r="I4017" s="394" t="s">
        <v>1162</v>
      </c>
      <c r="J4017" s="635"/>
      <c r="K4017" s="389">
        <v>42.74</v>
      </c>
      <c r="L4017" s="536"/>
      <c r="M4017" s="509">
        <f t="shared" si="12117"/>
        <v>116.98642957416939</v>
      </c>
      <c r="N4017" s="646"/>
      <c r="O4017" s="626"/>
      <c r="P4017" s="629"/>
      <c r="Q4017" s="629"/>
    </row>
    <row r="4018" spans="1:17" hidden="1">
      <c r="A4018" s="390" t="str">
        <f t="shared" ref="A4018:B4018" si="12256">A4015</f>
        <v>Starch-blend</v>
      </c>
      <c r="B4018" s="391" t="str">
        <f t="shared" si="12256"/>
        <v>film</v>
      </c>
      <c r="C4018" s="391">
        <f t="shared" ref="C4018" si="12257">C4017</f>
        <v>2</v>
      </c>
      <c r="D4018" s="391" t="str">
        <f t="shared" ref="D4018:E4018" si="12258">D4015</f>
        <v>1-10</v>
      </c>
      <c r="E4018" s="391">
        <f t="shared" si="12258"/>
        <v>10</v>
      </c>
      <c r="F4018" s="391" t="str">
        <f t="shared" ref="F4018:G4018" si="12259">F4017</f>
        <v>marine water</v>
      </c>
      <c r="G4018" s="401" t="str">
        <f t="shared" si="12259"/>
        <v>DE: Starch-blend film 1-10 mm (emission to marine water)</v>
      </c>
      <c r="H4018" s="465">
        <v>1</v>
      </c>
      <c r="I4018" s="394" t="s">
        <v>1163</v>
      </c>
      <c r="J4018" s="635"/>
      <c r="K4018" s="389">
        <v>42.74</v>
      </c>
      <c r="L4018" s="536"/>
      <c r="M4018" s="509">
        <f t="shared" si="12117"/>
        <v>116.98642957416939</v>
      </c>
      <c r="N4018" s="646"/>
      <c r="O4018" s="626"/>
      <c r="P4018" s="629"/>
      <c r="Q4018" s="629"/>
    </row>
    <row r="4019" spans="1:17" hidden="1">
      <c r="A4019" s="390" t="str">
        <f t="shared" ref="A4019:B4019" si="12260">A4016</f>
        <v>Starch-blend</v>
      </c>
      <c r="B4019" s="391" t="str">
        <f t="shared" si="12260"/>
        <v>film</v>
      </c>
      <c r="C4019" s="391">
        <f t="shared" ref="C4019" si="12261">C4018</f>
        <v>2</v>
      </c>
      <c r="D4019" s="391" t="str">
        <f t="shared" ref="D4019:E4019" si="12262">D4016</f>
        <v>1-10</v>
      </c>
      <c r="E4019" s="391">
        <f t="shared" si="12262"/>
        <v>10</v>
      </c>
      <c r="F4019" s="391" t="str">
        <f t="shared" ref="F4019:G4019" si="12263">F4018</f>
        <v>marine water</v>
      </c>
      <c r="G4019" s="401" t="str">
        <f t="shared" si="12263"/>
        <v>DE: Starch-blend film 1-10 mm (emission to marine water)</v>
      </c>
      <c r="H4019" s="465">
        <v>0</v>
      </c>
      <c r="I4019" s="397" t="s">
        <v>1034</v>
      </c>
      <c r="J4019" s="654"/>
      <c r="K4019" s="398" t="s">
        <v>596</v>
      </c>
      <c r="L4019" s="538"/>
      <c r="M4019" s="509">
        <f t="shared" si="12117"/>
        <v>0</v>
      </c>
      <c r="N4019" s="647"/>
      <c r="O4019" s="627"/>
      <c r="P4019" s="629"/>
      <c r="Q4019" s="629"/>
    </row>
    <row r="4020" spans="1:17" hidden="1">
      <c r="A4020" s="390" t="str">
        <f t="shared" ref="A4020:B4020" si="12264">A4017</f>
        <v>Starch-blend</v>
      </c>
      <c r="B4020" s="391" t="str">
        <f t="shared" si="12264"/>
        <v>film</v>
      </c>
      <c r="C4020" s="391">
        <f t="shared" ref="C4020" si="12265">C4019</f>
        <v>2</v>
      </c>
      <c r="D4020" s="391" t="str">
        <f t="shared" ref="D4020:E4020" si="12266">D4017</f>
        <v>1-10</v>
      </c>
      <c r="E4020" s="391">
        <f t="shared" si="12266"/>
        <v>10</v>
      </c>
      <c r="F4020" s="400" t="s">
        <v>1057</v>
      </c>
      <c r="G4020" s="422" t="str">
        <f>CONCATENATE("DE: ",A4020," ",B4020," ",D4020," mm (emission to ",F4020,")")</f>
        <v>DE: Starch-blend film 1-10 mm (emission to air)</v>
      </c>
      <c r="H4020" s="467">
        <v>0.94799999999999995</v>
      </c>
      <c r="I4020" s="388" t="s">
        <v>1019</v>
      </c>
      <c r="J4020" s="634">
        <v>0.22800000000000001</v>
      </c>
      <c r="K4020" s="389">
        <v>42.74</v>
      </c>
      <c r="L4020" s="536"/>
      <c r="M4020" s="509">
        <f t="shared" si="12117"/>
        <v>116.98642957416939</v>
      </c>
      <c r="N4020" s="645">
        <f t="shared" si="12184"/>
        <v>116.98642957416938</v>
      </c>
      <c r="O4020" s="625"/>
      <c r="P4020" s="628">
        <f t="shared" si="12204"/>
        <v>100</v>
      </c>
      <c r="Q4020" s="628">
        <f t="shared" si="12156"/>
        <v>116.98642957416938</v>
      </c>
    </row>
    <row r="4021" spans="1:17" hidden="1">
      <c r="A4021" s="390" t="str">
        <f t="shared" ref="A4021:B4021" si="12267">A4018</f>
        <v>Starch-blend</v>
      </c>
      <c r="B4021" s="391" t="str">
        <f t="shared" si="12267"/>
        <v>film</v>
      </c>
      <c r="C4021" s="391">
        <f t="shared" ref="C4021" si="12268">C4020</f>
        <v>2</v>
      </c>
      <c r="D4021" s="391" t="str">
        <f t="shared" ref="D4021:E4021" si="12269">D4018</f>
        <v>1-10</v>
      </c>
      <c r="E4021" s="391">
        <f t="shared" si="12269"/>
        <v>10</v>
      </c>
      <c r="F4021" s="391" t="str">
        <f t="shared" ref="F4021:G4021" si="12270">F4020</f>
        <v>air</v>
      </c>
      <c r="G4021" s="401" t="str">
        <f t="shared" si="12270"/>
        <v>DE: Starch-blend film 1-10 mm (emission to air)</v>
      </c>
      <c r="H4021" s="465">
        <v>0</v>
      </c>
      <c r="I4021" s="394" t="s">
        <v>1097</v>
      </c>
      <c r="J4021" s="635"/>
      <c r="K4021" s="389">
        <v>101.29025539691933</v>
      </c>
      <c r="L4021" s="536"/>
      <c r="M4021" s="509">
        <f t="shared" si="12117"/>
        <v>49.363090066332987</v>
      </c>
      <c r="N4021" s="646"/>
      <c r="O4021" s="626"/>
      <c r="P4021" s="629"/>
      <c r="Q4021" s="629"/>
    </row>
    <row r="4022" spans="1:17" hidden="1">
      <c r="A4022" s="390" t="str">
        <f t="shared" ref="A4022:B4022" si="12271">A4019</f>
        <v>Starch-blend</v>
      </c>
      <c r="B4022" s="391" t="str">
        <f t="shared" si="12271"/>
        <v>film</v>
      </c>
      <c r="C4022" s="391">
        <f t="shared" ref="C4022" si="12272">C4021</f>
        <v>2</v>
      </c>
      <c r="D4022" s="391" t="str">
        <f t="shared" ref="D4022:E4022" si="12273">D4019</f>
        <v>1-10</v>
      </c>
      <c r="E4022" s="391">
        <f t="shared" si="12273"/>
        <v>10</v>
      </c>
      <c r="F4022" s="391" t="str">
        <f t="shared" ref="F4022:G4022" si="12274">F4021</f>
        <v>air</v>
      </c>
      <c r="G4022" s="401" t="str">
        <f t="shared" si="12274"/>
        <v>DE: Starch-blend film 1-10 mm (emission to air)</v>
      </c>
      <c r="H4022" s="465">
        <v>4.7E-2</v>
      </c>
      <c r="I4022" s="394" t="s">
        <v>1162</v>
      </c>
      <c r="J4022" s="635"/>
      <c r="K4022" s="389">
        <v>42.74</v>
      </c>
      <c r="L4022" s="536"/>
      <c r="M4022" s="509">
        <f t="shared" si="12117"/>
        <v>116.98642957416939</v>
      </c>
      <c r="N4022" s="646"/>
      <c r="O4022" s="626"/>
      <c r="P4022" s="629"/>
      <c r="Q4022" s="629"/>
    </row>
    <row r="4023" spans="1:17" hidden="1">
      <c r="A4023" s="390" t="str">
        <f t="shared" ref="A4023:B4023" si="12275">A4020</f>
        <v>Starch-blend</v>
      </c>
      <c r="B4023" s="391" t="str">
        <f t="shared" si="12275"/>
        <v>film</v>
      </c>
      <c r="C4023" s="391">
        <f t="shared" ref="C4023" si="12276">C4022</f>
        <v>2</v>
      </c>
      <c r="D4023" s="391" t="str">
        <f t="shared" ref="D4023:E4023" si="12277">D4020</f>
        <v>1-10</v>
      </c>
      <c r="E4023" s="391">
        <f t="shared" si="12277"/>
        <v>10</v>
      </c>
      <c r="F4023" s="391" t="str">
        <f t="shared" ref="F4023:G4023" si="12278">F4022</f>
        <v>air</v>
      </c>
      <c r="G4023" s="401" t="str">
        <f t="shared" si="12278"/>
        <v>DE: Starch-blend film 1-10 mm (emission to air)</v>
      </c>
      <c r="H4023" s="465">
        <v>5.0000000000000001E-3</v>
      </c>
      <c r="I4023" s="394" t="s">
        <v>1163</v>
      </c>
      <c r="J4023" s="635"/>
      <c r="K4023" s="389">
        <v>42.74</v>
      </c>
      <c r="L4023" s="536"/>
      <c r="M4023" s="509">
        <f t="shared" si="12117"/>
        <v>116.98642957416939</v>
      </c>
      <c r="N4023" s="646"/>
      <c r="O4023" s="626"/>
      <c r="P4023" s="629"/>
      <c r="Q4023" s="629"/>
    </row>
    <row r="4024" spans="1:17" ht="15.75" hidden="1" thickBot="1">
      <c r="A4024" s="390" t="str">
        <f t="shared" ref="A4024:B4024" si="12279">A4019</f>
        <v>Starch-blend</v>
      </c>
      <c r="B4024" s="391" t="str">
        <f t="shared" si="12279"/>
        <v>film</v>
      </c>
      <c r="C4024" s="391">
        <f t="shared" ref="C4024" si="12280">C4023</f>
        <v>2</v>
      </c>
      <c r="D4024" s="391" t="str">
        <f t="shared" ref="D4024:E4024" si="12281">D4019</f>
        <v>1-10</v>
      </c>
      <c r="E4024" s="391">
        <f t="shared" si="12281"/>
        <v>10</v>
      </c>
      <c r="F4024" s="391" t="str">
        <f t="shared" ref="F4024:G4024" si="12282">F4023</f>
        <v>air</v>
      </c>
      <c r="G4024" s="401" t="str">
        <f t="shared" si="12282"/>
        <v>DE: Starch-blend film 1-10 mm (emission to air)</v>
      </c>
      <c r="H4024" s="471">
        <v>0</v>
      </c>
      <c r="I4024" s="422" t="s">
        <v>1034</v>
      </c>
      <c r="J4024" s="636"/>
      <c r="K4024" s="451" t="s">
        <v>596</v>
      </c>
      <c r="L4024" s="542"/>
      <c r="M4024" s="509">
        <f t="shared" si="12117"/>
        <v>0</v>
      </c>
      <c r="N4024" s="647"/>
      <c r="O4024" s="627"/>
      <c r="P4024" s="629"/>
      <c r="Q4024" s="629"/>
    </row>
    <row r="4025" spans="1:17" hidden="1">
      <c r="A4025" s="405" t="s">
        <v>1059</v>
      </c>
      <c r="B4025" s="406" t="s">
        <v>1151</v>
      </c>
      <c r="C4025" s="407">
        <v>4</v>
      </c>
      <c r="D4025" s="423" t="s">
        <v>1018</v>
      </c>
      <c r="E4025" s="408">
        <v>0.1</v>
      </c>
      <c r="F4025" s="424" t="s">
        <v>1019</v>
      </c>
      <c r="G4025" s="425" t="str">
        <f>CONCATENATE("DE: ",A4025," ",B4025," ",D4025," mm (emission to ",F4025,")")</f>
        <v>DE: Starch-blend fiber 0,01-0,1 mm (emission to soil)</v>
      </c>
      <c r="H4025" s="474">
        <v>0.97</v>
      </c>
      <c r="I4025" s="427" t="s">
        <v>1019</v>
      </c>
      <c r="J4025" s="632">
        <v>0.22800000000000001</v>
      </c>
      <c r="K4025" s="428">
        <v>42.74</v>
      </c>
      <c r="L4025" s="539"/>
      <c r="M4025" s="509">
        <f t="shared" si="12117"/>
        <v>0.58493214787084691</v>
      </c>
      <c r="N4025" s="645">
        <f t="shared" si="12184"/>
        <v>0.58493214787084691</v>
      </c>
      <c r="O4025" s="625"/>
      <c r="P4025" s="628">
        <f t="shared" si="12204"/>
        <v>0.58493214787084691</v>
      </c>
      <c r="Q4025" s="628">
        <f t="shared" si="12156"/>
        <v>0.58493214787084691</v>
      </c>
    </row>
    <row r="4026" spans="1:17" hidden="1">
      <c r="A4026" s="390" t="str">
        <f>A4025</f>
        <v>Starch-blend</v>
      </c>
      <c r="B4026" s="391" t="str">
        <f>B4025</f>
        <v>fiber</v>
      </c>
      <c r="C4026" s="391">
        <f t="shared" ref="C4026:G4026" si="12283">C4025</f>
        <v>4</v>
      </c>
      <c r="D4026" s="391" t="str">
        <f t="shared" si="12283"/>
        <v>0,01-0,1</v>
      </c>
      <c r="E4026" s="391">
        <f t="shared" si="12283"/>
        <v>0.1</v>
      </c>
      <c r="F4026" s="391" t="str">
        <f t="shared" si="12283"/>
        <v>soil</v>
      </c>
      <c r="G4026" s="392" t="str">
        <f t="shared" si="12283"/>
        <v>DE: Starch-blend fiber 0,01-0,1 mm (emission to soil)</v>
      </c>
      <c r="H4026" s="465">
        <v>0</v>
      </c>
      <c r="I4026" s="394" t="s">
        <v>1097</v>
      </c>
      <c r="J4026" s="632"/>
      <c r="K4026" s="395">
        <v>101.29025539691933</v>
      </c>
      <c r="L4026" s="537"/>
      <c r="M4026" s="509">
        <f t="shared" si="12117"/>
        <v>0.24681545033166494</v>
      </c>
      <c r="N4026" s="646"/>
      <c r="O4026" s="626"/>
      <c r="P4026" s="629"/>
      <c r="Q4026" s="629"/>
    </row>
    <row r="4027" spans="1:17" hidden="1">
      <c r="A4027" s="390" t="str">
        <f t="shared" ref="A4027:G4027" si="12284">A4026</f>
        <v>Starch-blend</v>
      </c>
      <c r="B4027" s="391" t="str">
        <f t="shared" si="12284"/>
        <v>fiber</v>
      </c>
      <c r="C4027" s="391">
        <f t="shared" si="12284"/>
        <v>4</v>
      </c>
      <c r="D4027" s="391" t="str">
        <f t="shared" si="12284"/>
        <v>0,01-0,1</v>
      </c>
      <c r="E4027" s="391">
        <f t="shared" si="12284"/>
        <v>0.1</v>
      </c>
      <c r="F4027" s="391" t="str">
        <f t="shared" si="12284"/>
        <v>soil</v>
      </c>
      <c r="G4027" s="392" t="str">
        <f t="shared" si="12284"/>
        <v>DE: Starch-blend fiber 0,01-0,1 mm (emission to soil)</v>
      </c>
      <c r="H4027" s="465">
        <v>2.7E-2</v>
      </c>
      <c r="I4027" s="394" t="s">
        <v>1162</v>
      </c>
      <c r="J4027" s="632"/>
      <c r="K4027" s="395">
        <v>42.74</v>
      </c>
      <c r="L4027" s="537"/>
      <c r="M4027" s="509">
        <f t="shared" si="12117"/>
        <v>0.58493214787084691</v>
      </c>
      <c r="N4027" s="646"/>
      <c r="O4027" s="626"/>
      <c r="P4027" s="629"/>
      <c r="Q4027" s="629"/>
    </row>
    <row r="4028" spans="1:17" hidden="1">
      <c r="A4028" s="390" t="str">
        <f t="shared" ref="A4028:G4028" si="12285">A4027</f>
        <v>Starch-blend</v>
      </c>
      <c r="B4028" s="391" t="str">
        <f t="shared" si="12285"/>
        <v>fiber</v>
      </c>
      <c r="C4028" s="391">
        <f t="shared" si="12285"/>
        <v>4</v>
      </c>
      <c r="D4028" s="391" t="str">
        <f t="shared" si="12285"/>
        <v>0,01-0,1</v>
      </c>
      <c r="E4028" s="391">
        <f t="shared" si="12285"/>
        <v>0.1</v>
      </c>
      <c r="F4028" s="391" t="str">
        <f t="shared" si="12285"/>
        <v>soil</v>
      </c>
      <c r="G4028" s="392" t="str">
        <f t="shared" si="12285"/>
        <v>DE: Starch-blend fiber 0,01-0,1 mm (emission to soil)</v>
      </c>
      <c r="H4028" s="465">
        <v>3.0000000000000001E-3</v>
      </c>
      <c r="I4028" s="394" t="s">
        <v>1163</v>
      </c>
      <c r="J4028" s="632"/>
      <c r="K4028" s="395">
        <v>42.74</v>
      </c>
      <c r="L4028" s="537"/>
      <c r="M4028" s="509">
        <f t="shared" si="12117"/>
        <v>0.58493214787084691</v>
      </c>
      <c r="N4028" s="646"/>
      <c r="O4028" s="626"/>
      <c r="P4028" s="629"/>
      <c r="Q4028" s="629"/>
    </row>
    <row r="4029" spans="1:17" hidden="1">
      <c r="A4029" s="390" t="str">
        <f>A4026</f>
        <v>Starch-blend</v>
      </c>
      <c r="B4029" s="391" t="str">
        <f>B4026</f>
        <v>fiber</v>
      </c>
      <c r="C4029" s="391">
        <f t="shared" ref="C4029" si="12286">C4028</f>
        <v>4</v>
      </c>
      <c r="D4029" s="391" t="str">
        <f>D4026</f>
        <v>0,01-0,1</v>
      </c>
      <c r="E4029" s="391">
        <f>E4026</f>
        <v>0.1</v>
      </c>
      <c r="F4029" s="391" t="str">
        <f>F4026</f>
        <v>soil</v>
      </c>
      <c r="G4029" s="396" t="str">
        <f t="shared" ref="G4029" si="12287">G4028</f>
        <v>DE: Starch-blend fiber 0,01-0,1 mm (emission to soil)</v>
      </c>
      <c r="H4029" s="465">
        <v>0</v>
      </c>
      <c r="I4029" s="397" t="s">
        <v>1034</v>
      </c>
      <c r="J4029" s="633"/>
      <c r="K4029" s="398" t="s">
        <v>596</v>
      </c>
      <c r="L4029" s="538"/>
      <c r="M4029" s="509">
        <f t="shared" si="12117"/>
        <v>0</v>
      </c>
      <c r="N4029" s="647"/>
      <c r="O4029" s="627"/>
      <c r="P4029" s="629"/>
      <c r="Q4029" s="629"/>
    </row>
    <row r="4030" spans="1:17" hidden="1">
      <c r="A4030" s="390" t="str">
        <f t="shared" ref="A4030:B4030" si="12288">A4027</f>
        <v>Starch-blend</v>
      </c>
      <c r="B4030" s="391" t="str">
        <f t="shared" si="12288"/>
        <v>fiber</v>
      </c>
      <c r="C4030" s="391">
        <f t="shared" ref="C4030" si="12289">C4029</f>
        <v>4</v>
      </c>
      <c r="D4030" s="399" t="str">
        <f t="shared" ref="D4030:E4030" si="12290">D4027</f>
        <v>0,01-0,1</v>
      </c>
      <c r="E4030" s="391">
        <f t="shared" si="12290"/>
        <v>0.1</v>
      </c>
      <c r="F4030" s="400" t="s">
        <v>1147</v>
      </c>
      <c r="G4030" s="386" t="str">
        <f>CONCATENATE("DE: ",A4030," ",B4030," ",D4030," mm (emission to ",F4030,")")</f>
        <v>DE: Starch-blend fiber 0,01-0,1 mm (emission to fresh water)</v>
      </c>
      <c r="H4030" s="466">
        <v>0</v>
      </c>
      <c r="I4030" s="388" t="s">
        <v>1019</v>
      </c>
      <c r="J4030" s="634">
        <v>0.22800000000000001</v>
      </c>
      <c r="K4030" s="389">
        <v>42.74</v>
      </c>
      <c r="L4030" s="536"/>
      <c r="M4030" s="509">
        <f t="shared" si="12117"/>
        <v>0.58493214787084691</v>
      </c>
      <c r="N4030" s="645">
        <f t="shared" si="12184"/>
        <v>0.58493214787084691</v>
      </c>
      <c r="O4030" s="625"/>
      <c r="P4030" s="628">
        <f t="shared" si="12204"/>
        <v>0.58493214787084691</v>
      </c>
      <c r="Q4030" s="628">
        <f t="shared" si="12156"/>
        <v>0.58493214787084691</v>
      </c>
    </row>
    <row r="4031" spans="1:17" hidden="1">
      <c r="A4031" s="390" t="str">
        <f t="shared" ref="A4031:B4031" si="12291">A4028</f>
        <v>Starch-blend</v>
      </c>
      <c r="B4031" s="391" t="str">
        <f t="shared" si="12291"/>
        <v>fiber</v>
      </c>
      <c r="C4031" s="391">
        <f t="shared" ref="C4031" si="12292">C4030</f>
        <v>4</v>
      </c>
      <c r="D4031" s="391" t="str">
        <f t="shared" ref="D4031:E4031" si="12293">D4028</f>
        <v>0,01-0,1</v>
      </c>
      <c r="E4031" s="391">
        <f t="shared" si="12293"/>
        <v>0.1</v>
      </c>
      <c r="F4031" s="391" t="str">
        <f t="shared" ref="F4031:G4031" si="12294">F4030</f>
        <v>fresh water</v>
      </c>
      <c r="G4031" s="401" t="str">
        <f t="shared" si="12294"/>
        <v>DE: Starch-blend fiber 0,01-0,1 mm (emission to fresh water)</v>
      </c>
      <c r="H4031" s="465">
        <v>0</v>
      </c>
      <c r="I4031" s="394" t="s">
        <v>1097</v>
      </c>
      <c r="J4031" s="635"/>
      <c r="K4031" s="389">
        <v>101.29025539691933</v>
      </c>
      <c r="L4031" s="536"/>
      <c r="M4031" s="509">
        <f t="shared" si="12117"/>
        <v>0.24681545033166494</v>
      </c>
      <c r="N4031" s="646"/>
      <c r="O4031" s="626"/>
      <c r="P4031" s="629"/>
      <c r="Q4031" s="629"/>
    </row>
    <row r="4032" spans="1:17" hidden="1">
      <c r="A4032" s="390" t="str">
        <f t="shared" ref="A4032:B4032" si="12295">A4029</f>
        <v>Starch-blend</v>
      </c>
      <c r="B4032" s="391" t="str">
        <f t="shared" si="12295"/>
        <v>fiber</v>
      </c>
      <c r="C4032" s="391">
        <f t="shared" ref="C4032" si="12296">C4031</f>
        <v>4</v>
      </c>
      <c r="D4032" s="391" t="str">
        <f t="shared" ref="D4032:E4032" si="12297">D4029</f>
        <v>0,01-0,1</v>
      </c>
      <c r="E4032" s="391">
        <f t="shared" si="12297"/>
        <v>0.1</v>
      </c>
      <c r="F4032" s="391" t="str">
        <f t="shared" ref="F4032:G4032" si="12298">F4031</f>
        <v>fresh water</v>
      </c>
      <c r="G4032" s="401" t="str">
        <f t="shared" si="12298"/>
        <v>DE: Starch-blend fiber 0,01-0,1 mm (emission to fresh water)</v>
      </c>
      <c r="H4032" s="465">
        <v>0.89</v>
      </c>
      <c r="I4032" s="394" t="s">
        <v>1162</v>
      </c>
      <c r="J4032" s="635"/>
      <c r="K4032" s="389">
        <v>42.74</v>
      </c>
      <c r="L4032" s="536"/>
      <c r="M4032" s="509">
        <f t="shared" si="12117"/>
        <v>0.58493214787084691</v>
      </c>
      <c r="N4032" s="646"/>
      <c r="O4032" s="626"/>
      <c r="P4032" s="629"/>
      <c r="Q4032" s="629"/>
    </row>
    <row r="4033" spans="1:17" hidden="1">
      <c r="A4033" s="390" t="str">
        <f t="shared" ref="A4033:B4033" si="12299">A4030</f>
        <v>Starch-blend</v>
      </c>
      <c r="B4033" s="391" t="str">
        <f t="shared" si="12299"/>
        <v>fiber</v>
      </c>
      <c r="C4033" s="391">
        <f t="shared" ref="C4033" si="12300">C4032</f>
        <v>4</v>
      </c>
      <c r="D4033" s="391" t="str">
        <f t="shared" ref="D4033:E4033" si="12301">D4030</f>
        <v>0,01-0,1</v>
      </c>
      <c r="E4033" s="391">
        <f t="shared" si="12301"/>
        <v>0.1</v>
      </c>
      <c r="F4033" s="391" t="str">
        <f t="shared" ref="F4033:G4033" si="12302">F4032</f>
        <v>fresh water</v>
      </c>
      <c r="G4033" s="401" t="str">
        <f t="shared" si="12302"/>
        <v>DE: Starch-blend fiber 0,01-0,1 mm (emission to fresh water)</v>
      </c>
      <c r="H4033" s="465">
        <v>0.11</v>
      </c>
      <c r="I4033" s="394" t="s">
        <v>1163</v>
      </c>
      <c r="J4033" s="635"/>
      <c r="K4033" s="389">
        <v>42.74</v>
      </c>
      <c r="L4033" s="536"/>
      <c r="M4033" s="509">
        <f t="shared" si="12117"/>
        <v>0.58493214787084691</v>
      </c>
      <c r="N4033" s="646"/>
      <c r="O4033" s="626"/>
      <c r="P4033" s="629"/>
      <c r="Q4033" s="629"/>
    </row>
    <row r="4034" spans="1:17" hidden="1">
      <c r="A4034" s="390" t="str">
        <f t="shared" ref="A4034:B4034" si="12303">A4031</f>
        <v>Starch-blend</v>
      </c>
      <c r="B4034" s="391" t="str">
        <f t="shared" si="12303"/>
        <v>fiber</v>
      </c>
      <c r="C4034" s="391">
        <f t="shared" ref="C4034" si="12304">C4033</f>
        <v>4</v>
      </c>
      <c r="D4034" s="391" t="str">
        <f t="shared" ref="D4034:E4034" si="12305">D4031</f>
        <v>0,01-0,1</v>
      </c>
      <c r="E4034" s="391">
        <f t="shared" si="12305"/>
        <v>0.1</v>
      </c>
      <c r="F4034" s="402" t="str">
        <f>F4031</f>
        <v>fresh water</v>
      </c>
      <c r="G4034" s="401" t="str">
        <f t="shared" ref="G4034" si="12306">G4033</f>
        <v>DE: Starch-blend fiber 0,01-0,1 mm (emission to fresh water)</v>
      </c>
      <c r="H4034" s="465">
        <v>0</v>
      </c>
      <c r="I4034" s="397" t="s">
        <v>1034</v>
      </c>
      <c r="J4034" s="654"/>
      <c r="K4034" s="398" t="s">
        <v>596</v>
      </c>
      <c r="L4034" s="538"/>
      <c r="M4034" s="509">
        <f t="shared" si="12117"/>
        <v>0</v>
      </c>
      <c r="N4034" s="647"/>
      <c r="O4034" s="627"/>
      <c r="P4034" s="629"/>
      <c r="Q4034" s="629"/>
    </row>
    <row r="4035" spans="1:17" hidden="1">
      <c r="A4035" s="390" t="str">
        <f t="shared" ref="A4035:B4035" si="12307">A4032</f>
        <v>Starch-blend</v>
      </c>
      <c r="B4035" s="391" t="str">
        <f t="shared" si="12307"/>
        <v>fiber</v>
      </c>
      <c r="C4035" s="391">
        <f t="shared" ref="C4035" si="12308">C4034</f>
        <v>4</v>
      </c>
      <c r="D4035" s="391" t="str">
        <f t="shared" ref="D4035:E4035" si="12309">D4032</f>
        <v>0,01-0,1</v>
      </c>
      <c r="E4035" s="391">
        <f t="shared" si="12309"/>
        <v>0.1</v>
      </c>
      <c r="F4035" s="385" t="s">
        <v>1097</v>
      </c>
      <c r="G4035" s="422" t="str">
        <f>CONCATENATE("DE: ",A4035," ",B4035," ",D4035," mm (emission to ",F4035,")")</f>
        <v>DE: Starch-blend fiber 0,01-0,1 mm (emission to marine water)</v>
      </c>
      <c r="H4035" s="467">
        <v>0</v>
      </c>
      <c r="I4035" s="388" t="s">
        <v>1019</v>
      </c>
      <c r="J4035" s="634">
        <v>0.22800000000000001</v>
      </c>
      <c r="K4035" s="389">
        <v>42.74</v>
      </c>
      <c r="L4035" s="536"/>
      <c r="M4035" s="509">
        <f t="shared" si="12117"/>
        <v>0.58493214787084691</v>
      </c>
      <c r="N4035" s="645">
        <f t="shared" si="12184"/>
        <v>0.58493214787084691</v>
      </c>
      <c r="O4035" s="625"/>
      <c r="P4035" s="628">
        <f t="shared" si="12204"/>
        <v>0.58493214787084691</v>
      </c>
      <c r="Q4035" s="628">
        <f t="shared" si="12156"/>
        <v>0.58493214787084691</v>
      </c>
    </row>
    <row r="4036" spans="1:17" hidden="1">
      <c r="A4036" s="390" t="str">
        <f t="shared" ref="A4036:B4036" si="12310">A4033</f>
        <v>Starch-blend</v>
      </c>
      <c r="B4036" s="391" t="str">
        <f t="shared" si="12310"/>
        <v>fiber</v>
      </c>
      <c r="C4036" s="391">
        <f t="shared" ref="C4036" si="12311">C4035</f>
        <v>4</v>
      </c>
      <c r="D4036" s="391" t="str">
        <f t="shared" ref="D4036:E4036" si="12312">D4033</f>
        <v>0,01-0,1</v>
      </c>
      <c r="E4036" s="391">
        <f t="shared" si="12312"/>
        <v>0.1</v>
      </c>
      <c r="F4036" s="391" t="str">
        <f t="shared" ref="F4036:G4036" si="12313">F4035</f>
        <v>marine water</v>
      </c>
      <c r="G4036" s="401" t="str">
        <f t="shared" si="12313"/>
        <v>DE: Starch-blend fiber 0,01-0,1 mm (emission to marine water)</v>
      </c>
      <c r="H4036" s="465">
        <v>0</v>
      </c>
      <c r="I4036" s="394" t="s">
        <v>1097</v>
      </c>
      <c r="J4036" s="635"/>
      <c r="K4036" s="389">
        <v>101.29025539691933</v>
      </c>
      <c r="L4036" s="536"/>
      <c r="M4036" s="509">
        <f t="shared" si="12117"/>
        <v>0.24681545033166494</v>
      </c>
      <c r="N4036" s="646"/>
      <c r="O4036" s="626"/>
      <c r="P4036" s="629"/>
      <c r="Q4036" s="629"/>
    </row>
    <row r="4037" spans="1:17" hidden="1">
      <c r="A4037" s="390" t="str">
        <f t="shared" ref="A4037:B4037" si="12314">A4034</f>
        <v>Starch-blend</v>
      </c>
      <c r="B4037" s="391" t="str">
        <f t="shared" si="12314"/>
        <v>fiber</v>
      </c>
      <c r="C4037" s="391">
        <f t="shared" ref="C4037" si="12315">C4036</f>
        <v>4</v>
      </c>
      <c r="D4037" s="391" t="str">
        <f t="shared" ref="D4037:E4037" si="12316">D4034</f>
        <v>0,01-0,1</v>
      </c>
      <c r="E4037" s="391">
        <f t="shared" si="12316"/>
        <v>0.1</v>
      </c>
      <c r="F4037" s="391" t="str">
        <f t="shared" ref="F4037:G4037" si="12317">F4036</f>
        <v>marine water</v>
      </c>
      <c r="G4037" s="401" t="str">
        <f t="shared" si="12317"/>
        <v>DE: Starch-blend fiber 0,01-0,1 mm (emission to marine water)</v>
      </c>
      <c r="H4037" s="465">
        <v>0</v>
      </c>
      <c r="I4037" s="394" t="s">
        <v>1162</v>
      </c>
      <c r="J4037" s="635"/>
      <c r="K4037" s="389">
        <v>42.74</v>
      </c>
      <c r="L4037" s="536"/>
      <c r="M4037" s="509">
        <f t="shared" si="12117"/>
        <v>0.58493214787084691</v>
      </c>
      <c r="N4037" s="646"/>
      <c r="O4037" s="626"/>
      <c r="P4037" s="629"/>
      <c r="Q4037" s="629"/>
    </row>
    <row r="4038" spans="1:17" hidden="1">
      <c r="A4038" s="390" t="str">
        <f t="shared" ref="A4038:B4038" si="12318">A4035</f>
        <v>Starch-blend</v>
      </c>
      <c r="B4038" s="391" t="str">
        <f t="shared" si="12318"/>
        <v>fiber</v>
      </c>
      <c r="C4038" s="391">
        <f t="shared" ref="C4038" si="12319">C4037</f>
        <v>4</v>
      </c>
      <c r="D4038" s="391" t="str">
        <f t="shared" ref="D4038:E4038" si="12320">D4035</f>
        <v>0,01-0,1</v>
      </c>
      <c r="E4038" s="391">
        <f t="shared" si="12320"/>
        <v>0.1</v>
      </c>
      <c r="F4038" s="391" t="str">
        <f t="shared" ref="F4038:G4038" si="12321">F4037</f>
        <v>marine water</v>
      </c>
      <c r="G4038" s="401" t="str">
        <f t="shared" si="12321"/>
        <v>DE: Starch-blend fiber 0,01-0,1 mm (emission to marine water)</v>
      </c>
      <c r="H4038" s="465">
        <v>1</v>
      </c>
      <c r="I4038" s="394" t="s">
        <v>1163</v>
      </c>
      <c r="J4038" s="635"/>
      <c r="K4038" s="389">
        <v>42.74</v>
      </c>
      <c r="L4038" s="536"/>
      <c r="M4038" s="509">
        <f t="shared" ref="M4038:M4101" si="12322">IFERROR(IF(K4038="--",0,IF(E4038*1000/K4038*(1-0.5)^(C4038/2)&gt;1000,1000,E4038*1000/K4038*(1-0.5)^(C4038/2))),1000)</f>
        <v>0.58493214787084691</v>
      </c>
      <c r="N4038" s="646"/>
      <c r="O4038" s="626"/>
      <c r="P4038" s="629"/>
      <c r="Q4038" s="629"/>
    </row>
    <row r="4039" spans="1:17" hidden="1">
      <c r="A4039" s="390" t="str">
        <f t="shared" ref="A4039:B4039" si="12323">A4036</f>
        <v>Starch-blend</v>
      </c>
      <c r="B4039" s="391" t="str">
        <f t="shared" si="12323"/>
        <v>fiber</v>
      </c>
      <c r="C4039" s="391">
        <f t="shared" ref="C4039" si="12324">C4038</f>
        <v>4</v>
      </c>
      <c r="D4039" s="391" t="str">
        <f t="shared" ref="D4039:E4039" si="12325">D4036</f>
        <v>0,01-0,1</v>
      </c>
      <c r="E4039" s="391">
        <f t="shared" si="12325"/>
        <v>0.1</v>
      </c>
      <c r="F4039" s="391" t="str">
        <f t="shared" ref="F4039:G4039" si="12326">F4038</f>
        <v>marine water</v>
      </c>
      <c r="G4039" s="401" t="str">
        <f t="shared" si="12326"/>
        <v>DE: Starch-blend fiber 0,01-0,1 mm (emission to marine water)</v>
      </c>
      <c r="H4039" s="465">
        <v>0</v>
      </c>
      <c r="I4039" s="397" t="s">
        <v>1034</v>
      </c>
      <c r="J4039" s="654"/>
      <c r="K4039" s="398" t="s">
        <v>596</v>
      </c>
      <c r="L4039" s="538"/>
      <c r="M4039" s="509">
        <f t="shared" si="12322"/>
        <v>0</v>
      </c>
      <c r="N4039" s="647"/>
      <c r="O4039" s="627"/>
      <c r="P4039" s="629"/>
      <c r="Q4039" s="629"/>
    </row>
    <row r="4040" spans="1:17" hidden="1">
      <c r="A4040" s="390" t="str">
        <f t="shared" ref="A4040:B4040" si="12327">A4037</f>
        <v>Starch-blend</v>
      </c>
      <c r="B4040" s="391" t="str">
        <f t="shared" si="12327"/>
        <v>fiber</v>
      </c>
      <c r="C4040" s="391">
        <f t="shared" ref="C4040" si="12328">C4039</f>
        <v>4</v>
      </c>
      <c r="D4040" s="391" t="str">
        <f t="shared" ref="D4040:E4040" si="12329">D4037</f>
        <v>0,01-0,1</v>
      </c>
      <c r="E4040" s="391">
        <f t="shared" si="12329"/>
        <v>0.1</v>
      </c>
      <c r="F4040" s="400" t="s">
        <v>1057</v>
      </c>
      <c r="G4040" s="422" t="str">
        <f>CONCATENATE("DE: ",A4040," ",B4040," ",D4040," mm (emission to ",F4040,")")</f>
        <v>DE: Starch-blend fiber 0,01-0,1 mm (emission to air)</v>
      </c>
      <c r="H4040" s="467">
        <v>0.94799999999999995</v>
      </c>
      <c r="I4040" s="388" t="s">
        <v>1019</v>
      </c>
      <c r="J4040" s="634">
        <v>0.22800000000000001</v>
      </c>
      <c r="K4040" s="389">
        <v>42.74</v>
      </c>
      <c r="L4040" s="536"/>
      <c r="M4040" s="509">
        <f t="shared" si="12322"/>
        <v>0.58493214787084691</v>
      </c>
      <c r="N4040" s="645">
        <f t="shared" si="12184"/>
        <v>0.58493214787084691</v>
      </c>
      <c r="O4040" s="625"/>
      <c r="P4040" s="628">
        <f t="shared" si="12204"/>
        <v>0.58493214787084691</v>
      </c>
      <c r="Q4040" s="628">
        <f t="shared" si="12156"/>
        <v>0.58493214787084691</v>
      </c>
    </row>
    <row r="4041" spans="1:17" hidden="1">
      <c r="A4041" s="390" t="str">
        <f t="shared" ref="A4041:B4041" si="12330">A4038</f>
        <v>Starch-blend</v>
      </c>
      <c r="B4041" s="391" t="str">
        <f t="shared" si="12330"/>
        <v>fiber</v>
      </c>
      <c r="C4041" s="391">
        <f t="shared" ref="C4041" si="12331">C4040</f>
        <v>4</v>
      </c>
      <c r="D4041" s="391" t="str">
        <f t="shared" ref="D4041:E4041" si="12332">D4038</f>
        <v>0,01-0,1</v>
      </c>
      <c r="E4041" s="391">
        <f t="shared" si="12332"/>
        <v>0.1</v>
      </c>
      <c r="F4041" s="391" t="str">
        <f t="shared" ref="F4041:G4041" si="12333">F4040</f>
        <v>air</v>
      </c>
      <c r="G4041" s="401" t="str">
        <f t="shared" si="12333"/>
        <v>DE: Starch-blend fiber 0,01-0,1 mm (emission to air)</v>
      </c>
      <c r="H4041" s="465">
        <v>0</v>
      </c>
      <c r="I4041" s="394" t="s">
        <v>1097</v>
      </c>
      <c r="J4041" s="635"/>
      <c r="K4041" s="389">
        <v>101.29025539691933</v>
      </c>
      <c r="L4041" s="536"/>
      <c r="M4041" s="509">
        <f t="shared" si="12322"/>
        <v>0.24681545033166494</v>
      </c>
      <c r="N4041" s="646"/>
      <c r="O4041" s="626"/>
      <c r="P4041" s="629"/>
      <c r="Q4041" s="629"/>
    </row>
    <row r="4042" spans="1:17" hidden="1">
      <c r="A4042" s="390" t="str">
        <f t="shared" ref="A4042:B4042" si="12334">A4039</f>
        <v>Starch-blend</v>
      </c>
      <c r="B4042" s="391" t="str">
        <f t="shared" si="12334"/>
        <v>fiber</v>
      </c>
      <c r="C4042" s="391">
        <f t="shared" ref="C4042" si="12335">C4041</f>
        <v>4</v>
      </c>
      <c r="D4042" s="391" t="str">
        <f t="shared" ref="D4042:E4042" si="12336">D4039</f>
        <v>0,01-0,1</v>
      </c>
      <c r="E4042" s="391">
        <f t="shared" si="12336"/>
        <v>0.1</v>
      </c>
      <c r="F4042" s="391" t="str">
        <f t="shared" ref="F4042:G4042" si="12337">F4041</f>
        <v>air</v>
      </c>
      <c r="G4042" s="401" t="str">
        <f t="shared" si="12337"/>
        <v>DE: Starch-blend fiber 0,01-0,1 mm (emission to air)</v>
      </c>
      <c r="H4042" s="465">
        <v>4.7E-2</v>
      </c>
      <c r="I4042" s="394" t="s">
        <v>1162</v>
      </c>
      <c r="J4042" s="635"/>
      <c r="K4042" s="389">
        <v>42.74</v>
      </c>
      <c r="L4042" s="536"/>
      <c r="M4042" s="509">
        <f t="shared" si="12322"/>
        <v>0.58493214787084691</v>
      </c>
      <c r="N4042" s="646"/>
      <c r="O4042" s="626"/>
      <c r="P4042" s="629"/>
      <c r="Q4042" s="629"/>
    </row>
    <row r="4043" spans="1:17" hidden="1">
      <c r="A4043" s="390" t="str">
        <f t="shared" ref="A4043:B4043" si="12338">A4040</f>
        <v>Starch-blend</v>
      </c>
      <c r="B4043" s="391" t="str">
        <f t="shared" si="12338"/>
        <v>fiber</v>
      </c>
      <c r="C4043" s="391">
        <f t="shared" ref="C4043" si="12339">C4042</f>
        <v>4</v>
      </c>
      <c r="D4043" s="391" t="str">
        <f t="shared" ref="D4043:E4043" si="12340">D4040</f>
        <v>0,01-0,1</v>
      </c>
      <c r="E4043" s="391">
        <f t="shared" si="12340"/>
        <v>0.1</v>
      </c>
      <c r="F4043" s="391" t="str">
        <f t="shared" ref="F4043:G4043" si="12341">F4042</f>
        <v>air</v>
      </c>
      <c r="G4043" s="401" t="str">
        <f t="shared" si="12341"/>
        <v>DE: Starch-blend fiber 0,01-0,1 mm (emission to air)</v>
      </c>
      <c r="H4043" s="465">
        <v>5.0000000000000001E-3</v>
      </c>
      <c r="I4043" s="394" t="s">
        <v>1163</v>
      </c>
      <c r="J4043" s="635"/>
      <c r="K4043" s="389">
        <v>42.74</v>
      </c>
      <c r="L4043" s="536"/>
      <c r="M4043" s="509">
        <f t="shared" si="12322"/>
        <v>0.58493214787084691</v>
      </c>
      <c r="N4043" s="646"/>
      <c r="O4043" s="626"/>
      <c r="P4043" s="629"/>
      <c r="Q4043" s="629"/>
    </row>
    <row r="4044" spans="1:17" ht="15.75" hidden="1" thickBot="1">
      <c r="A4044" s="452" t="str">
        <f t="shared" ref="A4044:B4044" si="12342">A4039</f>
        <v>Starch-blend</v>
      </c>
      <c r="B4044" s="453" t="str">
        <f t="shared" si="12342"/>
        <v>fiber</v>
      </c>
      <c r="C4044" s="453">
        <f t="shared" ref="C4044" si="12343">C4043</f>
        <v>4</v>
      </c>
      <c r="D4044" s="453" t="str">
        <f t="shared" ref="D4044:E4044" si="12344">D4039</f>
        <v>0,01-0,1</v>
      </c>
      <c r="E4044" s="453">
        <f t="shared" si="12344"/>
        <v>0.1</v>
      </c>
      <c r="F4044" s="453" t="str">
        <f t="shared" ref="F4044:G4044" si="12345">F4043</f>
        <v>air</v>
      </c>
      <c r="G4044" s="454" t="str">
        <f t="shared" si="12345"/>
        <v>DE: Starch-blend fiber 0,01-0,1 mm (emission to air)</v>
      </c>
      <c r="H4044" s="473">
        <v>0</v>
      </c>
      <c r="I4044" s="456" t="s">
        <v>1034</v>
      </c>
      <c r="J4044" s="636"/>
      <c r="K4044" s="457" t="s">
        <v>596</v>
      </c>
      <c r="L4044" s="543"/>
      <c r="M4044" s="509">
        <f t="shared" si="12322"/>
        <v>0</v>
      </c>
      <c r="N4044" s="647"/>
      <c r="O4044" s="627"/>
      <c r="P4044" s="629"/>
      <c r="Q4044" s="629"/>
    </row>
    <row r="4045" spans="1:17" hidden="1">
      <c r="A4045" s="381" t="s">
        <v>1059</v>
      </c>
      <c r="B4045" s="382" t="s">
        <v>1151</v>
      </c>
      <c r="C4045" s="383">
        <v>4</v>
      </c>
      <c r="D4045" s="475" t="s">
        <v>1028</v>
      </c>
      <c r="E4045" s="384">
        <v>1</v>
      </c>
      <c r="F4045" s="385" t="s">
        <v>1019</v>
      </c>
      <c r="G4045" s="386" t="str">
        <f>CONCATENATE("DE: ",A4045," ",B4045," ",D4045," mm (emission to ",F4045,")")</f>
        <v>DE: Starch-blend fiber 0,1-1 mm (emission to soil)</v>
      </c>
      <c r="H4045" s="466">
        <v>0.97</v>
      </c>
      <c r="I4045" s="388" t="s">
        <v>1019</v>
      </c>
      <c r="J4045" s="632">
        <v>0.22800000000000001</v>
      </c>
      <c r="K4045" s="389">
        <v>42.74</v>
      </c>
      <c r="L4045" s="536"/>
      <c r="M4045" s="509">
        <f t="shared" si="12322"/>
        <v>5.84932147870847</v>
      </c>
      <c r="N4045" s="645">
        <f t="shared" si="12184"/>
        <v>5.8493214787084691</v>
      </c>
      <c r="O4045" s="625"/>
      <c r="P4045" s="628">
        <f t="shared" si="12204"/>
        <v>5.8493214787084691</v>
      </c>
      <c r="Q4045" s="628">
        <f t="shared" si="12156"/>
        <v>5.8493214787084691</v>
      </c>
    </row>
    <row r="4046" spans="1:17" hidden="1">
      <c r="A4046" s="390" t="str">
        <f>A4045</f>
        <v>Starch-blend</v>
      </c>
      <c r="B4046" s="391" t="str">
        <f>B4045</f>
        <v>fiber</v>
      </c>
      <c r="C4046" s="391">
        <f t="shared" ref="C4046:G4046" si="12346">C4045</f>
        <v>4</v>
      </c>
      <c r="D4046" s="391" t="str">
        <f t="shared" si="12346"/>
        <v>0,1-1</v>
      </c>
      <c r="E4046" s="391">
        <f t="shared" si="12346"/>
        <v>1</v>
      </c>
      <c r="F4046" s="391" t="str">
        <f t="shared" si="12346"/>
        <v>soil</v>
      </c>
      <c r="G4046" s="392" t="str">
        <f t="shared" si="12346"/>
        <v>DE: Starch-blend fiber 0,1-1 mm (emission to soil)</v>
      </c>
      <c r="H4046" s="465">
        <v>0</v>
      </c>
      <c r="I4046" s="394" t="s">
        <v>1097</v>
      </c>
      <c r="J4046" s="632"/>
      <c r="K4046" s="395">
        <v>101.29025539691933</v>
      </c>
      <c r="L4046" s="537"/>
      <c r="M4046" s="509">
        <f t="shared" si="12322"/>
        <v>2.4681545033166494</v>
      </c>
      <c r="N4046" s="646"/>
      <c r="O4046" s="626"/>
      <c r="P4046" s="629"/>
      <c r="Q4046" s="629"/>
    </row>
    <row r="4047" spans="1:17" hidden="1">
      <c r="A4047" s="390" t="str">
        <f t="shared" ref="A4047:G4047" si="12347">A4046</f>
        <v>Starch-blend</v>
      </c>
      <c r="B4047" s="391" t="str">
        <f t="shared" si="12347"/>
        <v>fiber</v>
      </c>
      <c r="C4047" s="391">
        <f t="shared" si="12347"/>
        <v>4</v>
      </c>
      <c r="D4047" s="391" t="str">
        <f t="shared" si="12347"/>
        <v>0,1-1</v>
      </c>
      <c r="E4047" s="391">
        <f t="shared" si="12347"/>
        <v>1</v>
      </c>
      <c r="F4047" s="391" t="str">
        <f t="shared" si="12347"/>
        <v>soil</v>
      </c>
      <c r="G4047" s="392" t="str">
        <f t="shared" si="12347"/>
        <v>DE: Starch-blend fiber 0,1-1 mm (emission to soil)</v>
      </c>
      <c r="H4047" s="465">
        <v>2.7E-2</v>
      </c>
      <c r="I4047" s="394" t="s">
        <v>1162</v>
      </c>
      <c r="J4047" s="632"/>
      <c r="K4047" s="395">
        <v>42.74</v>
      </c>
      <c r="L4047" s="537"/>
      <c r="M4047" s="509">
        <f t="shared" si="12322"/>
        <v>5.84932147870847</v>
      </c>
      <c r="N4047" s="646"/>
      <c r="O4047" s="626"/>
      <c r="P4047" s="629"/>
      <c r="Q4047" s="629"/>
    </row>
    <row r="4048" spans="1:17" hidden="1">
      <c r="A4048" s="390" t="str">
        <f t="shared" ref="A4048:G4048" si="12348">A4047</f>
        <v>Starch-blend</v>
      </c>
      <c r="B4048" s="391" t="str">
        <f t="shared" si="12348"/>
        <v>fiber</v>
      </c>
      <c r="C4048" s="391">
        <f t="shared" si="12348"/>
        <v>4</v>
      </c>
      <c r="D4048" s="391" t="str">
        <f t="shared" si="12348"/>
        <v>0,1-1</v>
      </c>
      <c r="E4048" s="391">
        <f t="shared" si="12348"/>
        <v>1</v>
      </c>
      <c r="F4048" s="391" t="str">
        <f t="shared" si="12348"/>
        <v>soil</v>
      </c>
      <c r="G4048" s="392" t="str">
        <f t="shared" si="12348"/>
        <v>DE: Starch-blend fiber 0,1-1 mm (emission to soil)</v>
      </c>
      <c r="H4048" s="465">
        <v>3.0000000000000001E-3</v>
      </c>
      <c r="I4048" s="394" t="s">
        <v>1163</v>
      </c>
      <c r="J4048" s="632"/>
      <c r="K4048" s="395">
        <v>42.74</v>
      </c>
      <c r="L4048" s="537"/>
      <c r="M4048" s="509">
        <f t="shared" si="12322"/>
        <v>5.84932147870847</v>
      </c>
      <c r="N4048" s="646"/>
      <c r="O4048" s="626"/>
      <c r="P4048" s="629"/>
      <c r="Q4048" s="629"/>
    </row>
    <row r="4049" spans="1:17" hidden="1">
      <c r="A4049" s="390" t="str">
        <f>A4046</f>
        <v>Starch-blend</v>
      </c>
      <c r="B4049" s="391" t="str">
        <f>B4046</f>
        <v>fiber</v>
      </c>
      <c r="C4049" s="391">
        <f t="shared" ref="C4049" si="12349">C4048</f>
        <v>4</v>
      </c>
      <c r="D4049" s="391" t="str">
        <f>D4046</f>
        <v>0,1-1</v>
      </c>
      <c r="E4049" s="391">
        <f>E4046</f>
        <v>1</v>
      </c>
      <c r="F4049" s="391" t="str">
        <f>F4046</f>
        <v>soil</v>
      </c>
      <c r="G4049" s="396" t="str">
        <f t="shared" ref="G4049" si="12350">G4048</f>
        <v>DE: Starch-blend fiber 0,1-1 mm (emission to soil)</v>
      </c>
      <c r="H4049" s="465">
        <v>0</v>
      </c>
      <c r="I4049" s="397" t="s">
        <v>1034</v>
      </c>
      <c r="J4049" s="633"/>
      <c r="K4049" s="398" t="s">
        <v>596</v>
      </c>
      <c r="L4049" s="538"/>
      <c r="M4049" s="509">
        <f t="shared" si="12322"/>
        <v>0</v>
      </c>
      <c r="N4049" s="647"/>
      <c r="O4049" s="627"/>
      <c r="P4049" s="629"/>
      <c r="Q4049" s="629"/>
    </row>
    <row r="4050" spans="1:17" hidden="1">
      <c r="A4050" s="390" t="str">
        <f t="shared" ref="A4050:B4050" si="12351">A4047</f>
        <v>Starch-blend</v>
      </c>
      <c r="B4050" s="391" t="str">
        <f t="shared" si="12351"/>
        <v>fiber</v>
      </c>
      <c r="C4050" s="391">
        <f t="shared" ref="C4050" si="12352">C4049</f>
        <v>4</v>
      </c>
      <c r="D4050" s="399" t="str">
        <f t="shared" ref="D4050:E4050" si="12353">D4047</f>
        <v>0,1-1</v>
      </c>
      <c r="E4050" s="391">
        <f t="shared" si="12353"/>
        <v>1</v>
      </c>
      <c r="F4050" s="400" t="s">
        <v>1147</v>
      </c>
      <c r="G4050" s="386" t="str">
        <f>CONCATENATE("DE: ",A4050," ",B4050," ",D4050," mm (emission to ",F4050,")")</f>
        <v>DE: Starch-blend fiber 0,1-1 mm (emission to fresh water)</v>
      </c>
      <c r="H4050" s="466">
        <v>0</v>
      </c>
      <c r="I4050" s="388" t="s">
        <v>1019</v>
      </c>
      <c r="J4050" s="634">
        <v>0.22800000000000001</v>
      </c>
      <c r="K4050" s="389">
        <v>42.74</v>
      </c>
      <c r="L4050" s="536"/>
      <c r="M4050" s="509">
        <f t="shared" si="12322"/>
        <v>5.84932147870847</v>
      </c>
      <c r="N4050" s="645">
        <f t="shared" si="12184"/>
        <v>5.84932147870847</v>
      </c>
      <c r="O4050" s="625"/>
      <c r="P4050" s="628">
        <f t="shared" si="12204"/>
        <v>5.84932147870847</v>
      </c>
      <c r="Q4050" s="628">
        <f t="shared" ref="Q4050:Q4110" si="12354">IFERROR(IF(H4050*M4050+H4051*M4051+H4052*M4052+H4053*M4053+H4054*M4054&gt;500,500,H4050*M4050+H4051*M4051+H4052*M4052+H4053*M4053+H4054*M4054),"N.A.")</f>
        <v>5.84932147870847</v>
      </c>
    </row>
    <row r="4051" spans="1:17" hidden="1">
      <c r="A4051" s="390" t="str">
        <f t="shared" ref="A4051:B4051" si="12355">A4048</f>
        <v>Starch-blend</v>
      </c>
      <c r="B4051" s="391" t="str">
        <f t="shared" si="12355"/>
        <v>fiber</v>
      </c>
      <c r="C4051" s="391">
        <f t="shared" ref="C4051" si="12356">C4050</f>
        <v>4</v>
      </c>
      <c r="D4051" s="391" t="str">
        <f t="shared" ref="D4051:E4051" si="12357">D4048</f>
        <v>0,1-1</v>
      </c>
      <c r="E4051" s="391">
        <f t="shared" si="12357"/>
        <v>1</v>
      </c>
      <c r="F4051" s="391" t="str">
        <f t="shared" ref="F4051:G4051" si="12358">F4050</f>
        <v>fresh water</v>
      </c>
      <c r="G4051" s="401" t="str">
        <f t="shared" si="12358"/>
        <v>DE: Starch-blend fiber 0,1-1 mm (emission to fresh water)</v>
      </c>
      <c r="H4051" s="465">
        <v>0</v>
      </c>
      <c r="I4051" s="394" t="s">
        <v>1097</v>
      </c>
      <c r="J4051" s="635"/>
      <c r="K4051" s="389">
        <v>101.29025539691933</v>
      </c>
      <c r="L4051" s="536"/>
      <c r="M4051" s="509">
        <f t="shared" si="12322"/>
        <v>2.4681545033166494</v>
      </c>
      <c r="N4051" s="646"/>
      <c r="O4051" s="626"/>
      <c r="P4051" s="629"/>
      <c r="Q4051" s="629"/>
    </row>
    <row r="4052" spans="1:17" hidden="1">
      <c r="A4052" s="390" t="str">
        <f t="shared" ref="A4052:B4052" si="12359">A4049</f>
        <v>Starch-blend</v>
      </c>
      <c r="B4052" s="391" t="str">
        <f t="shared" si="12359"/>
        <v>fiber</v>
      </c>
      <c r="C4052" s="391">
        <f t="shared" ref="C4052" si="12360">C4051</f>
        <v>4</v>
      </c>
      <c r="D4052" s="391" t="str">
        <f t="shared" ref="D4052:E4052" si="12361">D4049</f>
        <v>0,1-1</v>
      </c>
      <c r="E4052" s="391">
        <f t="shared" si="12361"/>
        <v>1</v>
      </c>
      <c r="F4052" s="391" t="str">
        <f t="shared" ref="F4052:G4052" si="12362">F4051</f>
        <v>fresh water</v>
      </c>
      <c r="G4052" s="401" t="str">
        <f t="shared" si="12362"/>
        <v>DE: Starch-blend fiber 0,1-1 mm (emission to fresh water)</v>
      </c>
      <c r="H4052" s="465">
        <v>0.89</v>
      </c>
      <c r="I4052" s="394" t="s">
        <v>1162</v>
      </c>
      <c r="J4052" s="635"/>
      <c r="K4052" s="389">
        <v>42.74</v>
      </c>
      <c r="L4052" s="536"/>
      <c r="M4052" s="509">
        <f t="shared" si="12322"/>
        <v>5.84932147870847</v>
      </c>
      <c r="N4052" s="646"/>
      <c r="O4052" s="626"/>
      <c r="P4052" s="629"/>
      <c r="Q4052" s="629"/>
    </row>
    <row r="4053" spans="1:17" hidden="1">
      <c r="A4053" s="390" t="str">
        <f t="shared" ref="A4053:B4053" si="12363">A4050</f>
        <v>Starch-blend</v>
      </c>
      <c r="B4053" s="391" t="str">
        <f t="shared" si="12363"/>
        <v>fiber</v>
      </c>
      <c r="C4053" s="391">
        <f t="shared" ref="C4053" si="12364">C4052</f>
        <v>4</v>
      </c>
      <c r="D4053" s="391" t="str">
        <f t="shared" ref="D4053:E4053" si="12365">D4050</f>
        <v>0,1-1</v>
      </c>
      <c r="E4053" s="391">
        <f t="shared" si="12365"/>
        <v>1</v>
      </c>
      <c r="F4053" s="391" t="str">
        <f t="shared" ref="F4053:G4053" si="12366">F4052</f>
        <v>fresh water</v>
      </c>
      <c r="G4053" s="401" t="str">
        <f t="shared" si="12366"/>
        <v>DE: Starch-blend fiber 0,1-1 mm (emission to fresh water)</v>
      </c>
      <c r="H4053" s="465">
        <v>0.11</v>
      </c>
      <c r="I4053" s="394" t="s">
        <v>1163</v>
      </c>
      <c r="J4053" s="635"/>
      <c r="K4053" s="389">
        <v>42.74</v>
      </c>
      <c r="L4053" s="536"/>
      <c r="M4053" s="509">
        <f t="shared" si="12322"/>
        <v>5.84932147870847</v>
      </c>
      <c r="N4053" s="646"/>
      <c r="O4053" s="626"/>
      <c r="P4053" s="629"/>
      <c r="Q4053" s="629"/>
    </row>
    <row r="4054" spans="1:17" hidden="1">
      <c r="A4054" s="390" t="str">
        <f t="shared" ref="A4054:B4054" si="12367">A4051</f>
        <v>Starch-blend</v>
      </c>
      <c r="B4054" s="391" t="str">
        <f t="shared" si="12367"/>
        <v>fiber</v>
      </c>
      <c r="C4054" s="391">
        <f t="shared" ref="C4054" si="12368">C4053</f>
        <v>4</v>
      </c>
      <c r="D4054" s="391" t="str">
        <f t="shared" ref="D4054:E4054" si="12369">D4051</f>
        <v>0,1-1</v>
      </c>
      <c r="E4054" s="391">
        <f t="shared" si="12369"/>
        <v>1</v>
      </c>
      <c r="F4054" s="402" t="str">
        <f>F4051</f>
        <v>fresh water</v>
      </c>
      <c r="G4054" s="401" t="str">
        <f t="shared" ref="G4054" si="12370">G4053</f>
        <v>DE: Starch-blend fiber 0,1-1 mm (emission to fresh water)</v>
      </c>
      <c r="H4054" s="465">
        <v>0</v>
      </c>
      <c r="I4054" s="397" t="s">
        <v>1034</v>
      </c>
      <c r="J4054" s="654"/>
      <c r="K4054" s="398" t="s">
        <v>596</v>
      </c>
      <c r="L4054" s="538"/>
      <c r="M4054" s="509">
        <f t="shared" si="12322"/>
        <v>0</v>
      </c>
      <c r="N4054" s="647"/>
      <c r="O4054" s="627"/>
      <c r="P4054" s="629"/>
      <c r="Q4054" s="629"/>
    </row>
    <row r="4055" spans="1:17" hidden="1">
      <c r="A4055" s="390" t="str">
        <f t="shared" ref="A4055:B4055" si="12371">A4052</f>
        <v>Starch-blend</v>
      </c>
      <c r="B4055" s="391" t="str">
        <f t="shared" si="12371"/>
        <v>fiber</v>
      </c>
      <c r="C4055" s="391">
        <f t="shared" ref="C4055" si="12372">C4054</f>
        <v>4</v>
      </c>
      <c r="D4055" s="391" t="str">
        <f t="shared" ref="D4055:E4055" si="12373">D4052</f>
        <v>0,1-1</v>
      </c>
      <c r="E4055" s="391">
        <f t="shared" si="12373"/>
        <v>1</v>
      </c>
      <c r="F4055" s="385" t="s">
        <v>1097</v>
      </c>
      <c r="G4055" s="422" t="str">
        <f>CONCATENATE("DE: ",A4055," ",B4055," ",D4055," mm (emission to ",F4055,")")</f>
        <v>DE: Starch-blend fiber 0,1-1 mm (emission to marine water)</v>
      </c>
      <c r="H4055" s="467">
        <v>0</v>
      </c>
      <c r="I4055" s="388" t="s">
        <v>1019</v>
      </c>
      <c r="J4055" s="634">
        <v>0.22800000000000001</v>
      </c>
      <c r="K4055" s="389">
        <v>42.74</v>
      </c>
      <c r="L4055" s="536"/>
      <c r="M4055" s="509">
        <f t="shared" si="12322"/>
        <v>5.84932147870847</v>
      </c>
      <c r="N4055" s="645">
        <f t="shared" si="12184"/>
        <v>5.84932147870847</v>
      </c>
      <c r="O4055" s="625"/>
      <c r="P4055" s="628">
        <f t="shared" si="12204"/>
        <v>5.84932147870847</v>
      </c>
      <c r="Q4055" s="628">
        <f t="shared" si="12354"/>
        <v>5.84932147870847</v>
      </c>
    </row>
    <row r="4056" spans="1:17" hidden="1">
      <c r="A4056" s="390" t="str">
        <f t="shared" ref="A4056:B4056" si="12374">A4053</f>
        <v>Starch-blend</v>
      </c>
      <c r="B4056" s="391" t="str">
        <f t="shared" si="12374"/>
        <v>fiber</v>
      </c>
      <c r="C4056" s="391">
        <f t="shared" ref="C4056" si="12375">C4055</f>
        <v>4</v>
      </c>
      <c r="D4056" s="391" t="str">
        <f t="shared" ref="D4056:E4056" si="12376">D4053</f>
        <v>0,1-1</v>
      </c>
      <c r="E4056" s="391">
        <f t="shared" si="12376"/>
        <v>1</v>
      </c>
      <c r="F4056" s="391" t="str">
        <f t="shared" ref="F4056:G4056" si="12377">F4055</f>
        <v>marine water</v>
      </c>
      <c r="G4056" s="401" t="str">
        <f t="shared" si="12377"/>
        <v>DE: Starch-blend fiber 0,1-1 mm (emission to marine water)</v>
      </c>
      <c r="H4056" s="465">
        <v>0</v>
      </c>
      <c r="I4056" s="394" t="s">
        <v>1097</v>
      </c>
      <c r="J4056" s="635"/>
      <c r="K4056" s="389">
        <v>101.29025539691933</v>
      </c>
      <c r="L4056" s="536"/>
      <c r="M4056" s="509">
        <f t="shared" si="12322"/>
        <v>2.4681545033166494</v>
      </c>
      <c r="N4056" s="646"/>
      <c r="O4056" s="626"/>
      <c r="P4056" s="629"/>
      <c r="Q4056" s="629"/>
    </row>
    <row r="4057" spans="1:17" hidden="1">
      <c r="A4057" s="390" t="str">
        <f t="shared" ref="A4057:B4057" si="12378">A4054</f>
        <v>Starch-blend</v>
      </c>
      <c r="B4057" s="391" t="str">
        <f t="shared" si="12378"/>
        <v>fiber</v>
      </c>
      <c r="C4057" s="391">
        <f t="shared" ref="C4057" si="12379">C4056</f>
        <v>4</v>
      </c>
      <c r="D4057" s="391" t="str">
        <f t="shared" ref="D4057:E4057" si="12380">D4054</f>
        <v>0,1-1</v>
      </c>
      <c r="E4057" s="391">
        <f t="shared" si="12380"/>
        <v>1</v>
      </c>
      <c r="F4057" s="391" t="str">
        <f t="shared" ref="F4057:G4057" si="12381">F4056</f>
        <v>marine water</v>
      </c>
      <c r="G4057" s="401" t="str">
        <f t="shared" si="12381"/>
        <v>DE: Starch-blend fiber 0,1-1 mm (emission to marine water)</v>
      </c>
      <c r="H4057" s="465">
        <v>0</v>
      </c>
      <c r="I4057" s="394" t="s">
        <v>1162</v>
      </c>
      <c r="J4057" s="635"/>
      <c r="K4057" s="389">
        <v>42.74</v>
      </c>
      <c r="L4057" s="536"/>
      <c r="M4057" s="509">
        <f t="shared" si="12322"/>
        <v>5.84932147870847</v>
      </c>
      <c r="N4057" s="646"/>
      <c r="O4057" s="626"/>
      <c r="P4057" s="629"/>
      <c r="Q4057" s="629"/>
    </row>
    <row r="4058" spans="1:17" hidden="1">
      <c r="A4058" s="390" t="str">
        <f t="shared" ref="A4058:B4058" si="12382">A4055</f>
        <v>Starch-blend</v>
      </c>
      <c r="B4058" s="391" t="str">
        <f t="shared" si="12382"/>
        <v>fiber</v>
      </c>
      <c r="C4058" s="391">
        <f t="shared" ref="C4058" si="12383">C4057</f>
        <v>4</v>
      </c>
      <c r="D4058" s="391" t="str">
        <f t="shared" ref="D4058:E4058" si="12384">D4055</f>
        <v>0,1-1</v>
      </c>
      <c r="E4058" s="391">
        <f t="shared" si="12384"/>
        <v>1</v>
      </c>
      <c r="F4058" s="391" t="str">
        <f t="shared" ref="F4058:G4058" si="12385">F4057</f>
        <v>marine water</v>
      </c>
      <c r="G4058" s="401" t="str">
        <f t="shared" si="12385"/>
        <v>DE: Starch-blend fiber 0,1-1 mm (emission to marine water)</v>
      </c>
      <c r="H4058" s="465">
        <v>1</v>
      </c>
      <c r="I4058" s="394" t="s">
        <v>1163</v>
      </c>
      <c r="J4058" s="635"/>
      <c r="K4058" s="389">
        <v>42.74</v>
      </c>
      <c r="L4058" s="536"/>
      <c r="M4058" s="509">
        <f t="shared" si="12322"/>
        <v>5.84932147870847</v>
      </c>
      <c r="N4058" s="646"/>
      <c r="O4058" s="626"/>
      <c r="P4058" s="629"/>
      <c r="Q4058" s="629"/>
    </row>
    <row r="4059" spans="1:17" hidden="1">
      <c r="A4059" s="390" t="str">
        <f t="shared" ref="A4059:B4059" si="12386">A4056</f>
        <v>Starch-blend</v>
      </c>
      <c r="B4059" s="391" t="str">
        <f t="shared" si="12386"/>
        <v>fiber</v>
      </c>
      <c r="C4059" s="391">
        <f t="shared" ref="C4059" si="12387">C4058</f>
        <v>4</v>
      </c>
      <c r="D4059" s="391" t="str">
        <f t="shared" ref="D4059:E4059" si="12388">D4056</f>
        <v>0,1-1</v>
      </c>
      <c r="E4059" s="391">
        <f t="shared" si="12388"/>
        <v>1</v>
      </c>
      <c r="F4059" s="391" t="str">
        <f t="shared" ref="F4059:G4059" si="12389">F4058</f>
        <v>marine water</v>
      </c>
      <c r="G4059" s="401" t="str">
        <f t="shared" si="12389"/>
        <v>DE: Starch-blend fiber 0,1-1 mm (emission to marine water)</v>
      </c>
      <c r="H4059" s="465">
        <v>0</v>
      </c>
      <c r="I4059" s="397" t="s">
        <v>1034</v>
      </c>
      <c r="J4059" s="654"/>
      <c r="K4059" s="398" t="s">
        <v>596</v>
      </c>
      <c r="L4059" s="538"/>
      <c r="M4059" s="509">
        <f t="shared" si="12322"/>
        <v>0</v>
      </c>
      <c r="N4059" s="647"/>
      <c r="O4059" s="627"/>
      <c r="P4059" s="629"/>
      <c r="Q4059" s="629"/>
    </row>
    <row r="4060" spans="1:17" hidden="1">
      <c r="A4060" s="390" t="str">
        <f t="shared" ref="A4060:B4060" si="12390">A4057</f>
        <v>Starch-blend</v>
      </c>
      <c r="B4060" s="391" t="str">
        <f t="shared" si="12390"/>
        <v>fiber</v>
      </c>
      <c r="C4060" s="391">
        <f t="shared" ref="C4060" si="12391">C4059</f>
        <v>4</v>
      </c>
      <c r="D4060" s="391" t="str">
        <f t="shared" ref="D4060:E4060" si="12392">D4057</f>
        <v>0,1-1</v>
      </c>
      <c r="E4060" s="391">
        <f t="shared" si="12392"/>
        <v>1</v>
      </c>
      <c r="F4060" s="400" t="s">
        <v>1057</v>
      </c>
      <c r="G4060" s="422" t="str">
        <f>CONCATENATE("DE: ",A4060," ",B4060," ",D4060," mm (emission to ",F4060,")")</f>
        <v>DE: Starch-blend fiber 0,1-1 mm (emission to air)</v>
      </c>
      <c r="H4060" s="467">
        <v>0.94799999999999995</v>
      </c>
      <c r="I4060" s="388" t="s">
        <v>1019</v>
      </c>
      <c r="J4060" s="634">
        <v>0.22800000000000001</v>
      </c>
      <c r="K4060" s="389">
        <v>42.74</v>
      </c>
      <c r="L4060" s="536"/>
      <c r="M4060" s="509">
        <f t="shared" si="12322"/>
        <v>5.84932147870847</v>
      </c>
      <c r="N4060" s="645">
        <f t="shared" ref="N4060:N4120" si="12393">IFERROR(H4060*M4060+H4061*M4061+H4062*M4062+H4063*M4063+H4064*M4064,"N.A.")</f>
        <v>5.84932147870847</v>
      </c>
      <c r="O4060" s="625"/>
      <c r="P4060" s="628">
        <f t="shared" si="12204"/>
        <v>5.84932147870847</v>
      </c>
      <c r="Q4060" s="628">
        <f t="shared" si="12354"/>
        <v>5.84932147870847</v>
      </c>
    </row>
    <row r="4061" spans="1:17" hidden="1">
      <c r="A4061" s="390" t="str">
        <f t="shared" ref="A4061:B4061" si="12394">A4058</f>
        <v>Starch-blend</v>
      </c>
      <c r="B4061" s="391" t="str">
        <f t="shared" si="12394"/>
        <v>fiber</v>
      </c>
      <c r="C4061" s="391">
        <f t="shared" ref="C4061" si="12395">C4060</f>
        <v>4</v>
      </c>
      <c r="D4061" s="391" t="str">
        <f t="shared" ref="D4061:E4061" si="12396">D4058</f>
        <v>0,1-1</v>
      </c>
      <c r="E4061" s="391">
        <f t="shared" si="12396"/>
        <v>1</v>
      </c>
      <c r="F4061" s="391" t="str">
        <f t="shared" ref="F4061:G4061" si="12397">F4060</f>
        <v>air</v>
      </c>
      <c r="G4061" s="401" t="str">
        <f t="shared" si="12397"/>
        <v>DE: Starch-blend fiber 0,1-1 mm (emission to air)</v>
      </c>
      <c r="H4061" s="465">
        <v>0</v>
      </c>
      <c r="I4061" s="394" t="s">
        <v>1097</v>
      </c>
      <c r="J4061" s="635"/>
      <c r="K4061" s="389">
        <v>101.29025539691933</v>
      </c>
      <c r="L4061" s="536"/>
      <c r="M4061" s="509">
        <f t="shared" si="12322"/>
        <v>2.4681545033166494</v>
      </c>
      <c r="N4061" s="646"/>
      <c r="O4061" s="626"/>
      <c r="P4061" s="629"/>
      <c r="Q4061" s="629"/>
    </row>
    <row r="4062" spans="1:17" hidden="1">
      <c r="A4062" s="390" t="str">
        <f t="shared" ref="A4062:B4062" si="12398">A4059</f>
        <v>Starch-blend</v>
      </c>
      <c r="B4062" s="391" t="str">
        <f t="shared" si="12398"/>
        <v>fiber</v>
      </c>
      <c r="C4062" s="391">
        <f t="shared" ref="C4062" si="12399">C4061</f>
        <v>4</v>
      </c>
      <c r="D4062" s="391" t="str">
        <f t="shared" ref="D4062:E4062" si="12400">D4059</f>
        <v>0,1-1</v>
      </c>
      <c r="E4062" s="391">
        <f t="shared" si="12400"/>
        <v>1</v>
      </c>
      <c r="F4062" s="391" t="str">
        <f t="shared" ref="F4062:G4062" si="12401">F4061</f>
        <v>air</v>
      </c>
      <c r="G4062" s="401" t="str">
        <f t="shared" si="12401"/>
        <v>DE: Starch-blend fiber 0,1-1 mm (emission to air)</v>
      </c>
      <c r="H4062" s="465">
        <v>4.7E-2</v>
      </c>
      <c r="I4062" s="394" t="s">
        <v>1162</v>
      </c>
      <c r="J4062" s="635"/>
      <c r="K4062" s="389">
        <v>42.74</v>
      </c>
      <c r="L4062" s="536"/>
      <c r="M4062" s="509">
        <f t="shared" si="12322"/>
        <v>5.84932147870847</v>
      </c>
      <c r="N4062" s="646"/>
      <c r="O4062" s="626"/>
      <c r="P4062" s="629"/>
      <c r="Q4062" s="629"/>
    </row>
    <row r="4063" spans="1:17" hidden="1">
      <c r="A4063" s="390" t="str">
        <f t="shared" ref="A4063:B4063" si="12402">A4060</f>
        <v>Starch-blend</v>
      </c>
      <c r="B4063" s="391" t="str">
        <f t="shared" si="12402"/>
        <v>fiber</v>
      </c>
      <c r="C4063" s="391">
        <f t="shared" ref="C4063" si="12403">C4062</f>
        <v>4</v>
      </c>
      <c r="D4063" s="391" t="str">
        <f t="shared" ref="D4063:E4063" si="12404">D4060</f>
        <v>0,1-1</v>
      </c>
      <c r="E4063" s="391">
        <f t="shared" si="12404"/>
        <v>1</v>
      </c>
      <c r="F4063" s="391" t="str">
        <f t="shared" ref="F4063:G4063" si="12405">F4062</f>
        <v>air</v>
      </c>
      <c r="G4063" s="401" t="str">
        <f t="shared" si="12405"/>
        <v>DE: Starch-blend fiber 0,1-1 mm (emission to air)</v>
      </c>
      <c r="H4063" s="465">
        <v>5.0000000000000001E-3</v>
      </c>
      <c r="I4063" s="394" t="s">
        <v>1163</v>
      </c>
      <c r="J4063" s="635"/>
      <c r="K4063" s="389">
        <v>42.74</v>
      </c>
      <c r="L4063" s="536"/>
      <c r="M4063" s="509">
        <f t="shared" si="12322"/>
        <v>5.84932147870847</v>
      </c>
      <c r="N4063" s="646"/>
      <c r="O4063" s="626"/>
      <c r="P4063" s="629"/>
      <c r="Q4063" s="629"/>
    </row>
    <row r="4064" spans="1:17" ht="15.75" hidden="1" thickBot="1">
      <c r="A4064" s="390" t="str">
        <f t="shared" ref="A4064:B4064" si="12406">A4059</f>
        <v>Starch-blend</v>
      </c>
      <c r="B4064" s="391" t="str">
        <f t="shared" si="12406"/>
        <v>fiber</v>
      </c>
      <c r="C4064" s="391">
        <f t="shared" ref="C4064" si="12407">C4063</f>
        <v>4</v>
      </c>
      <c r="D4064" s="391" t="str">
        <f t="shared" ref="D4064:E4064" si="12408">D4059</f>
        <v>0,1-1</v>
      </c>
      <c r="E4064" s="391">
        <f t="shared" si="12408"/>
        <v>1</v>
      </c>
      <c r="F4064" s="391" t="str">
        <f t="shared" ref="F4064:G4064" si="12409">F4063</f>
        <v>air</v>
      </c>
      <c r="G4064" s="401" t="str">
        <f t="shared" si="12409"/>
        <v>DE: Starch-blend fiber 0,1-1 mm (emission to air)</v>
      </c>
      <c r="H4064" s="471">
        <v>0</v>
      </c>
      <c r="I4064" s="422" t="s">
        <v>1034</v>
      </c>
      <c r="J4064" s="636"/>
      <c r="K4064" s="451" t="s">
        <v>596</v>
      </c>
      <c r="L4064" s="542"/>
      <c r="M4064" s="509">
        <f t="shared" si="12322"/>
        <v>0</v>
      </c>
      <c r="N4064" s="647"/>
      <c r="O4064" s="627"/>
      <c r="P4064" s="629"/>
      <c r="Q4064" s="629"/>
    </row>
    <row r="4065" spans="1:17" hidden="1">
      <c r="A4065" s="405" t="s">
        <v>1059</v>
      </c>
      <c r="B4065" s="406" t="s">
        <v>1151</v>
      </c>
      <c r="C4065" s="407">
        <v>4</v>
      </c>
      <c r="D4065" s="423" t="s">
        <v>1026</v>
      </c>
      <c r="E4065" s="408">
        <v>10</v>
      </c>
      <c r="F4065" s="424" t="s">
        <v>1019</v>
      </c>
      <c r="G4065" s="425" t="str">
        <f>CONCATENATE("DE: ",A4065," ",B4065," ",D4065," mm (emission to ",F4065,")")</f>
        <v>DE: Starch-blend fiber 1-10 mm (emission to soil)</v>
      </c>
      <c r="H4065" s="474">
        <v>0.97</v>
      </c>
      <c r="I4065" s="427" t="s">
        <v>1019</v>
      </c>
      <c r="J4065" s="632">
        <v>0.22800000000000001</v>
      </c>
      <c r="K4065" s="428">
        <v>42.74</v>
      </c>
      <c r="L4065" s="539"/>
      <c r="M4065" s="509">
        <f t="shared" si="12322"/>
        <v>58.493214787084696</v>
      </c>
      <c r="N4065" s="645">
        <f t="shared" si="12393"/>
        <v>58.493214787084696</v>
      </c>
      <c r="O4065" s="625"/>
      <c r="P4065" s="628">
        <f t="shared" ref="P4065:P4125" si="12410">IFERROR(IF(H4065*M4065+H4066*M4066+H4067*M4067+H4068*M4068+H4069*M4069&gt;100,100,H4065*M4065+H4066*M4066+H4067*M4067+H4068*M4068+H4069*M4069),"N.A.")</f>
        <v>58.493214787084696</v>
      </c>
      <c r="Q4065" s="628">
        <f t="shared" si="12354"/>
        <v>58.493214787084696</v>
      </c>
    </row>
    <row r="4066" spans="1:17" hidden="1">
      <c r="A4066" s="390" t="str">
        <f>A4065</f>
        <v>Starch-blend</v>
      </c>
      <c r="B4066" s="391" t="str">
        <f>B4065</f>
        <v>fiber</v>
      </c>
      <c r="C4066" s="391">
        <f t="shared" ref="C4066:G4066" si="12411">C4065</f>
        <v>4</v>
      </c>
      <c r="D4066" s="391" t="str">
        <f t="shared" si="12411"/>
        <v>1-10</v>
      </c>
      <c r="E4066" s="391">
        <f t="shared" si="12411"/>
        <v>10</v>
      </c>
      <c r="F4066" s="391" t="str">
        <f t="shared" si="12411"/>
        <v>soil</v>
      </c>
      <c r="G4066" s="392" t="str">
        <f t="shared" si="12411"/>
        <v>DE: Starch-blend fiber 1-10 mm (emission to soil)</v>
      </c>
      <c r="H4066" s="465">
        <v>0</v>
      </c>
      <c r="I4066" s="394" t="s">
        <v>1097</v>
      </c>
      <c r="J4066" s="632"/>
      <c r="K4066" s="395">
        <v>101.29025539691933</v>
      </c>
      <c r="L4066" s="537"/>
      <c r="M4066" s="509">
        <f t="shared" si="12322"/>
        <v>24.681545033166493</v>
      </c>
      <c r="N4066" s="646"/>
      <c r="O4066" s="626"/>
      <c r="P4066" s="629"/>
      <c r="Q4066" s="629"/>
    </row>
    <row r="4067" spans="1:17" hidden="1">
      <c r="A4067" s="390" t="str">
        <f t="shared" ref="A4067:G4067" si="12412">A4066</f>
        <v>Starch-blend</v>
      </c>
      <c r="B4067" s="391" t="str">
        <f t="shared" si="12412"/>
        <v>fiber</v>
      </c>
      <c r="C4067" s="391">
        <f t="shared" si="12412"/>
        <v>4</v>
      </c>
      <c r="D4067" s="391" t="str">
        <f t="shared" si="12412"/>
        <v>1-10</v>
      </c>
      <c r="E4067" s="391">
        <f t="shared" si="12412"/>
        <v>10</v>
      </c>
      <c r="F4067" s="391" t="str">
        <f t="shared" si="12412"/>
        <v>soil</v>
      </c>
      <c r="G4067" s="392" t="str">
        <f t="shared" si="12412"/>
        <v>DE: Starch-blend fiber 1-10 mm (emission to soil)</v>
      </c>
      <c r="H4067" s="465">
        <v>2.7E-2</v>
      </c>
      <c r="I4067" s="394" t="s">
        <v>1162</v>
      </c>
      <c r="J4067" s="632"/>
      <c r="K4067" s="395">
        <v>42.74</v>
      </c>
      <c r="L4067" s="537"/>
      <c r="M4067" s="509">
        <f t="shared" si="12322"/>
        <v>58.493214787084696</v>
      </c>
      <c r="N4067" s="646"/>
      <c r="O4067" s="626"/>
      <c r="P4067" s="629"/>
      <c r="Q4067" s="629"/>
    </row>
    <row r="4068" spans="1:17" hidden="1">
      <c r="A4068" s="390" t="str">
        <f t="shared" ref="A4068:G4068" si="12413">A4067</f>
        <v>Starch-blend</v>
      </c>
      <c r="B4068" s="391" t="str">
        <f t="shared" si="12413"/>
        <v>fiber</v>
      </c>
      <c r="C4068" s="391">
        <f t="shared" si="12413"/>
        <v>4</v>
      </c>
      <c r="D4068" s="391" t="str">
        <f t="shared" si="12413"/>
        <v>1-10</v>
      </c>
      <c r="E4068" s="391">
        <f t="shared" si="12413"/>
        <v>10</v>
      </c>
      <c r="F4068" s="391" t="str">
        <f t="shared" si="12413"/>
        <v>soil</v>
      </c>
      <c r="G4068" s="392" t="str">
        <f t="shared" si="12413"/>
        <v>DE: Starch-blend fiber 1-10 mm (emission to soil)</v>
      </c>
      <c r="H4068" s="465">
        <v>3.0000000000000001E-3</v>
      </c>
      <c r="I4068" s="394" t="s">
        <v>1163</v>
      </c>
      <c r="J4068" s="632"/>
      <c r="K4068" s="395">
        <v>42.74</v>
      </c>
      <c r="L4068" s="537"/>
      <c r="M4068" s="509">
        <f t="shared" si="12322"/>
        <v>58.493214787084696</v>
      </c>
      <c r="N4068" s="646"/>
      <c r="O4068" s="626"/>
      <c r="P4068" s="629"/>
      <c r="Q4068" s="629"/>
    </row>
    <row r="4069" spans="1:17" hidden="1">
      <c r="A4069" s="390" t="str">
        <f>A4066</f>
        <v>Starch-blend</v>
      </c>
      <c r="B4069" s="391" t="str">
        <f>B4066</f>
        <v>fiber</v>
      </c>
      <c r="C4069" s="391">
        <f t="shared" ref="C4069" si="12414">C4068</f>
        <v>4</v>
      </c>
      <c r="D4069" s="391" t="str">
        <f>D4066</f>
        <v>1-10</v>
      </c>
      <c r="E4069" s="391">
        <f>E4066</f>
        <v>10</v>
      </c>
      <c r="F4069" s="391" t="str">
        <f>F4066</f>
        <v>soil</v>
      </c>
      <c r="G4069" s="396" t="str">
        <f t="shared" ref="G4069" si="12415">G4068</f>
        <v>DE: Starch-blend fiber 1-10 mm (emission to soil)</v>
      </c>
      <c r="H4069" s="465">
        <v>0</v>
      </c>
      <c r="I4069" s="397" t="s">
        <v>1034</v>
      </c>
      <c r="J4069" s="633"/>
      <c r="K4069" s="398" t="s">
        <v>596</v>
      </c>
      <c r="L4069" s="538"/>
      <c r="M4069" s="509">
        <f t="shared" si="12322"/>
        <v>0</v>
      </c>
      <c r="N4069" s="647"/>
      <c r="O4069" s="627"/>
      <c r="P4069" s="629"/>
      <c r="Q4069" s="629"/>
    </row>
    <row r="4070" spans="1:17" hidden="1">
      <c r="A4070" s="390" t="str">
        <f t="shared" ref="A4070:B4070" si="12416">A4067</f>
        <v>Starch-blend</v>
      </c>
      <c r="B4070" s="391" t="str">
        <f t="shared" si="12416"/>
        <v>fiber</v>
      </c>
      <c r="C4070" s="391">
        <f t="shared" ref="C4070" si="12417">C4069</f>
        <v>4</v>
      </c>
      <c r="D4070" s="399" t="str">
        <f t="shared" ref="D4070:E4070" si="12418">D4067</f>
        <v>1-10</v>
      </c>
      <c r="E4070" s="391">
        <f t="shared" si="12418"/>
        <v>10</v>
      </c>
      <c r="F4070" s="400" t="s">
        <v>1147</v>
      </c>
      <c r="G4070" s="386" t="str">
        <f>CONCATENATE("DE: ",A4070," ",B4070," ",D4070," mm (emission to ",F4070,")")</f>
        <v>DE: Starch-blend fiber 1-10 mm (emission to fresh water)</v>
      </c>
      <c r="H4070" s="466">
        <v>0</v>
      </c>
      <c r="I4070" s="388" t="s">
        <v>1019</v>
      </c>
      <c r="J4070" s="634">
        <v>0.22800000000000001</v>
      </c>
      <c r="K4070" s="389">
        <v>42.74</v>
      </c>
      <c r="L4070" s="536"/>
      <c r="M4070" s="509">
        <f t="shared" si="12322"/>
        <v>58.493214787084696</v>
      </c>
      <c r="N4070" s="645">
        <f t="shared" si="12393"/>
        <v>58.493214787084696</v>
      </c>
      <c r="O4070" s="625"/>
      <c r="P4070" s="628">
        <f t="shared" si="12410"/>
        <v>58.493214787084696</v>
      </c>
      <c r="Q4070" s="628">
        <f t="shared" si="12354"/>
        <v>58.493214787084696</v>
      </c>
    </row>
    <row r="4071" spans="1:17" hidden="1">
      <c r="A4071" s="390" t="str">
        <f t="shared" ref="A4071:B4071" si="12419">A4068</f>
        <v>Starch-blend</v>
      </c>
      <c r="B4071" s="391" t="str">
        <f t="shared" si="12419"/>
        <v>fiber</v>
      </c>
      <c r="C4071" s="391">
        <f t="shared" ref="C4071" si="12420">C4070</f>
        <v>4</v>
      </c>
      <c r="D4071" s="391" t="str">
        <f t="shared" ref="D4071:E4071" si="12421">D4068</f>
        <v>1-10</v>
      </c>
      <c r="E4071" s="391">
        <f t="shared" si="12421"/>
        <v>10</v>
      </c>
      <c r="F4071" s="391" t="str">
        <f t="shared" ref="F4071:G4071" si="12422">F4070</f>
        <v>fresh water</v>
      </c>
      <c r="G4071" s="401" t="str">
        <f t="shared" si="12422"/>
        <v>DE: Starch-blend fiber 1-10 mm (emission to fresh water)</v>
      </c>
      <c r="H4071" s="465">
        <v>0</v>
      </c>
      <c r="I4071" s="394" t="s">
        <v>1097</v>
      </c>
      <c r="J4071" s="635"/>
      <c r="K4071" s="389">
        <v>101.29025539691933</v>
      </c>
      <c r="L4071" s="536"/>
      <c r="M4071" s="509">
        <f t="shared" si="12322"/>
        <v>24.681545033166493</v>
      </c>
      <c r="N4071" s="646"/>
      <c r="O4071" s="626"/>
      <c r="P4071" s="629"/>
      <c r="Q4071" s="629"/>
    </row>
    <row r="4072" spans="1:17" hidden="1">
      <c r="A4072" s="390" t="str">
        <f t="shared" ref="A4072:B4072" si="12423">A4069</f>
        <v>Starch-blend</v>
      </c>
      <c r="B4072" s="391" t="str">
        <f t="shared" si="12423"/>
        <v>fiber</v>
      </c>
      <c r="C4072" s="391">
        <f t="shared" ref="C4072" si="12424">C4071</f>
        <v>4</v>
      </c>
      <c r="D4072" s="391" t="str">
        <f t="shared" ref="D4072:E4072" si="12425">D4069</f>
        <v>1-10</v>
      </c>
      <c r="E4072" s="391">
        <f t="shared" si="12425"/>
        <v>10</v>
      </c>
      <c r="F4072" s="391" t="str">
        <f t="shared" ref="F4072:G4072" si="12426">F4071</f>
        <v>fresh water</v>
      </c>
      <c r="G4072" s="401" t="str">
        <f t="shared" si="12426"/>
        <v>DE: Starch-blend fiber 1-10 mm (emission to fresh water)</v>
      </c>
      <c r="H4072" s="465">
        <v>0.89</v>
      </c>
      <c r="I4072" s="394" t="s">
        <v>1162</v>
      </c>
      <c r="J4072" s="635"/>
      <c r="K4072" s="389">
        <v>42.74</v>
      </c>
      <c r="L4072" s="536"/>
      <c r="M4072" s="509">
        <f t="shared" si="12322"/>
        <v>58.493214787084696</v>
      </c>
      <c r="N4072" s="646"/>
      <c r="O4072" s="626"/>
      <c r="P4072" s="629"/>
      <c r="Q4072" s="629"/>
    </row>
    <row r="4073" spans="1:17" hidden="1">
      <c r="A4073" s="390" t="str">
        <f t="shared" ref="A4073:B4073" si="12427">A4070</f>
        <v>Starch-blend</v>
      </c>
      <c r="B4073" s="391" t="str">
        <f t="shared" si="12427"/>
        <v>fiber</v>
      </c>
      <c r="C4073" s="391">
        <f t="shared" ref="C4073" si="12428">C4072</f>
        <v>4</v>
      </c>
      <c r="D4073" s="391" t="str">
        <f t="shared" ref="D4073:E4073" si="12429">D4070</f>
        <v>1-10</v>
      </c>
      <c r="E4073" s="391">
        <f t="shared" si="12429"/>
        <v>10</v>
      </c>
      <c r="F4073" s="391" t="str">
        <f t="shared" ref="F4073:G4073" si="12430">F4072</f>
        <v>fresh water</v>
      </c>
      <c r="G4073" s="401" t="str">
        <f t="shared" si="12430"/>
        <v>DE: Starch-blend fiber 1-10 mm (emission to fresh water)</v>
      </c>
      <c r="H4073" s="465">
        <v>0.11</v>
      </c>
      <c r="I4073" s="394" t="s">
        <v>1163</v>
      </c>
      <c r="J4073" s="635"/>
      <c r="K4073" s="389">
        <v>42.74</v>
      </c>
      <c r="L4073" s="536"/>
      <c r="M4073" s="509">
        <f t="shared" si="12322"/>
        <v>58.493214787084696</v>
      </c>
      <c r="N4073" s="646"/>
      <c r="O4073" s="626"/>
      <c r="P4073" s="629"/>
      <c r="Q4073" s="629"/>
    </row>
    <row r="4074" spans="1:17" hidden="1">
      <c r="A4074" s="390" t="str">
        <f t="shared" ref="A4074:B4074" si="12431">A4071</f>
        <v>Starch-blend</v>
      </c>
      <c r="B4074" s="391" t="str">
        <f t="shared" si="12431"/>
        <v>fiber</v>
      </c>
      <c r="C4074" s="391">
        <f t="shared" ref="C4074" si="12432">C4073</f>
        <v>4</v>
      </c>
      <c r="D4074" s="391" t="str">
        <f t="shared" ref="D4074:E4074" si="12433">D4071</f>
        <v>1-10</v>
      </c>
      <c r="E4074" s="391">
        <f t="shared" si="12433"/>
        <v>10</v>
      </c>
      <c r="F4074" s="402" t="str">
        <f>F4071</f>
        <v>fresh water</v>
      </c>
      <c r="G4074" s="401" t="str">
        <f t="shared" ref="G4074" si="12434">G4073</f>
        <v>DE: Starch-blend fiber 1-10 mm (emission to fresh water)</v>
      </c>
      <c r="H4074" s="465">
        <v>0</v>
      </c>
      <c r="I4074" s="397" t="s">
        <v>1034</v>
      </c>
      <c r="J4074" s="654"/>
      <c r="K4074" s="398" t="s">
        <v>596</v>
      </c>
      <c r="L4074" s="538"/>
      <c r="M4074" s="509">
        <f t="shared" si="12322"/>
        <v>0</v>
      </c>
      <c r="N4074" s="647"/>
      <c r="O4074" s="627"/>
      <c r="P4074" s="629"/>
      <c r="Q4074" s="629"/>
    </row>
    <row r="4075" spans="1:17" hidden="1">
      <c r="A4075" s="390" t="str">
        <f t="shared" ref="A4075:B4075" si="12435">A4072</f>
        <v>Starch-blend</v>
      </c>
      <c r="B4075" s="391" t="str">
        <f t="shared" si="12435"/>
        <v>fiber</v>
      </c>
      <c r="C4075" s="391">
        <f t="shared" ref="C4075" si="12436">C4074</f>
        <v>4</v>
      </c>
      <c r="D4075" s="391" t="str">
        <f t="shared" ref="D4075:E4075" si="12437">D4072</f>
        <v>1-10</v>
      </c>
      <c r="E4075" s="391">
        <f t="shared" si="12437"/>
        <v>10</v>
      </c>
      <c r="F4075" s="385" t="s">
        <v>1097</v>
      </c>
      <c r="G4075" s="422" t="str">
        <f>CONCATENATE("DE: ",A4075," ",B4075," ",D4075," mm (emission to ",F4075,")")</f>
        <v>DE: Starch-blend fiber 1-10 mm (emission to marine water)</v>
      </c>
      <c r="H4075" s="467">
        <v>0</v>
      </c>
      <c r="I4075" s="388" t="s">
        <v>1019</v>
      </c>
      <c r="J4075" s="634">
        <v>0.22800000000000001</v>
      </c>
      <c r="K4075" s="389">
        <v>42.74</v>
      </c>
      <c r="L4075" s="536"/>
      <c r="M4075" s="509">
        <f t="shared" si="12322"/>
        <v>58.493214787084696</v>
      </c>
      <c r="N4075" s="645">
        <f t="shared" si="12393"/>
        <v>58.493214787084696</v>
      </c>
      <c r="O4075" s="625"/>
      <c r="P4075" s="628">
        <f t="shared" si="12410"/>
        <v>58.493214787084696</v>
      </c>
      <c r="Q4075" s="628">
        <f t="shared" si="12354"/>
        <v>58.493214787084696</v>
      </c>
    </row>
    <row r="4076" spans="1:17" hidden="1">
      <c r="A4076" s="390" t="str">
        <f t="shared" ref="A4076:B4076" si="12438">A4073</f>
        <v>Starch-blend</v>
      </c>
      <c r="B4076" s="391" t="str">
        <f t="shared" si="12438"/>
        <v>fiber</v>
      </c>
      <c r="C4076" s="391">
        <f t="shared" ref="C4076" si="12439">C4075</f>
        <v>4</v>
      </c>
      <c r="D4076" s="391" t="str">
        <f t="shared" ref="D4076:E4076" si="12440">D4073</f>
        <v>1-10</v>
      </c>
      <c r="E4076" s="391">
        <f t="shared" si="12440"/>
        <v>10</v>
      </c>
      <c r="F4076" s="391" t="str">
        <f t="shared" ref="F4076:G4076" si="12441">F4075</f>
        <v>marine water</v>
      </c>
      <c r="G4076" s="401" t="str">
        <f t="shared" si="12441"/>
        <v>DE: Starch-blend fiber 1-10 mm (emission to marine water)</v>
      </c>
      <c r="H4076" s="465">
        <v>0</v>
      </c>
      <c r="I4076" s="394" t="s">
        <v>1097</v>
      </c>
      <c r="J4076" s="635"/>
      <c r="K4076" s="389">
        <v>101.29025539691933</v>
      </c>
      <c r="L4076" s="536"/>
      <c r="M4076" s="509">
        <f t="shared" si="12322"/>
        <v>24.681545033166493</v>
      </c>
      <c r="N4076" s="646"/>
      <c r="O4076" s="626"/>
      <c r="P4076" s="629"/>
      <c r="Q4076" s="629"/>
    </row>
    <row r="4077" spans="1:17" hidden="1">
      <c r="A4077" s="390" t="str">
        <f t="shared" ref="A4077:B4077" si="12442">A4074</f>
        <v>Starch-blend</v>
      </c>
      <c r="B4077" s="391" t="str">
        <f t="shared" si="12442"/>
        <v>fiber</v>
      </c>
      <c r="C4077" s="391">
        <f t="shared" ref="C4077" si="12443">C4076</f>
        <v>4</v>
      </c>
      <c r="D4077" s="391" t="str">
        <f t="shared" ref="D4077:E4077" si="12444">D4074</f>
        <v>1-10</v>
      </c>
      <c r="E4077" s="391">
        <f t="shared" si="12444"/>
        <v>10</v>
      </c>
      <c r="F4077" s="391" t="str">
        <f t="shared" ref="F4077:G4077" si="12445">F4076</f>
        <v>marine water</v>
      </c>
      <c r="G4077" s="401" t="str">
        <f t="shared" si="12445"/>
        <v>DE: Starch-blend fiber 1-10 mm (emission to marine water)</v>
      </c>
      <c r="H4077" s="465">
        <v>0</v>
      </c>
      <c r="I4077" s="394" t="s">
        <v>1162</v>
      </c>
      <c r="J4077" s="635"/>
      <c r="K4077" s="389">
        <v>42.74</v>
      </c>
      <c r="L4077" s="536"/>
      <c r="M4077" s="509">
        <f t="shared" si="12322"/>
        <v>58.493214787084696</v>
      </c>
      <c r="N4077" s="646"/>
      <c r="O4077" s="626"/>
      <c r="P4077" s="629"/>
      <c r="Q4077" s="629"/>
    </row>
    <row r="4078" spans="1:17" hidden="1">
      <c r="A4078" s="390" t="str">
        <f t="shared" ref="A4078:B4078" si="12446">A4075</f>
        <v>Starch-blend</v>
      </c>
      <c r="B4078" s="391" t="str">
        <f t="shared" si="12446"/>
        <v>fiber</v>
      </c>
      <c r="C4078" s="391">
        <f t="shared" ref="C4078" si="12447">C4077</f>
        <v>4</v>
      </c>
      <c r="D4078" s="391" t="str">
        <f t="shared" ref="D4078:E4078" si="12448">D4075</f>
        <v>1-10</v>
      </c>
      <c r="E4078" s="391">
        <f t="shared" si="12448"/>
        <v>10</v>
      </c>
      <c r="F4078" s="391" t="str">
        <f t="shared" ref="F4078:G4078" si="12449">F4077</f>
        <v>marine water</v>
      </c>
      <c r="G4078" s="401" t="str">
        <f t="shared" si="12449"/>
        <v>DE: Starch-blend fiber 1-10 mm (emission to marine water)</v>
      </c>
      <c r="H4078" s="465">
        <v>1</v>
      </c>
      <c r="I4078" s="394" t="s">
        <v>1163</v>
      </c>
      <c r="J4078" s="635"/>
      <c r="K4078" s="389">
        <v>42.74</v>
      </c>
      <c r="L4078" s="536"/>
      <c r="M4078" s="509">
        <f t="shared" si="12322"/>
        <v>58.493214787084696</v>
      </c>
      <c r="N4078" s="646"/>
      <c r="O4078" s="626"/>
      <c r="P4078" s="629"/>
      <c r="Q4078" s="629"/>
    </row>
    <row r="4079" spans="1:17" hidden="1">
      <c r="A4079" s="390" t="str">
        <f t="shared" ref="A4079:B4079" si="12450">A4076</f>
        <v>Starch-blend</v>
      </c>
      <c r="B4079" s="391" t="str">
        <f t="shared" si="12450"/>
        <v>fiber</v>
      </c>
      <c r="C4079" s="391">
        <f t="shared" ref="C4079" si="12451">C4078</f>
        <v>4</v>
      </c>
      <c r="D4079" s="391" t="str">
        <f t="shared" ref="D4079:E4079" si="12452">D4076</f>
        <v>1-10</v>
      </c>
      <c r="E4079" s="391">
        <f t="shared" si="12452"/>
        <v>10</v>
      </c>
      <c r="F4079" s="391" t="str">
        <f t="shared" ref="F4079:G4079" si="12453">F4078</f>
        <v>marine water</v>
      </c>
      <c r="G4079" s="401" t="str">
        <f t="shared" si="12453"/>
        <v>DE: Starch-blend fiber 1-10 mm (emission to marine water)</v>
      </c>
      <c r="H4079" s="465">
        <v>0</v>
      </c>
      <c r="I4079" s="397" t="s">
        <v>1034</v>
      </c>
      <c r="J4079" s="654"/>
      <c r="K4079" s="398" t="s">
        <v>596</v>
      </c>
      <c r="L4079" s="538"/>
      <c r="M4079" s="509">
        <f t="shared" si="12322"/>
        <v>0</v>
      </c>
      <c r="N4079" s="647"/>
      <c r="O4079" s="627"/>
      <c r="P4079" s="629"/>
      <c r="Q4079" s="629"/>
    </row>
    <row r="4080" spans="1:17" hidden="1">
      <c r="A4080" s="390" t="str">
        <f t="shared" ref="A4080:B4080" si="12454">A4077</f>
        <v>Starch-blend</v>
      </c>
      <c r="B4080" s="391" t="str">
        <f t="shared" si="12454"/>
        <v>fiber</v>
      </c>
      <c r="C4080" s="391">
        <f t="shared" ref="C4080" si="12455">C4079</f>
        <v>4</v>
      </c>
      <c r="D4080" s="391" t="str">
        <f t="shared" ref="D4080:E4080" si="12456">D4077</f>
        <v>1-10</v>
      </c>
      <c r="E4080" s="391">
        <f t="shared" si="12456"/>
        <v>10</v>
      </c>
      <c r="F4080" s="400" t="s">
        <v>1057</v>
      </c>
      <c r="G4080" s="422" t="str">
        <f>CONCATENATE("DE: ",A4080," ",B4080," ",D4080," mm (emission to ",F4080,")")</f>
        <v>DE: Starch-blend fiber 1-10 mm (emission to air)</v>
      </c>
      <c r="H4080" s="467">
        <v>0.94799999999999995</v>
      </c>
      <c r="I4080" s="388" t="s">
        <v>1019</v>
      </c>
      <c r="J4080" s="634">
        <v>0.22800000000000001</v>
      </c>
      <c r="K4080" s="389">
        <v>42.74</v>
      </c>
      <c r="L4080" s="536"/>
      <c r="M4080" s="509">
        <f t="shared" si="12322"/>
        <v>58.493214787084696</v>
      </c>
      <c r="N4080" s="645">
        <f t="shared" si="12393"/>
        <v>58.493214787084689</v>
      </c>
      <c r="O4080" s="625"/>
      <c r="P4080" s="628">
        <f t="shared" si="12410"/>
        <v>58.493214787084689</v>
      </c>
      <c r="Q4080" s="628">
        <f t="shared" si="12354"/>
        <v>58.493214787084689</v>
      </c>
    </row>
    <row r="4081" spans="1:17" hidden="1">
      <c r="A4081" s="390" t="str">
        <f t="shared" ref="A4081:B4081" si="12457">A4078</f>
        <v>Starch-blend</v>
      </c>
      <c r="B4081" s="391" t="str">
        <f t="shared" si="12457"/>
        <v>fiber</v>
      </c>
      <c r="C4081" s="391">
        <f t="shared" ref="C4081" si="12458">C4080</f>
        <v>4</v>
      </c>
      <c r="D4081" s="391" t="str">
        <f t="shared" ref="D4081:E4081" si="12459">D4078</f>
        <v>1-10</v>
      </c>
      <c r="E4081" s="391">
        <f t="shared" si="12459"/>
        <v>10</v>
      </c>
      <c r="F4081" s="391" t="str">
        <f t="shared" ref="F4081:G4081" si="12460">F4080</f>
        <v>air</v>
      </c>
      <c r="G4081" s="401" t="str">
        <f t="shared" si="12460"/>
        <v>DE: Starch-blend fiber 1-10 mm (emission to air)</v>
      </c>
      <c r="H4081" s="465">
        <v>0</v>
      </c>
      <c r="I4081" s="394" t="s">
        <v>1097</v>
      </c>
      <c r="J4081" s="635"/>
      <c r="K4081" s="389">
        <v>101.29025539691933</v>
      </c>
      <c r="L4081" s="536"/>
      <c r="M4081" s="509">
        <f t="shared" si="12322"/>
        <v>24.681545033166493</v>
      </c>
      <c r="N4081" s="646"/>
      <c r="O4081" s="626"/>
      <c r="P4081" s="629"/>
      <c r="Q4081" s="629"/>
    </row>
    <row r="4082" spans="1:17" hidden="1">
      <c r="A4082" s="390" t="str">
        <f t="shared" ref="A4082:B4082" si="12461">A4079</f>
        <v>Starch-blend</v>
      </c>
      <c r="B4082" s="391" t="str">
        <f t="shared" si="12461"/>
        <v>fiber</v>
      </c>
      <c r="C4082" s="391">
        <f t="shared" ref="C4082" si="12462">C4081</f>
        <v>4</v>
      </c>
      <c r="D4082" s="391" t="str">
        <f t="shared" ref="D4082:E4082" si="12463">D4079</f>
        <v>1-10</v>
      </c>
      <c r="E4082" s="391">
        <f t="shared" si="12463"/>
        <v>10</v>
      </c>
      <c r="F4082" s="391" t="str">
        <f t="shared" ref="F4082:G4082" si="12464">F4081</f>
        <v>air</v>
      </c>
      <c r="G4082" s="401" t="str">
        <f t="shared" si="12464"/>
        <v>DE: Starch-blend fiber 1-10 mm (emission to air)</v>
      </c>
      <c r="H4082" s="465">
        <v>4.7E-2</v>
      </c>
      <c r="I4082" s="394" t="s">
        <v>1162</v>
      </c>
      <c r="J4082" s="635"/>
      <c r="K4082" s="389">
        <v>42.74</v>
      </c>
      <c r="L4082" s="536"/>
      <c r="M4082" s="509">
        <f t="shared" si="12322"/>
        <v>58.493214787084696</v>
      </c>
      <c r="N4082" s="646"/>
      <c r="O4082" s="626"/>
      <c r="P4082" s="629"/>
      <c r="Q4082" s="629"/>
    </row>
    <row r="4083" spans="1:17" hidden="1">
      <c r="A4083" s="390" t="str">
        <f t="shared" ref="A4083:B4083" si="12465">A4080</f>
        <v>Starch-blend</v>
      </c>
      <c r="B4083" s="391" t="str">
        <f t="shared" si="12465"/>
        <v>fiber</v>
      </c>
      <c r="C4083" s="391">
        <f t="shared" ref="C4083" si="12466">C4082</f>
        <v>4</v>
      </c>
      <c r="D4083" s="391" t="str">
        <f t="shared" ref="D4083:E4083" si="12467">D4080</f>
        <v>1-10</v>
      </c>
      <c r="E4083" s="391">
        <f t="shared" si="12467"/>
        <v>10</v>
      </c>
      <c r="F4083" s="391" t="str">
        <f t="shared" ref="F4083:G4083" si="12468">F4082</f>
        <v>air</v>
      </c>
      <c r="G4083" s="401" t="str">
        <f t="shared" si="12468"/>
        <v>DE: Starch-blend fiber 1-10 mm (emission to air)</v>
      </c>
      <c r="H4083" s="465">
        <v>5.0000000000000001E-3</v>
      </c>
      <c r="I4083" s="394" t="s">
        <v>1163</v>
      </c>
      <c r="J4083" s="635"/>
      <c r="K4083" s="389">
        <v>42.74</v>
      </c>
      <c r="L4083" s="536"/>
      <c r="M4083" s="509">
        <f t="shared" si="12322"/>
        <v>58.493214787084696</v>
      </c>
      <c r="N4083" s="646"/>
      <c r="O4083" s="626"/>
      <c r="P4083" s="629"/>
      <c r="Q4083" s="629"/>
    </row>
    <row r="4084" spans="1:17" ht="15.75" hidden="1" thickBot="1">
      <c r="A4084" s="452" t="str">
        <f t="shared" ref="A4084:B4084" si="12469">A4079</f>
        <v>Starch-blend</v>
      </c>
      <c r="B4084" s="453" t="str">
        <f t="shared" si="12469"/>
        <v>fiber</v>
      </c>
      <c r="C4084" s="453">
        <f t="shared" ref="C4084" si="12470">C4083</f>
        <v>4</v>
      </c>
      <c r="D4084" s="453" t="str">
        <f t="shared" ref="D4084:E4084" si="12471">D4079</f>
        <v>1-10</v>
      </c>
      <c r="E4084" s="453">
        <f t="shared" si="12471"/>
        <v>10</v>
      </c>
      <c r="F4084" s="453" t="str">
        <f t="shared" ref="F4084:G4084" si="12472">F4083</f>
        <v>air</v>
      </c>
      <c r="G4084" s="454" t="str">
        <f t="shared" si="12472"/>
        <v>DE: Starch-blend fiber 1-10 mm (emission to air)</v>
      </c>
      <c r="H4084" s="473">
        <v>0</v>
      </c>
      <c r="I4084" s="479" t="s">
        <v>1034</v>
      </c>
      <c r="J4084" s="636"/>
      <c r="K4084" s="457" t="s">
        <v>596</v>
      </c>
      <c r="L4084" s="543"/>
      <c r="M4084" s="509">
        <f t="shared" si="12322"/>
        <v>0</v>
      </c>
      <c r="N4084" s="647"/>
      <c r="O4084" s="627"/>
      <c r="P4084" s="629"/>
      <c r="Q4084" s="629"/>
    </row>
    <row r="4085" spans="1:17" hidden="1">
      <c r="A4085" s="381" t="s">
        <v>1059</v>
      </c>
      <c r="B4085" s="382" t="s">
        <v>1152</v>
      </c>
      <c r="C4085" s="383">
        <v>6</v>
      </c>
      <c r="D4085" s="475" t="s">
        <v>1018</v>
      </c>
      <c r="E4085" s="384">
        <v>0.1</v>
      </c>
      <c r="F4085" s="385" t="s">
        <v>1019</v>
      </c>
      <c r="G4085" s="386" t="str">
        <f>CONCATENATE("DE: ",A4085," ",B4085," ",D4085," mm (emission to ",F4085,")")</f>
        <v>DE: Starch-blend particle 0,01-0,1 mm (emission to soil)</v>
      </c>
      <c r="H4085" s="466">
        <v>0.97</v>
      </c>
      <c r="I4085" s="388" t="s">
        <v>1019</v>
      </c>
      <c r="J4085" s="632">
        <v>0.22800000000000001</v>
      </c>
      <c r="K4085" s="389">
        <v>42.74</v>
      </c>
      <c r="L4085" s="536"/>
      <c r="M4085" s="509">
        <f t="shared" si="12322"/>
        <v>0.29246607393542345</v>
      </c>
      <c r="N4085" s="645">
        <f t="shared" si="12393"/>
        <v>0.29246607393542345</v>
      </c>
      <c r="O4085" s="625"/>
      <c r="P4085" s="628">
        <f t="shared" si="12410"/>
        <v>0.29246607393542345</v>
      </c>
      <c r="Q4085" s="628">
        <f t="shared" si="12354"/>
        <v>0.29246607393542345</v>
      </c>
    </row>
    <row r="4086" spans="1:17" hidden="1">
      <c r="A4086" s="390" t="str">
        <f>A4085</f>
        <v>Starch-blend</v>
      </c>
      <c r="B4086" s="391" t="str">
        <f>B4085</f>
        <v>particle</v>
      </c>
      <c r="C4086" s="391">
        <f t="shared" ref="C4086:G4086" si="12473">C4085</f>
        <v>6</v>
      </c>
      <c r="D4086" s="391" t="str">
        <f t="shared" si="12473"/>
        <v>0,01-0,1</v>
      </c>
      <c r="E4086" s="391">
        <f t="shared" si="12473"/>
        <v>0.1</v>
      </c>
      <c r="F4086" s="391" t="str">
        <f t="shared" si="12473"/>
        <v>soil</v>
      </c>
      <c r="G4086" s="392" t="str">
        <f t="shared" si="12473"/>
        <v>DE: Starch-blend particle 0,01-0,1 mm (emission to soil)</v>
      </c>
      <c r="H4086" s="465">
        <v>0</v>
      </c>
      <c r="I4086" s="394" t="s">
        <v>1097</v>
      </c>
      <c r="J4086" s="632"/>
      <c r="K4086" s="395">
        <v>101.29025539691933</v>
      </c>
      <c r="L4086" s="537"/>
      <c r="M4086" s="509">
        <f t="shared" si="12322"/>
        <v>0.12340772516583247</v>
      </c>
      <c r="N4086" s="646"/>
      <c r="O4086" s="626"/>
      <c r="P4086" s="629"/>
      <c r="Q4086" s="629"/>
    </row>
    <row r="4087" spans="1:17" hidden="1">
      <c r="A4087" s="390" t="str">
        <f t="shared" ref="A4087:G4087" si="12474">A4086</f>
        <v>Starch-blend</v>
      </c>
      <c r="B4087" s="391" t="str">
        <f t="shared" si="12474"/>
        <v>particle</v>
      </c>
      <c r="C4087" s="391">
        <f t="shared" si="12474"/>
        <v>6</v>
      </c>
      <c r="D4087" s="391" t="str">
        <f t="shared" si="12474"/>
        <v>0,01-0,1</v>
      </c>
      <c r="E4087" s="391">
        <f t="shared" si="12474"/>
        <v>0.1</v>
      </c>
      <c r="F4087" s="391" t="str">
        <f t="shared" si="12474"/>
        <v>soil</v>
      </c>
      <c r="G4087" s="392" t="str">
        <f t="shared" si="12474"/>
        <v>DE: Starch-blend particle 0,01-0,1 mm (emission to soil)</v>
      </c>
      <c r="H4087" s="465">
        <v>2.7E-2</v>
      </c>
      <c r="I4087" s="394" t="s">
        <v>1162</v>
      </c>
      <c r="J4087" s="632"/>
      <c r="K4087" s="395">
        <v>42.74</v>
      </c>
      <c r="L4087" s="537"/>
      <c r="M4087" s="509">
        <f t="shared" si="12322"/>
        <v>0.29246607393542345</v>
      </c>
      <c r="N4087" s="646"/>
      <c r="O4087" s="626"/>
      <c r="P4087" s="629"/>
      <c r="Q4087" s="629"/>
    </row>
    <row r="4088" spans="1:17" hidden="1">
      <c r="A4088" s="390" t="str">
        <f t="shared" ref="A4088:G4088" si="12475">A4087</f>
        <v>Starch-blend</v>
      </c>
      <c r="B4088" s="391" t="str">
        <f t="shared" si="12475"/>
        <v>particle</v>
      </c>
      <c r="C4088" s="391">
        <f t="shared" si="12475"/>
        <v>6</v>
      </c>
      <c r="D4088" s="391" t="str">
        <f t="shared" si="12475"/>
        <v>0,01-0,1</v>
      </c>
      <c r="E4088" s="391">
        <f t="shared" si="12475"/>
        <v>0.1</v>
      </c>
      <c r="F4088" s="391" t="str">
        <f t="shared" si="12475"/>
        <v>soil</v>
      </c>
      <c r="G4088" s="392" t="str">
        <f t="shared" si="12475"/>
        <v>DE: Starch-blend particle 0,01-0,1 mm (emission to soil)</v>
      </c>
      <c r="H4088" s="465">
        <v>3.0000000000000001E-3</v>
      </c>
      <c r="I4088" s="394" t="s">
        <v>1163</v>
      </c>
      <c r="J4088" s="632"/>
      <c r="K4088" s="395">
        <v>42.74</v>
      </c>
      <c r="L4088" s="537"/>
      <c r="M4088" s="509">
        <f t="shared" si="12322"/>
        <v>0.29246607393542345</v>
      </c>
      <c r="N4088" s="646"/>
      <c r="O4088" s="626"/>
      <c r="P4088" s="629"/>
      <c r="Q4088" s="629"/>
    </row>
    <row r="4089" spans="1:17" hidden="1">
      <c r="A4089" s="390" t="str">
        <f>A4086</f>
        <v>Starch-blend</v>
      </c>
      <c r="B4089" s="391" t="str">
        <f>B4086</f>
        <v>particle</v>
      </c>
      <c r="C4089" s="391">
        <f t="shared" ref="C4089" si="12476">C4088</f>
        <v>6</v>
      </c>
      <c r="D4089" s="391" t="str">
        <f>D4086</f>
        <v>0,01-0,1</v>
      </c>
      <c r="E4089" s="391">
        <f>E4086</f>
        <v>0.1</v>
      </c>
      <c r="F4089" s="391" t="str">
        <f>F4086</f>
        <v>soil</v>
      </c>
      <c r="G4089" s="396" t="str">
        <f t="shared" ref="G4089" si="12477">G4088</f>
        <v>DE: Starch-blend particle 0,01-0,1 mm (emission to soil)</v>
      </c>
      <c r="H4089" s="465">
        <v>0</v>
      </c>
      <c r="I4089" s="397" t="s">
        <v>1034</v>
      </c>
      <c r="J4089" s="633"/>
      <c r="K4089" s="398" t="s">
        <v>596</v>
      </c>
      <c r="L4089" s="538"/>
      <c r="M4089" s="509">
        <f t="shared" si="12322"/>
        <v>0</v>
      </c>
      <c r="N4089" s="647"/>
      <c r="O4089" s="627"/>
      <c r="P4089" s="629"/>
      <c r="Q4089" s="629"/>
    </row>
    <row r="4090" spans="1:17" ht="15" hidden="1" customHeight="1">
      <c r="A4090" s="390" t="str">
        <f t="shared" ref="A4090:B4090" si="12478">A4087</f>
        <v>Starch-blend</v>
      </c>
      <c r="B4090" s="391" t="str">
        <f t="shared" si="12478"/>
        <v>particle</v>
      </c>
      <c r="C4090" s="391">
        <f t="shared" ref="C4090" si="12479">C4089</f>
        <v>6</v>
      </c>
      <c r="D4090" s="399" t="str">
        <f t="shared" ref="D4090:E4090" si="12480">D4087</f>
        <v>0,01-0,1</v>
      </c>
      <c r="E4090" s="391">
        <f t="shared" si="12480"/>
        <v>0.1</v>
      </c>
      <c r="F4090" s="400" t="s">
        <v>1147</v>
      </c>
      <c r="G4090" s="386" t="str">
        <f>CONCATENATE("DE: ",A4090," ",B4090," ",D4090," mm (emission to ",F4090,")")</f>
        <v>DE: Starch-blend particle 0,01-0,1 mm (emission to fresh water)</v>
      </c>
      <c r="H4090" s="466">
        <v>0</v>
      </c>
      <c r="I4090" s="388" t="s">
        <v>1019</v>
      </c>
      <c r="J4090" s="634">
        <v>0.22800000000000001</v>
      </c>
      <c r="K4090" s="389">
        <v>42.74</v>
      </c>
      <c r="L4090" s="536"/>
      <c r="M4090" s="509">
        <f t="shared" si="12322"/>
        <v>0.29246607393542345</v>
      </c>
      <c r="N4090" s="645">
        <f t="shared" si="12393"/>
        <v>0.29246607393542345</v>
      </c>
      <c r="O4090" s="625"/>
      <c r="P4090" s="628">
        <f t="shared" si="12410"/>
        <v>0.29246607393542345</v>
      </c>
      <c r="Q4090" s="628">
        <f t="shared" si="12354"/>
        <v>0.29246607393542345</v>
      </c>
    </row>
    <row r="4091" spans="1:17" ht="15" hidden="1" customHeight="1">
      <c r="A4091" s="390" t="str">
        <f t="shared" ref="A4091:B4091" si="12481">A4088</f>
        <v>Starch-blend</v>
      </c>
      <c r="B4091" s="391" t="str">
        <f t="shared" si="12481"/>
        <v>particle</v>
      </c>
      <c r="C4091" s="391">
        <f t="shared" ref="C4091" si="12482">C4090</f>
        <v>6</v>
      </c>
      <c r="D4091" s="391" t="str">
        <f t="shared" ref="D4091:E4091" si="12483">D4088</f>
        <v>0,01-0,1</v>
      </c>
      <c r="E4091" s="391">
        <f t="shared" si="12483"/>
        <v>0.1</v>
      </c>
      <c r="F4091" s="391" t="str">
        <f t="shared" ref="F4091:G4091" si="12484">F4090</f>
        <v>fresh water</v>
      </c>
      <c r="G4091" s="401" t="str">
        <f t="shared" si="12484"/>
        <v>DE: Starch-blend particle 0,01-0,1 mm (emission to fresh water)</v>
      </c>
      <c r="H4091" s="465">
        <v>0</v>
      </c>
      <c r="I4091" s="394" t="s">
        <v>1097</v>
      </c>
      <c r="J4091" s="635"/>
      <c r="K4091" s="389">
        <v>101.29025539691933</v>
      </c>
      <c r="L4091" s="536"/>
      <c r="M4091" s="509">
        <f t="shared" si="12322"/>
        <v>0.12340772516583247</v>
      </c>
      <c r="N4091" s="646"/>
      <c r="O4091" s="626"/>
      <c r="P4091" s="629"/>
      <c r="Q4091" s="629"/>
    </row>
    <row r="4092" spans="1:17" ht="15" hidden="1" customHeight="1">
      <c r="A4092" s="390" t="str">
        <f t="shared" ref="A4092:B4092" si="12485">A4089</f>
        <v>Starch-blend</v>
      </c>
      <c r="B4092" s="391" t="str">
        <f t="shared" si="12485"/>
        <v>particle</v>
      </c>
      <c r="C4092" s="391">
        <f t="shared" ref="C4092" si="12486">C4091</f>
        <v>6</v>
      </c>
      <c r="D4092" s="391" t="str">
        <f t="shared" ref="D4092:E4092" si="12487">D4089</f>
        <v>0,01-0,1</v>
      </c>
      <c r="E4092" s="391">
        <f t="shared" si="12487"/>
        <v>0.1</v>
      </c>
      <c r="F4092" s="391" t="str">
        <f t="shared" ref="F4092:G4092" si="12488">F4091</f>
        <v>fresh water</v>
      </c>
      <c r="G4092" s="401" t="str">
        <f t="shared" si="12488"/>
        <v>DE: Starch-blend particle 0,01-0,1 mm (emission to fresh water)</v>
      </c>
      <c r="H4092" s="465">
        <v>0.89</v>
      </c>
      <c r="I4092" s="394" t="s">
        <v>1162</v>
      </c>
      <c r="J4092" s="635"/>
      <c r="K4092" s="389">
        <v>42.74</v>
      </c>
      <c r="L4092" s="536"/>
      <c r="M4092" s="509">
        <f t="shared" si="12322"/>
        <v>0.29246607393542345</v>
      </c>
      <c r="N4092" s="646"/>
      <c r="O4092" s="626"/>
      <c r="P4092" s="629"/>
      <c r="Q4092" s="629"/>
    </row>
    <row r="4093" spans="1:17" ht="15" hidden="1" customHeight="1">
      <c r="A4093" s="390" t="str">
        <f t="shared" ref="A4093:B4093" si="12489">A4090</f>
        <v>Starch-blend</v>
      </c>
      <c r="B4093" s="391" t="str">
        <f t="shared" si="12489"/>
        <v>particle</v>
      </c>
      <c r="C4093" s="391">
        <f t="shared" ref="C4093" si="12490">C4092</f>
        <v>6</v>
      </c>
      <c r="D4093" s="391" t="str">
        <f t="shared" ref="D4093:E4093" si="12491">D4090</f>
        <v>0,01-0,1</v>
      </c>
      <c r="E4093" s="391">
        <f t="shared" si="12491"/>
        <v>0.1</v>
      </c>
      <c r="F4093" s="391" t="str">
        <f t="shared" ref="F4093:G4093" si="12492">F4092</f>
        <v>fresh water</v>
      </c>
      <c r="G4093" s="401" t="str">
        <f t="shared" si="12492"/>
        <v>DE: Starch-blend particle 0,01-0,1 mm (emission to fresh water)</v>
      </c>
      <c r="H4093" s="465">
        <v>0.11</v>
      </c>
      <c r="I4093" s="394" t="s">
        <v>1163</v>
      </c>
      <c r="J4093" s="635"/>
      <c r="K4093" s="389">
        <v>42.74</v>
      </c>
      <c r="L4093" s="536"/>
      <c r="M4093" s="509">
        <f t="shared" si="12322"/>
        <v>0.29246607393542345</v>
      </c>
      <c r="N4093" s="646"/>
      <c r="O4093" s="626"/>
      <c r="P4093" s="629"/>
      <c r="Q4093" s="629"/>
    </row>
    <row r="4094" spans="1:17" ht="15" hidden="1" customHeight="1">
      <c r="A4094" s="390" t="str">
        <f t="shared" ref="A4094:B4094" si="12493">A4091</f>
        <v>Starch-blend</v>
      </c>
      <c r="B4094" s="391" t="str">
        <f t="shared" si="12493"/>
        <v>particle</v>
      </c>
      <c r="C4094" s="391">
        <f t="shared" ref="C4094" si="12494">C4093</f>
        <v>6</v>
      </c>
      <c r="D4094" s="391" t="str">
        <f t="shared" ref="D4094:E4094" si="12495">D4091</f>
        <v>0,01-0,1</v>
      </c>
      <c r="E4094" s="391">
        <f t="shared" si="12495"/>
        <v>0.1</v>
      </c>
      <c r="F4094" s="402" t="str">
        <f>F4091</f>
        <v>fresh water</v>
      </c>
      <c r="G4094" s="401" t="str">
        <f t="shared" ref="G4094" si="12496">G4093</f>
        <v>DE: Starch-blend particle 0,01-0,1 mm (emission to fresh water)</v>
      </c>
      <c r="H4094" s="465">
        <v>0</v>
      </c>
      <c r="I4094" s="397" t="s">
        <v>1034</v>
      </c>
      <c r="J4094" s="654"/>
      <c r="K4094" s="398" t="s">
        <v>596</v>
      </c>
      <c r="L4094" s="538"/>
      <c r="M4094" s="509">
        <f t="shared" si="12322"/>
        <v>0</v>
      </c>
      <c r="N4094" s="647"/>
      <c r="O4094" s="627"/>
      <c r="P4094" s="629"/>
      <c r="Q4094" s="629"/>
    </row>
    <row r="4095" spans="1:17" ht="15" hidden="1" customHeight="1">
      <c r="A4095" s="390" t="str">
        <f t="shared" ref="A4095:B4095" si="12497">A4092</f>
        <v>Starch-blend</v>
      </c>
      <c r="B4095" s="391" t="str">
        <f t="shared" si="12497"/>
        <v>particle</v>
      </c>
      <c r="C4095" s="391">
        <f t="shared" ref="C4095" si="12498">C4094</f>
        <v>6</v>
      </c>
      <c r="D4095" s="391" t="str">
        <f t="shared" ref="D4095:E4095" si="12499">D4092</f>
        <v>0,01-0,1</v>
      </c>
      <c r="E4095" s="391">
        <f t="shared" si="12499"/>
        <v>0.1</v>
      </c>
      <c r="F4095" s="385" t="s">
        <v>1097</v>
      </c>
      <c r="G4095" s="422" t="str">
        <f>CONCATENATE("DE: ",A4095," ",B4095," ",D4095," mm (emission to ",F4095,")")</f>
        <v>DE: Starch-blend particle 0,01-0,1 mm (emission to marine water)</v>
      </c>
      <c r="H4095" s="467">
        <v>0</v>
      </c>
      <c r="I4095" s="388" t="s">
        <v>1019</v>
      </c>
      <c r="J4095" s="634">
        <v>0.22800000000000001</v>
      </c>
      <c r="K4095" s="389">
        <v>42.74</v>
      </c>
      <c r="L4095" s="536"/>
      <c r="M4095" s="509">
        <f t="shared" si="12322"/>
        <v>0.29246607393542345</v>
      </c>
      <c r="N4095" s="645">
        <f t="shared" si="12393"/>
        <v>0.29246607393542345</v>
      </c>
      <c r="O4095" s="625"/>
      <c r="P4095" s="628">
        <f t="shared" si="12410"/>
        <v>0.29246607393542345</v>
      </c>
      <c r="Q4095" s="628">
        <f t="shared" si="12354"/>
        <v>0.29246607393542345</v>
      </c>
    </row>
    <row r="4096" spans="1:17" ht="15" hidden="1" customHeight="1">
      <c r="A4096" s="390" t="str">
        <f t="shared" ref="A4096:B4096" si="12500">A4093</f>
        <v>Starch-blend</v>
      </c>
      <c r="B4096" s="391" t="str">
        <f t="shared" si="12500"/>
        <v>particle</v>
      </c>
      <c r="C4096" s="391">
        <f t="shared" ref="C4096" si="12501">C4095</f>
        <v>6</v>
      </c>
      <c r="D4096" s="391" t="str">
        <f t="shared" ref="D4096:E4096" si="12502">D4093</f>
        <v>0,01-0,1</v>
      </c>
      <c r="E4096" s="391">
        <f t="shared" si="12502"/>
        <v>0.1</v>
      </c>
      <c r="F4096" s="391" t="str">
        <f t="shared" ref="F4096:G4096" si="12503">F4095</f>
        <v>marine water</v>
      </c>
      <c r="G4096" s="401" t="str">
        <f t="shared" si="12503"/>
        <v>DE: Starch-blend particle 0,01-0,1 mm (emission to marine water)</v>
      </c>
      <c r="H4096" s="465">
        <v>0</v>
      </c>
      <c r="I4096" s="394" t="s">
        <v>1097</v>
      </c>
      <c r="J4096" s="635"/>
      <c r="K4096" s="389">
        <v>101.29025539691933</v>
      </c>
      <c r="L4096" s="536"/>
      <c r="M4096" s="509">
        <f t="shared" si="12322"/>
        <v>0.12340772516583247</v>
      </c>
      <c r="N4096" s="646"/>
      <c r="O4096" s="626"/>
      <c r="P4096" s="629"/>
      <c r="Q4096" s="629"/>
    </row>
    <row r="4097" spans="1:17" hidden="1">
      <c r="A4097" s="390" t="str">
        <f t="shared" ref="A4097:B4097" si="12504">A4094</f>
        <v>Starch-blend</v>
      </c>
      <c r="B4097" s="391" t="str">
        <f t="shared" si="12504"/>
        <v>particle</v>
      </c>
      <c r="C4097" s="391">
        <f t="shared" ref="C4097" si="12505">C4096</f>
        <v>6</v>
      </c>
      <c r="D4097" s="391" t="str">
        <f t="shared" ref="D4097:E4097" si="12506">D4094</f>
        <v>0,01-0,1</v>
      </c>
      <c r="E4097" s="391">
        <f t="shared" si="12506"/>
        <v>0.1</v>
      </c>
      <c r="F4097" s="391" t="str">
        <f t="shared" ref="F4097:G4097" si="12507">F4096</f>
        <v>marine water</v>
      </c>
      <c r="G4097" s="401" t="str">
        <f t="shared" si="12507"/>
        <v>DE: Starch-blend particle 0,01-0,1 mm (emission to marine water)</v>
      </c>
      <c r="H4097" s="465">
        <v>0</v>
      </c>
      <c r="I4097" s="394" t="s">
        <v>1162</v>
      </c>
      <c r="J4097" s="635"/>
      <c r="K4097" s="389">
        <v>42.74</v>
      </c>
      <c r="L4097" s="536"/>
      <c r="M4097" s="509">
        <f t="shared" si="12322"/>
        <v>0.29246607393542345</v>
      </c>
      <c r="N4097" s="646"/>
      <c r="O4097" s="626"/>
      <c r="P4097" s="629"/>
      <c r="Q4097" s="629"/>
    </row>
    <row r="4098" spans="1:17" hidden="1">
      <c r="A4098" s="390" t="str">
        <f t="shared" ref="A4098:B4098" si="12508">A4095</f>
        <v>Starch-blend</v>
      </c>
      <c r="B4098" s="391" t="str">
        <f t="shared" si="12508"/>
        <v>particle</v>
      </c>
      <c r="C4098" s="391">
        <f t="shared" ref="C4098" si="12509">C4097</f>
        <v>6</v>
      </c>
      <c r="D4098" s="391" t="str">
        <f t="shared" ref="D4098:E4098" si="12510">D4095</f>
        <v>0,01-0,1</v>
      </c>
      <c r="E4098" s="391">
        <f t="shared" si="12510"/>
        <v>0.1</v>
      </c>
      <c r="F4098" s="391" t="str">
        <f t="shared" ref="F4098:G4098" si="12511">F4097</f>
        <v>marine water</v>
      </c>
      <c r="G4098" s="401" t="str">
        <f t="shared" si="12511"/>
        <v>DE: Starch-blend particle 0,01-0,1 mm (emission to marine water)</v>
      </c>
      <c r="H4098" s="465">
        <v>1</v>
      </c>
      <c r="I4098" s="394" t="s">
        <v>1163</v>
      </c>
      <c r="J4098" s="635"/>
      <c r="K4098" s="389">
        <v>42.74</v>
      </c>
      <c r="L4098" s="536"/>
      <c r="M4098" s="509">
        <f t="shared" si="12322"/>
        <v>0.29246607393542345</v>
      </c>
      <c r="N4098" s="646"/>
      <c r="O4098" s="626"/>
      <c r="P4098" s="629"/>
      <c r="Q4098" s="629"/>
    </row>
    <row r="4099" spans="1:17" hidden="1">
      <c r="A4099" s="390" t="str">
        <f t="shared" ref="A4099:B4099" si="12512">A4096</f>
        <v>Starch-blend</v>
      </c>
      <c r="B4099" s="391" t="str">
        <f t="shared" si="12512"/>
        <v>particle</v>
      </c>
      <c r="C4099" s="391">
        <f t="shared" ref="C4099" si="12513">C4098</f>
        <v>6</v>
      </c>
      <c r="D4099" s="391" t="str">
        <f t="shared" ref="D4099:E4099" si="12514">D4096</f>
        <v>0,01-0,1</v>
      </c>
      <c r="E4099" s="391">
        <f t="shared" si="12514"/>
        <v>0.1</v>
      </c>
      <c r="F4099" s="391" t="str">
        <f t="shared" ref="F4099:G4099" si="12515">F4098</f>
        <v>marine water</v>
      </c>
      <c r="G4099" s="401" t="str">
        <f t="shared" si="12515"/>
        <v>DE: Starch-blend particle 0,01-0,1 mm (emission to marine water)</v>
      </c>
      <c r="H4099" s="465">
        <v>0</v>
      </c>
      <c r="I4099" s="397" t="s">
        <v>1034</v>
      </c>
      <c r="J4099" s="654"/>
      <c r="K4099" s="398" t="s">
        <v>596</v>
      </c>
      <c r="L4099" s="538"/>
      <c r="M4099" s="509">
        <f t="shared" si="12322"/>
        <v>0</v>
      </c>
      <c r="N4099" s="647"/>
      <c r="O4099" s="627"/>
      <c r="P4099" s="629"/>
      <c r="Q4099" s="629"/>
    </row>
    <row r="4100" spans="1:17" hidden="1">
      <c r="A4100" s="390" t="str">
        <f t="shared" ref="A4100:B4100" si="12516">A4097</f>
        <v>Starch-blend</v>
      </c>
      <c r="B4100" s="391" t="str">
        <f t="shared" si="12516"/>
        <v>particle</v>
      </c>
      <c r="C4100" s="391">
        <f t="shared" ref="C4100" si="12517">C4099</f>
        <v>6</v>
      </c>
      <c r="D4100" s="391" t="str">
        <f t="shared" ref="D4100:E4100" si="12518">D4097</f>
        <v>0,01-0,1</v>
      </c>
      <c r="E4100" s="391">
        <f t="shared" si="12518"/>
        <v>0.1</v>
      </c>
      <c r="F4100" s="400" t="s">
        <v>1057</v>
      </c>
      <c r="G4100" s="422" t="str">
        <f>CONCATENATE("DE: ",A4100," ",B4100," ",D4100," mm (emission to ",F4100,")")</f>
        <v>DE: Starch-blend particle 0,01-0,1 mm (emission to air)</v>
      </c>
      <c r="H4100" s="467">
        <v>0.94799999999999995</v>
      </c>
      <c r="I4100" s="388" t="s">
        <v>1019</v>
      </c>
      <c r="J4100" s="634">
        <v>0.22800000000000001</v>
      </c>
      <c r="K4100" s="389">
        <v>42.74</v>
      </c>
      <c r="L4100" s="536"/>
      <c r="M4100" s="509">
        <f t="shared" si="12322"/>
        <v>0.29246607393542345</v>
      </c>
      <c r="N4100" s="645">
        <f t="shared" si="12393"/>
        <v>0.29246607393542345</v>
      </c>
      <c r="O4100" s="625"/>
      <c r="P4100" s="628">
        <f t="shared" si="12410"/>
        <v>0.29246607393542345</v>
      </c>
      <c r="Q4100" s="628">
        <f t="shared" si="12354"/>
        <v>0.29246607393542345</v>
      </c>
    </row>
    <row r="4101" spans="1:17" hidden="1">
      <c r="A4101" s="390" t="str">
        <f t="shared" ref="A4101:B4101" si="12519">A4098</f>
        <v>Starch-blend</v>
      </c>
      <c r="B4101" s="391" t="str">
        <f t="shared" si="12519"/>
        <v>particle</v>
      </c>
      <c r="C4101" s="391">
        <f t="shared" ref="C4101" si="12520">C4100</f>
        <v>6</v>
      </c>
      <c r="D4101" s="391" t="str">
        <f t="shared" ref="D4101:E4101" si="12521">D4098</f>
        <v>0,01-0,1</v>
      </c>
      <c r="E4101" s="391">
        <f t="shared" si="12521"/>
        <v>0.1</v>
      </c>
      <c r="F4101" s="391" t="str">
        <f t="shared" ref="F4101:G4101" si="12522">F4100</f>
        <v>air</v>
      </c>
      <c r="G4101" s="401" t="str">
        <f t="shared" si="12522"/>
        <v>DE: Starch-blend particle 0,01-0,1 mm (emission to air)</v>
      </c>
      <c r="H4101" s="465">
        <v>0</v>
      </c>
      <c r="I4101" s="394" t="s">
        <v>1097</v>
      </c>
      <c r="J4101" s="635"/>
      <c r="K4101" s="389">
        <v>101.29025539691933</v>
      </c>
      <c r="L4101" s="536"/>
      <c r="M4101" s="509">
        <f t="shared" si="12322"/>
        <v>0.12340772516583247</v>
      </c>
      <c r="N4101" s="646"/>
      <c r="O4101" s="626"/>
      <c r="P4101" s="629"/>
      <c r="Q4101" s="629"/>
    </row>
    <row r="4102" spans="1:17" hidden="1">
      <c r="A4102" s="390" t="str">
        <f t="shared" ref="A4102:B4102" si="12523">A4099</f>
        <v>Starch-blend</v>
      </c>
      <c r="B4102" s="391" t="str">
        <f t="shared" si="12523"/>
        <v>particle</v>
      </c>
      <c r="C4102" s="391">
        <f t="shared" ref="C4102" si="12524">C4101</f>
        <v>6</v>
      </c>
      <c r="D4102" s="391" t="str">
        <f t="shared" ref="D4102:E4102" si="12525">D4099</f>
        <v>0,01-0,1</v>
      </c>
      <c r="E4102" s="391">
        <f t="shared" si="12525"/>
        <v>0.1</v>
      </c>
      <c r="F4102" s="391" t="str">
        <f t="shared" ref="F4102:G4102" si="12526">F4101</f>
        <v>air</v>
      </c>
      <c r="G4102" s="401" t="str">
        <f t="shared" si="12526"/>
        <v>DE: Starch-blend particle 0,01-0,1 mm (emission to air)</v>
      </c>
      <c r="H4102" s="465">
        <v>4.7E-2</v>
      </c>
      <c r="I4102" s="394" t="s">
        <v>1162</v>
      </c>
      <c r="J4102" s="635"/>
      <c r="K4102" s="389">
        <v>42.74</v>
      </c>
      <c r="L4102" s="536"/>
      <c r="M4102" s="509">
        <f t="shared" ref="M4102:M4144" si="12527">IFERROR(IF(K4102="--",0,IF(E4102*1000/K4102*(1-0.5)^(C4102/2)&gt;1000,1000,E4102*1000/K4102*(1-0.5)^(C4102/2))),1000)</f>
        <v>0.29246607393542345</v>
      </c>
      <c r="N4102" s="646"/>
      <c r="O4102" s="626"/>
      <c r="P4102" s="629"/>
      <c r="Q4102" s="629"/>
    </row>
    <row r="4103" spans="1:17" hidden="1">
      <c r="A4103" s="390" t="str">
        <f t="shared" ref="A4103:B4103" si="12528">A4100</f>
        <v>Starch-blend</v>
      </c>
      <c r="B4103" s="391" t="str">
        <f t="shared" si="12528"/>
        <v>particle</v>
      </c>
      <c r="C4103" s="391">
        <f t="shared" ref="C4103" si="12529">C4102</f>
        <v>6</v>
      </c>
      <c r="D4103" s="391" t="str">
        <f t="shared" ref="D4103:E4103" si="12530">D4100</f>
        <v>0,01-0,1</v>
      </c>
      <c r="E4103" s="391">
        <f t="shared" si="12530"/>
        <v>0.1</v>
      </c>
      <c r="F4103" s="391" t="str">
        <f t="shared" ref="F4103:G4103" si="12531">F4102</f>
        <v>air</v>
      </c>
      <c r="G4103" s="401" t="str">
        <f t="shared" si="12531"/>
        <v>DE: Starch-blend particle 0,01-0,1 mm (emission to air)</v>
      </c>
      <c r="H4103" s="465">
        <v>5.0000000000000001E-3</v>
      </c>
      <c r="I4103" s="394" t="s">
        <v>1163</v>
      </c>
      <c r="J4103" s="635"/>
      <c r="K4103" s="389">
        <v>42.74</v>
      </c>
      <c r="L4103" s="536"/>
      <c r="M4103" s="509">
        <f t="shared" si="12527"/>
        <v>0.29246607393542345</v>
      </c>
      <c r="N4103" s="646"/>
      <c r="O4103" s="626"/>
      <c r="P4103" s="629"/>
      <c r="Q4103" s="629"/>
    </row>
    <row r="4104" spans="1:17" ht="15.75" hidden="1" thickBot="1">
      <c r="A4104" s="390" t="str">
        <f t="shared" ref="A4104:B4104" si="12532">A4099</f>
        <v>Starch-blend</v>
      </c>
      <c r="B4104" s="391" t="str">
        <f t="shared" si="12532"/>
        <v>particle</v>
      </c>
      <c r="C4104" s="391">
        <f t="shared" ref="C4104" si="12533">C4103</f>
        <v>6</v>
      </c>
      <c r="D4104" s="391" t="str">
        <f t="shared" ref="D4104:E4104" si="12534">D4099</f>
        <v>0,01-0,1</v>
      </c>
      <c r="E4104" s="391">
        <f t="shared" si="12534"/>
        <v>0.1</v>
      </c>
      <c r="F4104" s="391" t="str">
        <f t="shared" ref="F4104:G4104" si="12535">F4103</f>
        <v>air</v>
      </c>
      <c r="G4104" s="401" t="str">
        <f t="shared" si="12535"/>
        <v>DE: Starch-blend particle 0,01-0,1 mm (emission to air)</v>
      </c>
      <c r="H4104" s="471">
        <v>0</v>
      </c>
      <c r="I4104" s="422" t="s">
        <v>1034</v>
      </c>
      <c r="J4104" s="636"/>
      <c r="K4104" s="451" t="s">
        <v>596</v>
      </c>
      <c r="L4104" s="542"/>
      <c r="M4104" s="509">
        <f t="shared" si="12527"/>
        <v>0</v>
      </c>
      <c r="N4104" s="647"/>
      <c r="O4104" s="627"/>
      <c r="P4104" s="629"/>
      <c r="Q4104" s="629"/>
    </row>
    <row r="4105" spans="1:17" hidden="1">
      <c r="A4105" s="405" t="s">
        <v>1059</v>
      </c>
      <c r="B4105" s="406" t="s">
        <v>1152</v>
      </c>
      <c r="C4105" s="407">
        <v>6</v>
      </c>
      <c r="D4105" s="423" t="s">
        <v>1028</v>
      </c>
      <c r="E4105" s="408">
        <v>1</v>
      </c>
      <c r="F4105" s="424" t="s">
        <v>1019</v>
      </c>
      <c r="G4105" s="425" t="str">
        <f>CONCATENATE("DE: ",A4105," ",B4105," ",D4105," mm (emission to ",F4105,")")</f>
        <v>DE: Starch-blend particle 0,1-1 mm (emission to soil)</v>
      </c>
      <c r="H4105" s="474">
        <v>0.97</v>
      </c>
      <c r="I4105" s="427" t="s">
        <v>1019</v>
      </c>
      <c r="J4105" s="632">
        <v>0.22800000000000001</v>
      </c>
      <c r="K4105" s="428">
        <v>42.74</v>
      </c>
      <c r="L4105" s="539"/>
      <c r="M4105" s="509">
        <f t="shared" si="12527"/>
        <v>2.924660739354235</v>
      </c>
      <c r="N4105" s="645">
        <f t="shared" si="12393"/>
        <v>2.9246607393542345</v>
      </c>
      <c r="O4105" s="625"/>
      <c r="P4105" s="628">
        <f t="shared" si="12410"/>
        <v>2.9246607393542345</v>
      </c>
      <c r="Q4105" s="628">
        <f t="shared" si="12354"/>
        <v>2.9246607393542345</v>
      </c>
    </row>
    <row r="4106" spans="1:17" hidden="1">
      <c r="A4106" s="390" t="str">
        <f>A4105</f>
        <v>Starch-blend</v>
      </c>
      <c r="B4106" s="391" t="str">
        <f>B4105</f>
        <v>particle</v>
      </c>
      <c r="C4106" s="391">
        <f t="shared" ref="C4106:G4106" si="12536">C4105</f>
        <v>6</v>
      </c>
      <c r="D4106" s="391" t="str">
        <f t="shared" si="12536"/>
        <v>0,1-1</v>
      </c>
      <c r="E4106" s="391">
        <f t="shared" si="12536"/>
        <v>1</v>
      </c>
      <c r="F4106" s="391" t="str">
        <f t="shared" si="12536"/>
        <v>soil</v>
      </c>
      <c r="G4106" s="392" t="str">
        <f t="shared" si="12536"/>
        <v>DE: Starch-blend particle 0,1-1 mm (emission to soil)</v>
      </c>
      <c r="H4106" s="465">
        <v>0</v>
      </c>
      <c r="I4106" s="394" t="s">
        <v>1097</v>
      </c>
      <c r="J4106" s="632"/>
      <c r="K4106" s="395">
        <v>101.29025539691933</v>
      </c>
      <c r="L4106" s="537"/>
      <c r="M4106" s="509">
        <f t="shared" si="12527"/>
        <v>1.2340772516583247</v>
      </c>
      <c r="N4106" s="646"/>
      <c r="O4106" s="626"/>
      <c r="P4106" s="629"/>
      <c r="Q4106" s="629"/>
    </row>
    <row r="4107" spans="1:17" hidden="1">
      <c r="A4107" s="390" t="str">
        <f t="shared" ref="A4107:G4107" si="12537">A4106</f>
        <v>Starch-blend</v>
      </c>
      <c r="B4107" s="391" t="str">
        <f t="shared" si="12537"/>
        <v>particle</v>
      </c>
      <c r="C4107" s="391">
        <f t="shared" si="12537"/>
        <v>6</v>
      </c>
      <c r="D4107" s="391" t="str">
        <f t="shared" si="12537"/>
        <v>0,1-1</v>
      </c>
      <c r="E4107" s="391">
        <f t="shared" si="12537"/>
        <v>1</v>
      </c>
      <c r="F4107" s="391" t="str">
        <f t="shared" si="12537"/>
        <v>soil</v>
      </c>
      <c r="G4107" s="392" t="str">
        <f t="shared" si="12537"/>
        <v>DE: Starch-blend particle 0,1-1 mm (emission to soil)</v>
      </c>
      <c r="H4107" s="465">
        <v>2.7E-2</v>
      </c>
      <c r="I4107" s="394" t="s">
        <v>1162</v>
      </c>
      <c r="J4107" s="632"/>
      <c r="K4107" s="395">
        <v>42.74</v>
      </c>
      <c r="L4107" s="537"/>
      <c r="M4107" s="509">
        <f t="shared" si="12527"/>
        <v>2.924660739354235</v>
      </c>
      <c r="N4107" s="646"/>
      <c r="O4107" s="626"/>
      <c r="P4107" s="629"/>
      <c r="Q4107" s="629"/>
    </row>
    <row r="4108" spans="1:17" hidden="1">
      <c r="A4108" s="390" t="str">
        <f t="shared" ref="A4108:G4108" si="12538">A4107</f>
        <v>Starch-blend</v>
      </c>
      <c r="B4108" s="391" t="str">
        <f t="shared" si="12538"/>
        <v>particle</v>
      </c>
      <c r="C4108" s="391">
        <f t="shared" si="12538"/>
        <v>6</v>
      </c>
      <c r="D4108" s="391" t="str">
        <f t="shared" si="12538"/>
        <v>0,1-1</v>
      </c>
      <c r="E4108" s="391">
        <f t="shared" si="12538"/>
        <v>1</v>
      </c>
      <c r="F4108" s="391" t="str">
        <f t="shared" si="12538"/>
        <v>soil</v>
      </c>
      <c r="G4108" s="392" t="str">
        <f t="shared" si="12538"/>
        <v>DE: Starch-blend particle 0,1-1 mm (emission to soil)</v>
      </c>
      <c r="H4108" s="465">
        <v>3.0000000000000001E-3</v>
      </c>
      <c r="I4108" s="394" t="s">
        <v>1163</v>
      </c>
      <c r="J4108" s="632"/>
      <c r="K4108" s="395">
        <v>42.74</v>
      </c>
      <c r="L4108" s="537"/>
      <c r="M4108" s="509">
        <f t="shared" si="12527"/>
        <v>2.924660739354235</v>
      </c>
      <c r="N4108" s="646"/>
      <c r="O4108" s="626"/>
      <c r="P4108" s="629"/>
      <c r="Q4108" s="629"/>
    </row>
    <row r="4109" spans="1:17" hidden="1">
      <c r="A4109" s="390" t="str">
        <f>A4106</f>
        <v>Starch-blend</v>
      </c>
      <c r="B4109" s="391" t="str">
        <f>B4106</f>
        <v>particle</v>
      </c>
      <c r="C4109" s="391">
        <f t="shared" ref="C4109" si="12539">C4108</f>
        <v>6</v>
      </c>
      <c r="D4109" s="391" t="str">
        <f>D4106</f>
        <v>0,1-1</v>
      </c>
      <c r="E4109" s="391">
        <f>E4106</f>
        <v>1</v>
      </c>
      <c r="F4109" s="391" t="str">
        <f>F4106</f>
        <v>soil</v>
      </c>
      <c r="G4109" s="396" t="str">
        <f t="shared" ref="G4109" si="12540">G4108</f>
        <v>DE: Starch-blend particle 0,1-1 mm (emission to soil)</v>
      </c>
      <c r="H4109" s="465">
        <v>0</v>
      </c>
      <c r="I4109" s="397" t="s">
        <v>1034</v>
      </c>
      <c r="J4109" s="633"/>
      <c r="K4109" s="398" t="s">
        <v>596</v>
      </c>
      <c r="L4109" s="538"/>
      <c r="M4109" s="509">
        <f t="shared" si="12527"/>
        <v>0</v>
      </c>
      <c r="N4109" s="647"/>
      <c r="O4109" s="627"/>
      <c r="P4109" s="629"/>
      <c r="Q4109" s="629"/>
    </row>
    <row r="4110" spans="1:17" hidden="1">
      <c r="A4110" s="390" t="str">
        <f t="shared" ref="A4110:B4110" si="12541">A4107</f>
        <v>Starch-blend</v>
      </c>
      <c r="B4110" s="391" t="str">
        <f t="shared" si="12541"/>
        <v>particle</v>
      </c>
      <c r="C4110" s="391">
        <f t="shared" ref="C4110" si="12542">C4109</f>
        <v>6</v>
      </c>
      <c r="D4110" s="399" t="str">
        <f t="shared" ref="D4110:E4110" si="12543">D4107</f>
        <v>0,1-1</v>
      </c>
      <c r="E4110" s="391">
        <f t="shared" si="12543"/>
        <v>1</v>
      </c>
      <c r="F4110" s="400" t="s">
        <v>1147</v>
      </c>
      <c r="G4110" s="386" t="str">
        <f>CONCATENATE("DE: ",A4110," ",B4110," ",D4110," mm (emission to ",F4110,")")</f>
        <v>DE: Starch-blend particle 0,1-1 mm (emission to fresh water)</v>
      </c>
      <c r="H4110" s="466">
        <v>0</v>
      </c>
      <c r="I4110" s="388" t="s">
        <v>1019</v>
      </c>
      <c r="J4110" s="634">
        <v>0.22800000000000001</v>
      </c>
      <c r="K4110" s="389">
        <v>42.74</v>
      </c>
      <c r="L4110" s="536"/>
      <c r="M4110" s="509">
        <f t="shared" si="12527"/>
        <v>2.924660739354235</v>
      </c>
      <c r="N4110" s="645">
        <f t="shared" si="12393"/>
        <v>2.924660739354235</v>
      </c>
      <c r="O4110" s="625"/>
      <c r="P4110" s="628">
        <f t="shared" si="12410"/>
        <v>2.924660739354235</v>
      </c>
      <c r="Q4110" s="628">
        <f t="shared" si="12354"/>
        <v>2.924660739354235</v>
      </c>
    </row>
    <row r="4111" spans="1:17" hidden="1">
      <c r="A4111" s="390" t="str">
        <f t="shared" ref="A4111:B4111" si="12544">A4108</f>
        <v>Starch-blend</v>
      </c>
      <c r="B4111" s="391" t="str">
        <f t="shared" si="12544"/>
        <v>particle</v>
      </c>
      <c r="C4111" s="391">
        <f t="shared" ref="C4111" si="12545">C4110</f>
        <v>6</v>
      </c>
      <c r="D4111" s="391" t="str">
        <f t="shared" ref="D4111:E4111" si="12546">D4108</f>
        <v>0,1-1</v>
      </c>
      <c r="E4111" s="391">
        <f t="shared" si="12546"/>
        <v>1</v>
      </c>
      <c r="F4111" s="391" t="str">
        <f t="shared" ref="F4111:G4111" si="12547">F4110</f>
        <v>fresh water</v>
      </c>
      <c r="G4111" s="401" t="str">
        <f t="shared" si="12547"/>
        <v>DE: Starch-blend particle 0,1-1 mm (emission to fresh water)</v>
      </c>
      <c r="H4111" s="465">
        <v>0</v>
      </c>
      <c r="I4111" s="394" t="s">
        <v>1097</v>
      </c>
      <c r="J4111" s="635"/>
      <c r="K4111" s="389">
        <v>101.29025539691933</v>
      </c>
      <c r="L4111" s="536"/>
      <c r="M4111" s="509">
        <f t="shared" si="12527"/>
        <v>1.2340772516583247</v>
      </c>
      <c r="N4111" s="646"/>
      <c r="O4111" s="626"/>
      <c r="P4111" s="629"/>
      <c r="Q4111" s="629"/>
    </row>
    <row r="4112" spans="1:17" hidden="1">
      <c r="A4112" s="390" t="str">
        <f t="shared" ref="A4112:B4112" si="12548">A4109</f>
        <v>Starch-blend</v>
      </c>
      <c r="B4112" s="391" t="str">
        <f t="shared" si="12548"/>
        <v>particle</v>
      </c>
      <c r="C4112" s="391">
        <f t="shared" ref="C4112" si="12549">C4111</f>
        <v>6</v>
      </c>
      <c r="D4112" s="391" t="str">
        <f t="shared" ref="D4112:E4112" si="12550">D4109</f>
        <v>0,1-1</v>
      </c>
      <c r="E4112" s="391">
        <f t="shared" si="12550"/>
        <v>1</v>
      </c>
      <c r="F4112" s="391" t="str">
        <f t="shared" ref="F4112:G4112" si="12551">F4111</f>
        <v>fresh water</v>
      </c>
      <c r="G4112" s="401" t="str">
        <f t="shared" si="12551"/>
        <v>DE: Starch-blend particle 0,1-1 mm (emission to fresh water)</v>
      </c>
      <c r="H4112" s="465">
        <v>0.89</v>
      </c>
      <c r="I4112" s="394" t="s">
        <v>1162</v>
      </c>
      <c r="J4112" s="635"/>
      <c r="K4112" s="389">
        <v>42.74</v>
      </c>
      <c r="L4112" s="536"/>
      <c r="M4112" s="509">
        <f t="shared" si="12527"/>
        <v>2.924660739354235</v>
      </c>
      <c r="N4112" s="646"/>
      <c r="O4112" s="626"/>
      <c r="P4112" s="629"/>
      <c r="Q4112" s="629"/>
    </row>
    <row r="4113" spans="1:17" hidden="1">
      <c r="A4113" s="390" t="str">
        <f t="shared" ref="A4113:B4113" si="12552">A4110</f>
        <v>Starch-blend</v>
      </c>
      <c r="B4113" s="391" t="str">
        <f t="shared" si="12552"/>
        <v>particle</v>
      </c>
      <c r="C4113" s="391">
        <f t="shared" ref="C4113" si="12553">C4112</f>
        <v>6</v>
      </c>
      <c r="D4113" s="391" t="str">
        <f t="shared" ref="D4113:E4113" si="12554">D4110</f>
        <v>0,1-1</v>
      </c>
      <c r="E4113" s="391">
        <f t="shared" si="12554"/>
        <v>1</v>
      </c>
      <c r="F4113" s="391" t="str">
        <f t="shared" ref="F4113:G4113" si="12555">F4112</f>
        <v>fresh water</v>
      </c>
      <c r="G4113" s="401" t="str">
        <f t="shared" si="12555"/>
        <v>DE: Starch-blend particle 0,1-1 mm (emission to fresh water)</v>
      </c>
      <c r="H4113" s="465">
        <v>0.11</v>
      </c>
      <c r="I4113" s="394" t="s">
        <v>1163</v>
      </c>
      <c r="J4113" s="635"/>
      <c r="K4113" s="389">
        <v>42.74</v>
      </c>
      <c r="L4113" s="536"/>
      <c r="M4113" s="509">
        <f t="shared" si="12527"/>
        <v>2.924660739354235</v>
      </c>
      <c r="N4113" s="646"/>
      <c r="O4113" s="626"/>
      <c r="P4113" s="629"/>
      <c r="Q4113" s="629"/>
    </row>
    <row r="4114" spans="1:17" hidden="1">
      <c r="A4114" s="390" t="str">
        <f t="shared" ref="A4114:B4114" si="12556">A4111</f>
        <v>Starch-blend</v>
      </c>
      <c r="B4114" s="391" t="str">
        <f t="shared" si="12556"/>
        <v>particle</v>
      </c>
      <c r="C4114" s="391">
        <f t="shared" ref="C4114" si="12557">C4113</f>
        <v>6</v>
      </c>
      <c r="D4114" s="391" t="str">
        <f t="shared" ref="D4114:E4114" si="12558">D4111</f>
        <v>0,1-1</v>
      </c>
      <c r="E4114" s="391">
        <f t="shared" si="12558"/>
        <v>1</v>
      </c>
      <c r="F4114" s="402" t="str">
        <f>F4111</f>
        <v>fresh water</v>
      </c>
      <c r="G4114" s="401" t="str">
        <f t="shared" ref="G4114" si="12559">G4113</f>
        <v>DE: Starch-blend particle 0,1-1 mm (emission to fresh water)</v>
      </c>
      <c r="H4114" s="465">
        <v>0</v>
      </c>
      <c r="I4114" s="397" t="s">
        <v>1034</v>
      </c>
      <c r="J4114" s="654"/>
      <c r="K4114" s="398" t="s">
        <v>596</v>
      </c>
      <c r="L4114" s="538"/>
      <c r="M4114" s="509">
        <f t="shared" si="12527"/>
        <v>0</v>
      </c>
      <c r="N4114" s="647"/>
      <c r="O4114" s="627"/>
      <c r="P4114" s="629"/>
      <c r="Q4114" s="629"/>
    </row>
    <row r="4115" spans="1:17" hidden="1">
      <c r="A4115" s="390" t="str">
        <f t="shared" ref="A4115:B4115" si="12560">A4112</f>
        <v>Starch-blend</v>
      </c>
      <c r="B4115" s="391" t="str">
        <f t="shared" si="12560"/>
        <v>particle</v>
      </c>
      <c r="C4115" s="391">
        <f t="shared" ref="C4115" si="12561">C4114</f>
        <v>6</v>
      </c>
      <c r="D4115" s="391" t="str">
        <f t="shared" ref="D4115:E4115" si="12562">D4112</f>
        <v>0,1-1</v>
      </c>
      <c r="E4115" s="391">
        <f t="shared" si="12562"/>
        <v>1</v>
      </c>
      <c r="F4115" s="385" t="s">
        <v>1097</v>
      </c>
      <c r="G4115" s="422" t="str">
        <f>CONCATENATE("DE: ",A4115," ",B4115," ",D4115," mm (emission to ",F4115,")")</f>
        <v>DE: Starch-blend particle 0,1-1 mm (emission to marine water)</v>
      </c>
      <c r="H4115" s="467">
        <v>0</v>
      </c>
      <c r="I4115" s="388" t="s">
        <v>1019</v>
      </c>
      <c r="J4115" s="634">
        <v>0.22800000000000001</v>
      </c>
      <c r="K4115" s="389">
        <v>42.74</v>
      </c>
      <c r="L4115" s="536"/>
      <c r="M4115" s="509">
        <f t="shared" si="12527"/>
        <v>2.924660739354235</v>
      </c>
      <c r="N4115" s="645">
        <f t="shared" si="12393"/>
        <v>2.924660739354235</v>
      </c>
      <c r="O4115" s="625"/>
      <c r="P4115" s="628">
        <f t="shared" si="12410"/>
        <v>2.924660739354235</v>
      </c>
      <c r="Q4115" s="628">
        <f t="shared" ref="Q4115:Q4140" si="12563">IFERROR(IF(H4115*M4115+H4116*M4116+H4117*M4117+H4118*M4118+H4119*M4119&gt;500,500,H4115*M4115+H4116*M4116+H4117*M4117+H4118*M4118+H4119*M4119),"N.A.")</f>
        <v>2.924660739354235</v>
      </c>
    </row>
    <row r="4116" spans="1:17" hidden="1">
      <c r="A4116" s="390" t="str">
        <f t="shared" ref="A4116:B4116" si="12564">A4113</f>
        <v>Starch-blend</v>
      </c>
      <c r="B4116" s="391" t="str">
        <f t="shared" si="12564"/>
        <v>particle</v>
      </c>
      <c r="C4116" s="391">
        <f t="shared" ref="C4116" si="12565">C4115</f>
        <v>6</v>
      </c>
      <c r="D4116" s="391" t="str">
        <f t="shared" ref="D4116:E4116" si="12566">D4113</f>
        <v>0,1-1</v>
      </c>
      <c r="E4116" s="391">
        <f t="shared" si="12566"/>
        <v>1</v>
      </c>
      <c r="F4116" s="391" t="str">
        <f t="shared" ref="F4116:G4116" si="12567">F4115</f>
        <v>marine water</v>
      </c>
      <c r="G4116" s="401" t="str">
        <f t="shared" si="12567"/>
        <v>DE: Starch-blend particle 0,1-1 mm (emission to marine water)</v>
      </c>
      <c r="H4116" s="465">
        <v>0</v>
      </c>
      <c r="I4116" s="394" t="s">
        <v>1097</v>
      </c>
      <c r="J4116" s="635"/>
      <c r="K4116" s="389">
        <v>101.29025539691933</v>
      </c>
      <c r="L4116" s="536"/>
      <c r="M4116" s="509">
        <f t="shared" si="12527"/>
        <v>1.2340772516583247</v>
      </c>
      <c r="N4116" s="646"/>
      <c r="O4116" s="626"/>
      <c r="P4116" s="629"/>
      <c r="Q4116" s="629"/>
    </row>
    <row r="4117" spans="1:17" hidden="1">
      <c r="A4117" s="390" t="str">
        <f t="shared" ref="A4117:B4117" si="12568">A4114</f>
        <v>Starch-blend</v>
      </c>
      <c r="B4117" s="391" t="str">
        <f t="shared" si="12568"/>
        <v>particle</v>
      </c>
      <c r="C4117" s="391">
        <f t="shared" ref="C4117" si="12569">C4116</f>
        <v>6</v>
      </c>
      <c r="D4117" s="391" t="str">
        <f t="shared" ref="D4117:E4117" si="12570">D4114</f>
        <v>0,1-1</v>
      </c>
      <c r="E4117" s="391">
        <f t="shared" si="12570"/>
        <v>1</v>
      </c>
      <c r="F4117" s="391" t="str">
        <f t="shared" ref="F4117:G4117" si="12571">F4116</f>
        <v>marine water</v>
      </c>
      <c r="G4117" s="401" t="str">
        <f t="shared" si="12571"/>
        <v>DE: Starch-blend particle 0,1-1 mm (emission to marine water)</v>
      </c>
      <c r="H4117" s="465">
        <v>0</v>
      </c>
      <c r="I4117" s="394" t="s">
        <v>1162</v>
      </c>
      <c r="J4117" s="635"/>
      <c r="K4117" s="389">
        <v>42.74</v>
      </c>
      <c r="L4117" s="536"/>
      <c r="M4117" s="509">
        <f t="shared" si="12527"/>
        <v>2.924660739354235</v>
      </c>
      <c r="N4117" s="646"/>
      <c r="O4117" s="626"/>
      <c r="P4117" s="629"/>
      <c r="Q4117" s="629"/>
    </row>
    <row r="4118" spans="1:17" hidden="1">
      <c r="A4118" s="390" t="str">
        <f t="shared" ref="A4118:B4118" si="12572">A4115</f>
        <v>Starch-blend</v>
      </c>
      <c r="B4118" s="391" t="str">
        <f t="shared" si="12572"/>
        <v>particle</v>
      </c>
      <c r="C4118" s="391">
        <f t="shared" ref="C4118" si="12573">C4117</f>
        <v>6</v>
      </c>
      <c r="D4118" s="391" t="str">
        <f t="shared" ref="D4118:E4118" si="12574">D4115</f>
        <v>0,1-1</v>
      </c>
      <c r="E4118" s="391">
        <f t="shared" si="12574"/>
        <v>1</v>
      </c>
      <c r="F4118" s="391" t="str">
        <f t="shared" ref="F4118:G4118" si="12575">F4117</f>
        <v>marine water</v>
      </c>
      <c r="G4118" s="401" t="str">
        <f t="shared" si="12575"/>
        <v>DE: Starch-blend particle 0,1-1 mm (emission to marine water)</v>
      </c>
      <c r="H4118" s="465">
        <v>1</v>
      </c>
      <c r="I4118" s="394" t="s">
        <v>1163</v>
      </c>
      <c r="J4118" s="635"/>
      <c r="K4118" s="389">
        <v>42.74</v>
      </c>
      <c r="L4118" s="536"/>
      <c r="M4118" s="509">
        <f t="shared" si="12527"/>
        <v>2.924660739354235</v>
      </c>
      <c r="N4118" s="646"/>
      <c r="O4118" s="626"/>
      <c r="P4118" s="629"/>
      <c r="Q4118" s="629"/>
    </row>
    <row r="4119" spans="1:17" hidden="1">
      <c r="A4119" s="390" t="str">
        <f t="shared" ref="A4119:B4119" si="12576">A4116</f>
        <v>Starch-blend</v>
      </c>
      <c r="B4119" s="391" t="str">
        <f t="shared" si="12576"/>
        <v>particle</v>
      </c>
      <c r="C4119" s="391">
        <f t="shared" ref="C4119" si="12577">C4118</f>
        <v>6</v>
      </c>
      <c r="D4119" s="391" t="str">
        <f t="shared" ref="D4119:E4119" si="12578">D4116</f>
        <v>0,1-1</v>
      </c>
      <c r="E4119" s="391">
        <f t="shared" si="12578"/>
        <v>1</v>
      </c>
      <c r="F4119" s="391" t="str">
        <f t="shared" ref="F4119:G4119" si="12579">F4118</f>
        <v>marine water</v>
      </c>
      <c r="G4119" s="401" t="str">
        <f t="shared" si="12579"/>
        <v>DE: Starch-blend particle 0,1-1 mm (emission to marine water)</v>
      </c>
      <c r="H4119" s="465">
        <v>0</v>
      </c>
      <c r="I4119" s="397" t="s">
        <v>1034</v>
      </c>
      <c r="J4119" s="654"/>
      <c r="K4119" s="398" t="s">
        <v>596</v>
      </c>
      <c r="L4119" s="538"/>
      <c r="M4119" s="509">
        <f t="shared" si="12527"/>
        <v>0</v>
      </c>
      <c r="N4119" s="647"/>
      <c r="O4119" s="627"/>
      <c r="P4119" s="629"/>
      <c r="Q4119" s="629"/>
    </row>
    <row r="4120" spans="1:17" hidden="1">
      <c r="A4120" s="390" t="str">
        <f t="shared" ref="A4120:B4120" si="12580">A4117</f>
        <v>Starch-blend</v>
      </c>
      <c r="B4120" s="391" t="str">
        <f t="shared" si="12580"/>
        <v>particle</v>
      </c>
      <c r="C4120" s="391">
        <f t="shared" ref="C4120" si="12581">C4119</f>
        <v>6</v>
      </c>
      <c r="D4120" s="391" t="str">
        <f t="shared" ref="D4120:E4120" si="12582">D4117</f>
        <v>0,1-1</v>
      </c>
      <c r="E4120" s="391">
        <f t="shared" si="12582"/>
        <v>1</v>
      </c>
      <c r="F4120" s="400" t="s">
        <v>1057</v>
      </c>
      <c r="G4120" s="422" t="str">
        <f>CONCATENATE("DE: ",A4120," ",B4120," ",D4120," mm (emission to ",F4120,")")</f>
        <v>DE: Starch-blend particle 0,1-1 mm (emission to air)</v>
      </c>
      <c r="H4120" s="467">
        <v>0.94799999999999995</v>
      </c>
      <c r="I4120" s="388" t="s">
        <v>1019</v>
      </c>
      <c r="J4120" s="634">
        <v>0.22800000000000001</v>
      </c>
      <c r="K4120" s="389">
        <v>42.74</v>
      </c>
      <c r="L4120" s="536"/>
      <c r="M4120" s="509">
        <f t="shared" si="12527"/>
        <v>2.924660739354235</v>
      </c>
      <c r="N4120" s="645">
        <f t="shared" si="12393"/>
        <v>2.924660739354235</v>
      </c>
      <c r="O4120" s="625"/>
      <c r="P4120" s="628">
        <f t="shared" si="12410"/>
        <v>2.924660739354235</v>
      </c>
      <c r="Q4120" s="628">
        <f t="shared" si="12563"/>
        <v>2.924660739354235</v>
      </c>
    </row>
    <row r="4121" spans="1:17" hidden="1">
      <c r="A4121" s="390" t="str">
        <f t="shared" ref="A4121:B4121" si="12583">A4118</f>
        <v>Starch-blend</v>
      </c>
      <c r="B4121" s="391" t="str">
        <f t="shared" si="12583"/>
        <v>particle</v>
      </c>
      <c r="C4121" s="391">
        <f t="shared" ref="C4121" si="12584">C4120</f>
        <v>6</v>
      </c>
      <c r="D4121" s="391" t="str">
        <f t="shared" ref="D4121:E4121" si="12585">D4118</f>
        <v>0,1-1</v>
      </c>
      <c r="E4121" s="391">
        <f t="shared" si="12585"/>
        <v>1</v>
      </c>
      <c r="F4121" s="391" t="str">
        <f t="shared" ref="F4121:G4121" si="12586">F4120</f>
        <v>air</v>
      </c>
      <c r="G4121" s="401" t="str">
        <f t="shared" si="12586"/>
        <v>DE: Starch-blend particle 0,1-1 mm (emission to air)</v>
      </c>
      <c r="H4121" s="465">
        <v>0</v>
      </c>
      <c r="I4121" s="394" t="s">
        <v>1097</v>
      </c>
      <c r="J4121" s="635"/>
      <c r="K4121" s="389">
        <v>101.29025539691933</v>
      </c>
      <c r="L4121" s="536"/>
      <c r="M4121" s="509">
        <f t="shared" si="12527"/>
        <v>1.2340772516583247</v>
      </c>
      <c r="N4121" s="646"/>
      <c r="O4121" s="626"/>
      <c r="P4121" s="629"/>
      <c r="Q4121" s="629"/>
    </row>
    <row r="4122" spans="1:17" hidden="1">
      <c r="A4122" s="390" t="str">
        <f t="shared" ref="A4122:B4122" si="12587">A4119</f>
        <v>Starch-blend</v>
      </c>
      <c r="B4122" s="391" t="str">
        <f t="shared" si="12587"/>
        <v>particle</v>
      </c>
      <c r="C4122" s="391">
        <f t="shared" ref="C4122" si="12588">C4121</f>
        <v>6</v>
      </c>
      <c r="D4122" s="391" t="str">
        <f t="shared" ref="D4122:E4122" si="12589">D4119</f>
        <v>0,1-1</v>
      </c>
      <c r="E4122" s="391">
        <f t="shared" si="12589"/>
        <v>1</v>
      </c>
      <c r="F4122" s="391" t="str">
        <f t="shared" ref="F4122:G4122" si="12590">F4121</f>
        <v>air</v>
      </c>
      <c r="G4122" s="401" t="str">
        <f t="shared" si="12590"/>
        <v>DE: Starch-blend particle 0,1-1 mm (emission to air)</v>
      </c>
      <c r="H4122" s="465">
        <v>4.7E-2</v>
      </c>
      <c r="I4122" s="394" t="s">
        <v>1162</v>
      </c>
      <c r="J4122" s="635"/>
      <c r="K4122" s="389">
        <v>42.74</v>
      </c>
      <c r="L4122" s="536"/>
      <c r="M4122" s="509">
        <f t="shared" si="12527"/>
        <v>2.924660739354235</v>
      </c>
      <c r="N4122" s="646"/>
      <c r="O4122" s="626"/>
      <c r="P4122" s="629"/>
      <c r="Q4122" s="629"/>
    </row>
    <row r="4123" spans="1:17" hidden="1">
      <c r="A4123" s="390" t="str">
        <f t="shared" ref="A4123:B4123" si="12591">A4120</f>
        <v>Starch-blend</v>
      </c>
      <c r="B4123" s="391" t="str">
        <f t="shared" si="12591"/>
        <v>particle</v>
      </c>
      <c r="C4123" s="391">
        <f t="shared" ref="C4123" si="12592">C4122</f>
        <v>6</v>
      </c>
      <c r="D4123" s="391" t="str">
        <f t="shared" ref="D4123:E4123" si="12593">D4120</f>
        <v>0,1-1</v>
      </c>
      <c r="E4123" s="391">
        <f t="shared" si="12593"/>
        <v>1</v>
      </c>
      <c r="F4123" s="391" t="str">
        <f t="shared" ref="F4123:G4123" si="12594">F4122</f>
        <v>air</v>
      </c>
      <c r="G4123" s="401" t="str">
        <f t="shared" si="12594"/>
        <v>DE: Starch-blend particle 0,1-1 mm (emission to air)</v>
      </c>
      <c r="H4123" s="465">
        <v>5.0000000000000001E-3</v>
      </c>
      <c r="I4123" s="394" t="s">
        <v>1163</v>
      </c>
      <c r="J4123" s="635"/>
      <c r="K4123" s="389">
        <v>42.74</v>
      </c>
      <c r="L4123" s="536"/>
      <c r="M4123" s="509">
        <f t="shared" si="12527"/>
        <v>2.924660739354235</v>
      </c>
      <c r="N4123" s="646"/>
      <c r="O4123" s="626"/>
      <c r="P4123" s="629"/>
      <c r="Q4123" s="629"/>
    </row>
    <row r="4124" spans="1:17" ht="15.75" hidden="1" thickBot="1">
      <c r="A4124" s="452" t="str">
        <f t="shared" ref="A4124:B4124" si="12595">A4119</f>
        <v>Starch-blend</v>
      </c>
      <c r="B4124" s="453" t="str">
        <f t="shared" si="12595"/>
        <v>particle</v>
      </c>
      <c r="C4124" s="453">
        <f t="shared" ref="C4124" si="12596">C4123</f>
        <v>6</v>
      </c>
      <c r="D4124" s="453" t="str">
        <f t="shared" ref="D4124:E4124" si="12597">D4119</f>
        <v>0,1-1</v>
      </c>
      <c r="E4124" s="453">
        <f t="shared" si="12597"/>
        <v>1</v>
      </c>
      <c r="F4124" s="453" t="str">
        <f t="shared" ref="F4124:G4124" si="12598">F4123</f>
        <v>air</v>
      </c>
      <c r="G4124" s="454" t="str">
        <f t="shared" si="12598"/>
        <v>DE: Starch-blend particle 0,1-1 mm (emission to air)</v>
      </c>
      <c r="H4124" s="473">
        <v>0</v>
      </c>
      <c r="I4124" s="456" t="s">
        <v>1034</v>
      </c>
      <c r="J4124" s="636"/>
      <c r="K4124" s="457" t="s">
        <v>596</v>
      </c>
      <c r="L4124" s="543"/>
      <c r="M4124" s="509">
        <f t="shared" si="12527"/>
        <v>0</v>
      </c>
      <c r="N4124" s="647"/>
      <c r="O4124" s="627"/>
      <c r="P4124" s="629"/>
      <c r="Q4124" s="629"/>
    </row>
    <row r="4125" spans="1:17" hidden="1">
      <c r="A4125" s="405" t="s">
        <v>1059</v>
      </c>
      <c r="B4125" s="406" t="s">
        <v>1152</v>
      </c>
      <c r="C4125" s="407">
        <v>6</v>
      </c>
      <c r="D4125" s="423" t="s">
        <v>1026</v>
      </c>
      <c r="E4125" s="408">
        <v>10</v>
      </c>
      <c r="F4125" s="424" t="s">
        <v>1019</v>
      </c>
      <c r="G4125" s="425" t="str">
        <f>CONCATENATE("DE: ",A4125," ",B4125," ",D4125," mm (emission to ",F4125,")")</f>
        <v>DE: Starch-blend particle 1-10 mm (emission to soil)</v>
      </c>
      <c r="H4125" s="474">
        <v>0.97</v>
      </c>
      <c r="I4125" s="427" t="s">
        <v>1019</v>
      </c>
      <c r="J4125" s="632">
        <v>0.22800000000000001</v>
      </c>
      <c r="K4125" s="428">
        <v>42.74</v>
      </c>
      <c r="L4125" s="539"/>
      <c r="M4125" s="509">
        <f t="shared" si="12527"/>
        <v>29.246607393542348</v>
      </c>
      <c r="N4125" s="645">
        <f t="shared" ref="N4125:N4140" si="12599">IFERROR(H4125*M4125+H4126*M4126+H4127*M4127+H4128*M4128+H4129*M4129,"N.A.")</f>
        <v>29.246607393542348</v>
      </c>
      <c r="O4125" s="625"/>
      <c r="P4125" s="628">
        <f t="shared" si="12410"/>
        <v>29.246607393542348</v>
      </c>
      <c r="Q4125" s="628">
        <f t="shared" si="12563"/>
        <v>29.246607393542348</v>
      </c>
    </row>
    <row r="4126" spans="1:17" hidden="1">
      <c r="A4126" s="390" t="str">
        <f>A4125</f>
        <v>Starch-blend</v>
      </c>
      <c r="B4126" s="391" t="str">
        <f>B4125</f>
        <v>particle</v>
      </c>
      <c r="C4126" s="391">
        <f t="shared" ref="C4126:G4126" si="12600">C4125</f>
        <v>6</v>
      </c>
      <c r="D4126" s="391" t="str">
        <f t="shared" si="12600"/>
        <v>1-10</v>
      </c>
      <c r="E4126" s="391">
        <f t="shared" si="12600"/>
        <v>10</v>
      </c>
      <c r="F4126" s="391" t="str">
        <f t="shared" si="12600"/>
        <v>soil</v>
      </c>
      <c r="G4126" s="392" t="str">
        <f t="shared" si="12600"/>
        <v>DE: Starch-blend particle 1-10 mm (emission to soil)</v>
      </c>
      <c r="H4126" s="465">
        <v>0</v>
      </c>
      <c r="I4126" s="394" t="s">
        <v>1097</v>
      </c>
      <c r="J4126" s="632"/>
      <c r="K4126" s="395">
        <v>101.29025539691933</v>
      </c>
      <c r="L4126" s="537"/>
      <c r="M4126" s="509">
        <f t="shared" si="12527"/>
        <v>12.340772516583247</v>
      </c>
      <c r="N4126" s="646"/>
      <c r="O4126" s="626"/>
      <c r="P4126" s="629"/>
      <c r="Q4126" s="629"/>
    </row>
    <row r="4127" spans="1:17" hidden="1">
      <c r="A4127" s="390" t="str">
        <f t="shared" ref="A4127:G4127" si="12601">A4126</f>
        <v>Starch-blend</v>
      </c>
      <c r="B4127" s="391" t="str">
        <f t="shared" si="12601"/>
        <v>particle</v>
      </c>
      <c r="C4127" s="391">
        <f t="shared" si="12601"/>
        <v>6</v>
      </c>
      <c r="D4127" s="391" t="str">
        <f t="shared" si="12601"/>
        <v>1-10</v>
      </c>
      <c r="E4127" s="391">
        <f t="shared" si="12601"/>
        <v>10</v>
      </c>
      <c r="F4127" s="391" t="str">
        <f t="shared" si="12601"/>
        <v>soil</v>
      </c>
      <c r="G4127" s="392" t="str">
        <f t="shared" si="12601"/>
        <v>DE: Starch-blend particle 1-10 mm (emission to soil)</v>
      </c>
      <c r="H4127" s="465">
        <v>2.7E-2</v>
      </c>
      <c r="I4127" s="394" t="s">
        <v>1162</v>
      </c>
      <c r="J4127" s="632"/>
      <c r="K4127" s="395">
        <v>42.74</v>
      </c>
      <c r="L4127" s="537"/>
      <c r="M4127" s="509">
        <f t="shared" si="12527"/>
        <v>29.246607393542348</v>
      </c>
      <c r="N4127" s="646"/>
      <c r="O4127" s="626"/>
      <c r="P4127" s="629"/>
      <c r="Q4127" s="629"/>
    </row>
    <row r="4128" spans="1:17" hidden="1">
      <c r="A4128" s="390" t="str">
        <f t="shared" ref="A4128:G4128" si="12602">A4127</f>
        <v>Starch-blend</v>
      </c>
      <c r="B4128" s="391" t="str">
        <f t="shared" si="12602"/>
        <v>particle</v>
      </c>
      <c r="C4128" s="391">
        <f t="shared" si="12602"/>
        <v>6</v>
      </c>
      <c r="D4128" s="391" t="str">
        <f t="shared" si="12602"/>
        <v>1-10</v>
      </c>
      <c r="E4128" s="391">
        <f t="shared" si="12602"/>
        <v>10</v>
      </c>
      <c r="F4128" s="391" t="str">
        <f t="shared" si="12602"/>
        <v>soil</v>
      </c>
      <c r="G4128" s="392" t="str">
        <f t="shared" si="12602"/>
        <v>DE: Starch-blend particle 1-10 mm (emission to soil)</v>
      </c>
      <c r="H4128" s="465">
        <v>3.0000000000000001E-3</v>
      </c>
      <c r="I4128" s="394" t="s">
        <v>1163</v>
      </c>
      <c r="J4128" s="632"/>
      <c r="K4128" s="395">
        <v>42.74</v>
      </c>
      <c r="L4128" s="537"/>
      <c r="M4128" s="509">
        <f t="shared" si="12527"/>
        <v>29.246607393542348</v>
      </c>
      <c r="N4128" s="646"/>
      <c r="O4128" s="626"/>
      <c r="P4128" s="629"/>
      <c r="Q4128" s="629"/>
    </row>
    <row r="4129" spans="1:17" hidden="1">
      <c r="A4129" s="390" t="str">
        <f>A4126</f>
        <v>Starch-blend</v>
      </c>
      <c r="B4129" s="391" t="str">
        <f>B4126</f>
        <v>particle</v>
      </c>
      <c r="C4129" s="391">
        <f t="shared" ref="C4129" si="12603">C4128</f>
        <v>6</v>
      </c>
      <c r="D4129" s="391" t="str">
        <f>D4126</f>
        <v>1-10</v>
      </c>
      <c r="E4129" s="391">
        <f>E4126</f>
        <v>10</v>
      </c>
      <c r="F4129" s="391" t="str">
        <f>F4126</f>
        <v>soil</v>
      </c>
      <c r="G4129" s="396" t="str">
        <f t="shared" ref="G4129" si="12604">G4128</f>
        <v>DE: Starch-blend particle 1-10 mm (emission to soil)</v>
      </c>
      <c r="H4129" s="465">
        <v>0</v>
      </c>
      <c r="I4129" s="397" t="s">
        <v>1034</v>
      </c>
      <c r="J4129" s="633"/>
      <c r="K4129" s="398" t="s">
        <v>596</v>
      </c>
      <c r="L4129" s="538"/>
      <c r="M4129" s="509">
        <f t="shared" si="12527"/>
        <v>0</v>
      </c>
      <c r="N4129" s="647"/>
      <c r="O4129" s="627"/>
      <c r="P4129" s="629"/>
      <c r="Q4129" s="629"/>
    </row>
    <row r="4130" spans="1:17" hidden="1">
      <c r="A4130" s="390" t="str">
        <f t="shared" ref="A4130:B4130" si="12605">A4127</f>
        <v>Starch-blend</v>
      </c>
      <c r="B4130" s="391" t="str">
        <f t="shared" si="12605"/>
        <v>particle</v>
      </c>
      <c r="C4130" s="391">
        <f t="shared" ref="C4130" si="12606">C4129</f>
        <v>6</v>
      </c>
      <c r="D4130" s="399" t="str">
        <f t="shared" ref="D4130:E4130" si="12607">D4127</f>
        <v>1-10</v>
      </c>
      <c r="E4130" s="391">
        <f t="shared" si="12607"/>
        <v>10</v>
      </c>
      <c r="F4130" s="400" t="s">
        <v>1147</v>
      </c>
      <c r="G4130" s="386" t="str">
        <f>CONCATENATE("DE: ",A4130," ",B4130," ",D4130," mm (emission to ",F4130,")")</f>
        <v>DE: Starch-blend particle 1-10 mm (emission to fresh water)</v>
      </c>
      <c r="H4130" s="466">
        <v>0</v>
      </c>
      <c r="I4130" s="388" t="s">
        <v>1019</v>
      </c>
      <c r="J4130" s="634">
        <v>0.22800000000000001</v>
      </c>
      <c r="K4130" s="389">
        <v>42.74</v>
      </c>
      <c r="L4130" s="536"/>
      <c r="M4130" s="509">
        <f t="shared" si="12527"/>
        <v>29.246607393542348</v>
      </c>
      <c r="N4130" s="645">
        <f t="shared" si="12599"/>
        <v>29.246607393542348</v>
      </c>
      <c r="O4130" s="625"/>
      <c r="P4130" s="628">
        <f t="shared" ref="P4130:P4140" si="12608">IFERROR(IF(H4130*M4130+H4131*M4131+H4132*M4132+H4133*M4133+H4134*M4134&gt;100,100,H4130*M4130+H4131*M4131+H4132*M4132+H4133*M4133+H4134*M4134),"N.A.")</f>
        <v>29.246607393542348</v>
      </c>
      <c r="Q4130" s="628">
        <f t="shared" si="12563"/>
        <v>29.246607393542348</v>
      </c>
    </row>
    <row r="4131" spans="1:17" hidden="1">
      <c r="A4131" s="390" t="str">
        <f t="shared" ref="A4131:B4131" si="12609">A4128</f>
        <v>Starch-blend</v>
      </c>
      <c r="B4131" s="391" t="str">
        <f t="shared" si="12609"/>
        <v>particle</v>
      </c>
      <c r="C4131" s="391">
        <f t="shared" ref="C4131" si="12610">C4130</f>
        <v>6</v>
      </c>
      <c r="D4131" s="391" t="str">
        <f t="shared" ref="D4131:E4131" si="12611">D4128</f>
        <v>1-10</v>
      </c>
      <c r="E4131" s="391">
        <f t="shared" si="12611"/>
        <v>10</v>
      </c>
      <c r="F4131" s="391" t="str">
        <f t="shared" ref="F4131:G4131" si="12612">F4130</f>
        <v>fresh water</v>
      </c>
      <c r="G4131" s="401" t="str">
        <f t="shared" si="12612"/>
        <v>DE: Starch-blend particle 1-10 mm (emission to fresh water)</v>
      </c>
      <c r="H4131" s="465">
        <v>0</v>
      </c>
      <c r="I4131" s="394" t="s">
        <v>1097</v>
      </c>
      <c r="J4131" s="635"/>
      <c r="K4131" s="389">
        <v>101.29025539691933</v>
      </c>
      <c r="L4131" s="536"/>
      <c r="M4131" s="509">
        <f t="shared" si="12527"/>
        <v>12.340772516583247</v>
      </c>
      <c r="N4131" s="646"/>
      <c r="O4131" s="626"/>
      <c r="P4131" s="629"/>
      <c r="Q4131" s="629"/>
    </row>
    <row r="4132" spans="1:17" hidden="1">
      <c r="A4132" s="390" t="str">
        <f t="shared" ref="A4132:B4132" si="12613">A4129</f>
        <v>Starch-blend</v>
      </c>
      <c r="B4132" s="391" t="str">
        <f t="shared" si="12613"/>
        <v>particle</v>
      </c>
      <c r="C4132" s="391">
        <f t="shared" ref="C4132" si="12614">C4131</f>
        <v>6</v>
      </c>
      <c r="D4132" s="391" t="str">
        <f t="shared" ref="D4132:E4132" si="12615">D4129</f>
        <v>1-10</v>
      </c>
      <c r="E4132" s="391">
        <f t="shared" si="12615"/>
        <v>10</v>
      </c>
      <c r="F4132" s="391" t="str">
        <f t="shared" ref="F4132:G4132" si="12616">F4131</f>
        <v>fresh water</v>
      </c>
      <c r="G4132" s="401" t="str">
        <f t="shared" si="12616"/>
        <v>DE: Starch-blend particle 1-10 mm (emission to fresh water)</v>
      </c>
      <c r="H4132" s="465">
        <v>0.89</v>
      </c>
      <c r="I4132" s="394" t="s">
        <v>1162</v>
      </c>
      <c r="J4132" s="635"/>
      <c r="K4132" s="389">
        <v>42.74</v>
      </c>
      <c r="L4132" s="536"/>
      <c r="M4132" s="509">
        <f t="shared" si="12527"/>
        <v>29.246607393542348</v>
      </c>
      <c r="N4132" s="646"/>
      <c r="O4132" s="626"/>
      <c r="P4132" s="629"/>
      <c r="Q4132" s="629"/>
    </row>
    <row r="4133" spans="1:17" hidden="1">
      <c r="A4133" s="390" t="str">
        <f t="shared" ref="A4133:B4133" si="12617">A4130</f>
        <v>Starch-blend</v>
      </c>
      <c r="B4133" s="391" t="str">
        <f t="shared" si="12617"/>
        <v>particle</v>
      </c>
      <c r="C4133" s="391">
        <f t="shared" ref="C4133" si="12618">C4132</f>
        <v>6</v>
      </c>
      <c r="D4133" s="391" t="str">
        <f t="shared" ref="D4133:E4133" si="12619">D4130</f>
        <v>1-10</v>
      </c>
      <c r="E4133" s="391">
        <f t="shared" si="12619"/>
        <v>10</v>
      </c>
      <c r="F4133" s="391" t="str">
        <f t="shared" ref="F4133:G4133" si="12620">F4132</f>
        <v>fresh water</v>
      </c>
      <c r="G4133" s="401" t="str">
        <f t="shared" si="12620"/>
        <v>DE: Starch-blend particle 1-10 mm (emission to fresh water)</v>
      </c>
      <c r="H4133" s="465">
        <v>0.11</v>
      </c>
      <c r="I4133" s="394" t="s">
        <v>1163</v>
      </c>
      <c r="J4133" s="635"/>
      <c r="K4133" s="389">
        <v>42.74</v>
      </c>
      <c r="L4133" s="536"/>
      <c r="M4133" s="509">
        <f t="shared" si="12527"/>
        <v>29.246607393542348</v>
      </c>
      <c r="N4133" s="646"/>
      <c r="O4133" s="626"/>
      <c r="P4133" s="629"/>
      <c r="Q4133" s="629"/>
    </row>
    <row r="4134" spans="1:17" hidden="1">
      <c r="A4134" s="390" t="str">
        <f t="shared" ref="A4134:B4134" si="12621">A4131</f>
        <v>Starch-blend</v>
      </c>
      <c r="B4134" s="391" t="str">
        <f t="shared" si="12621"/>
        <v>particle</v>
      </c>
      <c r="C4134" s="391">
        <f t="shared" ref="C4134" si="12622">C4133</f>
        <v>6</v>
      </c>
      <c r="D4134" s="391" t="str">
        <f t="shared" ref="D4134:E4134" si="12623">D4131</f>
        <v>1-10</v>
      </c>
      <c r="E4134" s="391">
        <f t="shared" si="12623"/>
        <v>10</v>
      </c>
      <c r="F4134" s="402" t="str">
        <f>F4131</f>
        <v>fresh water</v>
      </c>
      <c r="G4134" s="401" t="str">
        <f t="shared" ref="G4134" si="12624">G4133</f>
        <v>DE: Starch-blend particle 1-10 mm (emission to fresh water)</v>
      </c>
      <c r="H4134" s="465">
        <v>0</v>
      </c>
      <c r="I4134" s="397" t="s">
        <v>1034</v>
      </c>
      <c r="J4134" s="654"/>
      <c r="K4134" s="398" t="s">
        <v>596</v>
      </c>
      <c r="L4134" s="538"/>
      <c r="M4134" s="509">
        <f t="shared" si="12527"/>
        <v>0</v>
      </c>
      <c r="N4134" s="647"/>
      <c r="O4134" s="627"/>
      <c r="P4134" s="629"/>
      <c r="Q4134" s="629"/>
    </row>
    <row r="4135" spans="1:17" hidden="1">
      <c r="A4135" s="390" t="str">
        <f t="shared" ref="A4135:B4135" si="12625">A4132</f>
        <v>Starch-blend</v>
      </c>
      <c r="B4135" s="391" t="str">
        <f t="shared" si="12625"/>
        <v>particle</v>
      </c>
      <c r="C4135" s="391">
        <f t="shared" ref="C4135" si="12626">C4134</f>
        <v>6</v>
      </c>
      <c r="D4135" s="391" t="str">
        <f t="shared" ref="D4135:E4135" si="12627">D4132</f>
        <v>1-10</v>
      </c>
      <c r="E4135" s="391">
        <f t="shared" si="12627"/>
        <v>10</v>
      </c>
      <c r="F4135" s="385" t="s">
        <v>1097</v>
      </c>
      <c r="G4135" s="422" t="str">
        <f>CONCATENATE("DE: ",A4135," ",B4135," ",D4135," mm (emission to ",F4135,")")</f>
        <v>DE: Starch-blend particle 1-10 mm (emission to marine water)</v>
      </c>
      <c r="H4135" s="467">
        <v>0</v>
      </c>
      <c r="I4135" s="388" t="s">
        <v>1019</v>
      </c>
      <c r="J4135" s="634">
        <v>0.22800000000000001</v>
      </c>
      <c r="K4135" s="389">
        <v>42.74</v>
      </c>
      <c r="L4135" s="536"/>
      <c r="M4135" s="509">
        <f t="shared" si="12527"/>
        <v>29.246607393542348</v>
      </c>
      <c r="N4135" s="645">
        <f t="shared" si="12599"/>
        <v>29.246607393542348</v>
      </c>
      <c r="O4135" s="625"/>
      <c r="P4135" s="628">
        <f t="shared" si="12608"/>
        <v>29.246607393542348</v>
      </c>
      <c r="Q4135" s="628">
        <f t="shared" si="12563"/>
        <v>29.246607393542348</v>
      </c>
    </row>
    <row r="4136" spans="1:17" hidden="1">
      <c r="A4136" s="390" t="str">
        <f t="shared" ref="A4136:B4136" si="12628">A4133</f>
        <v>Starch-blend</v>
      </c>
      <c r="B4136" s="391" t="str">
        <f t="shared" si="12628"/>
        <v>particle</v>
      </c>
      <c r="C4136" s="391">
        <f t="shared" ref="C4136" si="12629">C4135</f>
        <v>6</v>
      </c>
      <c r="D4136" s="391" t="str">
        <f t="shared" ref="D4136:E4136" si="12630">D4133</f>
        <v>1-10</v>
      </c>
      <c r="E4136" s="391">
        <f t="shared" si="12630"/>
        <v>10</v>
      </c>
      <c r="F4136" s="391" t="str">
        <f t="shared" ref="F4136:G4136" si="12631">F4135</f>
        <v>marine water</v>
      </c>
      <c r="G4136" s="401" t="str">
        <f t="shared" si="12631"/>
        <v>DE: Starch-blend particle 1-10 mm (emission to marine water)</v>
      </c>
      <c r="H4136" s="465">
        <v>0</v>
      </c>
      <c r="I4136" s="394" t="s">
        <v>1097</v>
      </c>
      <c r="J4136" s="635"/>
      <c r="K4136" s="389">
        <v>101.29025539691933</v>
      </c>
      <c r="L4136" s="536"/>
      <c r="M4136" s="509">
        <f t="shared" si="12527"/>
        <v>12.340772516583247</v>
      </c>
      <c r="N4136" s="646"/>
      <c r="O4136" s="626"/>
      <c r="P4136" s="629"/>
      <c r="Q4136" s="629"/>
    </row>
    <row r="4137" spans="1:17" hidden="1">
      <c r="A4137" s="390" t="str">
        <f t="shared" ref="A4137:B4137" si="12632">A4134</f>
        <v>Starch-blend</v>
      </c>
      <c r="B4137" s="391" t="str">
        <f t="shared" si="12632"/>
        <v>particle</v>
      </c>
      <c r="C4137" s="391">
        <f t="shared" ref="C4137" si="12633">C4136</f>
        <v>6</v>
      </c>
      <c r="D4137" s="391" t="str">
        <f t="shared" ref="D4137:E4137" si="12634">D4134</f>
        <v>1-10</v>
      </c>
      <c r="E4137" s="391">
        <f t="shared" si="12634"/>
        <v>10</v>
      </c>
      <c r="F4137" s="391" t="str">
        <f t="shared" ref="F4137:G4137" si="12635">F4136</f>
        <v>marine water</v>
      </c>
      <c r="G4137" s="401" t="str">
        <f t="shared" si="12635"/>
        <v>DE: Starch-blend particle 1-10 mm (emission to marine water)</v>
      </c>
      <c r="H4137" s="465">
        <v>0</v>
      </c>
      <c r="I4137" s="394" t="s">
        <v>1162</v>
      </c>
      <c r="J4137" s="635"/>
      <c r="K4137" s="389">
        <v>42.74</v>
      </c>
      <c r="L4137" s="536"/>
      <c r="M4137" s="509">
        <f t="shared" si="12527"/>
        <v>29.246607393542348</v>
      </c>
      <c r="N4137" s="646"/>
      <c r="O4137" s="626"/>
      <c r="P4137" s="629"/>
      <c r="Q4137" s="629"/>
    </row>
    <row r="4138" spans="1:17" hidden="1">
      <c r="A4138" s="390" t="str">
        <f t="shared" ref="A4138:B4138" si="12636">A4135</f>
        <v>Starch-blend</v>
      </c>
      <c r="B4138" s="391" t="str">
        <f t="shared" si="12636"/>
        <v>particle</v>
      </c>
      <c r="C4138" s="391">
        <f t="shared" ref="C4138" si="12637">C4137</f>
        <v>6</v>
      </c>
      <c r="D4138" s="391" t="str">
        <f t="shared" ref="D4138:E4138" si="12638">D4135</f>
        <v>1-10</v>
      </c>
      <c r="E4138" s="391">
        <f t="shared" si="12638"/>
        <v>10</v>
      </c>
      <c r="F4138" s="391" t="str">
        <f t="shared" ref="F4138:G4138" si="12639">F4137</f>
        <v>marine water</v>
      </c>
      <c r="G4138" s="401" t="str">
        <f t="shared" si="12639"/>
        <v>DE: Starch-blend particle 1-10 mm (emission to marine water)</v>
      </c>
      <c r="H4138" s="465">
        <v>1</v>
      </c>
      <c r="I4138" s="394" t="s">
        <v>1163</v>
      </c>
      <c r="J4138" s="635"/>
      <c r="K4138" s="389">
        <v>42.74</v>
      </c>
      <c r="L4138" s="536"/>
      <c r="M4138" s="509">
        <f t="shared" si="12527"/>
        <v>29.246607393542348</v>
      </c>
      <c r="N4138" s="646"/>
      <c r="O4138" s="626"/>
      <c r="P4138" s="629"/>
      <c r="Q4138" s="629"/>
    </row>
    <row r="4139" spans="1:17" hidden="1">
      <c r="A4139" s="390" t="str">
        <f t="shared" ref="A4139:B4139" si="12640">A4136</f>
        <v>Starch-blend</v>
      </c>
      <c r="B4139" s="391" t="str">
        <f t="shared" si="12640"/>
        <v>particle</v>
      </c>
      <c r="C4139" s="391">
        <f t="shared" ref="C4139" si="12641">C4138</f>
        <v>6</v>
      </c>
      <c r="D4139" s="391" t="str">
        <f t="shared" ref="D4139:E4139" si="12642">D4136</f>
        <v>1-10</v>
      </c>
      <c r="E4139" s="391">
        <f t="shared" si="12642"/>
        <v>10</v>
      </c>
      <c r="F4139" s="391" t="str">
        <f t="shared" ref="F4139:G4139" si="12643">F4138</f>
        <v>marine water</v>
      </c>
      <c r="G4139" s="401" t="str">
        <f t="shared" si="12643"/>
        <v>DE: Starch-blend particle 1-10 mm (emission to marine water)</v>
      </c>
      <c r="H4139" s="465">
        <v>0</v>
      </c>
      <c r="I4139" s="397" t="s">
        <v>1034</v>
      </c>
      <c r="J4139" s="654"/>
      <c r="K4139" s="398" t="s">
        <v>596</v>
      </c>
      <c r="L4139" s="538"/>
      <c r="M4139" s="509">
        <f t="shared" si="12527"/>
        <v>0</v>
      </c>
      <c r="N4139" s="647"/>
      <c r="O4139" s="627"/>
      <c r="P4139" s="629"/>
      <c r="Q4139" s="629"/>
    </row>
    <row r="4140" spans="1:17" hidden="1">
      <c r="A4140" s="390" t="str">
        <f t="shared" ref="A4140:B4140" si="12644">A4137</f>
        <v>Starch-blend</v>
      </c>
      <c r="B4140" s="391" t="str">
        <f t="shared" si="12644"/>
        <v>particle</v>
      </c>
      <c r="C4140" s="391">
        <f t="shared" ref="C4140" si="12645">C4139</f>
        <v>6</v>
      </c>
      <c r="D4140" s="391" t="str">
        <f t="shared" ref="D4140:E4140" si="12646">D4137</f>
        <v>1-10</v>
      </c>
      <c r="E4140" s="391">
        <f t="shared" si="12646"/>
        <v>10</v>
      </c>
      <c r="F4140" s="400" t="s">
        <v>1057</v>
      </c>
      <c r="G4140" s="422" t="str">
        <f>CONCATENATE("DE: ",A4140," ",B4140," ",D4140," mm (emission to ",F4140,")")</f>
        <v>DE: Starch-blend particle 1-10 mm (emission to air)</v>
      </c>
      <c r="H4140" s="467">
        <v>0.94799999999999995</v>
      </c>
      <c r="I4140" s="388" t="s">
        <v>1019</v>
      </c>
      <c r="J4140" s="634">
        <v>0.22800000000000001</v>
      </c>
      <c r="K4140" s="389">
        <v>42.74</v>
      </c>
      <c r="L4140" s="536"/>
      <c r="M4140" s="509">
        <f t="shared" si="12527"/>
        <v>29.246607393542348</v>
      </c>
      <c r="N4140" s="645">
        <f t="shared" si="12599"/>
        <v>29.246607393542345</v>
      </c>
      <c r="O4140" s="625"/>
      <c r="P4140" s="628">
        <f t="shared" si="12608"/>
        <v>29.246607393542345</v>
      </c>
      <c r="Q4140" s="628">
        <f t="shared" si="12563"/>
        <v>29.246607393542345</v>
      </c>
    </row>
    <row r="4141" spans="1:17" hidden="1">
      <c r="A4141" s="390" t="str">
        <f t="shared" ref="A4141:B4141" si="12647">A4138</f>
        <v>Starch-blend</v>
      </c>
      <c r="B4141" s="391" t="str">
        <f t="shared" si="12647"/>
        <v>particle</v>
      </c>
      <c r="C4141" s="391">
        <f t="shared" ref="C4141" si="12648">C4140</f>
        <v>6</v>
      </c>
      <c r="D4141" s="391" t="str">
        <f t="shared" ref="D4141:E4141" si="12649">D4138</f>
        <v>1-10</v>
      </c>
      <c r="E4141" s="391">
        <f t="shared" si="12649"/>
        <v>10</v>
      </c>
      <c r="F4141" s="391" t="str">
        <f t="shared" ref="F4141:G4141" si="12650">F4140</f>
        <v>air</v>
      </c>
      <c r="G4141" s="401" t="str">
        <f t="shared" si="12650"/>
        <v>DE: Starch-blend particle 1-10 mm (emission to air)</v>
      </c>
      <c r="H4141" s="465">
        <v>0</v>
      </c>
      <c r="I4141" s="394" t="s">
        <v>1097</v>
      </c>
      <c r="J4141" s="635"/>
      <c r="K4141" s="389">
        <v>101.29025539691933</v>
      </c>
      <c r="L4141" s="536"/>
      <c r="M4141" s="509">
        <f t="shared" si="12527"/>
        <v>12.340772516583247</v>
      </c>
      <c r="N4141" s="646"/>
      <c r="O4141" s="626"/>
      <c r="P4141" s="629"/>
      <c r="Q4141" s="629"/>
    </row>
    <row r="4142" spans="1:17" hidden="1">
      <c r="A4142" s="390" t="str">
        <f t="shared" ref="A4142:B4142" si="12651">A4139</f>
        <v>Starch-blend</v>
      </c>
      <c r="B4142" s="391" t="str">
        <f t="shared" si="12651"/>
        <v>particle</v>
      </c>
      <c r="C4142" s="391">
        <f t="shared" ref="C4142" si="12652">C4141</f>
        <v>6</v>
      </c>
      <c r="D4142" s="391" t="str">
        <f t="shared" ref="D4142:E4142" si="12653">D4139</f>
        <v>1-10</v>
      </c>
      <c r="E4142" s="391">
        <f t="shared" si="12653"/>
        <v>10</v>
      </c>
      <c r="F4142" s="391" t="str">
        <f t="shared" ref="F4142:G4142" si="12654">F4141</f>
        <v>air</v>
      </c>
      <c r="G4142" s="401" t="str">
        <f t="shared" si="12654"/>
        <v>DE: Starch-blend particle 1-10 mm (emission to air)</v>
      </c>
      <c r="H4142" s="465">
        <v>4.7E-2</v>
      </c>
      <c r="I4142" s="394" t="s">
        <v>1162</v>
      </c>
      <c r="J4142" s="635"/>
      <c r="K4142" s="389">
        <v>42.74</v>
      </c>
      <c r="L4142" s="536"/>
      <c r="M4142" s="509">
        <f t="shared" si="12527"/>
        <v>29.246607393542348</v>
      </c>
      <c r="N4142" s="646"/>
      <c r="O4142" s="626"/>
      <c r="P4142" s="629"/>
      <c r="Q4142" s="629"/>
    </row>
    <row r="4143" spans="1:17" hidden="1">
      <c r="A4143" s="390" t="str">
        <f t="shared" ref="A4143:B4143" si="12655">A4140</f>
        <v>Starch-blend</v>
      </c>
      <c r="B4143" s="391" t="str">
        <f t="shared" si="12655"/>
        <v>particle</v>
      </c>
      <c r="C4143" s="391">
        <f t="shared" ref="C4143" si="12656">C4142</f>
        <v>6</v>
      </c>
      <c r="D4143" s="391" t="str">
        <f t="shared" ref="D4143:E4143" si="12657">D4140</f>
        <v>1-10</v>
      </c>
      <c r="E4143" s="391">
        <f t="shared" si="12657"/>
        <v>10</v>
      </c>
      <c r="F4143" s="391" t="str">
        <f t="shared" ref="F4143:G4143" si="12658">F4142</f>
        <v>air</v>
      </c>
      <c r="G4143" s="401" t="str">
        <f t="shared" si="12658"/>
        <v>DE: Starch-blend particle 1-10 mm (emission to air)</v>
      </c>
      <c r="H4143" s="465">
        <v>5.0000000000000001E-3</v>
      </c>
      <c r="I4143" s="394" t="s">
        <v>1163</v>
      </c>
      <c r="J4143" s="635"/>
      <c r="K4143" s="389">
        <v>42.74</v>
      </c>
      <c r="L4143" s="536"/>
      <c r="M4143" s="509">
        <f t="shared" si="12527"/>
        <v>29.246607393542348</v>
      </c>
      <c r="N4143" s="646"/>
      <c r="O4143" s="626"/>
      <c r="P4143" s="629"/>
      <c r="Q4143" s="629"/>
    </row>
    <row r="4144" spans="1:17" ht="15.75" hidden="1" thickBot="1">
      <c r="A4144" s="452" t="str">
        <f t="shared" ref="A4144:B4144" si="12659">A4139</f>
        <v>Starch-blend</v>
      </c>
      <c r="B4144" s="453" t="str">
        <f t="shared" si="12659"/>
        <v>particle</v>
      </c>
      <c r="C4144" s="453">
        <f t="shared" ref="C4144" si="12660">C4143</f>
        <v>6</v>
      </c>
      <c r="D4144" s="453" t="str">
        <f t="shared" ref="D4144:E4144" si="12661">D4139</f>
        <v>1-10</v>
      </c>
      <c r="E4144" s="453">
        <f t="shared" si="12661"/>
        <v>10</v>
      </c>
      <c r="F4144" s="453" t="str">
        <f t="shared" ref="F4144:G4144" si="12662">F4143</f>
        <v>air</v>
      </c>
      <c r="G4144" s="454" t="str">
        <f t="shared" si="12662"/>
        <v>DE: Starch-blend particle 1-10 mm (emission to air)</v>
      </c>
      <c r="H4144" s="473">
        <v>0</v>
      </c>
      <c r="I4144" s="456" t="s">
        <v>1034</v>
      </c>
      <c r="J4144" s="636"/>
      <c r="K4144" s="457" t="s">
        <v>596</v>
      </c>
      <c r="L4144" s="543"/>
      <c r="M4144" s="509">
        <f t="shared" si="12527"/>
        <v>0</v>
      </c>
      <c r="N4144" s="647"/>
      <c r="O4144" s="627"/>
      <c r="P4144" s="629"/>
      <c r="Q4144" s="629"/>
    </row>
  </sheetData>
  <autoFilter ref="A4:Q4144">
    <filterColumn colId="0">
      <filters>
        <filter val="PLA-blend"/>
      </filters>
    </filterColumn>
    <filterColumn colId="7" showButton="0"/>
  </autoFilter>
  <mergeCells count="4142">
    <mergeCell ref="J4085:J4089"/>
    <mergeCell ref="J4090:J4094"/>
    <mergeCell ref="J4095:J4099"/>
    <mergeCell ref="J4100:J4104"/>
    <mergeCell ref="J4105:J4109"/>
    <mergeCell ref="J4110:J4114"/>
    <mergeCell ref="J4115:J4119"/>
    <mergeCell ref="J4120:J4124"/>
    <mergeCell ref="J4125:J4129"/>
    <mergeCell ref="J4130:J4134"/>
    <mergeCell ref="J4135:J4139"/>
    <mergeCell ref="J4140:J4144"/>
    <mergeCell ref="J4000:J4004"/>
    <mergeCell ref="J4005:J4009"/>
    <mergeCell ref="J4010:J4014"/>
    <mergeCell ref="J4015:J4019"/>
    <mergeCell ref="J4020:J4024"/>
    <mergeCell ref="J4025:J4029"/>
    <mergeCell ref="J4030:J4034"/>
    <mergeCell ref="J4035:J4039"/>
    <mergeCell ref="J4040:J4044"/>
    <mergeCell ref="J4045:J4049"/>
    <mergeCell ref="J4050:J4054"/>
    <mergeCell ref="J4055:J4059"/>
    <mergeCell ref="J4060:J4064"/>
    <mergeCell ref="J4065:J4069"/>
    <mergeCell ref="J4070:J4074"/>
    <mergeCell ref="J4075:J4079"/>
    <mergeCell ref="J4080:J4084"/>
    <mergeCell ref="J3915:J3919"/>
    <mergeCell ref="J3920:J3924"/>
    <mergeCell ref="J3925:J3929"/>
    <mergeCell ref="J3930:J3934"/>
    <mergeCell ref="J3935:J3939"/>
    <mergeCell ref="J3940:J3944"/>
    <mergeCell ref="J3945:J3949"/>
    <mergeCell ref="J3950:J3954"/>
    <mergeCell ref="J3955:J3959"/>
    <mergeCell ref="J3960:J3964"/>
    <mergeCell ref="J3965:J3969"/>
    <mergeCell ref="J3970:J3974"/>
    <mergeCell ref="J3975:J3979"/>
    <mergeCell ref="J3980:J3984"/>
    <mergeCell ref="J3985:J3989"/>
    <mergeCell ref="J3990:J3994"/>
    <mergeCell ref="J3995:J3999"/>
    <mergeCell ref="J3830:J3834"/>
    <mergeCell ref="J3835:J3839"/>
    <mergeCell ref="J3840:J3844"/>
    <mergeCell ref="J3845:J3849"/>
    <mergeCell ref="J3850:J3854"/>
    <mergeCell ref="J3855:J3859"/>
    <mergeCell ref="J3860:J3864"/>
    <mergeCell ref="J3865:J3869"/>
    <mergeCell ref="J3870:J3874"/>
    <mergeCell ref="J3875:J3879"/>
    <mergeCell ref="J3880:J3884"/>
    <mergeCell ref="J3885:J3889"/>
    <mergeCell ref="J3890:J3894"/>
    <mergeCell ref="J3895:J3899"/>
    <mergeCell ref="J3900:J3904"/>
    <mergeCell ref="J3905:J3909"/>
    <mergeCell ref="J3910:J3914"/>
    <mergeCell ref="J3745:J3749"/>
    <mergeCell ref="J3750:J3754"/>
    <mergeCell ref="J3755:J3759"/>
    <mergeCell ref="J3760:J3764"/>
    <mergeCell ref="J3765:J3769"/>
    <mergeCell ref="J3770:J3774"/>
    <mergeCell ref="J3775:J3779"/>
    <mergeCell ref="J3780:J3784"/>
    <mergeCell ref="J3785:J3789"/>
    <mergeCell ref="J3790:J3794"/>
    <mergeCell ref="J3795:J3799"/>
    <mergeCell ref="J3800:J3804"/>
    <mergeCell ref="J3805:J3809"/>
    <mergeCell ref="J3810:J3814"/>
    <mergeCell ref="J3815:J3819"/>
    <mergeCell ref="J3820:J3824"/>
    <mergeCell ref="J3825:J3829"/>
    <mergeCell ref="J3660:J3664"/>
    <mergeCell ref="J3665:J3669"/>
    <mergeCell ref="J3670:J3674"/>
    <mergeCell ref="J3675:J3679"/>
    <mergeCell ref="J3680:J3684"/>
    <mergeCell ref="J3685:J3689"/>
    <mergeCell ref="J3690:J3694"/>
    <mergeCell ref="J3695:J3699"/>
    <mergeCell ref="J3700:J3704"/>
    <mergeCell ref="J3705:J3709"/>
    <mergeCell ref="J3710:J3714"/>
    <mergeCell ref="J3715:J3719"/>
    <mergeCell ref="J3720:J3724"/>
    <mergeCell ref="J3725:J3729"/>
    <mergeCell ref="J3730:J3734"/>
    <mergeCell ref="J3735:J3739"/>
    <mergeCell ref="J3740:J3744"/>
    <mergeCell ref="J3575:J3579"/>
    <mergeCell ref="J3580:J3584"/>
    <mergeCell ref="J3585:J3589"/>
    <mergeCell ref="J3590:J3594"/>
    <mergeCell ref="J3595:J3599"/>
    <mergeCell ref="J3600:J3604"/>
    <mergeCell ref="J3605:J3609"/>
    <mergeCell ref="J3610:J3614"/>
    <mergeCell ref="J3615:J3619"/>
    <mergeCell ref="J3620:J3624"/>
    <mergeCell ref="J3625:J3629"/>
    <mergeCell ref="J3630:J3634"/>
    <mergeCell ref="J3635:J3639"/>
    <mergeCell ref="J3640:J3644"/>
    <mergeCell ref="J3645:J3649"/>
    <mergeCell ref="J3650:J3654"/>
    <mergeCell ref="J3655:J3659"/>
    <mergeCell ref="J3490:J3494"/>
    <mergeCell ref="J3495:J3499"/>
    <mergeCell ref="J3500:J3504"/>
    <mergeCell ref="J3505:J3509"/>
    <mergeCell ref="J3510:J3514"/>
    <mergeCell ref="J3515:J3519"/>
    <mergeCell ref="J3520:J3524"/>
    <mergeCell ref="J3525:J3529"/>
    <mergeCell ref="J3530:J3534"/>
    <mergeCell ref="J3535:J3539"/>
    <mergeCell ref="J3540:J3544"/>
    <mergeCell ref="J3545:J3549"/>
    <mergeCell ref="J3550:J3554"/>
    <mergeCell ref="J3555:J3559"/>
    <mergeCell ref="J3560:J3564"/>
    <mergeCell ref="J3565:J3569"/>
    <mergeCell ref="J3570:J3574"/>
    <mergeCell ref="J3405:J3409"/>
    <mergeCell ref="J3410:J3414"/>
    <mergeCell ref="J3415:J3419"/>
    <mergeCell ref="J3420:J3424"/>
    <mergeCell ref="J3425:J3429"/>
    <mergeCell ref="J3430:J3434"/>
    <mergeCell ref="J3435:J3439"/>
    <mergeCell ref="J3440:J3444"/>
    <mergeCell ref="J3445:J3449"/>
    <mergeCell ref="J3450:J3454"/>
    <mergeCell ref="J3455:J3459"/>
    <mergeCell ref="J3460:J3464"/>
    <mergeCell ref="J3465:J3469"/>
    <mergeCell ref="J3470:J3474"/>
    <mergeCell ref="J3475:J3479"/>
    <mergeCell ref="J3480:J3484"/>
    <mergeCell ref="J3485:J3489"/>
    <mergeCell ref="J3320:J3324"/>
    <mergeCell ref="J3325:J3329"/>
    <mergeCell ref="J3330:J3334"/>
    <mergeCell ref="J3335:J3339"/>
    <mergeCell ref="J3340:J3344"/>
    <mergeCell ref="J3345:J3349"/>
    <mergeCell ref="J3350:J3354"/>
    <mergeCell ref="J3355:J3359"/>
    <mergeCell ref="J3360:J3364"/>
    <mergeCell ref="J3365:J3369"/>
    <mergeCell ref="J3370:J3374"/>
    <mergeCell ref="J3375:J3379"/>
    <mergeCell ref="J3380:J3384"/>
    <mergeCell ref="J3385:J3389"/>
    <mergeCell ref="J3390:J3394"/>
    <mergeCell ref="J3395:J3399"/>
    <mergeCell ref="J3400:J3404"/>
    <mergeCell ref="J3235:J3239"/>
    <mergeCell ref="J3240:J3244"/>
    <mergeCell ref="J3245:J3249"/>
    <mergeCell ref="J3250:J3254"/>
    <mergeCell ref="J3255:J3259"/>
    <mergeCell ref="J3260:J3264"/>
    <mergeCell ref="J3265:J3269"/>
    <mergeCell ref="J3270:J3274"/>
    <mergeCell ref="J3275:J3279"/>
    <mergeCell ref="J3280:J3284"/>
    <mergeCell ref="J3285:J3289"/>
    <mergeCell ref="J3290:J3294"/>
    <mergeCell ref="J3295:J3299"/>
    <mergeCell ref="J3300:J3304"/>
    <mergeCell ref="J3305:J3309"/>
    <mergeCell ref="J3310:J3314"/>
    <mergeCell ref="J3315:J3319"/>
    <mergeCell ref="J3150:J3154"/>
    <mergeCell ref="J3155:J3159"/>
    <mergeCell ref="J3160:J3164"/>
    <mergeCell ref="J3165:J3169"/>
    <mergeCell ref="J3170:J3174"/>
    <mergeCell ref="J3175:J3179"/>
    <mergeCell ref="J3180:J3184"/>
    <mergeCell ref="J3185:J3189"/>
    <mergeCell ref="J3190:J3194"/>
    <mergeCell ref="J3195:J3199"/>
    <mergeCell ref="J3200:J3204"/>
    <mergeCell ref="J3205:J3209"/>
    <mergeCell ref="J3210:J3214"/>
    <mergeCell ref="J3215:J3219"/>
    <mergeCell ref="J3220:J3224"/>
    <mergeCell ref="J3225:J3229"/>
    <mergeCell ref="J3230:J3234"/>
    <mergeCell ref="J3065:J3069"/>
    <mergeCell ref="J3070:J3074"/>
    <mergeCell ref="J3075:J3079"/>
    <mergeCell ref="J3080:J3084"/>
    <mergeCell ref="J3085:J3089"/>
    <mergeCell ref="J3090:J3094"/>
    <mergeCell ref="J3095:J3099"/>
    <mergeCell ref="J3100:J3104"/>
    <mergeCell ref="J3105:J3109"/>
    <mergeCell ref="J3110:J3114"/>
    <mergeCell ref="J3115:J3119"/>
    <mergeCell ref="J3120:J3124"/>
    <mergeCell ref="J3125:J3129"/>
    <mergeCell ref="J3130:J3134"/>
    <mergeCell ref="J3135:J3139"/>
    <mergeCell ref="J3140:J3144"/>
    <mergeCell ref="J3145:J3149"/>
    <mergeCell ref="J2980:J2984"/>
    <mergeCell ref="J2985:J2989"/>
    <mergeCell ref="J2990:J2994"/>
    <mergeCell ref="J2995:J2999"/>
    <mergeCell ref="J3000:J3004"/>
    <mergeCell ref="J3005:J3009"/>
    <mergeCell ref="J3010:J3014"/>
    <mergeCell ref="J3015:J3019"/>
    <mergeCell ref="J3020:J3024"/>
    <mergeCell ref="J3025:J3029"/>
    <mergeCell ref="J3030:J3034"/>
    <mergeCell ref="J3035:J3039"/>
    <mergeCell ref="J3040:J3044"/>
    <mergeCell ref="J3045:J3049"/>
    <mergeCell ref="J3050:J3054"/>
    <mergeCell ref="J3055:J3059"/>
    <mergeCell ref="J3060:J3064"/>
    <mergeCell ref="J2895:J2899"/>
    <mergeCell ref="J2900:J2904"/>
    <mergeCell ref="J2905:J2909"/>
    <mergeCell ref="J2910:J2914"/>
    <mergeCell ref="J2915:J2919"/>
    <mergeCell ref="J2920:J2924"/>
    <mergeCell ref="J2925:J2929"/>
    <mergeCell ref="J2930:J2934"/>
    <mergeCell ref="J2935:J2939"/>
    <mergeCell ref="J2940:J2944"/>
    <mergeCell ref="J2945:J2949"/>
    <mergeCell ref="J2950:J2954"/>
    <mergeCell ref="J2955:J2959"/>
    <mergeCell ref="J2960:J2964"/>
    <mergeCell ref="J2965:J2969"/>
    <mergeCell ref="J2970:J2974"/>
    <mergeCell ref="J2975:J2979"/>
    <mergeCell ref="J2805:J2809"/>
    <mergeCell ref="J2810:J2814"/>
    <mergeCell ref="J2815:J2819"/>
    <mergeCell ref="J2820:J2824"/>
    <mergeCell ref="J2825:J2829"/>
    <mergeCell ref="J2830:J2834"/>
    <mergeCell ref="J2835:J2839"/>
    <mergeCell ref="J2845:J2849"/>
    <mergeCell ref="J2850:J2854"/>
    <mergeCell ref="J2855:J2859"/>
    <mergeCell ref="J2860:J2864"/>
    <mergeCell ref="J2865:J2869"/>
    <mergeCell ref="J2870:J2874"/>
    <mergeCell ref="J2875:J2879"/>
    <mergeCell ref="J2880:J2884"/>
    <mergeCell ref="J2885:J2889"/>
    <mergeCell ref="J2890:J2894"/>
    <mergeCell ref="J2720:J2724"/>
    <mergeCell ref="J2725:J2729"/>
    <mergeCell ref="J2730:J2734"/>
    <mergeCell ref="J2735:J2739"/>
    <mergeCell ref="J2740:J2744"/>
    <mergeCell ref="J2745:J2749"/>
    <mergeCell ref="J2750:J2754"/>
    <mergeCell ref="J2755:J2759"/>
    <mergeCell ref="J2760:J2764"/>
    <mergeCell ref="J2765:J2769"/>
    <mergeCell ref="J2770:J2774"/>
    <mergeCell ref="J2775:J2779"/>
    <mergeCell ref="J2780:J2784"/>
    <mergeCell ref="J2785:J2789"/>
    <mergeCell ref="J2790:J2794"/>
    <mergeCell ref="J2795:J2799"/>
    <mergeCell ref="J2800:J2804"/>
    <mergeCell ref="J2635:J2639"/>
    <mergeCell ref="J2640:J2644"/>
    <mergeCell ref="J2645:J2649"/>
    <mergeCell ref="J2650:J2654"/>
    <mergeCell ref="J2655:J2659"/>
    <mergeCell ref="J2660:J2664"/>
    <mergeCell ref="J2665:J2669"/>
    <mergeCell ref="J2670:J2674"/>
    <mergeCell ref="J2675:J2679"/>
    <mergeCell ref="J2680:J2684"/>
    <mergeCell ref="J2685:J2689"/>
    <mergeCell ref="J2690:J2694"/>
    <mergeCell ref="J2695:J2699"/>
    <mergeCell ref="J2700:J2704"/>
    <mergeCell ref="J2705:J2709"/>
    <mergeCell ref="J2710:J2714"/>
    <mergeCell ref="J2715:J2719"/>
    <mergeCell ref="J2550:J2554"/>
    <mergeCell ref="J2555:J2559"/>
    <mergeCell ref="J2560:J2564"/>
    <mergeCell ref="J2565:J2569"/>
    <mergeCell ref="J2570:J2574"/>
    <mergeCell ref="J2575:J2579"/>
    <mergeCell ref="J2580:J2584"/>
    <mergeCell ref="J2585:J2589"/>
    <mergeCell ref="J2590:J2594"/>
    <mergeCell ref="J2595:J2599"/>
    <mergeCell ref="J2600:J2604"/>
    <mergeCell ref="J2605:J2609"/>
    <mergeCell ref="J2610:J2614"/>
    <mergeCell ref="J2615:J2619"/>
    <mergeCell ref="J2620:J2624"/>
    <mergeCell ref="J2625:J2629"/>
    <mergeCell ref="J2630:J2634"/>
    <mergeCell ref="J2465:J2469"/>
    <mergeCell ref="J2470:J2474"/>
    <mergeCell ref="J2475:J2479"/>
    <mergeCell ref="J2480:J2484"/>
    <mergeCell ref="J2485:J2489"/>
    <mergeCell ref="J2490:J2494"/>
    <mergeCell ref="J2495:J2499"/>
    <mergeCell ref="J2500:J2504"/>
    <mergeCell ref="J2505:J2509"/>
    <mergeCell ref="J2510:J2514"/>
    <mergeCell ref="J2515:J2519"/>
    <mergeCell ref="J2520:J2524"/>
    <mergeCell ref="J2525:J2529"/>
    <mergeCell ref="J2530:J2534"/>
    <mergeCell ref="J2535:J2539"/>
    <mergeCell ref="J2540:J2544"/>
    <mergeCell ref="J2545:J2549"/>
    <mergeCell ref="J2380:J2384"/>
    <mergeCell ref="J2385:J2389"/>
    <mergeCell ref="J2390:J2394"/>
    <mergeCell ref="J2395:J2399"/>
    <mergeCell ref="J2400:J2404"/>
    <mergeCell ref="J2405:J2409"/>
    <mergeCell ref="J2410:J2414"/>
    <mergeCell ref="J2415:J2419"/>
    <mergeCell ref="J2420:J2424"/>
    <mergeCell ref="J2425:J2429"/>
    <mergeCell ref="J2430:J2434"/>
    <mergeCell ref="J2435:J2439"/>
    <mergeCell ref="J2440:J2444"/>
    <mergeCell ref="J2445:J2449"/>
    <mergeCell ref="J2450:J2454"/>
    <mergeCell ref="J2455:J2459"/>
    <mergeCell ref="J2460:J2464"/>
    <mergeCell ref="J2295:J2299"/>
    <mergeCell ref="J2300:J2304"/>
    <mergeCell ref="J2305:J2309"/>
    <mergeCell ref="J2310:J2314"/>
    <mergeCell ref="J2315:J2319"/>
    <mergeCell ref="J2320:J2324"/>
    <mergeCell ref="J2325:J2329"/>
    <mergeCell ref="J2330:J2334"/>
    <mergeCell ref="J2335:J2339"/>
    <mergeCell ref="J2340:J2344"/>
    <mergeCell ref="J2345:J2349"/>
    <mergeCell ref="J2350:J2354"/>
    <mergeCell ref="J2355:J2359"/>
    <mergeCell ref="J2360:J2364"/>
    <mergeCell ref="J2365:J2369"/>
    <mergeCell ref="J2370:J2374"/>
    <mergeCell ref="J2375:J2379"/>
    <mergeCell ref="J2210:J2214"/>
    <mergeCell ref="J2215:J2219"/>
    <mergeCell ref="J2220:J2224"/>
    <mergeCell ref="J2225:J2229"/>
    <mergeCell ref="J2230:J2234"/>
    <mergeCell ref="J2235:J2239"/>
    <mergeCell ref="J2240:J2244"/>
    <mergeCell ref="J2245:J2249"/>
    <mergeCell ref="J2250:J2254"/>
    <mergeCell ref="J2255:J2259"/>
    <mergeCell ref="J2260:J2264"/>
    <mergeCell ref="J2265:J2269"/>
    <mergeCell ref="J2270:J2274"/>
    <mergeCell ref="J2275:J2279"/>
    <mergeCell ref="J2280:J2284"/>
    <mergeCell ref="J2285:J2289"/>
    <mergeCell ref="J2290:J2294"/>
    <mergeCell ref="J2125:J2129"/>
    <mergeCell ref="J2130:J2134"/>
    <mergeCell ref="J2135:J2139"/>
    <mergeCell ref="J2140:J2144"/>
    <mergeCell ref="J2145:J2149"/>
    <mergeCell ref="J2150:J2154"/>
    <mergeCell ref="J2155:J2159"/>
    <mergeCell ref="J2160:J2164"/>
    <mergeCell ref="J2165:J2169"/>
    <mergeCell ref="J2170:J2174"/>
    <mergeCell ref="J2175:J2179"/>
    <mergeCell ref="J2180:J2184"/>
    <mergeCell ref="J2185:J2189"/>
    <mergeCell ref="J2190:J2194"/>
    <mergeCell ref="J2195:J2199"/>
    <mergeCell ref="J2200:J2204"/>
    <mergeCell ref="J2205:J2209"/>
    <mergeCell ref="J2040:J2044"/>
    <mergeCell ref="J2045:J2049"/>
    <mergeCell ref="J2050:J2054"/>
    <mergeCell ref="J2055:J2059"/>
    <mergeCell ref="J2060:J2064"/>
    <mergeCell ref="J2065:J2069"/>
    <mergeCell ref="J2070:J2074"/>
    <mergeCell ref="J2075:J2079"/>
    <mergeCell ref="J2080:J2084"/>
    <mergeCell ref="J2085:J2089"/>
    <mergeCell ref="J2090:J2094"/>
    <mergeCell ref="J2095:J2099"/>
    <mergeCell ref="J2100:J2104"/>
    <mergeCell ref="J2105:J2109"/>
    <mergeCell ref="J2110:J2114"/>
    <mergeCell ref="J2115:J2119"/>
    <mergeCell ref="J2120:J2124"/>
    <mergeCell ref="J1955:J1959"/>
    <mergeCell ref="J1960:J1964"/>
    <mergeCell ref="J1965:J1969"/>
    <mergeCell ref="J1970:J1974"/>
    <mergeCell ref="J1975:J1979"/>
    <mergeCell ref="J1980:J1984"/>
    <mergeCell ref="J1985:J1989"/>
    <mergeCell ref="J1990:J1994"/>
    <mergeCell ref="J1995:J1999"/>
    <mergeCell ref="J2000:J2004"/>
    <mergeCell ref="J2005:J2009"/>
    <mergeCell ref="J2010:J2014"/>
    <mergeCell ref="J2015:J2019"/>
    <mergeCell ref="J2020:J2024"/>
    <mergeCell ref="J2025:J2029"/>
    <mergeCell ref="J2030:J2034"/>
    <mergeCell ref="J2035:J2039"/>
    <mergeCell ref="J1870:J1874"/>
    <mergeCell ref="J1875:J1879"/>
    <mergeCell ref="J1880:J1884"/>
    <mergeCell ref="J1885:J1889"/>
    <mergeCell ref="J1890:J1894"/>
    <mergeCell ref="J1895:J1899"/>
    <mergeCell ref="J1900:J1904"/>
    <mergeCell ref="J1905:J1909"/>
    <mergeCell ref="J1910:J1914"/>
    <mergeCell ref="J1915:J1919"/>
    <mergeCell ref="J1920:J1924"/>
    <mergeCell ref="J1925:J1929"/>
    <mergeCell ref="J1930:J1934"/>
    <mergeCell ref="J1935:J1939"/>
    <mergeCell ref="J1940:J1944"/>
    <mergeCell ref="J1945:J1949"/>
    <mergeCell ref="J1950:J1954"/>
    <mergeCell ref="J1785:J1789"/>
    <mergeCell ref="J1790:J1794"/>
    <mergeCell ref="J1795:J1799"/>
    <mergeCell ref="J1800:J1804"/>
    <mergeCell ref="J1805:J1809"/>
    <mergeCell ref="J1810:J1814"/>
    <mergeCell ref="J1815:J1819"/>
    <mergeCell ref="J1820:J1824"/>
    <mergeCell ref="J1825:J1829"/>
    <mergeCell ref="J1830:J1834"/>
    <mergeCell ref="J1835:J1839"/>
    <mergeCell ref="J1840:J1844"/>
    <mergeCell ref="J1845:J1849"/>
    <mergeCell ref="J1850:J1854"/>
    <mergeCell ref="J1855:J1859"/>
    <mergeCell ref="J1860:J1864"/>
    <mergeCell ref="J1865:J1869"/>
    <mergeCell ref="J1700:J1704"/>
    <mergeCell ref="J1705:J1709"/>
    <mergeCell ref="J1710:J1714"/>
    <mergeCell ref="J1715:J1719"/>
    <mergeCell ref="J1720:J1724"/>
    <mergeCell ref="J1725:J1729"/>
    <mergeCell ref="J1730:J1734"/>
    <mergeCell ref="J1735:J1739"/>
    <mergeCell ref="J1740:J1744"/>
    <mergeCell ref="J1745:J1749"/>
    <mergeCell ref="J1750:J1754"/>
    <mergeCell ref="J1755:J1759"/>
    <mergeCell ref="J1760:J1764"/>
    <mergeCell ref="J1765:J1769"/>
    <mergeCell ref="J1770:J1774"/>
    <mergeCell ref="J1775:J1779"/>
    <mergeCell ref="J1780:J1784"/>
    <mergeCell ref="J1615:J1619"/>
    <mergeCell ref="J1620:J1624"/>
    <mergeCell ref="J1625:J1629"/>
    <mergeCell ref="J1630:J1634"/>
    <mergeCell ref="J1635:J1639"/>
    <mergeCell ref="J1640:J1644"/>
    <mergeCell ref="J1645:J1649"/>
    <mergeCell ref="J1650:J1654"/>
    <mergeCell ref="J1655:J1659"/>
    <mergeCell ref="J1660:J1664"/>
    <mergeCell ref="J1665:J1669"/>
    <mergeCell ref="J1670:J1674"/>
    <mergeCell ref="J1675:J1679"/>
    <mergeCell ref="J1680:J1684"/>
    <mergeCell ref="J1685:J1689"/>
    <mergeCell ref="J1690:J1694"/>
    <mergeCell ref="J1695:J1699"/>
    <mergeCell ref="J1530:J1534"/>
    <mergeCell ref="J1535:J1539"/>
    <mergeCell ref="J1540:J1544"/>
    <mergeCell ref="J1545:J1549"/>
    <mergeCell ref="J1550:J1554"/>
    <mergeCell ref="J1555:J1559"/>
    <mergeCell ref="J1560:J1564"/>
    <mergeCell ref="J1565:J1569"/>
    <mergeCell ref="J1570:J1574"/>
    <mergeCell ref="J1575:J1579"/>
    <mergeCell ref="J1580:J1584"/>
    <mergeCell ref="J1585:J1589"/>
    <mergeCell ref="J1590:J1594"/>
    <mergeCell ref="J1595:J1599"/>
    <mergeCell ref="J1600:J1604"/>
    <mergeCell ref="J1605:J1609"/>
    <mergeCell ref="J1610:J1614"/>
    <mergeCell ref="J1445:J1449"/>
    <mergeCell ref="J1450:J1454"/>
    <mergeCell ref="J1455:J1459"/>
    <mergeCell ref="J1460:J1464"/>
    <mergeCell ref="J1465:J1469"/>
    <mergeCell ref="J1470:J1474"/>
    <mergeCell ref="J1475:J1479"/>
    <mergeCell ref="J1480:J1484"/>
    <mergeCell ref="J1485:J1489"/>
    <mergeCell ref="J1490:J1494"/>
    <mergeCell ref="J1495:J1499"/>
    <mergeCell ref="J1500:J1504"/>
    <mergeCell ref="J1505:J1509"/>
    <mergeCell ref="J1510:J1514"/>
    <mergeCell ref="J1515:J1519"/>
    <mergeCell ref="J1520:J1524"/>
    <mergeCell ref="J1525:J1529"/>
    <mergeCell ref="J1355:J1359"/>
    <mergeCell ref="J1360:J1364"/>
    <mergeCell ref="J1365:J1369"/>
    <mergeCell ref="J1370:J1374"/>
    <mergeCell ref="J1375:J1379"/>
    <mergeCell ref="J1380:J1384"/>
    <mergeCell ref="J1390:J1394"/>
    <mergeCell ref="J1395:J1399"/>
    <mergeCell ref="J1400:J1404"/>
    <mergeCell ref="J1405:J1409"/>
    <mergeCell ref="J1410:J1414"/>
    <mergeCell ref="J1415:J1419"/>
    <mergeCell ref="J1420:J1424"/>
    <mergeCell ref="J1425:J1429"/>
    <mergeCell ref="J1430:J1434"/>
    <mergeCell ref="J1435:J1439"/>
    <mergeCell ref="J1440:J1444"/>
    <mergeCell ref="J1270:J1274"/>
    <mergeCell ref="J1275:J1279"/>
    <mergeCell ref="J1280:J1284"/>
    <mergeCell ref="J1285:J1289"/>
    <mergeCell ref="J1290:J1294"/>
    <mergeCell ref="J1295:J1299"/>
    <mergeCell ref="J1300:J1304"/>
    <mergeCell ref="J1305:J1309"/>
    <mergeCell ref="J1310:J1314"/>
    <mergeCell ref="J1315:J1319"/>
    <mergeCell ref="J1320:J1324"/>
    <mergeCell ref="J1325:J1329"/>
    <mergeCell ref="J1330:J1334"/>
    <mergeCell ref="J1335:J1339"/>
    <mergeCell ref="J1340:J1344"/>
    <mergeCell ref="J1345:J1349"/>
    <mergeCell ref="J1350:J1354"/>
    <mergeCell ref="J1185:J1189"/>
    <mergeCell ref="J1190:J1194"/>
    <mergeCell ref="J1195:J1199"/>
    <mergeCell ref="J1200:J1204"/>
    <mergeCell ref="J1205:J1209"/>
    <mergeCell ref="J1210:J1214"/>
    <mergeCell ref="J1215:J1219"/>
    <mergeCell ref="J1220:J1224"/>
    <mergeCell ref="J1225:J1229"/>
    <mergeCell ref="J1230:J1234"/>
    <mergeCell ref="J1235:J1239"/>
    <mergeCell ref="J1240:J1244"/>
    <mergeCell ref="J1245:J1249"/>
    <mergeCell ref="J1250:J1254"/>
    <mergeCell ref="J1255:J1259"/>
    <mergeCell ref="J1260:J1264"/>
    <mergeCell ref="J1265:J1269"/>
    <mergeCell ref="J1100:J1104"/>
    <mergeCell ref="J1105:J1109"/>
    <mergeCell ref="J1110:J1114"/>
    <mergeCell ref="J1115:J1119"/>
    <mergeCell ref="J1120:J1124"/>
    <mergeCell ref="J1125:J1129"/>
    <mergeCell ref="J1130:J1134"/>
    <mergeCell ref="J1135:J1139"/>
    <mergeCell ref="J1140:J1144"/>
    <mergeCell ref="J1145:J1149"/>
    <mergeCell ref="J1150:J1154"/>
    <mergeCell ref="J1155:J1159"/>
    <mergeCell ref="J1160:J1164"/>
    <mergeCell ref="J1165:J1169"/>
    <mergeCell ref="J1170:J1174"/>
    <mergeCell ref="J1175:J1179"/>
    <mergeCell ref="J1180:J1184"/>
    <mergeCell ref="J1015:J1019"/>
    <mergeCell ref="J1020:J1024"/>
    <mergeCell ref="J1025:J1029"/>
    <mergeCell ref="J1030:J1034"/>
    <mergeCell ref="J1035:J1039"/>
    <mergeCell ref="J1040:J1044"/>
    <mergeCell ref="J1045:J1049"/>
    <mergeCell ref="J1050:J1054"/>
    <mergeCell ref="J1055:J1059"/>
    <mergeCell ref="J1060:J1064"/>
    <mergeCell ref="J1065:J1069"/>
    <mergeCell ref="J1070:J1074"/>
    <mergeCell ref="J1075:J1079"/>
    <mergeCell ref="J1080:J1084"/>
    <mergeCell ref="J1085:J1089"/>
    <mergeCell ref="J1090:J1094"/>
    <mergeCell ref="J1095:J1099"/>
    <mergeCell ref="J930:J934"/>
    <mergeCell ref="J935:J939"/>
    <mergeCell ref="J940:J944"/>
    <mergeCell ref="J945:J949"/>
    <mergeCell ref="J950:J954"/>
    <mergeCell ref="J955:J959"/>
    <mergeCell ref="J960:J964"/>
    <mergeCell ref="J965:J969"/>
    <mergeCell ref="J970:J974"/>
    <mergeCell ref="J975:J979"/>
    <mergeCell ref="J980:J984"/>
    <mergeCell ref="J985:J989"/>
    <mergeCell ref="J990:J994"/>
    <mergeCell ref="J995:J999"/>
    <mergeCell ref="J1000:J1004"/>
    <mergeCell ref="J1005:J1009"/>
    <mergeCell ref="J1010:J1014"/>
    <mergeCell ref="J845:J849"/>
    <mergeCell ref="J850:J854"/>
    <mergeCell ref="J855:J859"/>
    <mergeCell ref="J860:J864"/>
    <mergeCell ref="J865:J869"/>
    <mergeCell ref="J870:J874"/>
    <mergeCell ref="J875:J879"/>
    <mergeCell ref="J880:J884"/>
    <mergeCell ref="J885:J889"/>
    <mergeCell ref="J890:J894"/>
    <mergeCell ref="J895:J899"/>
    <mergeCell ref="J900:J904"/>
    <mergeCell ref="J905:J909"/>
    <mergeCell ref="J910:J914"/>
    <mergeCell ref="J915:J919"/>
    <mergeCell ref="J920:J924"/>
    <mergeCell ref="J925:J929"/>
    <mergeCell ref="J760:J764"/>
    <mergeCell ref="J765:J769"/>
    <mergeCell ref="J770:J774"/>
    <mergeCell ref="J775:J779"/>
    <mergeCell ref="J780:J784"/>
    <mergeCell ref="J785:J789"/>
    <mergeCell ref="J790:J794"/>
    <mergeCell ref="J795:J799"/>
    <mergeCell ref="J800:J804"/>
    <mergeCell ref="J805:J809"/>
    <mergeCell ref="J810:J814"/>
    <mergeCell ref="J815:J819"/>
    <mergeCell ref="J820:J824"/>
    <mergeCell ref="J825:J829"/>
    <mergeCell ref="J830:J834"/>
    <mergeCell ref="J835:J839"/>
    <mergeCell ref="J840:J844"/>
    <mergeCell ref="J675:J679"/>
    <mergeCell ref="J680:J684"/>
    <mergeCell ref="J685:J689"/>
    <mergeCell ref="J690:J694"/>
    <mergeCell ref="J695:J699"/>
    <mergeCell ref="J700:J704"/>
    <mergeCell ref="J705:J709"/>
    <mergeCell ref="J710:J714"/>
    <mergeCell ref="J715:J719"/>
    <mergeCell ref="J720:J724"/>
    <mergeCell ref="J725:J729"/>
    <mergeCell ref="J730:J734"/>
    <mergeCell ref="J735:J739"/>
    <mergeCell ref="J740:J744"/>
    <mergeCell ref="J745:J749"/>
    <mergeCell ref="J750:J754"/>
    <mergeCell ref="J755:J759"/>
    <mergeCell ref="J590:J594"/>
    <mergeCell ref="J595:J599"/>
    <mergeCell ref="J600:J604"/>
    <mergeCell ref="J605:J609"/>
    <mergeCell ref="J610:J614"/>
    <mergeCell ref="J615:J619"/>
    <mergeCell ref="J620:J624"/>
    <mergeCell ref="J625:J629"/>
    <mergeCell ref="J630:J634"/>
    <mergeCell ref="J635:J639"/>
    <mergeCell ref="J640:J644"/>
    <mergeCell ref="J645:J649"/>
    <mergeCell ref="J650:J654"/>
    <mergeCell ref="J655:J659"/>
    <mergeCell ref="J660:J664"/>
    <mergeCell ref="J665:J669"/>
    <mergeCell ref="J670:J674"/>
    <mergeCell ref="J505:J509"/>
    <mergeCell ref="J510:J514"/>
    <mergeCell ref="J515:J519"/>
    <mergeCell ref="J520:J524"/>
    <mergeCell ref="J525:J529"/>
    <mergeCell ref="J530:J534"/>
    <mergeCell ref="J535:J539"/>
    <mergeCell ref="J540:J544"/>
    <mergeCell ref="J545:J549"/>
    <mergeCell ref="J550:J554"/>
    <mergeCell ref="J555:J559"/>
    <mergeCell ref="J560:J564"/>
    <mergeCell ref="J565:J569"/>
    <mergeCell ref="J570:J574"/>
    <mergeCell ref="J575:J579"/>
    <mergeCell ref="J580:J584"/>
    <mergeCell ref="J585:J589"/>
    <mergeCell ref="J420:J424"/>
    <mergeCell ref="J425:J429"/>
    <mergeCell ref="J430:J434"/>
    <mergeCell ref="J435:J439"/>
    <mergeCell ref="J440:J444"/>
    <mergeCell ref="J445:J449"/>
    <mergeCell ref="J450:J454"/>
    <mergeCell ref="J455:J459"/>
    <mergeCell ref="J460:J464"/>
    <mergeCell ref="J465:J469"/>
    <mergeCell ref="J470:J474"/>
    <mergeCell ref="J475:J479"/>
    <mergeCell ref="J480:J484"/>
    <mergeCell ref="J485:J489"/>
    <mergeCell ref="J490:J494"/>
    <mergeCell ref="J495:J499"/>
    <mergeCell ref="J500:J504"/>
    <mergeCell ref="J335:J339"/>
    <mergeCell ref="J340:J344"/>
    <mergeCell ref="J345:J349"/>
    <mergeCell ref="J350:J354"/>
    <mergeCell ref="J355:J359"/>
    <mergeCell ref="J360:J364"/>
    <mergeCell ref="J365:J369"/>
    <mergeCell ref="J370:J374"/>
    <mergeCell ref="J375:J379"/>
    <mergeCell ref="J380:J384"/>
    <mergeCell ref="J385:J389"/>
    <mergeCell ref="J390:J394"/>
    <mergeCell ref="J395:J399"/>
    <mergeCell ref="J400:J404"/>
    <mergeCell ref="J405:J409"/>
    <mergeCell ref="J410:J414"/>
    <mergeCell ref="J415:J419"/>
    <mergeCell ref="J245:J249"/>
    <mergeCell ref="J250:J254"/>
    <mergeCell ref="J255:J259"/>
    <mergeCell ref="J260:J264"/>
    <mergeCell ref="J265:J269"/>
    <mergeCell ref="J270:J274"/>
    <mergeCell ref="J275:J279"/>
    <mergeCell ref="J280:J284"/>
    <mergeCell ref="J285:J289"/>
    <mergeCell ref="J290:J294"/>
    <mergeCell ref="J295:J299"/>
    <mergeCell ref="J300:J304"/>
    <mergeCell ref="J310:J314"/>
    <mergeCell ref="J315:J319"/>
    <mergeCell ref="J320:J324"/>
    <mergeCell ref="J325:J329"/>
    <mergeCell ref="J330:J334"/>
    <mergeCell ref="J160:J164"/>
    <mergeCell ref="J165:J169"/>
    <mergeCell ref="J170:J174"/>
    <mergeCell ref="J175:J179"/>
    <mergeCell ref="J180:J184"/>
    <mergeCell ref="J185:J189"/>
    <mergeCell ref="J190:J194"/>
    <mergeCell ref="J195:J199"/>
    <mergeCell ref="J200:J204"/>
    <mergeCell ref="J205:J209"/>
    <mergeCell ref="J210:J214"/>
    <mergeCell ref="J215:J219"/>
    <mergeCell ref="J220:J224"/>
    <mergeCell ref="J225:J229"/>
    <mergeCell ref="J230:J234"/>
    <mergeCell ref="J235:J239"/>
    <mergeCell ref="J240:J244"/>
    <mergeCell ref="J75:J79"/>
    <mergeCell ref="J80:J84"/>
    <mergeCell ref="J85:J89"/>
    <mergeCell ref="J90:J94"/>
    <mergeCell ref="J95:J99"/>
    <mergeCell ref="J100:J104"/>
    <mergeCell ref="J105:J109"/>
    <mergeCell ref="J110:J114"/>
    <mergeCell ref="J115:J119"/>
    <mergeCell ref="J120:J124"/>
    <mergeCell ref="J125:J129"/>
    <mergeCell ref="J130:J134"/>
    <mergeCell ref="J135:J139"/>
    <mergeCell ref="J140:J144"/>
    <mergeCell ref="J145:J149"/>
    <mergeCell ref="J150:J154"/>
    <mergeCell ref="J155:J159"/>
    <mergeCell ref="N4015:N4019"/>
    <mergeCell ref="N4020:N4024"/>
    <mergeCell ref="N4025:N4029"/>
    <mergeCell ref="N4030:N4034"/>
    <mergeCell ref="N4035:N4039"/>
    <mergeCell ref="N4040:N4044"/>
    <mergeCell ref="N4045:N4049"/>
    <mergeCell ref="N4050:N4054"/>
    <mergeCell ref="N4055:N4059"/>
    <mergeCell ref="N4060:N4064"/>
    <mergeCell ref="N4065:N4069"/>
    <mergeCell ref="N4070:N4074"/>
    <mergeCell ref="N4075:N4079"/>
    <mergeCell ref="N4080:N4084"/>
    <mergeCell ref="N4085:N4089"/>
    <mergeCell ref="N4090:N4094"/>
    <mergeCell ref="N4140:N4144"/>
    <mergeCell ref="N4095:N4099"/>
    <mergeCell ref="N4100:N4104"/>
    <mergeCell ref="N4105:N4109"/>
    <mergeCell ref="N4110:N4114"/>
    <mergeCell ref="N4115:N4119"/>
    <mergeCell ref="N4120:N4124"/>
    <mergeCell ref="N4125:N4129"/>
    <mergeCell ref="N4130:N4134"/>
    <mergeCell ref="N4135:N4139"/>
    <mergeCell ref="N3930:N3934"/>
    <mergeCell ref="N3935:N3939"/>
    <mergeCell ref="N3940:N3944"/>
    <mergeCell ref="N3945:N3949"/>
    <mergeCell ref="N3950:N3954"/>
    <mergeCell ref="N3955:N3959"/>
    <mergeCell ref="N3960:N3964"/>
    <mergeCell ref="N3965:N3969"/>
    <mergeCell ref="N3970:N3974"/>
    <mergeCell ref="N3975:N3979"/>
    <mergeCell ref="N3980:N3984"/>
    <mergeCell ref="N3985:N3989"/>
    <mergeCell ref="N3990:N3994"/>
    <mergeCell ref="N3995:N3999"/>
    <mergeCell ref="N4000:N4004"/>
    <mergeCell ref="N4005:N4009"/>
    <mergeCell ref="N4010:N4014"/>
    <mergeCell ref="N3845:N3849"/>
    <mergeCell ref="N3850:N3854"/>
    <mergeCell ref="N3855:N3859"/>
    <mergeCell ref="N3860:N3864"/>
    <mergeCell ref="N3865:N3869"/>
    <mergeCell ref="N3870:N3874"/>
    <mergeCell ref="N3875:N3879"/>
    <mergeCell ref="N3880:N3884"/>
    <mergeCell ref="N3885:N3889"/>
    <mergeCell ref="N3890:N3894"/>
    <mergeCell ref="N3895:N3899"/>
    <mergeCell ref="N3900:N3904"/>
    <mergeCell ref="N3905:N3909"/>
    <mergeCell ref="N3910:N3914"/>
    <mergeCell ref="N3915:N3919"/>
    <mergeCell ref="N3920:N3924"/>
    <mergeCell ref="N3925:N3929"/>
    <mergeCell ref="N3760:N3764"/>
    <mergeCell ref="N3765:N3769"/>
    <mergeCell ref="N3770:N3774"/>
    <mergeCell ref="N3775:N3779"/>
    <mergeCell ref="N3780:N3784"/>
    <mergeCell ref="N3785:N3789"/>
    <mergeCell ref="N3790:N3794"/>
    <mergeCell ref="N3795:N3799"/>
    <mergeCell ref="N3800:N3804"/>
    <mergeCell ref="N3805:N3809"/>
    <mergeCell ref="N3810:N3814"/>
    <mergeCell ref="N3815:N3819"/>
    <mergeCell ref="N3820:N3824"/>
    <mergeCell ref="N3825:N3829"/>
    <mergeCell ref="N3830:N3834"/>
    <mergeCell ref="N3835:N3839"/>
    <mergeCell ref="N3840:N3844"/>
    <mergeCell ref="N3675:N3679"/>
    <mergeCell ref="N3680:N3684"/>
    <mergeCell ref="N3685:N3689"/>
    <mergeCell ref="N3690:N3694"/>
    <mergeCell ref="N3695:N3699"/>
    <mergeCell ref="N3700:N3704"/>
    <mergeCell ref="N3705:N3709"/>
    <mergeCell ref="N3710:N3714"/>
    <mergeCell ref="N3715:N3719"/>
    <mergeCell ref="N3720:N3724"/>
    <mergeCell ref="N3725:N3729"/>
    <mergeCell ref="N3730:N3734"/>
    <mergeCell ref="N3735:N3739"/>
    <mergeCell ref="N3740:N3744"/>
    <mergeCell ref="N3745:N3749"/>
    <mergeCell ref="N3750:N3754"/>
    <mergeCell ref="N3755:N3759"/>
    <mergeCell ref="N3590:N3594"/>
    <mergeCell ref="N3595:N3599"/>
    <mergeCell ref="N3600:N3604"/>
    <mergeCell ref="N3605:N3609"/>
    <mergeCell ref="N3610:N3614"/>
    <mergeCell ref="N3615:N3619"/>
    <mergeCell ref="N3620:N3624"/>
    <mergeCell ref="N3625:N3629"/>
    <mergeCell ref="N3630:N3634"/>
    <mergeCell ref="N3635:N3639"/>
    <mergeCell ref="N3640:N3644"/>
    <mergeCell ref="N3645:N3649"/>
    <mergeCell ref="N3650:N3654"/>
    <mergeCell ref="N3655:N3659"/>
    <mergeCell ref="N3660:N3664"/>
    <mergeCell ref="N3665:N3669"/>
    <mergeCell ref="N3670:N3674"/>
    <mergeCell ref="N3505:N3509"/>
    <mergeCell ref="N3510:N3514"/>
    <mergeCell ref="N3515:N3519"/>
    <mergeCell ref="N3520:N3524"/>
    <mergeCell ref="N3525:N3529"/>
    <mergeCell ref="N3530:N3534"/>
    <mergeCell ref="N3535:N3539"/>
    <mergeCell ref="N3540:N3544"/>
    <mergeCell ref="N3545:N3549"/>
    <mergeCell ref="N3550:N3554"/>
    <mergeCell ref="N3555:N3559"/>
    <mergeCell ref="N3560:N3564"/>
    <mergeCell ref="N3565:N3569"/>
    <mergeCell ref="N3570:N3574"/>
    <mergeCell ref="N3575:N3579"/>
    <mergeCell ref="N3580:N3584"/>
    <mergeCell ref="N3585:N3589"/>
    <mergeCell ref="N3420:N3424"/>
    <mergeCell ref="N3425:N3429"/>
    <mergeCell ref="N3430:N3434"/>
    <mergeCell ref="N3435:N3439"/>
    <mergeCell ref="N3440:N3444"/>
    <mergeCell ref="N3445:N3449"/>
    <mergeCell ref="N3450:N3454"/>
    <mergeCell ref="N3455:N3459"/>
    <mergeCell ref="N3460:N3464"/>
    <mergeCell ref="N3465:N3469"/>
    <mergeCell ref="N3470:N3474"/>
    <mergeCell ref="N3475:N3479"/>
    <mergeCell ref="N3480:N3484"/>
    <mergeCell ref="N3485:N3489"/>
    <mergeCell ref="N3490:N3494"/>
    <mergeCell ref="N3495:N3499"/>
    <mergeCell ref="N3500:N3504"/>
    <mergeCell ref="N3335:N3339"/>
    <mergeCell ref="N3340:N3344"/>
    <mergeCell ref="N3345:N3349"/>
    <mergeCell ref="N3350:N3354"/>
    <mergeCell ref="N3355:N3359"/>
    <mergeCell ref="N3360:N3364"/>
    <mergeCell ref="N3365:N3369"/>
    <mergeCell ref="N3370:N3374"/>
    <mergeCell ref="N3375:N3379"/>
    <mergeCell ref="N3380:N3384"/>
    <mergeCell ref="N3385:N3389"/>
    <mergeCell ref="N3390:N3394"/>
    <mergeCell ref="N3395:N3399"/>
    <mergeCell ref="N3400:N3404"/>
    <mergeCell ref="N3405:N3409"/>
    <mergeCell ref="N3410:N3414"/>
    <mergeCell ref="N3415:N3419"/>
    <mergeCell ref="N3250:N3254"/>
    <mergeCell ref="N3255:N3259"/>
    <mergeCell ref="N3260:N3264"/>
    <mergeCell ref="N3265:N3269"/>
    <mergeCell ref="N3270:N3274"/>
    <mergeCell ref="N3275:N3279"/>
    <mergeCell ref="N3280:N3284"/>
    <mergeCell ref="N3285:N3289"/>
    <mergeCell ref="N3290:N3294"/>
    <mergeCell ref="N3295:N3299"/>
    <mergeCell ref="N3300:N3304"/>
    <mergeCell ref="N3305:N3309"/>
    <mergeCell ref="N3310:N3314"/>
    <mergeCell ref="N3315:N3319"/>
    <mergeCell ref="N3320:N3324"/>
    <mergeCell ref="N3325:N3329"/>
    <mergeCell ref="N3330:N3334"/>
    <mergeCell ref="N3165:N3169"/>
    <mergeCell ref="N3170:N3174"/>
    <mergeCell ref="N3175:N3179"/>
    <mergeCell ref="N3180:N3184"/>
    <mergeCell ref="N3185:N3189"/>
    <mergeCell ref="N3190:N3194"/>
    <mergeCell ref="N3195:N3199"/>
    <mergeCell ref="N3200:N3204"/>
    <mergeCell ref="N3205:N3209"/>
    <mergeCell ref="N3210:N3214"/>
    <mergeCell ref="N3215:N3219"/>
    <mergeCell ref="N3220:N3224"/>
    <mergeCell ref="N3225:N3229"/>
    <mergeCell ref="N3230:N3234"/>
    <mergeCell ref="N3235:N3239"/>
    <mergeCell ref="N3240:N3244"/>
    <mergeCell ref="N3245:N3249"/>
    <mergeCell ref="N3080:N3084"/>
    <mergeCell ref="N3085:N3089"/>
    <mergeCell ref="N3090:N3094"/>
    <mergeCell ref="N3095:N3099"/>
    <mergeCell ref="N3100:N3104"/>
    <mergeCell ref="N3105:N3109"/>
    <mergeCell ref="N3110:N3114"/>
    <mergeCell ref="N3115:N3119"/>
    <mergeCell ref="N3120:N3124"/>
    <mergeCell ref="N3125:N3129"/>
    <mergeCell ref="N3130:N3134"/>
    <mergeCell ref="N3135:N3139"/>
    <mergeCell ref="N3140:N3144"/>
    <mergeCell ref="N3145:N3149"/>
    <mergeCell ref="N3150:N3154"/>
    <mergeCell ref="N3155:N3159"/>
    <mergeCell ref="N3160:N3164"/>
    <mergeCell ref="N2995:N2999"/>
    <mergeCell ref="N3000:N3004"/>
    <mergeCell ref="N3005:N3009"/>
    <mergeCell ref="N3010:N3014"/>
    <mergeCell ref="N3015:N3019"/>
    <mergeCell ref="N3020:N3024"/>
    <mergeCell ref="N3025:N3029"/>
    <mergeCell ref="N3030:N3034"/>
    <mergeCell ref="N3035:N3039"/>
    <mergeCell ref="N3040:N3044"/>
    <mergeCell ref="N3045:N3049"/>
    <mergeCell ref="N3050:N3054"/>
    <mergeCell ref="N3055:N3059"/>
    <mergeCell ref="N3060:N3064"/>
    <mergeCell ref="N3065:N3069"/>
    <mergeCell ref="N3070:N3074"/>
    <mergeCell ref="N3075:N3079"/>
    <mergeCell ref="N2910:N2914"/>
    <mergeCell ref="N2915:N2919"/>
    <mergeCell ref="N2920:N2924"/>
    <mergeCell ref="N2925:N2929"/>
    <mergeCell ref="N2930:N2934"/>
    <mergeCell ref="N2935:N2939"/>
    <mergeCell ref="N2940:N2944"/>
    <mergeCell ref="N2945:N2949"/>
    <mergeCell ref="N2950:N2954"/>
    <mergeCell ref="N2955:N2959"/>
    <mergeCell ref="N2960:N2964"/>
    <mergeCell ref="N2965:N2969"/>
    <mergeCell ref="N2970:N2974"/>
    <mergeCell ref="N2975:N2979"/>
    <mergeCell ref="N2980:N2984"/>
    <mergeCell ref="N2985:N2989"/>
    <mergeCell ref="N2990:N2994"/>
    <mergeCell ref="N2825:N2829"/>
    <mergeCell ref="N2830:N2834"/>
    <mergeCell ref="N2835:N2839"/>
    <mergeCell ref="N2840:N2844"/>
    <mergeCell ref="N2845:N2849"/>
    <mergeCell ref="N2850:N2854"/>
    <mergeCell ref="N2855:N2859"/>
    <mergeCell ref="N2860:N2864"/>
    <mergeCell ref="N2865:N2869"/>
    <mergeCell ref="N2870:N2874"/>
    <mergeCell ref="N2875:N2879"/>
    <mergeCell ref="N2880:N2884"/>
    <mergeCell ref="N2885:N2889"/>
    <mergeCell ref="N2890:N2894"/>
    <mergeCell ref="N2895:N2899"/>
    <mergeCell ref="N2900:N2904"/>
    <mergeCell ref="N2905:N2909"/>
    <mergeCell ref="N2740:N2744"/>
    <mergeCell ref="N2745:N2749"/>
    <mergeCell ref="N2750:N2754"/>
    <mergeCell ref="N2755:N2759"/>
    <mergeCell ref="N2760:N2764"/>
    <mergeCell ref="N2765:N2769"/>
    <mergeCell ref="N2770:N2774"/>
    <mergeCell ref="N2775:N2779"/>
    <mergeCell ref="N2780:N2784"/>
    <mergeCell ref="N2785:N2789"/>
    <mergeCell ref="N2790:N2794"/>
    <mergeCell ref="N2795:N2799"/>
    <mergeCell ref="N2800:N2804"/>
    <mergeCell ref="N2805:N2809"/>
    <mergeCell ref="N2810:N2814"/>
    <mergeCell ref="N2815:N2819"/>
    <mergeCell ref="N2820:N2824"/>
    <mergeCell ref="N2655:N2659"/>
    <mergeCell ref="N2660:N2664"/>
    <mergeCell ref="N2665:N2669"/>
    <mergeCell ref="N2670:N2674"/>
    <mergeCell ref="N2675:N2679"/>
    <mergeCell ref="N2680:N2684"/>
    <mergeCell ref="N2685:N2689"/>
    <mergeCell ref="N2690:N2694"/>
    <mergeCell ref="N2695:N2699"/>
    <mergeCell ref="N2700:N2704"/>
    <mergeCell ref="N2705:N2709"/>
    <mergeCell ref="N2710:N2714"/>
    <mergeCell ref="N2715:N2719"/>
    <mergeCell ref="N2720:N2724"/>
    <mergeCell ref="N2725:N2729"/>
    <mergeCell ref="N2730:N2734"/>
    <mergeCell ref="N2735:N2739"/>
    <mergeCell ref="N2570:N2574"/>
    <mergeCell ref="N2575:N2579"/>
    <mergeCell ref="N2580:N2584"/>
    <mergeCell ref="N2585:N2589"/>
    <mergeCell ref="N2590:N2594"/>
    <mergeCell ref="N2595:N2599"/>
    <mergeCell ref="N2600:N2604"/>
    <mergeCell ref="N2605:N2609"/>
    <mergeCell ref="N2610:N2614"/>
    <mergeCell ref="N2615:N2619"/>
    <mergeCell ref="N2620:N2624"/>
    <mergeCell ref="N2625:N2629"/>
    <mergeCell ref="N2630:N2634"/>
    <mergeCell ref="N2635:N2639"/>
    <mergeCell ref="N2640:N2644"/>
    <mergeCell ref="N2645:N2649"/>
    <mergeCell ref="N2650:N2654"/>
    <mergeCell ref="N2485:N2489"/>
    <mergeCell ref="N2490:N2494"/>
    <mergeCell ref="N2495:N2499"/>
    <mergeCell ref="N2500:N2504"/>
    <mergeCell ref="N2505:N2509"/>
    <mergeCell ref="N2510:N2514"/>
    <mergeCell ref="N2515:N2519"/>
    <mergeCell ref="N2520:N2524"/>
    <mergeCell ref="N2525:N2529"/>
    <mergeCell ref="N2530:N2534"/>
    <mergeCell ref="N2535:N2539"/>
    <mergeCell ref="N2540:N2544"/>
    <mergeCell ref="N2545:N2549"/>
    <mergeCell ref="N2550:N2554"/>
    <mergeCell ref="N2555:N2559"/>
    <mergeCell ref="N2560:N2564"/>
    <mergeCell ref="N2565:N2569"/>
    <mergeCell ref="N2400:N2404"/>
    <mergeCell ref="N2405:N2409"/>
    <mergeCell ref="N2410:N2414"/>
    <mergeCell ref="N2415:N2419"/>
    <mergeCell ref="N2420:N2424"/>
    <mergeCell ref="N2425:N2429"/>
    <mergeCell ref="N2430:N2434"/>
    <mergeCell ref="N2435:N2439"/>
    <mergeCell ref="N2440:N2444"/>
    <mergeCell ref="N2445:N2449"/>
    <mergeCell ref="N2450:N2454"/>
    <mergeCell ref="N2455:N2459"/>
    <mergeCell ref="N2460:N2464"/>
    <mergeCell ref="N2465:N2469"/>
    <mergeCell ref="N2470:N2474"/>
    <mergeCell ref="N2475:N2479"/>
    <mergeCell ref="N2480:N2484"/>
    <mergeCell ref="N2315:N2319"/>
    <mergeCell ref="N2320:N2324"/>
    <mergeCell ref="N2325:N2329"/>
    <mergeCell ref="N2330:N2334"/>
    <mergeCell ref="N2335:N2339"/>
    <mergeCell ref="N2340:N2344"/>
    <mergeCell ref="N2345:N2349"/>
    <mergeCell ref="N2350:N2354"/>
    <mergeCell ref="N2355:N2359"/>
    <mergeCell ref="N2360:N2364"/>
    <mergeCell ref="N2365:N2369"/>
    <mergeCell ref="N2370:N2374"/>
    <mergeCell ref="N2375:N2379"/>
    <mergeCell ref="N2380:N2384"/>
    <mergeCell ref="N2385:N2389"/>
    <mergeCell ref="N2390:N2394"/>
    <mergeCell ref="N2395:N2399"/>
    <mergeCell ref="N2230:N2234"/>
    <mergeCell ref="N2235:N2239"/>
    <mergeCell ref="N2240:N2244"/>
    <mergeCell ref="N2245:N2249"/>
    <mergeCell ref="N2250:N2254"/>
    <mergeCell ref="N2255:N2259"/>
    <mergeCell ref="N2260:N2264"/>
    <mergeCell ref="N2265:N2269"/>
    <mergeCell ref="N2270:N2274"/>
    <mergeCell ref="N2275:N2279"/>
    <mergeCell ref="N2280:N2284"/>
    <mergeCell ref="N2285:N2289"/>
    <mergeCell ref="N2290:N2294"/>
    <mergeCell ref="N2295:N2299"/>
    <mergeCell ref="N2300:N2304"/>
    <mergeCell ref="N2305:N2309"/>
    <mergeCell ref="N2310:N2314"/>
    <mergeCell ref="N2145:N2149"/>
    <mergeCell ref="N2150:N2154"/>
    <mergeCell ref="N2155:N2159"/>
    <mergeCell ref="N2160:N2164"/>
    <mergeCell ref="N2165:N2169"/>
    <mergeCell ref="N2170:N2174"/>
    <mergeCell ref="N2175:N2179"/>
    <mergeCell ref="N2180:N2184"/>
    <mergeCell ref="N2185:N2189"/>
    <mergeCell ref="N2190:N2194"/>
    <mergeCell ref="N2195:N2199"/>
    <mergeCell ref="N2200:N2204"/>
    <mergeCell ref="N2205:N2209"/>
    <mergeCell ref="N2210:N2214"/>
    <mergeCell ref="N2215:N2219"/>
    <mergeCell ref="N2220:N2224"/>
    <mergeCell ref="N2225:N2229"/>
    <mergeCell ref="N2060:N2064"/>
    <mergeCell ref="N2065:N2069"/>
    <mergeCell ref="N2070:N2074"/>
    <mergeCell ref="N2075:N2079"/>
    <mergeCell ref="N2080:N2084"/>
    <mergeCell ref="N2085:N2089"/>
    <mergeCell ref="N2090:N2094"/>
    <mergeCell ref="N2095:N2099"/>
    <mergeCell ref="N2100:N2104"/>
    <mergeCell ref="N2105:N2109"/>
    <mergeCell ref="N2110:N2114"/>
    <mergeCell ref="N2115:N2119"/>
    <mergeCell ref="N2120:N2124"/>
    <mergeCell ref="N2125:N2129"/>
    <mergeCell ref="N2130:N2134"/>
    <mergeCell ref="N2135:N2139"/>
    <mergeCell ref="N2140:N2144"/>
    <mergeCell ref="N1975:N1979"/>
    <mergeCell ref="N1980:N1984"/>
    <mergeCell ref="N1985:N1989"/>
    <mergeCell ref="N1990:N1994"/>
    <mergeCell ref="N1995:N1999"/>
    <mergeCell ref="N2000:N2004"/>
    <mergeCell ref="N2005:N2009"/>
    <mergeCell ref="N2010:N2014"/>
    <mergeCell ref="N2015:N2019"/>
    <mergeCell ref="N2020:N2024"/>
    <mergeCell ref="N2025:N2029"/>
    <mergeCell ref="N2030:N2034"/>
    <mergeCell ref="N2035:N2039"/>
    <mergeCell ref="N2040:N2044"/>
    <mergeCell ref="N2045:N2049"/>
    <mergeCell ref="N2050:N2054"/>
    <mergeCell ref="N2055:N2059"/>
    <mergeCell ref="N1890:N1894"/>
    <mergeCell ref="N1895:N1899"/>
    <mergeCell ref="N1900:N1904"/>
    <mergeCell ref="N1905:N1909"/>
    <mergeCell ref="N1910:N1914"/>
    <mergeCell ref="N1915:N1919"/>
    <mergeCell ref="N1920:N1924"/>
    <mergeCell ref="N1925:N1929"/>
    <mergeCell ref="N1930:N1934"/>
    <mergeCell ref="N1935:N1939"/>
    <mergeCell ref="N1940:N1944"/>
    <mergeCell ref="N1945:N1949"/>
    <mergeCell ref="N1950:N1954"/>
    <mergeCell ref="N1955:N1959"/>
    <mergeCell ref="N1960:N1964"/>
    <mergeCell ref="N1965:N1969"/>
    <mergeCell ref="N1970:N1974"/>
    <mergeCell ref="N1805:N1809"/>
    <mergeCell ref="N1810:N1814"/>
    <mergeCell ref="N1815:N1819"/>
    <mergeCell ref="N1820:N1824"/>
    <mergeCell ref="N1825:N1829"/>
    <mergeCell ref="N1830:N1834"/>
    <mergeCell ref="N1835:N1839"/>
    <mergeCell ref="N1840:N1844"/>
    <mergeCell ref="N1845:N1849"/>
    <mergeCell ref="N1850:N1854"/>
    <mergeCell ref="N1855:N1859"/>
    <mergeCell ref="N1860:N1864"/>
    <mergeCell ref="N1865:N1869"/>
    <mergeCell ref="N1870:N1874"/>
    <mergeCell ref="N1875:N1879"/>
    <mergeCell ref="N1880:N1884"/>
    <mergeCell ref="N1885:N1889"/>
    <mergeCell ref="N1720:N1724"/>
    <mergeCell ref="N1725:N1729"/>
    <mergeCell ref="N1730:N1734"/>
    <mergeCell ref="N1735:N1739"/>
    <mergeCell ref="N1740:N1744"/>
    <mergeCell ref="N1745:N1749"/>
    <mergeCell ref="N1750:N1754"/>
    <mergeCell ref="N1755:N1759"/>
    <mergeCell ref="N1760:N1764"/>
    <mergeCell ref="N1765:N1769"/>
    <mergeCell ref="N1770:N1774"/>
    <mergeCell ref="N1775:N1779"/>
    <mergeCell ref="N1780:N1784"/>
    <mergeCell ref="N1785:N1789"/>
    <mergeCell ref="N1790:N1794"/>
    <mergeCell ref="N1795:N1799"/>
    <mergeCell ref="N1800:N1804"/>
    <mergeCell ref="N1635:N1639"/>
    <mergeCell ref="N1640:N1644"/>
    <mergeCell ref="N1645:N1649"/>
    <mergeCell ref="N1650:N1654"/>
    <mergeCell ref="N1655:N1659"/>
    <mergeCell ref="N1660:N1664"/>
    <mergeCell ref="N1665:N1669"/>
    <mergeCell ref="N1670:N1674"/>
    <mergeCell ref="N1675:N1679"/>
    <mergeCell ref="N1680:N1684"/>
    <mergeCell ref="N1685:N1689"/>
    <mergeCell ref="N1690:N1694"/>
    <mergeCell ref="N1695:N1699"/>
    <mergeCell ref="N1700:N1704"/>
    <mergeCell ref="N1705:N1709"/>
    <mergeCell ref="N1710:N1714"/>
    <mergeCell ref="N1715:N1719"/>
    <mergeCell ref="N1550:N1554"/>
    <mergeCell ref="N1555:N1559"/>
    <mergeCell ref="N1560:N1564"/>
    <mergeCell ref="N1565:N1569"/>
    <mergeCell ref="N1570:N1574"/>
    <mergeCell ref="N1575:N1579"/>
    <mergeCell ref="N1580:N1584"/>
    <mergeCell ref="N1585:N1589"/>
    <mergeCell ref="N1590:N1594"/>
    <mergeCell ref="N1595:N1599"/>
    <mergeCell ref="N1600:N1604"/>
    <mergeCell ref="N1605:N1609"/>
    <mergeCell ref="N1610:N1614"/>
    <mergeCell ref="N1615:N1619"/>
    <mergeCell ref="N1620:N1624"/>
    <mergeCell ref="N1625:N1629"/>
    <mergeCell ref="N1630:N1634"/>
    <mergeCell ref="N1465:N1469"/>
    <mergeCell ref="N1470:N1474"/>
    <mergeCell ref="N1475:N1479"/>
    <mergeCell ref="N1480:N1484"/>
    <mergeCell ref="N1485:N1489"/>
    <mergeCell ref="N1490:N1494"/>
    <mergeCell ref="N1495:N1499"/>
    <mergeCell ref="N1500:N1504"/>
    <mergeCell ref="N1505:N1509"/>
    <mergeCell ref="N1510:N1514"/>
    <mergeCell ref="N1515:N1519"/>
    <mergeCell ref="N1520:N1524"/>
    <mergeCell ref="N1525:N1529"/>
    <mergeCell ref="N1530:N1534"/>
    <mergeCell ref="N1535:N1539"/>
    <mergeCell ref="N1540:N1544"/>
    <mergeCell ref="N1545:N1549"/>
    <mergeCell ref="N1380:N1384"/>
    <mergeCell ref="N1385:N1389"/>
    <mergeCell ref="N1390:N1394"/>
    <mergeCell ref="N1395:N1399"/>
    <mergeCell ref="N1400:N1404"/>
    <mergeCell ref="N1405:N1409"/>
    <mergeCell ref="N1410:N1414"/>
    <mergeCell ref="N1415:N1419"/>
    <mergeCell ref="N1420:N1424"/>
    <mergeCell ref="N1425:N1429"/>
    <mergeCell ref="N1430:N1434"/>
    <mergeCell ref="N1435:N1439"/>
    <mergeCell ref="N1440:N1444"/>
    <mergeCell ref="N1445:N1449"/>
    <mergeCell ref="N1450:N1454"/>
    <mergeCell ref="N1455:N1459"/>
    <mergeCell ref="N1460:N1464"/>
    <mergeCell ref="N1295:N1299"/>
    <mergeCell ref="N1300:N1304"/>
    <mergeCell ref="N1305:N1309"/>
    <mergeCell ref="N1310:N1314"/>
    <mergeCell ref="N1315:N1319"/>
    <mergeCell ref="N1320:N1324"/>
    <mergeCell ref="N1325:N1329"/>
    <mergeCell ref="N1330:N1334"/>
    <mergeCell ref="N1335:N1339"/>
    <mergeCell ref="N1340:N1344"/>
    <mergeCell ref="N1345:N1349"/>
    <mergeCell ref="N1350:N1354"/>
    <mergeCell ref="N1355:N1359"/>
    <mergeCell ref="N1360:N1364"/>
    <mergeCell ref="N1365:N1369"/>
    <mergeCell ref="N1370:N1374"/>
    <mergeCell ref="N1375:N1379"/>
    <mergeCell ref="N1210:N1214"/>
    <mergeCell ref="N1215:N1219"/>
    <mergeCell ref="N1220:N1224"/>
    <mergeCell ref="N1225:N1229"/>
    <mergeCell ref="N1230:N1234"/>
    <mergeCell ref="N1235:N1239"/>
    <mergeCell ref="N1240:N1244"/>
    <mergeCell ref="N1245:N1249"/>
    <mergeCell ref="N1250:N1254"/>
    <mergeCell ref="N1255:N1259"/>
    <mergeCell ref="N1260:N1264"/>
    <mergeCell ref="N1265:N1269"/>
    <mergeCell ref="N1270:N1274"/>
    <mergeCell ref="N1275:N1279"/>
    <mergeCell ref="N1280:N1284"/>
    <mergeCell ref="N1285:N1289"/>
    <mergeCell ref="N1290:N1294"/>
    <mergeCell ref="N1125:N1129"/>
    <mergeCell ref="N1130:N1134"/>
    <mergeCell ref="N1135:N1139"/>
    <mergeCell ref="N1140:N1144"/>
    <mergeCell ref="N1145:N1149"/>
    <mergeCell ref="N1150:N1154"/>
    <mergeCell ref="N1155:N1159"/>
    <mergeCell ref="N1160:N1164"/>
    <mergeCell ref="N1165:N1169"/>
    <mergeCell ref="N1170:N1174"/>
    <mergeCell ref="N1175:N1179"/>
    <mergeCell ref="N1180:N1184"/>
    <mergeCell ref="N1185:N1189"/>
    <mergeCell ref="N1190:N1194"/>
    <mergeCell ref="N1195:N1199"/>
    <mergeCell ref="N1200:N1204"/>
    <mergeCell ref="N1205:N1209"/>
    <mergeCell ref="N1085:N1089"/>
    <mergeCell ref="N1090:N1094"/>
    <mergeCell ref="N1095:N1099"/>
    <mergeCell ref="N1100:N1104"/>
    <mergeCell ref="N1105:N1109"/>
    <mergeCell ref="N1110:N1114"/>
    <mergeCell ref="N1115:N1119"/>
    <mergeCell ref="N1120:N1124"/>
    <mergeCell ref="G3:N3"/>
    <mergeCell ref="N1075:N1079"/>
    <mergeCell ref="N1080:N1084"/>
    <mergeCell ref="N1045:N1049"/>
    <mergeCell ref="N1050:N1054"/>
    <mergeCell ref="N1055:N1059"/>
    <mergeCell ref="N1060:N1064"/>
    <mergeCell ref="N1065:N1069"/>
    <mergeCell ref="N1070:N1074"/>
    <mergeCell ref="N1015:N1019"/>
    <mergeCell ref="N1020:N1024"/>
    <mergeCell ref="N1025:N1029"/>
    <mergeCell ref="N1030:N1034"/>
    <mergeCell ref="N1035:N1039"/>
    <mergeCell ref="N1040:N1044"/>
    <mergeCell ref="N985:N989"/>
    <mergeCell ref="N925:N929"/>
    <mergeCell ref="N930:N934"/>
    <mergeCell ref="N935:N939"/>
    <mergeCell ref="N940:N944"/>
    <mergeCell ref="N945:N949"/>
    <mergeCell ref="N950:N954"/>
    <mergeCell ref="N895:N899"/>
    <mergeCell ref="N900:N904"/>
    <mergeCell ref="N905:N909"/>
    <mergeCell ref="N910:N914"/>
    <mergeCell ref="N915:N919"/>
    <mergeCell ref="N920:N924"/>
    <mergeCell ref="N990:N994"/>
    <mergeCell ref="N995:N999"/>
    <mergeCell ref="N1000:N1004"/>
    <mergeCell ref="N1005:N1009"/>
    <mergeCell ref="N1010:N1014"/>
    <mergeCell ref="N955:N959"/>
    <mergeCell ref="N960:N964"/>
    <mergeCell ref="N965:N969"/>
    <mergeCell ref="N970:N974"/>
    <mergeCell ref="N975:N979"/>
    <mergeCell ref="N980:N984"/>
    <mergeCell ref="N695:N699"/>
    <mergeCell ref="N700:N704"/>
    <mergeCell ref="N705:N709"/>
    <mergeCell ref="N710:N714"/>
    <mergeCell ref="N715:N719"/>
    <mergeCell ref="N720:N724"/>
    <mergeCell ref="N785:N789"/>
    <mergeCell ref="N790:N794"/>
    <mergeCell ref="N795:N799"/>
    <mergeCell ref="N800:N804"/>
    <mergeCell ref="N805:N809"/>
    <mergeCell ref="N810:N814"/>
    <mergeCell ref="N845:N849"/>
    <mergeCell ref="N850:N854"/>
    <mergeCell ref="N855:N859"/>
    <mergeCell ref="N830:N834"/>
    <mergeCell ref="N835:N839"/>
    <mergeCell ref="N665:N669"/>
    <mergeCell ref="N670:N674"/>
    <mergeCell ref="N675:N679"/>
    <mergeCell ref="N865:N869"/>
    <mergeCell ref="N870:N874"/>
    <mergeCell ref="N875:N879"/>
    <mergeCell ref="N880:N884"/>
    <mergeCell ref="N885:N889"/>
    <mergeCell ref="N890:N894"/>
    <mergeCell ref="N575:N579"/>
    <mergeCell ref="N580:N584"/>
    <mergeCell ref="N605:N609"/>
    <mergeCell ref="N610:N614"/>
    <mergeCell ref="N615:N619"/>
    <mergeCell ref="N620:N624"/>
    <mergeCell ref="N860:N864"/>
    <mergeCell ref="N680:N684"/>
    <mergeCell ref="N685:N689"/>
    <mergeCell ref="N690:N694"/>
    <mergeCell ref="N635:N639"/>
    <mergeCell ref="N640:N644"/>
    <mergeCell ref="N645:N649"/>
    <mergeCell ref="N650:N654"/>
    <mergeCell ref="N655:N659"/>
    <mergeCell ref="N660:N664"/>
    <mergeCell ref="N585:N589"/>
    <mergeCell ref="N725:N729"/>
    <mergeCell ref="N730:N734"/>
    <mergeCell ref="N735:N739"/>
    <mergeCell ref="N815:N819"/>
    <mergeCell ref="N820:N824"/>
    <mergeCell ref="N825:N829"/>
    <mergeCell ref="N840:N844"/>
    <mergeCell ref="N740:N744"/>
    <mergeCell ref="N745:N749"/>
    <mergeCell ref="N750:N754"/>
    <mergeCell ref="N755:N759"/>
    <mergeCell ref="N760:N764"/>
    <mergeCell ref="N765:N769"/>
    <mergeCell ref="N770:N774"/>
    <mergeCell ref="N775:N779"/>
    <mergeCell ref="N780:N784"/>
    <mergeCell ref="N515:N519"/>
    <mergeCell ref="N520:N524"/>
    <mergeCell ref="N525:N529"/>
    <mergeCell ref="N530:N534"/>
    <mergeCell ref="N475:N479"/>
    <mergeCell ref="N480:N484"/>
    <mergeCell ref="N485:N489"/>
    <mergeCell ref="N490:N494"/>
    <mergeCell ref="N495:N499"/>
    <mergeCell ref="N500:N504"/>
    <mergeCell ref="N595:N599"/>
    <mergeCell ref="N600:N604"/>
    <mergeCell ref="N625:N629"/>
    <mergeCell ref="N630:N634"/>
    <mergeCell ref="N535:N539"/>
    <mergeCell ref="N540:N544"/>
    <mergeCell ref="N545:N549"/>
    <mergeCell ref="N550:N554"/>
    <mergeCell ref="N555:N559"/>
    <mergeCell ref="N560:N564"/>
    <mergeCell ref="N565:N569"/>
    <mergeCell ref="N570:N574"/>
    <mergeCell ref="N590:N594"/>
    <mergeCell ref="N470:N474"/>
    <mergeCell ref="N375:N379"/>
    <mergeCell ref="N380:N384"/>
    <mergeCell ref="N405:N409"/>
    <mergeCell ref="N410:N414"/>
    <mergeCell ref="N415:N419"/>
    <mergeCell ref="N420:N424"/>
    <mergeCell ref="N385:N389"/>
    <mergeCell ref="N390:N394"/>
    <mergeCell ref="N395:N399"/>
    <mergeCell ref="N400:N404"/>
    <mergeCell ref="N425:N429"/>
    <mergeCell ref="N430:N434"/>
    <mergeCell ref="N435:N439"/>
    <mergeCell ref="N440:N444"/>
    <mergeCell ref="N505:N509"/>
    <mergeCell ref="N510:N514"/>
    <mergeCell ref="N345:N349"/>
    <mergeCell ref="N350:N354"/>
    <mergeCell ref="N355:N359"/>
    <mergeCell ref="N360:N364"/>
    <mergeCell ref="N365:N369"/>
    <mergeCell ref="N370:N374"/>
    <mergeCell ref="N315:N319"/>
    <mergeCell ref="N320:N324"/>
    <mergeCell ref="N325:N329"/>
    <mergeCell ref="N330:N334"/>
    <mergeCell ref="N335:N339"/>
    <mergeCell ref="N340:N344"/>
    <mergeCell ref="N445:N449"/>
    <mergeCell ref="N450:N454"/>
    <mergeCell ref="N455:N459"/>
    <mergeCell ref="N460:N464"/>
    <mergeCell ref="N465:N469"/>
    <mergeCell ref="N230:N234"/>
    <mergeCell ref="N205:N209"/>
    <mergeCell ref="N210:N214"/>
    <mergeCell ref="N215:N219"/>
    <mergeCell ref="N220:N224"/>
    <mergeCell ref="N285:N289"/>
    <mergeCell ref="N290:N294"/>
    <mergeCell ref="N295:N299"/>
    <mergeCell ref="N300:N304"/>
    <mergeCell ref="N305:N309"/>
    <mergeCell ref="N310:N314"/>
    <mergeCell ref="N235:N239"/>
    <mergeCell ref="N240:N244"/>
    <mergeCell ref="N265:N269"/>
    <mergeCell ref="N270:N274"/>
    <mergeCell ref="N275:N279"/>
    <mergeCell ref="N280:N284"/>
    <mergeCell ref="N245:N249"/>
    <mergeCell ref="N250:N254"/>
    <mergeCell ref="N255:N259"/>
    <mergeCell ref="N260:N264"/>
    <mergeCell ref="N155:N159"/>
    <mergeCell ref="N160:N164"/>
    <mergeCell ref="N165:N169"/>
    <mergeCell ref="N170:N174"/>
    <mergeCell ref="N175:N179"/>
    <mergeCell ref="N180:N184"/>
    <mergeCell ref="N125:N129"/>
    <mergeCell ref="N130:N134"/>
    <mergeCell ref="N135:N139"/>
    <mergeCell ref="N140:N144"/>
    <mergeCell ref="N145:N149"/>
    <mergeCell ref="N150:N154"/>
    <mergeCell ref="N185:N189"/>
    <mergeCell ref="N190:N194"/>
    <mergeCell ref="N195:N199"/>
    <mergeCell ref="N200:N204"/>
    <mergeCell ref="N225:N229"/>
    <mergeCell ref="H4:I4"/>
    <mergeCell ref="N5:N9"/>
    <mergeCell ref="N10:N14"/>
    <mergeCell ref="N15:N19"/>
    <mergeCell ref="N20:N24"/>
    <mergeCell ref="N95:N99"/>
    <mergeCell ref="N100:N104"/>
    <mergeCell ref="N105:N109"/>
    <mergeCell ref="N25:N29"/>
    <mergeCell ref="N30:N34"/>
    <mergeCell ref="N35:N39"/>
    <mergeCell ref="N40:N44"/>
    <mergeCell ref="N45:N49"/>
    <mergeCell ref="N50:N54"/>
    <mergeCell ref="N55:N59"/>
    <mergeCell ref="N60:N64"/>
    <mergeCell ref="N85:N89"/>
    <mergeCell ref="N90:N94"/>
    <mergeCell ref="N75:N79"/>
    <mergeCell ref="N80:N84"/>
    <mergeCell ref="N65:N69"/>
    <mergeCell ref="N70:N74"/>
    <mergeCell ref="J25:J29"/>
    <mergeCell ref="J30:J34"/>
    <mergeCell ref="J35:J39"/>
    <mergeCell ref="J40:J44"/>
    <mergeCell ref="J45:J49"/>
    <mergeCell ref="J50:J54"/>
    <mergeCell ref="J55:J59"/>
    <mergeCell ref="J60:J64"/>
    <mergeCell ref="J65:J69"/>
    <mergeCell ref="J70:J74"/>
    <mergeCell ref="P5:P9"/>
    <mergeCell ref="P10:P14"/>
    <mergeCell ref="Q5:Q9"/>
    <mergeCell ref="Q10:Q14"/>
    <mergeCell ref="J1385:J1389"/>
    <mergeCell ref="J305:J309"/>
    <mergeCell ref="O305:O309"/>
    <mergeCell ref="J2840:J2844"/>
    <mergeCell ref="O2840:O2844"/>
    <mergeCell ref="J5:J9"/>
    <mergeCell ref="O5:O9"/>
    <mergeCell ref="J10:J14"/>
    <mergeCell ref="O10:O14"/>
    <mergeCell ref="O15:O19"/>
    <mergeCell ref="O20:O24"/>
    <mergeCell ref="O25:O29"/>
    <mergeCell ref="O30:O34"/>
    <mergeCell ref="O35:O39"/>
    <mergeCell ref="O40:O44"/>
    <mergeCell ref="O45:O49"/>
    <mergeCell ref="O50:O54"/>
    <mergeCell ref="O55:O59"/>
    <mergeCell ref="O60:O64"/>
    <mergeCell ref="J20:J24"/>
    <mergeCell ref="J15:J19"/>
    <mergeCell ref="N110:N114"/>
    <mergeCell ref="N115:N119"/>
    <mergeCell ref="N120:N124"/>
    <mergeCell ref="P40:P44"/>
    <mergeCell ref="P45:P49"/>
    <mergeCell ref="P50:P54"/>
    <mergeCell ref="P55:P59"/>
    <mergeCell ref="P90:P94"/>
    <mergeCell ref="P95:P99"/>
    <mergeCell ref="P100:P104"/>
    <mergeCell ref="P105:P109"/>
    <mergeCell ref="P110:P114"/>
    <mergeCell ref="P65:P69"/>
    <mergeCell ref="P70:P74"/>
    <mergeCell ref="P75:P79"/>
    <mergeCell ref="P80:P84"/>
    <mergeCell ref="P85:P89"/>
    <mergeCell ref="O190:O194"/>
    <mergeCell ref="P140:P144"/>
    <mergeCell ref="P145:P149"/>
    <mergeCell ref="O65:O69"/>
    <mergeCell ref="O70:O74"/>
    <mergeCell ref="O75:O79"/>
    <mergeCell ref="O80:O84"/>
    <mergeCell ref="O85:O89"/>
    <mergeCell ref="O90:O94"/>
    <mergeCell ref="O95:O99"/>
    <mergeCell ref="O100:O104"/>
    <mergeCell ref="O105:O109"/>
    <mergeCell ref="O110:O114"/>
    <mergeCell ref="O115:O119"/>
    <mergeCell ref="O120:O124"/>
    <mergeCell ref="O125:O129"/>
    <mergeCell ref="P125:P129"/>
    <mergeCell ref="P130:P134"/>
    <mergeCell ref="P135:P139"/>
    <mergeCell ref="P165:P169"/>
    <mergeCell ref="P170:P174"/>
    <mergeCell ref="P175:P179"/>
    <mergeCell ref="O195:O199"/>
    <mergeCell ref="O200:O204"/>
    <mergeCell ref="Q15:Q19"/>
    <mergeCell ref="Q20:Q24"/>
    <mergeCell ref="Q25:Q29"/>
    <mergeCell ref="Q30:Q34"/>
    <mergeCell ref="Q35:Q39"/>
    <mergeCell ref="Q40:Q44"/>
    <mergeCell ref="Q45:Q49"/>
    <mergeCell ref="Q50:Q54"/>
    <mergeCell ref="Q55:Q59"/>
    <mergeCell ref="Q60:Q64"/>
    <mergeCell ref="Q65:Q69"/>
    <mergeCell ref="O150:O154"/>
    <mergeCell ref="O155:O159"/>
    <mergeCell ref="O160:O164"/>
    <mergeCell ref="O165:O169"/>
    <mergeCell ref="O170:O174"/>
    <mergeCell ref="O175:O179"/>
    <mergeCell ref="O180:O184"/>
    <mergeCell ref="O185:O189"/>
    <mergeCell ref="Q95:Q99"/>
    <mergeCell ref="Q100:Q104"/>
    <mergeCell ref="P60:P64"/>
    <mergeCell ref="P15:P19"/>
    <mergeCell ref="P20:P24"/>
    <mergeCell ref="P25:P29"/>
    <mergeCell ref="P30:P34"/>
    <mergeCell ref="P35:P39"/>
    <mergeCell ref="P150:P154"/>
    <mergeCell ref="P155:P159"/>
    <mergeCell ref="P160:P164"/>
    <mergeCell ref="O205:O209"/>
    <mergeCell ref="O210:O214"/>
    <mergeCell ref="O215:O219"/>
    <mergeCell ref="O220:O224"/>
    <mergeCell ref="O225:O229"/>
    <mergeCell ref="O230:O234"/>
    <mergeCell ref="O235:O239"/>
    <mergeCell ref="P200:P204"/>
    <mergeCell ref="Q105:Q109"/>
    <mergeCell ref="Q110:Q114"/>
    <mergeCell ref="Q115:Q119"/>
    <mergeCell ref="Q70:Q74"/>
    <mergeCell ref="Q75:Q79"/>
    <mergeCell ref="Q80:Q84"/>
    <mergeCell ref="Q85:Q89"/>
    <mergeCell ref="Q90:Q94"/>
    <mergeCell ref="Q145:Q149"/>
    <mergeCell ref="Q150:Q154"/>
    <mergeCell ref="Q155:Q159"/>
    <mergeCell ref="Q160:Q164"/>
    <mergeCell ref="Q165:Q169"/>
    <mergeCell ref="Q120:Q124"/>
    <mergeCell ref="Q125:Q129"/>
    <mergeCell ref="Q130:Q134"/>
    <mergeCell ref="Q135:Q139"/>
    <mergeCell ref="Q140:Q144"/>
    <mergeCell ref="O130:O134"/>
    <mergeCell ref="O135:O139"/>
    <mergeCell ref="O140:O144"/>
    <mergeCell ref="O145:O149"/>
    <mergeCell ref="P115:P119"/>
    <mergeCell ref="P120:P124"/>
    <mergeCell ref="O335:O339"/>
    <mergeCell ref="O340:O344"/>
    <mergeCell ref="O250:O254"/>
    <mergeCell ref="O255:O259"/>
    <mergeCell ref="O260:O264"/>
    <mergeCell ref="O265:O269"/>
    <mergeCell ref="O270:O274"/>
    <mergeCell ref="O275:O279"/>
    <mergeCell ref="O280:O284"/>
    <mergeCell ref="O285:O289"/>
    <mergeCell ref="O290:O294"/>
    <mergeCell ref="Q270:Q274"/>
    <mergeCell ref="Q305:Q309"/>
    <mergeCell ref="Q310:Q314"/>
    <mergeCell ref="Q315:Q319"/>
    <mergeCell ref="Q290:Q294"/>
    <mergeCell ref="Q295:Q299"/>
    <mergeCell ref="O570:O574"/>
    <mergeCell ref="O575:O579"/>
    <mergeCell ref="O580:O584"/>
    <mergeCell ref="O585:O589"/>
    <mergeCell ref="O590:O594"/>
    <mergeCell ref="O595:O599"/>
    <mergeCell ref="O600:O604"/>
    <mergeCell ref="O605:O609"/>
    <mergeCell ref="O610:O614"/>
    <mergeCell ref="O525:O529"/>
    <mergeCell ref="O530:O534"/>
    <mergeCell ref="O535:O539"/>
    <mergeCell ref="O540:O544"/>
    <mergeCell ref="O545:O549"/>
    <mergeCell ref="O550:O554"/>
    <mergeCell ref="O555:O559"/>
    <mergeCell ref="O560:O564"/>
    <mergeCell ref="O565:O569"/>
    <mergeCell ref="O515:O519"/>
    <mergeCell ref="O520:O524"/>
    <mergeCell ref="O435:O439"/>
    <mergeCell ref="O440:O444"/>
    <mergeCell ref="O445:O449"/>
    <mergeCell ref="O450:O454"/>
    <mergeCell ref="P205:P209"/>
    <mergeCell ref="P210:P214"/>
    <mergeCell ref="P215:P219"/>
    <mergeCell ref="P220:P224"/>
    <mergeCell ref="P270:P274"/>
    <mergeCell ref="P305:P309"/>
    <mergeCell ref="P310:P314"/>
    <mergeCell ref="P315:P319"/>
    <mergeCell ref="P290:P294"/>
    <mergeCell ref="P295:P299"/>
    <mergeCell ref="P300:P304"/>
    <mergeCell ref="P375:P379"/>
    <mergeCell ref="P425:P429"/>
    <mergeCell ref="P485:P489"/>
    <mergeCell ref="O455:O459"/>
    <mergeCell ref="O460:O464"/>
    <mergeCell ref="O465:O469"/>
    <mergeCell ref="O470:O474"/>
    <mergeCell ref="O475:O479"/>
    <mergeCell ref="O390:O394"/>
    <mergeCell ref="O395:O399"/>
    <mergeCell ref="O400:O404"/>
    <mergeCell ref="O405:O409"/>
    <mergeCell ref="O410:O414"/>
    <mergeCell ref="O415:O419"/>
    <mergeCell ref="O420:O424"/>
    <mergeCell ref="O495:O499"/>
    <mergeCell ref="O500:O504"/>
    <mergeCell ref="O505:O509"/>
    <mergeCell ref="O510:O514"/>
    <mergeCell ref="O425:O429"/>
    <mergeCell ref="O430:O434"/>
    <mergeCell ref="O345:O349"/>
    <mergeCell ref="O350:O354"/>
    <mergeCell ref="O355:O359"/>
    <mergeCell ref="O360:O364"/>
    <mergeCell ref="O365:O369"/>
    <mergeCell ref="O370:O374"/>
    <mergeCell ref="O375:O379"/>
    <mergeCell ref="O380:O384"/>
    <mergeCell ref="O385:O389"/>
    <mergeCell ref="P365:P369"/>
    <mergeCell ref="Q365:Q369"/>
    <mergeCell ref="P370:P374"/>
    <mergeCell ref="Q370:Q374"/>
    <mergeCell ref="Q375:Q379"/>
    <mergeCell ref="P350:P354"/>
    <mergeCell ref="Q350:Q354"/>
    <mergeCell ref="P355:P359"/>
    <mergeCell ref="Q355:Q359"/>
    <mergeCell ref="P360:P364"/>
    <mergeCell ref="Q360:Q364"/>
    <mergeCell ref="P395:P399"/>
    <mergeCell ref="Q395:Q399"/>
    <mergeCell ref="P400:P404"/>
    <mergeCell ref="Q400:Q404"/>
    <mergeCell ref="P405:P409"/>
    <mergeCell ref="Q405:Q409"/>
    <mergeCell ref="Q200:Q204"/>
    <mergeCell ref="Q205:Q209"/>
    <mergeCell ref="Q210:Q214"/>
    <mergeCell ref="Q215:Q219"/>
    <mergeCell ref="P275:P279"/>
    <mergeCell ref="Q275:Q279"/>
    <mergeCell ref="P280:P284"/>
    <mergeCell ref="Q280:Q284"/>
    <mergeCell ref="P285:P289"/>
    <mergeCell ref="Q285:Q289"/>
    <mergeCell ref="P260:P264"/>
    <mergeCell ref="Q260:Q264"/>
    <mergeCell ref="P265:P269"/>
    <mergeCell ref="Q265:Q269"/>
    <mergeCell ref="O480:O484"/>
    <mergeCell ref="O485:O489"/>
    <mergeCell ref="O490:O494"/>
    <mergeCell ref="O240:O244"/>
    <mergeCell ref="O245:O249"/>
    <mergeCell ref="Q220:Q224"/>
    <mergeCell ref="Q225:Q229"/>
    <mergeCell ref="Q230:Q234"/>
    <mergeCell ref="Q235:Q239"/>
    <mergeCell ref="Q240:Q244"/>
    <mergeCell ref="Q245:Q249"/>
    <mergeCell ref="O295:O299"/>
    <mergeCell ref="O300:O304"/>
    <mergeCell ref="O310:O314"/>
    <mergeCell ref="O315:O319"/>
    <mergeCell ref="O320:O324"/>
    <mergeCell ref="O325:O329"/>
    <mergeCell ref="O330:O334"/>
    <mergeCell ref="Q170:Q174"/>
    <mergeCell ref="Q175:Q179"/>
    <mergeCell ref="Q180:Q184"/>
    <mergeCell ref="Q185:Q189"/>
    <mergeCell ref="Q190:Q194"/>
    <mergeCell ref="Q300:Q304"/>
    <mergeCell ref="P335:P339"/>
    <mergeCell ref="Q335:Q339"/>
    <mergeCell ref="P340:P344"/>
    <mergeCell ref="Q340:Q344"/>
    <mergeCell ref="P345:P349"/>
    <mergeCell ref="Q345:Q349"/>
    <mergeCell ref="P320:P324"/>
    <mergeCell ref="Q320:Q324"/>
    <mergeCell ref="P325:P329"/>
    <mergeCell ref="Q325:Q329"/>
    <mergeCell ref="P330:P334"/>
    <mergeCell ref="Q330:Q334"/>
    <mergeCell ref="P180:P184"/>
    <mergeCell ref="P185:P189"/>
    <mergeCell ref="P190:P194"/>
    <mergeCell ref="P195:P199"/>
    <mergeCell ref="P250:P254"/>
    <mergeCell ref="Q250:Q254"/>
    <mergeCell ref="P255:P259"/>
    <mergeCell ref="Q255:Q259"/>
    <mergeCell ref="P225:P229"/>
    <mergeCell ref="P230:P234"/>
    <mergeCell ref="P235:P239"/>
    <mergeCell ref="P240:P244"/>
    <mergeCell ref="P245:P249"/>
    <mergeCell ref="Q195:Q199"/>
    <mergeCell ref="P380:P384"/>
    <mergeCell ref="Q380:Q384"/>
    <mergeCell ref="P385:P389"/>
    <mergeCell ref="Q385:Q389"/>
    <mergeCell ref="P390:P394"/>
    <mergeCell ref="Q390:Q394"/>
    <mergeCell ref="Q425:Q429"/>
    <mergeCell ref="P430:P434"/>
    <mergeCell ref="Q430:Q434"/>
    <mergeCell ref="P435:P439"/>
    <mergeCell ref="Q435:Q439"/>
    <mergeCell ref="P410:P414"/>
    <mergeCell ref="Q410:Q414"/>
    <mergeCell ref="P415:P419"/>
    <mergeCell ref="Q415:Q419"/>
    <mergeCell ref="P420:P424"/>
    <mergeCell ref="Q420:Q424"/>
    <mergeCell ref="P455:P459"/>
    <mergeCell ref="Q455:Q459"/>
    <mergeCell ref="P460:P464"/>
    <mergeCell ref="Q460:Q464"/>
    <mergeCell ref="P465:P469"/>
    <mergeCell ref="Q465:Q469"/>
    <mergeCell ref="P440:P444"/>
    <mergeCell ref="Q440:Q444"/>
    <mergeCell ref="P445:P449"/>
    <mergeCell ref="Q445:Q449"/>
    <mergeCell ref="P450:P454"/>
    <mergeCell ref="Q450:Q454"/>
    <mergeCell ref="Q485:Q489"/>
    <mergeCell ref="P490:P494"/>
    <mergeCell ref="Q490:Q494"/>
    <mergeCell ref="P495:P499"/>
    <mergeCell ref="Q495:Q499"/>
    <mergeCell ref="P470:P474"/>
    <mergeCell ref="Q470:Q474"/>
    <mergeCell ref="P475:P479"/>
    <mergeCell ref="Q475:Q479"/>
    <mergeCell ref="P480:P484"/>
    <mergeCell ref="Q480:Q484"/>
    <mergeCell ref="P515:P519"/>
    <mergeCell ref="Q515:Q519"/>
    <mergeCell ref="P520:P524"/>
    <mergeCell ref="Q520:Q524"/>
    <mergeCell ref="P525:P529"/>
    <mergeCell ref="Q525:Q529"/>
    <mergeCell ref="P500:P504"/>
    <mergeCell ref="Q500:Q504"/>
    <mergeCell ref="P505:P509"/>
    <mergeCell ref="Q505:Q509"/>
    <mergeCell ref="P510:P514"/>
    <mergeCell ref="Q510:Q514"/>
    <mergeCell ref="P545:P549"/>
    <mergeCell ref="Q545:Q549"/>
    <mergeCell ref="P550:P554"/>
    <mergeCell ref="Q550:Q554"/>
    <mergeCell ref="P555:P559"/>
    <mergeCell ref="Q555:Q559"/>
    <mergeCell ref="P530:P534"/>
    <mergeCell ref="Q530:Q534"/>
    <mergeCell ref="P535:P539"/>
    <mergeCell ref="Q535:Q539"/>
    <mergeCell ref="P540:P544"/>
    <mergeCell ref="Q540:Q544"/>
    <mergeCell ref="P575:P579"/>
    <mergeCell ref="Q575:Q579"/>
    <mergeCell ref="P580:P584"/>
    <mergeCell ref="Q580:Q584"/>
    <mergeCell ref="P585:P589"/>
    <mergeCell ref="Q585:Q589"/>
    <mergeCell ref="P560:P564"/>
    <mergeCell ref="Q560:Q564"/>
    <mergeCell ref="P565:P569"/>
    <mergeCell ref="Q565:Q569"/>
    <mergeCell ref="P570:P574"/>
    <mergeCell ref="Q570:Q574"/>
    <mergeCell ref="P605:P609"/>
    <mergeCell ref="Q605:Q609"/>
    <mergeCell ref="P610:P614"/>
    <mergeCell ref="Q610:Q614"/>
    <mergeCell ref="P615:P619"/>
    <mergeCell ref="Q615:Q619"/>
    <mergeCell ref="P590:P594"/>
    <mergeCell ref="Q590:Q594"/>
    <mergeCell ref="P595:P599"/>
    <mergeCell ref="Q595:Q599"/>
    <mergeCell ref="P600:P604"/>
    <mergeCell ref="Q600:Q604"/>
    <mergeCell ref="O635:O639"/>
    <mergeCell ref="P635:P639"/>
    <mergeCell ref="Q635:Q639"/>
    <mergeCell ref="O640:O644"/>
    <mergeCell ref="P640:P644"/>
    <mergeCell ref="Q640:Q644"/>
    <mergeCell ref="P620:P624"/>
    <mergeCell ref="Q620:Q624"/>
    <mergeCell ref="P625:P629"/>
    <mergeCell ref="Q625:Q629"/>
    <mergeCell ref="O630:O634"/>
    <mergeCell ref="P630:P634"/>
    <mergeCell ref="Q630:Q634"/>
    <mergeCell ref="O615:O619"/>
    <mergeCell ref="O620:O624"/>
    <mergeCell ref="O625:O629"/>
    <mergeCell ref="O655:O659"/>
    <mergeCell ref="P655:P659"/>
    <mergeCell ref="Q655:Q659"/>
    <mergeCell ref="O660:O664"/>
    <mergeCell ref="P660:P664"/>
    <mergeCell ref="Q660:Q664"/>
    <mergeCell ref="O645:O649"/>
    <mergeCell ref="P645:P649"/>
    <mergeCell ref="Q645:Q649"/>
    <mergeCell ref="O650:O654"/>
    <mergeCell ref="P650:P654"/>
    <mergeCell ref="Q650:Q654"/>
    <mergeCell ref="O675:O679"/>
    <mergeCell ref="P675:P679"/>
    <mergeCell ref="Q675:Q679"/>
    <mergeCell ref="O680:O684"/>
    <mergeCell ref="P680:P684"/>
    <mergeCell ref="Q680:Q684"/>
    <mergeCell ref="O665:O669"/>
    <mergeCell ref="P665:P669"/>
    <mergeCell ref="Q665:Q669"/>
    <mergeCell ref="O670:O674"/>
    <mergeCell ref="P670:P674"/>
    <mergeCell ref="Q670:Q674"/>
    <mergeCell ref="O695:O699"/>
    <mergeCell ref="P695:P699"/>
    <mergeCell ref="Q695:Q699"/>
    <mergeCell ref="O700:O704"/>
    <mergeCell ref="P700:P704"/>
    <mergeCell ref="Q700:Q704"/>
    <mergeCell ref="O685:O689"/>
    <mergeCell ref="P685:P689"/>
    <mergeCell ref="Q685:Q689"/>
    <mergeCell ref="O690:O694"/>
    <mergeCell ref="P690:P694"/>
    <mergeCell ref="Q690:Q694"/>
    <mergeCell ref="O715:O719"/>
    <mergeCell ref="P715:P719"/>
    <mergeCell ref="Q715:Q719"/>
    <mergeCell ref="O720:O724"/>
    <mergeCell ref="P720:P724"/>
    <mergeCell ref="Q720:Q724"/>
    <mergeCell ref="O705:O709"/>
    <mergeCell ref="P705:P709"/>
    <mergeCell ref="Q705:Q709"/>
    <mergeCell ref="O710:O714"/>
    <mergeCell ref="P710:P714"/>
    <mergeCell ref="Q710:Q714"/>
    <mergeCell ref="O735:O739"/>
    <mergeCell ref="P735:P739"/>
    <mergeCell ref="Q735:Q739"/>
    <mergeCell ref="O740:O744"/>
    <mergeCell ref="P740:P744"/>
    <mergeCell ref="Q740:Q744"/>
    <mergeCell ref="O725:O729"/>
    <mergeCell ref="P725:P729"/>
    <mergeCell ref="Q725:Q729"/>
    <mergeCell ref="O730:O734"/>
    <mergeCell ref="P730:P734"/>
    <mergeCell ref="Q730:Q734"/>
    <mergeCell ref="O755:O759"/>
    <mergeCell ref="P755:P759"/>
    <mergeCell ref="Q755:Q759"/>
    <mergeCell ref="O760:O764"/>
    <mergeCell ref="P760:P764"/>
    <mergeCell ref="Q760:Q764"/>
    <mergeCell ref="O745:O749"/>
    <mergeCell ref="P745:P749"/>
    <mergeCell ref="Q745:Q749"/>
    <mergeCell ref="O750:O754"/>
    <mergeCell ref="P750:P754"/>
    <mergeCell ref="Q750:Q754"/>
    <mergeCell ref="O775:O779"/>
    <mergeCell ref="P775:P779"/>
    <mergeCell ref="Q775:Q779"/>
    <mergeCell ref="O780:O784"/>
    <mergeCell ref="P780:P784"/>
    <mergeCell ref="Q780:Q784"/>
    <mergeCell ref="O765:O769"/>
    <mergeCell ref="P765:P769"/>
    <mergeCell ref="Q765:Q769"/>
    <mergeCell ref="O770:O774"/>
    <mergeCell ref="P770:P774"/>
    <mergeCell ref="Q770:Q774"/>
    <mergeCell ref="O795:O799"/>
    <mergeCell ref="P795:P799"/>
    <mergeCell ref="Q795:Q799"/>
    <mergeCell ref="O800:O804"/>
    <mergeCell ref="P800:P804"/>
    <mergeCell ref="Q800:Q804"/>
    <mergeCell ref="O785:O789"/>
    <mergeCell ref="P785:P789"/>
    <mergeCell ref="Q785:Q789"/>
    <mergeCell ref="O790:O794"/>
    <mergeCell ref="P790:P794"/>
    <mergeCell ref="Q790:Q794"/>
    <mergeCell ref="O815:O819"/>
    <mergeCell ref="P815:P819"/>
    <mergeCell ref="Q815:Q819"/>
    <mergeCell ref="O820:O824"/>
    <mergeCell ref="P820:P824"/>
    <mergeCell ref="Q820:Q824"/>
    <mergeCell ref="O805:O809"/>
    <mergeCell ref="P805:P809"/>
    <mergeCell ref="Q805:Q809"/>
    <mergeCell ref="O810:O814"/>
    <mergeCell ref="P810:P814"/>
    <mergeCell ref="Q810:Q814"/>
    <mergeCell ref="O835:O839"/>
    <mergeCell ref="P835:P839"/>
    <mergeCell ref="Q835:Q839"/>
    <mergeCell ref="O840:O844"/>
    <mergeCell ref="P840:P844"/>
    <mergeCell ref="Q840:Q844"/>
    <mergeCell ref="O825:O829"/>
    <mergeCell ref="P825:P829"/>
    <mergeCell ref="Q825:Q829"/>
    <mergeCell ref="O830:O834"/>
    <mergeCell ref="P830:P834"/>
    <mergeCell ref="Q830:Q834"/>
    <mergeCell ref="O855:O859"/>
    <mergeCell ref="P855:P859"/>
    <mergeCell ref="Q855:Q859"/>
    <mergeCell ref="O860:O864"/>
    <mergeCell ref="P860:P864"/>
    <mergeCell ref="Q860:Q864"/>
    <mergeCell ref="O845:O849"/>
    <mergeCell ref="P845:P849"/>
    <mergeCell ref="Q845:Q849"/>
    <mergeCell ref="O850:O854"/>
    <mergeCell ref="P850:P854"/>
    <mergeCell ref="Q850:Q854"/>
    <mergeCell ref="O875:O879"/>
    <mergeCell ref="P875:P879"/>
    <mergeCell ref="Q875:Q879"/>
    <mergeCell ref="O880:O884"/>
    <mergeCell ref="P880:P884"/>
    <mergeCell ref="Q880:Q884"/>
    <mergeCell ref="O865:O869"/>
    <mergeCell ref="P865:P869"/>
    <mergeCell ref="Q865:Q869"/>
    <mergeCell ref="O870:O874"/>
    <mergeCell ref="P870:P874"/>
    <mergeCell ref="Q870:Q874"/>
    <mergeCell ref="O895:O899"/>
    <mergeCell ref="P895:P899"/>
    <mergeCell ref="Q895:Q899"/>
    <mergeCell ref="O900:O904"/>
    <mergeCell ref="P900:P904"/>
    <mergeCell ref="Q900:Q904"/>
    <mergeCell ref="O885:O889"/>
    <mergeCell ref="P885:P889"/>
    <mergeCell ref="Q885:Q889"/>
    <mergeCell ref="O890:O894"/>
    <mergeCell ref="P890:P894"/>
    <mergeCell ref="Q890:Q894"/>
    <mergeCell ref="O915:O919"/>
    <mergeCell ref="P915:P919"/>
    <mergeCell ref="Q915:Q919"/>
    <mergeCell ref="O920:O924"/>
    <mergeCell ref="P920:P924"/>
    <mergeCell ref="Q920:Q924"/>
    <mergeCell ref="O905:O909"/>
    <mergeCell ref="P905:P909"/>
    <mergeCell ref="Q905:Q909"/>
    <mergeCell ref="O910:O914"/>
    <mergeCell ref="P910:P914"/>
    <mergeCell ref="Q910:Q914"/>
    <mergeCell ref="O935:O939"/>
    <mergeCell ref="P935:P939"/>
    <mergeCell ref="Q935:Q939"/>
    <mergeCell ref="O940:O944"/>
    <mergeCell ref="P940:P944"/>
    <mergeCell ref="Q940:Q944"/>
    <mergeCell ref="O925:O929"/>
    <mergeCell ref="P925:P929"/>
    <mergeCell ref="Q925:Q929"/>
    <mergeCell ref="O930:O934"/>
    <mergeCell ref="P930:P934"/>
    <mergeCell ref="Q930:Q934"/>
    <mergeCell ref="O955:O959"/>
    <mergeCell ref="P955:P959"/>
    <mergeCell ref="Q955:Q959"/>
    <mergeCell ref="O960:O964"/>
    <mergeCell ref="P960:P964"/>
    <mergeCell ref="Q960:Q964"/>
    <mergeCell ref="O945:O949"/>
    <mergeCell ref="P945:P949"/>
    <mergeCell ref="Q945:Q949"/>
    <mergeCell ref="O950:O954"/>
    <mergeCell ref="P950:P954"/>
    <mergeCell ref="Q950:Q954"/>
    <mergeCell ref="O975:O979"/>
    <mergeCell ref="P975:P979"/>
    <mergeCell ref="Q975:Q979"/>
    <mergeCell ref="O980:O984"/>
    <mergeCell ref="P980:P984"/>
    <mergeCell ref="Q980:Q984"/>
    <mergeCell ref="O965:O969"/>
    <mergeCell ref="P965:P969"/>
    <mergeCell ref="Q965:Q969"/>
    <mergeCell ref="O970:O974"/>
    <mergeCell ref="P970:P974"/>
    <mergeCell ref="Q970:Q974"/>
    <mergeCell ref="O995:O999"/>
    <mergeCell ref="P995:P999"/>
    <mergeCell ref="Q995:Q999"/>
    <mergeCell ref="O1000:O1004"/>
    <mergeCell ref="P1000:P1004"/>
    <mergeCell ref="Q1000:Q1004"/>
    <mergeCell ref="O985:O989"/>
    <mergeCell ref="P985:P989"/>
    <mergeCell ref="Q985:Q989"/>
    <mergeCell ref="O990:O994"/>
    <mergeCell ref="P990:P994"/>
    <mergeCell ref="Q990:Q994"/>
    <mergeCell ref="O1015:O1019"/>
    <mergeCell ref="P1015:P1019"/>
    <mergeCell ref="Q1015:Q1019"/>
    <mergeCell ref="O1020:O1024"/>
    <mergeCell ref="P1020:P1024"/>
    <mergeCell ref="Q1020:Q1024"/>
    <mergeCell ref="O1005:O1009"/>
    <mergeCell ref="P1005:P1009"/>
    <mergeCell ref="Q1005:Q1009"/>
    <mergeCell ref="O1010:O1014"/>
    <mergeCell ref="P1010:P1014"/>
    <mergeCell ref="Q1010:Q1014"/>
    <mergeCell ref="O1035:O1039"/>
    <mergeCell ref="P1035:P1039"/>
    <mergeCell ref="Q1035:Q1039"/>
    <mergeCell ref="O1040:O1044"/>
    <mergeCell ref="P1040:P1044"/>
    <mergeCell ref="Q1040:Q1044"/>
    <mergeCell ref="O1025:O1029"/>
    <mergeCell ref="P1025:P1029"/>
    <mergeCell ref="Q1025:Q1029"/>
    <mergeCell ref="O1030:O1034"/>
    <mergeCell ref="P1030:P1034"/>
    <mergeCell ref="Q1030:Q1034"/>
    <mergeCell ref="O1055:O1059"/>
    <mergeCell ref="P1055:P1059"/>
    <mergeCell ref="Q1055:Q1059"/>
    <mergeCell ref="O1060:O1064"/>
    <mergeCell ref="P1060:P1064"/>
    <mergeCell ref="Q1060:Q1064"/>
    <mergeCell ref="O1045:O1049"/>
    <mergeCell ref="P1045:P1049"/>
    <mergeCell ref="Q1045:Q1049"/>
    <mergeCell ref="O1050:O1054"/>
    <mergeCell ref="P1050:P1054"/>
    <mergeCell ref="Q1050:Q1054"/>
    <mergeCell ref="O1075:O1079"/>
    <mergeCell ref="P1075:P1079"/>
    <mergeCell ref="Q1075:Q1079"/>
    <mergeCell ref="O1080:O1084"/>
    <mergeCell ref="P1080:P1084"/>
    <mergeCell ref="Q1080:Q1084"/>
    <mergeCell ref="O1065:O1069"/>
    <mergeCell ref="P1065:P1069"/>
    <mergeCell ref="Q1065:Q1069"/>
    <mergeCell ref="O1070:O1074"/>
    <mergeCell ref="P1070:P1074"/>
    <mergeCell ref="Q1070:Q1074"/>
    <mergeCell ref="O1095:O1099"/>
    <mergeCell ref="P1095:P1099"/>
    <mergeCell ref="Q1095:Q1099"/>
    <mergeCell ref="O1100:O1104"/>
    <mergeCell ref="P1100:P1104"/>
    <mergeCell ref="Q1100:Q1104"/>
    <mergeCell ref="O1085:O1089"/>
    <mergeCell ref="P1085:P1089"/>
    <mergeCell ref="Q1085:Q1089"/>
    <mergeCell ref="O1090:O1094"/>
    <mergeCell ref="P1090:P1094"/>
    <mergeCell ref="Q1090:Q1094"/>
    <mergeCell ref="O1115:O1119"/>
    <mergeCell ref="P1115:P1119"/>
    <mergeCell ref="Q1115:Q1119"/>
    <mergeCell ref="O1120:O1124"/>
    <mergeCell ref="P1120:P1124"/>
    <mergeCell ref="Q1120:Q1124"/>
    <mergeCell ref="O1105:O1109"/>
    <mergeCell ref="P1105:P1109"/>
    <mergeCell ref="Q1105:Q1109"/>
    <mergeCell ref="O1110:O1114"/>
    <mergeCell ref="P1110:P1114"/>
    <mergeCell ref="Q1110:Q1114"/>
    <mergeCell ref="O1135:O1139"/>
    <mergeCell ref="P1135:P1139"/>
    <mergeCell ref="Q1135:Q1139"/>
    <mergeCell ref="O1140:O1144"/>
    <mergeCell ref="P1140:P1144"/>
    <mergeCell ref="Q1140:Q1144"/>
    <mergeCell ref="O1125:O1129"/>
    <mergeCell ref="P1125:P1129"/>
    <mergeCell ref="Q1125:Q1129"/>
    <mergeCell ref="O1130:O1134"/>
    <mergeCell ref="P1130:P1134"/>
    <mergeCell ref="Q1130:Q1134"/>
    <mergeCell ref="O1155:O1159"/>
    <mergeCell ref="P1155:P1159"/>
    <mergeCell ref="Q1155:Q1159"/>
    <mergeCell ref="O1160:O1164"/>
    <mergeCell ref="P1160:P1164"/>
    <mergeCell ref="Q1160:Q1164"/>
    <mergeCell ref="O1145:O1149"/>
    <mergeCell ref="P1145:P1149"/>
    <mergeCell ref="Q1145:Q1149"/>
    <mergeCell ref="O1150:O1154"/>
    <mergeCell ref="P1150:P1154"/>
    <mergeCell ref="Q1150:Q1154"/>
    <mergeCell ref="O1175:O1179"/>
    <mergeCell ref="P1175:P1179"/>
    <mergeCell ref="Q1175:Q1179"/>
    <mergeCell ref="O1180:O1184"/>
    <mergeCell ref="P1180:P1184"/>
    <mergeCell ref="Q1180:Q1184"/>
    <mergeCell ref="O1165:O1169"/>
    <mergeCell ref="P1165:P1169"/>
    <mergeCell ref="Q1165:Q1169"/>
    <mergeCell ref="O1170:O1174"/>
    <mergeCell ref="P1170:P1174"/>
    <mergeCell ref="Q1170:Q1174"/>
    <mergeCell ref="O1195:O1199"/>
    <mergeCell ref="P1195:P1199"/>
    <mergeCell ref="Q1195:Q1199"/>
    <mergeCell ref="O1200:O1204"/>
    <mergeCell ref="P1200:P1204"/>
    <mergeCell ref="Q1200:Q1204"/>
    <mergeCell ref="O1185:O1189"/>
    <mergeCell ref="P1185:P1189"/>
    <mergeCell ref="Q1185:Q1189"/>
    <mergeCell ref="O1190:O1194"/>
    <mergeCell ref="P1190:P1194"/>
    <mergeCell ref="Q1190:Q1194"/>
    <mergeCell ref="O1215:O1219"/>
    <mergeCell ref="P1215:P1219"/>
    <mergeCell ref="Q1215:Q1219"/>
    <mergeCell ref="O1220:O1224"/>
    <mergeCell ref="P1220:P1224"/>
    <mergeCell ref="Q1220:Q1224"/>
    <mergeCell ref="O1205:O1209"/>
    <mergeCell ref="P1205:P1209"/>
    <mergeCell ref="Q1205:Q1209"/>
    <mergeCell ref="O1210:O1214"/>
    <mergeCell ref="P1210:P1214"/>
    <mergeCell ref="Q1210:Q1214"/>
    <mergeCell ref="O1235:O1239"/>
    <mergeCell ref="P1235:P1239"/>
    <mergeCell ref="Q1235:Q1239"/>
    <mergeCell ref="O1240:O1244"/>
    <mergeCell ref="P1240:P1244"/>
    <mergeCell ref="Q1240:Q1244"/>
    <mergeCell ref="O1225:O1229"/>
    <mergeCell ref="P1225:P1229"/>
    <mergeCell ref="Q1225:Q1229"/>
    <mergeCell ref="O1230:O1234"/>
    <mergeCell ref="P1230:P1234"/>
    <mergeCell ref="Q1230:Q1234"/>
    <mergeCell ref="O1255:O1259"/>
    <mergeCell ref="P1255:P1259"/>
    <mergeCell ref="Q1255:Q1259"/>
    <mergeCell ref="O1260:O1264"/>
    <mergeCell ref="P1260:P1264"/>
    <mergeCell ref="Q1260:Q1264"/>
    <mergeCell ref="O1245:O1249"/>
    <mergeCell ref="P1245:P1249"/>
    <mergeCell ref="Q1245:Q1249"/>
    <mergeCell ref="O1250:O1254"/>
    <mergeCell ref="P1250:P1254"/>
    <mergeCell ref="Q1250:Q1254"/>
    <mergeCell ref="O1275:O1279"/>
    <mergeCell ref="P1275:P1279"/>
    <mergeCell ref="Q1275:Q1279"/>
    <mergeCell ref="O1280:O1284"/>
    <mergeCell ref="P1280:P1284"/>
    <mergeCell ref="Q1280:Q1284"/>
    <mergeCell ref="O1265:O1269"/>
    <mergeCell ref="P1265:P1269"/>
    <mergeCell ref="Q1265:Q1269"/>
    <mergeCell ref="O1270:O1274"/>
    <mergeCell ref="P1270:P1274"/>
    <mergeCell ref="Q1270:Q1274"/>
    <mergeCell ref="O1295:O1299"/>
    <mergeCell ref="P1295:P1299"/>
    <mergeCell ref="Q1295:Q1299"/>
    <mergeCell ref="O1300:O1304"/>
    <mergeCell ref="P1300:P1304"/>
    <mergeCell ref="Q1300:Q1304"/>
    <mergeCell ref="O1285:O1289"/>
    <mergeCell ref="P1285:P1289"/>
    <mergeCell ref="Q1285:Q1289"/>
    <mergeCell ref="O1290:O1294"/>
    <mergeCell ref="P1290:P1294"/>
    <mergeCell ref="Q1290:Q1294"/>
    <mergeCell ref="O1315:O1319"/>
    <mergeCell ref="P1315:P1319"/>
    <mergeCell ref="Q1315:Q1319"/>
    <mergeCell ref="O1320:O1324"/>
    <mergeCell ref="P1320:P1324"/>
    <mergeCell ref="Q1320:Q1324"/>
    <mergeCell ref="O1305:O1309"/>
    <mergeCell ref="P1305:P1309"/>
    <mergeCell ref="Q1305:Q1309"/>
    <mergeCell ref="O1310:O1314"/>
    <mergeCell ref="P1310:P1314"/>
    <mergeCell ref="Q1310:Q1314"/>
    <mergeCell ref="O1335:O1339"/>
    <mergeCell ref="P1335:P1339"/>
    <mergeCell ref="Q1335:Q1339"/>
    <mergeCell ref="O1340:O1344"/>
    <mergeCell ref="P1340:P1344"/>
    <mergeCell ref="Q1340:Q1344"/>
    <mergeCell ref="O1325:O1329"/>
    <mergeCell ref="P1325:P1329"/>
    <mergeCell ref="Q1325:Q1329"/>
    <mergeCell ref="O1330:O1334"/>
    <mergeCell ref="P1330:P1334"/>
    <mergeCell ref="Q1330:Q1334"/>
    <mergeCell ref="O1355:O1359"/>
    <mergeCell ref="P1355:P1359"/>
    <mergeCell ref="Q1355:Q1359"/>
    <mergeCell ref="O1360:O1364"/>
    <mergeCell ref="P1360:P1364"/>
    <mergeCell ref="Q1360:Q1364"/>
    <mergeCell ref="O1345:O1349"/>
    <mergeCell ref="P1345:P1349"/>
    <mergeCell ref="Q1345:Q1349"/>
    <mergeCell ref="O1350:O1354"/>
    <mergeCell ref="P1350:P1354"/>
    <mergeCell ref="Q1350:Q1354"/>
    <mergeCell ref="O1375:O1379"/>
    <mergeCell ref="P1375:P1379"/>
    <mergeCell ref="Q1375:Q1379"/>
    <mergeCell ref="O1380:O1384"/>
    <mergeCell ref="P1380:P1384"/>
    <mergeCell ref="Q1380:Q1384"/>
    <mergeCell ref="O1365:O1369"/>
    <mergeCell ref="P1365:P1369"/>
    <mergeCell ref="Q1365:Q1369"/>
    <mergeCell ref="O1370:O1374"/>
    <mergeCell ref="P1370:P1374"/>
    <mergeCell ref="Q1370:Q1374"/>
    <mergeCell ref="O1395:O1399"/>
    <mergeCell ref="P1395:P1399"/>
    <mergeCell ref="Q1395:Q1399"/>
    <mergeCell ref="O1400:O1404"/>
    <mergeCell ref="P1400:P1404"/>
    <mergeCell ref="Q1400:Q1404"/>
    <mergeCell ref="O1385:O1389"/>
    <mergeCell ref="P1385:P1389"/>
    <mergeCell ref="Q1385:Q1389"/>
    <mergeCell ref="O1390:O1394"/>
    <mergeCell ref="P1390:P1394"/>
    <mergeCell ref="Q1390:Q1394"/>
    <mergeCell ref="O1415:O1419"/>
    <mergeCell ref="P1415:P1419"/>
    <mergeCell ref="Q1415:Q1419"/>
    <mergeCell ref="O1420:O1424"/>
    <mergeCell ref="P1420:P1424"/>
    <mergeCell ref="Q1420:Q1424"/>
    <mergeCell ref="O1405:O1409"/>
    <mergeCell ref="P1405:P1409"/>
    <mergeCell ref="Q1405:Q1409"/>
    <mergeCell ref="O1410:O1414"/>
    <mergeCell ref="P1410:P1414"/>
    <mergeCell ref="Q1410:Q1414"/>
    <mergeCell ref="O1435:O1439"/>
    <mergeCell ref="P1435:P1439"/>
    <mergeCell ref="Q1435:Q1439"/>
    <mergeCell ref="O1440:O1444"/>
    <mergeCell ref="P1440:P1444"/>
    <mergeCell ref="Q1440:Q1444"/>
    <mergeCell ref="O1425:O1429"/>
    <mergeCell ref="P1425:P1429"/>
    <mergeCell ref="Q1425:Q1429"/>
    <mergeCell ref="O1430:O1434"/>
    <mergeCell ref="P1430:P1434"/>
    <mergeCell ref="Q1430:Q1434"/>
    <mergeCell ref="O1455:O1459"/>
    <mergeCell ref="P1455:P1459"/>
    <mergeCell ref="Q1455:Q1459"/>
    <mergeCell ref="O1460:O1464"/>
    <mergeCell ref="P1460:P1464"/>
    <mergeCell ref="Q1460:Q1464"/>
    <mergeCell ref="O1445:O1449"/>
    <mergeCell ref="P1445:P1449"/>
    <mergeCell ref="Q1445:Q1449"/>
    <mergeCell ref="O1450:O1454"/>
    <mergeCell ref="P1450:P1454"/>
    <mergeCell ref="Q1450:Q1454"/>
    <mergeCell ref="O1475:O1479"/>
    <mergeCell ref="P1475:P1479"/>
    <mergeCell ref="Q1475:Q1479"/>
    <mergeCell ref="O1480:O1484"/>
    <mergeCell ref="P1480:P1484"/>
    <mergeCell ref="Q1480:Q1484"/>
    <mergeCell ref="O1465:O1469"/>
    <mergeCell ref="P1465:P1469"/>
    <mergeCell ref="Q1465:Q1469"/>
    <mergeCell ref="O1470:O1474"/>
    <mergeCell ref="P1470:P1474"/>
    <mergeCell ref="Q1470:Q1474"/>
    <mergeCell ref="O1495:O1499"/>
    <mergeCell ref="P1495:P1499"/>
    <mergeCell ref="Q1495:Q1499"/>
    <mergeCell ref="O1500:O1504"/>
    <mergeCell ref="P1500:P1504"/>
    <mergeCell ref="Q1500:Q1504"/>
    <mergeCell ref="O1485:O1489"/>
    <mergeCell ref="P1485:P1489"/>
    <mergeCell ref="Q1485:Q1489"/>
    <mergeCell ref="O1490:O1494"/>
    <mergeCell ref="P1490:P1494"/>
    <mergeCell ref="Q1490:Q1494"/>
    <mergeCell ref="O1515:O1519"/>
    <mergeCell ref="P1515:P1519"/>
    <mergeCell ref="Q1515:Q1519"/>
    <mergeCell ref="O1520:O1524"/>
    <mergeCell ref="P1520:P1524"/>
    <mergeCell ref="Q1520:Q1524"/>
    <mergeCell ref="O1505:O1509"/>
    <mergeCell ref="P1505:P1509"/>
    <mergeCell ref="Q1505:Q1509"/>
    <mergeCell ref="O1510:O1514"/>
    <mergeCell ref="P1510:P1514"/>
    <mergeCell ref="Q1510:Q1514"/>
    <mergeCell ref="O1535:O1539"/>
    <mergeCell ref="P1535:P1539"/>
    <mergeCell ref="Q1535:Q1539"/>
    <mergeCell ref="O1540:O1544"/>
    <mergeCell ref="P1540:P1544"/>
    <mergeCell ref="Q1540:Q1544"/>
    <mergeCell ref="O1525:O1529"/>
    <mergeCell ref="P1525:P1529"/>
    <mergeCell ref="Q1525:Q1529"/>
    <mergeCell ref="O1530:O1534"/>
    <mergeCell ref="P1530:P1534"/>
    <mergeCell ref="Q1530:Q1534"/>
    <mergeCell ref="O1555:O1559"/>
    <mergeCell ref="P1555:P1559"/>
    <mergeCell ref="Q1555:Q1559"/>
    <mergeCell ref="O1560:O1564"/>
    <mergeCell ref="P1560:P1564"/>
    <mergeCell ref="Q1560:Q1564"/>
    <mergeCell ref="O1545:O1549"/>
    <mergeCell ref="P1545:P1549"/>
    <mergeCell ref="Q1545:Q1549"/>
    <mergeCell ref="O1550:O1554"/>
    <mergeCell ref="P1550:P1554"/>
    <mergeCell ref="Q1550:Q1554"/>
    <mergeCell ref="O1575:O1579"/>
    <mergeCell ref="P1575:P1579"/>
    <mergeCell ref="Q1575:Q1579"/>
    <mergeCell ref="O1580:O1584"/>
    <mergeCell ref="P1580:P1584"/>
    <mergeCell ref="Q1580:Q1584"/>
    <mergeCell ref="O1565:O1569"/>
    <mergeCell ref="P1565:P1569"/>
    <mergeCell ref="Q1565:Q1569"/>
    <mergeCell ref="O1570:O1574"/>
    <mergeCell ref="P1570:P1574"/>
    <mergeCell ref="Q1570:Q1574"/>
    <mergeCell ref="O1595:O1599"/>
    <mergeCell ref="P1595:P1599"/>
    <mergeCell ref="Q1595:Q1599"/>
    <mergeCell ref="O1600:O1604"/>
    <mergeCell ref="P1600:P1604"/>
    <mergeCell ref="Q1600:Q1604"/>
    <mergeCell ref="O1585:O1589"/>
    <mergeCell ref="P1585:P1589"/>
    <mergeCell ref="Q1585:Q1589"/>
    <mergeCell ref="O1590:O1594"/>
    <mergeCell ref="P1590:P1594"/>
    <mergeCell ref="Q1590:Q1594"/>
    <mergeCell ref="O1615:O1619"/>
    <mergeCell ref="P1615:P1619"/>
    <mergeCell ref="Q1615:Q1619"/>
    <mergeCell ref="O1620:O1624"/>
    <mergeCell ref="P1620:P1624"/>
    <mergeCell ref="Q1620:Q1624"/>
    <mergeCell ref="O1605:O1609"/>
    <mergeCell ref="P1605:P1609"/>
    <mergeCell ref="Q1605:Q1609"/>
    <mergeCell ref="O1610:O1614"/>
    <mergeCell ref="P1610:P1614"/>
    <mergeCell ref="Q1610:Q1614"/>
    <mergeCell ref="O1635:O1639"/>
    <mergeCell ref="P1635:P1639"/>
    <mergeCell ref="Q1635:Q1639"/>
    <mergeCell ref="O1640:O1644"/>
    <mergeCell ref="P1640:P1644"/>
    <mergeCell ref="Q1640:Q1644"/>
    <mergeCell ref="O1625:O1629"/>
    <mergeCell ref="P1625:P1629"/>
    <mergeCell ref="Q1625:Q1629"/>
    <mergeCell ref="O1630:O1634"/>
    <mergeCell ref="P1630:P1634"/>
    <mergeCell ref="Q1630:Q1634"/>
    <mergeCell ref="O1655:O1659"/>
    <mergeCell ref="P1655:P1659"/>
    <mergeCell ref="Q1655:Q1659"/>
    <mergeCell ref="O1660:O1664"/>
    <mergeCell ref="P1660:P1664"/>
    <mergeCell ref="Q1660:Q1664"/>
    <mergeCell ref="O1645:O1649"/>
    <mergeCell ref="P1645:P1649"/>
    <mergeCell ref="Q1645:Q1649"/>
    <mergeCell ref="O1650:O1654"/>
    <mergeCell ref="P1650:P1654"/>
    <mergeCell ref="Q1650:Q1654"/>
    <mergeCell ref="O1675:O1679"/>
    <mergeCell ref="P1675:P1679"/>
    <mergeCell ref="Q1675:Q1679"/>
    <mergeCell ref="O1680:O1684"/>
    <mergeCell ref="P1680:P1684"/>
    <mergeCell ref="Q1680:Q1684"/>
    <mergeCell ref="O1665:O1669"/>
    <mergeCell ref="P1665:P1669"/>
    <mergeCell ref="Q1665:Q1669"/>
    <mergeCell ref="O1670:O1674"/>
    <mergeCell ref="P1670:P1674"/>
    <mergeCell ref="Q1670:Q1674"/>
    <mergeCell ref="O1695:O1699"/>
    <mergeCell ref="P1695:P1699"/>
    <mergeCell ref="Q1695:Q1699"/>
    <mergeCell ref="O1700:O1704"/>
    <mergeCell ref="P1700:P1704"/>
    <mergeCell ref="Q1700:Q1704"/>
    <mergeCell ref="O1685:O1689"/>
    <mergeCell ref="P1685:P1689"/>
    <mergeCell ref="Q1685:Q1689"/>
    <mergeCell ref="O1690:O1694"/>
    <mergeCell ref="P1690:P1694"/>
    <mergeCell ref="Q1690:Q1694"/>
    <mergeCell ref="O1715:O1719"/>
    <mergeCell ref="P1715:P1719"/>
    <mergeCell ref="Q1715:Q1719"/>
    <mergeCell ref="O1720:O1724"/>
    <mergeCell ref="P1720:P1724"/>
    <mergeCell ref="Q1720:Q1724"/>
    <mergeCell ref="O1705:O1709"/>
    <mergeCell ref="P1705:P1709"/>
    <mergeCell ref="Q1705:Q1709"/>
    <mergeCell ref="O1710:O1714"/>
    <mergeCell ref="P1710:P1714"/>
    <mergeCell ref="Q1710:Q1714"/>
    <mergeCell ref="O1735:O1739"/>
    <mergeCell ref="P1735:P1739"/>
    <mergeCell ref="Q1735:Q1739"/>
    <mergeCell ref="O1740:O1744"/>
    <mergeCell ref="P1740:P1744"/>
    <mergeCell ref="Q1740:Q1744"/>
    <mergeCell ref="O1725:O1729"/>
    <mergeCell ref="P1725:P1729"/>
    <mergeCell ref="Q1725:Q1729"/>
    <mergeCell ref="O1730:O1734"/>
    <mergeCell ref="P1730:P1734"/>
    <mergeCell ref="Q1730:Q1734"/>
    <mergeCell ref="O1755:O1759"/>
    <mergeCell ref="P1755:P1759"/>
    <mergeCell ref="Q1755:Q1759"/>
    <mergeCell ref="O1760:O1764"/>
    <mergeCell ref="P1760:P1764"/>
    <mergeCell ref="Q1760:Q1764"/>
    <mergeCell ref="O1745:O1749"/>
    <mergeCell ref="P1745:P1749"/>
    <mergeCell ref="Q1745:Q1749"/>
    <mergeCell ref="O1750:O1754"/>
    <mergeCell ref="P1750:P1754"/>
    <mergeCell ref="Q1750:Q1754"/>
    <mergeCell ref="O1775:O1779"/>
    <mergeCell ref="P1775:P1779"/>
    <mergeCell ref="Q1775:Q1779"/>
    <mergeCell ref="O1780:O1784"/>
    <mergeCell ref="P1780:P1784"/>
    <mergeCell ref="Q1780:Q1784"/>
    <mergeCell ref="O1765:O1769"/>
    <mergeCell ref="P1765:P1769"/>
    <mergeCell ref="Q1765:Q1769"/>
    <mergeCell ref="O1770:O1774"/>
    <mergeCell ref="P1770:P1774"/>
    <mergeCell ref="Q1770:Q1774"/>
    <mergeCell ref="O1795:O1799"/>
    <mergeCell ref="P1795:P1799"/>
    <mergeCell ref="Q1795:Q1799"/>
    <mergeCell ref="O1800:O1804"/>
    <mergeCell ref="P1800:P1804"/>
    <mergeCell ref="Q1800:Q1804"/>
    <mergeCell ref="O1785:O1789"/>
    <mergeCell ref="P1785:P1789"/>
    <mergeCell ref="Q1785:Q1789"/>
    <mergeCell ref="O1790:O1794"/>
    <mergeCell ref="P1790:P1794"/>
    <mergeCell ref="Q1790:Q1794"/>
    <mergeCell ref="O1815:O1819"/>
    <mergeCell ref="P1815:P1819"/>
    <mergeCell ref="Q1815:Q1819"/>
    <mergeCell ref="O1820:O1824"/>
    <mergeCell ref="P1820:P1824"/>
    <mergeCell ref="Q1820:Q1824"/>
    <mergeCell ref="O1805:O1809"/>
    <mergeCell ref="P1805:P1809"/>
    <mergeCell ref="Q1805:Q1809"/>
    <mergeCell ref="O1810:O1814"/>
    <mergeCell ref="P1810:P1814"/>
    <mergeCell ref="Q1810:Q1814"/>
    <mergeCell ref="O1835:O1839"/>
    <mergeCell ref="P1835:P1839"/>
    <mergeCell ref="Q1835:Q1839"/>
    <mergeCell ref="O1840:O1844"/>
    <mergeCell ref="P1840:P1844"/>
    <mergeCell ref="Q1840:Q1844"/>
    <mergeCell ref="O1825:O1829"/>
    <mergeCell ref="P1825:P1829"/>
    <mergeCell ref="Q1825:Q1829"/>
    <mergeCell ref="O1830:O1834"/>
    <mergeCell ref="P1830:P1834"/>
    <mergeCell ref="Q1830:Q1834"/>
    <mergeCell ref="O1855:O1859"/>
    <mergeCell ref="P1855:P1859"/>
    <mergeCell ref="Q1855:Q1859"/>
    <mergeCell ref="O1860:O1864"/>
    <mergeCell ref="P1860:P1864"/>
    <mergeCell ref="Q1860:Q1864"/>
    <mergeCell ref="O1845:O1849"/>
    <mergeCell ref="P1845:P1849"/>
    <mergeCell ref="Q1845:Q1849"/>
    <mergeCell ref="O1850:O1854"/>
    <mergeCell ref="P1850:P1854"/>
    <mergeCell ref="Q1850:Q1854"/>
    <mergeCell ref="O1875:O1879"/>
    <mergeCell ref="P1875:P1879"/>
    <mergeCell ref="Q1875:Q1879"/>
    <mergeCell ref="O1880:O1884"/>
    <mergeCell ref="P1880:P1884"/>
    <mergeCell ref="Q1880:Q1884"/>
    <mergeCell ref="O1865:O1869"/>
    <mergeCell ref="P1865:P1869"/>
    <mergeCell ref="Q1865:Q1869"/>
    <mergeCell ref="O1870:O1874"/>
    <mergeCell ref="P1870:P1874"/>
    <mergeCell ref="Q1870:Q1874"/>
    <mergeCell ref="O1895:O1899"/>
    <mergeCell ref="P1895:P1899"/>
    <mergeCell ref="Q1895:Q1899"/>
    <mergeCell ref="O1900:O1904"/>
    <mergeCell ref="P1900:P1904"/>
    <mergeCell ref="Q1900:Q1904"/>
    <mergeCell ref="O1885:O1889"/>
    <mergeCell ref="P1885:P1889"/>
    <mergeCell ref="Q1885:Q1889"/>
    <mergeCell ref="O1890:O1894"/>
    <mergeCell ref="P1890:P1894"/>
    <mergeCell ref="Q1890:Q1894"/>
    <mergeCell ref="O1915:O1919"/>
    <mergeCell ref="P1915:P1919"/>
    <mergeCell ref="Q1915:Q1919"/>
    <mergeCell ref="O1920:O1924"/>
    <mergeCell ref="P1920:P1924"/>
    <mergeCell ref="Q1920:Q1924"/>
    <mergeCell ref="O1905:O1909"/>
    <mergeCell ref="P1905:P1909"/>
    <mergeCell ref="Q1905:Q1909"/>
    <mergeCell ref="O1910:O1914"/>
    <mergeCell ref="P1910:P1914"/>
    <mergeCell ref="Q1910:Q1914"/>
    <mergeCell ref="O1935:O1939"/>
    <mergeCell ref="P1935:P1939"/>
    <mergeCell ref="Q1935:Q1939"/>
    <mergeCell ref="O1940:O1944"/>
    <mergeCell ref="P1940:P1944"/>
    <mergeCell ref="Q1940:Q1944"/>
    <mergeCell ref="O1925:O1929"/>
    <mergeCell ref="P1925:P1929"/>
    <mergeCell ref="Q1925:Q1929"/>
    <mergeCell ref="O1930:O1934"/>
    <mergeCell ref="P1930:P1934"/>
    <mergeCell ref="Q1930:Q1934"/>
    <mergeCell ref="O1955:O1959"/>
    <mergeCell ref="P1955:P1959"/>
    <mergeCell ref="Q1955:Q1959"/>
    <mergeCell ref="O1960:O1964"/>
    <mergeCell ref="P1960:P1964"/>
    <mergeCell ref="Q1960:Q1964"/>
    <mergeCell ref="O1945:O1949"/>
    <mergeCell ref="P1945:P1949"/>
    <mergeCell ref="Q1945:Q1949"/>
    <mergeCell ref="O1950:O1954"/>
    <mergeCell ref="P1950:P1954"/>
    <mergeCell ref="Q1950:Q1954"/>
    <mergeCell ref="O1975:O1979"/>
    <mergeCell ref="P1975:P1979"/>
    <mergeCell ref="Q1975:Q1979"/>
    <mergeCell ref="O1980:O1984"/>
    <mergeCell ref="P1980:P1984"/>
    <mergeCell ref="Q1980:Q1984"/>
    <mergeCell ref="O1965:O1969"/>
    <mergeCell ref="P1965:P1969"/>
    <mergeCell ref="Q1965:Q1969"/>
    <mergeCell ref="O1970:O1974"/>
    <mergeCell ref="P1970:P1974"/>
    <mergeCell ref="Q1970:Q1974"/>
    <mergeCell ref="O1995:O1999"/>
    <mergeCell ref="P1995:P1999"/>
    <mergeCell ref="Q1995:Q1999"/>
    <mergeCell ref="O2000:O2004"/>
    <mergeCell ref="P2000:P2004"/>
    <mergeCell ref="Q2000:Q2004"/>
    <mergeCell ref="O1985:O1989"/>
    <mergeCell ref="P1985:P1989"/>
    <mergeCell ref="Q1985:Q1989"/>
    <mergeCell ref="O1990:O1994"/>
    <mergeCell ref="P1990:P1994"/>
    <mergeCell ref="Q1990:Q1994"/>
    <mergeCell ref="O2015:O2019"/>
    <mergeCell ref="P2015:P2019"/>
    <mergeCell ref="Q2015:Q2019"/>
    <mergeCell ref="O2020:O2024"/>
    <mergeCell ref="P2020:P2024"/>
    <mergeCell ref="Q2020:Q2024"/>
    <mergeCell ref="O2005:O2009"/>
    <mergeCell ref="P2005:P2009"/>
    <mergeCell ref="Q2005:Q2009"/>
    <mergeCell ref="O2010:O2014"/>
    <mergeCell ref="P2010:P2014"/>
    <mergeCell ref="Q2010:Q2014"/>
    <mergeCell ref="O2035:O2039"/>
    <mergeCell ref="P2035:P2039"/>
    <mergeCell ref="Q2035:Q2039"/>
    <mergeCell ref="O2040:O2044"/>
    <mergeCell ref="P2040:P2044"/>
    <mergeCell ref="Q2040:Q2044"/>
    <mergeCell ref="O2025:O2029"/>
    <mergeCell ref="P2025:P2029"/>
    <mergeCell ref="Q2025:Q2029"/>
    <mergeCell ref="O2030:O2034"/>
    <mergeCell ref="P2030:P2034"/>
    <mergeCell ref="Q2030:Q2034"/>
    <mergeCell ref="O2055:O2059"/>
    <mergeCell ref="P2055:P2059"/>
    <mergeCell ref="Q2055:Q2059"/>
    <mergeCell ref="O2060:O2064"/>
    <mergeCell ref="P2060:P2064"/>
    <mergeCell ref="Q2060:Q2064"/>
    <mergeCell ref="O2045:O2049"/>
    <mergeCell ref="P2045:P2049"/>
    <mergeCell ref="Q2045:Q2049"/>
    <mergeCell ref="O2050:O2054"/>
    <mergeCell ref="P2050:P2054"/>
    <mergeCell ref="Q2050:Q2054"/>
    <mergeCell ref="O2075:O2079"/>
    <mergeCell ref="P2075:P2079"/>
    <mergeCell ref="Q2075:Q2079"/>
    <mergeCell ref="O2080:O2084"/>
    <mergeCell ref="P2080:P2084"/>
    <mergeCell ref="Q2080:Q2084"/>
    <mergeCell ref="O2065:O2069"/>
    <mergeCell ref="P2065:P2069"/>
    <mergeCell ref="Q2065:Q2069"/>
    <mergeCell ref="O2070:O2074"/>
    <mergeCell ref="P2070:P2074"/>
    <mergeCell ref="Q2070:Q2074"/>
    <mergeCell ref="O2095:O2099"/>
    <mergeCell ref="P2095:P2099"/>
    <mergeCell ref="Q2095:Q2099"/>
    <mergeCell ref="O2100:O2104"/>
    <mergeCell ref="P2100:P2104"/>
    <mergeCell ref="Q2100:Q2104"/>
    <mergeCell ref="O2085:O2089"/>
    <mergeCell ref="P2085:P2089"/>
    <mergeCell ref="Q2085:Q2089"/>
    <mergeCell ref="O2090:O2094"/>
    <mergeCell ref="P2090:P2094"/>
    <mergeCell ref="Q2090:Q2094"/>
    <mergeCell ref="O2115:O2119"/>
    <mergeCell ref="P2115:P2119"/>
    <mergeCell ref="Q2115:Q2119"/>
    <mergeCell ref="O2120:O2124"/>
    <mergeCell ref="P2120:P2124"/>
    <mergeCell ref="Q2120:Q2124"/>
    <mergeCell ref="O2105:O2109"/>
    <mergeCell ref="P2105:P2109"/>
    <mergeCell ref="Q2105:Q2109"/>
    <mergeCell ref="O2110:O2114"/>
    <mergeCell ref="P2110:P2114"/>
    <mergeCell ref="Q2110:Q2114"/>
    <mergeCell ref="O2135:O2139"/>
    <mergeCell ref="P2135:P2139"/>
    <mergeCell ref="Q2135:Q2139"/>
    <mergeCell ref="O2140:O2144"/>
    <mergeCell ref="P2140:P2144"/>
    <mergeCell ref="Q2140:Q2144"/>
    <mergeCell ref="O2125:O2129"/>
    <mergeCell ref="P2125:P2129"/>
    <mergeCell ref="Q2125:Q2129"/>
    <mergeCell ref="O2130:O2134"/>
    <mergeCell ref="P2130:P2134"/>
    <mergeCell ref="Q2130:Q2134"/>
    <mergeCell ref="O2155:O2159"/>
    <mergeCell ref="P2155:P2159"/>
    <mergeCell ref="Q2155:Q2159"/>
    <mergeCell ref="O2160:O2164"/>
    <mergeCell ref="P2160:P2164"/>
    <mergeCell ref="Q2160:Q2164"/>
    <mergeCell ref="O2145:O2149"/>
    <mergeCell ref="P2145:P2149"/>
    <mergeCell ref="Q2145:Q2149"/>
    <mergeCell ref="O2150:O2154"/>
    <mergeCell ref="P2150:P2154"/>
    <mergeCell ref="Q2150:Q2154"/>
    <mergeCell ref="O2175:O2179"/>
    <mergeCell ref="P2175:P2179"/>
    <mergeCell ref="Q2175:Q2179"/>
    <mergeCell ref="O2180:O2184"/>
    <mergeCell ref="P2180:P2184"/>
    <mergeCell ref="Q2180:Q2184"/>
    <mergeCell ref="O2165:O2169"/>
    <mergeCell ref="P2165:P2169"/>
    <mergeCell ref="Q2165:Q2169"/>
    <mergeCell ref="O2170:O2174"/>
    <mergeCell ref="P2170:P2174"/>
    <mergeCell ref="Q2170:Q2174"/>
    <mergeCell ref="O2195:O2199"/>
    <mergeCell ref="P2195:P2199"/>
    <mergeCell ref="Q2195:Q2199"/>
    <mergeCell ref="O2200:O2204"/>
    <mergeCell ref="P2200:P2204"/>
    <mergeCell ref="Q2200:Q2204"/>
    <mergeCell ref="O2185:O2189"/>
    <mergeCell ref="P2185:P2189"/>
    <mergeCell ref="Q2185:Q2189"/>
    <mergeCell ref="O2190:O2194"/>
    <mergeCell ref="P2190:P2194"/>
    <mergeCell ref="Q2190:Q2194"/>
    <mergeCell ref="O2215:O2219"/>
    <mergeCell ref="P2215:P2219"/>
    <mergeCell ref="Q2215:Q2219"/>
    <mergeCell ref="O2220:O2224"/>
    <mergeCell ref="P2220:P2224"/>
    <mergeCell ref="Q2220:Q2224"/>
    <mergeCell ref="O2205:O2209"/>
    <mergeCell ref="P2205:P2209"/>
    <mergeCell ref="Q2205:Q2209"/>
    <mergeCell ref="O2210:O2214"/>
    <mergeCell ref="P2210:P2214"/>
    <mergeCell ref="Q2210:Q2214"/>
    <mergeCell ref="O2235:O2239"/>
    <mergeCell ref="P2235:P2239"/>
    <mergeCell ref="Q2235:Q2239"/>
    <mergeCell ref="O2240:O2244"/>
    <mergeCell ref="P2240:P2244"/>
    <mergeCell ref="Q2240:Q2244"/>
    <mergeCell ref="O2225:O2229"/>
    <mergeCell ref="P2225:P2229"/>
    <mergeCell ref="Q2225:Q2229"/>
    <mergeCell ref="O2230:O2234"/>
    <mergeCell ref="P2230:P2234"/>
    <mergeCell ref="Q2230:Q2234"/>
    <mergeCell ref="O2255:O2259"/>
    <mergeCell ref="P2255:P2259"/>
    <mergeCell ref="Q2255:Q2259"/>
    <mergeCell ref="O2260:O2264"/>
    <mergeCell ref="P2260:P2264"/>
    <mergeCell ref="Q2260:Q2264"/>
    <mergeCell ref="O2245:O2249"/>
    <mergeCell ref="P2245:P2249"/>
    <mergeCell ref="Q2245:Q2249"/>
    <mergeCell ref="O2250:O2254"/>
    <mergeCell ref="P2250:P2254"/>
    <mergeCell ref="Q2250:Q2254"/>
    <mergeCell ref="O2275:O2279"/>
    <mergeCell ref="P2275:P2279"/>
    <mergeCell ref="Q2275:Q2279"/>
    <mergeCell ref="O2280:O2284"/>
    <mergeCell ref="P2280:P2284"/>
    <mergeCell ref="Q2280:Q2284"/>
    <mergeCell ref="O2265:O2269"/>
    <mergeCell ref="P2265:P2269"/>
    <mergeCell ref="Q2265:Q2269"/>
    <mergeCell ref="O2270:O2274"/>
    <mergeCell ref="P2270:P2274"/>
    <mergeCell ref="Q2270:Q2274"/>
    <mergeCell ref="O2295:O2299"/>
    <mergeCell ref="P2295:P2299"/>
    <mergeCell ref="Q2295:Q2299"/>
    <mergeCell ref="O2300:O2304"/>
    <mergeCell ref="P2300:P2304"/>
    <mergeCell ref="Q2300:Q2304"/>
    <mergeCell ref="O2285:O2289"/>
    <mergeCell ref="P2285:P2289"/>
    <mergeCell ref="Q2285:Q2289"/>
    <mergeCell ref="O2290:O2294"/>
    <mergeCell ref="P2290:P2294"/>
    <mergeCell ref="Q2290:Q2294"/>
    <mergeCell ref="O2315:O2319"/>
    <mergeCell ref="P2315:P2319"/>
    <mergeCell ref="Q2315:Q2319"/>
    <mergeCell ref="O2320:O2324"/>
    <mergeCell ref="P2320:P2324"/>
    <mergeCell ref="Q2320:Q2324"/>
    <mergeCell ref="O2305:O2309"/>
    <mergeCell ref="P2305:P2309"/>
    <mergeCell ref="Q2305:Q2309"/>
    <mergeCell ref="O2310:O2314"/>
    <mergeCell ref="P2310:P2314"/>
    <mergeCell ref="Q2310:Q2314"/>
    <mergeCell ref="O2335:O2339"/>
    <mergeCell ref="P2335:P2339"/>
    <mergeCell ref="Q2335:Q2339"/>
    <mergeCell ref="O2340:O2344"/>
    <mergeCell ref="P2340:P2344"/>
    <mergeCell ref="Q2340:Q2344"/>
    <mergeCell ref="O2325:O2329"/>
    <mergeCell ref="P2325:P2329"/>
    <mergeCell ref="Q2325:Q2329"/>
    <mergeCell ref="O2330:O2334"/>
    <mergeCell ref="P2330:P2334"/>
    <mergeCell ref="Q2330:Q2334"/>
    <mergeCell ref="O2355:O2359"/>
    <mergeCell ref="P2355:P2359"/>
    <mergeCell ref="Q2355:Q2359"/>
    <mergeCell ref="O2360:O2364"/>
    <mergeCell ref="P2360:P2364"/>
    <mergeCell ref="Q2360:Q2364"/>
    <mergeCell ref="O2345:O2349"/>
    <mergeCell ref="P2345:P2349"/>
    <mergeCell ref="Q2345:Q2349"/>
    <mergeCell ref="O2350:O2354"/>
    <mergeCell ref="P2350:P2354"/>
    <mergeCell ref="Q2350:Q2354"/>
    <mergeCell ref="O2375:O2379"/>
    <mergeCell ref="P2375:P2379"/>
    <mergeCell ref="Q2375:Q2379"/>
    <mergeCell ref="O2380:O2384"/>
    <mergeCell ref="P2380:P2384"/>
    <mergeCell ref="Q2380:Q2384"/>
    <mergeCell ref="O2365:O2369"/>
    <mergeCell ref="P2365:P2369"/>
    <mergeCell ref="Q2365:Q2369"/>
    <mergeCell ref="O2370:O2374"/>
    <mergeCell ref="P2370:P2374"/>
    <mergeCell ref="Q2370:Q2374"/>
    <mergeCell ref="O2395:O2399"/>
    <mergeCell ref="P2395:P2399"/>
    <mergeCell ref="Q2395:Q2399"/>
    <mergeCell ref="O2400:O2404"/>
    <mergeCell ref="P2400:P2404"/>
    <mergeCell ref="Q2400:Q2404"/>
    <mergeCell ref="O2385:O2389"/>
    <mergeCell ref="P2385:P2389"/>
    <mergeCell ref="Q2385:Q2389"/>
    <mergeCell ref="O2390:O2394"/>
    <mergeCell ref="P2390:P2394"/>
    <mergeCell ref="Q2390:Q2394"/>
    <mergeCell ref="O2415:O2419"/>
    <mergeCell ref="P2415:P2419"/>
    <mergeCell ref="Q2415:Q2419"/>
    <mergeCell ref="O2420:O2424"/>
    <mergeCell ref="P2420:P2424"/>
    <mergeCell ref="Q2420:Q2424"/>
    <mergeCell ref="O2405:O2409"/>
    <mergeCell ref="P2405:P2409"/>
    <mergeCell ref="Q2405:Q2409"/>
    <mergeCell ref="O2410:O2414"/>
    <mergeCell ref="P2410:P2414"/>
    <mergeCell ref="Q2410:Q2414"/>
    <mergeCell ref="O2435:O2439"/>
    <mergeCell ref="P2435:P2439"/>
    <mergeCell ref="Q2435:Q2439"/>
    <mergeCell ref="O2440:O2444"/>
    <mergeCell ref="P2440:P2444"/>
    <mergeCell ref="Q2440:Q2444"/>
    <mergeCell ref="O2425:O2429"/>
    <mergeCell ref="P2425:P2429"/>
    <mergeCell ref="Q2425:Q2429"/>
    <mergeCell ref="O2430:O2434"/>
    <mergeCell ref="P2430:P2434"/>
    <mergeCell ref="Q2430:Q2434"/>
    <mergeCell ref="O2455:O2459"/>
    <mergeCell ref="P2455:P2459"/>
    <mergeCell ref="Q2455:Q2459"/>
    <mergeCell ref="O2460:O2464"/>
    <mergeCell ref="P2460:P2464"/>
    <mergeCell ref="Q2460:Q2464"/>
    <mergeCell ref="O2445:O2449"/>
    <mergeCell ref="P2445:P2449"/>
    <mergeCell ref="Q2445:Q2449"/>
    <mergeCell ref="O2450:O2454"/>
    <mergeCell ref="P2450:P2454"/>
    <mergeCell ref="Q2450:Q2454"/>
    <mergeCell ref="O2475:O2479"/>
    <mergeCell ref="P2475:P2479"/>
    <mergeCell ref="Q2475:Q2479"/>
    <mergeCell ref="O2480:O2484"/>
    <mergeCell ref="P2480:P2484"/>
    <mergeCell ref="Q2480:Q2484"/>
    <mergeCell ref="O2465:O2469"/>
    <mergeCell ref="P2465:P2469"/>
    <mergeCell ref="Q2465:Q2469"/>
    <mergeCell ref="O2470:O2474"/>
    <mergeCell ref="P2470:P2474"/>
    <mergeCell ref="Q2470:Q2474"/>
    <mergeCell ref="O2495:O2499"/>
    <mergeCell ref="P2495:P2499"/>
    <mergeCell ref="Q2495:Q2499"/>
    <mergeCell ref="O2500:O2504"/>
    <mergeCell ref="P2500:P2504"/>
    <mergeCell ref="Q2500:Q2504"/>
    <mergeCell ref="O2485:O2489"/>
    <mergeCell ref="P2485:P2489"/>
    <mergeCell ref="Q2485:Q2489"/>
    <mergeCell ref="O2490:O2494"/>
    <mergeCell ref="P2490:P2494"/>
    <mergeCell ref="Q2490:Q2494"/>
    <mergeCell ref="O2515:O2519"/>
    <mergeCell ref="P2515:P2519"/>
    <mergeCell ref="Q2515:Q2519"/>
    <mergeCell ref="O2520:O2524"/>
    <mergeCell ref="P2520:P2524"/>
    <mergeCell ref="Q2520:Q2524"/>
    <mergeCell ref="O2505:O2509"/>
    <mergeCell ref="P2505:P2509"/>
    <mergeCell ref="Q2505:Q2509"/>
    <mergeCell ref="O2510:O2514"/>
    <mergeCell ref="P2510:P2514"/>
    <mergeCell ref="Q2510:Q2514"/>
    <mergeCell ref="O2535:O2539"/>
    <mergeCell ref="P2535:P2539"/>
    <mergeCell ref="Q2535:Q2539"/>
    <mergeCell ref="O2540:O2544"/>
    <mergeCell ref="P2540:P2544"/>
    <mergeCell ref="Q2540:Q2544"/>
    <mergeCell ref="O2525:O2529"/>
    <mergeCell ref="P2525:P2529"/>
    <mergeCell ref="Q2525:Q2529"/>
    <mergeCell ref="O2530:O2534"/>
    <mergeCell ref="P2530:P2534"/>
    <mergeCell ref="Q2530:Q2534"/>
    <mergeCell ref="O2555:O2559"/>
    <mergeCell ref="P2555:P2559"/>
    <mergeCell ref="Q2555:Q2559"/>
    <mergeCell ref="O2560:O2564"/>
    <mergeCell ref="P2560:P2564"/>
    <mergeCell ref="Q2560:Q2564"/>
    <mergeCell ref="O2545:O2549"/>
    <mergeCell ref="P2545:P2549"/>
    <mergeCell ref="Q2545:Q2549"/>
    <mergeCell ref="O2550:O2554"/>
    <mergeCell ref="P2550:P2554"/>
    <mergeCell ref="Q2550:Q2554"/>
    <mergeCell ref="O2575:O2579"/>
    <mergeCell ref="P2575:P2579"/>
    <mergeCell ref="Q2575:Q2579"/>
    <mergeCell ref="O2580:O2584"/>
    <mergeCell ref="P2580:P2584"/>
    <mergeCell ref="Q2580:Q2584"/>
    <mergeCell ref="O2565:O2569"/>
    <mergeCell ref="P2565:P2569"/>
    <mergeCell ref="Q2565:Q2569"/>
    <mergeCell ref="O2570:O2574"/>
    <mergeCell ref="P2570:P2574"/>
    <mergeCell ref="Q2570:Q2574"/>
    <mergeCell ref="O2595:O2599"/>
    <mergeCell ref="P2595:P2599"/>
    <mergeCell ref="Q2595:Q2599"/>
    <mergeCell ref="O2600:O2604"/>
    <mergeCell ref="P2600:P2604"/>
    <mergeCell ref="Q2600:Q2604"/>
    <mergeCell ref="O2585:O2589"/>
    <mergeCell ref="P2585:P2589"/>
    <mergeCell ref="Q2585:Q2589"/>
    <mergeCell ref="O2590:O2594"/>
    <mergeCell ref="P2590:P2594"/>
    <mergeCell ref="Q2590:Q2594"/>
    <mergeCell ref="O2615:O2619"/>
    <mergeCell ref="P2615:P2619"/>
    <mergeCell ref="Q2615:Q2619"/>
    <mergeCell ref="O2620:O2624"/>
    <mergeCell ref="P2620:P2624"/>
    <mergeCell ref="Q2620:Q2624"/>
    <mergeCell ref="O2605:O2609"/>
    <mergeCell ref="P2605:P2609"/>
    <mergeCell ref="Q2605:Q2609"/>
    <mergeCell ref="O2610:O2614"/>
    <mergeCell ref="P2610:P2614"/>
    <mergeCell ref="Q2610:Q2614"/>
    <mergeCell ref="O2635:O2639"/>
    <mergeCell ref="P2635:P2639"/>
    <mergeCell ref="Q2635:Q2639"/>
    <mergeCell ref="O2640:O2644"/>
    <mergeCell ref="P2640:P2644"/>
    <mergeCell ref="Q2640:Q2644"/>
    <mergeCell ref="O2625:O2629"/>
    <mergeCell ref="P2625:P2629"/>
    <mergeCell ref="Q2625:Q2629"/>
    <mergeCell ref="O2630:O2634"/>
    <mergeCell ref="P2630:P2634"/>
    <mergeCell ref="Q2630:Q2634"/>
    <mergeCell ref="O2655:O2659"/>
    <mergeCell ref="P2655:P2659"/>
    <mergeCell ref="Q2655:Q2659"/>
    <mergeCell ref="O2660:O2664"/>
    <mergeCell ref="P2660:P2664"/>
    <mergeCell ref="Q2660:Q2664"/>
    <mergeCell ref="O2645:O2649"/>
    <mergeCell ref="P2645:P2649"/>
    <mergeCell ref="Q2645:Q2649"/>
    <mergeCell ref="O2650:O2654"/>
    <mergeCell ref="P2650:P2654"/>
    <mergeCell ref="Q2650:Q2654"/>
    <mergeCell ref="O2675:O2679"/>
    <mergeCell ref="P2675:P2679"/>
    <mergeCell ref="Q2675:Q2679"/>
    <mergeCell ref="O2680:O2684"/>
    <mergeCell ref="P2680:P2684"/>
    <mergeCell ref="Q2680:Q2684"/>
    <mergeCell ref="O2665:O2669"/>
    <mergeCell ref="P2665:P2669"/>
    <mergeCell ref="Q2665:Q2669"/>
    <mergeCell ref="O2670:O2674"/>
    <mergeCell ref="P2670:P2674"/>
    <mergeCell ref="Q2670:Q2674"/>
    <mergeCell ref="O2695:O2699"/>
    <mergeCell ref="P2695:P2699"/>
    <mergeCell ref="Q2695:Q2699"/>
    <mergeCell ref="O2700:O2704"/>
    <mergeCell ref="P2700:P2704"/>
    <mergeCell ref="Q2700:Q2704"/>
    <mergeCell ref="O2685:O2689"/>
    <mergeCell ref="P2685:P2689"/>
    <mergeCell ref="Q2685:Q2689"/>
    <mergeCell ref="O2690:O2694"/>
    <mergeCell ref="P2690:P2694"/>
    <mergeCell ref="Q2690:Q2694"/>
    <mergeCell ref="O2715:O2719"/>
    <mergeCell ref="P2715:P2719"/>
    <mergeCell ref="Q2715:Q2719"/>
    <mergeCell ref="O2720:O2724"/>
    <mergeCell ref="P2720:P2724"/>
    <mergeCell ref="Q2720:Q2724"/>
    <mergeCell ref="O2705:O2709"/>
    <mergeCell ref="P2705:P2709"/>
    <mergeCell ref="Q2705:Q2709"/>
    <mergeCell ref="O2710:O2714"/>
    <mergeCell ref="P2710:P2714"/>
    <mergeCell ref="Q2710:Q2714"/>
    <mergeCell ref="O2735:O2739"/>
    <mergeCell ref="P2735:P2739"/>
    <mergeCell ref="Q2735:Q2739"/>
    <mergeCell ref="O2740:O2744"/>
    <mergeCell ref="P2740:P2744"/>
    <mergeCell ref="Q2740:Q2744"/>
    <mergeCell ref="O2725:O2729"/>
    <mergeCell ref="P2725:P2729"/>
    <mergeCell ref="Q2725:Q2729"/>
    <mergeCell ref="O2730:O2734"/>
    <mergeCell ref="P2730:P2734"/>
    <mergeCell ref="Q2730:Q2734"/>
    <mergeCell ref="O2755:O2759"/>
    <mergeCell ref="P2755:P2759"/>
    <mergeCell ref="Q2755:Q2759"/>
    <mergeCell ref="O2760:O2764"/>
    <mergeCell ref="P2760:P2764"/>
    <mergeCell ref="Q2760:Q2764"/>
    <mergeCell ref="O2745:O2749"/>
    <mergeCell ref="P2745:P2749"/>
    <mergeCell ref="Q2745:Q2749"/>
    <mergeCell ref="O2750:O2754"/>
    <mergeCell ref="P2750:P2754"/>
    <mergeCell ref="Q2750:Q2754"/>
    <mergeCell ref="O2775:O2779"/>
    <mergeCell ref="P2775:P2779"/>
    <mergeCell ref="Q2775:Q2779"/>
    <mergeCell ref="O2780:O2784"/>
    <mergeCell ref="P2780:P2784"/>
    <mergeCell ref="Q2780:Q2784"/>
    <mergeCell ref="O2765:O2769"/>
    <mergeCell ref="P2765:P2769"/>
    <mergeCell ref="Q2765:Q2769"/>
    <mergeCell ref="O2770:O2774"/>
    <mergeCell ref="P2770:P2774"/>
    <mergeCell ref="Q2770:Q2774"/>
    <mergeCell ref="O2795:O2799"/>
    <mergeCell ref="P2795:P2799"/>
    <mergeCell ref="Q2795:Q2799"/>
    <mergeCell ref="O2800:O2804"/>
    <mergeCell ref="P2800:P2804"/>
    <mergeCell ref="Q2800:Q2804"/>
    <mergeCell ref="O2785:O2789"/>
    <mergeCell ref="P2785:P2789"/>
    <mergeCell ref="Q2785:Q2789"/>
    <mergeCell ref="O2790:O2794"/>
    <mergeCell ref="P2790:P2794"/>
    <mergeCell ref="Q2790:Q2794"/>
    <mergeCell ref="O2815:O2819"/>
    <mergeCell ref="P2815:P2819"/>
    <mergeCell ref="Q2815:Q2819"/>
    <mergeCell ref="O2820:O2824"/>
    <mergeCell ref="P2820:P2824"/>
    <mergeCell ref="Q2820:Q2824"/>
    <mergeCell ref="O2805:O2809"/>
    <mergeCell ref="P2805:P2809"/>
    <mergeCell ref="Q2805:Q2809"/>
    <mergeCell ref="O2810:O2814"/>
    <mergeCell ref="P2810:P2814"/>
    <mergeCell ref="Q2810:Q2814"/>
    <mergeCell ref="O2835:O2839"/>
    <mergeCell ref="P2835:P2839"/>
    <mergeCell ref="Q2835:Q2839"/>
    <mergeCell ref="P2840:P2844"/>
    <mergeCell ref="Q2840:Q2844"/>
    <mergeCell ref="O2825:O2829"/>
    <mergeCell ref="P2825:P2829"/>
    <mergeCell ref="Q2825:Q2829"/>
    <mergeCell ref="O2830:O2834"/>
    <mergeCell ref="P2830:P2834"/>
    <mergeCell ref="Q2830:Q2834"/>
    <mergeCell ref="O2855:O2859"/>
    <mergeCell ref="P2855:P2859"/>
    <mergeCell ref="Q2855:Q2859"/>
    <mergeCell ref="O2860:O2864"/>
    <mergeCell ref="P2860:P2864"/>
    <mergeCell ref="Q2860:Q2864"/>
    <mergeCell ref="O2845:O2849"/>
    <mergeCell ref="P2845:P2849"/>
    <mergeCell ref="Q2845:Q2849"/>
    <mergeCell ref="O2850:O2854"/>
    <mergeCell ref="P2850:P2854"/>
    <mergeCell ref="Q2850:Q2854"/>
    <mergeCell ref="O2875:O2879"/>
    <mergeCell ref="P2875:P2879"/>
    <mergeCell ref="Q2875:Q2879"/>
    <mergeCell ref="O2880:O2884"/>
    <mergeCell ref="P2880:P2884"/>
    <mergeCell ref="Q2880:Q2884"/>
    <mergeCell ref="O2865:O2869"/>
    <mergeCell ref="P2865:P2869"/>
    <mergeCell ref="Q2865:Q2869"/>
    <mergeCell ref="O2870:O2874"/>
    <mergeCell ref="P2870:P2874"/>
    <mergeCell ref="Q2870:Q2874"/>
    <mergeCell ref="O2895:O2899"/>
    <mergeCell ref="P2895:P2899"/>
    <mergeCell ref="Q2895:Q2899"/>
    <mergeCell ref="O2900:O2904"/>
    <mergeCell ref="P2900:P2904"/>
    <mergeCell ref="Q2900:Q2904"/>
    <mergeCell ref="O2885:O2889"/>
    <mergeCell ref="P2885:P2889"/>
    <mergeCell ref="Q2885:Q2889"/>
    <mergeCell ref="O2890:O2894"/>
    <mergeCell ref="P2890:P2894"/>
    <mergeCell ref="Q2890:Q2894"/>
    <mergeCell ref="O2915:O2919"/>
    <mergeCell ref="P2915:P2919"/>
    <mergeCell ref="Q2915:Q2919"/>
    <mergeCell ref="O2920:O2924"/>
    <mergeCell ref="P2920:P2924"/>
    <mergeCell ref="Q2920:Q2924"/>
    <mergeCell ref="O2905:O2909"/>
    <mergeCell ref="P2905:P2909"/>
    <mergeCell ref="Q2905:Q2909"/>
    <mergeCell ref="O2910:O2914"/>
    <mergeCell ref="P2910:P2914"/>
    <mergeCell ref="Q2910:Q2914"/>
    <mergeCell ref="O2935:O2939"/>
    <mergeCell ref="P2935:P2939"/>
    <mergeCell ref="Q2935:Q2939"/>
    <mergeCell ref="O2940:O2944"/>
    <mergeCell ref="P2940:P2944"/>
    <mergeCell ref="Q2940:Q2944"/>
    <mergeCell ref="O2925:O2929"/>
    <mergeCell ref="P2925:P2929"/>
    <mergeCell ref="Q2925:Q2929"/>
    <mergeCell ref="O2930:O2934"/>
    <mergeCell ref="P2930:P2934"/>
    <mergeCell ref="Q2930:Q2934"/>
    <mergeCell ref="O2955:O2959"/>
    <mergeCell ref="P2955:P2959"/>
    <mergeCell ref="Q2955:Q2959"/>
    <mergeCell ref="O2960:O2964"/>
    <mergeCell ref="P2960:P2964"/>
    <mergeCell ref="Q2960:Q2964"/>
    <mergeCell ref="O2945:O2949"/>
    <mergeCell ref="P2945:P2949"/>
    <mergeCell ref="Q2945:Q2949"/>
    <mergeCell ref="O2950:O2954"/>
    <mergeCell ref="P2950:P2954"/>
    <mergeCell ref="Q2950:Q2954"/>
    <mergeCell ref="O2975:O2979"/>
    <mergeCell ref="P2975:P2979"/>
    <mergeCell ref="Q2975:Q2979"/>
    <mergeCell ref="O2980:O2984"/>
    <mergeCell ref="P2980:P2984"/>
    <mergeCell ref="Q2980:Q2984"/>
    <mergeCell ref="O2965:O2969"/>
    <mergeCell ref="P2965:P2969"/>
    <mergeCell ref="Q2965:Q2969"/>
    <mergeCell ref="O2970:O2974"/>
    <mergeCell ref="P2970:P2974"/>
    <mergeCell ref="Q2970:Q2974"/>
    <mergeCell ref="O2995:O2999"/>
    <mergeCell ref="P2995:P2999"/>
    <mergeCell ref="Q2995:Q2999"/>
    <mergeCell ref="O3000:O3004"/>
    <mergeCell ref="P3000:P3004"/>
    <mergeCell ref="Q3000:Q3004"/>
    <mergeCell ref="O2985:O2989"/>
    <mergeCell ref="P2985:P2989"/>
    <mergeCell ref="Q2985:Q2989"/>
    <mergeCell ref="O2990:O2994"/>
    <mergeCell ref="P2990:P2994"/>
    <mergeCell ref="Q2990:Q2994"/>
    <mergeCell ref="O3015:O3019"/>
    <mergeCell ref="P3015:P3019"/>
    <mergeCell ref="Q3015:Q3019"/>
    <mergeCell ref="O3020:O3024"/>
    <mergeCell ref="P3020:P3024"/>
    <mergeCell ref="Q3020:Q3024"/>
    <mergeCell ref="O3005:O3009"/>
    <mergeCell ref="P3005:P3009"/>
    <mergeCell ref="Q3005:Q3009"/>
    <mergeCell ref="O3010:O3014"/>
    <mergeCell ref="P3010:P3014"/>
    <mergeCell ref="Q3010:Q3014"/>
    <mergeCell ref="O3035:O3039"/>
    <mergeCell ref="P3035:P3039"/>
    <mergeCell ref="Q3035:Q3039"/>
    <mergeCell ref="O3040:O3044"/>
    <mergeCell ref="P3040:P3044"/>
    <mergeCell ref="Q3040:Q3044"/>
    <mergeCell ref="O3025:O3029"/>
    <mergeCell ref="P3025:P3029"/>
    <mergeCell ref="Q3025:Q3029"/>
    <mergeCell ref="O3030:O3034"/>
    <mergeCell ref="P3030:P3034"/>
    <mergeCell ref="Q3030:Q3034"/>
    <mergeCell ref="O3055:O3059"/>
    <mergeCell ref="P3055:P3059"/>
    <mergeCell ref="Q3055:Q3059"/>
    <mergeCell ref="O3060:O3064"/>
    <mergeCell ref="P3060:P3064"/>
    <mergeCell ref="Q3060:Q3064"/>
    <mergeCell ref="O3045:O3049"/>
    <mergeCell ref="P3045:P3049"/>
    <mergeCell ref="Q3045:Q3049"/>
    <mergeCell ref="O3050:O3054"/>
    <mergeCell ref="P3050:P3054"/>
    <mergeCell ref="Q3050:Q3054"/>
    <mergeCell ref="O3075:O3079"/>
    <mergeCell ref="P3075:P3079"/>
    <mergeCell ref="Q3075:Q3079"/>
    <mergeCell ref="O3080:O3084"/>
    <mergeCell ref="P3080:P3084"/>
    <mergeCell ref="Q3080:Q3084"/>
    <mergeCell ref="O3065:O3069"/>
    <mergeCell ref="P3065:P3069"/>
    <mergeCell ref="Q3065:Q3069"/>
    <mergeCell ref="O3070:O3074"/>
    <mergeCell ref="P3070:P3074"/>
    <mergeCell ref="Q3070:Q3074"/>
    <mergeCell ref="O3095:O3099"/>
    <mergeCell ref="P3095:P3099"/>
    <mergeCell ref="Q3095:Q3099"/>
    <mergeCell ref="O3100:O3104"/>
    <mergeCell ref="P3100:P3104"/>
    <mergeCell ref="Q3100:Q3104"/>
    <mergeCell ref="O3085:O3089"/>
    <mergeCell ref="P3085:P3089"/>
    <mergeCell ref="Q3085:Q3089"/>
    <mergeCell ref="O3090:O3094"/>
    <mergeCell ref="P3090:P3094"/>
    <mergeCell ref="Q3090:Q3094"/>
    <mergeCell ref="O3115:O3119"/>
    <mergeCell ref="P3115:P3119"/>
    <mergeCell ref="Q3115:Q3119"/>
    <mergeCell ref="O3120:O3124"/>
    <mergeCell ref="P3120:P3124"/>
    <mergeCell ref="Q3120:Q3124"/>
    <mergeCell ref="O3105:O3109"/>
    <mergeCell ref="P3105:P3109"/>
    <mergeCell ref="Q3105:Q3109"/>
    <mergeCell ref="O3110:O3114"/>
    <mergeCell ref="P3110:P3114"/>
    <mergeCell ref="Q3110:Q3114"/>
    <mergeCell ref="O3135:O3139"/>
    <mergeCell ref="P3135:P3139"/>
    <mergeCell ref="Q3135:Q3139"/>
    <mergeCell ref="O3140:O3144"/>
    <mergeCell ref="P3140:P3144"/>
    <mergeCell ref="Q3140:Q3144"/>
    <mergeCell ref="O3125:O3129"/>
    <mergeCell ref="P3125:P3129"/>
    <mergeCell ref="Q3125:Q3129"/>
    <mergeCell ref="O3130:O3134"/>
    <mergeCell ref="P3130:P3134"/>
    <mergeCell ref="Q3130:Q3134"/>
    <mergeCell ref="O3155:O3159"/>
    <mergeCell ref="P3155:P3159"/>
    <mergeCell ref="Q3155:Q3159"/>
    <mergeCell ref="O3160:O3164"/>
    <mergeCell ref="P3160:P3164"/>
    <mergeCell ref="Q3160:Q3164"/>
    <mergeCell ref="O3145:O3149"/>
    <mergeCell ref="P3145:P3149"/>
    <mergeCell ref="Q3145:Q3149"/>
    <mergeCell ref="O3150:O3154"/>
    <mergeCell ref="P3150:P3154"/>
    <mergeCell ref="Q3150:Q3154"/>
    <mergeCell ref="O3175:O3179"/>
    <mergeCell ref="P3175:P3179"/>
    <mergeCell ref="Q3175:Q3179"/>
    <mergeCell ref="O3180:O3184"/>
    <mergeCell ref="P3180:P3184"/>
    <mergeCell ref="Q3180:Q3184"/>
    <mergeCell ref="O3165:O3169"/>
    <mergeCell ref="P3165:P3169"/>
    <mergeCell ref="Q3165:Q3169"/>
    <mergeCell ref="O3170:O3174"/>
    <mergeCell ref="P3170:P3174"/>
    <mergeCell ref="Q3170:Q3174"/>
    <mergeCell ref="O3195:O3199"/>
    <mergeCell ref="P3195:P3199"/>
    <mergeCell ref="Q3195:Q3199"/>
    <mergeCell ref="O3200:O3204"/>
    <mergeCell ref="P3200:P3204"/>
    <mergeCell ref="Q3200:Q3204"/>
    <mergeCell ref="O3185:O3189"/>
    <mergeCell ref="P3185:P3189"/>
    <mergeCell ref="Q3185:Q3189"/>
    <mergeCell ref="O3190:O3194"/>
    <mergeCell ref="P3190:P3194"/>
    <mergeCell ref="Q3190:Q3194"/>
    <mergeCell ref="O3215:O3219"/>
    <mergeCell ref="P3215:P3219"/>
    <mergeCell ref="Q3215:Q3219"/>
    <mergeCell ref="O3220:O3224"/>
    <mergeCell ref="P3220:P3224"/>
    <mergeCell ref="Q3220:Q3224"/>
    <mergeCell ref="O3205:O3209"/>
    <mergeCell ref="P3205:P3209"/>
    <mergeCell ref="Q3205:Q3209"/>
    <mergeCell ref="O3210:O3214"/>
    <mergeCell ref="P3210:P3214"/>
    <mergeCell ref="Q3210:Q3214"/>
    <mergeCell ref="O3235:O3239"/>
    <mergeCell ref="P3235:P3239"/>
    <mergeCell ref="Q3235:Q3239"/>
    <mergeCell ref="O3240:O3244"/>
    <mergeCell ref="P3240:P3244"/>
    <mergeCell ref="Q3240:Q3244"/>
    <mergeCell ref="O3225:O3229"/>
    <mergeCell ref="P3225:P3229"/>
    <mergeCell ref="Q3225:Q3229"/>
    <mergeCell ref="O3230:O3234"/>
    <mergeCell ref="P3230:P3234"/>
    <mergeCell ref="Q3230:Q3234"/>
    <mergeCell ref="O3255:O3259"/>
    <mergeCell ref="P3255:P3259"/>
    <mergeCell ref="Q3255:Q3259"/>
    <mergeCell ref="O3260:O3264"/>
    <mergeCell ref="P3260:P3264"/>
    <mergeCell ref="Q3260:Q3264"/>
    <mergeCell ref="O3245:O3249"/>
    <mergeCell ref="P3245:P3249"/>
    <mergeCell ref="Q3245:Q3249"/>
    <mergeCell ref="O3250:O3254"/>
    <mergeCell ref="P3250:P3254"/>
    <mergeCell ref="Q3250:Q3254"/>
    <mergeCell ref="O3275:O3279"/>
    <mergeCell ref="P3275:P3279"/>
    <mergeCell ref="Q3275:Q3279"/>
    <mergeCell ref="O3280:O3284"/>
    <mergeCell ref="P3280:P3284"/>
    <mergeCell ref="Q3280:Q3284"/>
    <mergeCell ref="O3265:O3269"/>
    <mergeCell ref="P3265:P3269"/>
    <mergeCell ref="Q3265:Q3269"/>
    <mergeCell ref="O3270:O3274"/>
    <mergeCell ref="P3270:P3274"/>
    <mergeCell ref="Q3270:Q3274"/>
    <mergeCell ref="O3295:O3299"/>
    <mergeCell ref="P3295:P3299"/>
    <mergeCell ref="Q3295:Q3299"/>
    <mergeCell ref="O3300:O3304"/>
    <mergeCell ref="P3300:P3304"/>
    <mergeCell ref="Q3300:Q3304"/>
    <mergeCell ref="O3285:O3289"/>
    <mergeCell ref="P3285:P3289"/>
    <mergeCell ref="Q3285:Q3289"/>
    <mergeCell ref="O3290:O3294"/>
    <mergeCell ref="P3290:P3294"/>
    <mergeCell ref="Q3290:Q3294"/>
    <mergeCell ref="O3315:O3319"/>
    <mergeCell ref="P3315:P3319"/>
    <mergeCell ref="Q3315:Q3319"/>
    <mergeCell ref="O3320:O3324"/>
    <mergeCell ref="P3320:P3324"/>
    <mergeCell ref="Q3320:Q3324"/>
    <mergeCell ref="O3305:O3309"/>
    <mergeCell ref="P3305:P3309"/>
    <mergeCell ref="Q3305:Q3309"/>
    <mergeCell ref="O3310:O3314"/>
    <mergeCell ref="P3310:P3314"/>
    <mergeCell ref="Q3310:Q3314"/>
    <mergeCell ref="O3335:O3339"/>
    <mergeCell ref="P3335:P3339"/>
    <mergeCell ref="Q3335:Q3339"/>
    <mergeCell ref="O3340:O3344"/>
    <mergeCell ref="P3340:P3344"/>
    <mergeCell ref="Q3340:Q3344"/>
    <mergeCell ref="O3325:O3329"/>
    <mergeCell ref="P3325:P3329"/>
    <mergeCell ref="Q3325:Q3329"/>
    <mergeCell ref="O3330:O3334"/>
    <mergeCell ref="P3330:P3334"/>
    <mergeCell ref="Q3330:Q3334"/>
    <mergeCell ref="O3355:O3359"/>
    <mergeCell ref="P3355:P3359"/>
    <mergeCell ref="Q3355:Q3359"/>
    <mergeCell ref="O3360:O3364"/>
    <mergeCell ref="P3360:P3364"/>
    <mergeCell ref="Q3360:Q3364"/>
    <mergeCell ref="O3345:O3349"/>
    <mergeCell ref="P3345:P3349"/>
    <mergeCell ref="Q3345:Q3349"/>
    <mergeCell ref="O3350:O3354"/>
    <mergeCell ref="P3350:P3354"/>
    <mergeCell ref="Q3350:Q3354"/>
    <mergeCell ref="O3375:O3379"/>
    <mergeCell ref="P3375:P3379"/>
    <mergeCell ref="Q3375:Q3379"/>
    <mergeCell ref="O3380:O3384"/>
    <mergeCell ref="P3380:P3384"/>
    <mergeCell ref="Q3380:Q3384"/>
    <mergeCell ref="O3365:O3369"/>
    <mergeCell ref="P3365:P3369"/>
    <mergeCell ref="Q3365:Q3369"/>
    <mergeCell ref="O3370:O3374"/>
    <mergeCell ref="P3370:P3374"/>
    <mergeCell ref="Q3370:Q3374"/>
    <mergeCell ref="O3395:O3399"/>
    <mergeCell ref="P3395:P3399"/>
    <mergeCell ref="Q3395:Q3399"/>
    <mergeCell ref="O3400:O3404"/>
    <mergeCell ref="P3400:P3404"/>
    <mergeCell ref="Q3400:Q3404"/>
    <mergeCell ref="O3385:O3389"/>
    <mergeCell ref="P3385:P3389"/>
    <mergeCell ref="Q3385:Q3389"/>
    <mergeCell ref="O3390:O3394"/>
    <mergeCell ref="P3390:P3394"/>
    <mergeCell ref="Q3390:Q3394"/>
    <mergeCell ref="O3415:O3419"/>
    <mergeCell ref="P3415:P3419"/>
    <mergeCell ref="Q3415:Q3419"/>
    <mergeCell ref="O3420:O3424"/>
    <mergeCell ref="P3420:P3424"/>
    <mergeCell ref="Q3420:Q3424"/>
    <mergeCell ref="O3405:O3409"/>
    <mergeCell ref="P3405:P3409"/>
    <mergeCell ref="Q3405:Q3409"/>
    <mergeCell ref="O3410:O3414"/>
    <mergeCell ref="P3410:P3414"/>
    <mergeCell ref="Q3410:Q3414"/>
    <mergeCell ref="O3435:O3439"/>
    <mergeCell ref="P3435:P3439"/>
    <mergeCell ref="Q3435:Q3439"/>
    <mergeCell ref="O3440:O3444"/>
    <mergeCell ref="P3440:P3444"/>
    <mergeCell ref="Q3440:Q3444"/>
    <mergeCell ref="O3425:O3429"/>
    <mergeCell ref="P3425:P3429"/>
    <mergeCell ref="Q3425:Q3429"/>
    <mergeCell ref="O3430:O3434"/>
    <mergeCell ref="P3430:P3434"/>
    <mergeCell ref="Q3430:Q3434"/>
    <mergeCell ref="O3455:O3459"/>
    <mergeCell ref="P3455:P3459"/>
    <mergeCell ref="Q3455:Q3459"/>
    <mergeCell ref="O3460:O3464"/>
    <mergeCell ref="P3460:P3464"/>
    <mergeCell ref="Q3460:Q3464"/>
    <mergeCell ref="O3445:O3449"/>
    <mergeCell ref="P3445:P3449"/>
    <mergeCell ref="Q3445:Q3449"/>
    <mergeCell ref="O3450:O3454"/>
    <mergeCell ref="P3450:P3454"/>
    <mergeCell ref="Q3450:Q3454"/>
    <mergeCell ref="O3475:O3479"/>
    <mergeCell ref="P3475:P3479"/>
    <mergeCell ref="Q3475:Q3479"/>
    <mergeCell ref="O3480:O3484"/>
    <mergeCell ref="P3480:P3484"/>
    <mergeCell ref="Q3480:Q3484"/>
    <mergeCell ref="O3465:O3469"/>
    <mergeCell ref="P3465:P3469"/>
    <mergeCell ref="Q3465:Q3469"/>
    <mergeCell ref="O3470:O3474"/>
    <mergeCell ref="P3470:P3474"/>
    <mergeCell ref="Q3470:Q3474"/>
    <mergeCell ref="O3495:O3499"/>
    <mergeCell ref="P3495:P3499"/>
    <mergeCell ref="Q3495:Q3499"/>
    <mergeCell ref="O3500:O3504"/>
    <mergeCell ref="P3500:P3504"/>
    <mergeCell ref="Q3500:Q3504"/>
    <mergeCell ref="O3485:O3489"/>
    <mergeCell ref="P3485:P3489"/>
    <mergeCell ref="Q3485:Q3489"/>
    <mergeCell ref="O3490:O3494"/>
    <mergeCell ref="P3490:P3494"/>
    <mergeCell ref="Q3490:Q3494"/>
    <mergeCell ref="O3515:O3519"/>
    <mergeCell ref="P3515:P3519"/>
    <mergeCell ref="Q3515:Q3519"/>
    <mergeCell ref="O3520:O3524"/>
    <mergeCell ref="P3520:P3524"/>
    <mergeCell ref="Q3520:Q3524"/>
    <mergeCell ref="O3505:O3509"/>
    <mergeCell ref="P3505:P3509"/>
    <mergeCell ref="Q3505:Q3509"/>
    <mergeCell ref="O3510:O3514"/>
    <mergeCell ref="P3510:P3514"/>
    <mergeCell ref="Q3510:Q3514"/>
    <mergeCell ref="O3535:O3539"/>
    <mergeCell ref="P3535:P3539"/>
    <mergeCell ref="Q3535:Q3539"/>
    <mergeCell ref="O3540:O3544"/>
    <mergeCell ref="P3540:P3544"/>
    <mergeCell ref="Q3540:Q3544"/>
    <mergeCell ref="O3525:O3529"/>
    <mergeCell ref="P3525:P3529"/>
    <mergeCell ref="Q3525:Q3529"/>
    <mergeCell ref="O3530:O3534"/>
    <mergeCell ref="P3530:P3534"/>
    <mergeCell ref="Q3530:Q3534"/>
    <mergeCell ref="O3555:O3559"/>
    <mergeCell ref="P3555:P3559"/>
    <mergeCell ref="Q3555:Q3559"/>
    <mergeCell ref="O3560:O3564"/>
    <mergeCell ref="P3560:P3564"/>
    <mergeCell ref="Q3560:Q3564"/>
    <mergeCell ref="O3545:O3549"/>
    <mergeCell ref="P3545:P3549"/>
    <mergeCell ref="Q3545:Q3549"/>
    <mergeCell ref="O3550:O3554"/>
    <mergeCell ref="P3550:P3554"/>
    <mergeCell ref="Q3550:Q3554"/>
    <mergeCell ref="O3575:O3579"/>
    <mergeCell ref="P3575:P3579"/>
    <mergeCell ref="Q3575:Q3579"/>
    <mergeCell ref="O3580:O3584"/>
    <mergeCell ref="P3580:P3584"/>
    <mergeCell ref="Q3580:Q3584"/>
    <mergeCell ref="O3565:O3569"/>
    <mergeCell ref="P3565:P3569"/>
    <mergeCell ref="Q3565:Q3569"/>
    <mergeCell ref="O3570:O3574"/>
    <mergeCell ref="P3570:P3574"/>
    <mergeCell ref="Q3570:Q3574"/>
    <mergeCell ref="O3595:O3599"/>
    <mergeCell ref="P3595:P3599"/>
    <mergeCell ref="Q3595:Q3599"/>
    <mergeCell ref="O3600:O3604"/>
    <mergeCell ref="P3600:P3604"/>
    <mergeCell ref="Q3600:Q3604"/>
    <mergeCell ref="O3585:O3589"/>
    <mergeCell ref="P3585:P3589"/>
    <mergeCell ref="Q3585:Q3589"/>
    <mergeCell ref="O3590:O3594"/>
    <mergeCell ref="P3590:P3594"/>
    <mergeCell ref="Q3590:Q3594"/>
    <mergeCell ref="O3615:O3619"/>
    <mergeCell ref="P3615:P3619"/>
    <mergeCell ref="Q3615:Q3619"/>
    <mergeCell ref="O3620:O3624"/>
    <mergeCell ref="P3620:P3624"/>
    <mergeCell ref="Q3620:Q3624"/>
    <mergeCell ref="O3605:O3609"/>
    <mergeCell ref="P3605:P3609"/>
    <mergeCell ref="Q3605:Q3609"/>
    <mergeCell ref="O3610:O3614"/>
    <mergeCell ref="P3610:P3614"/>
    <mergeCell ref="Q3610:Q3614"/>
    <mergeCell ref="O3635:O3639"/>
    <mergeCell ref="P3635:P3639"/>
    <mergeCell ref="Q3635:Q3639"/>
    <mergeCell ref="O3640:O3644"/>
    <mergeCell ref="P3640:P3644"/>
    <mergeCell ref="Q3640:Q3644"/>
    <mergeCell ref="O3625:O3629"/>
    <mergeCell ref="P3625:P3629"/>
    <mergeCell ref="Q3625:Q3629"/>
    <mergeCell ref="O3630:O3634"/>
    <mergeCell ref="P3630:P3634"/>
    <mergeCell ref="Q3630:Q3634"/>
    <mergeCell ref="O3655:O3659"/>
    <mergeCell ref="P3655:P3659"/>
    <mergeCell ref="Q3655:Q3659"/>
    <mergeCell ref="O3660:O3664"/>
    <mergeCell ref="P3660:P3664"/>
    <mergeCell ref="Q3660:Q3664"/>
    <mergeCell ref="O3645:O3649"/>
    <mergeCell ref="P3645:P3649"/>
    <mergeCell ref="Q3645:Q3649"/>
    <mergeCell ref="O3650:O3654"/>
    <mergeCell ref="P3650:P3654"/>
    <mergeCell ref="Q3650:Q3654"/>
    <mergeCell ref="O3675:O3679"/>
    <mergeCell ref="P3675:P3679"/>
    <mergeCell ref="Q3675:Q3679"/>
    <mergeCell ref="O3680:O3684"/>
    <mergeCell ref="P3680:P3684"/>
    <mergeCell ref="Q3680:Q3684"/>
    <mergeCell ref="O3665:O3669"/>
    <mergeCell ref="P3665:P3669"/>
    <mergeCell ref="Q3665:Q3669"/>
    <mergeCell ref="O3670:O3674"/>
    <mergeCell ref="P3670:P3674"/>
    <mergeCell ref="Q3670:Q3674"/>
    <mergeCell ref="O3695:O3699"/>
    <mergeCell ref="P3695:P3699"/>
    <mergeCell ref="Q3695:Q3699"/>
    <mergeCell ref="O3700:O3704"/>
    <mergeCell ref="P3700:P3704"/>
    <mergeCell ref="Q3700:Q3704"/>
    <mergeCell ref="O3685:O3689"/>
    <mergeCell ref="P3685:P3689"/>
    <mergeCell ref="Q3685:Q3689"/>
    <mergeCell ref="O3690:O3694"/>
    <mergeCell ref="P3690:P3694"/>
    <mergeCell ref="Q3690:Q3694"/>
    <mergeCell ref="O3715:O3719"/>
    <mergeCell ref="P3715:P3719"/>
    <mergeCell ref="Q3715:Q3719"/>
    <mergeCell ref="O3720:O3724"/>
    <mergeCell ref="P3720:P3724"/>
    <mergeCell ref="Q3720:Q3724"/>
    <mergeCell ref="O3705:O3709"/>
    <mergeCell ref="P3705:P3709"/>
    <mergeCell ref="Q3705:Q3709"/>
    <mergeCell ref="O3710:O3714"/>
    <mergeCell ref="P3710:P3714"/>
    <mergeCell ref="Q3710:Q3714"/>
    <mergeCell ref="O3735:O3739"/>
    <mergeCell ref="P3735:P3739"/>
    <mergeCell ref="Q3735:Q3739"/>
    <mergeCell ref="O3740:O3744"/>
    <mergeCell ref="P3740:P3744"/>
    <mergeCell ref="Q3740:Q3744"/>
    <mergeCell ref="O3725:O3729"/>
    <mergeCell ref="P3725:P3729"/>
    <mergeCell ref="Q3725:Q3729"/>
    <mergeCell ref="O3730:O3734"/>
    <mergeCell ref="P3730:P3734"/>
    <mergeCell ref="Q3730:Q3734"/>
    <mergeCell ref="O3755:O3759"/>
    <mergeCell ref="P3755:P3759"/>
    <mergeCell ref="Q3755:Q3759"/>
    <mergeCell ref="O3760:O3764"/>
    <mergeCell ref="P3760:P3764"/>
    <mergeCell ref="Q3760:Q3764"/>
    <mergeCell ref="O3745:O3749"/>
    <mergeCell ref="P3745:P3749"/>
    <mergeCell ref="Q3745:Q3749"/>
    <mergeCell ref="O3750:O3754"/>
    <mergeCell ref="P3750:P3754"/>
    <mergeCell ref="Q3750:Q3754"/>
    <mergeCell ref="O3775:O3779"/>
    <mergeCell ref="P3775:P3779"/>
    <mergeCell ref="Q3775:Q3779"/>
    <mergeCell ref="O3780:O3784"/>
    <mergeCell ref="P3780:P3784"/>
    <mergeCell ref="Q3780:Q3784"/>
    <mergeCell ref="O3765:O3769"/>
    <mergeCell ref="P3765:P3769"/>
    <mergeCell ref="Q3765:Q3769"/>
    <mergeCell ref="O3770:O3774"/>
    <mergeCell ref="P3770:P3774"/>
    <mergeCell ref="Q3770:Q3774"/>
    <mergeCell ref="O3795:O3799"/>
    <mergeCell ref="P3795:P3799"/>
    <mergeCell ref="Q3795:Q3799"/>
    <mergeCell ref="O3800:O3804"/>
    <mergeCell ref="P3800:P3804"/>
    <mergeCell ref="Q3800:Q3804"/>
    <mergeCell ref="O3785:O3789"/>
    <mergeCell ref="P3785:P3789"/>
    <mergeCell ref="Q3785:Q3789"/>
    <mergeCell ref="O3790:O3794"/>
    <mergeCell ref="P3790:P3794"/>
    <mergeCell ref="Q3790:Q3794"/>
    <mergeCell ref="O3815:O3819"/>
    <mergeCell ref="P3815:P3819"/>
    <mergeCell ref="Q3815:Q3819"/>
    <mergeCell ref="O3820:O3824"/>
    <mergeCell ref="P3820:P3824"/>
    <mergeCell ref="Q3820:Q3824"/>
    <mergeCell ref="O3805:O3809"/>
    <mergeCell ref="P3805:P3809"/>
    <mergeCell ref="Q3805:Q3809"/>
    <mergeCell ref="O3810:O3814"/>
    <mergeCell ref="P3810:P3814"/>
    <mergeCell ref="Q3810:Q3814"/>
    <mergeCell ref="O3835:O3839"/>
    <mergeCell ref="P3835:P3839"/>
    <mergeCell ref="Q3835:Q3839"/>
    <mergeCell ref="O3840:O3844"/>
    <mergeCell ref="P3840:P3844"/>
    <mergeCell ref="Q3840:Q3844"/>
    <mergeCell ref="O3825:O3829"/>
    <mergeCell ref="P3825:P3829"/>
    <mergeCell ref="Q3825:Q3829"/>
    <mergeCell ref="O3830:O3834"/>
    <mergeCell ref="P3830:P3834"/>
    <mergeCell ref="Q3830:Q3834"/>
    <mergeCell ref="O3855:O3859"/>
    <mergeCell ref="P3855:P3859"/>
    <mergeCell ref="Q3855:Q3859"/>
    <mergeCell ref="O3860:O3864"/>
    <mergeCell ref="P3860:P3864"/>
    <mergeCell ref="Q3860:Q3864"/>
    <mergeCell ref="O3845:O3849"/>
    <mergeCell ref="P3845:P3849"/>
    <mergeCell ref="Q3845:Q3849"/>
    <mergeCell ref="O3850:O3854"/>
    <mergeCell ref="P3850:P3854"/>
    <mergeCell ref="Q3850:Q3854"/>
    <mergeCell ref="O3875:O3879"/>
    <mergeCell ref="P3875:P3879"/>
    <mergeCell ref="Q3875:Q3879"/>
    <mergeCell ref="O3880:O3884"/>
    <mergeCell ref="P3880:P3884"/>
    <mergeCell ref="Q3880:Q3884"/>
    <mergeCell ref="O3865:O3869"/>
    <mergeCell ref="P3865:P3869"/>
    <mergeCell ref="Q3865:Q3869"/>
    <mergeCell ref="O3870:O3874"/>
    <mergeCell ref="P3870:P3874"/>
    <mergeCell ref="Q3870:Q3874"/>
    <mergeCell ref="O3895:O3899"/>
    <mergeCell ref="P3895:P3899"/>
    <mergeCell ref="Q3895:Q3899"/>
    <mergeCell ref="O3900:O3904"/>
    <mergeCell ref="P3900:P3904"/>
    <mergeCell ref="Q3900:Q3904"/>
    <mergeCell ref="O3885:O3889"/>
    <mergeCell ref="P3885:P3889"/>
    <mergeCell ref="Q3885:Q3889"/>
    <mergeCell ref="O3890:O3894"/>
    <mergeCell ref="P3890:P3894"/>
    <mergeCell ref="Q3890:Q3894"/>
    <mergeCell ref="O3915:O3919"/>
    <mergeCell ref="P3915:P3919"/>
    <mergeCell ref="Q3915:Q3919"/>
    <mergeCell ref="O3920:O3924"/>
    <mergeCell ref="P3920:P3924"/>
    <mergeCell ref="Q3920:Q3924"/>
    <mergeCell ref="O3905:O3909"/>
    <mergeCell ref="P3905:P3909"/>
    <mergeCell ref="Q3905:Q3909"/>
    <mergeCell ref="O3910:O3914"/>
    <mergeCell ref="P3910:P3914"/>
    <mergeCell ref="Q3910:Q3914"/>
    <mergeCell ref="O3935:O3939"/>
    <mergeCell ref="P3935:P3939"/>
    <mergeCell ref="Q3935:Q3939"/>
    <mergeCell ref="O3940:O3944"/>
    <mergeCell ref="P3940:P3944"/>
    <mergeCell ref="Q3940:Q3944"/>
    <mergeCell ref="O3925:O3929"/>
    <mergeCell ref="P3925:P3929"/>
    <mergeCell ref="Q3925:Q3929"/>
    <mergeCell ref="O3930:O3934"/>
    <mergeCell ref="P3930:P3934"/>
    <mergeCell ref="Q3930:Q3934"/>
    <mergeCell ref="O3955:O3959"/>
    <mergeCell ref="P3955:P3959"/>
    <mergeCell ref="Q3955:Q3959"/>
    <mergeCell ref="O3960:O3964"/>
    <mergeCell ref="P3960:P3964"/>
    <mergeCell ref="Q3960:Q3964"/>
    <mergeCell ref="O3945:O3949"/>
    <mergeCell ref="P3945:P3949"/>
    <mergeCell ref="Q3945:Q3949"/>
    <mergeCell ref="O3950:O3954"/>
    <mergeCell ref="P3950:P3954"/>
    <mergeCell ref="Q3950:Q3954"/>
    <mergeCell ref="O3975:O3979"/>
    <mergeCell ref="P3975:P3979"/>
    <mergeCell ref="Q3975:Q3979"/>
    <mergeCell ref="O3980:O3984"/>
    <mergeCell ref="P3980:P3984"/>
    <mergeCell ref="Q3980:Q3984"/>
    <mergeCell ref="O3965:O3969"/>
    <mergeCell ref="P3965:P3969"/>
    <mergeCell ref="Q3965:Q3969"/>
    <mergeCell ref="O3970:O3974"/>
    <mergeCell ref="P3970:P3974"/>
    <mergeCell ref="Q3970:Q3974"/>
    <mergeCell ref="O3995:O3999"/>
    <mergeCell ref="P3995:P3999"/>
    <mergeCell ref="Q3995:Q3999"/>
    <mergeCell ref="O4000:O4004"/>
    <mergeCell ref="P4000:P4004"/>
    <mergeCell ref="Q4000:Q4004"/>
    <mergeCell ref="O3985:O3989"/>
    <mergeCell ref="P3985:P3989"/>
    <mergeCell ref="Q3985:Q3989"/>
    <mergeCell ref="O3990:O3994"/>
    <mergeCell ref="P3990:P3994"/>
    <mergeCell ref="Q3990:Q3994"/>
    <mergeCell ref="O4015:O4019"/>
    <mergeCell ref="P4015:P4019"/>
    <mergeCell ref="Q4015:Q4019"/>
    <mergeCell ref="O4020:O4024"/>
    <mergeCell ref="P4020:P4024"/>
    <mergeCell ref="Q4020:Q4024"/>
    <mergeCell ref="O4005:O4009"/>
    <mergeCell ref="P4005:P4009"/>
    <mergeCell ref="Q4005:Q4009"/>
    <mergeCell ref="O4010:O4014"/>
    <mergeCell ref="P4010:P4014"/>
    <mergeCell ref="Q4010:Q4014"/>
    <mergeCell ref="O4035:O4039"/>
    <mergeCell ref="P4035:P4039"/>
    <mergeCell ref="Q4035:Q4039"/>
    <mergeCell ref="O4040:O4044"/>
    <mergeCell ref="P4040:P4044"/>
    <mergeCell ref="Q4040:Q4044"/>
    <mergeCell ref="O4025:O4029"/>
    <mergeCell ref="P4025:P4029"/>
    <mergeCell ref="Q4025:Q4029"/>
    <mergeCell ref="O4030:O4034"/>
    <mergeCell ref="P4030:P4034"/>
    <mergeCell ref="Q4030:Q4034"/>
    <mergeCell ref="O4055:O4059"/>
    <mergeCell ref="P4055:P4059"/>
    <mergeCell ref="Q4055:Q4059"/>
    <mergeCell ref="O4060:O4064"/>
    <mergeCell ref="P4060:P4064"/>
    <mergeCell ref="Q4060:Q4064"/>
    <mergeCell ref="O4045:O4049"/>
    <mergeCell ref="P4045:P4049"/>
    <mergeCell ref="Q4045:Q4049"/>
    <mergeCell ref="O4050:O4054"/>
    <mergeCell ref="P4050:P4054"/>
    <mergeCell ref="Q4050:Q4054"/>
    <mergeCell ref="O4075:O4079"/>
    <mergeCell ref="P4075:P4079"/>
    <mergeCell ref="Q4075:Q4079"/>
    <mergeCell ref="O4080:O4084"/>
    <mergeCell ref="P4080:P4084"/>
    <mergeCell ref="Q4080:Q4084"/>
    <mergeCell ref="O4065:O4069"/>
    <mergeCell ref="P4065:P4069"/>
    <mergeCell ref="Q4065:Q4069"/>
    <mergeCell ref="O4070:O4074"/>
    <mergeCell ref="P4070:P4074"/>
    <mergeCell ref="Q4070:Q4074"/>
    <mergeCell ref="O4085:O4089"/>
    <mergeCell ref="P4085:P4089"/>
    <mergeCell ref="Q4085:Q4089"/>
    <mergeCell ref="O4090:O4094"/>
    <mergeCell ref="P4090:P4094"/>
    <mergeCell ref="Q4090:Q4094"/>
    <mergeCell ref="O4115:O4119"/>
    <mergeCell ref="P4115:P4119"/>
    <mergeCell ref="Q4115:Q4119"/>
    <mergeCell ref="O4120:O4124"/>
    <mergeCell ref="P4120:P4124"/>
    <mergeCell ref="Q4120:Q4124"/>
    <mergeCell ref="O4105:O4109"/>
    <mergeCell ref="P4105:P4109"/>
    <mergeCell ref="Q4105:Q4109"/>
    <mergeCell ref="O4110:O4114"/>
    <mergeCell ref="P4110:P4114"/>
    <mergeCell ref="Q4110:Q4114"/>
    <mergeCell ref="O4135:O4139"/>
    <mergeCell ref="P4135:P4139"/>
    <mergeCell ref="Q4135:Q4139"/>
    <mergeCell ref="O4140:O4144"/>
    <mergeCell ref="P4140:P4144"/>
    <mergeCell ref="Q4140:Q4144"/>
    <mergeCell ref="O4125:O4129"/>
    <mergeCell ref="P4125:P4129"/>
    <mergeCell ref="Q4125:Q4129"/>
    <mergeCell ref="O4130:O4134"/>
    <mergeCell ref="P4130:P4134"/>
    <mergeCell ref="Q4130:Q4134"/>
    <mergeCell ref="O4095:O4099"/>
    <mergeCell ref="P4095:P4099"/>
    <mergeCell ref="Q4095:Q4099"/>
    <mergeCell ref="O4100:O4104"/>
    <mergeCell ref="P4100:P4104"/>
    <mergeCell ref="Q4100:Q4104"/>
  </mergeCell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A16" workbookViewId="0">
      <selection activeCell="C40" sqref="C40"/>
    </sheetView>
  </sheetViews>
  <sheetFormatPr baseColWidth="10" defaultRowHeight="15"/>
  <cols>
    <col min="1" max="1" width="26.28515625" customWidth="1"/>
  </cols>
  <sheetData>
    <row r="1" spans="1:3">
      <c r="A1" t="s">
        <v>1056</v>
      </c>
    </row>
    <row r="3" spans="1:3" ht="15.75" thickBot="1">
      <c r="B3" s="354" t="s">
        <v>1149</v>
      </c>
      <c r="C3" s="360" t="s">
        <v>1150</v>
      </c>
    </row>
    <row r="4" spans="1:3" ht="15.75" thickTop="1">
      <c r="A4" s="357" t="s">
        <v>1019</v>
      </c>
      <c r="B4" s="359">
        <v>0.97</v>
      </c>
      <c r="C4" s="359">
        <v>0.97</v>
      </c>
    </row>
    <row r="5" spans="1:3">
      <c r="A5" s="225" t="s">
        <v>1097</v>
      </c>
      <c r="B5" s="129">
        <v>0.03</v>
      </c>
      <c r="C5" s="129">
        <v>0</v>
      </c>
    </row>
    <row r="6" spans="1:3">
      <c r="A6" s="225" t="s">
        <v>1143</v>
      </c>
      <c r="B6" s="129">
        <v>0</v>
      </c>
      <c r="C6" s="129">
        <v>2.7E-2</v>
      </c>
    </row>
    <row r="7" spans="1:3">
      <c r="A7" s="225" t="s">
        <v>1146</v>
      </c>
      <c r="B7" s="129">
        <v>0</v>
      </c>
      <c r="C7" s="129">
        <v>3.0000000000000001E-3</v>
      </c>
    </row>
    <row r="8" spans="1:3">
      <c r="A8" s="358" t="s">
        <v>1034</v>
      </c>
      <c r="B8" s="129">
        <v>0</v>
      </c>
      <c r="C8" s="129">
        <v>0</v>
      </c>
    </row>
    <row r="9" spans="1:3">
      <c r="A9" s="303" t="s">
        <v>1019</v>
      </c>
      <c r="B9" s="161">
        <v>0</v>
      </c>
      <c r="C9" s="161">
        <v>0</v>
      </c>
    </row>
    <row r="10" spans="1:3">
      <c r="A10" s="225" t="s">
        <v>1097</v>
      </c>
      <c r="B10" s="129">
        <v>1</v>
      </c>
      <c r="C10" s="129">
        <v>0</v>
      </c>
    </row>
    <row r="11" spans="1:3">
      <c r="A11" s="225" t="s">
        <v>1143</v>
      </c>
      <c r="B11" s="129">
        <v>0</v>
      </c>
      <c r="C11" s="129">
        <v>0.89</v>
      </c>
    </row>
    <row r="12" spans="1:3">
      <c r="A12" s="225" t="s">
        <v>1146</v>
      </c>
      <c r="B12" s="129">
        <v>0</v>
      </c>
      <c r="C12" s="129">
        <v>0.11</v>
      </c>
    </row>
    <row r="13" spans="1:3">
      <c r="A13" s="225" t="s">
        <v>1034</v>
      </c>
      <c r="B13" s="129">
        <v>0</v>
      </c>
      <c r="C13" s="129">
        <v>0</v>
      </c>
    </row>
    <row r="14" spans="1:3">
      <c r="A14" s="225" t="s">
        <v>1019</v>
      </c>
      <c r="B14" s="137">
        <v>0</v>
      </c>
      <c r="C14" s="137">
        <v>0</v>
      </c>
    </row>
    <row r="15" spans="1:3">
      <c r="A15" s="225" t="s">
        <v>1097</v>
      </c>
      <c r="B15" s="129">
        <v>1</v>
      </c>
      <c r="C15" s="129">
        <v>0</v>
      </c>
    </row>
    <row r="16" spans="1:3">
      <c r="A16" s="225" t="s">
        <v>1143</v>
      </c>
      <c r="B16" s="129">
        <v>0</v>
      </c>
      <c r="C16" s="129">
        <v>0</v>
      </c>
    </row>
    <row r="17" spans="1:3">
      <c r="A17" s="225" t="s">
        <v>1146</v>
      </c>
      <c r="B17" s="129">
        <v>0</v>
      </c>
      <c r="C17" s="129">
        <v>1</v>
      </c>
    </row>
    <row r="18" spans="1:3">
      <c r="A18" s="225" t="s">
        <v>1034</v>
      </c>
      <c r="B18" s="129">
        <v>0</v>
      </c>
      <c r="C18" s="129">
        <v>0</v>
      </c>
    </row>
    <row r="19" spans="1:3">
      <c r="A19" s="225" t="s">
        <v>1019</v>
      </c>
      <c r="B19" s="137">
        <v>0.94799999999999995</v>
      </c>
      <c r="C19" s="137">
        <v>0.94799999999999995</v>
      </c>
    </row>
    <row r="20" spans="1:3">
      <c r="A20" s="225" t="s">
        <v>1097</v>
      </c>
      <c r="B20" s="129">
        <v>5.1999999999999998E-2</v>
      </c>
      <c r="C20" s="129">
        <v>0</v>
      </c>
    </row>
    <row r="21" spans="1:3">
      <c r="A21" s="225" t="s">
        <v>1143</v>
      </c>
      <c r="B21" s="129">
        <v>0</v>
      </c>
      <c r="C21" s="129">
        <v>4.7E-2</v>
      </c>
    </row>
    <row r="22" spans="1:3">
      <c r="A22" s="225" t="s">
        <v>1146</v>
      </c>
      <c r="B22" s="129">
        <v>0</v>
      </c>
      <c r="C22" s="129">
        <v>5.0000000000000001E-3</v>
      </c>
    </row>
    <row r="23" spans="1:3">
      <c r="A23" s="225" t="s">
        <v>1034</v>
      </c>
      <c r="B23" s="129">
        <v>0</v>
      </c>
      <c r="C23" s="129">
        <v>0</v>
      </c>
    </row>
    <row r="24" spans="1:3">
      <c r="B24" t="s">
        <v>77</v>
      </c>
      <c r="C24" t="s">
        <v>78</v>
      </c>
    </row>
    <row r="25" spans="1:3">
      <c r="B25" t="s">
        <v>69</v>
      </c>
      <c r="C25" t="s">
        <v>240</v>
      </c>
    </row>
    <row r="26" spans="1:3">
      <c r="B26" t="s">
        <v>67</v>
      </c>
      <c r="C26" t="s">
        <v>187</v>
      </c>
    </row>
    <row r="27" spans="1:3">
      <c r="B27" t="s">
        <v>165</v>
      </c>
      <c r="C27" t="s">
        <v>86</v>
      </c>
    </row>
    <row r="28" spans="1:3">
      <c r="B28" t="s">
        <v>647</v>
      </c>
      <c r="C28" t="s">
        <v>191</v>
      </c>
    </row>
    <row r="29" spans="1:3">
      <c r="B29" t="s">
        <v>771</v>
      </c>
      <c r="C29" t="s">
        <v>188</v>
      </c>
    </row>
    <row r="30" spans="1:3">
      <c r="C30" t="s">
        <v>18</v>
      </c>
    </row>
    <row r="31" spans="1:3">
      <c r="C31" t="s">
        <v>19</v>
      </c>
    </row>
    <row r="32" spans="1:3">
      <c r="C32" t="s">
        <v>42</v>
      </c>
    </row>
    <row r="33" spans="3:4">
      <c r="C33" t="s">
        <v>654</v>
      </c>
    </row>
    <row r="34" spans="3:4">
      <c r="C34" t="s">
        <v>1078</v>
      </c>
      <c r="D34" t="s">
        <v>1172</v>
      </c>
    </row>
    <row r="35" spans="3:4">
      <c r="C35" s="363" t="s">
        <v>1173</v>
      </c>
    </row>
    <row r="36" spans="3:4">
      <c r="C36" t="s">
        <v>48</v>
      </c>
    </row>
    <row r="37" spans="3:4">
      <c r="C37" t="s">
        <v>177</v>
      </c>
    </row>
    <row r="38" spans="3:4">
      <c r="C38" t="s">
        <v>20</v>
      </c>
    </row>
    <row r="39" spans="3:4">
      <c r="C39" t="s">
        <v>2</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9</vt:i4>
      </vt:variant>
      <vt:variant>
        <vt:lpstr>Benannte Bereiche</vt:lpstr>
      </vt:variant>
      <vt:variant>
        <vt:i4>2</vt:i4>
      </vt:variant>
    </vt:vector>
  </HeadingPairs>
  <TitlesOfParts>
    <vt:vector size="11" baseType="lpstr">
      <vt:lpstr>Abbau</vt:lpstr>
      <vt:lpstr>Daten für Diagramme</vt:lpstr>
      <vt:lpstr>PedigreeMatrix</vt:lpstr>
      <vt:lpstr>Uncertainty redistribution</vt:lpstr>
      <vt:lpstr>Auswertung_neu (2)</vt:lpstr>
      <vt:lpstr>Meta-Auswertung</vt:lpstr>
      <vt:lpstr>Charakterisierung</vt:lpstr>
      <vt:lpstr>Fate</vt:lpstr>
      <vt:lpstr>Hilfstabelle</vt:lpstr>
      <vt:lpstr>Charakterisierung!_ftn1</vt:lpstr>
      <vt:lpstr>Charakterisierung!_ftnref1</vt:lpstr>
    </vt:vector>
  </TitlesOfParts>
  <Company>Fraunhofer UMSICHT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Weber, Torsten</dc:creator>
  <cp:lastModifiedBy>Thonemann, Nils</cp:lastModifiedBy>
  <cp:lastPrinted>2020-09-14T08:37:51Z</cp:lastPrinted>
  <dcterms:created xsi:type="dcterms:W3CDTF">2018-03-01T07:09:50Z</dcterms:created>
  <dcterms:modified xsi:type="dcterms:W3CDTF">2021-02-05T16:27:57Z</dcterms:modified>
</cp:coreProperties>
</file>